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3.xml" ContentType="application/vnd.openxmlformats-officedocument.drawing+xml"/>
  <Override PartName="/xl/charts/chart8.xml" ContentType="application/vnd.openxmlformats-officedocument.drawingml.chart+xml"/>
  <Override PartName="/xl/charts/chart9.xml" ContentType="application/vnd.openxmlformats-officedocument.drawingml.chart+xml"/>
  <Override PartName="/xl/drawings/drawing4.xml" ContentType="application/vnd.openxmlformats-officedocument.drawing+xml"/>
  <Override PartName="/xl/charts/chart10.xml" ContentType="application/vnd.openxmlformats-officedocument.drawingml.chart+xml"/>
  <Override PartName="/xl/charts/style8.xml" ContentType="application/vnd.ms-office.chartstyle+xml"/>
  <Override PartName="/xl/charts/colors8.xml" ContentType="application/vnd.ms-office.chartcolorstyle+xml"/>
  <Override PartName="/xl/charts/chart11.xml" ContentType="application/vnd.openxmlformats-officedocument.drawingml.chart+xml"/>
  <Override PartName="/xl/charts/style9.xml" ContentType="application/vnd.ms-office.chartstyle+xml"/>
  <Override PartName="/xl/charts/colors9.xml" ContentType="application/vnd.ms-office.chartcolorstyle+xml"/>
  <Override PartName="/xl/drawings/drawing5.xml" ContentType="application/vnd.openxmlformats-officedocument.drawing+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charts/chart32.xml" ContentType="application/vnd.openxmlformats-officedocument.drawingml.chart+xml"/>
  <Override PartName="/xl/charts/chart33.xml" ContentType="application/vnd.openxmlformats-officedocument.drawingml.chart+xml"/>
  <Override PartName="/xl/charts/chart34.xml" ContentType="application/vnd.openxmlformats-officedocument.drawingml.chart+xml"/>
  <Override PartName="/xl/charts/chart35.xml" ContentType="application/vnd.openxmlformats-officedocument.drawingml.chart+xml"/>
  <Override PartName="/xl/charts/chart36.xml" ContentType="application/vnd.openxmlformats-officedocument.drawingml.chart+xml"/>
  <Override PartName="/xl/charts/chart37.xml" ContentType="application/vnd.openxmlformats-officedocument.drawingml.chart+xml"/>
  <Override PartName="/xl/drawings/drawing6.xml" ContentType="application/vnd.openxmlformats-officedocument.drawing+xml"/>
  <Override PartName="/xl/charts/chart38.xml" ContentType="application/vnd.openxmlformats-officedocument.drawingml.chart+xml"/>
  <Override PartName="/xl/drawings/drawing7.xml" ContentType="application/vnd.openxmlformats-officedocument.drawing+xml"/>
  <Override PartName="/xl/charts/chart39.xml" ContentType="application/vnd.openxmlformats-officedocument.drawingml.chart+xml"/>
  <Override PartName="/xl/charts/style10.xml" ContentType="application/vnd.ms-office.chartstyle+xml"/>
  <Override PartName="/xl/charts/colors10.xml" ContentType="application/vnd.ms-office.chartcolorstyle+xml"/>
  <Override PartName="/xl/charts/chart40.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8.xml" ContentType="application/vnd.openxmlformats-officedocument.drawing+xml"/>
  <Override PartName="/xl/charts/chart41.xml" ContentType="application/vnd.openxmlformats-officedocument.drawingml.chart+xml"/>
  <Override PartName="/xl/charts/style12.xml" ContentType="application/vnd.ms-office.chartstyle+xml"/>
  <Override PartName="/xl/charts/colors12.xml" ContentType="application/vnd.ms-office.chartcolorstyle+xml"/>
  <Override PartName="/xl/charts/chart42.xml" ContentType="application/vnd.openxmlformats-officedocument.drawingml.chart+xml"/>
  <Override PartName="/xl/charts/style13.xml" ContentType="application/vnd.ms-office.chartstyle+xml"/>
  <Override PartName="/xl/charts/colors1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328"/>
  <workbookPr date1904="1" codeName="ThisWorkbook" defaultThemeVersion="124226"/>
  <mc:AlternateContent xmlns:mc="http://schemas.openxmlformats.org/markup-compatibility/2006">
    <mc:Choice Requires="x15">
      <x15ac:absPath xmlns:x15ac="http://schemas.microsoft.com/office/spreadsheetml/2010/11/ac" url="D:\NYUClasses\Fall2019\CyberSecurityMetrics\projects\cybermetrics\src\main\resources\data\"/>
    </mc:Choice>
  </mc:AlternateContent>
  <xr:revisionPtr revIDLastSave="0" documentId="13_ncr:1_{E880D162-46A4-436C-9ACB-9DF379BEA8FA}" xr6:coauthVersionLast="41" xr6:coauthVersionMax="45" xr10:uidLastSave="{00000000-0000-0000-0000-000000000000}"/>
  <bookViews>
    <workbookView xWindow="-108" yWindow="-108" windowWidth="23256" windowHeight="12576" tabRatio="805" xr2:uid="{00000000-000D-0000-FFFF-FFFF00000000}"/>
  </bookViews>
  <sheets>
    <sheet name="Paste_Report_Here" sheetId="1" r:id="rId1"/>
    <sheet name="Calcs" sheetId="25" r:id="rId2"/>
    <sheet name="Index_CALCULATION" sheetId="2" r:id="rId3"/>
    <sheet name="Graphs" sheetId="34" r:id="rId4"/>
    <sheet name="alpha-beta" sheetId="33" r:id="rId5"/>
    <sheet name="Rolling 12 mos" sheetId="17" r:id="rId6"/>
    <sheet name="main_chart" sheetId="7" r:id="rId7"/>
    <sheet name="subindex_charts" sheetId="9" r:id="rId8"/>
    <sheet name="diffusion_chart" sheetId="8" r:id="rId9"/>
    <sheet name="Q_of_the_mth" sheetId="11" r:id="rId10"/>
    <sheet name="Sheet1" sheetId="32" r:id="rId11"/>
    <sheet name="Talent QOM" sheetId="35" r:id="rId12"/>
    <sheet name="mappings" sheetId="10" r:id="rId13"/>
  </sheets>
  <definedNames>
    <definedName name="_xlnm._FilterDatabase" localSheetId="0" hidden="1">Paste_Report_Here!$A$1:$AE$60</definedName>
    <definedName name="chart">main_chart!$G$33:$Q$43</definedName>
    <definedName name="chart4Area_to_go">diffusion_chart!$S$33:$AD$75</definedName>
    <definedName name="curr_mnth">OFFSET(Index_CALCULATION!$P$16,0,Index_CALCULATION!$D$50-1,25,1)</definedName>
    <definedName name="Falling">Calcs!$G$1947</definedName>
    <definedName name="Falling_fast">Calcs!$F$1947</definedName>
    <definedName name="number_responses">Index_CALCULATION!$C$45</definedName>
    <definedName name="_xlnm.Print_Area" localSheetId="2">Index_CALCULATION!$B$4:$DS$49</definedName>
    <definedName name="prior_index_value">Index_CALCULATION!$C$46</definedName>
    <definedName name="Rising">Calcs!$I$1947</definedName>
    <definedName name="Rising_fast">Calcs!$J$1947</definedName>
    <definedName name="Static">Calcs!$H$1947</definedName>
    <definedName name="subindex">OFFSET(subindex_charts!$A$29,0,Index_CALCULATION!$D$50-13,139,13)</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I3" i="7" l="1"/>
  <c r="J1910" i="25" l="1"/>
  <c r="I1910" i="25"/>
  <c r="H1910" i="25"/>
  <c r="G1910" i="25"/>
  <c r="F1910" i="25"/>
  <c r="J1876" i="25"/>
  <c r="I1876" i="25"/>
  <c r="H1876" i="25"/>
  <c r="G1876" i="25"/>
  <c r="F1876" i="25"/>
  <c r="J1842" i="25"/>
  <c r="I1842" i="25"/>
  <c r="H1842" i="25"/>
  <c r="G1842" i="25"/>
  <c r="F1842" i="25"/>
  <c r="J1808" i="25"/>
  <c r="I1808" i="25"/>
  <c r="H1808" i="25"/>
  <c r="G1808" i="25"/>
  <c r="F1808" i="25"/>
  <c r="J1774" i="25"/>
  <c r="I1774" i="25"/>
  <c r="H1774" i="25"/>
  <c r="G1774" i="25"/>
  <c r="F1774" i="25"/>
  <c r="J1740" i="25"/>
  <c r="I1740" i="25"/>
  <c r="H1740" i="25"/>
  <c r="G1740" i="25"/>
  <c r="F1740" i="25"/>
  <c r="J1706" i="25"/>
  <c r="I1706" i="25"/>
  <c r="H1706" i="25"/>
  <c r="G1706" i="25"/>
  <c r="F1706" i="25"/>
  <c r="J1672" i="25"/>
  <c r="I1672" i="25"/>
  <c r="H1672" i="25"/>
  <c r="G1672" i="25"/>
  <c r="F1672" i="25"/>
  <c r="J1638" i="25"/>
  <c r="I1638" i="25"/>
  <c r="H1638" i="25"/>
  <c r="G1638" i="25"/>
  <c r="F1638" i="25"/>
  <c r="J1604" i="25"/>
  <c r="I1604" i="25"/>
  <c r="H1604" i="25"/>
  <c r="G1604" i="25"/>
  <c r="F1604" i="25"/>
  <c r="J1570" i="25"/>
  <c r="I1570" i="25"/>
  <c r="H1570" i="25"/>
  <c r="G1570" i="25"/>
  <c r="F1570" i="25"/>
  <c r="J1536" i="25"/>
  <c r="I1536" i="25"/>
  <c r="H1536" i="25"/>
  <c r="G1536" i="25"/>
  <c r="F1536" i="25"/>
  <c r="J1502" i="25"/>
  <c r="I1502" i="25"/>
  <c r="H1502" i="25"/>
  <c r="G1502" i="25"/>
  <c r="F1502" i="25"/>
  <c r="J1468" i="25"/>
  <c r="I1468" i="25"/>
  <c r="H1468" i="25"/>
  <c r="G1468" i="25"/>
  <c r="F1468" i="25"/>
  <c r="J1434" i="25"/>
  <c r="I1434" i="25"/>
  <c r="H1434" i="25"/>
  <c r="G1434" i="25"/>
  <c r="F1434" i="25"/>
  <c r="J1400" i="25"/>
  <c r="I1400" i="25"/>
  <c r="H1400" i="25"/>
  <c r="G1400" i="25"/>
  <c r="F1400" i="25"/>
  <c r="J1366" i="25"/>
  <c r="I1366" i="25"/>
  <c r="H1366" i="25"/>
  <c r="G1366" i="25"/>
  <c r="F1366" i="25"/>
  <c r="J1332" i="25"/>
  <c r="I1332" i="25"/>
  <c r="H1332" i="25"/>
  <c r="G1332" i="25"/>
  <c r="F1332" i="25"/>
  <c r="J1298" i="25"/>
  <c r="I1298" i="25"/>
  <c r="H1298" i="25"/>
  <c r="G1298" i="25"/>
  <c r="F1298" i="25"/>
  <c r="J1264" i="25"/>
  <c r="I1264" i="25"/>
  <c r="H1264" i="25"/>
  <c r="G1264" i="25"/>
  <c r="F1264" i="25"/>
  <c r="J1230" i="25"/>
  <c r="I1230" i="25"/>
  <c r="H1230" i="25"/>
  <c r="G1230" i="25"/>
  <c r="F1230" i="25"/>
  <c r="J1196" i="25"/>
  <c r="I1196" i="25"/>
  <c r="H1196" i="25"/>
  <c r="G1196" i="25"/>
  <c r="F1196" i="25"/>
  <c r="J1162" i="25"/>
  <c r="I1162" i="25"/>
  <c r="H1162" i="25"/>
  <c r="G1162" i="25"/>
  <c r="F1162" i="25"/>
  <c r="J1128" i="25"/>
  <c r="I1128" i="25"/>
  <c r="H1128" i="25"/>
  <c r="G1128" i="25"/>
  <c r="F1128" i="25"/>
  <c r="J1094" i="25"/>
  <c r="I1094" i="25"/>
  <c r="H1094" i="25"/>
  <c r="G1094" i="25"/>
  <c r="F1094" i="25"/>
  <c r="J1060" i="25"/>
  <c r="I1060" i="25"/>
  <c r="H1060" i="25"/>
  <c r="G1060" i="25"/>
  <c r="F1060" i="25"/>
  <c r="J1026" i="25"/>
  <c r="I1026" i="25"/>
  <c r="H1026" i="25"/>
  <c r="G1026" i="25"/>
  <c r="F1026" i="25"/>
  <c r="J992" i="25"/>
  <c r="I992" i="25"/>
  <c r="H992" i="25"/>
  <c r="G992" i="25"/>
  <c r="F992" i="25"/>
  <c r="J958" i="25"/>
  <c r="I958" i="25"/>
  <c r="H958" i="25"/>
  <c r="G958" i="25"/>
  <c r="F958" i="25"/>
  <c r="J924" i="25"/>
  <c r="I924" i="25"/>
  <c r="H924" i="25"/>
  <c r="G924" i="25"/>
  <c r="F924" i="25"/>
  <c r="J890" i="25"/>
  <c r="I890" i="25"/>
  <c r="H890" i="25"/>
  <c r="G890" i="25"/>
  <c r="F890" i="25"/>
  <c r="J856" i="25"/>
  <c r="I856" i="25"/>
  <c r="H856" i="25"/>
  <c r="G856" i="25"/>
  <c r="F856" i="25"/>
  <c r="J822" i="25"/>
  <c r="I822" i="25"/>
  <c r="H822" i="25"/>
  <c r="G822" i="25"/>
  <c r="F822" i="25"/>
  <c r="J788" i="25"/>
  <c r="I788" i="25"/>
  <c r="H788" i="25"/>
  <c r="G788" i="25"/>
  <c r="F788" i="25"/>
  <c r="J754" i="25"/>
  <c r="I754" i="25"/>
  <c r="H754" i="25"/>
  <c r="G754" i="25"/>
  <c r="F754" i="25"/>
  <c r="J720" i="25"/>
  <c r="I720" i="25"/>
  <c r="H720" i="25"/>
  <c r="G720" i="25"/>
  <c r="F720" i="25"/>
  <c r="J686" i="25"/>
  <c r="I686" i="25"/>
  <c r="H686" i="25"/>
  <c r="G686" i="25"/>
  <c r="F686" i="25"/>
  <c r="J652" i="25"/>
  <c r="I652" i="25"/>
  <c r="H652" i="25"/>
  <c r="G652" i="25"/>
  <c r="F652" i="25"/>
  <c r="J618" i="25"/>
  <c r="I618" i="25"/>
  <c r="H618" i="25"/>
  <c r="G618" i="25"/>
  <c r="F618" i="25"/>
  <c r="J584" i="25"/>
  <c r="I584" i="25"/>
  <c r="H584" i="25"/>
  <c r="G584" i="25"/>
  <c r="F584" i="25"/>
  <c r="J550" i="25"/>
  <c r="I550" i="25"/>
  <c r="H550" i="25"/>
  <c r="G550" i="25"/>
  <c r="F550" i="25"/>
  <c r="J516" i="25"/>
  <c r="I516" i="25"/>
  <c r="H516" i="25"/>
  <c r="G516" i="25"/>
  <c r="F516" i="25"/>
  <c r="J482" i="25"/>
  <c r="I482" i="25"/>
  <c r="H482" i="25"/>
  <c r="G482" i="25"/>
  <c r="F482" i="25"/>
  <c r="J448" i="25"/>
  <c r="I448" i="25"/>
  <c r="H448" i="25"/>
  <c r="G448" i="25"/>
  <c r="F448" i="25"/>
  <c r="J414" i="25"/>
  <c r="I414" i="25"/>
  <c r="H414" i="25"/>
  <c r="G414" i="25"/>
  <c r="F414" i="25"/>
  <c r="J380" i="25"/>
  <c r="I380" i="25"/>
  <c r="H380" i="25"/>
  <c r="G380" i="25"/>
  <c r="F380" i="25"/>
  <c r="J346" i="25"/>
  <c r="I346" i="25"/>
  <c r="H346" i="25"/>
  <c r="G346" i="25"/>
  <c r="F346" i="25"/>
  <c r="J312" i="25"/>
  <c r="I312" i="25"/>
  <c r="H312" i="25"/>
  <c r="G312" i="25"/>
  <c r="F312" i="25"/>
  <c r="J278" i="25"/>
  <c r="I278" i="25"/>
  <c r="H278" i="25"/>
  <c r="G278" i="25"/>
  <c r="F278" i="25"/>
  <c r="J244" i="25"/>
  <c r="I244" i="25"/>
  <c r="H244" i="25"/>
  <c r="G244" i="25"/>
  <c r="F244" i="25"/>
  <c r="J210" i="25"/>
  <c r="I210" i="25"/>
  <c r="H210" i="25"/>
  <c r="G210" i="25"/>
  <c r="F210" i="25"/>
  <c r="J176" i="25"/>
  <c r="I176" i="25"/>
  <c r="H176" i="25"/>
  <c r="G176" i="25"/>
  <c r="F176" i="25"/>
  <c r="J142" i="25"/>
  <c r="I142" i="25"/>
  <c r="H142" i="25"/>
  <c r="G142" i="25"/>
  <c r="F142" i="25"/>
  <c r="J108" i="25"/>
  <c r="I108" i="25"/>
  <c r="H108" i="25"/>
  <c r="G108" i="25"/>
  <c r="F108" i="25"/>
  <c r="J74" i="25"/>
  <c r="I74" i="25"/>
  <c r="H74" i="25"/>
  <c r="G74" i="25"/>
  <c r="F74" i="25"/>
  <c r="J40" i="25"/>
  <c r="I40" i="25"/>
  <c r="H40" i="25"/>
  <c r="G40" i="25"/>
  <c r="F40" i="25"/>
  <c r="J6" i="25"/>
  <c r="I6" i="25"/>
  <c r="H6" i="25"/>
  <c r="G6" i="25"/>
  <c r="F6" i="25"/>
  <c r="CX29" i="9" l="1"/>
  <c r="CX30" i="9"/>
  <c r="CX34" i="9"/>
  <c r="CX35" i="9"/>
  <c r="CX39" i="9"/>
  <c r="CX40" i="9"/>
  <c r="CX44" i="9"/>
  <c r="CX45" i="9"/>
  <c r="CX49" i="9"/>
  <c r="CX50" i="9"/>
  <c r="CX54" i="9"/>
  <c r="CX55" i="9"/>
  <c r="CX59" i="9"/>
  <c r="CX60" i="9"/>
  <c r="CX64" i="9"/>
  <c r="CX65" i="9"/>
  <c r="CX69" i="9"/>
  <c r="CX70" i="9"/>
  <c r="CX74" i="9"/>
  <c r="CX75" i="9"/>
  <c r="CX79" i="9"/>
  <c r="CX80" i="9"/>
  <c r="CX84" i="9"/>
  <c r="CX85" i="9"/>
  <c r="CX89" i="9"/>
  <c r="CX90" i="9"/>
  <c r="CX94" i="9"/>
  <c r="CX95" i="9"/>
  <c r="CX99" i="9"/>
  <c r="CX100" i="9"/>
  <c r="CX104" i="9"/>
  <c r="CX105" i="9"/>
  <c r="CX109" i="9"/>
  <c r="CX110" i="9"/>
  <c r="CX114" i="9"/>
  <c r="CX115" i="9"/>
  <c r="CX119" i="9"/>
  <c r="CX120" i="9"/>
  <c r="CX124" i="9"/>
  <c r="CX125" i="9"/>
  <c r="CX129" i="9"/>
  <c r="CX130" i="9"/>
  <c r="CX134" i="9"/>
  <c r="CX135" i="9"/>
  <c r="CX139" i="9"/>
  <c r="CX140" i="9"/>
  <c r="CX144" i="9"/>
  <c r="CX145" i="9"/>
  <c r="CX149" i="9"/>
  <c r="CX150" i="9"/>
  <c r="DB36" i="33"/>
  <c r="DB62" i="33"/>
  <c r="A1936" i="25"/>
  <c r="K1936" i="25" s="1"/>
  <c r="A1935" i="25"/>
  <c r="G1935" i="25" s="1"/>
  <c r="A1934" i="25"/>
  <c r="K1934" i="25" s="1"/>
  <c r="J1933" i="25"/>
  <c r="A1933" i="25"/>
  <c r="A1932" i="25"/>
  <c r="K1932" i="25" s="1"/>
  <c r="A1931" i="25"/>
  <c r="H1931" i="25" s="1"/>
  <c r="A1930" i="25"/>
  <c r="G1930" i="25" s="1"/>
  <c r="A1929" i="25"/>
  <c r="H1929" i="25" s="1"/>
  <c r="A1928" i="25"/>
  <c r="K1928" i="25" s="1"/>
  <c r="A1927" i="25"/>
  <c r="H1927" i="25" s="1"/>
  <c r="K1926" i="25"/>
  <c r="A1926" i="25"/>
  <c r="G1926" i="25" s="1"/>
  <c r="A1925" i="25"/>
  <c r="H1925" i="25" s="1"/>
  <c r="A1924" i="25"/>
  <c r="I1924" i="25" s="1"/>
  <c r="A1923" i="25"/>
  <c r="A1922" i="25"/>
  <c r="G1922" i="25" s="1"/>
  <c r="A1921" i="25"/>
  <c r="H1921" i="25" s="1"/>
  <c r="A1920" i="25"/>
  <c r="A1919" i="25"/>
  <c r="H1919" i="25" s="1"/>
  <c r="A1918" i="25"/>
  <c r="G1918" i="25" s="1"/>
  <c r="A1917" i="25"/>
  <c r="H1917" i="25" s="1"/>
  <c r="A1916" i="25"/>
  <c r="K1916" i="25" s="1"/>
  <c r="A1915" i="25"/>
  <c r="I1915" i="25" s="1"/>
  <c r="G1914" i="25"/>
  <c r="A1914" i="25"/>
  <c r="A1913" i="25"/>
  <c r="I1913" i="25" s="1"/>
  <c r="A1912" i="25"/>
  <c r="K1912" i="25" s="1"/>
  <c r="CX131" i="9" l="1"/>
  <c r="CX121" i="9"/>
  <c r="CX76" i="9"/>
  <c r="K1921" i="25"/>
  <c r="K1924" i="25"/>
  <c r="I1916" i="25"/>
  <c r="G1932" i="25"/>
  <c r="I1932" i="25"/>
  <c r="G1917" i="25"/>
  <c r="G1927" i="25"/>
  <c r="G1916" i="25"/>
  <c r="J1921" i="25"/>
  <c r="I1926" i="25"/>
  <c r="J1927" i="25"/>
  <c r="K1919" i="25"/>
  <c r="F1929" i="25"/>
  <c r="F1913" i="25"/>
  <c r="F1919" i="25"/>
  <c r="H1912" i="25"/>
  <c r="J1913" i="25"/>
  <c r="I1918" i="25"/>
  <c r="G1919" i="25"/>
  <c r="G1924" i="25"/>
  <c r="G1925" i="25"/>
  <c r="K1927" i="25"/>
  <c r="J1929" i="25"/>
  <c r="H1934" i="25"/>
  <c r="H1936" i="25"/>
  <c r="I1912" i="25"/>
  <c r="K1918" i="25"/>
  <c r="J1919" i="25"/>
  <c r="F1921" i="25"/>
  <c r="F1927" i="25"/>
  <c r="K1929" i="25"/>
  <c r="I1934" i="25"/>
  <c r="I1936" i="25"/>
  <c r="J1920" i="25"/>
  <c r="F1920" i="25"/>
  <c r="G1920" i="25"/>
  <c r="I1920" i="25"/>
  <c r="K1920" i="25"/>
  <c r="H1923" i="25"/>
  <c r="G1923" i="25"/>
  <c r="K1923" i="25"/>
  <c r="F1923" i="25"/>
  <c r="J1923" i="25"/>
  <c r="H1920" i="25"/>
  <c r="I1923" i="25"/>
  <c r="H1915" i="25"/>
  <c r="G1915" i="25"/>
  <c r="K1915" i="25"/>
  <c r="F1915" i="25"/>
  <c r="J1915" i="25"/>
  <c r="I1931" i="25"/>
  <c r="G1913" i="25"/>
  <c r="K1913" i="25"/>
  <c r="J1914" i="25"/>
  <c r="F1914" i="25"/>
  <c r="H1914" i="25"/>
  <c r="J1922" i="25"/>
  <c r="F1922" i="25"/>
  <c r="H1922" i="25"/>
  <c r="J1930" i="25"/>
  <c r="F1930" i="25"/>
  <c r="H1930" i="25"/>
  <c r="J1931" i="25"/>
  <c r="I1933" i="25"/>
  <c r="H1933" i="25"/>
  <c r="K1933" i="25"/>
  <c r="F1935" i="25"/>
  <c r="F1912" i="25"/>
  <c r="J1912" i="25"/>
  <c r="H1913" i="25"/>
  <c r="I1914" i="25"/>
  <c r="J1916" i="25"/>
  <c r="F1916" i="25"/>
  <c r="H1916" i="25"/>
  <c r="J1917" i="25"/>
  <c r="I1919" i="25"/>
  <c r="G1921" i="25"/>
  <c r="I1922" i="25"/>
  <c r="J1924" i="25"/>
  <c r="F1924" i="25"/>
  <c r="H1924" i="25"/>
  <c r="J1925" i="25"/>
  <c r="I1927" i="25"/>
  <c r="G1929" i="25"/>
  <c r="I1930" i="25"/>
  <c r="F1931" i="25"/>
  <c r="K1931" i="25"/>
  <c r="J1932" i="25"/>
  <c r="F1932" i="25"/>
  <c r="H1932" i="25"/>
  <c r="F1933" i="25"/>
  <c r="J1928" i="25"/>
  <c r="F1928" i="25"/>
  <c r="H1928" i="25"/>
  <c r="I1935" i="25"/>
  <c r="H1935" i="25"/>
  <c r="K1935" i="25"/>
  <c r="I1917" i="25"/>
  <c r="I1925" i="25"/>
  <c r="I1928" i="25"/>
  <c r="G1912" i="25"/>
  <c r="K1914" i="25"/>
  <c r="F1917" i="25"/>
  <c r="K1917" i="25"/>
  <c r="J1918" i="25"/>
  <c r="F1918" i="25"/>
  <c r="H1918" i="25"/>
  <c r="I1921" i="25"/>
  <c r="K1922" i="25"/>
  <c r="F1925" i="25"/>
  <c r="K1925" i="25"/>
  <c r="J1926" i="25"/>
  <c r="F1926" i="25"/>
  <c r="H1926" i="25"/>
  <c r="G1928" i="25"/>
  <c r="I1929" i="25"/>
  <c r="K1930" i="25"/>
  <c r="G1931" i="25"/>
  <c r="G1933" i="25"/>
  <c r="J1935" i="25"/>
  <c r="F1934" i="25"/>
  <c r="J1934" i="25"/>
  <c r="F1936" i="25"/>
  <c r="J1936" i="25"/>
  <c r="G1934" i="25"/>
  <c r="G1936" i="25"/>
  <c r="CW74" i="9"/>
  <c r="CW75" i="9"/>
  <c r="CW79" i="9"/>
  <c r="CW80" i="9"/>
  <c r="CX81" i="9" s="1"/>
  <c r="CW84" i="9"/>
  <c r="CW85" i="9"/>
  <c r="CW89" i="9"/>
  <c r="CW90" i="9"/>
  <c r="CX91" i="9" s="1"/>
  <c r="CW94" i="9"/>
  <c r="CW95" i="9"/>
  <c r="CX96" i="9" s="1"/>
  <c r="CW99" i="9"/>
  <c r="CW100" i="9"/>
  <c r="CW104" i="9"/>
  <c r="CW105" i="9"/>
  <c r="CX106" i="9" s="1"/>
  <c r="CW109" i="9"/>
  <c r="CW110" i="9"/>
  <c r="CX111" i="9" s="1"/>
  <c r="CW114" i="9"/>
  <c r="CW115" i="9"/>
  <c r="CX116" i="9" s="1"/>
  <c r="CW119" i="9"/>
  <c r="CW120" i="9"/>
  <c r="CW124" i="9"/>
  <c r="CW125" i="9"/>
  <c r="CW129" i="9"/>
  <c r="CW130" i="9"/>
  <c r="CW134" i="9"/>
  <c r="CW135" i="9"/>
  <c r="CW139" i="9"/>
  <c r="CW140" i="9"/>
  <c r="CW144" i="9"/>
  <c r="CW145" i="9"/>
  <c r="CW149" i="9"/>
  <c r="CW150" i="9"/>
  <c r="CX151" i="9" s="1"/>
  <c r="CW29" i="9"/>
  <c r="CW30" i="9"/>
  <c r="CX31" i="9" s="1"/>
  <c r="CW34" i="9"/>
  <c r="CW35" i="9"/>
  <c r="CX36" i="9" s="1"/>
  <c r="CW39" i="9"/>
  <c r="CW40" i="9"/>
  <c r="CX41" i="9" s="1"/>
  <c r="CW44" i="9"/>
  <c r="CW45" i="9"/>
  <c r="CX46" i="9" s="1"/>
  <c r="CW49" i="9"/>
  <c r="CW50" i="9"/>
  <c r="CW54" i="9"/>
  <c r="CW55" i="9"/>
  <c r="CX56" i="9" s="1"/>
  <c r="CW59" i="9"/>
  <c r="CW60" i="9"/>
  <c r="CW64" i="9"/>
  <c r="CW65" i="9"/>
  <c r="CW69" i="9"/>
  <c r="CW70" i="9"/>
  <c r="CX71" i="9" s="1"/>
  <c r="DA36" i="33"/>
  <c r="DA62" i="33"/>
  <c r="A1902" i="25"/>
  <c r="K1902" i="25" s="1"/>
  <c r="A1901" i="25"/>
  <c r="H1901" i="25" s="1"/>
  <c r="A1900" i="25"/>
  <c r="H1900" i="25" s="1"/>
  <c r="A1899" i="25"/>
  <c r="H1899" i="25" s="1"/>
  <c r="A1898" i="25"/>
  <c r="G1898" i="25" s="1"/>
  <c r="A1897" i="25"/>
  <c r="H1897" i="25" s="1"/>
  <c r="A1896" i="25"/>
  <c r="H1896" i="25" s="1"/>
  <c r="J1895" i="25"/>
  <c r="A1895" i="25"/>
  <c r="H1895" i="25" s="1"/>
  <c r="A1894" i="25"/>
  <c r="G1894" i="25" s="1"/>
  <c r="A1893" i="25"/>
  <c r="H1893" i="25" s="1"/>
  <c r="A1892" i="25"/>
  <c r="K1892" i="25" s="1"/>
  <c r="A1891" i="25"/>
  <c r="H1891" i="25" s="1"/>
  <c r="A1890" i="25"/>
  <c r="G1890" i="25" s="1"/>
  <c r="A1889" i="25"/>
  <c r="H1889" i="25" s="1"/>
  <c r="A1888" i="25"/>
  <c r="A1887" i="25"/>
  <c r="H1887" i="25" s="1"/>
  <c r="A1886" i="25"/>
  <c r="G1886" i="25" s="1"/>
  <c r="A1885" i="25"/>
  <c r="H1885" i="25" s="1"/>
  <c r="A1884" i="25"/>
  <c r="K1884" i="25" s="1"/>
  <c r="A1883" i="25"/>
  <c r="H1883" i="25" s="1"/>
  <c r="A1882" i="25"/>
  <c r="G1882" i="25" s="1"/>
  <c r="A1881" i="25"/>
  <c r="H1881" i="25" s="1"/>
  <c r="A1880" i="25"/>
  <c r="A1879" i="25"/>
  <c r="J1879" i="25" s="1"/>
  <c r="A1878" i="25"/>
  <c r="K1878" i="25" s="1"/>
  <c r="CX126" i="9" l="1"/>
  <c r="CX86" i="9"/>
  <c r="CX101" i="9"/>
  <c r="CX136" i="9"/>
  <c r="CX66" i="9"/>
  <c r="CX51" i="9"/>
  <c r="CX61" i="9"/>
  <c r="CX141" i="9"/>
  <c r="CX146" i="9"/>
  <c r="I1895" i="25"/>
  <c r="F1897" i="25"/>
  <c r="L1927" i="25"/>
  <c r="M1927" i="25" s="1"/>
  <c r="N1927" i="25" s="1"/>
  <c r="I1884" i="25"/>
  <c r="F1887" i="25"/>
  <c r="J1889" i="25"/>
  <c r="F1889" i="25"/>
  <c r="K1894" i="25"/>
  <c r="K1889" i="25"/>
  <c r="L1919" i="25"/>
  <c r="M1919" i="25" s="1"/>
  <c r="N1919" i="25" s="1"/>
  <c r="L1917" i="25"/>
  <c r="M1917" i="25" s="1"/>
  <c r="N1917" i="25" s="1"/>
  <c r="L1929" i="25"/>
  <c r="M1929" i="25" s="1"/>
  <c r="N1929" i="25" s="1"/>
  <c r="L1921" i="25"/>
  <c r="M1921" i="25" s="1"/>
  <c r="N1921" i="25" s="1"/>
  <c r="L1925" i="25"/>
  <c r="M1925" i="25" s="1"/>
  <c r="N1925" i="25" s="1"/>
  <c r="K1937" i="25"/>
  <c r="L1913" i="25"/>
  <c r="M1913" i="25" s="1"/>
  <c r="N1913" i="25" s="1"/>
  <c r="I1937" i="25"/>
  <c r="H1937" i="25"/>
  <c r="L1930" i="25"/>
  <c r="M1930" i="25" s="1"/>
  <c r="N1930" i="25" s="1"/>
  <c r="L1934" i="25"/>
  <c r="M1934" i="25" s="1"/>
  <c r="N1934" i="25" s="1"/>
  <c r="L1926" i="25"/>
  <c r="M1926" i="25" s="1"/>
  <c r="N1926" i="25" s="1"/>
  <c r="G1937" i="25"/>
  <c r="L1933" i="25"/>
  <c r="M1933" i="25" s="1"/>
  <c r="N1933" i="25" s="1"/>
  <c r="L1924" i="25"/>
  <c r="M1924" i="25" s="1"/>
  <c r="N1924" i="25" s="1"/>
  <c r="F1937" i="25"/>
  <c r="L1912" i="25"/>
  <c r="M1912" i="25" s="1"/>
  <c r="N1912" i="25" s="1"/>
  <c r="L1915" i="25"/>
  <c r="M1915" i="25" s="1"/>
  <c r="N1915" i="25" s="1"/>
  <c r="L1920" i="25"/>
  <c r="M1920" i="25" s="1"/>
  <c r="N1920" i="25" s="1"/>
  <c r="L1918" i="25"/>
  <c r="M1918" i="25" s="1"/>
  <c r="N1918" i="25" s="1"/>
  <c r="L1916" i="25"/>
  <c r="M1916" i="25" s="1"/>
  <c r="N1916" i="25" s="1"/>
  <c r="L1928" i="25"/>
  <c r="M1928" i="25" s="1"/>
  <c r="N1928" i="25" s="1"/>
  <c r="L1931" i="25"/>
  <c r="M1931" i="25" s="1"/>
  <c r="N1931" i="25" s="1"/>
  <c r="L1935" i="25"/>
  <c r="M1935" i="25" s="1"/>
  <c r="N1935" i="25" s="1"/>
  <c r="L1923" i="25"/>
  <c r="M1923" i="25" s="1"/>
  <c r="N1923" i="25" s="1"/>
  <c r="J1937" i="25"/>
  <c r="L1922" i="25"/>
  <c r="M1922" i="25" s="1"/>
  <c r="N1922" i="25" s="1"/>
  <c r="L1936" i="25"/>
  <c r="M1936" i="25" s="1"/>
  <c r="N1936" i="25" s="1"/>
  <c r="L1932" i="25"/>
  <c r="M1932" i="25" s="1"/>
  <c r="N1932" i="25" s="1"/>
  <c r="L1914" i="25"/>
  <c r="M1914" i="25" s="1"/>
  <c r="N1914" i="25" s="1"/>
  <c r="G1885" i="25"/>
  <c r="J1897" i="25"/>
  <c r="F1881" i="25"/>
  <c r="G1884" i="25"/>
  <c r="F1895" i="25"/>
  <c r="I1901" i="25"/>
  <c r="F1878" i="25"/>
  <c r="J1881" i="25"/>
  <c r="I1886" i="25"/>
  <c r="G1887" i="25"/>
  <c r="G1892" i="25"/>
  <c r="G1893" i="25"/>
  <c r="I1897" i="25"/>
  <c r="F1899" i="25"/>
  <c r="G1900" i="25"/>
  <c r="J1901" i="25"/>
  <c r="H1878" i="25"/>
  <c r="K1881" i="25"/>
  <c r="K1886" i="25"/>
  <c r="J1887" i="25"/>
  <c r="I1892" i="25"/>
  <c r="I1899" i="25"/>
  <c r="J1878" i="25"/>
  <c r="I1878" i="25"/>
  <c r="K1887" i="25"/>
  <c r="I1894" i="25"/>
  <c r="J1899" i="25"/>
  <c r="F1901" i="25"/>
  <c r="H1902" i="25"/>
  <c r="G1879" i="25"/>
  <c r="K1879" i="25"/>
  <c r="J1880" i="25"/>
  <c r="F1880" i="25"/>
  <c r="H1880" i="25"/>
  <c r="I1883" i="25"/>
  <c r="J1888" i="25"/>
  <c r="F1888" i="25"/>
  <c r="H1888" i="25"/>
  <c r="H1879" i="25"/>
  <c r="I1880" i="25"/>
  <c r="J1882" i="25"/>
  <c r="F1882" i="25"/>
  <c r="H1882" i="25"/>
  <c r="J1883" i="25"/>
  <c r="I1888" i="25"/>
  <c r="J1890" i="25"/>
  <c r="F1890" i="25"/>
  <c r="H1890" i="25"/>
  <c r="J1891" i="25"/>
  <c r="I1893" i="25"/>
  <c r="G1878" i="25"/>
  <c r="I1879" i="25"/>
  <c r="K1880" i="25"/>
  <c r="G1881" i="25"/>
  <c r="I1882" i="25"/>
  <c r="F1883" i="25"/>
  <c r="K1883" i="25"/>
  <c r="J1884" i="25"/>
  <c r="F1884" i="25"/>
  <c r="H1884" i="25"/>
  <c r="J1885" i="25"/>
  <c r="I1887" i="25"/>
  <c r="K1888" i="25"/>
  <c r="G1889" i="25"/>
  <c r="I1890" i="25"/>
  <c r="F1891" i="25"/>
  <c r="K1891" i="25"/>
  <c r="J1892" i="25"/>
  <c r="F1892" i="25"/>
  <c r="H1892" i="25"/>
  <c r="J1893" i="25"/>
  <c r="I1891" i="25"/>
  <c r="J1898" i="25"/>
  <c r="F1898" i="25"/>
  <c r="I1898" i="25"/>
  <c r="K1898" i="25"/>
  <c r="I1885" i="25"/>
  <c r="J1896" i="25"/>
  <c r="F1896" i="25"/>
  <c r="I1896" i="25"/>
  <c r="K1896" i="25"/>
  <c r="F1879" i="25"/>
  <c r="G1880" i="25"/>
  <c r="I1881" i="25"/>
  <c r="K1882" i="25"/>
  <c r="G1883" i="25"/>
  <c r="F1885" i="25"/>
  <c r="K1885" i="25"/>
  <c r="J1886" i="25"/>
  <c r="F1886" i="25"/>
  <c r="H1886" i="25"/>
  <c r="G1888" i="25"/>
  <c r="I1889" i="25"/>
  <c r="K1890" i="25"/>
  <c r="G1891" i="25"/>
  <c r="F1893" i="25"/>
  <c r="K1893" i="25"/>
  <c r="J1894" i="25"/>
  <c r="F1894" i="25"/>
  <c r="H1894" i="25"/>
  <c r="G1896" i="25"/>
  <c r="H1898" i="25"/>
  <c r="J1900" i="25"/>
  <c r="F1900" i="25"/>
  <c r="I1900" i="25"/>
  <c r="K1900" i="25"/>
  <c r="G1895" i="25"/>
  <c r="K1895" i="25"/>
  <c r="G1897" i="25"/>
  <c r="K1897" i="25"/>
  <c r="G1899" i="25"/>
  <c r="K1899" i="25"/>
  <c r="G1901" i="25"/>
  <c r="K1901" i="25"/>
  <c r="I1902" i="25"/>
  <c r="F1902" i="25"/>
  <c r="J1902" i="25"/>
  <c r="G1902" i="25"/>
  <c r="CV29" i="9"/>
  <c r="CV30" i="9"/>
  <c r="CV34" i="9"/>
  <c r="CV35" i="9"/>
  <c r="CW36" i="9" s="1"/>
  <c r="CV39" i="9"/>
  <c r="CV40" i="9"/>
  <c r="CV44" i="9"/>
  <c r="CV45" i="9"/>
  <c r="CW46" i="9" s="1"/>
  <c r="CV49" i="9"/>
  <c r="CV50" i="9"/>
  <c r="CV54" i="9"/>
  <c r="CV55" i="9"/>
  <c r="CV59" i="9"/>
  <c r="CV60" i="9"/>
  <c r="CV64" i="9"/>
  <c r="CV65" i="9"/>
  <c r="CW66" i="9" s="1"/>
  <c r="CV69" i="9"/>
  <c r="CV70" i="9"/>
  <c r="CV74" i="9"/>
  <c r="CV75" i="9"/>
  <c r="CW76" i="9" s="1"/>
  <c r="CV79" i="9"/>
  <c r="CV80" i="9"/>
  <c r="CW81" i="9" s="1"/>
  <c r="CV84" i="9"/>
  <c r="CV85" i="9"/>
  <c r="CV89" i="9"/>
  <c r="CV90" i="9"/>
  <c r="CV94" i="9"/>
  <c r="CV95" i="9"/>
  <c r="CW96" i="9" s="1"/>
  <c r="CV99" i="9"/>
  <c r="CV100" i="9"/>
  <c r="CV104" i="9"/>
  <c r="CV105" i="9"/>
  <c r="CW106" i="9" s="1"/>
  <c r="CV109" i="9"/>
  <c r="CV110" i="9"/>
  <c r="CV114" i="9"/>
  <c r="CV115" i="9"/>
  <c r="CW116" i="9" s="1"/>
  <c r="CV119" i="9"/>
  <c r="CV120" i="9"/>
  <c r="CV124" i="9"/>
  <c r="CV125" i="9"/>
  <c r="CV129" i="9"/>
  <c r="CV130" i="9"/>
  <c r="CW131" i="9" s="1"/>
  <c r="CV134" i="9"/>
  <c r="CV135" i="9"/>
  <c r="CW136" i="9" s="1"/>
  <c r="CV139" i="9"/>
  <c r="CV140" i="9"/>
  <c r="CV144" i="9"/>
  <c r="CV145" i="9"/>
  <c r="CW146" i="9" s="1"/>
  <c r="CV149" i="9"/>
  <c r="CV150" i="9"/>
  <c r="CZ36" i="33"/>
  <c r="CZ62" i="33"/>
  <c r="A1868" i="25"/>
  <c r="K1868" i="25" s="1"/>
  <c r="A1867" i="25"/>
  <c r="J1867" i="25" s="1"/>
  <c r="A1866" i="25"/>
  <c r="K1866" i="25" s="1"/>
  <c r="A1865" i="25"/>
  <c r="J1865" i="25" s="1"/>
  <c r="A1864" i="25"/>
  <c r="K1864" i="25" s="1"/>
  <c r="A1863" i="25"/>
  <c r="J1863" i="25" s="1"/>
  <c r="A1862" i="25"/>
  <c r="K1862" i="25" s="1"/>
  <c r="A1861" i="25"/>
  <c r="I1861" i="25" s="1"/>
  <c r="A1860" i="25"/>
  <c r="K1860" i="25" s="1"/>
  <c r="A1859" i="25"/>
  <c r="I1859" i="25" s="1"/>
  <c r="A1858" i="25"/>
  <c r="K1858" i="25" s="1"/>
  <c r="A1857" i="25"/>
  <c r="I1857" i="25" s="1"/>
  <c r="A1856" i="25"/>
  <c r="K1856" i="25" s="1"/>
  <c r="A1855" i="25"/>
  <c r="I1855" i="25" s="1"/>
  <c r="A1854" i="25"/>
  <c r="K1854" i="25" s="1"/>
  <c r="A1853" i="25"/>
  <c r="I1853" i="25" s="1"/>
  <c r="A1852" i="25"/>
  <c r="K1852" i="25" s="1"/>
  <c r="A1851" i="25"/>
  <c r="I1851" i="25" s="1"/>
  <c r="A1850" i="25"/>
  <c r="K1850" i="25" s="1"/>
  <c r="A1849" i="25"/>
  <c r="I1849" i="25" s="1"/>
  <c r="A1848" i="25"/>
  <c r="K1848" i="25" s="1"/>
  <c r="A1847" i="25"/>
  <c r="A1846" i="25"/>
  <c r="A1845" i="25"/>
  <c r="A1844" i="25"/>
  <c r="CW31" i="9" l="1"/>
  <c r="CW61" i="9"/>
  <c r="CW126" i="9"/>
  <c r="CW56" i="9"/>
  <c r="CW86" i="9"/>
  <c r="CW141" i="9"/>
  <c r="CW151" i="9"/>
  <c r="CW111" i="9"/>
  <c r="CW71" i="9"/>
  <c r="CW121" i="9"/>
  <c r="CW91" i="9"/>
  <c r="CW101" i="9"/>
  <c r="CW41" i="9"/>
  <c r="CW51" i="9"/>
  <c r="K1846" i="25"/>
  <c r="F1846" i="25"/>
  <c r="I1847" i="25"/>
  <c r="F1847" i="25"/>
  <c r="K1844" i="25"/>
  <c r="F1844" i="25"/>
  <c r="I1845" i="25"/>
  <c r="F1845" i="25"/>
  <c r="C1932" i="25"/>
  <c r="C1916" i="25"/>
  <c r="C1915" i="25"/>
  <c r="C1922" i="25"/>
  <c r="C1914" i="25"/>
  <c r="C1931" i="25"/>
  <c r="C1933" i="25"/>
  <c r="C1934" i="25"/>
  <c r="C1923" i="25"/>
  <c r="C1928" i="25"/>
  <c r="C1920" i="25"/>
  <c r="C1930" i="25"/>
  <c r="C1912" i="25"/>
  <c r="C1926" i="25"/>
  <c r="C1919" i="25"/>
  <c r="C1927" i="25"/>
  <c r="C1929" i="25"/>
  <c r="C1917" i="25"/>
  <c r="C1935" i="25"/>
  <c r="C1918" i="25"/>
  <c r="C1924" i="25"/>
  <c r="C1925" i="25"/>
  <c r="C1913" i="25"/>
  <c r="C1936" i="25"/>
  <c r="L1937" i="25"/>
  <c r="M1909" i="25" s="1"/>
  <c r="C1921" i="25"/>
  <c r="L1878" i="25"/>
  <c r="M1878" i="25" s="1"/>
  <c r="N1878" i="25" s="1"/>
  <c r="L1887" i="25"/>
  <c r="M1887" i="25" s="1"/>
  <c r="N1887" i="25" s="1"/>
  <c r="H1863" i="25"/>
  <c r="L1881" i="25"/>
  <c r="M1881" i="25" s="1"/>
  <c r="N1881" i="25" s="1"/>
  <c r="L1901" i="25"/>
  <c r="M1901" i="25" s="1"/>
  <c r="N1901" i="25" s="1"/>
  <c r="L1889" i="25"/>
  <c r="M1889" i="25" s="1"/>
  <c r="N1889" i="25" s="1"/>
  <c r="L1895" i="25"/>
  <c r="M1895" i="25" s="1"/>
  <c r="N1895" i="25" s="1"/>
  <c r="I1903" i="25"/>
  <c r="L1897" i="25"/>
  <c r="M1897" i="25" s="1"/>
  <c r="N1897" i="25" s="1"/>
  <c r="J1903" i="25"/>
  <c r="K1903" i="25"/>
  <c r="L1899" i="25"/>
  <c r="M1899" i="25" s="1"/>
  <c r="N1899" i="25" s="1"/>
  <c r="H1903" i="25"/>
  <c r="L1896" i="25"/>
  <c r="M1896" i="25" s="1"/>
  <c r="N1896" i="25" s="1"/>
  <c r="L1891" i="25"/>
  <c r="M1891" i="25" s="1"/>
  <c r="N1891" i="25" s="1"/>
  <c r="L1893" i="25"/>
  <c r="M1893" i="25" s="1"/>
  <c r="N1893" i="25" s="1"/>
  <c r="L1892" i="25"/>
  <c r="M1892" i="25" s="1"/>
  <c r="N1892" i="25" s="1"/>
  <c r="L1890" i="25"/>
  <c r="M1890" i="25" s="1"/>
  <c r="N1890" i="25" s="1"/>
  <c r="L1894" i="25"/>
  <c r="M1894" i="25" s="1"/>
  <c r="N1894" i="25" s="1"/>
  <c r="L1885" i="25"/>
  <c r="M1885" i="25" s="1"/>
  <c r="N1885" i="25" s="1"/>
  <c r="L1883" i="25"/>
  <c r="M1883" i="25" s="1"/>
  <c r="N1883" i="25" s="1"/>
  <c r="L1882" i="25"/>
  <c r="M1882" i="25" s="1"/>
  <c r="N1882" i="25" s="1"/>
  <c r="L1888" i="25"/>
  <c r="M1888" i="25" s="1"/>
  <c r="N1888" i="25" s="1"/>
  <c r="L1902" i="25"/>
  <c r="M1902" i="25" s="1"/>
  <c r="N1902" i="25" s="1"/>
  <c r="L1900" i="25"/>
  <c r="M1900" i="25" s="1"/>
  <c r="N1900" i="25" s="1"/>
  <c r="L1886" i="25"/>
  <c r="M1886" i="25" s="1"/>
  <c r="N1886" i="25" s="1"/>
  <c r="L1879" i="25"/>
  <c r="M1879" i="25" s="1"/>
  <c r="N1879" i="25" s="1"/>
  <c r="L1898" i="25"/>
  <c r="M1898" i="25" s="1"/>
  <c r="N1898" i="25" s="1"/>
  <c r="L1884" i="25"/>
  <c r="M1884" i="25" s="1"/>
  <c r="N1884" i="25" s="1"/>
  <c r="G1903" i="25"/>
  <c r="F1903" i="25"/>
  <c r="L1880" i="25"/>
  <c r="M1880" i="25" s="1"/>
  <c r="N1880" i="25" s="1"/>
  <c r="H1867" i="25"/>
  <c r="I1844" i="25"/>
  <c r="I1846" i="25"/>
  <c r="I1848" i="25"/>
  <c r="I1850" i="25"/>
  <c r="I1852" i="25"/>
  <c r="I1854" i="25"/>
  <c r="I1856" i="25"/>
  <c r="I1858" i="25"/>
  <c r="I1860" i="25"/>
  <c r="I1862" i="25"/>
  <c r="K1863" i="25"/>
  <c r="G1865" i="25"/>
  <c r="I1866" i="25"/>
  <c r="K1867" i="25"/>
  <c r="H1865" i="25"/>
  <c r="J1845" i="25"/>
  <c r="J1847" i="25"/>
  <c r="J1849" i="25"/>
  <c r="J1851" i="25"/>
  <c r="J1853" i="25"/>
  <c r="J1855" i="25"/>
  <c r="J1857" i="25"/>
  <c r="J1859" i="25"/>
  <c r="J1861" i="25"/>
  <c r="G1863" i="25"/>
  <c r="I1864" i="25"/>
  <c r="K1865" i="25"/>
  <c r="G1867" i="25"/>
  <c r="H1868" i="25"/>
  <c r="J1846" i="25"/>
  <c r="J1852" i="25"/>
  <c r="J1858" i="25"/>
  <c r="J1864" i="25"/>
  <c r="J1866" i="25"/>
  <c r="I1868" i="25"/>
  <c r="J1848" i="25"/>
  <c r="J1854" i="25"/>
  <c r="J1860" i="25"/>
  <c r="F1850" i="25"/>
  <c r="F1854" i="25"/>
  <c r="F1856" i="25"/>
  <c r="F1858" i="25"/>
  <c r="F1860" i="25"/>
  <c r="F1864" i="25"/>
  <c r="I1865" i="25"/>
  <c r="F1866" i="25"/>
  <c r="I1867" i="25"/>
  <c r="F1868" i="25"/>
  <c r="J1868" i="25"/>
  <c r="J1844" i="25"/>
  <c r="J1850" i="25"/>
  <c r="J1856" i="25"/>
  <c r="J1862" i="25"/>
  <c r="F1848" i="25"/>
  <c r="F1852" i="25"/>
  <c r="F1862" i="25"/>
  <c r="I1863" i="25"/>
  <c r="H1844" i="25"/>
  <c r="H1846" i="25"/>
  <c r="H1848" i="25"/>
  <c r="F1849" i="25"/>
  <c r="H1850" i="25"/>
  <c r="F1851" i="25"/>
  <c r="H1852" i="25"/>
  <c r="F1853" i="25"/>
  <c r="H1854" i="25"/>
  <c r="F1855" i="25"/>
  <c r="H1856" i="25"/>
  <c r="F1857" i="25"/>
  <c r="H1858" i="25"/>
  <c r="F1859" i="25"/>
  <c r="H1860" i="25"/>
  <c r="F1861" i="25"/>
  <c r="H1862" i="25"/>
  <c r="F1863" i="25"/>
  <c r="H1864" i="25"/>
  <c r="F1865" i="25"/>
  <c r="H1866" i="25"/>
  <c r="F1867" i="25"/>
  <c r="G1868" i="25"/>
  <c r="G1845" i="25"/>
  <c r="K1845" i="25"/>
  <c r="G1851" i="25"/>
  <c r="K1851" i="25"/>
  <c r="G1855" i="25"/>
  <c r="K1855" i="25"/>
  <c r="G1857" i="25"/>
  <c r="K1857" i="25"/>
  <c r="G1859" i="25"/>
  <c r="K1859" i="25"/>
  <c r="G1861" i="25"/>
  <c r="K1861" i="25"/>
  <c r="G1847" i="25"/>
  <c r="K1847" i="25"/>
  <c r="G1853" i="25"/>
  <c r="K1853" i="25"/>
  <c r="H1845" i="25"/>
  <c r="H1847" i="25"/>
  <c r="H1849" i="25"/>
  <c r="H1851" i="25"/>
  <c r="H1853" i="25"/>
  <c r="H1855" i="25"/>
  <c r="H1857" i="25"/>
  <c r="H1859" i="25"/>
  <c r="H1861" i="25"/>
  <c r="G1849" i="25"/>
  <c r="K1849" i="25"/>
  <c r="G1844" i="25"/>
  <c r="G1846" i="25"/>
  <c r="G1848" i="25"/>
  <c r="G1850" i="25"/>
  <c r="G1852" i="25"/>
  <c r="G1854" i="25"/>
  <c r="G1856" i="25"/>
  <c r="G1858" i="25"/>
  <c r="G1860" i="25"/>
  <c r="G1862" i="25"/>
  <c r="G1864" i="25"/>
  <c r="G1866" i="25"/>
  <c r="C72" i="34"/>
  <c r="D72" i="34"/>
  <c r="E72" i="34"/>
  <c r="F72" i="34"/>
  <c r="G72" i="34"/>
  <c r="H72" i="34"/>
  <c r="I72" i="34"/>
  <c r="J72" i="34"/>
  <c r="K72" i="34"/>
  <c r="L72" i="34"/>
  <c r="M72" i="34"/>
  <c r="N72" i="34"/>
  <c r="O72" i="34"/>
  <c r="P72" i="34"/>
  <c r="Q72" i="34"/>
  <c r="R72" i="34"/>
  <c r="S72" i="34"/>
  <c r="T72" i="34"/>
  <c r="U72" i="34"/>
  <c r="V72" i="34"/>
  <c r="W72" i="34"/>
  <c r="X72" i="34"/>
  <c r="Y72" i="34"/>
  <c r="Z72" i="34"/>
  <c r="AA72" i="34"/>
  <c r="AB72" i="34"/>
  <c r="AC72" i="34"/>
  <c r="AD72" i="34"/>
  <c r="AE72" i="34"/>
  <c r="AF72" i="34"/>
  <c r="AG72" i="34"/>
  <c r="AH72" i="34"/>
  <c r="AI72" i="34"/>
  <c r="AJ72" i="34"/>
  <c r="AK72" i="34"/>
  <c r="AL72" i="34"/>
  <c r="AM72" i="34"/>
  <c r="AN72" i="34"/>
  <c r="AO72" i="34"/>
  <c r="AP72" i="34"/>
  <c r="AQ72" i="34"/>
  <c r="AR72" i="34"/>
  <c r="B72" i="34"/>
  <c r="DC72" i="34"/>
  <c r="M1937" i="25" l="1"/>
  <c r="N1937" i="25" s="1"/>
  <c r="L1903" i="25"/>
  <c r="M1875" i="25" s="1"/>
  <c r="C1902" i="25"/>
  <c r="C1898" i="25"/>
  <c r="C1884" i="25"/>
  <c r="C1886" i="25"/>
  <c r="C1900" i="25"/>
  <c r="C1894" i="25"/>
  <c r="C1896" i="25"/>
  <c r="C1880" i="25"/>
  <c r="C1879" i="25"/>
  <c r="C1878" i="25"/>
  <c r="C1882" i="25"/>
  <c r="C1885" i="25"/>
  <c r="C1890" i="25"/>
  <c r="C1891" i="25"/>
  <c r="C1881" i="25"/>
  <c r="C1887" i="25"/>
  <c r="C1892" i="25"/>
  <c r="C1895" i="25"/>
  <c r="C1888" i="25"/>
  <c r="C1883" i="25"/>
  <c r="C1899" i="25"/>
  <c r="C1889" i="25"/>
  <c r="C1893" i="25"/>
  <c r="C1901" i="25"/>
  <c r="C1897" i="25"/>
  <c r="L1864" i="25"/>
  <c r="M1864" i="25" s="1"/>
  <c r="N1864" i="25" s="1"/>
  <c r="L1860" i="25"/>
  <c r="M1860" i="25" s="1"/>
  <c r="N1860" i="25" s="1"/>
  <c r="L1850" i="25"/>
  <c r="M1850" i="25" s="1"/>
  <c r="N1850" i="25" s="1"/>
  <c r="L1867" i="25"/>
  <c r="M1867" i="25" s="1"/>
  <c r="N1867" i="25" s="1"/>
  <c r="L1863" i="25"/>
  <c r="M1863" i="25" s="1"/>
  <c r="N1863" i="25" s="1"/>
  <c r="L1856" i="25"/>
  <c r="M1856" i="25" s="1"/>
  <c r="N1856" i="25" s="1"/>
  <c r="L1862" i="25"/>
  <c r="M1862" i="25" s="1"/>
  <c r="N1862" i="25" s="1"/>
  <c r="L1854" i="25"/>
  <c r="M1854" i="25" s="1"/>
  <c r="N1854" i="25" s="1"/>
  <c r="L1861" i="25"/>
  <c r="M1861" i="25" s="1"/>
  <c r="N1861" i="25" s="1"/>
  <c r="L1848" i="25"/>
  <c r="M1848" i="25" s="1"/>
  <c r="N1848" i="25" s="1"/>
  <c r="J1869" i="25"/>
  <c r="L1865" i="25"/>
  <c r="M1865" i="25" s="1"/>
  <c r="N1865" i="25" s="1"/>
  <c r="I1869" i="25"/>
  <c r="L1846" i="25"/>
  <c r="M1846" i="25" s="1"/>
  <c r="N1846" i="25" s="1"/>
  <c r="L1852" i="25"/>
  <c r="M1852" i="25" s="1"/>
  <c r="N1852" i="25" s="1"/>
  <c r="L1857" i="25"/>
  <c r="M1857" i="25" s="1"/>
  <c r="N1857" i="25" s="1"/>
  <c r="L1866" i="25"/>
  <c r="M1866" i="25" s="1"/>
  <c r="N1866" i="25" s="1"/>
  <c r="L1858" i="25"/>
  <c r="M1858" i="25" s="1"/>
  <c r="N1858" i="25" s="1"/>
  <c r="F1869" i="25"/>
  <c r="L1868" i="25"/>
  <c r="M1868" i="25" s="1"/>
  <c r="N1868" i="25" s="1"/>
  <c r="L1849" i="25"/>
  <c r="M1849" i="25" s="1"/>
  <c r="N1849" i="25" s="1"/>
  <c r="L1847" i="25"/>
  <c r="M1847" i="25" s="1"/>
  <c r="N1847" i="25" s="1"/>
  <c r="L1855" i="25"/>
  <c r="M1855" i="25" s="1"/>
  <c r="N1855" i="25" s="1"/>
  <c r="H1869" i="25"/>
  <c r="L1859" i="25"/>
  <c r="M1859" i="25" s="1"/>
  <c r="N1859" i="25" s="1"/>
  <c r="L1853" i="25"/>
  <c r="M1853" i="25" s="1"/>
  <c r="N1853" i="25" s="1"/>
  <c r="L1851" i="25"/>
  <c r="M1851" i="25" s="1"/>
  <c r="N1851" i="25" s="1"/>
  <c r="L1845" i="25"/>
  <c r="M1845" i="25" s="1"/>
  <c r="N1845" i="25" s="1"/>
  <c r="K1869" i="25"/>
  <c r="G1869" i="25"/>
  <c r="L1844" i="25"/>
  <c r="E29" i="35"/>
  <c r="F29" i="35"/>
  <c r="G29" i="35"/>
  <c r="H29" i="35"/>
  <c r="E28" i="35"/>
  <c r="F28" i="35"/>
  <c r="G28" i="35"/>
  <c r="H28" i="35"/>
  <c r="E27" i="35"/>
  <c r="F27" i="35"/>
  <c r="G27" i="35"/>
  <c r="H27" i="35"/>
  <c r="E26" i="35"/>
  <c r="F26" i="35"/>
  <c r="G26" i="35"/>
  <c r="H26" i="35"/>
  <c r="E25" i="35"/>
  <c r="F25" i="35"/>
  <c r="G25" i="35"/>
  <c r="H25" i="35"/>
  <c r="E24" i="35"/>
  <c r="F24" i="35"/>
  <c r="G24" i="35"/>
  <c r="H24" i="35"/>
  <c r="E23" i="35"/>
  <c r="F23" i="35"/>
  <c r="G23" i="35"/>
  <c r="H23" i="35"/>
  <c r="E22" i="35"/>
  <c r="F22" i="35"/>
  <c r="G22" i="35"/>
  <c r="H22" i="35"/>
  <c r="D23" i="35"/>
  <c r="D24" i="35"/>
  <c r="D25" i="35"/>
  <c r="D26" i="35"/>
  <c r="D27" i="35"/>
  <c r="D28" i="35"/>
  <c r="D29" i="35"/>
  <c r="D22" i="35"/>
  <c r="CU29" i="9"/>
  <c r="CU30" i="9"/>
  <c r="CU34" i="9"/>
  <c r="CU35" i="9"/>
  <c r="CV36" i="9" s="1"/>
  <c r="CU39" i="9"/>
  <c r="CU40" i="9"/>
  <c r="CU44" i="9"/>
  <c r="CU45" i="9"/>
  <c r="CV46" i="9" s="1"/>
  <c r="CU49" i="9"/>
  <c r="CU50" i="9"/>
  <c r="CU54" i="9"/>
  <c r="CU55" i="9"/>
  <c r="CV56" i="9" s="1"/>
  <c r="CU59" i="9"/>
  <c r="CU60" i="9"/>
  <c r="CU64" i="9"/>
  <c r="CU65" i="9"/>
  <c r="CV66" i="9" s="1"/>
  <c r="CU69" i="9"/>
  <c r="CU70" i="9"/>
  <c r="CU74" i="9"/>
  <c r="CU75" i="9"/>
  <c r="CV76" i="9" s="1"/>
  <c r="CU79" i="9"/>
  <c r="CU80" i="9"/>
  <c r="CU84" i="9"/>
  <c r="CU85" i="9"/>
  <c r="CV86" i="9" s="1"/>
  <c r="CU89" i="9"/>
  <c r="CU90" i="9"/>
  <c r="CU94" i="9"/>
  <c r="CU95" i="9"/>
  <c r="CV96" i="9" s="1"/>
  <c r="CU99" i="9"/>
  <c r="CU100" i="9"/>
  <c r="CU104" i="9"/>
  <c r="CU105" i="9"/>
  <c r="CV106" i="9" s="1"/>
  <c r="CU109" i="9"/>
  <c r="CU110" i="9"/>
  <c r="CU114" i="9"/>
  <c r="CU115" i="9"/>
  <c r="CV116" i="9" s="1"/>
  <c r="CU119" i="9"/>
  <c r="CU120" i="9"/>
  <c r="CU124" i="9"/>
  <c r="CU125" i="9"/>
  <c r="CV126" i="9" s="1"/>
  <c r="CU129" i="9"/>
  <c r="CU130" i="9"/>
  <c r="CU134" i="9"/>
  <c r="CU135" i="9"/>
  <c r="CV136" i="9" s="1"/>
  <c r="CU139" i="9"/>
  <c r="CU140" i="9"/>
  <c r="CU144" i="9"/>
  <c r="CU145" i="9"/>
  <c r="CV146" i="9" s="1"/>
  <c r="CU149" i="9"/>
  <c r="CU150" i="9"/>
  <c r="CY36" i="33"/>
  <c r="CY62" i="33"/>
  <c r="A1834" i="25"/>
  <c r="K1834" i="25" s="1"/>
  <c r="A1833" i="25"/>
  <c r="H1833" i="25" s="1"/>
  <c r="A1832" i="25"/>
  <c r="H1832" i="25" s="1"/>
  <c r="A1831" i="25"/>
  <c r="H1831" i="25" s="1"/>
  <c r="A1830" i="25"/>
  <c r="G1830" i="25" s="1"/>
  <c r="A1829" i="25"/>
  <c r="H1829" i="25" s="1"/>
  <c r="A1828" i="25"/>
  <c r="H1828" i="25" s="1"/>
  <c r="A1827" i="25"/>
  <c r="H1827" i="25" s="1"/>
  <c r="A1826" i="25"/>
  <c r="G1826" i="25" s="1"/>
  <c r="A1825" i="25"/>
  <c r="H1825" i="25" s="1"/>
  <c r="A1824" i="25"/>
  <c r="H1824" i="25" s="1"/>
  <c r="A1823" i="25"/>
  <c r="H1823" i="25" s="1"/>
  <c r="A1822" i="25"/>
  <c r="G1822" i="25" s="1"/>
  <c r="A1821" i="25"/>
  <c r="H1821" i="25" s="1"/>
  <c r="A1820" i="25"/>
  <c r="I1820" i="25" s="1"/>
  <c r="A1819" i="25"/>
  <c r="I1819" i="25" s="1"/>
  <c r="A1818" i="25"/>
  <c r="I1818" i="25" s="1"/>
  <c r="A1817" i="25"/>
  <c r="H1817" i="25" s="1"/>
  <c r="A1816" i="25"/>
  <c r="H1816" i="25" s="1"/>
  <c r="A1815" i="25"/>
  <c r="H1815" i="25" s="1"/>
  <c r="A1814" i="25"/>
  <c r="G1814" i="25" s="1"/>
  <c r="A1813" i="25"/>
  <c r="H1813" i="25" s="1"/>
  <c r="A1812" i="25"/>
  <c r="I1812" i="25" s="1"/>
  <c r="A1811" i="25"/>
  <c r="K1811" i="25" s="1"/>
  <c r="A1810" i="25"/>
  <c r="K1810" i="25" s="1"/>
  <c r="CV141" i="9" l="1"/>
  <c r="CV101" i="9"/>
  <c r="CV61" i="9"/>
  <c r="CV151" i="9"/>
  <c r="CV111" i="9"/>
  <c r="CV71" i="9"/>
  <c r="CV31" i="9"/>
  <c r="CV131" i="9"/>
  <c r="CV91" i="9"/>
  <c r="CV51" i="9"/>
  <c r="I26" i="35"/>
  <c r="CV121" i="9"/>
  <c r="CV81" i="9"/>
  <c r="CV41" i="9"/>
  <c r="K1817" i="25"/>
  <c r="K1822" i="25"/>
  <c r="F1817" i="25"/>
  <c r="I1822" i="25"/>
  <c r="G1815" i="25"/>
  <c r="I1814" i="25"/>
  <c r="K1812" i="25"/>
  <c r="K1814" i="25"/>
  <c r="M1903" i="25"/>
  <c r="N1903" i="25" s="1"/>
  <c r="K1820" i="25"/>
  <c r="J1829" i="25"/>
  <c r="G1821" i="25"/>
  <c r="G1813" i="25"/>
  <c r="G1818" i="25"/>
  <c r="G1820" i="25"/>
  <c r="G1823" i="25"/>
  <c r="F1829" i="25"/>
  <c r="I1831" i="25"/>
  <c r="J1815" i="25"/>
  <c r="J1823" i="25"/>
  <c r="F1825" i="25"/>
  <c r="J1831" i="25"/>
  <c r="F1833" i="25"/>
  <c r="H1834" i="25"/>
  <c r="J1811" i="25"/>
  <c r="F1811" i="25"/>
  <c r="H1811" i="25"/>
  <c r="G1812" i="25"/>
  <c r="K1815" i="25"/>
  <c r="K1823" i="25"/>
  <c r="J1825" i="25"/>
  <c r="I1833" i="25"/>
  <c r="I1811" i="25"/>
  <c r="F1815" i="25"/>
  <c r="J1817" i="25"/>
  <c r="F1823" i="25"/>
  <c r="K1825" i="25"/>
  <c r="I1829" i="25"/>
  <c r="F1831" i="25"/>
  <c r="G1832" i="25"/>
  <c r="J1833" i="25"/>
  <c r="L1869" i="25"/>
  <c r="M1844" i="25"/>
  <c r="N1844" i="25" s="1"/>
  <c r="I22" i="35"/>
  <c r="I29" i="35"/>
  <c r="I25" i="35"/>
  <c r="I28" i="35"/>
  <c r="I24" i="35"/>
  <c r="I27" i="35"/>
  <c r="I23" i="35"/>
  <c r="G1810" i="25"/>
  <c r="J1816" i="25"/>
  <c r="F1816" i="25"/>
  <c r="G1816" i="25"/>
  <c r="I1816" i="25"/>
  <c r="K1816" i="25"/>
  <c r="H1819" i="25"/>
  <c r="G1819" i="25"/>
  <c r="J1819" i="25"/>
  <c r="K1819" i="25"/>
  <c r="F1819" i="25"/>
  <c r="J1810" i="25"/>
  <c r="F1810" i="25"/>
  <c r="H1810" i="25"/>
  <c r="I1810" i="25"/>
  <c r="J1824" i="25"/>
  <c r="F1824" i="25"/>
  <c r="G1824" i="25"/>
  <c r="I1824" i="25"/>
  <c r="K1824" i="25"/>
  <c r="I1821" i="25"/>
  <c r="J1826" i="25"/>
  <c r="F1826" i="25"/>
  <c r="H1826" i="25"/>
  <c r="J1827" i="25"/>
  <c r="J1828" i="25"/>
  <c r="F1828" i="25"/>
  <c r="I1828" i="25"/>
  <c r="K1828" i="25"/>
  <c r="G1811" i="25"/>
  <c r="J1812" i="25"/>
  <c r="F1812" i="25"/>
  <c r="H1812" i="25"/>
  <c r="J1813" i="25"/>
  <c r="I1815" i="25"/>
  <c r="G1817" i="25"/>
  <c r="J1820" i="25"/>
  <c r="F1820" i="25"/>
  <c r="H1820" i="25"/>
  <c r="J1821" i="25"/>
  <c r="I1823" i="25"/>
  <c r="G1825" i="25"/>
  <c r="I1826" i="25"/>
  <c r="F1827" i="25"/>
  <c r="K1827" i="25"/>
  <c r="I1827" i="25"/>
  <c r="J1830" i="25"/>
  <c r="F1830" i="25"/>
  <c r="I1830" i="25"/>
  <c r="K1830" i="25"/>
  <c r="I1813" i="25"/>
  <c r="J1818" i="25"/>
  <c r="F1818" i="25"/>
  <c r="H1818" i="25"/>
  <c r="F1813" i="25"/>
  <c r="K1813" i="25"/>
  <c r="J1814" i="25"/>
  <c r="F1814" i="25"/>
  <c r="H1814" i="25"/>
  <c r="I1817" i="25"/>
  <c r="K1818" i="25"/>
  <c r="F1821" i="25"/>
  <c r="K1821" i="25"/>
  <c r="J1822" i="25"/>
  <c r="F1822" i="25"/>
  <c r="H1822" i="25"/>
  <c r="I1825" i="25"/>
  <c r="K1826" i="25"/>
  <c r="G1827" i="25"/>
  <c r="G1828" i="25"/>
  <c r="H1830" i="25"/>
  <c r="J1832" i="25"/>
  <c r="F1832" i="25"/>
  <c r="I1832" i="25"/>
  <c r="K1832" i="25"/>
  <c r="G1829" i="25"/>
  <c r="K1829" i="25"/>
  <c r="G1831" i="25"/>
  <c r="K1831" i="25"/>
  <c r="G1833" i="25"/>
  <c r="K1833" i="25"/>
  <c r="I1834" i="25"/>
  <c r="F1834" i="25"/>
  <c r="J1834" i="25"/>
  <c r="G1834" i="25"/>
  <c r="C68" i="34"/>
  <c r="D68" i="34"/>
  <c r="E68" i="34"/>
  <c r="F68" i="34"/>
  <c r="G68" i="34"/>
  <c r="H68" i="34"/>
  <c r="I68" i="34"/>
  <c r="J68" i="34"/>
  <c r="K68" i="34"/>
  <c r="L68" i="34"/>
  <c r="M68" i="34"/>
  <c r="N68" i="34"/>
  <c r="O68" i="34"/>
  <c r="P68" i="34"/>
  <c r="Q68" i="34"/>
  <c r="R68" i="34"/>
  <c r="S68" i="34"/>
  <c r="T68" i="34"/>
  <c r="U68" i="34"/>
  <c r="V68" i="34"/>
  <c r="W68" i="34"/>
  <c r="X68" i="34"/>
  <c r="Y68" i="34"/>
  <c r="Z68" i="34"/>
  <c r="AA68" i="34"/>
  <c r="AB68" i="34"/>
  <c r="AC68" i="34"/>
  <c r="AD68" i="34"/>
  <c r="AE68" i="34"/>
  <c r="AF68" i="34"/>
  <c r="AG68" i="34"/>
  <c r="AH68" i="34"/>
  <c r="AI68" i="34"/>
  <c r="AJ68" i="34"/>
  <c r="AK68" i="34"/>
  <c r="AL68" i="34"/>
  <c r="AM68" i="34"/>
  <c r="AN68" i="34"/>
  <c r="AO68" i="34"/>
  <c r="AP68" i="34"/>
  <c r="AQ68" i="34"/>
  <c r="AR68" i="34"/>
  <c r="C69" i="34"/>
  <c r="D69" i="34"/>
  <c r="E69" i="34"/>
  <c r="F69" i="34"/>
  <c r="G69" i="34"/>
  <c r="H69" i="34"/>
  <c r="I69" i="34"/>
  <c r="J69" i="34"/>
  <c r="K69" i="34"/>
  <c r="L69" i="34"/>
  <c r="M69" i="34"/>
  <c r="N69" i="34"/>
  <c r="O69" i="34"/>
  <c r="P69" i="34"/>
  <c r="Q69" i="34"/>
  <c r="R69" i="34"/>
  <c r="S69" i="34"/>
  <c r="T69" i="34"/>
  <c r="U69" i="34"/>
  <c r="V69" i="34"/>
  <c r="W69" i="34"/>
  <c r="X69" i="34"/>
  <c r="Y69" i="34"/>
  <c r="Z69" i="34"/>
  <c r="AA69" i="34"/>
  <c r="AB69" i="34"/>
  <c r="AC69" i="34"/>
  <c r="AD69" i="34"/>
  <c r="AE69" i="34"/>
  <c r="AF69" i="34"/>
  <c r="AG69" i="34"/>
  <c r="AH69" i="34"/>
  <c r="AI69" i="34"/>
  <c r="AJ69" i="34"/>
  <c r="AK69" i="34"/>
  <c r="AL69" i="34"/>
  <c r="AM69" i="34"/>
  <c r="AN69" i="34"/>
  <c r="AO69" i="34"/>
  <c r="AP69" i="34"/>
  <c r="AQ69" i="34"/>
  <c r="AR69" i="34"/>
  <c r="C70" i="34"/>
  <c r="D70" i="34"/>
  <c r="E70" i="34"/>
  <c r="F70" i="34"/>
  <c r="G70" i="34"/>
  <c r="H70" i="34"/>
  <c r="I70" i="34"/>
  <c r="J70" i="34"/>
  <c r="K70" i="34"/>
  <c r="L70" i="34"/>
  <c r="M70" i="34"/>
  <c r="N70" i="34"/>
  <c r="O70" i="34"/>
  <c r="P70" i="34"/>
  <c r="Q70" i="34"/>
  <c r="R70" i="34"/>
  <c r="S70" i="34"/>
  <c r="T70" i="34"/>
  <c r="U70" i="34"/>
  <c r="V70" i="34"/>
  <c r="W70" i="34"/>
  <c r="X70" i="34"/>
  <c r="Y70" i="34"/>
  <c r="Z70" i="34"/>
  <c r="AA70" i="34"/>
  <c r="AB70" i="34"/>
  <c r="AC70" i="34"/>
  <c r="AD70" i="34"/>
  <c r="AE70" i="34"/>
  <c r="AF70" i="34"/>
  <c r="AG70" i="34"/>
  <c r="AH70" i="34"/>
  <c r="AI70" i="34"/>
  <c r="AJ70" i="34"/>
  <c r="AK70" i="34"/>
  <c r="AL70" i="34"/>
  <c r="AM70" i="34"/>
  <c r="AN70" i="34"/>
  <c r="AO70" i="34"/>
  <c r="AP70" i="34"/>
  <c r="AQ70" i="34"/>
  <c r="AR70" i="34"/>
  <c r="C62" i="34"/>
  <c r="D62" i="34"/>
  <c r="E62" i="34"/>
  <c r="F62" i="34"/>
  <c r="G62" i="34"/>
  <c r="H62" i="34"/>
  <c r="I62" i="34"/>
  <c r="J62" i="34"/>
  <c r="K62" i="34"/>
  <c r="L62" i="34"/>
  <c r="M62" i="34"/>
  <c r="N62" i="34"/>
  <c r="O62" i="34"/>
  <c r="P62" i="34"/>
  <c r="Q62" i="34"/>
  <c r="R62" i="34"/>
  <c r="S62" i="34"/>
  <c r="T62" i="34"/>
  <c r="U62" i="34"/>
  <c r="V62" i="34"/>
  <c r="W62" i="34"/>
  <c r="X62" i="34"/>
  <c r="Y62" i="34"/>
  <c r="Z62" i="34"/>
  <c r="AA62" i="34"/>
  <c r="AB62" i="34"/>
  <c r="AC62" i="34"/>
  <c r="AD62" i="34"/>
  <c r="AE62" i="34"/>
  <c r="AF62" i="34"/>
  <c r="AG62" i="34"/>
  <c r="AH62" i="34"/>
  <c r="AI62" i="34"/>
  <c r="AJ62" i="34"/>
  <c r="AK62" i="34"/>
  <c r="AL62" i="34"/>
  <c r="AM62" i="34"/>
  <c r="AN62" i="34"/>
  <c r="AO62" i="34"/>
  <c r="AP62" i="34"/>
  <c r="AQ62" i="34"/>
  <c r="AR62" i="34"/>
  <c r="C63" i="34"/>
  <c r="D63" i="34"/>
  <c r="E63" i="34"/>
  <c r="F63" i="34"/>
  <c r="G63" i="34"/>
  <c r="H63" i="34"/>
  <c r="I63" i="34"/>
  <c r="J63" i="34"/>
  <c r="K63" i="34"/>
  <c r="L63" i="34"/>
  <c r="M63" i="34"/>
  <c r="N63" i="34"/>
  <c r="O63" i="34"/>
  <c r="P63" i="34"/>
  <c r="Q63" i="34"/>
  <c r="R63" i="34"/>
  <c r="S63" i="34"/>
  <c r="T63" i="34"/>
  <c r="U63" i="34"/>
  <c r="V63" i="34"/>
  <c r="W63" i="34"/>
  <c r="X63" i="34"/>
  <c r="Y63" i="34"/>
  <c r="Z63" i="34"/>
  <c r="AA63" i="34"/>
  <c r="AB63" i="34"/>
  <c r="AC63" i="34"/>
  <c r="AD63" i="34"/>
  <c r="AE63" i="34"/>
  <c r="AF63" i="34"/>
  <c r="AG63" i="34"/>
  <c r="AH63" i="34"/>
  <c r="AI63" i="34"/>
  <c r="AJ63" i="34"/>
  <c r="AK63" i="34"/>
  <c r="AL63" i="34"/>
  <c r="AM63" i="34"/>
  <c r="AN63" i="34"/>
  <c r="AO63" i="34"/>
  <c r="AP63" i="34"/>
  <c r="AQ63" i="34"/>
  <c r="AR63" i="34"/>
  <c r="B69" i="34"/>
  <c r="B70" i="34"/>
  <c r="B68" i="34"/>
  <c r="B63" i="34"/>
  <c r="B62" i="34"/>
  <c r="C52" i="34"/>
  <c r="D52" i="34"/>
  <c r="E52" i="34"/>
  <c r="F52" i="34"/>
  <c r="G52" i="34"/>
  <c r="H52" i="34"/>
  <c r="I52" i="34"/>
  <c r="J52" i="34"/>
  <c r="K52" i="34"/>
  <c r="L52" i="34"/>
  <c r="M52" i="34"/>
  <c r="N52" i="34"/>
  <c r="O52" i="34"/>
  <c r="P52" i="34"/>
  <c r="Q52" i="34"/>
  <c r="R52" i="34"/>
  <c r="S52" i="34"/>
  <c r="T52" i="34"/>
  <c r="U52" i="34"/>
  <c r="V52" i="34"/>
  <c r="W52" i="34"/>
  <c r="X52" i="34"/>
  <c r="Y52" i="34"/>
  <c r="Z52" i="34"/>
  <c r="AA52" i="34"/>
  <c r="AB52" i="34"/>
  <c r="AC52" i="34"/>
  <c r="AD52" i="34"/>
  <c r="AE52" i="34"/>
  <c r="AF52" i="34"/>
  <c r="AG52" i="34"/>
  <c r="AH52" i="34"/>
  <c r="AI52" i="34"/>
  <c r="AJ52" i="34"/>
  <c r="AK52" i="34"/>
  <c r="AL52" i="34"/>
  <c r="AM52" i="34"/>
  <c r="AN52" i="34"/>
  <c r="AO52" i="34"/>
  <c r="AP52" i="34"/>
  <c r="AQ52" i="34"/>
  <c r="AR52" i="34"/>
  <c r="C53" i="34"/>
  <c r="D53" i="34"/>
  <c r="E53" i="34"/>
  <c r="F53" i="34"/>
  <c r="G53" i="34"/>
  <c r="H53" i="34"/>
  <c r="I53" i="34"/>
  <c r="J53" i="34"/>
  <c r="K53" i="34"/>
  <c r="L53" i="34"/>
  <c r="M53" i="34"/>
  <c r="N53" i="34"/>
  <c r="O53" i="34"/>
  <c r="P53" i="34"/>
  <c r="Q53" i="34"/>
  <c r="R53" i="34"/>
  <c r="S53" i="34"/>
  <c r="T53" i="34"/>
  <c r="U53" i="34"/>
  <c r="V53" i="34"/>
  <c r="W53" i="34"/>
  <c r="X53" i="34"/>
  <c r="Y53" i="34"/>
  <c r="Z53" i="34"/>
  <c r="AA53" i="34"/>
  <c r="AB53" i="34"/>
  <c r="AC53" i="34"/>
  <c r="AD53" i="34"/>
  <c r="AE53" i="34"/>
  <c r="AF53" i="34"/>
  <c r="AG53" i="34"/>
  <c r="AH53" i="34"/>
  <c r="AI53" i="34"/>
  <c r="AJ53" i="34"/>
  <c r="AK53" i="34"/>
  <c r="AL53" i="34"/>
  <c r="AM53" i="34"/>
  <c r="AN53" i="34"/>
  <c r="AO53" i="34"/>
  <c r="AP53" i="34"/>
  <c r="AQ53" i="34"/>
  <c r="AR53" i="34"/>
  <c r="C54" i="34"/>
  <c r="D54" i="34"/>
  <c r="E54" i="34"/>
  <c r="F54" i="34"/>
  <c r="G54" i="34"/>
  <c r="H54" i="34"/>
  <c r="I54" i="34"/>
  <c r="J54" i="34"/>
  <c r="K54" i="34"/>
  <c r="L54" i="34"/>
  <c r="M54" i="34"/>
  <c r="N54" i="34"/>
  <c r="O54" i="34"/>
  <c r="P54" i="34"/>
  <c r="Q54" i="34"/>
  <c r="R54" i="34"/>
  <c r="S54" i="34"/>
  <c r="T54" i="34"/>
  <c r="U54" i="34"/>
  <c r="V54" i="34"/>
  <c r="W54" i="34"/>
  <c r="X54" i="34"/>
  <c r="Y54" i="34"/>
  <c r="Z54" i="34"/>
  <c r="AA54" i="34"/>
  <c r="AB54" i="34"/>
  <c r="AC54" i="34"/>
  <c r="AD54" i="34"/>
  <c r="AE54" i="34"/>
  <c r="AF54" i="34"/>
  <c r="AG54" i="34"/>
  <c r="AH54" i="34"/>
  <c r="AI54" i="34"/>
  <c r="AJ54" i="34"/>
  <c r="AK54" i="34"/>
  <c r="AL54" i="34"/>
  <c r="AM54" i="34"/>
  <c r="AN54" i="34"/>
  <c r="AO54" i="34"/>
  <c r="AP54" i="34"/>
  <c r="AQ54" i="34"/>
  <c r="AR54" i="34"/>
  <c r="C55" i="34"/>
  <c r="D55" i="34"/>
  <c r="E55" i="34"/>
  <c r="F55" i="34"/>
  <c r="G55" i="34"/>
  <c r="H55" i="34"/>
  <c r="I55" i="34"/>
  <c r="J55" i="34"/>
  <c r="K55" i="34"/>
  <c r="L55" i="34"/>
  <c r="M55" i="34"/>
  <c r="N55" i="34"/>
  <c r="O55" i="34"/>
  <c r="P55" i="34"/>
  <c r="Q55" i="34"/>
  <c r="R55" i="34"/>
  <c r="S55" i="34"/>
  <c r="T55" i="34"/>
  <c r="U55" i="34"/>
  <c r="V55" i="34"/>
  <c r="W55" i="34"/>
  <c r="X55" i="34"/>
  <c r="Y55" i="34"/>
  <c r="Z55" i="34"/>
  <c r="AA55" i="34"/>
  <c r="AB55" i="34"/>
  <c r="AC55" i="34"/>
  <c r="AD55" i="34"/>
  <c r="AE55" i="34"/>
  <c r="AF55" i="34"/>
  <c r="AG55" i="34"/>
  <c r="AH55" i="34"/>
  <c r="AI55" i="34"/>
  <c r="AJ55" i="34"/>
  <c r="AK55" i="34"/>
  <c r="AL55" i="34"/>
  <c r="AM55" i="34"/>
  <c r="AN55" i="34"/>
  <c r="AO55" i="34"/>
  <c r="AP55" i="34"/>
  <c r="AQ55" i="34"/>
  <c r="AR55" i="34"/>
  <c r="C56" i="34"/>
  <c r="D56" i="34"/>
  <c r="E56" i="34"/>
  <c r="F56" i="34"/>
  <c r="G56" i="34"/>
  <c r="H56" i="34"/>
  <c r="I56" i="34"/>
  <c r="J56" i="34"/>
  <c r="K56" i="34"/>
  <c r="L56" i="34"/>
  <c r="M56" i="34"/>
  <c r="N56" i="34"/>
  <c r="O56" i="34"/>
  <c r="P56" i="34"/>
  <c r="Q56" i="34"/>
  <c r="R56" i="34"/>
  <c r="S56" i="34"/>
  <c r="T56" i="34"/>
  <c r="U56" i="34"/>
  <c r="V56" i="34"/>
  <c r="W56" i="34"/>
  <c r="X56" i="34"/>
  <c r="Y56" i="34"/>
  <c r="Z56" i="34"/>
  <c r="AA56" i="34"/>
  <c r="AB56" i="34"/>
  <c r="AC56" i="34"/>
  <c r="AD56" i="34"/>
  <c r="AE56" i="34"/>
  <c r="AF56" i="34"/>
  <c r="AG56" i="34"/>
  <c r="AH56" i="34"/>
  <c r="AI56" i="34"/>
  <c r="AJ56" i="34"/>
  <c r="AK56" i="34"/>
  <c r="AL56" i="34"/>
  <c r="AM56" i="34"/>
  <c r="AN56" i="34"/>
  <c r="AO56" i="34"/>
  <c r="AP56" i="34"/>
  <c r="AQ56" i="34"/>
  <c r="AR56" i="34"/>
  <c r="C57" i="34"/>
  <c r="D57" i="34"/>
  <c r="E57" i="34"/>
  <c r="F57" i="34"/>
  <c r="G57" i="34"/>
  <c r="H57" i="34"/>
  <c r="I57" i="34"/>
  <c r="J57" i="34"/>
  <c r="K57" i="34"/>
  <c r="L57" i="34"/>
  <c r="M57" i="34"/>
  <c r="N57" i="34"/>
  <c r="O57" i="34"/>
  <c r="P57" i="34"/>
  <c r="Q57" i="34"/>
  <c r="R57" i="34"/>
  <c r="S57" i="34"/>
  <c r="T57" i="34"/>
  <c r="U57" i="34"/>
  <c r="V57" i="34"/>
  <c r="W57" i="34"/>
  <c r="X57" i="34"/>
  <c r="Y57" i="34"/>
  <c r="Z57" i="34"/>
  <c r="AA57" i="34"/>
  <c r="AB57" i="34"/>
  <c r="AC57" i="34"/>
  <c r="AD57" i="34"/>
  <c r="AE57" i="34"/>
  <c r="AF57" i="34"/>
  <c r="AG57" i="34"/>
  <c r="AH57" i="34"/>
  <c r="AI57" i="34"/>
  <c r="AJ57" i="34"/>
  <c r="AK57" i="34"/>
  <c r="AL57" i="34"/>
  <c r="AM57" i="34"/>
  <c r="AN57" i="34"/>
  <c r="AO57" i="34"/>
  <c r="AP57" i="34"/>
  <c r="AQ57" i="34"/>
  <c r="AR57" i="34"/>
  <c r="C58" i="34"/>
  <c r="D58" i="34"/>
  <c r="E58" i="34"/>
  <c r="F58" i="34"/>
  <c r="G58" i="34"/>
  <c r="H58" i="34"/>
  <c r="I58" i="34"/>
  <c r="J58" i="34"/>
  <c r="K58" i="34"/>
  <c r="L58" i="34"/>
  <c r="M58" i="34"/>
  <c r="N58" i="34"/>
  <c r="O58" i="34"/>
  <c r="P58" i="34"/>
  <c r="Q58" i="34"/>
  <c r="R58" i="34"/>
  <c r="S58" i="34"/>
  <c r="T58" i="34"/>
  <c r="U58" i="34"/>
  <c r="V58" i="34"/>
  <c r="W58" i="34"/>
  <c r="X58" i="34"/>
  <c r="Y58" i="34"/>
  <c r="Z58" i="34"/>
  <c r="AA58" i="34"/>
  <c r="AB58" i="34"/>
  <c r="AC58" i="34"/>
  <c r="AD58" i="34"/>
  <c r="AE58" i="34"/>
  <c r="AF58" i="34"/>
  <c r="AG58" i="34"/>
  <c r="AH58" i="34"/>
  <c r="AI58" i="34"/>
  <c r="AJ58" i="34"/>
  <c r="AK58" i="34"/>
  <c r="AL58" i="34"/>
  <c r="AM58" i="34"/>
  <c r="AN58" i="34"/>
  <c r="AO58" i="34"/>
  <c r="AP58" i="34"/>
  <c r="AQ58" i="34"/>
  <c r="AR58" i="34"/>
  <c r="B53" i="34"/>
  <c r="B54" i="34"/>
  <c r="B55" i="34"/>
  <c r="B56" i="34"/>
  <c r="B57" i="34"/>
  <c r="B58" i="34"/>
  <c r="B52" i="34"/>
  <c r="C41" i="34"/>
  <c r="D41" i="34"/>
  <c r="E41" i="34"/>
  <c r="F41" i="34"/>
  <c r="G41" i="34"/>
  <c r="H41" i="34"/>
  <c r="I41" i="34"/>
  <c r="J41" i="34"/>
  <c r="K41" i="34"/>
  <c r="L41" i="34"/>
  <c r="M41" i="34"/>
  <c r="N41" i="34"/>
  <c r="O41" i="34"/>
  <c r="P41" i="34"/>
  <c r="Q41" i="34"/>
  <c r="R41" i="34"/>
  <c r="S41" i="34"/>
  <c r="T41" i="34"/>
  <c r="U41" i="34"/>
  <c r="V41" i="34"/>
  <c r="W41" i="34"/>
  <c r="X41" i="34"/>
  <c r="Y41" i="34"/>
  <c r="Z41" i="34"/>
  <c r="AA41" i="34"/>
  <c r="AB41" i="34"/>
  <c r="AC41" i="34"/>
  <c r="AD41" i="34"/>
  <c r="AE41" i="34"/>
  <c r="AF41" i="34"/>
  <c r="AG41" i="34"/>
  <c r="AH41" i="34"/>
  <c r="AI41" i="34"/>
  <c r="AJ41" i="34"/>
  <c r="AK41" i="34"/>
  <c r="AL41" i="34"/>
  <c r="AM41" i="34"/>
  <c r="AN41" i="34"/>
  <c r="AO41" i="34"/>
  <c r="AP41" i="34"/>
  <c r="AQ41" i="34"/>
  <c r="AR41" i="34"/>
  <c r="C42" i="34"/>
  <c r="D42" i="34"/>
  <c r="E42" i="34"/>
  <c r="F42" i="34"/>
  <c r="G42" i="34"/>
  <c r="H42" i="34"/>
  <c r="I42" i="34"/>
  <c r="J42" i="34"/>
  <c r="K42" i="34"/>
  <c r="L42" i="34"/>
  <c r="M42" i="34"/>
  <c r="N42" i="34"/>
  <c r="O42" i="34"/>
  <c r="P42" i="34"/>
  <c r="Q42" i="34"/>
  <c r="R42" i="34"/>
  <c r="S42" i="34"/>
  <c r="T42" i="34"/>
  <c r="U42" i="34"/>
  <c r="V42" i="34"/>
  <c r="W42" i="34"/>
  <c r="X42" i="34"/>
  <c r="Y42" i="34"/>
  <c r="Z42" i="34"/>
  <c r="AA42" i="34"/>
  <c r="AB42" i="34"/>
  <c r="AC42" i="34"/>
  <c r="AD42" i="34"/>
  <c r="AE42" i="34"/>
  <c r="AF42" i="34"/>
  <c r="AG42" i="34"/>
  <c r="AH42" i="34"/>
  <c r="AI42" i="34"/>
  <c r="AJ42" i="34"/>
  <c r="AK42" i="34"/>
  <c r="AL42" i="34"/>
  <c r="AM42" i="34"/>
  <c r="AN42" i="34"/>
  <c r="AO42" i="34"/>
  <c r="AP42" i="34"/>
  <c r="AQ42" i="34"/>
  <c r="AR42" i="34"/>
  <c r="C43" i="34"/>
  <c r="D43" i="34"/>
  <c r="E43" i="34"/>
  <c r="F43" i="34"/>
  <c r="G43" i="34"/>
  <c r="H43" i="34"/>
  <c r="I43" i="34"/>
  <c r="J43" i="34"/>
  <c r="K43" i="34"/>
  <c r="L43" i="34"/>
  <c r="M43" i="34"/>
  <c r="N43" i="34"/>
  <c r="O43" i="34"/>
  <c r="P43" i="34"/>
  <c r="Q43" i="34"/>
  <c r="R43" i="34"/>
  <c r="S43" i="34"/>
  <c r="T43" i="34"/>
  <c r="U43" i="34"/>
  <c r="V43" i="34"/>
  <c r="W43" i="34"/>
  <c r="X43" i="34"/>
  <c r="Y43" i="34"/>
  <c r="Z43" i="34"/>
  <c r="AA43" i="34"/>
  <c r="AB43" i="34"/>
  <c r="AC43" i="34"/>
  <c r="AD43" i="34"/>
  <c r="AE43" i="34"/>
  <c r="AF43" i="34"/>
  <c r="AG43" i="34"/>
  <c r="AH43" i="34"/>
  <c r="AI43" i="34"/>
  <c r="AJ43" i="34"/>
  <c r="AK43" i="34"/>
  <c r="AL43" i="34"/>
  <c r="AM43" i="34"/>
  <c r="AN43" i="34"/>
  <c r="AO43" i="34"/>
  <c r="AP43" i="34"/>
  <c r="AQ43" i="34"/>
  <c r="AR43" i="34"/>
  <c r="B42" i="34"/>
  <c r="B43" i="34"/>
  <c r="B41" i="34"/>
  <c r="AX64" i="34"/>
  <c r="AY64" i="34" s="1"/>
  <c r="AZ64" i="34" s="1"/>
  <c r="BA64" i="34" s="1"/>
  <c r="BB64" i="34" s="1"/>
  <c r="BC64" i="34" s="1"/>
  <c r="BD64" i="34" s="1"/>
  <c r="BE64" i="34" s="1"/>
  <c r="BF64" i="34" s="1"/>
  <c r="BG64" i="34" s="1"/>
  <c r="BH64" i="34" s="1"/>
  <c r="BI64" i="34" s="1"/>
  <c r="BJ64" i="34" s="1"/>
  <c r="BK64" i="34" s="1"/>
  <c r="BL64" i="34" s="1"/>
  <c r="BM64" i="34" s="1"/>
  <c r="BN64" i="34" s="1"/>
  <c r="BO64" i="34" s="1"/>
  <c r="BP64" i="34" s="1"/>
  <c r="BQ64" i="34" s="1"/>
  <c r="BR64" i="34" s="1"/>
  <c r="BS64" i="34" s="1"/>
  <c r="BT64" i="34" s="1"/>
  <c r="BU64" i="34" s="1"/>
  <c r="BV64" i="34" s="1"/>
  <c r="BW64" i="34" s="1"/>
  <c r="BX64" i="34" s="1"/>
  <c r="BY64" i="34" s="1"/>
  <c r="BZ64" i="34" s="1"/>
  <c r="CA64" i="34" s="1"/>
  <c r="CB64" i="34" s="1"/>
  <c r="CC64" i="34" s="1"/>
  <c r="CD64" i="34" s="1"/>
  <c r="CE64" i="34" s="1"/>
  <c r="CF64" i="34" s="1"/>
  <c r="CG64" i="34" s="1"/>
  <c r="CH64" i="34" s="1"/>
  <c r="CI64" i="34" s="1"/>
  <c r="CJ64" i="34" s="1"/>
  <c r="CK64" i="34" s="1"/>
  <c r="CL64" i="34" s="1"/>
  <c r="CM64" i="34" s="1"/>
  <c r="CN64" i="34" s="1"/>
  <c r="CO64" i="34" s="1"/>
  <c r="CP64" i="34" s="1"/>
  <c r="CQ64" i="34" s="1"/>
  <c r="CR64" i="34" s="1"/>
  <c r="CS64" i="34" s="1"/>
  <c r="CT64" i="34" s="1"/>
  <c r="CU64" i="34" s="1"/>
  <c r="CV64" i="34" s="1"/>
  <c r="CW64" i="34" s="1"/>
  <c r="CX64" i="34" s="1"/>
  <c r="CY64" i="34" s="1"/>
  <c r="CZ64" i="34" s="1"/>
  <c r="DA64" i="34" s="1"/>
  <c r="AW64" i="34"/>
  <c r="AW59" i="34"/>
  <c r="AX59" i="34" s="1"/>
  <c r="AY59" i="34" s="1"/>
  <c r="AZ59" i="34" s="1"/>
  <c r="BA59" i="34" s="1"/>
  <c r="BB59" i="34" s="1"/>
  <c r="BC59" i="34" s="1"/>
  <c r="BD59" i="34" s="1"/>
  <c r="BE59" i="34" s="1"/>
  <c r="BF59" i="34" s="1"/>
  <c r="BG59" i="34" s="1"/>
  <c r="BH59" i="34" s="1"/>
  <c r="BI59" i="34" s="1"/>
  <c r="BJ59" i="34" s="1"/>
  <c r="BK59" i="34" s="1"/>
  <c r="BL59" i="34" s="1"/>
  <c r="BM59" i="34" s="1"/>
  <c r="BN59" i="34" s="1"/>
  <c r="BO59" i="34" s="1"/>
  <c r="BP59" i="34" s="1"/>
  <c r="BQ59" i="34" s="1"/>
  <c r="BR59" i="34" s="1"/>
  <c r="BS59" i="34" s="1"/>
  <c r="BT59" i="34" s="1"/>
  <c r="BU59" i="34" s="1"/>
  <c r="BV59" i="34" s="1"/>
  <c r="BW59" i="34" s="1"/>
  <c r="BX59" i="34" s="1"/>
  <c r="BY59" i="34" s="1"/>
  <c r="BZ59" i="34" s="1"/>
  <c r="CA59" i="34" s="1"/>
  <c r="CB59" i="34" s="1"/>
  <c r="CC59" i="34" s="1"/>
  <c r="CD59" i="34" s="1"/>
  <c r="CE59" i="34" s="1"/>
  <c r="CF59" i="34" s="1"/>
  <c r="CG59" i="34" s="1"/>
  <c r="CH59" i="34" s="1"/>
  <c r="CI59" i="34" s="1"/>
  <c r="CJ59" i="34" s="1"/>
  <c r="CK59" i="34" s="1"/>
  <c r="CL59" i="34" s="1"/>
  <c r="CM59" i="34" s="1"/>
  <c r="CN59" i="34" s="1"/>
  <c r="CO59" i="34" s="1"/>
  <c r="CP59" i="34" s="1"/>
  <c r="CQ59" i="34" s="1"/>
  <c r="CR59" i="34" s="1"/>
  <c r="CS59" i="34" s="1"/>
  <c r="CT59" i="34" s="1"/>
  <c r="CU59" i="34" s="1"/>
  <c r="CV59" i="34" s="1"/>
  <c r="CW59" i="34" s="1"/>
  <c r="CX59" i="34" s="1"/>
  <c r="CY59" i="34" s="1"/>
  <c r="CZ59" i="34" s="1"/>
  <c r="DA59" i="34" s="1"/>
  <c r="AX44" i="34"/>
  <c r="AY44" i="34" s="1"/>
  <c r="AZ44" i="34" s="1"/>
  <c r="BA44" i="34" s="1"/>
  <c r="BB44" i="34" s="1"/>
  <c r="BC44" i="34" s="1"/>
  <c r="BD44" i="34" s="1"/>
  <c r="BE44" i="34" s="1"/>
  <c r="BF44" i="34" s="1"/>
  <c r="BG44" i="34" s="1"/>
  <c r="BH44" i="34" s="1"/>
  <c r="BI44" i="34" s="1"/>
  <c r="BJ44" i="34" s="1"/>
  <c r="BK44" i="34" s="1"/>
  <c r="BL44" i="34" s="1"/>
  <c r="BM44" i="34" s="1"/>
  <c r="BN44" i="34" s="1"/>
  <c r="BO44" i="34" s="1"/>
  <c r="BP44" i="34" s="1"/>
  <c r="BQ44" i="34" s="1"/>
  <c r="BR44" i="34" s="1"/>
  <c r="BS44" i="34" s="1"/>
  <c r="BT44" i="34" s="1"/>
  <c r="BU44" i="34" s="1"/>
  <c r="BV44" i="34" s="1"/>
  <c r="BW44" i="34" s="1"/>
  <c r="BX44" i="34" s="1"/>
  <c r="BY44" i="34" s="1"/>
  <c r="BZ44" i="34" s="1"/>
  <c r="CA44" i="34" s="1"/>
  <c r="CB44" i="34" s="1"/>
  <c r="CC44" i="34" s="1"/>
  <c r="CD44" i="34" s="1"/>
  <c r="CE44" i="34" s="1"/>
  <c r="CF44" i="34" s="1"/>
  <c r="CG44" i="34" s="1"/>
  <c r="CH44" i="34" s="1"/>
  <c r="CI44" i="34" s="1"/>
  <c r="CJ44" i="34" s="1"/>
  <c r="CK44" i="34" s="1"/>
  <c r="CL44" i="34" s="1"/>
  <c r="CM44" i="34" s="1"/>
  <c r="CN44" i="34" s="1"/>
  <c r="CO44" i="34" s="1"/>
  <c r="CP44" i="34" s="1"/>
  <c r="CQ44" i="34" s="1"/>
  <c r="CR44" i="34" s="1"/>
  <c r="CS44" i="34" s="1"/>
  <c r="CT44" i="34" s="1"/>
  <c r="CU44" i="34" s="1"/>
  <c r="CV44" i="34" s="1"/>
  <c r="CW44" i="34" s="1"/>
  <c r="CX44" i="34" s="1"/>
  <c r="CY44" i="34" s="1"/>
  <c r="CZ44" i="34" s="1"/>
  <c r="DA44" i="34" s="1"/>
  <c r="AW44" i="34"/>
  <c r="C32" i="34"/>
  <c r="D32" i="34"/>
  <c r="E32" i="34"/>
  <c r="F32" i="34"/>
  <c r="G32" i="34"/>
  <c r="H32" i="34"/>
  <c r="I32" i="34"/>
  <c r="J32" i="34"/>
  <c r="K32" i="34"/>
  <c r="L32" i="34"/>
  <c r="M32" i="34"/>
  <c r="N32" i="34"/>
  <c r="O32" i="34"/>
  <c r="P32" i="34"/>
  <c r="Q32" i="34"/>
  <c r="R32" i="34"/>
  <c r="S32" i="34"/>
  <c r="T32" i="34"/>
  <c r="U32" i="34"/>
  <c r="V32" i="34"/>
  <c r="W32" i="34"/>
  <c r="X32" i="34"/>
  <c r="Y32" i="34"/>
  <c r="Z32" i="34"/>
  <c r="AA32" i="34"/>
  <c r="AB32" i="34"/>
  <c r="AC32" i="34"/>
  <c r="AD32" i="34"/>
  <c r="AE32" i="34"/>
  <c r="AF32" i="34"/>
  <c r="AG32" i="34"/>
  <c r="AH32" i="34"/>
  <c r="AI32" i="34"/>
  <c r="AJ32" i="34"/>
  <c r="AK32" i="34"/>
  <c r="AL32" i="34"/>
  <c r="AM32" i="34"/>
  <c r="AN32" i="34"/>
  <c r="AO32" i="34"/>
  <c r="AP32" i="34"/>
  <c r="AQ32" i="34"/>
  <c r="AR32" i="34"/>
  <c r="C33" i="34"/>
  <c r="D33" i="34"/>
  <c r="E33" i="34"/>
  <c r="F33" i="34"/>
  <c r="G33" i="34"/>
  <c r="H33" i="34"/>
  <c r="I33" i="34"/>
  <c r="J33" i="34"/>
  <c r="K33" i="34"/>
  <c r="L33" i="34"/>
  <c r="M33" i="34"/>
  <c r="N33" i="34"/>
  <c r="O33" i="34"/>
  <c r="P33" i="34"/>
  <c r="Q33" i="34"/>
  <c r="R33" i="34"/>
  <c r="S33" i="34"/>
  <c r="T33" i="34"/>
  <c r="U33" i="34"/>
  <c r="V33" i="34"/>
  <c r="W33" i="34"/>
  <c r="X33" i="34"/>
  <c r="Y33" i="34"/>
  <c r="Z33" i="34"/>
  <c r="AA33" i="34"/>
  <c r="AB33" i="34"/>
  <c r="AC33" i="34"/>
  <c r="AD33" i="34"/>
  <c r="AE33" i="34"/>
  <c r="AF33" i="34"/>
  <c r="AG33" i="34"/>
  <c r="AH33" i="34"/>
  <c r="AI33" i="34"/>
  <c r="AJ33" i="34"/>
  <c r="AK33" i="34"/>
  <c r="AL33" i="34"/>
  <c r="AM33" i="34"/>
  <c r="AN33" i="34"/>
  <c r="AO33" i="34"/>
  <c r="AP33" i="34"/>
  <c r="AQ33" i="34"/>
  <c r="AR33" i="34"/>
  <c r="C34" i="34"/>
  <c r="D34" i="34"/>
  <c r="E34" i="34"/>
  <c r="F34" i="34"/>
  <c r="G34" i="34"/>
  <c r="H34" i="34"/>
  <c r="I34" i="34"/>
  <c r="J34" i="34"/>
  <c r="K34" i="34"/>
  <c r="L34" i="34"/>
  <c r="M34" i="34"/>
  <c r="N34" i="34"/>
  <c r="O34" i="34"/>
  <c r="P34" i="34"/>
  <c r="Q34" i="34"/>
  <c r="R34" i="34"/>
  <c r="S34" i="34"/>
  <c r="T34" i="34"/>
  <c r="U34" i="34"/>
  <c r="V34" i="34"/>
  <c r="W34" i="34"/>
  <c r="X34" i="34"/>
  <c r="Y34" i="34"/>
  <c r="Z34" i="34"/>
  <c r="AA34" i="34"/>
  <c r="AB34" i="34"/>
  <c r="AC34" i="34"/>
  <c r="AD34" i="34"/>
  <c r="AE34" i="34"/>
  <c r="AF34" i="34"/>
  <c r="AG34" i="34"/>
  <c r="AH34" i="34"/>
  <c r="AI34" i="34"/>
  <c r="AJ34" i="34"/>
  <c r="AK34" i="34"/>
  <c r="AL34" i="34"/>
  <c r="AM34" i="34"/>
  <c r="AN34" i="34"/>
  <c r="AO34" i="34"/>
  <c r="AP34" i="34"/>
  <c r="AQ34" i="34"/>
  <c r="AR34" i="34"/>
  <c r="C35" i="34"/>
  <c r="D35" i="34"/>
  <c r="E35" i="34"/>
  <c r="F35" i="34"/>
  <c r="G35" i="34"/>
  <c r="H35" i="34"/>
  <c r="I35" i="34"/>
  <c r="J35" i="34"/>
  <c r="K35" i="34"/>
  <c r="L35" i="34"/>
  <c r="M35" i="34"/>
  <c r="N35" i="34"/>
  <c r="O35" i="34"/>
  <c r="P35" i="34"/>
  <c r="Q35" i="34"/>
  <c r="R35" i="34"/>
  <c r="S35" i="34"/>
  <c r="T35" i="34"/>
  <c r="U35" i="34"/>
  <c r="V35" i="34"/>
  <c r="W35" i="34"/>
  <c r="X35" i="34"/>
  <c r="Y35" i="34"/>
  <c r="Z35" i="34"/>
  <c r="AA35" i="34"/>
  <c r="AB35" i="34"/>
  <c r="AC35" i="34"/>
  <c r="AD35" i="34"/>
  <c r="AE35" i="34"/>
  <c r="AF35" i="34"/>
  <c r="AG35" i="34"/>
  <c r="AH35" i="34"/>
  <c r="AI35" i="34"/>
  <c r="AJ35" i="34"/>
  <c r="AK35" i="34"/>
  <c r="AL35" i="34"/>
  <c r="AM35" i="34"/>
  <c r="AN35" i="34"/>
  <c r="AO35" i="34"/>
  <c r="AP35" i="34"/>
  <c r="AQ35" i="34"/>
  <c r="AR35" i="34"/>
  <c r="C36" i="34"/>
  <c r="D36" i="34"/>
  <c r="E36" i="34"/>
  <c r="F36" i="34"/>
  <c r="G36" i="34"/>
  <c r="H36" i="34"/>
  <c r="I36" i="34"/>
  <c r="J36" i="34"/>
  <c r="K36" i="34"/>
  <c r="L36" i="34"/>
  <c r="M36" i="34"/>
  <c r="N36" i="34"/>
  <c r="O36" i="34"/>
  <c r="P36" i="34"/>
  <c r="Q36" i="34"/>
  <c r="R36" i="34"/>
  <c r="S36" i="34"/>
  <c r="T36" i="34"/>
  <c r="U36" i="34"/>
  <c r="V36" i="34"/>
  <c r="W36" i="34"/>
  <c r="X36" i="34"/>
  <c r="Y36" i="34"/>
  <c r="Z36" i="34"/>
  <c r="AA36" i="34"/>
  <c r="AB36" i="34"/>
  <c r="AC36" i="34"/>
  <c r="AD36" i="34"/>
  <c r="AE36" i="34"/>
  <c r="AF36" i="34"/>
  <c r="AG36" i="34"/>
  <c r="AH36" i="34"/>
  <c r="AI36" i="34"/>
  <c r="AJ36" i="34"/>
  <c r="AK36" i="34"/>
  <c r="AL36" i="34"/>
  <c r="AM36" i="34"/>
  <c r="AN36" i="34"/>
  <c r="AO36" i="34"/>
  <c r="AP36" i="34"/>
  <c r="AQ36" i="34"/>
  <c r="AR36" i="34"/>
  <c r="B33" i="34"/>
  <c r="B34" i="34"/>
  <c r="B35" i="34"/>
  <c r="B36" i="34"/>
  <c r="B32" i="34"/>
  <c r="AW37" i="34"/>
  <c r="AX37" i="34" s="1"/>
  <c r="AY37" i="34" s="1"/>
  <c r="AZ37" i="34" s="1"/>
  <c r="BA37" i="34" s="1"/>
  <c r="BB37" i="34" s="1"/>
  <c r="BC37" i="34" s="1"/>
  <c r="BD37" i="34" s="1"/>
  <c r="BE37" i="34" s="1"/>
  <c r="BF37" i="34" s="1"/>
  <c r="BG37" i="34" s="1"/>
  <c r="BH37" i="34" s="1"/>
  <c r="BI37" i="34" s="1"/>
  <c r="BJ37" i="34" s="1"/>
  <c r="BK37" i="34" s="1"/>
  <c r="BL37" i="34" s="1"/>
  <c r="BM37" i="34" s="1"/>
  <c r="BN37" i="34" s="1"/>
  <c r="BO37" i="34" s="1"/>
  <c r="BP37" i="34" s="1"/>
  <c r="BQ37" i="34" s="1"/>
  <c r="BR37" i="34" s="1"/>
  <c r="BS37" i="34" s="1"/>
  <c r="BT37" i="34" s="1"/>
  <c r="BU37" i="34" s="1"/>
  <c r="BV37" i="34" s="1"/>
  <c r="BW37" i="34" s="1"/>
  <c r="BX37" i="34" s="1"/>
  <c r="BY37" i="34" s="1"/>
  <c r="BZ37" i="34" s="1"/>
  <c r="CA37" i="34" s="1"/>
  <c r="CB37" i="34" s="1"/>
  <c r="CC37" i="34" s="1"/>
  <c r="CD37" i="34" s="1"/>
  <c r="CE37" i="34" s="1"/>
  <c r="CF37" i="34" s="1"/>
  <c r="CG37" i="34" s="1"/>
  <c r="CH37" i="34" s="1"/>
  <c r="CI37" i="34" s="1"/>
  <c r="CJ37" i="34" s="1"/>
  <c r="CK37" i="34" s="1"/>
  <c r="CL37" i="34" s="1"/>
  <c r="CM37" i="34" s="1"/>
  <c r="CN37" i="34" s="1"/>
  <c r="CO37" i="34" s="1"/>
  <c r="CP37" i="34" s="1"/>
  <c r="CQ37" i="34" s="1"/>
  <c r="CR37" i="34" s="1"/>
  <c r="CS37" i="34" s="1"/>
  <c r="CT37" i="34" s="1"/>
  <c r="CU37" i="34" s="1"/>
  <c r="CV37" i="34" s="1"/>
  <c r="CW37" i="34" s="1"/>
  <c r="CX37" i="34" s="1"/>
  <c r="CY37" i="34" s="1"/>
  <c r="CZ37" i="34" s="1"/>
  <c r="DA37" i="34" s="1"/>
  <c r="AW26" i="34"/>
  <c r="AX26" i="34" s="1"/>
  <c r="AY26" i="34" s="1"/>
  <c r="AZ26" i="34" s="1"/>
  <c r="BA26" i="34" s="1"/>
  <c r="BB26" i="34" s="1"/>
  <c r="BC26" i="34" s="1"/>
  <c r="BD26" i="34" s="1"/>
  <c r="BE26" i="34" s="1"/>
  <c r="BF26" i="34" s="1"/>
  <c r="BG26" i="34" s="1"/>
  <c r="BH26" i="34" s="1"/>
  <c r="BI26" i="34" s="1"/>
  <c r="BJ26" i="34" s="1"/>
  <c r="BK26" i="34" s="1"/>
  <c r="BL26" i="34" s="1"/>
  <c r="BM26" i="34" s="1"/>
  <c r="BN26" i="34" s="1"/>
  <c r="BO26" i="34" s="1"/>
  <c r="BP26" i="34" s="1"/>
  <c r="BQ26" i="34" s="1"/>
  <c r="BR26" i="34" s="1"/>
  <c r="BS26" i="34" s="1"/>
  <c r="BT26" i="34" s="1"/>
  <c r="BU26" i="34" s="1"/>
  <c r="BV26" i="34" s="1"/>
  <c r="BW26" i="34" s="1"/>
  <c r="BX26" i="34" s="1"/>
  <c r="BY26" i="34" s="1"/>
  <c r="BZ26" i="34" s="1"/>
  <c r="CA26" i="34" s="1"/>
  <c r="CB26" i="34" s="1"/>
  <c r="CC26" i="34" s="1"/>
  <c r="CD26" i="34" s="1"/>
  <c r="CE26" i="34" s="1"/>
  <c r="CF26" i="34" s="1"/>
  <c r="CG26" i="34" s="1"/>
  <c r="CH26" i="34" s="1"/>
  <c r="CI26" i="34" s="1"/>
  <c r="CJ26" i="34" s="1"/>
  <c r="CK26" i="34" s="1"/>
  <c r="CL26" i="34" s="1"/>
  <c r="CM26" i="34" s="1"/>
  <c r="CN26" i="34" s="1"/>
  <c r="CO26" i="34" s="1"/>
  <c r="CP26" i="34" s="1"/>
  <c r="CQ26" i="34" s="1"/>
  <c r="CR26" i="34" s="1"/>
  <c r="CS26" i="34" s="1"/>
  <c r="CT26" i="34" s="1"/>
  <c r="CU26" i="34" s="1"/>
  <c r="CV26" i="34" s="1"/>
  <c r="CW26" i="34" s="1"/>
  <c r="CX26" i="34" s="1"/>
  <c r="CY26" i="34" s="1"/>
  <c r="CZ26" i="34" s="1"/>
  <c r="DA26" i="34" s="1"/>
  <c r="C22" i="34"/>
  <c r="D22" i="34"/>
  <c r="E22" i="34"/>
  <c r="F22" i="34"/>
  <c r="G22" i="34"/>
  <c r="H22" i="34"/>
  <c r="I22" i="34"/>
  <c r="J22" i="34"/>
  <c r="K22" i="34"/>
  <c r="L22" i="34"/>
  <c r="M22" i="34"/>
  <c r="N22" i="34"/>
  <c r="O22" i="34"/>
  <c r="P22" i="34"/>
  <c r="Q22" i="34"/>
  <c r="R22" i="34"/>
  <c r="S22" i="34"/>
  <c r="T22" i="34"/>
  <c r="U22" i="34"/>
  <c r="V22" i="34"/>
  <c r="W22" i="34"/>
  <c r="X22" i="34"/>
  <c r="Y22" i="34"/>
  <c r="Z22" i="34"/>
  <c r="AA22" i="34"/>
  <c r="AB22" i="34"/>
  <c r="AC22" i="34"/>
  <c r="AD22" i="34"/>
  <c r="AE22" i="34"/>
  <c r="AF22" i="34"/>
  <c r="AG22" i="34"/>
  <c r="AH22" i="34"/>
  <c r="AI22" i="34"/>
  <c r="AJ22" i="34"/>
  <c r="AK22" i="34"/>
  <c r="AL22" i="34"/>
  <c r="AM22" i="34"/>
  <c r="AN22" i="34"/>
  <c r="AO22" i="34"/>
  <c r="AP22" i="34"/>
  <c r="AQ22" i="34"/>
  <c r="AR22" i="34"/>
  <c r="C23" i="34"/>
  <c r="D23" i="34"/>
  <c r="E23" i="34"/>
  <c r="F23" i="34"/>
  <c r="G23" i="34"/>
  <c r="H23" i="34"/>
  <c r="I23" i="34"/>
  <c r="J23" i="34"/>
  <c r="K23" i="34"/>
  <c r="L23" i="34"/>
  <c r="M23" i="34"/>
  <c r="N23" i="34"/>
  <c r="O23" i="34"/>
  <c r="P23" i="34"/>
  <c r="Q23" i="34"/>
  <c r="R23" i="34"/>
  <c r="S23" i="34"/>
  <c r="T23" i="34"/>
  <c r="U23" i="34"/>
  <c r="V23" i="34"/>
  <c r="W23" i="34"/>
  <c r="X23" i="34"/>
  <c r="Y23" i="34"/>
  <c r="Z23" i="34"/>
  <c r="AA23" i="34"/>
  <c r="AB23" i="34"/>
  <c r="AC23" i="34"/>
  <c r="AD23" i="34"/>
  <c r="AE23" i="34"/>
  <c r="AF23" i="34"/>
  <c r="AG23" i="34"/>
  <c r="AH23" i="34"/>
  <c r="AI23" i="34"/>
  <c r="AJ23" i="34"/>
  <c r="AK23" i="34"/>
  <c r="AL23" i="34"/>
  <c r="AM23" i="34"/>
  <c r="AN23" i="34"/>
  <c r="AO23" i="34"/>
  <c r="AP23" i="34"/>
  <c r="AQ23" i="34"/>
  <c r="AR23" i="34"/>
  <c r="C24" i="34"/>
  <c r="D24" i="34"/>
  <c r="E24" i="34"/>
  <c r="F24" i="34"/>
  <c r="G24" i="34"/>
  <c r="H24" i="34"/>
  <c r="I24" i="34"/>
  <c r="J24" i="34"/>
  <c r="K24" i="34"/>
  <c r="L24" i="34"/>
  <c r="M24" i="34"/>
  <c r="N24" i="34"/>
  <c r="O24" i="34"/>
  <c r="P24" i="34"/>
  <c r="Q24" i="34"/>
  <c r="R24" i="34"/>
  <c r="S24" i="34"/>
  <c r="T24" i="34"/>
  <c r="U24" i="34"/>
  <c r="V24" i="34"/>
  <c r="W24" i="34"/>
  <c r="X24" i="34"/>
  <c r="Y24" i="34"/>
  <c r="Z24" i="34"/>
  <c r="AA24" i="34"/>
  <c r="AB24" i="34"/>
  <c r="AC24" i="34"/>
  <c r="AD24" i="34"/>
  <c r="AE24" i="34"/>
  <c r="AF24" i="34"/>
  <c r="AG24" i="34"/>
  <c r="AH24" i="34"/>
  <c r="AI24" i="34"/>
  <c r="AJ24" i="34"/>
  <c r="AK24" i="34"/>
  <c r="AL24" i="34"/>
  <c r="AM24" i="34"/>
  <c r="AN24" i="34"/>
  <c r="AO24" i="34"/>
  <c r="AP24" i="34"/>
  <c r="AQ24" i="34"/>
  <c r="AR24" i="34"/>
  <c r="C25" i="34"/>
  <c r="D25" i="34"/>
  <c r="E25" i="34"/>
  <c r="F25" i="34"/>
  <c r="G25" i="34"/>
  <c r="H25" i="34"/>
  <c r="I25" i="34"/>
  <c r="J25" i="34"/>
  <c r="K25" i="34"/>
  <c r="L25" i="34"/>
  <c r="M25" i="34"/>
  <c r="N25" i="34"/>
  <c r="O25" i="34"/>
  <c r="P25" i="34"/>
  <c r="Q25" i="34"/>
  <c r="R25" i="34"/>
  <c r="S25" i="34"/>
  <c r="T25" i="34"/>
  <c r="U25" i="34"/>
  <c r="V25" i="34"/>
  <c r="W25" i="34"/>
  <c r="X25" i="34"/>
  <c r="Y25" i="34"/>
  <c r="Z25" i="34"/>
  <c r="AA25" i="34"/>
  <c r="AB25" i="34"/>
  <c r="AC25" i="34"/>
  <c r="AD25" i="34"/>
  <c r="AE25" i="34"/>
  <c r="AF25" i="34"/>
  <c r="AG25" i="34"/>
  <c r="AH25" i="34"/>
  <c r="AI25" i="34"/>
  <c r="AJ25" i="34"/>
  <c r="AK25" i="34"/>
  <c r="AL25" i="34"/>
  <c r="AM25" i="34"/>
  <c r="AN25" i="34"/>
  <c r="AO25" i="34"/>
  <c r="AP25" i="34"/>
  <c r="AQ25" i="34"/>
  <c r="AR25" i="34"/>
  <c r="B23" i="34"/>
  <c r="B24" i="34"/>
  <c r="B25" i="34"/>
  <c r="B22" i="34"/>
  <c r="C21" i="34"/>
  <c r="D21" i="34"/>
  <c r="E21" i="34"/>
  <c r="F21" i="34"/>
  <c r="G21" i="34"/>
  <c r="H21" i="34"/>
  <c r="I21" i="34"/>
  <c r="J21" i="34"/>
  <c r="K21" i="34"/>
  <c r="L21" i="34"/>
  <c r="M21" i="34"/>
  <c r="N21" i="34"/>
  <c r="O21" i="34"/>
  <c r="P21" i="34"/>
  <c r="Q21" i="34"/>
  <c r="R21" i="34"/>
  <c r="S21" i="34"/>
  <c r="T21" i="34"/>
  <c r="U21" i="34"/>
  <c r="V21" i="34"/>
  <c r="W21" i="34"/>
  <c r="X21" i="34"/>
  <c r="Y21" i="34"/>
  <c r="Z21" i="34"/>
  <c r="AA21" i="34"/>
  <c r="AB21" i="34"/>
  <c r="AC21" i="34"/>
  <c r="AD21" i="34"/>
  <c r="AE21" i="34"/>
  <c r="AF21" i="34"/>
  <c r="AG21" i="34"/>
  <c r="AH21" i="34"/>
  <c r="AI21" i="34"/>
  <c r="AJ21" i="34"/>
  <c r="AK21" i="34"/>
  <c r="AL21" i="34"/>
  <c r="AM21" i="34"/>
  <c r="AN21" i="34"/>
  <c r="AO21" i="34"/>
  <c r="AP21" i="34"/>
  <c r="AQ21" i="34"/>
  <c r="AR21" i="34"/>
  <c r="B21" i="34"/>
  <c r="DD21" i="34"/>
  <c r="DE21" i="34"/>
  <c r="DF21" i="34"/>
  <c r="DG21" i="34"/>
  <c r="DH21" i="34"/>
  <c r="DI21" i="34"/>
  <c r="DJ21" i="34"/>
  <c r="DK21" i="34"/>
  <c r="DL21" i="34"/>
  <c r="DC71" i="34"/>
  <c r="DC67" i="34"/>
  <c r="DC66" i="34"/>
  <c r="DC65" i="34"/>
  <c r="DC61" i="34"/>
  <c r="DC60" i="34"/>
  <c r="DC51" i="34"/>
  <c r="DC50" i="34"/>
  <c r="DC49" i="34"/>
  <c r="DC48" i="34"/>
  <c r="DC47" i="34"/>
  <c r="DC46" i="34"/>
  <c r="DC45" i="34"/>
  <c r="DC40" i="34"/>
  <c r="DC39" i="34"/>
  <c r="DC38" i="34"/>
  <c r="DC31" i="34"/>
  <c r="DC30" i="34"/>
  <c r="DC29" i="34"/>
  <c r="DC28" i="34"/>
  <c r="DC27" i="34"/>
  <c r="DC20" i="34"/>
  <c r="DC19" i="34"/>
  <c r="DC18" i="34"/>
  <c r="DC17" i="34"/>
  <c r="DC16" i="34"/>
  <c r="DC21" i="34" s="1"/>
  <c r="AW15" i="34"/>
  <c r="AW14" i="34" s="1"/>
  <c r="AV14" i="34"/>
  <c r="AU14" i="34"/>
  <c r="AT14" i="34"/>
  <c r="E33" i="35" l="1"/>
  <c r="H34" i="35"/>
  <c r="G35" i="35"/>
  <c r="E37" i="35"/>
  <c r="H38" i="35"/>
  <c r="G39" i="35"/>
  <c r="G32" i="35"/>
  <c r="G38" i="35"/>
  <c r="G33" i="35"/>
  <c r="E36" i="35"/>
  <c r="F37" i="35"/>
  <c r="H39" i="35"/>
  <c r="H33" i="35"/>
  <c r="E35" i="35"/>
  <c r="F36" i="35"/>
  <c r="DB21" i="34"/>
  <c r="D36" i="35"/>
  <c r="G37" i="35"/>
  <c r="D35" i="35"/>
  <c r="E34" i="35"/>
  <c r="F35" i="35"/>
  <c r="H37" i="35"/>
  <c r="H32" i="35"/>
  <c r="E32" i="35"/>
  <c r="F34" i="35"/>
  <c r="G36" i="35"/>
  <c r="D39" i="35"/>
  <c r="D33" i="35"/>
  <c r="F33" i="35"/>
  <c r="H36" i="35"/>
  <c r="D32" i="35"/>
  <c r="D37" i="35"/>
  <c r="F32" i="35"/>
  <c r="G34" i="35"/>
  <c r="E38" i="35"/>
  <c r="F39" i="35"/>
  <c r="D34" i="35"/>
  <c r="H35" i="35"/>
  <c r="E39" i="35"/>
  <c r="F38" i="35"/>
  <c r="D38" i="35"/>
  <c r="L1815" i="25"/>
  <c r="M1815" i="25" s="1"/>
  <c r="N1815" i="25" s="1"/>
  <c r="L1823" i="25"/>
  <c r="M1823" i="25" s="1"/>
  <c r="N1823" i="25" s="1"/>
  <c r="L1811" i="25"/>
  <c r="M1811" i="25" s="1"/>
  <c r="N1811" i="25" s="1"/>
  <c r="C1844" i="25"/>
  <c r="C1868" i="25"/>
  <c r="C1849" i="25"/>
  <c r="C1855" i="25"/>
  <c r="C1867" i="25"/>
  <c r="C1851" i="25"/>
  <c r="C1856" i="25"/>
  <c r="C1846" i="25"/>
  <c r="C1857" i="25"/>
  <c r="C1845" i="25"/>
  <c r="C1859" i="25"/>
  <c r="C1866" i="25"/>
  <c r="C1848" i="25"/>
  <c r="C1858" i="25"/>
  <c r="C1863" i="25"/>
  <c r="C1861" i="25"/>
  <c r="C1865" i="25"/>
  <c r="C1850" i="25"/>
  <c r="C1862" i="25"/>
  <c r="C1860" i="25"/>
  <c r="C1847" i="25"/>
  <c r="C1853" i="25"/>
  <c r="C1864" i="25"/>
  <c r="C1854" i="25"/>
  <c r="C1852" i="25"/>
  <c r="M1869" i="25"/>
  <c r="N1869" i="25" s="1"/>
  <c r="M1841" i="25"/>
  <c r="L1829" i="25"/>
  <c r="M1829" i="25" s="1"/>
  <c r="N1829" i="25" s="1"/>
  <c r="L1817" i="25"/>
  <c r="M1817" i="25" s="1"/>
  <c r="N1817" i="25" s="1"/>
  <c r="K1835" i="25"/>
  <c r="L1825" i="25"/>
  <c r="M1825" i="25" s="1"/>
  <c r="N1825" i="25" s="1"/>
  <c r="L1833" i="25"/>
  <c r="M1833" i="25" s="1"/>
  <c r="N1833" i="25" s="1"/>
  <c r="L1831" i="25"/>
  <c r="M1831" i="25" s="1"/>
  <c r="N1831" i="25" s="1"/>
  <c r="L1813" i="25"/>
  <c r="M1813" i="25" s="1"/>
  <c r="N1813" i="25" s="1"/>
  <c r="L1812" i="25"/>
  <c r="M1812" i="25" s="1"/>
  <c r="N1812" i="25" s="1"/>
  <c r="L1824" i="25"/>
  <c r="M1824" i="25" s="1"/>
  <c r="N1824" i="25" s="1"/>
  <c r="L1832" i="25"/>
  <c r="M1832" i="25" s="1"/>
  <c r="N1832" i="25" s="1"/>
  <c r="L1821" i="25"/>
  <c r="M1821" i="25" s="1"/>
  <c r="N1821" i="25" s="1"/>
  <c r="L1814" i="25"/>
  <c r="M1814" i="25" s="1"/>
  <c r="N1814" i="25" s="1"/>
  <c r="L1830" i="25"/>
  <c r="M1830" i="25" s="1"/>
  <c r="N1830" i="25" s="1"/>
  <c r="L1820" i="25"/>
  <c r="M1820" i="25" s="1"/>
  <c r="N1820" i="25" s="1"/>
  <c r="F1835" i="25"/>
  <c r="L1810" i="25"/>
  <c r="M1810" i="25" s="1"/>
  <c r="N1810" i="25" s="1"/>
  <c r="L1822" i="25"/>
  <c r="M1822" i="25" s="1"/>
  <c r="N1822" i="25" s="1"/>
  <c r="L1827" i="25"/>
  <c r="M1827" i="25" s="1"/>
  <c r="N1827" i="25" s="1"/>
  <c r="J1835" i="25"/>
  <c r="G1835" i="25"/>
  <c r="H1835" i="25"/>
  <c r="L1834" i="25"/>
  <c r="M1834" i="25" s="1"/>
  <c r="N1834" i="25" s="1"/>
  <c r="L1818" i="25"/>
  <c r="M1818" i="25" s="1"/>
  <c r="N1818" i="25" s="1"/>
  <c r="L1828" i="25"/>
  <c r="M1828" i="25" s="1"/>
  <c r="N1828" i="25" s="1"/>
  <c r="L1826" i="25"/>
  <c r="M1826" i="25" s="1"/>
  <c r="N1826" i="25" s="1"/>
  <c r="I1835" i="25"/>
  <c r="L1819" i="25"/>
  <c r="M1819" i="25" s="1"/>
  <c r="N1819" i="25" s="1"/>
  <c r="L1816" i="25"/>
  <c r="M1816" i="25" s="1"/>
  <c r="N1816" i="25" s="1"/>
  <c r="AX15" i="34"/>
  <c r="A9" i="11"/>
  <c r="C1819" i="25" l="1"/>
  <c r="C1834" i="25"/>
  <c r="C1814" i="25"/>
  <c r="C1822" i="25"/>
  <c r="C1820" i="25"/>
  <c r="C1828" i="25"/>
  <c r="C1818" i="25"/>
  <c r="C1812" i="25"/>
  <c r="C1826" i="25"/>
  <c r="C1810" i="25"/>
  <c r="C1825" i="25"/>
  <c r="C1813" i="25"/>
  <c r="L1835" i="25"/>
  <c r="M1807" i="25" s="1"/>
  <c r="C1824" i="25"/>
  <c r="C1823" i="25"/>
  <c r="C1815" i="25"/>
  <c r="C1816" i="25"/>
  <c r="C1827" i="25"/>
  <c r="C1832" i="25"/>
  <c r="C1821" i="25"/>
  <c r="C1829" i="25"/>
  <c r="C1817" i="25"/>
  <c r="C1830" i="25"/>
  <c r="C1811" i="25"/>
  <c r="C1831" i="25"/>
  <c r="C1833" i="25"/>
  <c r="AY15" i="34"/>
  <c r="AX14" i="34"/>
  <c r="CT29" i="9"/>
  <c r="CT30" i="9"/>
  <c r="CT34" i="9"/>
  <c r="CT35" i="9"/>
  <c r="CT39" i="9"/>
  <c r="CT40" i="9"/>
  <c r="CT44" i="9"/>
  <c r="CT45" i="9"/>
  <c r="CU46" i="9" s="1"/>
  <c r="CT49" i="9"/>
  <c r="CT50" i="9"/>
  <c r="CT54" i="9"/>
  <c r="CT55" i="9"/>
  <c r="CT59" i="9"/>
  <c r="CT60" i="9"/>
  <c r="CT64" i="9"/>
  <c r="CT65" i="9"/>
  <c r="CU66" i="9" s="1"/>
  <c r="CT69" i="9"/>
  <c r="CT70" i="9"/>
  <c r="CT74" i="9"/>
  <c r="CT75" i="9"/>
  <c r="CT79" i="9"/>
  <c r="CT80" i="9"/>
  <c r="CT84" i="9"/>
  <c r="CT85" i="9"/>
  <c r="CU86" i="9" s="1"/>
  <c r="CT89" i="9"/>
  <c r="CT90" i="9"/>
  <c r="CT94" i="9"/>
  <c r="CT95" i="9"/>
  <c r="CT99" i="9"/>
  <c r="CT100" i="9"/>
  <c r="CT104" i="9"/>
  <c r="CT105" i="9"/>
  <c r="CU106" i="9" s="1"/>
  <c r="CT109" i="9"/>
  <c r="CT110" i="9"/>
  <c r="CT114" i="9"/>
  <c r="CT115" i="9"/>
  <c r="CT119" i="9"/>
  <c r="CT120" i="9"/>
  <c r="CT124" i="9"/>
  <c r="CT125" i="9"/>
  <c r="CU126" i="9" s="1"/>
  <c r="CT129" i="9"/>
  <c r="CT130" i="9"/>
  <c r="CT134" i="9"/>
  <c r="CT135" i="9"/>
  <c r="CT139" i="9"/>
  <c r="CT140" i="9"/>
  <c r="CT144" i="9"/>
  <c r="CT145" i="9"/>
  <c r="CU146" i="9" s="1"/>
  <c r="CT149" i="9"/>
  <c r="CT150" i="9"/>
  <c r="CU116" i="9" l="1"/>
  <c r="CU71" i="9"/>
  <c r="CU141" i="9"/>
  <c r="CU131" i="9"/>
  <c r="CU96" i="9"/>
  <c r="CU61" i="9"/>
  <c r="CU51" i="9"/>
  <c r="CU151" i="9"/>
  <c r="CU81" i="9"/>
  <c r="CU36" i="9"/>
  <c r="CU121" i="9"/>
  <c r="CU111" i="9"/>
  <c r="CU76" i="9"/>
  <c r="CU41" i="9"/>
  <c r="CU31" i="9"/>
  <c r="CU136" i="9"/>
  <c r="CU101" i="9"/>
  <c r="CU91" i="9"/>
  <c r="CU56" i="9"/>
  <c r="M1835" i="25"/>
  <c r="N1835" i="25" s="1"/>
  <c r="AZ15" i="34"/>
  <c r="AY14" i="34"/>
  <c r="CX62" i="33"/>
  <c r="CX36" i="33"/>
  <c r="A1800" i="25"/>
  <c r="J1800" i="25" s="1"/>
  <c r="A1799" i="25"/>
  <c r="I1799" i="25" s="1"/>
  <c r="A1798" i="25"/>
  <c r="K1798" i="25" s="1"/>
  <c r="A1797" i="25"/>
  <c r="J1797" i="25" s="1"/>
  <c r="A1796" i="25"/>
  <c r="K1796" i="25" s="1"/>
  <c r="A1795" i="25"/>
  <c r="H1795" i="25" s="1"/>
  <c r="A1794" i="25"/>
  <c r="K1794" i="25" s="1"/>
  <c r="A1793" i="25"/>
  <c r="I1793" i="25" s="1"/>
  <c r="A1792" i="25"/>
  <c r="K1792" i="25" s="1"/>
  <c r="A1791" i="25"/>
  <c r="I1791" i="25" s="1"/>
  <c r="A1790" i="25"/>
  <c r="K1790" i="25" s="1"/>
  <c r="A1789" i="25"/>
  <c r="I1789" i="25" s="1"/>
  <c r="A1788" i="25"/>
  <c r="K1788" i="25" s="1"/>
  <c r="A1787" i="25"/>
  <c r="I1787" i="25" s="1"/>
  <c r="A1786" i="25"/>
  <c r="K1786" i="25" s="1"/>
  <c r="A1785" i="25"/>
  <c r="I1785" i="25" s="1"/>
  <c r="A1784" i="25"/>
  <c r="K1784" i="25" s="1"/>
  <c r="A1783" i="25"/>
  <c r="I1783" i="25" s="1"/>
  <c r="A1782" i="25"/>
  <c r="K1782" i="25" s="1"/>
  <c r="A1781" i="25"/>
  <c r="I1781" i="25" s="1"/>
  <c r="A1780" i="25"/>
  <c r="K1780" i="25" s="1"/>
  <c r="A1779" i="25"/>
  <c r="J1779" i="25" s="1"/>
  <c r="A1778" i="25"/>
  <c r="K1778" i="25" s="1"/>
  <c r="A1777" i="25"/>
  <c r="F1777" i="25" s="1"/>
  <c r="A1776" i="25"/>
  <c r="K1776" i="25" s="1"/>
  <c r="K1800" i="25" l="1"/>
  <c r="H1780" i="25"/>
  <c r="J1785" i="25"/>
  <c r="H1788" i="25"/>
  <c r="I1792" i="25"/>
  <c r="J1793" i="25"/>
  <c r="H1796" i="25"/>
  <c r="F1799" i="25"/>
  <c r="H1799" i="25"/>
  <c r="J1777" i="25"/>
  <c r="K1799" i="25"/>
  <c r="G1777" i="25"/>
  <c r="I1788" i="25"/>
  <c r="G1799" i="25"/>
  <c r="G1800" i="25"/>
  <c r="I1776" i="25"/>
  <c r="I1784" i="25"/>
  <c r="H1797" i="25"/>
  <c r="I1778" i="25"/>
  <c r="I1780" i="25"/>
  <c r="J1789" i="25"/>
  <c r="H1792" i="25"/>
  <c r="I1796" i="25"/>
  <c r="K1797" i="25"/>
  <c r="H1776" i="25"/>
  <c r="J1781" i="25"/>
  <c r="H1784" i="25"/>
  <c r="G1797" i="25"/>
  <c r="J1799" i="25"/>
  <c r="H1800" i="25"/>
  <c r="I1795" i="25"/>
  <c r="F1783" i="25"/>
  <c r="F1787" i="25"/>
  <c r="F1791" i="25"/>
  <c r="F1795" i="25"/>
  <c r="J1795" i="25"/>
  <c r="G1779" i="25"/>
  <c r="H1782" i="25"/>
  <c r="J1783" i="25"/>
  <c r="H1786" i="25"/>
  <c r="J1787" i="25"/>
  <c r="H1790" i="25"/>
  <c r="J1791" i="25"/>
  <c r="H1794" i="25"/>
  <c r="G1795" i="25"/>
  <c r="K1795" i="25"/>
  <c r="I1797" i="25"/>
  <c r="H1798" i="25"/>
  <c r="I1800" i="25"/>
  <c r="H1778" i="25"/>
  <c r="F1781" i="25"/>
  <c r="I1782" i="25"/>
  <c r="F1785" i="25"/>
  <c r="I1786" i="25"/>
  <c r="F1789" i="25"/>
  <c r="I1790" i="25"/>
  <c r="F1793" i="25"/>
  <c r="I1794" i="25"/>
  <c r="F1797" i="25"/>
  <c r="F1800" i="25"/>
  <c r="AZ14" i="34"/>
  <c r="BA15" i="34"/>
  <c r="I1777" i="25"/>
  <c r="H1777" i="25"/>
  <c r="K1777" i="25"/>
  <c r="F1779" i="25"/>
  <c r="I1779" i="25"/>
  <c r="H1779" i="25"/>
  <c r="K1779" i="25"/>
  <c r="G1783" i="25"/>
  <c r="K1783" i="25"/>
  <c r="G1789" i="25"/>
  <c r="K1789" i="25"/>
  <c r="I1798" i="25"/>
  <c r="G1781" i="25"/>
  <c r="K1781" i="25"/>
  <c r="G1787" i="25"/>
  <c r="K1787" i="25"/>
  <c r="G1793" i="25"/>
  <c r="K1793" i="25"/>
  <c r="F1776" i="25"/>
  <c r="J1776" i="25"/>
  <c r="F1778" i="25"/>
  <c r="J1778" i="25"/>
  <c r="F1780" i="25"/>
  <c r="J1780" i="25"/>
  <c r="H1781" i="25"/>
  <c r="F1782" i="25"/>
  <c r="J1782" i="25"/>
  <c r="H1783" i="25"/>
  <c r="F1784" i="25"/>
  <c r="J1784" i="25"/>
  <c r="H1785" i="25"/>
  <c r="F1786" i="25"/>
  <c r="J1786" i="25"/>
  <c r="H1787" i="25"/>
  <c r="F1788" i="25"/>
  <c r="J1788" i="25"/>
  <c r="H1789" i="25"/>
  <c r="F1790" i="25"/>
  <c r="J1790" i="25"/>
  <c r="H1791" i="25"/>
  <c r="F1792" i="25"/>
  <c r="J1792" i="25"/>
  <c r="H1793" i="25"/>
  <c r="F1794" i="25"/>
  <c r="J1794" i="25"/>
  <c r="F1796" i="25"/>
  <c r="J1796" i="25"/>
  <c r="F1798" i="25"/>
  <c r="J1798" i="25"/>
  <c r="G1785" i="25"/>
  <c r="K1785" i="25"/>
  <c r="G1791" i="25"/>
  <c r="K1791" i="25"/>
  <c r="G1776" i="25"/>
  <c r="G1778" i="25"/>
  <c r="G1780" i="25"/>
  <c r="G1782" i="25"/>
  <c r="G1784" i="25"/>
  <c r="G1786" i="25"/>
  <c r="G1788" i="25"/>
  <c r="G1790" i="25"/>
  <c r="G1792" i="25"/>
  <c r="G1794" i="25"/>
  <c r="G1796" i="25"/>
  <c r="G1798" i="25"/>
  <c r="CS29" i="9"/>
  <c r="CS30" i="9"/>
  <c r="CT31" i="9" s="1"/>
  <c r="CS34" i="9"/>
  <c r="CS35" i="9"/>
  <c r="CT36" i="9" s="1"/>
  <c r="CS39" i="9"/>
  <c r="CS40" i="9"/>
  <c r="CS44" i="9"/>
  <c r="CS45" i="9"/>
  <c r="CT46" i="9" s="1"/>
  <c r="CS49" i="9"/>
  <c r="CS50" i="9"/>
  <c r="CT51" i="9" s="1"/>
  <c r="CS54" i="9"/>
  <c r="CS55" i="9"/>
  <c r="CT56" i="9" s="1"/>
  <c r="CS59" i="9"/>
  <c r="CS60" i="9"/>
  <c r="CS64" i="9"/>
  <c r="CS65" i="9"/>
  <c r="CT66" i="9" s="1"/>
  <c r="CS69" i="9"/>
  <c r="CS70" i="9"/>
  <c r="CT71" i="9" s="1"/>
  <c r="CS74" i="9"/>
  <c r="CS75" i="9"/>
  <c r="CT76" i="9" s="1"/>
  <c r="CS79" i="9"/>
  <c r="CS80" i="9"/>
  <c r="CS84" i="9"/>
  <c r="CS85" i="9"/>
  <c r="CT86" i="9" s="1"/>
  <c r="CS89" i="9"/>
  <c r="CS90" i="9"/>
  <c r="CT91" i="9" s="1"/>
  <c r="CS94" i="9"/>
  <c r="CS95" i="9"/>
  <c r="CT96" i="9" s="1"/>
  <c r="CS99" i="9"/>
  <c r="CS100" i="9"/>
  <c r="CS104" i="9"/>
  <c r="CS105" i="9"/>
  <c r="CT106" i="9" s="1"/>
  <c r="CS109" i="9"/>
  <c r="CS110" i="9"/>
  <c r="CT111" i="9" s="1"/>
  <c r="CS114" i="9"/>
  <c r="CS115" i="9"/>
  <c r="CT116" i="9" s="1"/>
  <c r="CS119" i="9"/>
  <c r="CS120" i="9"/>
  <c r="CS124" i="9"/>
  <c r="CS125" i="9"/>
  <c r="CT126" i="9" s="1"/>
  <c r="CS129" i="9"/>
  <c r="CS130" i="9"/>
  <c r="CT131" i="9" s="1"/>
  <c r="CS134" i="9"/>
  <c r="CS135" i="9"/>
  <c r="CT136" i="9" s="1"/>
  <c r="CS139" i="9"/>
  <c r="CS140" i="9"/>
  <c r="CS144" i="9"/>
  <c r="CS145" i="9"/>
  <c r="CT146" i="9" s="1"/>
  <c r="CS149" i="9"/>
  <c r="CS150" i="9"/>
  <c r="CT151" i="9" s="1"/>
  <c r="CW36" i="33"/>
  <c r="CW62" i="33"/>
  <c r="A1766" i="25"/>
  <c r="K1766" i="25" s="1"/>
  <c r="A1765" i="25"/>
  <c r="F1765" i="25" s="1"/>
  <c r="A1764" i="25"/>
  <c r="K1764" i="25" s="1"/>
  <c r="A1763" i="25"/>
  <c r="G1763" i="25" s="1"/>
  <c r="A1762" i="25"/>
  <c r="K1762" i="25" s="1"/>
  <c r="A1761" i="25"/>
  <c r="H1761" i="25" s="1"/>
  <c r="A1760" i="25"/>
  <c r="A1759" i="25"/>
  <c r="H1759" i="25" s="1"/>
  <c r="A1758" i="25"/>
  <c r="G1758" i="25" s="1"/>
  <c r="A1757" i="25"/>
  <c r="H1757" i="25" s="1"/>
  <c r="A1756" i="25"/>
  <c r="I1756" i="25" s="1"/>
  <c r="A1755" i="25"/>
  <c r="H1755" i="25" s="1"/>
  <c r="A1754" i="25"/>
  <c r="K1754" i="25" s="1"/>
  <c r="A1753" i="25"/>
  <c r="H1753" i="25" s="1"/>
  <c r="A1752" i="25"/>
  <c r="A1751" i="25"/>
  <c r="H1751" i="25" s="1"/>
  <c r="A1750" i="25"/>
  <c r="G1750" i="25" s="1"/>
  <c r="A1749" i="25"/>
  <c r="H1749" i="25" s="1"/>
  <c r="A1748" i="25"/>
  <c r="K1748" i="25" s="1"/>
  <c r="A1747" i="25"/>
  <c r="H1747" i="25" s="1"/>
  <c r="A1746" i="25"/>
  <c r="K1746" i="25" s="1"/>
  <c r="A1745" i="25"/>
  <c r="H1745" i="25" s="1"/>
  <c r="A1744" i="25"/>
  <c r="K1744" i="25" s="1"/>
  <c r="A1743" i="25"/>
  <c r="J1743" i="25" s="1"/>
  <c r="A1742" i="25"/>
  <c r="K1742" i="25" s="1"/>
  <c r="CT121" i="9" l="1"/>
  <c r="CT41" i="9"/>
  <c r="CT101" i="9"/>
  <c r="CT141" i="9"/>
  <c r="CT61" i="9"/>
  <c r="CT81" i="9"/>
  <c r="L1797" i="25"/>
  <c r="M1797" i="25" s="1"/>
  <c r="N1797" i="25" s="1"/>
  <c r="L1799" i="25"/>
  <c r="M1799" i="25" s="1"/>
  <c r="N1799" i="25" s="1"/>
  <c r="L1800" i="25"/>
  <c r="M1800" i="25" s="1"/>
  <c r="N1800" i="25" s="1"/>
  <c r="L1795" i="25"/>
  <c r="M1795" i="25" s="1"/>
  <c r="N1795" i="25" s="1"/>
  <c r="BA14" i="34"/>
  <c r="BB15" i="34"/>
  <c r="L1781" i="25"/>
  <c r="M1781" i="25" s="1"/>
  <c r="N1781" i="25" s="1"/>
  <c r="L1787" i="25"/>
  <c r="M1787" i="25" s="1"/>
  <c r="N1787" i="25" s="1"/>
  <c r="L1789" i="25"/>
  <c r="M1789" i="25" s="1"/>
  <c r="N1789" i="25" s="1"/>
  <c r="K1801" i="25"/>
  <c r="L1785" i="25"/>
  <c r="M1785" i="25" s="1"/>
  <c r="N1785" i="25" s="1"/>
  <c r="H1801" i="25"/>
  <c r="L1793" i="25"/>
  <c r="M1793" i="25" s="1"/>
  <c r="N1793" i="25" s="1"/>
  <c r="I1801" i="25"/>
  <c r="L1791" i="25"/>
  <c r="M1791" i="25" s="1"/>
  <c r="N1791" i="25" s="1"/>
  <c r="L1783" i="25"/>
  <c r="M1783" i="25" s="1"/>
  <c r="N1783" i="25" s="1"/>
  <c r="G1801" i="25"/>
  <c r="L1796" i="25"/>
  <c r="M1796" i="25" s="1"/>
  <c r="N1796" i="25" s="1"/>
  <c r="L1790" i="25"/>
  <c r="M1790" i="25" s="1"/>
  <c r="N1790" i="25" s="1"/>
  <c r="L1782" i="25"/>
  <c r="M1782" i="25" s="1"/>
  <c r="N1782" i="25" s="1"/>
  <c r="L1777" i="25"/>
  <c r="M1777" i="25" s="1"/>
  <c r="N1777" i="25" s="1"/>
  <c r="L1780" i="25"/>
  <c r="M1780" i="25" s="1"/>
  <c r="N1780" i="25" s="1"/>
  <c r="F1801" i="25"/>
  <c r="L1776" i="25"/>
  <c r="L1792" i="25"/>
  <c r="M1792" i="25" s="1"/>
  <c r="N1792" i="25" s="1"/>
  <c r="L1784" i="25"/>
  <c r="M1784" i="25" s="1"/>
  <c r="N1784" i="25" s="1"/>
  <c r="L1778" i="25"/>
  <c r="M1778" i="25" s="1"/>
  <c r="N1778" i="25" s="1"/>
  <c r="L1779" i="25"/>
  <c r="M1779" i="25" s="1"/>
  <c r="N1779" i="25" s="1"/>
  <c r="L1788" i="25"/>
  <c r="M1788" i="25" s="1"/>
  <c r="N1788" i="25" s="1"/>
  <c r="L1798" i="25"/>
  <c r="M1798" i="25" s="1"/>
  <c r="N1798" i="25" s="1"/>
  <c r="L1794" i="25"/>
  <c r="M1794" i="25" s="1"/>
  <c r="N1794" i="25" s="1"/>
  <c r="L1786" i="25"/>
  <c r="M1786" i="25" s="1"/>
  <c r="N1786" i="25" s="1"/>
  <c r="J1801" i="25"/>
  <c r="J1751" i="25"/>
  <c r="J1763" i="25"/>
  <c r="G1749" i="25"/>
  <c r="G1746" i="25"/>
  <c r="G1748" i="25"/>
  <c r="K1756" i="25"/>
  <c r="F1759" i="25"/>
  <c r="I1748" i="25"/>
  <c r="G1759" i="25"/>
  <c r="H1762" i="25"/>
  <c r="I1750" i="25"/>
  <c r="I1762" i="25"/>
  <c r="F1742" i="25"/>
  <c r="K1757" i="25"/>
  <c r="H1742" i="25"/>
  <c r="I1742" i="25"/>
  <c r="F1749" i="25"/>
  <c r="J1753" i="25"/>
  <c r="J1742" i="25"/>
  <c r="J1745" i="25"/>
  <c r="K1749" i="25"/>
  <c r="F1751" i="25"/>
  <c r="G1754" i="25"/>
  <c r="G1756" i="25"/>
  <c r="F1757" i="25"/>
  <c r="I1758" i="25"/>
  <c r="J1759" i="25"/>
  <c r="J1761" i="25"/>
  <c r="H1764" i="25"/>
  <c r="H1766" i="25"/>
  <c r="K1751" i="25"/>
  <c r="G1751" i="25"/>
  <c r="G1757" i="25"/>
  <c r="K1759" i="25"/>
  <c r="I1764" i="25"/>
  <c r="I1766" i="25"/>
  <c r="I1749" i="25"/>
  <c r="K1750" i="25"/>
  <c r="I1763" i="25"/>
  <c r="H1763" i="25"/>
  <c r="K1763" i="25"/>
  <c r="J1752" i="25"/>
  <c r="F1752" i="25"/>
  <c r="H1752" i="25"/>
  <c r="I1755" i="25"/>
  <c r="J1760" i="25"/>
  <c r="F1760" i="25"/>
  <c r="H1760" i="25"/>
  <c r="I1765" i="25"/>
  <c r="H1765" i="25"/>
  <c r="K1765" i="25"/>
  <c r="H1743" i="25"/>
  <c r="I1744" i="25"/>
  <c r="F1745" i="25"/>
  <c r="K1745" i="25"/>
  <c r="J1746" i="25"/>
  <c r="F1746" i="25"/>
  <c r="H1746" i="25"/>
  <c r="J1747" i="25"/>
  <c r="I1752" i="25"/>
  <c r="F1753" i="25"/>
  <c r="K1753" i="25"/>
  <c r="J1754" i="25"/>
  <c r="F1754" i="25"/>
  <c r="H1754" i="25"/>
  <c r="J1755" i="25"/>
  <c r="I1757" i="25"/>
  <c r="K1758" i="25"/>
  <c r="I1760" i="25"/>
  <c r="F1761" i="25"/>
  <c r="K1761" i="25"/>
  <c r="G1742" i="25"/>
  <c r="I1743" i="25"/>
  <c r="G1745" i="25"/>
  <c r="I1746" i="25"/>
  <c r="F1747" i="25"/>
  <c r="K1747" i="25"/>
  <c r="J1748" i="25"/>
  <c r="F1748" i="25"/>
  <c r="H1748" i="25"/>
  <c r="J1749" i="25"/>
  <c r="I1751" i="25"/>
  <c r="K1752" i="25"/>
  <c r="G1753" i="25"/>
  <c r="I1754" i="25"/>
  <c r="F1755" i="25"/>
  <c r="K1755" i="25"/>
  <c r="J1756" i="25"/>
  <c r="F1756" i="25"/>
  <c r="H1756" i="25"/>
  <c r="J1757" i="25"/>
  <c r="I1759" i="25"/>
  <c r="K1760" i="25"/>
  <c r="G1761" i="25"/>
  <c r="F1763" i="25"/>
  <c r="G1765" i="25"/>
  <c r="G1743" i="25"/>
  <c r="K1743" i="25"/>
  <c r="J1744" i="25"/>
  <c r="F1744" i="25"/>
  <c r="H1744" i="25"/>
  <c r="I1747" i="25"/>
  <c r="F1743" i="25"/>
  <c r="G1744" i="25"/>
  <c r="I1745" i="25"/>
  <c r="G1747" i="25"/>
  <c r="J1750" i="25"/>
  <c r="F1750" i="25"/>
  <c r="H1750" i="25"/>
  <c r="G1752" i="25"/>
  <c r="I1753" i="25"/>
  <c r="G1755" i="25"/>
  <c r="J1758" i="25"/>
  <c r="F1758" i="25"/>
  <c r="H1758" i="25"/>
  <c r="G1760" i="25"/>
  <c r="I1761" i="25"/>
  <c r="J1765" i="25"/>
  <c r="F1762" i="25"/>
  <c r="J1762" i="25"/>
  <c r="F1764" i="25"/>
  <c r="J1764" i="25"/>
  <c r="F1766" i="25"/>
  <c r="J1766" i="25"/>
  <c r="G1762" i="25"/>
  <c r="G1764" i="25"/>
  <c r="G1766" i="25"/>
  <c r="CR140" i="9"/>
  <c r="CR141" i="9" s="1"/>
  <c r="CR100" i="9"/>
  <c r="CR101" i="9" s="1"/>
  <c r="CR80" i="9"/>
  <c r="CR81" i="9" s="1"/>
  <c r="CR60" i="9"/>
  <c r="CS61" i="9" s="1"/>
  <c r="CR40" i="9"/>
  <c r="CR41" i="9" s="1"/>
  <c r="CR29" i="9"/>
  <c r="CR30" i="9"/>
  <c r="CR34" i="9"/>
  <c r="CR35" i="9"/>
  <c r="CR36" i="9" s="1"/>
  <c r="CR39" i="9"/>
  <c r="CR44" i="9"/>
  <c r="CR45" i="9"/>
  <c r="CR49" i="9"/>
  <c r="CR50" i="9"/>
  <c r="CR54" i="9"/>
  <c r="CR55" i="9"/>
  <c r="CR59" i="9"/>
  <c r="CR64" i="9"/>
  <c r="CR65" i="9"/>
  <c r="CR66" i="9" s="1"/>
  <c r="CR69" i="9"/>
  <c r="CR70" i="9"/>
  <c r="CR74" i="9"/>
  <c r="CR75" i="9"/>
  <c r="CR76" i="9" s="1"/>
  <c r="CR79" i="9"/>
  <c r="CR84" i="9"/>
  <c r="CR85" i="9"/>
  <c r="CR89" i="9"/>
  <c r="CR90" i="9"/>
  <c r="CS91" i="9" s="1"/>
  <c r="CR94" i="9"/>
  <c r="CR95" i="9"/>
  <c r="CR99" i="9"/>
  <c r="CR104" i="9"/>
  <c r="CR105" i="9"/>
  <c r="CR106" i="9" s="1"/>
  <c r="CR109" i="9"/>
  <c r="CR110" i="9"/>
  <c r="CR114" i="9"/>
  <c r="CR115" i="9"/>
  <c r="CR116" i="9" s="1"/>
  <c r="CR119" i="9"/>
  <c r="CR120" i="9"/>
  <c r="CR121" i="9" s="1"/>
  <c r="CR124" i="9"/>
  <c r="CR125" i="9"/>
  <c r="CS126" i="9" s="1"/>
  <c r="CR129" i="9"/>
  <c r="CR130" i="9"/>
  <c r="CS131" i="9" s="1"/>
  <c r="CR134" i="9"/>
  <c r="CR135" i="9"/>
  <c r="CR139" i="9"/>
  <c r="CR144" i="9"/>
  <c r="CR145" i="9"/>
  <c r="CR146" i="9" s="1"/>
  <c r="CR149" i="9"/>
  <c r="CR150" i="9"/>
  <c r="CQ30" i="9"/>
  <c r="CQ34" i="9"/>
  <c r="CQ35" i="9"/>
  <c r="CQ39" i="9"/>
  <c r="CQ40" i="9"/>
  <c r="CQ44" i="9"/>
  <c r="CQ45" i="9"/>
  <c r="CQ49" i="9"/>
  <c r="CQ50" i="9"/>
  <c r="CQ54" i="9"/>
  <c r="CQ55" i="9"/>
  <c r="CQ59" i="9"/>
  <c r="CQ60" i="9"/>
  <c r="CQ64" i="9"/>
  <c r="CQ65" i="9"/>
  <c r="CQ69" i="9"/>
  <c r="CQ70" i="9"/>
  <c r="CQ74" i="9"/>
  <c r="CQ75" i="9"/>
  <c r="CQ79" i="9"/>
  <c r="CQ80" i="9"/>
  <c r="CQ84" i="9"/>
  <c r="CQ85" i="9"/>
  <c r="CQ89" i="9"/>
  <c r="CQ90" i="9"/>
  <c r="CQ94" i="9"/>
  <c r="CQ95" i="9"/>
  <c r="CQ99" i="9"/>
  <c r="CQ100" i="9"/>
  <c r="CQ104" i="9"/>
  <c r="CQ105" i="9"/>
  <c r="CQ109" i="9"/>
  <c r="CQ110" i="9"/>
  <c r="CQ114" i="9"/>
  <c r="CQ115" i="9"/>
  <c r="CQ119" i="9"/>
  <c r="CQ120" i="9"/>
  <c r="CQ124" i="9"/>
  <c r="CQ125" i="9"/>
  <c r="CQ129" i="9"/>
  <c r="CQ130" i="9"/>
  <c r="CQ134" i="9"/>
  <c r="CQ135" i="9"/>
  <c r="CQ139" i="9"/>
  <c r="CQ140" i="9"/>
  <c r="CQ144" i="9"/>
  <c r="CQ145" i="9"/>
  <c r="CQ149" i="9"/>
  <c r="CQ150" i="9"/>
  <c r="CV36" i="33"/>
  <c r="CV62" i="33"/>
  <c r="A1732" i="25"/>
  <c r="K1732" i="25" s="1"/>
  <c r="A1731" i="25"/>
  <c r="G1731" i="25" s="1"/>
  <c r="A1730" i="25"/>
  <c r="K1730" i="25" s="1"/>
  <c r="A1729" i="25"/>
  <c r="J1729" i="25" s="1"/>
  <c r="A1728" i="25"/>
  <c r="K1728" i="25" s="1"/>
  <c r="A1727" i="25"/>
  <c r="I1727" i="25" s="1"/>
  <c r="A1726" i="25"/>
  <c r="K1726" i="25" s="1"/>
  <c r="A1725" i="25"/>
  <c r="I1725" i="25" s="1"/>
  <c r="A1724" i="25"/>
  <c r="K1724" i="25" s="1"/>
  <c r="A1723" i="25"/>
  <c r="I1723" i="25" s="1"/>
  <c r="A1722" i="25"/>
  <c r="K1722" i="25" s="1"/>
  <c r="A1721" i="25"/>
  <c r="I1721" i="25" s="1"/>
  <c r="A1720" i="25"/>
  <c r="K1720" i="25" s="1"/>
  <c r="A1719" i="25"/>
  <c r="I1719" i="25" s="1"/>
  <c r="A1718" i="25"/>
  <c r="K1718" i="25" s="1"/>
  <c r="A1717" i="25"/>
  <c r="I1717" i="25" s="1"/>
  <c r="A1716" i="25"/>
  <c r="K1716" i="25" s="1"/>
  <c r="A1715" i="25"/>
  <c r="I1715" i="25" s="1"/>
  <c r="A1714" i="25"/>
  <c r="K1714" i="25" s="1"/>
  <c r="A1713" i="25"/>
  <c r="I1713" i="25" s="1"/>
  <c r="A1712" i="25"/>
  <c r="K1712" i="25" s="1"/>
  <c r="A1711" i="25"/>
  <c r="A1710" i="25"/>
  <c r="A1709" i="25"/>
  <c r="A1708" i="25"/>
  <c r="CR71" i="9" l="1"/>
  <c r="CS71" i="9"/>
  <c r="CR136" i="9"/>
  <c r="CS136" i="9"/>
  <c r="CR126" i="9"/>
  <c r="CR96" i="9"/>
  <c r="CS96" i="9"/>
  <c r="CR86" i="9"/>
  <c r="CS86" i="9"/>
  <c r="CR51" i="9"/>
  <c r="CS51" i="9"/>
  <c r="CS116" i="9"/>
  <c r="CS101" i="9"/>
  <c r="CS66" i="9"/>
  <c r="CS106" i="9"/>
  <c r="CR131" i="9"/>
  <c r="CR91" i="9"/>
  <c r="CR56" i="9"/>
  <c r="CS56" i="9"/>
  <c r="CR46" i="9"/>
  <c r="CS46" i="9"/>
  <c r="CR61" i="9"/>
  <c r="CS146" i="9"/>
  <c r="CS141" i="9"/>
  <c r="CS41" i="9"/>
  <c r="CR151" i="9"/>
  <c r="CS151" i="9"/>
  <c r="CR111" i="9"/>
  <c r="CS111" i="9"/>
  <c r="CR31" i="9"/>
  <c r="CS31" i="9"/>
  <c r="CS36" i="9"/>
  <c r="CS81" i="9"/>
  <c r="CS76" i="9"/>
  <c r="CS121" i="9"/>
  <c r="K1708" i="25"/>
  <c r="F1708" i="25"/>
  <c r="I1709" i="25"/>
  <c r="F1709" i="25"/>
  <c r="K1710" i="25"/>
  <c r="F1710" i="25"/>
  <c r="I1711" i="25"/>
  <c r="F1711" i="25"/>
  <c r="BC15" i="34"/>
  <c r="BB14" i="34"/>
  <c r="L1801" i="25"/>
  <c r="M1773" i="25" s="1"/>
  <c r="M1776" i="25"/>
  <c r="N1776" i="25" s="1"/>
  <c r="C1788" i="25" s="1"/>
  <c r="L1759" i="25"/>
  <c r="M1759" i="25" s="1"/>
  <c r="N1759" i="25" s="1"/>
  <c r="L1751" i="25"/>
  <c r="M1751" i="25" s="1"/>
  <c r="N1751" i="25" s="1"/>
  <c r="L1757" i="25"/>
  <c r="M1757" i="25" s="1"/>
  <c r="N1757" i="25" s="1"/>
  <c r="L1749" i="25"/>
  <c r="M1749" i="25" s="1"/>
  <c r="N1749" i="25" s="1"/>
  <c r="H1767" i="25"/>
  <c r="I1767" i="25"/>
  <c r="L1765" i="25"/>
  <c r="M1765" i="25" s="1"/>
  <c r="N1765" i="25" s="1"/>
  <c r="K1767" i="25"/>
  <c r="J1767" i="25"/>
  <c r="L1747" i="25"/>
  <c r="M1747" i="25" s="1"/>
  <c r="N1747" i="25" s="1"/>
  <c r="G1767" i="25"/>
  <c r="L1742" i="25"/>
  <c r="L1754" i="25"/>
  <c r="M1754" i="25" s="1"/>
  <c r="N1754" i="25" s="1"/>
  <c r="L1763" i="25"/>
  <c r="M1763" i="25" s="1"/>
  <c r="N1763" i="25" s="1"/>
  <c r="L1748" i="25"/>
  <c r="M1748" i="25" s="1"/>
  <c r="N1748" i="25" s="1"/>
  <c r="L1760" i="25"/>
  <c r="M1760" i="25" s="1"/>
  <c r="N1760" i="25" s="1"/>
  <c r="L1764" i="25"/>
  <c r="M1764" i="25" s="1"/>
  <c r="N1764" i="25" s="1"/>
  <c r="L1743" i="25"/>
  <c r="M1743" i="25" s="1"/>
  <c r="N1743" i="25" s="1"/>
  <c r="L1766" i="25"/>
  <c r="M1766" i="25" s="1"/>
  <c r="N1766" i="25" s="1"/>
  <c r="L1762" i="25"/>
  <c r="M1762" i="25" s="1"/>
  <c r="N1762" i="25" s="1"/>
  <c r="L1750" i="25"/>
  <c r="M1750" i="25" s="1"/>
  <c r="N1750" i="25" s="1"/>
  <c r="L1755" i="25"/>
  <c r="M1755" i="25" s="1"/>
  <c r="N1755" i="25" s="1"/>
  <c r="L1761" i="25"/>
  <c r="M1761" i="25" s="1"/>
  <c r="N1761" i="25" s="1"/>
  <c r="L1745" i="25"/>
  <c r="M1745" i="25" s="1"/>
  <c r="N1745" i="25" s="1"/>
  <c r="L1752" i="25"/>
  <c r="M1752" i="25" s="1"/>
  <c r="N1752" i="25" s="1"/>
  <c r="F1767" i="25"/>
  <c r="L1744" i="25"/>
  <c r="M1744" i="25" s="1"/>
  <c r="N1744" i="25" s="1"/>
  <c r="L1758" i="25"/>
  <c r="M1758" i="25" s="1"/>
  <c r="N1758" i="25" s="1"/>
  <c r="L1756" i="25"/>
  <c r="M1756" i="25" s="1"/>
  <c r="N1756" i="25" s="1"/>
  <c r="L1753" i="25"/>
  <c r="M1753" i="25" s="1"/>
  <c r="N1753" i="25" s="1"/>
  <c r="L1746" i="25"/>
  <c r="M1746" i="25" s="1"/>
  <c r="N1746" i="25" s="1"/>
  <c r="F1713" i="25"/>
  <c r="F1714" i="25"/>
  <c r="G1713" i="25"/>
  <c r="H1714" i="25"/>
  <c r="K1713" i="25"/>
  <c r="I1714" i="25"/>
  <c r="H1720" i="25"/>
  <c r="I1708" i="25"/>
  <c r="H1708" i="25"/>
  <c r="F1726" i="25"/>
  <c r="H1726" i="25"/>
  <c r="G1709" i="25"/>
  <c r="I1718" i="25"/>
  <c r="I1726" i="25"/>
  <c r="F1724" i="25"/>
  <c r="F1725" i="25"/>
  <c r="I1728" i="25"/>
  <c r="I1712" i="25"/>
  <c r="K1717" i="25"/>
  <c r="H1724" i="25"/>
  <c r="G1725" i="25"/>
  <c r="H1710" i="25"/>
  <c r="F1720" i="25"/>
  <c r="I1724" i="25"/>
  <c r="J1716" i="25"/>
  <c r="J1730" i="25"/>
  <c r="J1732" i="25"/>
  <c r="J1710" i="25"/>
  <c r="H1712" i="25"/>
  <c r="I1716" i="25"/>
  <c r="G1717" i="25"/>
  <c r="H1718" i="25"/>
  <c r="J1720" i="25"/>
  <c r="K1721" i="25"/>
  <c r="I1722" i="25"/>
  <c r="J1726" i="25"/>
  <c r="H1728" i="25"/>
  <c r="I1730" i="25"/>
  <c r="J1731" i="25"/>
  <c r="I1732" i="25"/>
  <c r="F1721" i="25"/>
  <c r="F1722" i="25"/>
  <c r="J1728" i="25"/>
  <c r="F1730" i="25"/>
  <c r="F1732" i="25"/>
  <c r="J1722" i="25"/>
  <c r="J1712" i="25"/>
  <c r="F1716" i="25"/>
  <c r="J1718" i="25"/>
  <c r="J1708" i="25"/>
  <c r="K1709" i="25"/>
  <c r="I1710" i="25"/>
  <c r="F1712" i="25"/>
  <c r="J1714" i="25"/>
  <c r="H1716" i="25"/>
  <c r="F1717" i="25"/>
  <c r="F1718" i="25"/>
  <c r="I1720" i="25"/>
  <c r="G1721" i="25"/>
  <c r="H1722" i="25"/>
  <c r="J1724" i="25"/>
  <c r="K1725" i="25"/>
  <c r="F1728" i="25"/>
  <c r="H1730" i="25"/>
  <c r="H1732" i="25"/>
  <c r="H1711" i="25"/>
  <c r="H1719" i="25"/>
  <c r="H1723" i="25"/>
  <c r="J1719" i="25"/>
  <c r="J1723" i="25"/>
  <c r="J1727" i="25"/>
  <c r="I1729" i="25"/>
  <c r="H1729" i="25"/>
  <c r="K1729" i="25"/>
  <c r="H1709" i="25"/>
  <c r="K1711" i="25"/>
  <c r="H1713" i="25"/>
  <c r="F1715" i="25"/>
  <c r="K1715" i="25"/>
  <c r="H1717" i="25"/>
  <c r="F1719" i="25"/>
  <c r="K1719" i="25"/>
  <c r="H1721" i="25"/>
  <c r="F1723" i="25"/>
  <c r="K1723" i="25"/>
  <c r="H1725" i="25"/>
  <c r="F1727" i="25"/>
  <c r="K1727" i="25"/>
  <c r="F1729" i="25"/>
  <c r="I1731" i="25"/>
  <c r="H1731" i="25"/>
  <c r="K1731" i="25"/>
  <c r="H1715" i="25"/>
  <c r="H1727" i="25"/>
  <c r="J1711" i="25"/>
  <c r="J1715" i="25"/>
  <c r="J1709" i="25"/>
  <c r="G1711" i="25"/>
  <c r="J1713" i="25"/>
  <c r="G1715" i="25"/>
  <c r="J1717" i="25"/>
  <c r="G1719" i="25"/>
  <c r="J1721" i="25"/>
  <c r="G1723" i="25"/>
  <c r="J1725" i="25"/>
  <c r="G1727" i="25"/>
  <c r="G1729" i="25"/>
  <c r="F1731" i="25"/>
  <c r="G1708" i="25"/>
  <c r="G1710" i="25"/>
  <c r="G1712" i="25"/>
  <c r="G1714" i="25"/>
  <c r="G1716" i="25"/>
  <c r="G1718" i="25"/>
  <c r="G1720" i="25"/>
  <c r="G1722" i="25"/>
  <c r="G1724" i="25"/>
  <c r="G1726" i="25"/>
  <c r="G1728" i="25"/>
  <c r="G1730" i="25"/>
  <c r="G1732" i="25"/>
  <c r="A8" i="11"/>
  <c r="A7" i="11"/>
  <c r="A6" i="11"/>
  <c r="A5" i="11"/>
  <c r="A4" i="11"/>
  <c r="BD15" i="34" l="1"/>
  <c r="BC14" i="34"/>
  <c r="M1801" i="25"/>
  <c r="N1801" i="25" s="1"/>
  <c r="C1798" i="25"/>
  <c r="C1779" i="25"/>
  <c r="C1792" i="25"/>
  <c r="C1777" i="25"/>
  <c r="C1778" i="25"/>
  <c r="C1786" i="25"/>
  <c r="C1776" i="25"/>
  <c r="C1799" i="25"/>
  <c r="C1783" i="25"/>
  <c r="C1785" i="25"/>
  <c r="C1793" i="25"/>
  <c r="C1787" i="25"/>
  <c r="C1797" i="25"/>
  <c r="C1781" i="25"/>
  <c r="C1789" i="25"/>
  <c r="C1800" i="25"/>
  <c r="C1795" i="25"/>
  <c r="C1791" i="25"/>
  <c r="C1796" i="25"/>
  <c r="C1780" i="25"/>
  <c r="C1790" i="25"/>
  <c r="C1782" i="25"/>
  <c r="C1794" i="25"/>
  <c r="C1784" i="25"/>
  <c r="L1767" i="25"/>
  <c r="M1739" i="25" s="1"/>
  <c r="M1742" i="25"/>
  <c r="N1742" i="25" s="1"/>
  <c r="C1743" i="25" s="1"/>
  <c r="L1714" i="25"/>
  <c r="M1714" i="25" s="1"/>
  <c r="N1714" i="25" s="1"/>
  <c r="L1724" i="25"/>
  <c r="M1724" i="25" s="1"/>
  <c r="N1724" i="25" s="1"/>
  <c r="L1726" i="25"/>
  <c r="M1726" i="25" s="1"/>
  <c r="N1726" i="25" s="1"/>
  <c r="L1708" i="25"/>
  <c r="M1708" i="25" s="1"/>
  <c r="N1708" i="25" s="1"/>
  <c r="L1720" i="25"/>
  <c r="M1720" i="25" s="1"/>
  <c r="N1720" i="25" s="1"/>
  <c r="L1718" i="25"/>
  <c r="M1718" i="25" s="1"/>
  <c r="N1718" i="25" s="1"/>
  <c r="L1710" i="25"/>
  <c r="M1710" i="25" s="1"/>
  <c r="N1710" i="25" s="1"/>
  <c r="L1728" i="25"/>
  <c r="M1728" i="25" s="1"/>
  <c r="N1728" i="25" s="1"/>
  <c r="L1712" i="25"/>
  <c r="M1712" i="25" s="1"/>
  <c r="N1712" i="25" s="1"/>
  <c r="L1732" i="25"/>
  <c r="M1732" i="25" s="1"/>
  <c r="N1732" i="25" s="1"/>
  <c r="L1716" i="25"/>
  <c r="M1716" i="25" s="1"/>
  <c r="N1716" i="25" s="1"/>
  <c r="L1730" i="25"/>
  <c r="M1730" i="25" s="1"/>
  <c r="N1730" i="25" s="1"/>
  <c r="L1722" i="25"/>
  <c r="M1722" i="25" s="1"/>
  <c r="N1722" i="25" s="1"/>
  <c r="L1717" i="25"/>
  <c r="M1717" i="25" s="1"/>
  <c r="N1717" i="25" s="1"/>
  <c r="K1733" i="25"/>
  <c r="I1733" i="25"/>
  <c r="J1733" i="25"/>
  <c r="L1725" i="25"/>
  <c r="M1725" i="25" s="1"/>
  <c r="N1725" i="25" s="1"/>
  <c r="L1709" i="25"/>
  <c r="M1709" i="25" s="1"/>
  <c r="N1709" i="25" s="1"/>
  <c r="L1721" i="25"/>
  <c r="M1721" i="25" s="1"/>
  <c r="N1721" i="25" s="1"/>
  <c r="L1713" i="25"/>
  <c r="M1713" i="25" s="1"/>
  <c r="N1713" i="25" s="1"/>
  <c r="L1731" i="25"/>
  <c r="M1731" i="25" s="1"/>
  <c r="N1731" i="25" s="1"/>
  <c r="L1729" i="25"/>
  <c r="M1729" i="25" s="1"/>
  <c r="N1729" i="25" s="1"/>
  <c r="H1733" i="25"/>
  <c r="G1733" i="25"/>
  <c r="L1727" i="25"/>
  <c r="M1727" i="25" s="1"/>
  <c r="N1727" i="25" s="1"/>
  <c r="L1723" i="25"/>
  <c r="M1723" i="25" s="1"/>
  <c r="N1723" i="25" s="1"/>
  <c r="L1719" i="25"/>
  <c r="M1719" i="25" s="1"/>
  <c r="N1719" i="25" s="1"/>
  <c r="L1715" i="25"/>
  <c r="M1715" i="25" s="1"/>
  <c r="N1715" i="25" s="1"/>
  <c r="L1711" i="25"/>
  <c r="M1711" i="25" s="1"/>
  <c r="N1711" i="25" s="1"/>
  <c r="F1733" i="25"/>
  <c r="CQ29" i="9"/>
  <c r="CP30" i="9"/>
  <c r="CP34" i="9"/>
  <c r="CP35" i="9"/>
  <c r="CP39" i="9"/>
  <c r="CP40" i="9"/>
  <c r="CQ41" i="9" s="1"/>
  <c r="CP44" i="9"/>
  <c r="CP45" i="9"/>
  <c r="CQ46" i="9" s="1"/>
  <c r="CP49" i="9"/>
  <c r="CP50" i="9"/>
  <c r="CP54" i="9"/>
  <c r="CP55" i="9"/>
  <c r="CP59" i="9"/>
  <c r="CP60" i="9"/>
  <c r="CQ61" i="9" s="1"/>
  <c r="CP64" i="9"/>
  <c r="CP65" i="9"/>
  <c r="CQ66" i="9" s="1"/>
  <c r="CP69" i="9"/>
  <c r="CP70" i="9"/>
  <c r="CQ71" i="9" s="1"/>
  <c r="CP74" i="9"/>
  <c r="CP75" i="9"/>
  <c r="CP79" i="9"/>
  <c r="CP80" i="9"/>
  <c r="CQ81" i="9" s="1"/>
  <c r="CP84" i="9"/>
  <c r="CP85" i="9"/>
  <c r="CQ86" i="9" s="1"/>
  <c r="CP89" i="9"/>
  <c r="CP90" i="9"/>
  <c r="CQ91" i="9" s="1"/>
  <c r="CP94" i="9"/>
  <c r="CP95" i="9"/>
  <c r="CP99" i="9"/>
  <c r="CP100" i="9"/>
  <c r="CQ101" i="9" s="1"/>
  <c r="CP104" i="9"/>
  <c r="CP105" i="9"/>
  <c r="CQ106" i="9" s="1"/>
  <c r="CP109" i="9"/>
  <c r="CP110" i="9"/>
  <c r="CQ111" i="9" s="1"/>
  <c r="CP114" i="9"/>
  <c r="CP115" i="9"/>
  <c r="CP119" i="9"/>
  <c r="CP120" i="9"/>
  <c r="CQ121" i="9" s="1"/>
  <c r="CP124" i="9"/>
  <c r="CP125" i="9"/>
  <c r="CQ126" i="9" s="1"/>
  <c r="CP129" i="9"/>
  <c r="CP130" i="9"/>
  <c r="CQ131" i="9" s="1"/>
  <c r="CP134" i="9"/>
  <c r="CP135" i="9"/>
  <c r="CP139" i="9"/>
  <c r="CP140" i="9"/>
  <c r="CQ141" i="9" s="1"/>
  <c r="CP144" i="9"/>
  <c r="CP145" i="9"/>
  <c r="CQ146" i="9" s="1"/>
  <c r="CP149" i="9"/>
  <c r="CP150" i="9"/>
  <c r="CQ151" i="9" s="1"/>
  <c r="CU36" i="33"/>
  <c r="CU62" i="33"/>
  <c r="A1698" i="25"/>
  <c r="K1698" i="25" s="1"/>
  <c r="A1697" i="25"/>
  <c r="H1697" i="25" s="1"/>
  <c r="A1696" i="25"/>
  <c r="H1696" i="25" s="1"/>
  <c r="A1695" i="25"/>
  <c r="H1695" i="25" s="1"/>
  <c r="A1694" i="25"/>
  <c r="A1693" i="25"/>
  <c r="I1693" i="25" s="1"/>
  <c r="A1692" i="25"/>
  <c r="K1692" i="25" s="1"/>
  <c r="A1691" i="25"/>
  <c r="H1691" i="25" s="1"/>
  <c r="A1690" i="25"/>
  <c r="G1690" i="25" s="1"/>
  <c r="A1689" i="25"/>
  <c r="H1689" i="25" s="1"/>
  <c r="A1688" i="25"/>
  <c r="A1687" i="25"/>
  <c r="H1687" i="25" s="1"/>
  <c r="A1686" i="25"/>
  <c r="G1686" i="25" s="1"/>
  <c r="A1685" i="25"/>
  <c r="H1685" i="25" s="1"/>
  <c r="A1684" i="25"/>
  <c r="I1684" i="25" s="1"/>
  <c r="A1683" i="25"/>
  <c r="H1683" i="25" s="1"/>
  <c r="A1682" i="25"/>
  <c r="G1682" i="25" s="1"/>
  <c r="A1681" i="25"/>
  <c r="H1681" i="25" s="1"/>
  <c r="A1680" i="25"/>
  <c r="K1680" i="25" s="1"/>
  <c r="A1679" i="25"/>
  <c r="H1679" i="25" s="1"/>
  <c r="A1678" i="25"/>
  <c r="G1678" i="25" s="1"/>
  <c r="A1677" i="25"/>
  <c r="H1677" i="25" s="1"/>
  <c r="A1676" i="25"/>
  <c r="K1676" i="25" s="1"/>
  <c r="A1675" i="25"/>
  <c r="K1675" i="25" s="1"/>
  <c r="A1674" i="25"/>
  <c r="J1674" i="25" s="1"/>
  <c r="CQ116" i="9" l="1"/>
  <c r="CQ136" i="9"/>
  <c r="CQ56" i="9"/>
  <c r="CQ31" i="9"/>
  <c r="CQ96" i="9"/>
  <c r="CQ51" i="9"/>
  <c r="CQ36" i="9"/>
  <c r="CQ76" i="9"/>
  <c r="BE15" i="34"/>
  <c r="BD14" i="34"/>
  <c r="M1767" i="25"/>
  <c r="N1767" i="25" s="1"/>
  <c r="C1762" i="25"/>
  <c r="C1753" i="25"/>
  <c r="C1750" i="25"/>
  <c r="C1760" i="25"/>
  <c r="C1742" i="25"/>
  <c r="C1765" i="25"/>
  <c r="C1759" i="25"/>
  <c r="C1751" i="25"/>
  <c r="C1757" i="25"/>
  <c r="C1749" i="25"/>
  <c r="C1756" i="25"/>
  <c r="C1752" i="25"/>
  <c r="C1748" i="25"/>
  <c r="C1754" i="25"/>
  <c r="C1755" i="25"/>
  <c r="C1746" i="25"/>
  <c r="C1764" i="25"/>
  <c r="C1758" i="25"/>
  <c r="C1766" i="25"/>
  <c r="C1745" i="25"/>
  <c r="C1763" i="25"/>
  <c r="C1747" i="25"/>
  <c r="C1761" i="25"/>
  <c r="C1744" i="25"/>
  <c r="G1684" i="25"/>
  <c r="I1686" i="25"/>
  <c r="L1733" i="25"/>
  <c r="M1733" i="25" s="1"/>
  <c r="N1733" i="25" s="1"/>
  <c r="C1731" i="25"/>
  <c r="C1721" i="25"/>
  <c r="C1718" i="25"/>
  <c r="C1723" i="25"/>
  <c r="C1732" i="25"/>
  <c r="C1714" i="25"/>
  <c r="C1730" i="25"/>
  <c r="C1722" i="25"/>
  <c r="C1709" i="25"/>
  <c r="C1716" i="25"/>
  <c r="C1710" i="25"/>
  <c r="C1715" i="25"/>
  <c r="C1729" i="25"/>
  <c r="C1728" i="25"/>
  <c r="C1711" i="25"/>
  <c r="C1719" i="25"/>
  <c r="C1727" i="25"/>
  <c r="C1724" i="25"/>
  <c r="C1725" i="25"/>
  <c r="C1726" i="25"/>
  <c r="C1713" i="25"/>
  <c r="C1717" i="25"/>
  <c r="C1708" i="25"/>
  <c r="C1712" i="25"/>
  <c r="C1720" i="25"/>
  <c r="I1678" i="25"/>
  <c r="K1684" i="25"/>
  <c r="K1686" i="25"/>
  <c r="G1676" i="25"/>
  <c r="G1677" i="25"/>
  <c r="G1679" i="25"/>
  <c r="J1689" i="25"/>
  <c r="I1676" i="25"/>
  <c r="G1685" i="25"/>
  <c r="I1692" i="25"/>
  <c r="I1697" i="25"/>
  <c r="G1692" i="25"/>
  <c r="K1687" i="25"/>
  <c r="F1675" i="25"/>
  <c r="K1678" i="25"/>
  <c r="J1679" i="25"/>
  <c r="F1681" i="25"/>
  <c r="F1687" i="25"/>
  <c r="K1689" i="25"/>
  <c r="F1695" i="25"/>
  <c r="G1696" i="25"/>
  <c r="J1697" i="25"/>
  <c r="J1675" i="25"/>
  <c r="K1679" i="25"/>
  <c r="J1681" i="25"/>
  <c r="G1687" i="25"/>
  <c r="I1695" i="25"/>
  <c r="H1675" i="25"/>
  <c r="I1675" i="25"/>
  <c r="F1679" i="25"/>
  <c r="K1681" i="25"/>
  <c r="J1687" i="25"/>
  <c r="F1689" i="25"/>
  <c r="J1695" i="25"/>
  <c r="F1697" i="25"/>
  <c r="H1698" i="25"/>
  <c r="I1683" i="25"/>
  <c r="J1688" i="25"/>
  <c r="F1688" i="25"/>
  <c r="H1688" i="25"/>
  <c r="I1691" i="25"/>
  <c r="J1694" i="25"/>
  <c r="F1694" i="25"/>
  <c r="I1694" i="25"/>
  <c r="K1694" i="25"/>
  <c r="H1674" i="25"/>
  <c r="I1677" i="25"/>
  <c r="I1680" i="25"/>
  <c r="J1682" i="25"/>
  <c r="F1682" i="25"/>
  <c r="H1682" i="25"/>
  <c r="J1683" i="25"/>
  <c r="I1685" i="25"/>
  <c r="I1688" i="25"/>
  <c r="J1690" i="25"/>
  <c r="F1690" i="25"/>
  <c r="H1690" i="25"/>
  <c r="J1691" i="25"/>
  <c r="H1693" i="25"/>
  <c r="K1693" i="25"/>
  <c r="G1693" i="25"/>
  <c r="J1693" i="25"/>
  <c r="I1674" i="25"/>
  <c r="G1675" i="25"/>
  <c r="J1676" i="25"/>
  <c r="F1676" i="25"/>
  <c r="H1676" i="25"/>
  <c r="J1677" i="25"/>
  <c r="I1679" i="25"/>
  <c r="G1681" i="25"/>
  <c r="I1682" i="25"/>
  <c r="F1683" i="25"/>
  <c r="K1683" i="25"/>
  <c r="J1684" i="25"/>
  <c r="F1684" i="25"/>
  <c r="H1684" i="25"/>
  <c r="J1685" i="25"/>
  <c r="I1687" i="25"/>
  <c r="K1688" i="25"/>
  <c r="G1689" i="25"/>
  <c r="I1690" i="25"/>
  <c r="F1691" i="25"/>
  <c r="K1691" i="25"/>
  <c r="J1692" i="25"/>
  <c r="F1692" i="25"/>
  <c r="H1692" i="25"/>
  <c r="G1694" i="25"/>
  <c r="G1674" i="25"/>
  <c r="K1674" i="25"/>
  <c r="J1680" i="25"/>
  <c r="F1680" i="25"/>
  <c r="H1680" i="25"/>
  <c r="F1674" i="25"/>
  <c r="F1677" i="25"/>
  <c r="K1677" i="25"/>
  <c r="J1678" i="25"/>
  <c r="F1678" i="25"/>
  <c r="H1678" i="25"/>
  <c r="G1680" i="25"/>
  <c r="I1681" i="25"/>
  <c r="K1682" i="25"/>
  <c r="G1683" i="25"/>
  <c r="F1685" i="25"/>
  <c r="K1685" i="25"/>
  <c r="J1686" i="25"/>
  <c r="F1686" i="25"/>
  <c r="H1686" i="25"/>
  <c r="G1688" i="25"/>
  <c r="I1689" i="25"/>
  <c r="K1690" i="25"/>
  <c r="G1691" i="25"/>
  <c r="F1693" i="25"/>
  <c r="H1694" i="25"/>
  <c r="J1696" i="25"/>
  <c r="F1696" i="25"/>
  <c r="I1696" i="25"/>
  <c r="K1696" i="25"/>
  <c r="G1695" i="25"/>
  <c r="K1695" i="25"/>
  <c r="G1697" i="25"/>
  <c r="K1697" i="25"/>
  <c r="I1698" i="25"/>
  <c r="F1698" i="25"/>
  <c r="J1698" i="25"/>
  <c r="G1698" i="25"/>
  <c r="BE14" i="34" l="1"/>
  <c r="BF15" i="34"/>
  <c r="M1705" i="25"/>
  <c r="L1675" i="25"/>
  <c r="M1675" i="25" s="1"/>
  <c r="N1675" i="25" s="1"/>
  <c r="L1687" i="25"/>
  <c r="M1687" i="25" s="1"/>
  <c r="N1687" i="25" s="1"/>
  <c r="L1679" i="25"/>
  <c r="M1679" i="25" s="1"/>
  <c r="N1679" i="25" s="1"/>
  <c r="L1697" i="25"/>
  <c r="M1697" i="25" s="1"/>
  <c r="N1697" i="25" s="1"/>
  <c r="L1681" i="25"/>
  <c r="M1681" i="25" s="1"/>
  <c r="N1681" i="25" s="1"/>
  <c r="L1695" i="25"/>
  <c r="M1695" i="25" s="1"/>
  <c r="N1695" i="25" s="1"/>
  <c r="L1689" i="25"/>
  <c r="M1689" i="25" s="1"/>
  <c r="N1689" i="25" s="1"/>
  <c r="J1699" i="25"/>
  <c r="F1699" i="25"/>
  <c r="L1674" i="25"/>
  <c r="M1674" i="25" s="1"/>
  <c r="N1674" i="25" s="1"/>
  <c r="L1698" i="25"/>
  <c r="M1698" i="25" s="1"/>
  <c r="N1698" i="25" s="1"/>
  <c r="L1696" i="25"/>
  <c r="M1696" i="25" s="1"/>
  <c r="N1696" i="25" s="1"/>
  <c r="L1694" i="25"/>
  <c r="M1694" i="25" s="1"/>
  <c r="N1694" i="25" s="1"/>
  <c r="L1686" i="25"/>
  <c r="M1686" i="25" s="1"/>
  <c r="N1686" i="25" s="1"/>
  <c r="L1677" i="25"/>
  <c r="M1677" i="25" s="1"/>
  <c r="N1677" i="25" s="1"/>
  <c r="K1699" i="25"/>
  <c r="L1691" i="25"/>
  <c r="M1691" i="25" s="1"/>
  <c r="N1691" i="25" s="1"/>
  <c r="L1684" i="25"/>
  <c r="M1684" i="25" s="1"/>
  <c r="N1684" i="25" s="1"/>
  <c r="I1699" i="25"/>
  <c r="L1682" i="25"/>
  <c r="M1682" i="25" s="1"/>
  <c r="N1682" i="25" s="1"/>
  <c r="H1699" i="25"/>
  <c r="L1693" i="25"/>
  <c r="M1693" i="25" s="1"/>
  <c r="N1693" i="25" s="1"/>
  <c r="L1680" i="25"/>
  <c r="M1680" i="25" s="1"/>
  <c r="N1680" i="25" s="1"/>
  <c r="L1685" i="25"/>
  <c r="M1685" i="25" s="1"/>
  <c r="N1685" i="25" s="1"/>
  <c r="L1683" i="25"/>
  <c r="M1683" i="25" s="1"/>
  <c r="N1683" i="25" s="1"/>
  <c r="L1688" i="25"/>
  <c r="M1688" i="25" s="1"/>
  <c r="N1688" i="25" s="1"/>
  <c r="L1678" i="25"/>
  <c r="M1678" i="25" s="1"/>
  <c r="N1678" i="25" s="1"/>
  <c r="G1699" i="25"/>
  <c r="L1692" i="25"/>
  <c r="M1692" i="25" s="1"/>
  <c r="N1692" i="25" s="1"/>
  <c r="L1676" i="25"/>
  <c r="M1676" i="25" s="1"/>
  <c r="N1676" i="25" s="1"/>
  <c r="L1690" i="25"/>
  <c r="M1690" i="25" s="1"/>
  <c r="N1690" i="25" s="1"/>
  <c r="BG15" i="34" l="1"/>
  <c r="BF14" i="34"/>
  <c r="C1692" i="25"/>
  <c r="C1698" i="25"/>
  <c r="C1693" i="25"/>
  <c r="C1678" i="25"/>
  <c r="C1691" i="25"/>
  <c r="C1690" i="25"/>
  <c r="C1694" i="25"/>
  <c r="C1688" i="25"/>
  <c r="C1686" i="25"/>
  <c r="C1696" i="25"/>
  <c r="C1674" i="25"/>
  <c r="C1697" i="25"/>
  <c r="C1683" i="25"/>
  <c r="C1684" i="25"/>
  <c r="C1687" i="25"/>
  <c r="C1682" i="25"/>
  <c r="C1677" i="25"/>
  <c r="C1679" i="25"/>
  <c r="C1675" i="25"/>
  <c r="C1676" i="25"/>
  <c r="C1695" i="25"/>
  <c r="C1680" i="25"/>
  <c r="C1685" i="25"/>
  <c r="L1699" i="25"/>
  <c r="M1671" i="25" s="1"/>
  <c r="C1681" i="25"/>
  <c r="C1689" i="25"/>
  <c r="CP29" i="9"/>
  <c r="CT62" i="33"/>
  <c r="CT36" i="33"/>
  <c r="A1664" i="25"/>
  <c r="K1664" i="25" s="1"/>
  <c r="A1663" i="25"/>
  <c r="H1663" i="25" s="1"/>
  <c r="A1662" i="25"/>
  <c r="H1662" i="25" s="1"/>
  <c r="A1661" i="25"/>
  <c r="H1661" i="25" s="1"/>
  <c r="A1660" i="25"/>
  <c r="A1659" i="25"/>
  <c r="H1659" i="25" s="1"/>
  <c r="A1658" i="25"/>
  <c r="H1658" i="25" s="1"/>
  <c r="A1657" i="25"/>
  <c r="H1657" i="25" s="1"/>
  <c r="A1656" i="25"/>
  <c r="A1655" i="25"/>
  <c r="H1655" i="25" s="1"/>
  <c r="A1654" i="25"/>
  <c r="G1654" i="25" s="1"/>
  <c r="A1653" i="25"/>
  <c r="H1653" i="25" s="1"/>
  <c r="A1652" i="25"/>
  <c r="K1652" i="25" s="1"/>
  <c r="A1651" i="25"/>
  <c r="H1651" i="25" s="1"/>
  <c r="A1650" i="25"/>
  <c r="K1650" i="25" s="1"/>
  <c r="A1649" i="25"/>
  <c r="H1649" i="25" s="1"/>
  <c r="A1648" i="25"/>
  <c r="A1647" i="25"/>
  <c r="H1647" i="25" s="1"/>
  <c r="A1646" i="25"/>
  <c r="G1646" i="25" s="1"/>
  <c r="A1645" i="25"/>
  <c r="H1645" i="25" s="1"/>
  <c r="A1644" i="25"/>
  <c r="K1644" i="25" s="1"/>
  <c r="A1643" i="25"/>
  <c r="H1643" i="25" s="1"/>
  <c r="A1642" i="25"/>
  <c r="K1642" i="25" s="1"/>
  <c r="A1641" i="25"/>
  <c r="H1641" i="25" s="1"/>
  <c r="A1640" i="25"/>
  <c r="K1640" i="25" s="1"/>
  <c r="BG14" i="34" l="1"/>
  <c r="BH15" i="34"/>
  <c r="F1647" i="25"/>
  <c r="G1650" i="25"/>
  <c r="I1654" i="25"/>
  <c r="G1652" i="25"/>
  <c r="G1658" i="25"/>
  <c r="G1642" i="25"/>
  <c r="F1645" i="25"/>
  <c r="F1655" i="25"/>
  <c r="I1641" i="25"/>
  <c r="I1644" i="25"/>
  <c r="G1645" i="25"/>
  <c r="J1649" i="25"/>
  <c r="G1655" i="25"/>
  <c r="F1657" i="25"/>
  <c r="F1659" i="25"/>
  <c r="F1661" i="25"/>
  <c r="F1641" i="25"/>
  <c r="G1644" i="25"/>
  <c r="I1646" i="25"/>
  <c r="F1653" i="25"/>
  <c r="J1641" i="25"/>
  <c r="K1645" i="25"/>
  <c r="J1655" i="25"/>
  <c r="I1659" i="25"/>
  <c r="H1640" i="25"/>
  <c r="G1647" i="25"/>
  <c r="I1652" i="25"/>
  <c r="G1653" i="25"/>
  <c r="K1655" i="25"/>
  <c r="I1657" i="25"/>
  <c r="J1659" i="25"/>
  <c r="I1661" i="25"/>
  <c r="F1663" i="25"/>
  <c r="H1664" i="25"/>
  <c r="J1647" i="25"/>
  <c r="K1653" i="25"/>
  <c r="J1657" i="25"/>
  <c r="J1661" i="25"/>
  <c r="I1663" i="25"/>
  <c r="K1647" i="25"/>
  <c r="J1663" i="25"/>
  <c r="M1699" i="25"/>
  <c r="N1699" i="25" s="1"/>
  <c r="J1648" i="25"/>
  <c r="F1648" i="25"/>
  <c r="H1648" i="25"/>
  <c r="J1656" i="25"/>
  <c r="F1656" i="25"/>
  <c r="H1656" i="25"/>
  <c r="I1640" i="25"/>
  <c r="J1642" i="25"/>
  <c r="F1642" i="25"/>
  <c r="J1643" i="25"/>
  <c r="I1645" i="25"/>
  <c r="K1646" i="25"/>
  <c r="I1656" i="25"/>
  <c r="J1658" i="25"/>
  <c r="F1658" i="25"/>
  <c r="I1658" i="25"/>
  <c r="K1658" i="25"/>
  <c r="G1662" i="25"/>
  <c r="I1643" i="25"/>
  <c r="I1651" i="25"/>
  <c r="J1660" i="25"/>
  <c r="F1660" i="25"/>
  <c r="I1660" i="25"/>
  <c r="K1660" i="25"/>
  <c r="G1641" i="25"/>
  <c r="K1641" i="25"/>
  <c r="H1642" i="25"/>
  <c r="I1648" i="25"/>
  <c r="F1649" i="25"/>
  <c r="K1649" i="25"/>
  <c r="J1650" i="25"/>
  <c r="F1650" i="25"/>
  <c r="H1650" i="25"/>
  <c r="J1651" i="25"/>
  <c r="I1653" i="25"/>
  <c r="K1654" i="25"/>
  <c r="F1640" i="25"/>
  <c r="J1640" i="25"/>
  <c r="I1642" i="25"/>
  <c r="F1643" i="25"/>
  <c r="K1643" i="25"/>
  <c r="J1644" i="25"/>
  <c r="F1644" i="25"/>
  <c r="H1644" i="25"/>
  <c r="J1645" i="25"/>
  <c r="I1647" i="25"/>
  <c r="K1648" i="25"/>
  <c r="G1649" i="25"/>
  <c r="I1650" i="25"/>
  <c r="F1651" i="25"/>
  <c r="K1651" i="25"/>
  <c r="J1652" i="25"/>
  <c r="F1652" i="25"/>
  <c r="H1652" i="25"/>
  <c r="J1653" i="25"/>
  <c r="I1655" i="25"/>
  <c r="K1656" i="25"/>
  <c r="G1660" i="25"/>
  <c r="G1640" i="25"/>
  <c r="G1643" i="25"/>
  <c r="J1646" i="25"/>
  <c r="F1646" i="25"/>
  <c r="H1646" i="25"/>
  <c r="G1648" i="25"/>
  <c r="I1649" i="25"/>
  <c r="G1651" i="25"/>
  <c r="J1654" i="25"/>
  <c r="F1654" i="25"/>
  <c r="H1654" i="25"/>
  <c r="G1656" i="25"/>
  <c r="H1660" i="25"/>
  <c r="J1662" i="25"/>
  <c r="F1662" i="25"/>
  <c r="I1662" i="25"/>
  <c r="K1662" i="25"/>
  <c r="G1657" i="25"/>
  <c r="K1657" i="25"/>
  <c r="G1659" i="25"/>
  <c r="K1659" i="25"/>
  <c r="G1661" i="25"/>
  <c r="K1661" i="25"/>
  <c r="G1663" i="25"/>
  <c r="K1663" i="25"/>
  <c r="I1664" i="25"/>
  <c r="F1664" i="25"/>
  <c r="J1664" i="25"/>
  <c r="G1664" i="25"/>
  <c r="CO150" i="9"/>
  <c r="CO149" i="9"/>
  <c r="CO145" i="9"/>
  <c r="CP146" i="9" s="1"/>
  <c r="CO144" i="9"/>
  <c r="CO140" i="9"/>
  <c r="CO139" i="9"/>
  <c r="CO135" i="9"/>
  <c r="CO134" i="9"/>
  <c r="CO130" i="9"/>
  <c r="CO129" i="9"/>
  <c r="CO125" i="9"/>
  <c r="CP126" i="9" s="1"/>
  <c r="CO124" i="9"/>
  <c r="CO120" i="9"/>
  <c r="CO119" i="9"/>
  <c r="CO115" i="9"/>
  <c r="CO114" i="9"/>
  <c r="CO110" i="9"/>
  <c r="CP111" i="9" s="1"/>
  <c r="CO109" i="9"/>
  <c r="CO105" i="9"/>
  <c r="CP106" i="9" s="1"/>
  <c r="CO104" i="9"/>
  <c r="CO100" i="9"/>
  <c r="CO99" i="9"/>
  <c r="CO95" i="9"/>
  <c r="CO94" i="9"/>
  <c r="CO90" i="9"/>
  <c r="CP91" i="9" s="1"/>
  <c r="CO89" i="9"/>
  <c r="CO85" i="9"/>
  <c r="CP86" i="9" s="1"/>
  <c r="CO84" i="9"/>
  <c r="CO80" i="9"/>
  <c r="CO79" i="9"/>
  <c r="CO75" i="9"/>
  <c r="CO74" i="9"/>
  <c r="CO70" i="9"/>
  <c r="CP71" i="9" s="1"/>
  <c r="CO69" i="9"/>
  <c r="CO65" i="9"/>
  <c r="CP66" i="9" s="1"/>
  <c r="CO64" i="9"/>
  <c r="CO60" i="9"/>
  <c r="CO59" i="9"/>
  <c r="CO55" i="9"/>
  <c r="CO54" i="9"/>
  <c r="CO50" i="9"/>
  <c r="CP51" i="9" s="1"/>
  <c r="CO49" i="9"/>
  <c r="CO45" i="9"/>
  <c r="CP46" i="9" s="1"/>
  <c r="CO44" i="9"/>
  <c r="CO40" i="9"/>
  <c r="CO39" i="9"/>
  <c r="CO35" i="9"/>
  <c r="CO34" i="9"/>
  <c r="CO30" i="9"/>
  <c r="CP31" i="9" s="1"/>
  <c r="CO29" i="9"/>
  <c r="CS62" i="33"/>
  <c r="CS36" i="33"/>
  <c r="A1630" i="25"/>
  <c r="K1630" i="25" s="1"/>
  <c r="A1629" i="25"/>
  <c r="H1629" i="25" s="1"/>
  <c r="A1628" i="25"/>
  <c r="H1628" i="25" s="1"/>
  <c r="A1627" i="25"/>
  <c r="H1627" i="25" s="1"/>
  <c r="A1626" i="25"/>
  <c r="A1625" i="25"/>
  <c r="H1625" i="25" s="1"/>
  <c r="A1624" i="25"/>
  <c r="H1624" i="25" s="1"/>
  <c r="A1623" i="25"/>
  <c r="F1623" i="25" s="1"/>
  <c r="A1622" i="25"/>
  <c r="G1622" i="25" s="1"/>
  <c r="A1621" i="25"/>
  <c r="H1621" i="25" s="1"/>
  <c r="A1620" i="25"/>
  <c r="K1620" i="25" s="1"/>
  <c r="A1619" i="25"/>
  <c r="H1619" i="25" s="1"/>
  <c r="A1618" i="25"/>
  <c r="K1618" i="25" s="1"/>
  <c r="A1617" i="25"/>
  <c r="H1617" i="25" s="1"/>
  <c r="A1616" i="25"/>
  <c r="A1615" i="25"/>
  <c r="H1615" i="25" s="1"/>
  <c r="A1614" i="25"/>
  <c r="G1614" i="25" s="1"/>
  <c r="A1613" i="25"/>
  <c r="H1613" i="25" s="1"/>
  <c r="A1612" i="25"/>
  <c r="G1612" i="25" s="1"/>
  <c r="A1611" i="25"/>
  <c r="H1611" i="25" s="1"/>
  <c r="A1610" i="25"/>
  <c r="G1610" i="25" s="1"/>
  <c r="A1609" i="25"/>
  <c r="H1609" i="25" s="1"/>
  <c r="A1608" i="25"/>
  <c r="A1607" i="25"/>
  <c r="J1607" i="25" s="1"/>
  <c r="A1606" i="25"/>
  <c r="K1606" i="25" s="1"/>
  <c r="CP36" i="9" l="1"/>
  <c r="CP61" i="9"/>
  <c r="CP76" i="9"/>
  <c r="CP101" i="9"/>
  <c r="CO116" i="9"/>
  <c r="CP116" i="9"/>
  <c r="CP151" i="9"/>
  <c r="CO136" i="9"/>
  <c r="CP136" i="9"/>
  <c r="CP41" i="9"/>
  <c r="CO56" i="9"/>
  <c r="CP56" i="9"/>
  <c r="CP81" i="9"/>
  <c r="CO96" i="9"/>
  <c r="CP96" i="9"/>
  <c r="CP121" i="9"/>
  <c r="CP131" i="9"/>
  <c r="CP141" i="9"/>
  <c r="BI15" i="34"/>
  <c r="BH14" i="34"/>
  <c r="I1612" i="25"/>
  <c r="I1606" i="25"/>
  <c r="K1610" i="25"/>
  <c r="K1612" i="25"/>
  <c r="J1627" i="25"/>
  <c r="G1613" i="25"/>
  <c r="I1623" i="25"/>
  <c r="I1629" i="25"/>
  <c r="K1613" i="25"/>
  <c r="L1647" i="25"/>
  <c r="M1647" i="25" s="1"/>
  <c r="N1647" i="25" s="1"/>
  <c r="L1653" i="25"/>
  <c r="M1653" i="25" s="1"/>
  <c r="N1653" i="25" s="1"/>
  <c r="L1655" i="25"/>
  <c r="M1655" i="25" s="1"/>
  <c r="N1655" i="25" s="1"/>
  <c r="K1615" i="25"/>
  <c r="J1606" i="25"/>
  <c r="J1609" i="25"/>
  <c r="F1615" i="25"/>
  <c r="G1618" i="25"/>
  <c r="G1620" i="25"/>
  <c r="F1621" i="25"/>
  <c r="I1622" i="25"/>
  <c r="F1625" i="25"/>
  <c r="J1629" i="25"/>
  <c r="F1606" i="25"/>
  <c r="I1620" i="25"/>
  <c r="G1621" i="25"/>
  <c r="G1624" i="25"/>
  <c r="I1625" i="25"/>
  <c r="F1627" i="25"/>
  <c r="G1615" i="25"/>
  <c r="H1606" i="25"/>
  <c r="F1613" i="25"/>
  <c r="I1614" i="25"/>
  <c r="J1615" i="25"/>
  <c r="J1617" i="25"/>
  <c r="K1621" i="25"/>
  <c r="J1625" i="25"/>
  <c r="I1627" i="25"/>
  <c r="F1629" i="25"/>
  <c r="H1630" i="25"/>
  <c r="L1661" i="25"/>
  <c r="M1661" i="25" s="1"/>
  <c r="N1661" i="25" s="1"/>
  <c r="L1657" i="25"/>
  <c r="M1657" i="25" s="1"/>
  <c r="N1657" i="25" s="1"/>
  <c r="L1645" i="25"/>
  <c r="M1645" i="25" s="1"/>
  <c r="N1645" i="25" s="1"/>
  <c r="L1641" i="25"/>
  <c r="M1641" i="25" s="1"/>
  <c r="N1641" i="25" s="1"/>
  <c r="H1665" i="25"/>
  <c r="K1665" i="25"/>
  <c r="L1663" i="25"/>
  <c r="M1663" i="25" s="1"/>
  <c r="N1663" i="25" s="1"/>
  <c r="L1659" i="25"/>
  <c r="M1659" i="25" s="1"/>
  <c r="N1659" i="25" s="1"/>
  <c r="L1644" i="25"/>
  <c r="M1644" i="25" s="1"/>
  <c r="N1644" i="25" s="1"/>
  <c r="L1650" i="25"/>
  <c r="M1650" i="25" s="1"/>
  <c r="N1650" i="25" s="1"/>
  <c r="L1642" i="25"/>
  <c r="M1642" i="25" s="1"/>
  <c r="N1642" i="25" s="1"/>
  <c r="L1656" i="25"/>
  <c r="M1656" i="25" s="1"/>
  <c r="N1656" i="25" s="1"/>
  <c r="L1664" i="25"/>
  <c r="M1664" i="25" s="1"/>
  <c r="N1664" i="25" s="1"/>
  <c r="L1662" i="25"/>
  <c r="M1662" i="25" s="1"/>
  <c r="N1662" i="25" s="1"/>
  <c r="L1651" i="25"/>
  <c r="M1651" i="25" s="1"/>
  <c r="N1651" i="25" s="1"/>
  <c r="L1646" i="25"/>
  <c r="M1646" i="25" s="1"/>
  <c r="N1646" i="25" s="1"/>
  <c r="G1665" i="25"/>
  <c r="L1652" i="25"/>
  <c r="M1652" i="25" s="1"/>
  <c r="N1652" i="25" s="1"/>
  <c r="J1665" i="25"/>
  <c r="L1660" i="25"/>
  <c r="M1660" i="25" s="1"/>
  <c r="N1660" i="25" s="1"/>
  <c r="L1658" i="25"/>
  <c r="M1658" i="25" s="1"/>
  <c r="N1658" i="25" s="1"/>
  <c r="I1665" i="25"/>
  <c r="L1654" i="25"/>
  <c r="M1654" i="25" s="1"/>
  <c r="N1654" i="25" s="1"/>
  <c r="L1643" i="25"/>
  <c r="M1643" i="25" s="1"/>
  <c r="N1643" i="25" s="1"/>
  <c r="F1665" i="25"/>
  <c r="L1640" i="25"/>
  <c r="M1640" i="25" s="1"/>
  <c r="N1640" i="25" s="1"/>
  <c r="L1649" i="25"/>
  <c r="M1649" i="25" s="1"/>
  <c r="N1649" i="25" s="1"/>
  <c r="L1648" i="25"/>
  <c r="M1648" i="25" s="1"/>
  <c r="N1648" i="25" s="1"/>
  <c r="J1626" i="25"/>
  <c r="F1626" i="25"/>
  <c r="I1626" i="25"/>
  <c r="K1626" i="25"/>
  <c r="G1607" i="25"/>
  <c r="K1607" i="25"/>
  <c r="J1608" i="25"/>
  <c r="F1608" i="25"/>
  <c r="H1608" i="25"/>
  <c r="I1611" i="25"/>
  <c r="J1616" i="25"/>
  <c r="F1616" i="25"/>
  <c r="H1616" i="25"/>
  <c r="I1619" i="25"/>
  <c r="H1607" i="25"/>
  <c r="I1608" i="25"/>
  <c r="F1609" i="25"/>
  <c r="K1609" i="25"/>
  <c r="J1610" i="25"/>
  <c r="F1610" i="25"/>
  <c r="H1610" i="25"/>
  <c r="J1611" i="25"/>
  <c r="I1621" i="25"/>
  <c r="K1622" i="25"/>
  <c r="I1613" i="25"/>
  <c r="K1614" i="25"/>
  <c r="I1616" i="25"/>
  <c r="F1617" i="25"/>
  <c r="K1617" i="25"/>
  <c r="J1618" i="25"/>
  <c r="F1618" i="25"/>
  <c r="H1618" i="25"/>
  <c r="J1619" i="25"/>
  <c r="J1624" i="25"/>
  <c r="F1624" i="25"/>
  <c r="I1624" i="25"/>
  <c r="K1624" i="25"/>
  <c r="G1628" i="25"/>
  <c r="G1606" i="25"/>
  <c r="I1607" i="25"/>
  <c r="K1608" i="25"/>
  <c r="G1609" i="25"/>
  <c r="I1610" i="25"/>
  <c r="F1611" i="25"/>
  <c r="K1611" i="25"/>
  <c r="J1612" i="25"/>
  <c r="F1612" i="25"/>
  <c r="H1612" i="25"/>
  <c r="J1613" i="25"/>
  <c r="I1615" i="25"/>
  <c r="K1616" i="25"/>
  <c r="G1617" i="25"/>
  <c r="I1618" i="25"/>
  <c r="F1619" i="25"/>
  <c r="K1619" i="25"/>
  <c r="J1620" i="25"/>
  <c r="F1620" i="25"/>
  <c r="H1620" i="25"/>
  <c r="J1621" i="25"/>
  <c r="H1623" i="25"/>
  <c r="K1623" i="25"/>
  <c r="G1623" i="25"/>
  <c r="J1623" i="25"/>
  <c r="G1626" i="25"/>
  <c r="F1607" i="25"/>
  <c r="G1608" i="25"/>
  <c r="I1609" i="25"/>
  <c r="G1611" i="25"/>
  <c r="J1614" i="25"/>
  <c r="F1614" i="25"/>
  <c r="H1614" i="25"/>
  <c r="G1616" i="25"/>
  <c r="I1617" i="25"/>
  <c r="G1619" i="25"/>
  <c r="J1622" i="25"/>
  <c r="F1622" i="25"/>
  <c r="H1622" i="25"/>
  <c r="H1626" i="25"/>
  <c r="J1628" i="25"/>
  <c r="F1628" i="25"/>
  <c r="I1628" i="25"/>
  <c r="K1628" i="25"/>
  <c r="G1625" i="25"/>
  <c r="K1625" i="25"/>
  <c r="G1627" i="25"/>
  <c r="K1627" i="25"/>
  <c r="G1629" i="25"/>
  <c r="K1629" i="25"/>
  <c r="I1630" i="25"/>
  <c r="F1630" i="25"/>
  <c r="J1630" i="25"/>
  <c r="G1630" i="25"/>
  <c r="CN150" i="9"/>
  <c r="CO151" i="9" s="1"/>
  <c r="CN149" i="9"/>
  <c r="CN145" i="9"/>
  <c r="CO146" i="9" s="1"/>
  <c r="CN144" i="9"/>
  <c r="CN140" i="9"/>
  <c r="CO141" i="9" s="1"/>
  <c r="CN139" i="9"/>
  <c r="CN135" i="9"/>
  <c r="CN134" i="9"/>
  <c r="CN130" i="9"/>
  <c r="CO131" i="9" s="1"/>
  <c r="CN129" i="9"/>
  <c r="CN125" i="9"/>
  <c r="CO126" i="9" s="1"/>
  <c r="CN124" i="9"/>
  <c r="CN120" i="9"/>
  <c r="CO121" i="9" s="1"/>
  <c r="CN119" i="9"/>
  <c r="CN115" i="9"/>
  <c r="CN114" i="9"/>
  <c r="CN110" i="9"/>
  <c r="CO111" i="9" s="1"/>
  <c r="CN109" i="9"/>
  <c r="CN105" i="9"/>
  <c r="CO106" i="9" s="1"/>
  <c r="CN104" i="9"/>
  <c r="CN100" i="9"/>
  <c r="CO101" i="9" s="1"/>
  <c r="CN99" i="9"/>
  <c r="CN95" i="9"/>
  <c r="CN94" i="9"/>
  <c r="CN90" i="9"/>
  <c r="CO91" i="9" s="1"/>
  <c r="CN89" i="9"/>
  <c r="CN85" i="9"/>
  <c r="CO86" i="9" s="1"/>
  <c r="CN84" i="9"/>
  <c r="CN80" i="9"/>
  <c r="CO81" i="9" s="1"/>
  <c r="CN79" i="9"/>
  <c r="CN75" i="9"/>
  <c r="CO76" i="9" s="1"/>
  <c r="CN74" i="9"/>
  <c r="CN70" i="9"/>
  <c r="CO71" i="9" s="1"/>
  <c r="CN69" i="9"/>
  <c r="CN65" i="9"/>
  <c r="CO66" i="9" s="1"/>
  <c r="CN64" i="9"/>
  <c r="CN60" i="9"/>
  <c r="CO61" i="9" s="1"/>
  <c r="CN59" i="9"/>
  <c r="CN55" i="9"/>
  <c r="CN54" i="9"/>
  <c r="CN50" i="9"/>
  <c r="CO51" i="9" s="1"/>
  <c r="CN49" i="9"/>
  <c r="CN45" i="9"/>
  <c r="CO46" i="9" s="1"/>
  <c r="CN44" i="9"/>
  <c r="CN40" i="9"/>
  <c r="CO41" i="9" s="1"/>
  <c r="CN39" i="9"/>
  <c r="CN35" i="9"/>
  <c r="CO36" i="9" s="1"/>
  <c r="CN34" i="9"/>
  <c r="CN30" i="9"/>
  <c r="CO31" i="9" s="1"/>
  <c r="CN29" i="9"/>
  <c r="CR62" i="33"/>
  <c r="CR36" i="33"/>
  <c r="A1596" i="25"/>
  <c r="K1596" i="25" s="1"/>
  <c r="A1595" i="25"/>
  <c r="H1595" i="25" s="1"/>
  <c r="A1594" i="25"/>
  <c r="H1594" i="25" s="1"/>
  <c r="A1593" i="25"/>
  <c r="H1593" i="25" s="1"/>
  <c r="A1592" i="25"/>
  <c r="A1591" i="25"/>
  <c r="H1591" i="25" s="1"/>
  <c r="A1590" i="25"/>
  <c r="H1590" i="25" s="1"/>
  <c r="A1589" i="25"/>
  <c r="H1589" i="25" s="1"/>
  <c r="A1588" i="25"/>
  <c r="H1588" i="25" s="1"/>
  <c r="A1587" i="25"/>
  <c r="H1587" i="25" s="1"/>
  <c r="A1586" i="25"/>
  <c r="H1586" i="25" s="1"/>
  <c r="A1585" i="25"/>
  <c r="H1585" i="25" s="1"/>
  <c r="A1584" i="25"/>
  <c r="A1583" i="25"/>
  <c r="H1583" i="25" s="1"/>
  <c r="A1582" i="25"/>
  <c r="K1582" i="25" s="1"/>
  <c r="A1581" i="25"/>
  <c r="H1581" i="25" s="1"/>
  <c r="A1580" i="25"/>
  <c r="I1580" i="25" s="1"/>
  <c r="A1579" i="25"/>
  <c r="K1579" i="25" s="1"/>
  <c r="A1578" i="25"/>
  <c r="I1578" i="25" s="1"/>
  <c r="A1577" i="25"/>
  <c r="K1577" i="25" s="1"/>
  <c r="A1576" i="25"/>
  <c r="I1576" i="25" s="1"/>
  <c r="A1575" i="25"/>
  <c r="K1575" i="25" s="1"/>
  <c r="A1574" i="25"/>
  <c r="I1574" i="25" s="1"/>
  <c r="A1573" i="25"/>
  <c r="K1573" i="25" s="1"/>
  <c r="A1572" i="25"/>
  <c r="I1572" i="25" s="1"/>
  <c r="BI14" i="34" l="1"/>
  <c r="BJ15" i="34"/>
  <c r="L1615" i="25"/>
  <c r="M1615" i="25" s="1"/>
  <c r="N1615" i="25" s="1"/>
  <c r="F1575" i="25"/>
  <c r="I1577" i="25"/>
  <c r="H1575" i="25"/>
  <c r="G1574" i="25"/>
  <c r="G1582" i="25"/>
  <c r="I1583" i="25"/>
  <c r="F1589" i="25"/>
  <c r="F1593" i="25"/>
  <c r="F1574" i="25"/>
  <c r="F1583" i="25"/>
  <c r="G1590" i="25"/>
  <c r="J1583" i="25"/>
  <c r="J1589" i="25"/>
  <c r="F1591" i="25"/>
  <c r="L1606" i="25"/>
  <c r="M1606" i="25" s="1"/>
  <c r="N1606" i="25" s="1"/>
  <c r="J1578" i="25"/>
  <c r="H1573" i="25"/>
  <c r="I1573" i="25"/>
  <c r="J1574" i="25"/>
  <c r="F1578" i="25"/>
  <c r="F1579" i="25"/>
  <c r="I1581" i="25"/>
  <c r="I1591" i="25"/>
  <c r="G1578" i="25"/>
  <c r="H1579" i="25"/>
  <c r="L1613" i="25"/>
  <c r="M1613" i="25" s="1"/>
  <c r="N1613" i="25" s="1"/>
  <c r="C1658" i="25"/>
  <c r="C1652" i="25"/>
  <c r="C1662" i="25"/>
  <c r="C1660" i="25"/>
  <c r="C1646" i="25"/>
  <c r="C1650" i="25"/>
  <c r="C1655" i="25"/>
  <c r="C1651" i="25"/>
  <c r="C1656" i="25"/>
  <c r="C1644" i="25"/>
  <c r="C1664" i="25"/>
  <c r="C1643" i="25"/>
  <c r="C1661" i="25"/>
  <c r="C1657" i="25"/>
  <c r="C1649" i="25"/>
  <c r="C1654" i="25"/>
  <c r="C1642" i="25"/>
  <c r="C1648" i="25"/>
  <c r="C1640" i="25"/>
  <c r="C1645" i="25"/>
  <c r="C1641" i="25"/>
  <c r="C1647" i="25"/>
  <c r="C1659" i="25"/>
  <c r="L1665" i="25"/>
  <c r="M1637" i="25" s="1"/>
  <c r="C1653" i="25"/>
  <c r="C1663" i="25"/>
  <c r="H1631" i="25"/>
  <c r="L1623" i="25"/>
  <c r="M1623" i="25" s="1"/>
  <c r="N1623" i="25" s="1"/>
  <c r="K1631" i="25"/>
  <c r="I1631" i="25"/>
  <c r="L1627" i="25"/>
  <c r="M1627" i="25" s="1"/>
  <c r="N1627" i="25" s="1"/>
  <c r="L1621" i="25"/>
  <c r="M1621" i="25" s="1"/>
  <c r="N1621" i="25" s="1"/>
  <c r="J1631" i="25"/>
  <c r="L1629" i="25"/>
  <c r="M1629" i="25" s="1"/>
  <c r="N1629" i="25" s="1"/>
  <c r="L1625" i="25"/>
  <c r="M1625" i="25" s="1"/>
  <c r="N1625" i="25" s="1"/>
  <c r="L1612" i="25"/>
  <c r="M1612" i="25" s="1"/>
  <c r="N1612" i="25" s="1"/>
  <c r="G1631" i="25"/>
  <c r="L1624" i="25"/>
  <c r="M1624" i="25" s="1"/>
  <c r="N1624" i="25" s="1"/>
  <c r="L1618" i="25"/>
  <c r="M1618" i="25" s="1"/>
  <c r="N1618" i="25" s="1"/>
  <c r="L1616" i="25"/>
  <c r="M1616" i="25" s="1"/>
  <c r="N1616" i="25" s="1"/>
  <c r="L1608" i="25"/>
  <c r="M1608" i="25" s="1"/>
  <c r="N1608" i="25" s="1"/>
  <c r="L1630" i="25"/>
  <c r="M1630" i="25" s="1"/>
  <c r="N1630" i="25" s="1"/>
  <c r="L1628" i="25"/>
  <c r="M1628" i="25" s="1"/>
  <c r="N1628" i="25" s="1"/>
  <c r="L1614" i="25"/>
  <c r="M1614" i="25" s="1"/>
  <c r="N1614" i="25" s="1"/>
  <c r="L1619" i="25"/>
  <c r="M1619" i="25" s="1"/>
  <c r="N1619" i="25" s="1"/>
  <c r="L1609" i="25"/>
  <c r="M1609" i="25" s="1"/>
  <c r="N1609" i="25" s="1"/>
  <c r="L1622" i="25"/>
  <c r="M1622" i="25" s="1"/>
  <c r="N1622" i="25" s="1"/>
  <c r="L1620" i="25"/>
  <c r="M1620" i="25" s="1"/>
  <c r="N1620" i="25" s="1"/>
  <c r="L1610" i="25"/>
  <c r="M1610" i="25" s="1"/>
  <c r="N1610" i="25" s="1"/>
  <c r="L1626" i="25"/>
  <c r="M1626" i="25" s="1"/>
  <c r="N1626" i="25" s="1"/>
  <c r="L1607" i="25"/>
  <c r="M1607" i="25" s="1"/>
  <c r="N1607" i="25" s="1"/>
  <c r="L1611" i="25"/>
  <c r="M1611" i="25" s="1"/>
  <c r="N1611" i="25" s="1"/>
  <c r="L1617" i="25"/>
  <c r="M1617" i="25" s="1"/>
  <c r="N1617" i="25" s="1"/>
  <c r="F1631" i="25"/>
  <c r="J1587" i="25"/>
  <c r="J1595" i="25"/>
  <c r="J1573" i="25"/>
  <c r="J1581" i="25"/>
  <c r="F1585" i="25"/>
  <c r="J1577" i="25"/>
  <c r="F1573" i="25"/>
  <c r="K1574" i="25"/>
  <c r="I1575" i="25"/>
  <c r="F1577" i="25"/>
  <c r="K1578" i="25"/>
  <c r="I1579" i="25"/>
  <c r="F1581" i="25"/>
  <c r="K1581" i="25"/>
  <c r="K1583" i="25"/>
  <c r="I1585" i="25"/>
  <c r="F1587" i="25"/>
  <c r="G1588" i="25"/>
  <c r="I1589" i="25"/>
  <c r="J1591" i="25"/>
  <c r="I1593" i="25"/>
  <c r="F1595" i="25"/>
  <c r="H1596" i="25"/>
  <c r="J1575" i="25"/>
  <c r="H1577" i="25"/>
  <c r="J1579" i="25"/>
  <c r="G1581" i="25"/>
  <c r="J1585" i="25"/>
  <c r="I1587" i="25"/>
  <c r="J1593" i="25"/>
  <c r="I1595" i="25"/>
  <c r="J1592" i="25"/>
  <c r="F1592" i="25"/>
  <c r="I1592" i="25"/>
  <c r="K1592" i="25"/>
  <c r="J1572" i="25"/>
  <c r="J1576" i="25"/>
  <c r="J1580" i="25"/>
  <c r="J1582" i="25"/>
  <c r="F1582" i="25"/>
  <c r="H1582" i="25"/>
  <c r="G1586" i="25"/>
  <c r="J1590" i="25"/>
  <c r="F1590" i="25"/>
  <c r="I1590" i="25"/>
  <c r="K1590" i="25"/>
  <c r="G1594" i="25"/>
  <c r="H1576" i="25"/>
  <c r="J1584" i="25"/>
  <c r="F1584" i="25"/>
  <c r="I1584" i="25"/>
  <c r="K1584" i="25"/>
  <c r="F1572" i="25"/>
  <c r="K1572" i="25"/>
  <c r="H1574" i="25"/>
  <c r="F1576" i="25"/>
  <c r="K1576" i="25"/>
  <c r="H1578" i="25"/>
  <c r="F1580" i="25"/>
  <c r="K1580" i="25"/>
  <c r="I1582" i="25"/>
  <c r="G1584" i="25"/>
  <c r="J1588" i="25"/>
  <c r="F1588" i="25"/>
  <c r="I1588" i="25"/>
  <c r="K1588" i="25"/>
  <c r="G1592" i="25"/>
  <c r="H1572" i="25"/>
  <c r="H1580" i="25"/>
  <c r="G1572" i="25"/>
  <c r="G1576" i="25"/>
  <c r="G1580" i="25"/>
  <c r="H1584" i="25"/>
  <c r="J1586" i="25"/>
  <c r="F1586" i="25"/>
  <c r="I1586" i="25"/>
  <c r="K1586" i="25"/>
  <c r="H1592" i="25"/>
  <c r="J1594" i="25"/>
  <c r="F1594" i="25"/>
  <c r="I1594" i="25"/>
  <c r="K1594" i="25"/>
  <c r="G1583" i="25"/>
  <c r="G1585" i="25"/>
  <c r="K1585" i="25"/>
  <c r="G1587" i="25"/>
  <c r="K1587" i="25"/>
  <c r="G1589" i="25"/>
  <c r="K1589" i="25"/>
  <c r="G1591" i="25"/>
  <c r="K1591" i="25"/>
  <c r="G1593" i="25"/>
  <c r="K1593" i="25"/>
  <c r="G1595" i="25"/>
  <c r="K1595" i="25"/>
  <c r="I1596" i="25"/>
  <c r="G1573" i="25"/>
  <c r="G1575" i="25"/>
  <c r="G1577" i="25"/>
  <c r="G1579" i="25"/>
  <c r="F1596" i="25"/>
  <c r="J1596" i="25"/>
  <c r="G1596" i="25"/>
  <c r="CM150" i="9"/>
  <c r="CM149" i="9"/>
  <c r="CM145" i="9"/>
  <c r="CN146" i="9" s="1"/>
  <c r="CM144" i="9"/>
  <c r="CM140" i="9"/>
  <c r="CM139" i="9"/>
  <c r="CM135" i="9"/>
  <c r="CN136" i="9" s="1"/>
  <c r="CM134" i="9"/>
  <c r="CM130" i="9"/>
  <c r="CM129" i="9"/>
  <c r="CM125" i="9"/>
  <c r="CN126" i="9" s="1"/>
  <c r="CM124" i="9"/>
  <c r="CM120" i="9"/>
  <c r="CM119" i="9"/>
  <c r="CM115" i="9"/>
  <c r="CN116" i="9" s="1"/>
  <c r="CM114" i="9"/>
  <c r="CM110" i="9"/>
  <c r="CM109" i="9"/>
  <c r="CM105" i="9"/>
  <c r="CM104" i="9"/>
  <c r="CM100" i="9"/>
  <c r="CN101" i="9" s="1"/>
  <c r="CM99" i="9"/>
  <c r="CM95" i="9"/>
  <c r="CM94" i="9"/>
  <c r="CM90" i="9"/>
  <c r="CN91" i="9" s="1"/>
  <c r="CM89" i="9"/>
  <c r="CM85" i="9"/>
  <c r="CN86" i="9" s="1"/>
  <c r="CM84" i="9"/>
  <c r="CM80" i="9"/>
  <c r="CN81" i="9" s="1"/>
  <c r="CM79" i="9"/>
  <c r="CM75" i="9"/>
  <c r="CN76" i="9" s="1"/>
  <c r="CM74" i="9"/>
  <c r="CM70" i="9"/>
  <c r="CN71" i="9" s="1"/>
  <c r="CM69" i="9"/>
  <c r="CM65" i="9"/>
  <c r="CN66" i="9" s="1"/>
  <c r="CM64" i="9"/>
  <c r="CM60" i="9"/>
  <c r="CN61" i="9" s="1"/>
  <c r="CM59" i="9"/>
  <c r="CM55" i="9"/>
  <c r="CM54" i="9"/>
  <c r="CM50" i="9"/>
  <c r="CM49" i="9"/>
  <c r="CM45" i="9"/>
  <c r="CN46" i="9" s="1"/>
  <c r="CM44" i="9"/>
  <c r="CM40" i="9"/>
  <c r="CN41" i="9" s="1"/>
  <c r="CM39" i="9"/>
  <c r="CM35" i="9"/>
  <c r="CM34" i="9"/>
  <c r="CM30" i="9"/>
  <c r="CM29" i="9"/>
  <c r="CQ62" i="33"/>
  <c r="CQ36" i="33"/>
  <c r="BK15" i="34" l="1"/>
  <c r="BJ14" i="34"/>
  <c r="L1583" i="25"/>
  <c r="M1583" i="25" s="1"/>
  <c r="N1583" i="25" s="1"/>
  <c r="M1665" i="25"/>
  <c r="N1665" i="25" s="1"/>
  <c r="C1628" i="25"/>
  <c r="C1617" i="25"/>
  <c r="C1616" i="25"/>
  <c r="C1622" i="25"/>
  <c r="C1618" i="25"/>
  <c r="C1612" i="25"/>
  <c r="C1607" i="25"/>
  <c r="C1623" i="25"/>
  <c r="C1625" i="25"/>
  <c r="C1613" i="25"/>
  <c r="C1615" i="25"/>
  <c r="C1610" i="25"/>
  <c r="C1609" i="25"/>
  <c r="C1629" i="25"/>
  <c r="C1619" i="25"/>
  <c r="C1608" i="25"/>
  <c r="L1631" i="25"/>
  <c r="M1603" i="25" s="1"/>
  <c r="L1578" i="25"/>
  <c r="M1578" i="25" s="1"/>
  <c r="N1578" i="25" s="1"/>
  <c r="C1611" i="25"/>
  <c r="L1573" i="25"/>
  <c r="M1573" i="25" s="1"/>
  <c r="N1573" i="25" s="1"/>
  <c r="C1626" i="25"/>
  <c r="C1620" i="25"/>
  <c r="C1614" i="25"/>
  <c r="C1630" i="25"/>
  <c r="C1624" i="25"/>
  <c r="C1606" i="25"/>
  <c r="C1621" i="25"/>
  <c r="C1627" i="25"/>
  <c r="L1574" i="25"/>
  <c r="M1574" i="25" s="1"/>
  <c r="N1574" i="25" s="1"/>
  <c r="L1577" i="25"/>
  <c r="M1577" i="25" s="1"/>
  <c r="N1577" i="25" s="1"/>
  <c r="L1575" i="25"/>
  <c r="M1575" i="25" s="1"/>
  <c r="N1575" i="25" s="1"/>
  <c r="L1581" i="25"/>
  <c r="M1581" i="25" s="1"/>
  <c r="N1581" i="25" s="1"/>
  <c r="CN96" i="9"/>
  <c r="CN131" i="9"/>
  <c r="CN106" i="9"/>
  <c r="L1579" i="25"/>
  <c r="M1579" i="25" s="1"/>
  <c r="N1579" i="25" s="1"/>
  <c r="CN51" i="9"/>
  <c r="CN31" i="9"/>
  <c r="CN111" i="9"/>
  <c r="CN121" i="9"/>
  <c r="CN141" i="9"/>
  <c r="CN151" i="9"/>
  <c r="CN56" i="9"/>
  <c r="CN36" i="9"/>
  <c r="L1593" i="25"/>
  <c r="M1593" i="25" s="1"/>
  <c r="N1593" i="25" s="1"/>
  <c r="L1589" i="25"/>
  <c r="M1589" i="25" s="1"/>
  <c r="N1589" i="25" s="1"/>
  <c r="L1585" i="25"/>
  <c r="M1585" i="25" s="1"/>
  <c r="N1585" i="25" s="1"/>
  <c r="L1591" i="25"/>
  <c r="M1591" i="25" s="1"/>
  <c r="N1591" i="25" s="1"/>
  <c r="L1587" i="25"/>
  <c r="M1587" i="25" s="1"/>
  <c r="N1587" i="25" s="1"/>
  <c r="I1597" i="25"/>
  <c r="L1595" i="25"/>
  <c r="M1595" i="25" s="1"/>
  <c r="N1595" i="25" s="1"/>
  <c r="L1588" i="25"/>
  <c r="M1588" i="25" s="1"/>
  <c r="N1588" i="25" s="1"/>
  <c r="L1596" i="25"/>
  <c r="M1596" i="25" s="1"/>
  <c r="N1596" i="25" s="1"/>
  <c r="G1597" i="25"/>
  <c r="L1580" i="25"/>
  <c r="M1580" i="25" s="1"/>
  <c r="N1580" i="25" s="1"/>
  <c r="L1592" i="25"/>
  <c r="M1592" i="25" s="1"/>
  <c r="N1592" i="25" s="1"/>
  <c r="L1576" i="25"/>
  <c r="M1576" i="25" s="1"/>
  <c r="N1576" i="25" s="1"/>
  <c r="L1594" i="25"/>
  <c r="M1594" i="25" s="1"/>
  <c r="N1594" i="25" s="1"/>
  <c r="K1597" i="25"/>
  <c r="L1584" i="25"/>
  <c r="M1584" i="25" s="1"/>
  <c r="N1584" i="25" s="1"/>
  <c r="J1597" i="25"/>
  <c r="L1586" i="25"/>
  <c r="M1586" i="25" s="1"/>
  <c r="N1586" i="25" s="1"/>
  <c r="L1582" i="25"/>
  <c r="M1582" i="25" s="1"/>
  <c r="N1582" i="25" s="1"/>
  <c r="H1597" i="25"/>
  <c r="F1597" i="25"/>
  <c r="L1572" i="25"/>
  <c r="M1572" i="25" s="1"/>
  <c r="N1572" i="25" s="1"/>
  <c r="L1590" i="25"/>
  <c r="M1590" i="25" s="1"/>
  <c r="N1590" i="25" s="1"/>
  <c r="A1562" i="25"/>
  <c r="K1562" i="25" s="1"/>
  <c r="A1561" i="25"/>
  <c r="J1561" i="25" s="1"/>
  <c r="A1560" i="25"/>
  <c r="K1560" i="25" s="1"/>
  <c r="A1559" i="25"/>
  <c r="J1559" i="25" s="1"/>
  <c r="A1558" i="25"/>
  <c r="K1558" i="25" s="1"/>
  <c r="A1557" i="25"/>
  <c r="I1557" i="25" s="1"/>
  <c r="A1556" i="25"/>
  <c r="K1556" i="25" s="1"/>
  <c r="A1555" i="25"/>
  <c r="I1555" i="25" s="1"/>
  <c r="A1554" i="25"/>
  <c r="K1554" i="25" s="1"/>
  <c r="A1553" i="25"/>
  <c r="I1553" i="25" s="1"/>
  <c r="A1552" i="25"/>
  <c r="K1552" i="25" s="1"/>
  <c r="A1551" i="25"/>
  <c r="I1551" i="25" s="1"/>
  <c r="A1550" i="25"/>
  <c r="K1550" i="25" s="1"/>
  <c r="A1549" i="25"/>
  <c r="I1549" i="25" s="1"/>
  <c r="A1548" i="25"/>
  <c r="K1548" i="25" s="1"/>
  <c r="A1547" i="25"/>
  <c r="I1547" i="25" s="1"/>
  <c r="A1546" i="25"/>
  <c r="K1546" i="25" s="1"/>
  <c r="A1545" i="25"/>
  <c r="I1545" i="25" s="1"/>
  <c r="A1544" i="25"/>
  <c r="K1544" i="25" s="1"/>
  <c r="A1543" i="25"/>
  <c r="I1543" i="25" s="1"/>
  <c r="A1542" i="25"/>
  <c r="K1542" i="25" s="1"/>
  <c r="A1541" i="25"/>
  <c r="I1541" i="25" s="1"/>
  <c r="A1540" i="25"/>
  <c r="K1540" i="25" s="1"/>
  <c r="A1539" i="25"/>
  <c r="I1539" i="25" s="1"/>
  <c r="A1538" i="25"/>
  <c r="K1538" i="25" s="1"/>
  <c r="M1631" i="25" l="1"/>
  <c r="N1631" i="25" s="1"/>
  <c r="BK14" i="34"/>
  <c r="BL15" i="34"/>
  <c r="H1538" i="25"/>
  <c r="F1554" i="25"/>
  <c r="F1538" i="25"/>
  <c r="I1546" i="25"/>
  <c r="J1549" i="25"/>
  <c r="F1558" i="25"/>
  <c r="I1560" i="25"/>
  <c r="I1558" i="25"/>
  <c r="F1542" i="25"/>
  <c r="I1542" i="25"/>
  <c r="H1554" i="25"/>
  <c r="I1538" i="25"/>
  <c r="J1541" i="25"/>
  <c r="F1546" i="25"/>
  <c r="F1550" i="25"/>
  <c r="I1554" i="25"/>
  <c r="J1557" i="25"/>
  <c r="H1546" i="25"/>
  <c r="I1550" i="25"/>
  <c r="I1540" i="25"/>
  <c r="G1545" i="25"/>
  <c r="I1548" i="25"/>
  <c r="G1553" i="25"/>
  <c r="I1556" i="25"/>
  <c r="H1562" i="25"/>
  <c r="J1545" i="25"/>
  <c r="J1553" i="25"/>
  <c r="G1561" i="25"/>
  <c r="I1562" i="25"/>
  <c r="G1541" i="25"/>
  <c r="H1542" i="25"/>
  <c r="I1544" i="25"/>
  <c r="G1549" i="25"/>
  <c r="H1550" i="25"/>
  <c r="I1552" i="25"/>
  <c r="G1557" i="25"/>
  <c r="H1558" i="25"/>
  <c r="H1560" i="25"/>
  <c r="J1540" i="25"/>
  <c r="J1544" i="25"/>
  <c r="J1548" i="25"/>
  <c r="J1552" i="25"/>
  <c r="J1556" i="25"/>
  <c r="K1541" i="25"/>
  <c r="K1545" i="25"/>
  <c r="K1549" i="25"/>
  <c r="F1552" i="25"/>
  <c r="K1553" i="25"/>
  <c r="F1556" i="25"/>
  <c r="K1557" i="25"/>
  <c r="J1560" i="25"/>
  <c r="J1562" i="25"/>
  <c r="F1540" i="25"/>
  <c r="F1544" i="25"/>
  <c r="F1548" i="25"/>
  <c r="J1538" i="25"/>
  <c r="H1540" i="25"/>
  <c r="F1541" i="25"/>
  <c r="J1542" i="25"/>
  <c r="H1544" i="25"/>
  <c r="F1545" i="25"/>
  <c r="J1546" i="25"/>
  <c r="H1548" i="25"/>
  <c r="F1549" i="25"/>
  <c r="J1550" i="25"/>
  <c r="H1552" i="25"/>
  <c r="F1553" i="25"/>
  <c r="J1554" i="25"/>
  <c r="H1556" i="25"/>
  <c r="F1557" i="25"/>
  <c r="J1558" i="25"/>
  <c r="F1560" i="25"/>
  <c r="F1562" i="25"/>
  <c r="C1581" i="25"/>
  <c r="C1586" i="25"/>
  <c r="C1580" i="25"/>
  <c r="C1590" i="25"/>
  <c r="C1594" i="25"/>
  <c r="C1576" i="25"/>
  <c r="C1596" i="25"/>
  <c r="C1592" i="25"/>
  <c r="C1588" i="25"/>
  <c r="C1572" i="25"/>
  <c r="C1584" i="25"/>
  <c r="C1579" i="25"/>
  <c r="C1589" i="25"/>
  <c r="C1585" i="25"/>
  <c r="C1587" i="25"/>
  <c r="C1574" i="25"/>
  <c r="L1597" i="25"/>
  <c r="M1569" i="25" s="1"/>
  <c r="C1582" i="25"/>
  <c r="C1573" i="25"/>
  <c r="C1591" i="25"/>
  <c r="C1577" i="25"/>
  <c r="C1593" i="25"/>
  <c r="C1583" i="25"/>
  <c r="C1595" i="25"/>
  <c r="C1575" i="25"/>
  <c r="C1578" i="25"/>
  <c r="H1551" i="25"/>
  <c r="H1543" i="25"/>
  <c r="H1547" i="25"/>
  <c r="J1539" i="25"/>
  <c r="J1543" i="25"/>
  <c r="J1547" i="25"/>
  <c r="J1551" i="25"/>
  <c r="J1555" i="25"/>
  <c r="I1559" i="25"/>
  <c r="H1559" i="25"/>
  <c r="K1559" i="25"/>
  <c r="H1555" i="25"/>
  <c r="F1539" i="25"/>
  <c r="K1539" i="25"/>
  <c r="H1541" i="25"/>
  <c r="F1543" i="25"/>
  <c r="K1543" i="25"/>
  <c r="H1545" i="25"/>
  <c r="F1547" i="25"/>
  <c r="K1547" i="25"/>
  <c r="H1549" i="25"/>
  <c r="F1551" i="25"/>
  <c r="K1551" i="25"/>
  <c r="H1553" i="25"/>
  <c r="F1555" i="25"/>
  <c r="K1555" i="25"/>
  <c r="H1557" i="25"/>
  <c r="F1559" i="25"/>
  <c r="I1561" i="25"/>
  <c r="H1561" i="25"/>
  <c r="K1561" i="25"/>
  <c r="H1539" i="25"/>
  <c r="G1539" i="25"/>
  <c r="G1543" i="25"/>
  <c r="G1547" i="25"/>
  <c r="G1551" i="25"/>
  <c r="G1555" i="25"/>
  <c r="G1559" i="25"/>
  <c r="F1561" i="25"/>
  <c r="G1538" i="25"/>
  <c r="G1540" i="25"/>
  <c r="G1542" i="25"/>
  <c r="G1544" i="25"/>
  <c r="G1546" i="25"/>
  <c r="G1548" i="25"/>
  <c r="G1550" i="25"/>
  <c r="G1552" i="25"/>
  <c r="G1554" i="25"/>
  <c r="G1556" i="25"/>
  <c r="G1558" i="25"/>
  <c r="G1560" i="25"/>
  <c r="G1562" i="25"/>
  <c r="CL150" i="9"/>
  <c r="CL149" i="9"/>
  <c r="CL145" i="9"/>
  <c r="CM146" i="9" s="1"/>
  <c r="CL144" i="9"/>
  <c r="CL140" i="9"/>
  <c r="CL139" i="9"/>
  <c r="CL135" i="9"/>
  <c r="CL134" i="9"/>
  <c r="CL130" i="9"/>
  <c r="CL129" i="9"/>
  <c r="CL125" i="9"/>
  <c r="CM126" i="9" s="1"/>
  <c r="CL124" i="9"/>
  <c r="CL120" i="9"/>
  <c r="CL119" i="9"/>
  <c r="CL115" i="9"/>
  <c r="CL114" i="9"/>
  <c r="CL110" i="9"/>
  <c r="CL109" i="9"/>
  <c r="CL105" i="9"/>
  <c r="CM106" i="9" s="1"/>
  <c r="CL104" i="9"/>
  <c r="CL100" i="9"/>
  <c r="CL99" i="9"/>
  <c r="CL95" i="9"/>
  <c r="CL94" i="9"/>
  <c r="CL90" i="9"/>
  <c r="CL89" i="9"/>
  <c r="CL85" i="9"/>
  <c r="CM86" i="9" s="1"/>
  <c r="CL84" i="9"/>
  <c r="CL80" i="9"/>
  <c r="CL79" i="9"/>
  <c r="CL75" i="9"/>
  <c r="CL74" i="9"/>
  <c r="CL70" i="9"/>
  <c r="CL69" i="9"/>
  <c r="CL65" i="9"/>
  <c r="CM66" i="9" s="1"/>
  <c r="CL64" i="9"/>
  <c r="CL60" i="9"/>
  <c r="CL59" i="9"/>
  <c r="CL55" i="9"/>
  <c r="CL54" i="9"/>
  <c r="CL50" i="9"/>
  <c r="CL49" i="9"/>
  <c r="CL45" i="9"/>
  <c r="CM46" i="9" s="1"/>
  <c r="CL44" i="9"/>
  <c r="CL40" i="9"/>
  <c r="CL39" i="9"/>
  <c r="CL35" i="9"/>
  <c r="CL34" i="9"/>
  <c r="CL30" i="9"/>
  <c r="CL29" i="9"/>
  <c r="CP62" i="33"/>
  <c r="CP36" i="33"/>
  <c r="A1528" i="25"/>
  <c r="K1528" i="25" s="1"/>
  <c r="A1527" i="25"/>
  <c r="K1527" i="25" s="1"/>
  <c r="A1526" i="25"/>
  <c r="A1525" i="25"/>
  <c r="K1525" i="25" s="1"/>
  <c r="A1524" i="25"/>
  <c r="G1524" i="25" s="1"/>
  <c r="A1523" i="25"/>
  <c r="K1523" i="25" s="1"/>
  <c r="A1522" i="25"/>
  <c r="J1522" i="25" s="1"/>
  <c r="A1521" i="25"/>
  <c r="K1521" i="25" s="1"/>
  <c r="A1520" i="25"/>
  <c r="G1520" i="25" s="1"/>
  <c r="A1519" i="25"/>
  <c r="K1519" i="25" s="1"/>
  <c r="A1518" i="25"/>
  <c r="A1517" i="25"/>
  <c r="K1517" i="25" s="1"/>
  <c r="A1516" i="25"/>
  <c r="G1516" i="25" s="1"/>
  <c r="A1515" i="25"/>
  <c r="K1515" i="25" s="1"/>
  <c r="A1514" i="25"/>
  <c r="H1514" i="25" s="1"/>
  <c r="A1513" i="25"/>
  <c r="I1513" i="25" s="1"/>
  <c r="A1512" i="25"/>
  <c r="H1512" i="25" s="1"/>
  <c r="A1511" i="25"/>
  <c r="I1511" i="25" s="1"/>
  <c r="A1510" i="25"/>
  <c r="K1510" i="25" s="1"/>
  <c r="A1509" i="25"/>
  <c r="I1509" i="25" s="1"/>
  <c r="A1508" i="25"/>
  <c r="K1508" i="25" s="1"/>
  <c r="A1507" i="25"/>
  <c r="I1507" i="25" s="1"/>
  <c r="A1506" i="25"/>
  <c r="K1506" i="25" s="1"/>
  <c r="A1505" i="25"/>
  <c r="I1505" i="25" s="1"/>
  <c r="A1504" i="25"/>
  <c r="J1504" i="25" s="1"/>
  <c r="BL14" i="34" l="1"/>
  <c r="BM15" i="34"/>
  <c r="L1557" i="25"/>
  <c r="M1557" i="25" s="1"/>
  <c r="N1557" i="25" s="1"/>
  <c r="J1509" i="25"/>
  <c r="I1515" i="25"/>
  <c r="H1510" i="25"/>
  <c r="J1516" i="25"/>
  <c r="K1509" i="25"/>
  <c r="I1510" i="25"/>
  <c r="K1513" i="25"/>
  <c r="G1522" i="25"/>
  <c r="L1550" i="25"/>
  <c r="M1550" i="25" s="1"/>
  <c r="N1550" i="25" s="1"/>
  <c r="F1509" i="25"/>
  <c r="F1510" i="25"/>
  <c r="L1545" i="25"/>
  <c r="M1545" i="25" s="1"/>
  <c r="N1545" i="25" s="1"/>
  <c r="G1513" i="25"/>
  <c r="F1516" i="25"/>
  <c r="H1517" i="25"/>
  <c r="H1519" i="25"/>
  <c r="H1523" i="25"/>
  <c r="H1508" i="25"/>
  <c r="F1506" i="25"/>
  <c r="I1508" i="25"/>
  <c r="I1504" i="25"/>
  <c r="H1515" i="25"/>
  <c r="I1517" i="25"/>
  <c r="I1519" i="25"/>
  <c r="F1522" i="25"/>
  <c r="I1523" i="25"/>
  <c r="J1524" i="25"/>
  <c r="L1556" i="25"/>
  <c r="M1556" i="25" s="1"/>
  <c r="N1556" i="25" s="1"/>
  <c r="L1548" i="25"/>
  <c r="M1548" i="25" s="1"/>
  <c r="N1548" i="25" s="1"/>
  <c r="L1540" i="25"/>
  <c r="M1540" i="25" s="1"/>
  <c r="N1540" i="25" s="1"/>
  <c r="L1552" i="25"/>
  <c r="M1552" i="25" s="1"/>
  <c r="N1552" i="25" s="1"/>
  <c r="L1558" i="25"/>
  <c r="M1558" i="25" s="1"/>
  <c r="N1558" i="25" s="1"/>
  <c r="L1542" i="25"/>
  <c r="M1542" i="25" s="1"/>
  <c r="N1542" i="25" s="1"/>
  <c r="L1541" i="25"/>
  <c r="M1541" i="25" s="1"/>
  <c r="N1541" i="25" s="1"/>
  <c r="L1560" i="25"/>
  <c r="M1560" i="25" s="1"/>
  <c r="N1560" i="25" s="1"/>
  <c r="L1544" i="25"/>
  <c r="M1544" i="25" s="1"/>
  <c r="N1544" i="25" s="1"/>
  <c r="L1562" i="25"/>
  <c r="M1562" i="25" s="1"/>
  <c r="N1562" i="25" s="1"/>
  <c r="L1554" i="25"/>
  <c r="M1554" i="25" s="1"/>
  <c r="N1554" i="25" s="1"/>
  <c r="L1538" i="25"/>
  <c r="M1538" i="25" s="1"/>
  <c r="N1538" i="25" s="1"/>
  <c r="L1553" i="25"/>
  <c r="M1553" i="25" s="1"/>
  <c r="N1553" i="25" s="1"/>
  <c r="L1549" i="25"/>
  <c r="M1549" i="25" s="1"/>
  <c r="N1549" i="25" s="1"/>
  <c r="L1546" i="25"/>
  <c r="M1546" i="25" s="1"/>
  <c r="N1546" i="25" s="1"/>
  <c r="CM31" i="9"/>
  <c r="CM41" i="9"/>
  <c r="CM76" i="9"/>
  <c r="CM111" i="9"/>
  <c r="CM121" i="9"/>
  <c r="J1508" i="25"/>
  <c r="F1512" i="25"/>
  <c r="K1512" i="25"/>
  <c r="H1521" i="25"/>
  <c r="F1528" i="25"/>
  <c r="CM51" i="9"/>
  <c r="CM61" i="9"/>
  <c r="CM96" i="9"/>
  <c r="CM131" i="9"/>
  <c r="CM141" i="9"/>
  <c r="J1512" i="25"/>
  <c r="F1505" i="25"/>
  <c r="H1506" i="25"/>
  <c r="F1504" i="25"/>
  <c r="K1505" i="25"/>
  <c r="I1506" i="25"/>
  <c r="F1508" i="25"/>
  <c r="J1510" i="25"/>
  <c r="G1512" i="25"/>
  <c r="F1520" i="25"/>
  <c r="I1521" i="25"/>
  <c r="F1524" i="25"/>
  <c r="H1525" i="25"/>
  <c r="H1527" i="25"/>
  <c r="J1528" i="25"/>
  <c r="CM36" i="9"/>
  <c r="CM71" i="9"/>
  <c r="CM81" i="9"/>
  <c r="CM116" i="9"/>
  <c r="CM151" i="9"/>
  <c r="J1506" i="25"/>
  <c r="I1512" i="25"/>
  <c r="J1520" i="25"/>
  <c r="I1525" i="25"/>
  <c r="I1527" i="25"/>
  <c r="CM56" i="9"/>
  <c r="CM91" i="9"/>
  <c r="CM101" i="9"/>
  <c r="CM136" i="9"/>
  <c r="M1597" i="25"/>
  <c r="N1597" i="25" s="1"/>
  <c r="H1563" i="25"/>
  <c r="J1563" i="25"/>
  <c r="K1563" i="25"/>
  <c r="I1563" i="25"/>
  <c r="L1547" i="25"/>
  <c r="M1547" i="25" s="1"/>
  <c r="N1547" i="25" s="1"/>
  <c r="L1551" i="25"/>
  <c r="M1551" i="25" s="1"/>
  <c r="N1551" i="25" s="1"/>
  <c r="G1563" i="25"/>
  <c r="L1559" i="25"/>
  <c r="M1559" i="25" s="1"/>
  <c r="N1559" i="25" s="1"/>
  <c r="L1555" i="25"/>
  <c r="M1555" i="25" s="1"/>
  <c r="N1555" i="25" s="1"/>
  <c r="L1539" i="25"/>
  <c r="M1539" i="25" s="1"/>
  <c r="N1539" i="25" s="1"/>
  <c r="F1563" i="25"/>
  <c r="L1561" i="25"/>
  <c r="M1561" i="25" s="1"/>
  <c r="N1561" i="25" s="1"/>
  <c r="L1543" i="25"/>
  <c r="M1543" i="25" s="1"/>
  <c r="N1543" i="25" s="1"/>
  <c r="H1511" i="25"/>
  <c r="I1518" i="25"/>
  <c r="H1518" i="25"/>
  <c r="K1518" i="25"/>
  <c r="I1526" i="25"/>
  <c r="H1526" i="25"/>
  <c r="K1526" i="25"/>
  <c r="G1505" i="25"/>
  <c r="J1507" i="25"/>
  <c r="G1509" i="25"/>
  <c r="J1511" i="25"/>
  <c r="J1513" i="25"/>
  <c r="F1513" i="25"/>
  <c r="H1513" i="25"/>
  <c r="J1514" i="25"/>
  <c r="I1516" i="25"/>
  <c r="H1516" i="25"/>
  <c r="K1516" i="25"/>
  <c r="F1518" i="25"/>
  <c r="I1524" i="25"/>
  <c r="H1524" i="25"/>
  <c r="K1524" i="25"/>
  <c r="F1526" i="25"/>
  <c r="H1509" i="25"/>
  <c r="F1511" i="25"/>
  <c r="K1511" i="25"/>
  <c r="F1514" i="25"/>
  <c r="K1514" i="25"/>
  <c r="G1518" i="25"/>
  <c r="I1522" i="25"/>
  <c r="H1522" i="25"/>
  <c r="K1522" i="25"/>
  <c r="G1526" i="25"/>
  <c r="H1507" i="25"/>
  <c r="I1514" i="25"/>
  <c r="H1505" i="25"/>
  <c r="F1507" i="25"/>
  <c r="K1507" i="25"/>
  <c r="K1504" i="25"/>
  <c r="G1504" i="25"/>
  <c r="H1504" i="25"/>
  <c r="J1505" i="25"/>
  <c r="G1507" i="25"/>
  <c r="G1511" i="25"/>
  <c r="G1514" i="25"/>
  <c r="J1518" i="25"/>
  <c r="I1520" i="25"/>
  <c r="H1520" i="25"/>
  <c r="K1520" i="25"/>
  <c r="J1526" i="25"/>
  <c r="G1506" i="25"/>
  <c r="G1508" i="25"/>
  <c r="G1510" i="25"/>
  <c r="F1515" i="25"/>
  <c r="J1515" i="25"/>
  <c r="F1517" i="25"/>
  <c r="J1517" i="25"/>
  <c r="F1519" i="25"/>
  <c r="J1519" i="25"/>
  <c r="F1521" i="25"/>
  <c r="J1521" i="25"/>
  <c r="F1523" i="25"/>
  <c r="J1523" i="25"/>
  <c r="F1525" i="25"/>
  <c r="J1525" i="25"/>
  <c r="F1527" i="25"/>
  <c r="J1527" i="25"/>
  <c r="H1528" i="25"/>
  <c r="G1515" i="25"/>
  <c r="G1517" i="25"/>
  <c r="G1519" i="25"/>
  <c r="G1521" i="25"/>
  <c r="G1523" i="25"/>
  <c r="G1525" i="25"/>
  <c r="G1527" i="25"/>
  <c r="I1528" i="25"/>
  <c r="G1528" i="25"/>
  <c r="B1" i="11"/>
  <c r="A26" i="11" s="1"/>
  <c r="BM14" i="34" l="1"/>
  <c r="BN15" i="34"/>
  <c r="L1506" i="25"/>
  <c r="M1506" i="25" s="1"/>
  <c r="N1506" i="25" s="1"/>
  <c r="L1510" i="25"/>
  <c r="M1510" i="25" s="1"/>
  <c r="N1510" i="25" s="1"/>
  <c r="L1508" i="25"/>
  <c r="M1508" i="25" s="1"/>
  <c r="N1508" i="25" s="1"/>
  <c r="L1512" i="25"/>
  <c r="M1512" i="25" s="1"/>
  <c r="N1512" i="25" s="1"/>
  <c r="C1555" i="25"/>
  <c r="L1563" i="25"/>
  <c r="M1535" i="25" s="1"/>
  <c r="C1543" i="25"/>
  <c r="C1541" i="25"/>
  <c r="C1542" i="25"/>
  <c r="C1548" i="25"/>
  <c r="C1562" i="25"/>
  <c r="C1552" i="25"/>
  <c r="C1554" i="25"/>
  <c r="C1545" i="25"/>
  <c r="C1540" i="25"/>
  <c r="C1560" i="25"/>
  <c r="C1551" i="25"/>
  <c r="C1559" i="25"/>
  <c r="C1538" i="25"/>
  <c r="C1558" i="25"/>
  <c r="C1556" i="25"/>
  <c r="C1550" i="25"/>
  <c r="C1557" i="25"/>
  <c r="C1561" i="25"/>
  <c r="C1539" i="25"/>
  <c r="C1549" i="25"/>
  <c r="C1553" i="25"/>
  <c r="C1544" i="25"/>
  <c r="C1546" i="25"/>
  <c r="L1522" i="25"/>
  <c r="M1522" i="25" s="1"/>
  <c r="N1522" i="25" s="1"/>
  <c r="L1524" i="25"/>
  <c r="M1524" i="25" s="1"/>
  <c r="N1524" i="25" s="1"/>
  <c r="L1528" i="25"/>
  <c r="M1528" i="25" s="1"/>
  <c r="N1528" i="25" s="1"/>
  <c r="L1505" i="25"/>
  <c r="M1505" i="25" s="1"/>
  <c r="N1505" i="25" s="1"/>
  <c r="F1529" i="25"/>
  <c r="J1529" i="25"/>
  <c r="L1516" i="25"/>
  <c r="M1516" i="25" s="1"/>
  <c r="N1516" i="25" s="1"/>
  <c r="L1509" i="25"/>
  <c r="M1509" i="25" s="1"/>
  <c r="N1509" i="25" s="1"/>
  <c r="L1520" i="25"/>
  <c r="M1520" i="25" s="1"/>
  <c r="N1520" i="25" s="1"/>
  <c r="I1529" i="25"/>
  <c r="G1529" i="25"/>
  <c r="L1513" i="25"/>
  <c r="M1513" i="25" s="1"/>
  <c r="N1513" i="25" s="1"/>
  <c r="L1527" i="25"/>
  <c r="M1527" i="25" s="1"/>
  <c r="N1527" i="25" s="1"/>
  <c r="L1523" i="25"/>
  <c r="M1523" i="25" s="1"/>
  <c r="N1523" i="25" s="1"/>
  <c r="L1519" i="25"/>
  <c r="M1519" i="25" s="1"/>
  <c r="N1519" i="25" s="1"/>
  <c r="L1515" i="25"/>
  <c r="M1515" i="25" s="1"/>
  <c r="N1515" i="25" s="1"/>
  <c r="K1529" i="25"/>
  <c r="L1504" i="25"/>
  <c r="L1514" i="25"/>
  <c r="M1514" i="25" s="1"/>
  <c r="N1514" i="25" s="1"/>
  <c r="L1526" i="25"/>
  <c r="M1526" i="25" s="1"/>
  <c r="N1526" i="25" s="1"/>
  <c r="L1518" i="25"/>
  <c r="M1518" i="25" s="1"/>
  <c r="N1518" i="25" s="1"/>
  <c r="L1525" i="25"/>
  <c r="M1525" i="25" s="1"/>
  <c r="N1525" i="25" s="1"/>
  <c r="L1521" i="25"/>
  <c r="M1521" i="25" s="1"/>
  <c r="N1521" i="25" s="1"/>
  <c r="L1517" i="25"/>
  <c r="M1517" i="25" s="1"/>
  <c r="N1517" i="25" s="1"/>
  <c r="H1529" i="25"/>
  <c r="L1507" i="25"/>
  <c r="M1507" i="25" s="1"/>
  <c r="N1507" i="25" s="1"/>
  <c r="L1511" i="25"/>
  <c r="M1511" i="25" s="1"/>
  <c r="N1511" i="25" s="1"/>
  <c r="CK150" i="9"/>
  <c r="CJ150" i="9"/>
  <c r="CK149" i="9"/>
  <c r="CJ149" i="9"/>
  <c r="CK145" i="9"/>
  <c r="CJ145" i="9"/>
  <c r="CK144" i="9"/>
  <c r="CJ144" i="9"/>
  <c r="CK140" i="9"/>
  <c r="CJ140" i="9"/>
  <c r="CK139" i="9"/>
  <c r="CJ139" i="9"/>
  <c r="CK135" i="9"/>
  <c r="CL136" i="9" s="1"/>
  <c r="CJ135" i="9"/>
  <c r="CK134" i="9"/>
  <c r="CJ134" i="9"/>
  <c r="CK130" i="9"/>
  <c r="CJ130" i="9"/>
  <c r="CK129" i="9"/>
  <c r="CJ129" i="9"/>
  <c r="CK125" i="9"/>
  <c r="CL126" i="9" s="1"/>
  <c r="CK124" i="9"/>
  <c r="CJ124" i="9"/>
  <c r="CK120" i="9"/>
  <c r="CJ120" i="9"/>
  <c r="CK119" i="9"/>
  <c r="CJ119" i="9"/>
  <c r="CK115" i="9"/>
  <c r="CL116" i="9" s="1"/>
  <c r="CJ115" i="9"/>
  <c r="CK114" i="9"/>
  <c r="CJ114" i="9"/>
  <c r="CK110" i="9"/>
  <c r="CJ110" i="9"/>
  <c r="CK109" i="9"/>
  <c r="CJ109" i="9"/>
  <c r="CK105" i="9"/>
  <c r="CJ105" i="9"/>
  <c r="CK104" i="9"/>
  <c r="CJ104" i="9"/>
  <c r="CK100" i="9"/>
  <c r="CJ100" i="9"/>
  <c r="CK99" i="9"/>
  <c r="CJ99" i="9"/>
  <c r="CK95" i="9"/>
  <c r="CL96" i="9" s="1"/>
  <c r="CJ95" i="9"/>
  <c r="CK94" i="9"/>
  <c r="CJ94" i="9"/>
  <c r="CK90" i="9"/>
  <c r="CJ90" i="9"/>
  <c r="CK89" i="9"/>
  <c r="CJ89" i="9"/>
  <c r="CK85" i="9"/>
  <c r="CJ85" i="9"/>
  <c r="CK84" i="9"/>
  <c r="CJ84" i="9"/>
  <c r="CK80" i="9"/>
  <c r="CJ80" i="9"/>
  <c r="CK79" i="9"/>
  <c r="CJ79" i="9"/>
  <c r="CK75" i="9"/>
  <c r="CL76" i="9" s="1"/>
  <c r="CJ75" i="9"/>
  <c r="CK74" i="9"/>
  <c r="CJ74" i="9"/>
  <c r="CK70" i="9"/>
  <c r="CJ70" i="9"/>
  <c r="CK69" i="9"/>
  <c r="CJ69" i="9"/>
  <c r="CK65" i="9"/>
  <c r="CJ65" i="9"/>
  <c r="CK64" i="9"/>
  <c r="CJ64" i="9"/>
  <c r="CK60" i="9"/>
  <c r="CJ60" i="9"/>
  <c r="CK59" i="9"/>
  <c r="CJ59" i="9"/>
  <c r="CK56" i="9"/>
  <c r="CK55" i="9"/>
  <c r="CL56" i="9" s="1"/>
  <c r="CJ55" i="9"/>
  <c r="CK54" i="9"/>
  <c r="CJ54" i="9"/>
  <c r="CK50" i="9"/>
  <c r="CJ50" i="9"/>
  <c r="CK49" i="9"/>
  <c r="CJ49" i="9"/>
  <c r="CK45" i="9"/>
  <c r="CJ45" i="9"/>
  <c r="CK44" i="9"/>
  <c r="CJ44" i="9"/>
  <c r="CK40" i="9"/>
  <c r="CJ40" i="9"/>
  <c r="CK39" i="9"/>
  <c r="CJ39" i="9"/>
  <c r="CK35" i="9"/>
  <c r="CL36" i="9" s="1"/>
  <c r="CJ35" i="9"/>
  <c r="CK34" i="9"/>
  <c r="CJ34" i="9"/>
  <c r="CK30" i="9"/>
  <c r="CJ30" i="9"/>
  <c r="CK29" i="9"/>
  <c r="CJ29" i="9"/>
  <c r="CO62" i="33"/>
  <c r="CO36" i="33"/>
  <c r="A1494" i="25"/>
  <c r="K1494" i="25" s="1"/>
  <c r="A1493" i="25"/>
  <c r="J1493" i="25" s="1"/>
  <c r="A1492" i="25"/>
  <c r="K1492" i="25" s="1"/>
  <c r="A1491" i="25"/>
  <c r="F1491" i="25" s="1"/>
  <c r="A1490" i="25"/>
  <c r="K1490" i="25" s="1"/>
  <c r="A1489" i="25"/>
  <c r="J1489" i="25" s="1"/>
  <c r="A1488" i="25"/>
  <c r="K1488" i="25" s="1"/>
  <c r="A1487" i="25"/>
  <c r="A1486" i="25"/>
  <c r="K1486" i="25" s="1"/>
  <c r="A1485" i="25"/>
  <c r="G1485" i="25" s="1"/>
  <c r="A1484" i="25"/>
  <c r="K1484" i="25" s="1"/>
  <c r="A1483" i="25"/>
  <c r="J1483" i="25" s="1"/>
  <c r="A1482" i="25"/>
  <c r="K1482" i="25" s="1"/>
  <c r="A1481" i="25"/>
  <c r="J1481" i="25" s="1"/>
  <c r="A1480" i="25"/>
  <c r="K1480" i="25" s="1"/>
  <c r="A1479" i="25"/>
  <c r="H1479" i="25" s="1"/>
  <c r="A1478" i="25"/>
  <c r="I1478" i="25" s="1"/>
  <c r="A1477" i="25"/>
  <c r="K1477" i="25" s="1"/>
  <c r="A1476" i="25"/>
  <c r="I1476" i="25" s="1"/>
  <c r="A1475" i="25"/>
  <c r="K1475" i="25" s="1"/>
  <c r="A1474" i="25"/>
  <c r="I1474" i="25" s="1"/>
  <c r="A1473" i="25"/>
  <c r="K1473" i="25" s="1"/>
  <c r="A1472" i="25"/>
  <c r="I1472" i="25" s="1"/>
  <c r="A1471" i="25"/>
  <c r="K1471" i="25" s="1"/>
  <c r="A1470" i="25"/>
  <c r="I1470" i="25" s="1"/>
  <c r="BO15" i="34" l="1"/>
  <c r="BN14" i="34"/>
  <c r="J1478" i="25"/>
  <c r="G1483" i="25"/>
  <c r="K1476" i="25"/>
  <c r="I1484" i="25"/>
  <c r="G1491" i="25"/>
  <c r="I1480" i="25"/>
  <c r="F1483" i="25"/>
  <c r="I1477" i="25"/>
  <c r="J1485" i="25"/>
  <c r="H1488" i="25"/>
  <c r="H1490" i="25"/>
  <c r="K1472" i="25"/>
  <c r="J1474" i="25"/>
  <c r="I1473" i="25"/>
  <c r="H1480" i="25"/>
  <c r="H1484" i="25"/>
  <c r="I1488" i="25"/>
  <c r="I1490" i="25"/>
  <c r="I1492" i="25"/>
  <c r="J1479" i="25"/>
  <c r="CK61" i="9"/>
  <c r="CL61" i="9"/>
  <c r="CK66" i="9"/>
  <c r="CL66" i="9"/>
  <c r="CK91" i="9"/>
  <c r="CL91" i="9"/>
  <c r="CK131" i="9"/>
  <c r="CL131" i="9"/>
  <c r="J1477" i="25"/>
  <c r="F1479" i="25"/>
  <c r="K1479" i="25"/>
  <c r="F1489" i="25"/>
  <c r="J1491" i="25"/>
  <c r="H1494" i="25"/>
  <c r="CK36" i="9"/>
  <c r="CK41" i="9"/>
  <c r="CL41" i="9"/>
  <c r="CK46" i="9"/>
  <c r="CL46" i="9"/>
  <c r="CK71" i="9"/>
  <c r="CL71" i="9"/>
  <c r="CK116" i="9"/>
  <c r="CK121" i="9"/>
  <c r="CL121" i="9"/>
  <c r="J1471" i="25"/>
  <c r="F1471" i="25"/>
  <c r="H1475" i="25"/>
  <c r="F1476" i="25"/>
  <c r="F1477" i="25"/>
  <c r="G1479" i="25"/>
  <c r="F1481" i="25"/>
  <c r="I1482" i="25"/>
  <c r="H1486" i="25"/>
  <c r="G1489" i="25"/>
  <c r="G1493" i="25"/>
  <c r="I1494" i="25"/>
  <c r="CK51" i="9"/>
  <c r="CL51" i="9"/>
  <c r="CK96" i="9"/>
  <c r="CK101" i="9"/>
  <c r="CL101" i="9"/>
  <c r="CK106" i="9"/>
  <c r="CL106" i="9"/>
  <c r="CK136" i="9"/>
  <c r="CK141" i="9"/>
  <c r="CL141" i="9"/>
  <c r="CK146" i="9"/>
  <c r="CL146" i="9"/>
  <c r="J1475" i="25"/>
  <c r="J1473" i="25"/>
  <c r="F1475" i="25"/>
  <c r="H1482" i="25"/>
  <c r="H1471" i="25"/>
  <c r="F1472" i="25"/>
  <c r="F1473" i="25"/>
  <c r="J1470" i="25"/>
  <c r="I1471" i="25"/>
  <c r="G1472" i="25"/>
  <c r="H1473" i="25"/>
  <c r="I1475" i="25"/>
  <c r="G1476" i="25"/>
  <c r="H1477" i="25"/>
  <c r="I1479" i="25"/>
  <c r="G1481" i="25"/>
  <c r="I1486" i="25"/>
  <c r="H1492" i="25"/>
  <c r="CK31" i="9"/>
  <c r="CL31" i="9"/>
  <c r="CK76" i="9"/>
  <c r="CK81" i="9"/>
  <c r="CL81" i="9"/>
  <c r="CK86" i="9"/>
  <c r="CL86" i="9"/>
  <c r="CK111" i="9"/>
  <c r="CL111" i="9"/>
  <c r="CK151" i="9"/>
  <c r="CL151" i="9"/>
  <c r="M1563" i="25"/>
  <c r="N1563" i="25" s="1"/>
  <c r="L1529" i="25"/>
  <c r="M1529" i="25" s="1"/>
  <c r="N1529" i="25" s="1"/>
  <c r="M1504" i="25"/>
  <c r="N1504" i="25" s="1"/>
  <c r="C1515" i="25" s="1"/>
  <c r="I1487" i="25"/>
  <c r="H1487" i="25"/>
  <c r="K1487" i="25"/>
  <c r="F1474" i="25"/>
  <c r="K1474" i="25"/>
  <c r="H1476" i="25"/>
  <c r="F1478" i="25"/>
  <c r="K1478" i="25"/>
  <c r="I1485" i="25"/>
  <c r="H1485" i="25"/>
  <c r="K1485" i="25"/>
  <c r="F1487" i="25"/>
  <c r="I1493" i="25"/>
  <c r="H1493" i="25"/>
  <c r="K1493" i="25"/>
  <c r="F1470" i="25"/>
  <c r="K1470" i="25"/>
  <c r="H1472" i="25"/>
  <c r="G1470" i="25"/>
  <c r="J1472" i="25"/>
  <c r="G1474" i="25"/>
  <c r="J1476" i="25"/>
  <c r="G1478" i="25"/>
  <c r="I1483" i="25"/>
  <c r="H1483" i="25"/>
  <c r="K1483" i="25"/>
  <c r="F1485" i="25"/>
  <c r="G1487" i="25"/>
  <c r="I1491" i="25"/>
  <c r="H1491" i="25"/>
  <c r="K1491" i="25"/>
  <c r="F1493" i="25"/>
  <c r="H1470" i="25"/>
  <c r="H1474" i="25"/>
  <c r="H1478" i="25"/>
  <c r="I1481" i="25"/>
  <c r="H1481" i="25"/>
  <c r="K1481" i="25"/>
  <c r="J1487" i="25"/>
  <c r="I1489" i="25"/>
  <c r="H1489" i="25"/>
  <c r="K1489" i="25"/>
  <c r="G1471" i="25"/>
  <c r="G1473" i="25"/>
  <c r="G1475" i="25"/>
  <c r="G1477" i="25"/>
  <c r="F1480" i="25"/>
  <c r="J1480" i="25"/>
  <c r="F1482" i="25"/>
  <c r="J1482" i="25"/>
  <c r="F1484" i="25"/>
  <c r="J1484" i="25"/>
  <c r="F1486" i="25"/>
  <c r="J1486" i="25"/>
  <c r="F1488" i="25"/>
  <c r="J1488" i="25"/>
  <c r="F1490" i="25"/>
  <c r="J1490" i="25"/>
  <c r="F1492" i="25"/>
  <c r="J1492" i="25"/>
  <c r="F1494" i="25"/>
  <c r="J1494" i="25"/>
  <c r="G1480" i="25"/>
  <c r="G1482" i="25"/>
  <c r="G1484" i="25"/>
  <c r="G1486" i="25"/>
  <c r="G1488" i="25"/>
  <c r="G1490" i="25"/>
  <c r="G1492" i="25"/>
  <c r="G1494" i="25"/>
  <c r="C11" i="11"/>
  <c r="C12" i="11"/>
  <c r="C13" i="11"/>
  <c r="C14" i="11"/>
  <c r="CN62" i="33"/>
  <c r="CN36" i="33"/>
  <c r="A1460" i="25"/>
  <c r="K1460" i="25" s="1"/>
  <c r="A1459" i="25"/>
  <c r="H1459" i="25" s="1"/>
  <c r="A1458" i="25"/>
  <c r="H1458" i="25" s="1"/>
  <c r="A1457" i="25"/>
  <c r="H1457" i="25" s="1"/>
  <c r="A1456" i="25"/>
  <c r="A1455" i="25"/>
  <c r="H1455" i="25" s="1"/>
  <c r="A1454" i="25"/>
  <c r="H1454" i="25" s="1"/>
  <c r="A1453" i="25"/>
  <c r="H1453" i="25" s="1"/>
  <c r="A1452" i="25"/>
  <c r="H1452" i="25" s="1"/>
  <c r="A1451" i="25"/>
  <c r="H1451" i="25" s="1"/>
  <c r="A1450" i="25"/>
  <c r="H1450" i="25" s="1"/>
  <c r="A1449" i="25"/>
  <c r="H1449" i="25" s="1"/>
  <c r="A1448" i="25"/>
  <c r="A1447" i="25"/>
  <c r="H1447" i="25" s="1"/>
  <c r="A1446" i="25"/>
  <c r="H1446" i="25" s="1"/>
  <c r="A1445" i="25"/>
  <c r="H1445" i="25" s="1"/>
  <c r="A1444" i="25"/>
  <c r="I1444" i="25" s="1"/>
  <c r="A1443" i="25"/>
  <c r="K1443" i="25" s="1"/>
  <c r="A1442" i="25"/>
  <c r="I1442" i="25" s="1"/>
  <c r="A1441" i="25"/>
  <c r="K1441" i="25" s="1"/>
  <c r="A1440" i="25"/>
  <c r="I1440" i="25" s="1"/>
  <c r="A1439" i="25"/>
  <c r="K1439" i="25" s="1"/>
  <c r="A1438" i="25"/>
  <c r="I1438" i="25" s="1"/>
  <c r="A1437" i="25"/>
  <c r="K1437" i="25" s="1"/>
  <c r="A1436" i="25"/>
  <c r="I1436" i="25" s="1"/>
  <c r="BP15" i="34" l="1"/>
  <c r="BO14" i="34"/>
  <c r="I1441" i="25"/>
  <c r="I1459" i="25"/>
  <c r="F1457" i="25"/>
  <c r="K1440" i="25"/>
  <c r="F1441" i="25"/>
  <c r="H1441" i="25"/>
  <c r="F1453" i="25"/>
  <c r="I1455" i="25"/>
  <c r="J1457" i="25"/>
  <c r="J1453" i="25"/>
  <c r="G1440" i="25"/>
  <c r="K1436" i="25"/>
  <c r="I1437" i="25"/>
  <c r="F1440" i="25"/>
  <c r="K1444" i="25"/>
  <c r="I1445" i="25"/>
  <c r="J1449" i="25"/>
  <c r="G1454" i="25"/>
  <c r="K1445" i="25"/>
  <c r="F1436" i="25"/>
  <c r="F1437" i="25"/>
  <c r="F1444" i="25"/>
  <c r="F1445" i="25"/>
  <c r="G1436" i="25"/>
  <c r="H1437" i="25"/>
  <c r="G1444" i="25"/>
  <c r="G1445" i="25"/>
  <c r="G1446" i="25"/>
  <c r="F1449" i="25"/>
  <c r="L1477" i="25"/>
  <c r="M1477" i="25" s="1"/>
  <c r="N1477" i="25" s="1"/>
  <c r="L1471" i="25"/>
  <c r="M1471" i="25" s="1"/>
  <c r="N1471" i="25" s="1"/>
  <c r="L1479" i="25"/>
  <c r="M1479" i="25" s="1"/>
  <c r="N1479" i="25" s="1"/>
  <c r="L1475" i="25"/>
  <c r="M1475" i="25" s="1"/>
  <c r="N1475" i="25" s="1"/>
  <c r="L1473" i="25"/>
  <c r="M1473" i="25" s="1"/>
  <c r="N1473" i="25" s="1"/>
  <c r="J1437" i="25"/>
  <c r="F1439" i="25"/>
  <c r="J1441" i="25"/>
  <c r="F1443" i="25"/>
  <c r="J1445" i="25"/>
  <c r="J1447" i="25"/>
  <c r="I1449" i="25"/>
  <c r="F1451" i="25"/>
  <c r="G1452" i="25"/>
  <c r="I1453" i="25"/>
  <c r="J1455" i="25"/>
  <c r="I1457" i="25"/>
  <c r="F1459" i="25"/>
  <c r="H1460" i="25"/>
  <c r="J1439" i="25"/>
  <c r="H1439" i="25"/>
  <c r="H1443" i="25"/>
  <c r="I1451" i="25"/>
  <c r="J1438" i="25"/>
  <c r="I1439" i="25"/>
  <c r="J1442" i="25"/>
  <c r="I1443" i="25"/>
  <c r="F1447" i="25"/>
  <c r="J1451" i="25"/>
  <c r="F1455" i="25"/>
  <c r="J1459" i="25"/>
  <c r="J1443" i="25"/>
  <c r="I1447" i="25"/>
  <c r="C1527" i="25"/>
  <c r="C1522" i="25"/>
  <c r="C1524" i="25"/>
  <c r="C1528" i="25"/>
  <c r="C1521" i="25"/>
  <c r="C1513" i="25"/>
  <c r="C1520" i="25"/>
  <c r="C1523" i="25"/>
  <c r="C1516" i="25"/>
  <c r="C1511" i="25"/>
  <c r="C1504" i="25"/>
  <c r="C1510" i="25"/>
  <c r="C1508" i="25"/>
  <c r="C1506" i="25"/>
  <c r="C1512" i="25"/>
  <c r="C1525" i="25"/>
  <c r="C1519" i="25"/>
  <c r="C1505" i="25"/>
  <c r="C1526" i="25"/>
  <c r="C1518" i="25"/>
  <c r="C1507" i="25"/>
  <c r="C1514" i="25"/>
  <c r="C1509" i="25"/>
  <c r="C1517" i="25"/>
  <c r="M1501" i="25"/>
  <c r="L1472" i="25"/>
  <c r="M1472" i="25" s="1"/>
  <c r="N1472" i="25" s="1"/>
  <c r="L1489" i="25"/>
  <c r="M1489" i="25" s="1"/>
  <c r="N1489" i="25" s="1"/>
  <c r="L1483" i="25"/>
  <c r="M1483" i="25" s="1"/>
  <c r="N1483" i="25" s="1"/>
  <c r="I1495" i="25"/>
  <c r="J1495" i="25"/>
  <c r="L1476" i="25"/>
  <c r="M1476" i="25" s="1"/>
  <c r="N1476" i="25" s="1"/>
  <c r="L1481" i="25"/>
  <c r="M1481" i="25" s="1"/>
  <c r="N1481" i="25" s="1"/>
  <c r="L1491" i="25"/>
  <c r="M1491" i="25" s="1"/>
  <c r="N1491" i="25" s="1"/>
  <c r="L1492" i="25"/>
  <c r="M1492" i="25" s="1"/>
  <c r="N1492" i="25" s="1"/>
  <c r="L1484" i="25"/>
  <c r="M1484" i="25" s="1"/>
  <c r="N1484" i="25" s="1"/>
  <c r="L1488" i="25"/>
  <c r="M1488" i="25" s="1"/>
  <c r="N1488" i="25" s="1"/>
  <c r="L1493" i="25"/>
  <c r="M1493" i="25" s="1"/>
  <c r="N1493" i="25" s="1"/>
  <c r="K1495" i="25"/>
  <c r="L1478" i="25"/>
  <c r="M1478" i="25" s="1"/>
  <c r="N1478" i="25" s="1"/>
  <c r="L1480" i="25"/>
  <c r="M1480" i="25" s="1"/>
  <c r="N1480" i="25" s="1"/>
  <c r="L1487" i="25"/>
  <c r="M1487" i="25" s="1"/>
  <c r="N1487" i="25" s="1"/>
  <c r="L1494" i="25"/>
  <c r="M1494" i="25" s="1"/>
  <c r="N1494" i="25" s="1"/>
  <c r="L1490" i="25"/>
  <c r="M1490" i="25" s="1"/>
  <c r="N1490" i="25" s="1"/>
  <c r="L1486" i="25"/>
  <c r="M1486" i="25" s="1"/>
  <c r="N1486" i="25" s="1"/>
  <c r="L1482" i="25"/>
  <c r="M1482" i="25" s="1"/>
  <c r="N1482" i="25" s="1"/>
  <c r="L1485" i="25"/>
  <c r="M1485" i="25" s="1"/>
  <c r="N1485" i="25" s="1"/>
  <c r="G1495" i="25"/>
  <c r="L1470" i="25"/>
  <c r="M1470" i="25" s="1"/>
  <c r="N1470" i="25" s="1"/>
  <c r="F1495" i="25"/>
  <c r="H1495" i="25"/>
  <c r="L1474" i="25"/>
  <c r="M1474" i="25" s="1"/>
  <c r="N1474" i="25" s="1"/>
  <c r="J1448" i="25"/>
  <c r="F1448" i="25"/>
  <c r="I1448" i="25"/>
  <c r="K1448" i="25"/>
  <c r="H1436" i="25"/>
  <c r="F1438" i="25"/>
  <c r="K1438" i="25"/>
  <c r="F1442" i="25"/>
  <c r="K1442" i="25"/>
  <c r="H1444" i="25"/>
  <c r="J1446" i="25"/>
  <c r="F1446" i="25"/>
  <c r="I1446" i="25"/>
  <c r="K1446" i="25"/>
  <c r="G1450" i="25"/>
  <c r="J1454" i="25"/>
  <c r="F1454" i="25"/>
  <c r="I1454" i="25"/>
  <c r="K1454" i="25"/>
  <c r="G1458" i="25"/>
  <c r="J1456" i="25"/>
  <c r="F1456" i="25"/>
  <c r="I1456" i="25"/>
  <c r="K1456" i="25"/>
  <c r="H1440" i="25"/>
  <c r="J1436" i="25"/>
  <c r="G1438" i="25"/>
  <c r="J1440" i="25"/>
  <c r="G1442" i="25"/>
  <c r="J1444" i="25"/>
  <c r="G1448" i="25"/>
  <c r="J1452" i="25"/>
  <c r="F1452" i="25"/>
  <c r="I1452" i="25"/>
  <c r="K1452" i="25"/>
  <c r="G1456" i="25"/>
  <c r="H1438" i="25"/>
  <c r="H1442" i="25"/>
  <c r="H1448" i="25"/>
  <c r="J1450" i="25"/>
  <c r="F1450" i="25"/>
  <c r="I1450" i="25"/>
  <c r="K1450" i="25"/>
  <c r="H1456" i="25"/>
  <c r="J1458" i="25"/>
  <c r="F1458" i="25"/>
  <c r="I1458" i="25"/>
  <c r="K1458" i="25"/>
  <c r="G1447" i="25"/>
  <c r="K1447" i="25"/>
  <c r="G1449" i="25"/>
  <c r="K1449" i="25"/>
  <c r="G1451" i="25"/>
  <c r="K1451" i="25"/>
  <c r="G1453" i="25"/>
  <c r="K1453" i="25"/>
  <c r="G1455" i="25"/>
  <c r="K1455" i="25"/>
  <c r="G1457" i="25"/>
  <c r="K1457" i="25"/>
  <c r="G1459" i="25"/>
  <c r="K1459" i="25"/>
  <c r="I1460" i="25"/>
  <c r="G1437" i="25"/>
  <c r="G1439" i="25"/>
  <c r="G1441" i="25"/>
  <c r="G1443" i="25"/>
  <c r="F1460" i="25"/>
  <c r="J1460" i="25"/>
  <c r="G1460" i="25"/>
  <c r="CI150" i="9"/>
  <c r="CJ151" i="9" s="1"/>
  <c r="CI149" i="9"/>
  <c r="CI145" i="9"/>
  <c r="CJ146" i="9" s="1"/>
  <c r="CI144" i="9"/>
  <c r="CI140" i="9"/>
  <c r="CJ141" i="9" s="1"/>
  <c r="CI139" i="9"/>
  <c r="CI135" i="9"/>
  <c r="CJ136" i="9" s="1"/>
  <c r="CI134" i="9"/>
  <c r="CI130" i="9"/>
  <c r="CJ131" i="9" s="1"/>
  <c r="CI129" i="9"/>
  <c r="CI125" i="9"/>
  <c r="CI124" i="9"/>
  <c r="CI120" i="9"/>
  <c r="CJ121" i="9" s="1"/>
  <c r="CI119" i="9"/>
  <c r="CI115" i="9"/>
  <c r="CJ116" i="9" s="1"/>
  <c r="CI114" i="9"/>
  <c r="CI110" i="9"/>
  <c r="CJ111" i="9" s="1"/>
  <c r="CI109" i="9"/>
  <c r="CI105" i="9"/>
  <c r="CJ106" i="9" s="1"/>
  <c r="CI104" i="9"/>
  <c r="CI100" i="9"/>
  <c r="CJ101" i="9" s="1"/>
  <c r="CI99" i="9"/>
  <c r="CI95" i="9"/>
  <c r="CJ96" i="9" s="1"/>
  <c r="CI94" i="9"/>
  <c r="CI90" i="9"/>
  <c r="CJ91" i="9" s="1"/>
  <c r="CI89" i="9"/>
  <c r="CI85" i="9"/>
  <c r="CJ86" i="9" s="1"/>
  <c r="CI84" i="9"/>
  <c r="CI80" i="9"/>
  <c r="CJ81" i="9" s="1"/>
  <c r="CI79" i="9"/>
  <c r="CI75" i="9"/>
  <c r="CJ76" i="9" s="1"/>
  <c r="CI74" i="9"/>
  <c r="CI70" i="9"/>
  <c r="CJ71" i="9" s="1"/>
  <c r="CI69" i="9"/>
  <c r="CI65" i="9"/>
  <c r="CJ66" i="9" s="1"/>
  <c r="CI64" i="9"/>
  <c r="CI60" i="9"/>
  <c r="CJ61" i="9" s="1"/>
  <c r="CI59" i="9"/>
  <c r="CI55" i="9"/>
  <c r="CJ56" i="9" s="1"/>
  <c r="CI54" i="9"/>
  <c r="CI50" i="9"/>
  <c r="CJ51" i="9" s="1"/>
  <c r="CI49" i="9"/>
  <c r="CI45" i="9"/>
  <c r="CJ46" i="9" s="1"/>
  <c r="CI44" i="9"/>
  <c r="CI40" i="9"/>
  <c r="CJ41" i="9" s="1"/>
  <c r="CI39" i="9"/>
  <c r="CI35" i="9"/>
  <c r="CJ36" i="9" s="1"/>
  <c r="CI34" i="9"/>
  <c r="CI30" i="9"/>
  <c r="CJ31" i="9" s="1"/>
  <c r="CI29" i="9"/>
  <c r="CM62" i="33"/>
  <c r="CM36" i="33"/>
  <c r="A1426" i="25"/>
  <c r="K1426" i="25" s="1"/>
  <c r="A1425" i="25"/>
  <c r="H1425" i="25" s="1"/>
  <c r="A1424" i="25"/>
  <c r="H1424" i="25" s="1"/>
  <c r="A1423" i="25"/>
  <c r="H1423" i="25" s="1"/>
  <c r="A1422" i="25"/>
  <c r="A1421" i="25"/>
  <c r="H1421" i="25" s="1"/>
  <c r="A1420" i="25"/>
  <c r="H1420" i="25" s="1"/>
  <c r="A1419" i="25"/>
  <c r="H1419" i="25" s="1"/>
  <c r="A1418" i="25"/>
  <c r="I1418" i="25" s="1"/>
  <c r="A1417" i="25"/>
  <c r="H1417" i="25" s="1"/>
  <c r="A1416" i="25"/>
  <c r="G1416" i="25" s="1"/>
  <c r="A1415" i="25"/>
  <c r="H1415" i="25" s="1"/>
  <c r="A1414" i="25"/>
  <c r="K1414" i="25" s="1"/>
  <c r="A1413" i="25"/>
  <c r="H1413" i="25" s="1"/>
  <c r="A1412" i="25"/>
  <c r="K1412" i="25" s="1"/>
  <c r="A1411" i="25"/>
  <c r="H1411" i="25" s="1"/>
  <c r="A1410" i="25"/>
  <c r="A1409" i="25"/>
  <c r="H1409" i="25" s="1"/>
  <c r="A1408" i="25"/>
  <c r="G1408" i="25" s="1"/>
  <c r="A1407" i="25"/>
  <c r="H1407" i="25" s="1"/>
  <c r="A1406" i="25"/>
  <c r="K1406" i="25" s="1"/>
  <c r="A1405" i="25"/>
  <c r="H1405" i="25" s="1"/>
  <c r="A1404" i="25"/>
  <c r="K1404" i="25" s="1"/>
  <c r="A1403" i="25"/>
  <c r="H1403" i="25" s="1"/>
  <c r="A1402" i="25"/>
  <c r="K1402" i="25" s="1"/>
  <c r="U71" i="11"/>
  <c r="O90" i="11"/>
  <c r="N90" i="11"/>
  <c r="M90" i="11"/>
  <c r="L90" i="11"/>
  <c r="K90" i="11"/>
  <c r="O89" i="11"/>
  <c r="N89" i="11"/>
  <c r="M89" i="11"/>
  <c r="L89" i="11"/>
  <c r="K89" i="11"/>
  <c r="O88" i="11"/>
  <c r="N88" i="11"/>
  <c r="M88" i="11"/>
  <c r="L88" i="11"/>
  <c r="K88" i="11"/>
  <c r="O87" i="11"/>
  <c r="N87" i="11"/>
  <c r="M87" i="11"/>
  <c r="L87" i="11"/>
  <c r="K87" i="11"/>
  <c r="O86" i="11"/>
  <c r="N86" i="11"/>
  <c r="M86" i="11"/>
  <c r="L86" i="11"/>
  <c r="K86" i="11"/>
  <c r="O85" i="11"/>
  <c r="N85" i="11"/>
  <c r="M85" i="11"/>
  <c r="L85" i="11"/>
  <c r="K85" i="11"/>
  <c r="O84" i="11"/>
  <c r="N84" i="11"/>
  <c r="M84" i="11"/>
  <c r="L84" i="11"/>
  <c r="K84" i="11"/>
  <c r="O83" i="11"/>
  <c r="N83" i="11"/>
  <c r="M83" i="11"/>
  <c r="L83" i="11"/>
  <c r="K83" i="11"/>
  <c r="BP14" i="34" l="1"/>
  <c r="BQ15" i="34"/>
  <c r="F1421" i="25"/>
  <c r="F1403" i="25"/>
  <c r="G1404" i="25"/>
  <c r="G1406" i="25"/>
  <c r="F1407" i="25"/>
  <c r="I1408" i="25"/>
  <c r="J1411" i="25"/>
  <c r="J1425" i="25"/>
  <c r="I1403" i="25"/>
  <c r="I1406" i="25"/>
  <c r="G1407" i="25"/>
  <c r="J1403" i="25"/>
  <c r="K1407" i="25"/>
  <c r="L1445" i="25"/>
  <c r="M1445" i="25" s="1"/>
  <c r="N1445" i="25" s="1"/>
  <c r="F1417" i="25"/>
  <c r="I1421" i="25"/>
  <c r="G1417" i="25"/>
  <c r="J1417" i="25"/>
  <c r="L1441" i="25"/>
  <c r="M1441" i="25" s="1"/>
  <c r="N1441" i="25" s="1"/>
  <c r="L1437" i="25"/>
  <c r="M1437" i="25" s="1"/>
  <c r="N1437" i="25" s="1"/>
  <c r="L1439" i="25"/>
  <c r="M1439" i="25" s="1"/>
  <c r="N1439" i="25" s="1"/>
  <c r="L1443" i="25"/>
  <c r="M1443" i="25" s="1"/>
  <c r="N1443" i="25" s="1"/>
  <c r="H1402" i="25"/>
  <c r="F1409" i="25"/>
  <c r="G1412" i="25"/>
  <c r="G1414" i="25"/>
  <c r="F1415" i="25"/>
  <c r="I1416" i="25"/>
  <c r="F1423" i="25"/>
  <c r="K1409" i="25"/>
  <c r="F1419" i="25"/>
  <c r="G1420" i="25"/>
  <c r="G1409" i="25"/>
  <c r="I1414" i="25"/>
  <c r="G1415" i="25"/>
  <c r="K1417" i="25"/>
  <c r="I1419" i="25"/>
  <c r="J1421" i="25"/>
  <c r="I1423" i="25"/>
  <c r="F1425" i="25"/>
  <c r="H1426" i="25"/>
  <c r="J1409" i="25"/>
  <c r="K1415" i="25"/>
  <c r="J1419" i="25"/>
  <c r="J1423" i="25"/>
  <c r="I1425" i="25"/>
  <c r="C1477" i="25"/>
  <c r="C1480" i="25"/>
  <c r="C1474" i="25"/>
  <c r="C1490" i="25"/>
  <c r="C1484" i="25"/>
  <c r="C1476" i="25"/>
  <c r="C1489" i="25"/>
  <c r="C1479" i="25"/>
  <c r="C1486" i="25"/>
  <c r="C1488" i="25"/>
  <c r="C1481" i="25"/>
  <c r="C1483" i="25"/>
  <c r="C1475" i="25"/>
  <c r="C1485" i="25"/>
  <c r="C1494" i="25"/>
  <c r="C1492" i="25"/>
  <c r="C1472" i="25"/>
  <c r="C1471" i="25"/>
  <c r="C1482" i="25"/>
  <c r="C1487" i="25"/>
  <c r="C1493" i="25"/>
  <c r="C1491" i="25"/>
  <c r="C1473" i="25"/>
  <c r="C1470" i="25"/>
  <c r="L1495" i="25"/>
  <c r="M1495" i="25" s="1"/>
  <c r="N1495" i="25" s="1"/>
  <c r="L1459" i="25"/>
  <c r="M1459" i="25" s="1"/>
  <c r="N1459" i="25" s="1"/>
  <c r="L1455" i="25"/>
  <c r="M1455" i="25" s="1"/>
  <c r="N1455" i="25" s="1"/>
  <c r="L1451" i="25"/>
  <c r="M1451" i="25" s="1"/>
  <c r="N1451" i="25" s="1"/>
  <c r="L1447" i="25"/>
  <c r="M1447" i="25" s="1"/>
  <c r="N1447" i="25" s="1"/>
  <c r="L1457" i="25"/>
  <c r="M1457" i="25" s="1"/>
  <c r="N1457" i="25" s="1"/>
  <c r="L1453" i="25"/>
  <c r="M1453" i="25" s="1"/>
  <c r="N1453" i="25" s="1"/>
  <c r="L1449" i="25"/>
  <c r="M1449" i="25" s="1"/>
  <c r="N1449" i="25" s="1"/>
  <c r="L1440" i="25"/>
  <c r="M1440" i="25" s="1"/>
  <c r="N1440" i="25" s="1"/>
  <c r="L1444" i="25"/>
  <c r="M1444" i="25" s="1"/>
  <c r="N1444" i="25" s="1"/>
  <c r="I1461" i="25"/>
  <c r="K1461" i="25"/>
  <c r="L1452" i="25"/>
  <c r="M1452" i="25" s="1"/>
  <c r="N1452" i="25" s="1"/>
  <c r="L1442" i="25"/>
  <c r="M1442" i="25" s="1"/>
  <c r="N1442" i="25" s="1"/>
  <c r="H1461" i="25"/>
  <c r="L1460" i="25"/>
  <c r="M1460" i="25" s="1"/>
  <c r="N1460" i="25" s="1"/>
  <c r="L1450" i="25"/>
  <c r="M1450" i="25" s="1"/>
  <c r="N1450" i="25" s="1"/>
  <c r="J1461" i="25"/>
  <c r="L1456" i="25"/>
  <c r="M1456" i="25" s="1"/>
  <c r="N1456" i="25" s="1"/>
  <c r="L1454" i="25"/>
  <c r="M1454" i="25" s="1"/>
  <c r="N1454" i="25" s="1"/>
  <c r="L1436" i="25"/>
  <c r="F1461" i="25"/>
  <c r="G1461" i="25"/>
  <c r="L1458" i="25"/>
  <c r="M1458" i="25" s="1"/>
  <c r="N1458" i="25" s="1"/>
  <c r="L1446" i="25"/>
  <c r="M1446" i="25" s="1"/>
  <c r="N1446" i="25" s="1"/>
  <c r="L1438" i="25"/>
  <c r="M1438" i="25" s="1"/>
  <c r="N1438" i="25" s="1"/>
  <c r="L1448" i="25"/>
  <c r="M1448" i="25" s="1"/>
  <c r="N1448" i="25" s="1"/>
  <c r="I1413" i="25"/>
  <c r="J1422" i="25"/>
  <c r="F1422" i="25"/>
  <c r="I1422" i="25"/>
  <c r="I1402" i="25"/>
  <c r="G1403" i="25"/>
  <c r="K1403" i="25"/>
  <c r="J1404" i="25"/>
  <c r="F1404" i="25"/>
  <c r="H1404" i="25"/>
  <c r="J1405" i="25"/>
  <c r="I1407" i="25"/>
  <c r="K1408" i="25"/>
  <c r="J1420" i="25"/>
  <c r="F1420" i="25"/>
  <c r="I1420" i="25"/>
  <c r="K1420" i="25"/>
  <c r="G1424" i="25"/>
  <c r="J1410" i="25"/>
  <c r="F1410" i="25"/>
  <c r="H1410" i="25"/>
  <c r="J1418" i="25"/>
  <c r="F1418" i="25"/>
  <c r="H1418" i="25"/>
  <c r="K1422" i="25"/>
  <c r="I1410" i="25"/>
  <c r="F1411" i="25"/>
  <c r="K1411" i="25"/>
  <c r="J1412" i="25"/>
  <c r="F1412" i="25"/>
  <c r="H1412" i="25"/>
  <c r="J1413" i="25"/>
  <c r="I1415" i="25"/>
  <c r="K1416" i="25"/>
  <c r="F1402" i="25"/>
  <c r="J1402" i="25"/>
  <c r="I1404" i="25"/>
  <c r="F1405" i="25"/>
  <c r="K1405" i="25"/>
  <c r="J1406" i="25"/>
  <c r="F1406" i="25"/>
  <c r="H1406" i="25"/>
  <c r="J1407" i="25"/>
  <c r="I1409" i="25"/>
  <c r="K1410" i="25"/>
  <c r="G1411" i="25"/>
  <c r="I1412" i="25"/>
  <c r="F1413" i="25"/>
  <c r="K1413" i="25"/>
  <c r="J1414" i="25"/>
  <c r="F1414" i="25"/>
  <c r="H1414" i="25"/>
  <c r="J1415" i="25"/>
  <c r="I1417" i="25"/>
  <c r="K1418" i="25"/>
  <c r="G1422" i="25"/>
  <c r="I1405" i="25"/>
  <c r="G1402" i="25"/>
  <c r="G1405" i="25"/>
  <c r="J1408" i="25"/>
  <c r="F1408" i="25"/>
  <c r="H1408" i="25"/>
  <c r="G1410" i="25"/>
  <c r="I1411" i="25"/>
  <c r="G1413" i="25"/>
  <c r="J1416" i="25"/>
  <c r="F1416" i="25"/>
  <c r="H1416" i="25"/>
  <c r="G1418" i="25"/>
  <c r="H1422" i="25"/>
  <c r="J1424" i="25"/>
  <c r="F1424" i="25"/>
  <c r="I1424" i="25"/>
  <c r="K1424" i="25"/>
  <c r="G1419" i="25"/>
  <c r="K1419" i="25"/>
  <c r="G1421" i="25"/>
  <c r="K1421" i="25"/>
  <c r="G1423" i="25"/>
  <c r="K1423" i="25"/>
  <c r="G1425" i="25"/>
  <c r="K1425" i="25"/>
  <c r="I1426" i="25"/>
  <c r="F1426" i="25"/>
  <c r="J1426" i="25"/>
  <c r="G1426" i="25"/>
  <c r="CH149" i="9"/>
  <c r="CH144" i="9"/>
  <c r="CH139" i="9"/>
  <c r="CH134" i="9"/>
  <c r="CH129" i="9"/>
  <c r="CH125" i="9"/>
  <c r="CI126" i="9" s="1"/>
  <c r="CH124" i="9"/>
  <c r="CH119" i="9"/>
  <c r="CH114" i="9"/>
  <c r="CH109" i="9"/>
  <c r="CH104" i="9"/>
  <c r="CH99" i="9"/>
  <c r="CH94" i="9"/>
  <c r="CH89" i="9"/>
  <c r="CH84" i="9"/>
  <c r="CH79" i="9"/>
  <c r="CH74" i="9"/>
  <c r="CH69" i="9"/>
  <c r="CH64" i="9"/>
  <c r="CH59" i="9"/>
  <c r="CH54" i="9"/>
  <c r="CH49" i="9"/>
  <c r="CH44" i="9"/>
  <c r="CH39" i="9"/>
  <c r="CH34" i="9"/>
  <c r="CH29" i="9"/>
  <c r="CL62" i="33"/>
  <c r="CL36" i="33"/>
  <c r="A1392" i="25"/>
  <c r="K1392" i="25" s="1"/>
  <c r="A1391" i="25"/>
  <c r="H1391" i="25" s="1"/>
  <c r="A1390" i="25"/>
  <c r="H1390" i="25" s="1"/>
  <c r="A1389" i="25"/>
  <c r="H1389" i="25" s="1"/>
  <c r="A1388" i="25"/>
  <c r="A1387" i="25"/>
  <c r="H1387" i="25" s="1"/>
  <c r="A1386" i="25"/>
  <c r="G1386" i="25" s="1"/>
  <c r="A1385" i="25"/>
  <c r="H1385" i="25" s="1"/>
  <c r="A1384" i="25"/>
  <c r="I1384" i="25" s="1"/>
  <c r="A1383" i="25"/>
  <c r="H1383" i="25" s="1"/>
  <c r="A1382" i="25"/>
  <c r="K1382" i="25" s="1"/>
  <c r="A1381" i="25"/>
  <c r="H1381" i="25" s="1"/>
  <c r="A1380" i="25"/>
  <c r="A1379" i="25"/>
  <c r="H1379" i="25" s="1"/>
  <c r="A1378" i="25"/>
  <c r="K1378" i="25" s="1"/>
  <c r="A1377" i="25"/>
  <c r="H1377" i="25" s="1"/>
  <c r="A1376" i="25"/>
  <c r="G1376" i="25" s="1"/>
  <c r="A1375" i="25"/>
  <c r="H1375" i="25" s="1"/>
  <c r="A1374" i="25"/>
  <c r="G1374" i="25" s="1"/>
  <c r="A1373" i="25"/>
  <c r="H1373" i="25" s="1"/>
  <c r="A1372" i="25"/>
  <c r="I1372" i="25" s="1"/>
  <c r="A1371" i="25"/>
  <c r="H1371" i="25" s="1"/>
  <c r="A1370" i="25"/>
  <c r="K1370" i="25" s="1"/>
  <c r="A1369" i="25"/>
  <c r="K1369" i="25" s="1"/>
  <c r="A1368" i="25"/>
  <c r="K1368" i="25" s="1"/>
  <c r="BQ14" i="34" l="1"/>
  <c r="BR15" i="34"/>
  <c r="H1368" i="25"/>
  <c r="G1370" i="25"/>
  <c r="J1387" i="25"/>
  <c r="H1369" i="25"/>
  <c r="I1386" i="25"/>
  <c r="K1374" i="25"/>
  <c r="F1385" i="25"/>
  <c r="F1387" i="25"/>
  <c r="F1368" i="25"/>
  <c r="F1369" i="25"/>
  <c r="I1370" i="25"/>
  <c r="K1376" i="25"/>
  <c r="I1387" i="25"/>
  <c r="F1389" i="25"/>
  <c r="F1391" i="25"/>
  <c r="I1389" i="25"/>
  <c r="I1368" i="25"/>
  <c r="F1371" i="25"/>
  <c r="G1373" i="25"/>
  <c r="J1381" i="25"/>
  <c r="H1392" i="25"/>
  <c r="K1371" i="25"/>
  <c r="J1373" i="25"/>
  <c r="L1417" i="25"/>
  <c r="M1417" i="25" s="1"/>
  <c r="N1417" i="25" s="1"/>
  <c r="L1409" i="25"/>
  <c r="M1409" i="25" s="1"/>
  <c r="N1409" i="25" s="1"/>
  <c r="L1415" i="25"/>
  <c r="M1415" i="25" s="1"/>
  <c r="N1415" i="25" s="1"/>
  <c r="F1379" i="25"/>
  <c r="G1382" i="25"/>
  <c r="G1384" i="25"/>
  <c r="I1374" i="25"/>
  <c r="J1377" i="25"/>
  <c r="I1378" i="25"/>
  <c r="J1379" i="25"/>
  <c r="K1384" i="25"/>
  <c r="K1385" i="25"/>
  <c r="J1391" i="25"/>
  <c r="K1377" i="25"/>
  <c r="K1379" i="25"/>
  <c r="F1377" i="25"/>
  <c r="J1368" i="25"/>
  <c r="J1369" i="25"/>
  <c r="G1377" i="25"/>
  <c r="G1378" i="25"/>
  <c r="G1379" i="25"/>
  <c r="G1385" i="25"/>
  <c r="J1389" i="25"/>
  <c r="I1391" i="25"/>
  <c r="M1467" i="25"/>
  <c r="C7" i="11"/>
  <c r="C4" i="11"/>
  <c r="C8" i="11"/>
  <c r="C5" i="11"/>
  <c r="C9" i="11"/>
  <c r="C6" i="11"/>
  <c r="C10" i="11"/>
  <c r="L1407" i="25"/>
  <c r="M1407" i="25" s="1"/>
  <c r="N1407" i="25" s="1"/>
  <c r="L1461" i="25"/>
  <c r="M1433" i="25" s="1"/>
  <c r="M1436" i="25"/>
  <c r="N1436" i="25" s="1"/>
  <c r="C1438" i="25" s="1"/>
  <c r="L1425" i="25"/>
  <c r="M1425" i="25" s="1"/>
  <c r="N1425" i="25" s="1"/>
  <c r="L1421" i="25"/>
  <c r="M1421" i="25" s="1"/>
  <c r="N1421" i="25" s="1"/>
  <c r="L1419" i="25"/>
  <c r="M1419" i="25" s="1"/>
  <c r="N1419" i="25" s="1"/>
  <c r="H1427" i="25"/>
  <c r="K1427" i="25"/>
  <c r="L1423" i="25"/>
  <c r="M1423" i="25" s="1"/>
  <c r="N1423" i="25" s="1"/>
  <c r="L1403" i="25"/>
  <c r="M1403" i="25" s="1"/>
  <c r="N1403" i="25" s="1"/>
  <c r="L1414" i="25"/>
  <c r="M1414" i="25" s="1"/>
  <c r="N1414" i="25" s="1"/>
  <c r="L1411" i="25"/>
  <c r="M1411" i="25" s="1"/>
  <c r="N1411" i="25" s="1"/>
  <c r="L1404" i="25"/>
  <c r="M1404" i="25" s="1"/>
  <c r="N1404" i="25" s="1"/>
  <c r="I1427" i="25"/>
  <c r="L1405" i="25"/>
  <c r="M1405" i="25" s="1"/>
  <c r="N1405" i="25" s="1"/>
  <c r="L1412" i="25"/>
  <c r="M1412" i="25" s="1"/>
  <c r="N1412" i="25" s="1"/>
  <c r="L1426" i="25"/>
  <c r="M1426" i="25" s="1"/>
  <c r="N1426" i="25" s="1"/>
  <c r="L1424" i="25"/>
  <c r="M1424" i="25" s="1"/>
  <c r="N1424" i="25" s="1"/>
  <c r="L1406" i="25"/>
  <c r="M1406" i="25" s="1"/>
  <c r="N1406" i="25" s="1"/>
  <c r="L1420" i="25"/>
  <c r="M1420" i="25" s="1"/>
  <c r="N1420" i="25" s="1"/>
  <c r="L1422" i="25"/>
  <c r="M1422" i="25" s="1"/>
  <c r="N1422" i="25" s="1"/>
  <c r="L1416" i="25"/>
  <c r="M1416" i="25" s="1"/>
  <c r="N1416" i="25" s="1"/>
  <c r="F1427" i="25"/>
  <c r="L1402" i="25"/>
  <c r="L1418" i="25"/>
  <c r="M1418" i="25" s="1"/>
  <c r="N1418" i="25" s="1"/>
  <c r="L1408" i="25"/>
  <c r="M1408" i="25" s="1"/>
  <c r="N1408" i="25" s="1"/>
  <c r="G1427" i="25"/>
  <c r="L1413" i="25"/>
  <c r="M1413" i="25" s="1"/>
  <c r="N1413" i="25" s="1"/>
  <c r="J1427" i="25"/>
  <c r="L1410" i="25"/>
  <c r="M1410" i="25" s="1"/>
  <c r="N1410" i="25" s="1"/>
  <c r="J1380" i="25"/>
  <c r="F1380" i="25"/>
  <c r="H1380" i="25"/>
  <c r="I1383" i="25"/>
  <c r="J1388" i="25"/>
  <c r="F1388" i="25"/>
  <c r="I1388" i="25"/>
  <c r="K1388" i="25"/>
  <c r="G1368" i="25"/>
  <c r="I1369" i="25"/>
  <c r="G1371" i="25"/>
  <c r="F1373" i="25"/>
  <c r="K1373" i="25"/>
  <c r="J1374" i="25"/>
  <c r="F1374" i="25"/>
  <c r="H1374" i="25"/>
  <c r="J1375" i="25"/>
  <c r="I1377" i="25"/>
  <c r="I1380" i="25"/>
  <c r="F1381" i="25"/>
  <c r="K1381" i="25"/>
  <c r="J1382" i="25"/>
  <c r="F1382" i="25"/>
  <c r="H1382" i="25"/>
  <c r="J1383" i="25"/>
  <c r="I1385" i="25"/>
  <c r="K1386" i="25"/>
  <c r="G1390" i="25"/>
  <c r="J1372" i="25"/>
  <c r="F1372" i="25"/>
  <c r="H1372" i="25"/>
  <c r="I1375" i="25"/>
  <c r="I1379" i="25"/>
  <c r="K1380" i="25"/>
  <c r="G1381" i="25"/>
  <c r="I1382" i="25"/>
  <c r="F1383" i="25"/>
  <c r="K1383" i="25"/>
  <c r="J1384" i="25"/>
  <c r="F1384" i="25"/>
  <c r="H1384" i="25"/>
  <c r="J1385" i="25"/>
  <c r="G1388" i="25"/>
  <c r="I1371" i="25"/>
  <c r="K1372" i="25"/>
  <c r="F1375" i="25"/>
  <c r="K1375" i="25"/>
  <c r="J1376" i="25"/>
  <c r="F1376" i="25"/>
  <c r="H1376" i="25"/>
  <c r="G1369" i="25"/>
  <c r="J1370" i="25"/>
  <c r="F1370" i="25"/>
  <c r="H1370" i="25"/>
  <c r="J1371" i="25"/>
  <c r="G1372" i="25"/>
  <c r="I1373" i="25"/>
  <c r="G1375" i="25"/>
  <c r="I1376" i="25"/>
  <c r="J1378" i="25"/>
  <c r="F1378" i="25"/>
  <c r="H1378" i="25"/>
  <c r="G1380" i="25"/>
  <c r="I1381" i="25"/>
  <c r="G1383" i="25"/>
  <c r="J1386" i="25"/>
  <c r="F1386" i="25"/>
  <c r="H1386" i="25"/>
  <c r="H1388" i="25"/>
  <c r="J1390" i="25"/>
  <c r="F1390" i="25"/>
  <c r="I1390" i="25"/>
  <c r="K1390" i="25"/>
  <c r="G1387" i="25"/>
  <c r="K1387" i="25"/>
  <c r="G1389" i="25"/>
  <c r="K1389" i="25"/>
  <c r="G1391" i="25"/>
  <c r="K1391" i="25"/>
  <c r="I1392" i="25"/>
  <c r="F1392" i="25"/>
  <c r="J1392" i="25"/>
  <c r="G1392" i="25"/>
  <c r="CG150" i="9"/>
  <c r="CG149" i="9"/>
  <c r="CG145" i="9"/>
  <c r="CG144" i="9"/>
  <c r="CG140" i="9"/>
  <c r="CG139" i="9"/>
  <c r="CG135" i="9"/>
  <c r="CG134" i="9"/>
  <c r="CG130" i="9"/>
  <c r="CG129" i="9"/>
  <c r="CG125" i="9"/>
  <c r="CH126" i="9" s="1"/>
  <c r="CG124" i="9"/>
  <c r="CG120" i="9"/>
  <c r="CG119" i="9"/>
  <c r="CG115" i="9"/>
  <c r="CG114" i="9"/>
  <c r="CG110" i="9"/>
  <c r="CG109" i="9"/>
  <c r="CG105" i="9"/>
  <c r="CG104" i="9"/>
  <c r="CG100" i="9"/>
  <c r="CG99" i="9"/>
  <c r="CG95" i="9"/>
  <c r="CG94" i="9"/>
  <c r="CG90" i="9"/>
  <c r="CG89" i="9"/>
  <c r="CG85" i="9"/>
  <c r="CG84" i="9"/>
  <c r="CG80" i="9"/>
  <c r="CG79" i="9"/>
  <c r="CG75" i="9"/>
  <c r="CG74" i="9"/>
  <c r="CG70" i="9"/>
  <c r="CG69" i="9"/>
  <c r="CG65" i="9"/>
  <c r="CG64" i="9"/>
  <c r="CG60" i="9"/>
  <c r="CG59" i="9"/>
  <c r="CG55" i="9"/>
  <c r="CG54" i="9"/>
  <c r="CG50" i="9"/>
  <c r="CG49" i="9"/>
  <c r="CG45" i="9"/>
  <c r="CG44" i="9"/>
  <c r="CG40" i="9"/>
  <c r="CG39" i="9"/>
  <c r="CG35" i="9"/>
  <c r="CG34" i="9"/>
  <c r="CG30" i="9"/>
  <c r="CG29" i="9"/>
  <c r="CK62" i="33"/>
  <c r="CK36" i="33"/>
  <c r="BS15" i="34" l="1"/>
  <c r="BR14" i="34"/>
  <c r="L1379" i="25"/>
  <c r="M1379" i="25" s="1"/>
  <c r="N1379" i="25" s="1"/>
  <c r="L1368" i="25"/>
  <c r="L1377" i="25"/>
  <c r="M1377" i="25" s="1"/>
  <c r="N1377" i="25" s="1"/>
  <c r="M1461" i="25"/>
  <c r="N1461" i="25" s="1"/>
  <c r="C1439" i="25" s="1"/>
  <c r="C1452" i="25"/>
  <c r="C1446" i="25"/>
  <c r="C1454" i="25"/>
  <c r="C1448" i="25"/>
  <c r="C1460" i="25"/>
  <c r="C1436" i="25"/>
  <c r="C1447" i="25"/>
  <c r="C1455" i="25"/>
  <c r="C1437" i="25"/>
  <c r="C1441" i="25"/>
  <c r="C1453" i="25"/>
  <c r="C1440" i="25"/>
  <c r="C1457" i="25"/>
  <c r="C1456" i="25"/>
  <c r="C1442" i="25"/>
  <c r="C1458" i="25"/>
  <c r="L1427" i="25"/>
  <c r="M1399" i="25" s="1"/>
  <c r="M1402" i="25"/>
  <c r="N1402" i="25" s="1"/>
  <c r="L1385" i="25"/>
  <c r="M1385" i="25" s="1"/>
  <c r="N1385" i="25" s="1"/>
  <c r="L1369" i="25"/>
  <c r="M1369" i="25" s="1"/>
  <c r="N1369" i="25" s="1"/>
  <c r="L1389" i="25"/>
  <c r="M1389" i="25" s="1"/>
  <c r="N1389" i="25" s="1"/>
  <c r="M1368" i="25"/>
  <c r="N1368" i="25" s="1"/>
  <c r="L1371" i="25"/>
  <c r="M1371" i="25" s="1"/>
  <c r="N1371" i="25" s="1"/>
  <c r="L1391" i="25"/>
  <c r="M1391" i="25" s="1"/>
  <c r="N1391" i="25" s="1"/>
  <c r="L1387" i="25"/>
  <c r="M1387" i="25" s="1"/>
  <c r="N1387" i="25" s="1"/>
  <c r="J1393" i="25"/>
  <c r="K1393" i="25"/>
  <c r="I1393" i="25"/>
  <c r="H1393" i="25"/>
  <c r="L1392" i="25"/>
  <c r="M1392" i="25" s="1"/>
  <c r="N1392" i="25" s="1"/>
  <c r="L1380" i="25"/>
  <c r="M1380" i="25" s="1"/>
  <c r="N1380" i="25" s="1"/>
  <c r="L1383" i="25"/>
  <c r="M1383" i="25" s="1"/>
  <c r="N1383" i="25" s="1"/>
  <c r="L1372" i="25"/>
  <c r="M1372" i="25" s="1"/>
  <c r="N1372" i="25" s="1"/>
  <c r="L1381" i="25"/>
  <c r="M1381" i="25" s="1"/>
  <c r="N1381" i="25" s="1"/>
  <c r="G1393" i="25"/>
  <c r="L1388" i="25"/>
  <c r="M1388" i="25" s="1"/>
  <c r="N1388" i="25" s="1"/>
  <c r="L1390" i="25"/>
  <c r="M1390" i="25" s="1"/>
  <c r="N1390" i="25" s="1"/>
  <c r="L1378" i="25"/>
  <c r="M1378" i="25" s="1"/>
  <c r="N1378" i="25" s="1"/>
  <c r="L1384" i="25"/>
  <c r="M1384" i="25" s="1"/>
  <c r="N1384" i="25" s="1"/>
  <c r="L1382" i="25"/>
  <c r="M1382" i="25" s="1"/>
  <c r="N1382" i="25" s="1"/>
  <c r="L1373" i="25"/>
  <c r="M1373" i="25" s="1"/>
  <c r="N1373" i="25" s="1"/>
  <c r="L1376" i="25"/>
  <c r="M1376" i="25" s="1"/>
  <c r="N1376" i="25" s="1"/>
  <c r="L1386" i="25"/>
  <c r="M1386" i="25" s="1"/>
  <c r="N1386" i="25" s="1"/>
  <c r="L1370" i="25"/>
  <c r="M1370" i="25" s="1"/>
  <c r="N1370" i="25" s="1"/>
  <c r="L1375" i="25"/>
  <c r="M1375" i="25" s="1"/>
  <c r="N1375" i="25" s="1"/>
  <c r="L1374" i="25"/>
  <c r="M1374" i="25" s="1"/>
  <c r="N1374" i="25" s="1"/>
  <c r="F1393" i="25"/>
  <c r="A1358" i="25"/>
  <c r="K1358" i="25" s="1"/>
  <c r="A1357" i="25"/>
  <c r="H1357" i="25" s="1"/>
  <c r="A1356" i="25"/>
  <c r="K1356" i="25" s="1"/>
  <c r="A1355" i="25"/>
  <c r="H1355" i="25" s="1"/>
  <c r="A1354" i="25"/>
  <c r="I1354" i="25" s="1"/>
  <c r="A1353" i="25"/>
  <c r="H1353" i="25" s="1"/>
  <c r="A1352" i="25"/>
  <c r="G1352" i="25" s="1"/>
  <c r="A1351" i="25"/>
  <c r="H1351" i="25" s="1"/>
  <c r="A1350" i="25"/>
  <c r="K1350" i="25" s="1"/>
  <c r="A1349" i="25"/>
  <c r="H1349" i="25" s="1"/>
  <c r="A1348" i="25"/>
  <c r="K1348" i="25" s="1"/>
  <c r="A1347" i="25"/>
  <c r="H1347" i="25" s="1"/>
  <c r="A1346" i="25"/>
  <c r="A1345" i="25"/>
  <c r="H1345" i="25" s="1"/>
  <c r="A1344" i="25"/>
  <c r="G1344" i="25" s="1"/>
  <c r="A1343" i="25"/>
  <c r="H1343" i="25" s="1"/>
  <c r="A1342" i="25"/>
  <c r="I1342" i="25" s="1"/>
  <c r="A1341" i="25"/>
  <c r="H1341" i="25" s="1"/>
  <c r="A1340" i="25"/>
  <c r="K1340" i="25" s="1"/>
  <c r="A1339" i="25"/>
  <c r="H1339" i="25" s="1"/>
  <c r="A1338" i="25"/>
  <c r="G1338" i="25" s="1"/>
  <c r="A1337" i="25"/>
  <c r="H1337" i="25" s="1"/>
  <c r="A1336" i="25"/>
  <c r="G1336" i="25" s="1"/>
  <c r="A1335" i="25"/>
  <c r="K1335" i="25" s="1"/>
  <c r="A1334" i="25"/>
  <c r="H1334" i="25" s="1"/>
  <c r="BT15" i="34" l="1"/>
  <c r="BS14" i="34"/>
  <c r="K1342" i="25"/>
  <c r="F1345" i="25"/>
  <c r="G1351" i="25"/>
  <c r="J1355" i="25"/>
  <c r="F1351" i="25"/>
  <c r="F1334" i="25"/>
  <c r="J1334" i="25"/>
  <c r="G1341" i="25"/>
  <c r="K1343" i="25"/>
  <c r="G1345" i="25"/>
  <c r="G1348" i="25"/>
  <c r="G1350" i="25"/>
  <c r="J1353" i="25"/>
  <c r="H1358" i="25"/>
  <c r="I1350" i="25"/>
  <c r="I1352" i="25"/>
  <c r="F1357" i="25"/>
  <c r="I1334" i="25"/>
  <c r="K1337" i="25"/>
  <c r="K1353" i="25"/>
  <c r="F1337" i="25"/>
  <c r="G1340" i="25"/>
  <c r="G1337" i="25"/>
  <c r="G1342" i="25"/>
  <c r="F1343" i="25"/>
  <c r="I1344" i="25"/>
  <c r="J1345" i="25"/>
  <c r="J1347" i="25"/>
  <c r="K1351" i="25"/>
  <c r="F1353" i="25"/>
  <c r="G1356" i="25"/>
  <c r="I1357" i="25"/>
  <c r="J1337" i="25"/>
  <c r="G1343" i="25"/>
  <c r="K1345" i="25"/>
  <c r="G1353" i="25"/>
  <c r="J1357" i="25"/>
  <c r="C1449" i="25"/>
  <c r="C1444" i="25"/>
  <c r="C1451" i="25"/>
  <c r="C1443" i="25"/>
  <c r="C1450" i="25"/>
  <c r="C1459" i="25"/>
  <c r="C1402" i="25"/>
  <c r="C1423" i="25"/>
  <c r="C1403" i="25"/>
  <c r="C1407" i="25"/>
  <c r="C1421" i="25"/>
  <c r="C1419" i="25"/>
  <c r="C1406" i="25"/>
  <c r="C1422" i="25"/>
  <c r="C1426" i="25"/>
  <c r="C1413" i="25"/>
  <c r="C1408" i="25"/>
  <c r="C1404" i="25"/>
  <c r="C1418" i="25"/>
  <c r="C1424" i="25"/>
  <c r="C1414" i="25"/>
  <c r="M1427" i="25"/>
  <c r="N1427" i="25" s="1"/>
  <c r="C1420" i="25"/>
  <c r="C1412" i="25"/>
  <c r="C1390" i="25"/>
  <c r="C1370" i="25"/>
  <c r="C1389" i="25"/>
  <c r="C1385" i="25"/>
  <c r="C1368" i="25"/>
  <c r="C1369" i="25"/>
  <c r="C1379" i="25"/>
  <c r="C1387" i="25"/>
  <c r="L1393" i="25"/>
  <c r="M1365" i="25" s="1"/>
  <c r="C1386" i="25"/>
  <c r="C1373" i="25"/>
  <c r="C1384" i="25"/>
  <c r="C1378" i="25"/>
  <c r="C1388" i="25"/>
  <c r="C1372" i="25"/>
  <c r="C1380" i="25"/>
  <c r="C1374" i="25"/>
  <c r="C1392" i="25"/>
  <c r="J1338" i="25"/>
  <c r="F1338" i="25"/>
  <c r="H1338" i="25"/>
  <c r="J1339" i="25"/>
  <c r="I1341" i="25"/>
  <c r="I1349" i="25"/>
  <c r="I1338" i="25"/>
  <c r="F1339" i="25"/>
  <c r="K1339" i="25"/>
  <c r="J1340" i="25"/>
  <c r="F1340" i="25"/>
  <c r="H1340" i="25"/>
  <c r="J1341" i="25"/>
  <c r="I1343" i="25"/>
  <c r="K1344" i="25"/>
  <c r="I1351" i="25"/>
  <c r="K1352" i="25"/>
  <c r="F1355" i="25"/>
  <c r="K1355" i="25"/>
  <c r="J1356" i="25"/>
  <c r="F1356" i="25"/>
  <c r="H1356" i="25"/>
  <c r="H1335" i="25"/>
  <c r="I1336" i="25"/>
  <c r="J1346" i="25"/>
  <c r="F1346" i="25"/>
  <c r="H1346" i="25"/>
  <c r="J1354" i="25"/>
  <c r="F1354" i="25"/>
  <c r="H1354" i="25"/>
  <c r="G1334" i="25"/>
  <c r="K1334" i="25"/>
  <c r="I1335" i="25"/>
  <c r="K1336" i="25"/>
  <c r="I1346" i="25"/>
  <c r="F1347" i="25"/>
  <c r="K1347" i="25"/>
  <c r="J1348" i="25"/>
  <c r="F1348" i="25"/>
  <c r="H1348" i="25"/>
  <c r="J1349" i="25"/>
  <c r="F1335" i="25"/>
  <c r="J1335" i="25"/>
  <c r="I1337" i="25"/>
  <c r="K1338" i="25"/>
  <c r="G1339" i="25"/>
  <c r="I1340" i="25"/>
  <c r="F1341" i="25"/>
  <c r="K1341" i="25"/>
  <c r="J1342" i="25"/>
  <c r="F1342" i="25"/>
  <c r="H1342" i="25"/>
  <c r="J1343" i="25"/>
  <c r="I1345" i="25"/>
  <c r="K1346" i="25"/>
  <c r="G1347" i="25"/>
  <c r="I1348" i="25"/>
  <c r="F1349" i="25"/>
  <c r="K1349" i="25"/>
  <c r="J1350" i="25"/>
  <c r="F1350" i="25"/>
  <c r="H1350" i="25"/>
  <c r="J1351" i="25"/>
  <c r="I1353" i="25"/>
  <c r="K1354" i="25"/>
  <c r="G1355" i="25"/>
  <c r="I1356" i="25"/>
  <c r="G1335" i="25"/>
  <c r="J1336" i="25"/>
  <c r="F1336" i="25"/>
  <c r="H1336" i="25"/>
  <c r="I1339" i="25"/>
  <c r="J1344" i="25"/>
  <c r="F1344" i="25"/>
  <c r="H1344" i="25"/>
  <c r="G1346" i="25"/>
  <c r="I1347" i="25"/>
  <c r="G1349" i="25"/>
  <c r="J1352" i="25"/>
  <c r="F1352" i="25"/>
  <c r="H1352" i="25"/>
  <c r="G1354" i="25"/>
  <c r="I1355" i="25"/>
  <c r="G1357" i="25"/>
  <c r="K1357" i="25"/>
  <c r="I1358" i="25"/>
  <c r="F1358" i="25"/>
  <c r="J1358" i="25"/>
  <c r="G1358" i="25"/>
  <c r="CF150" i="9"/>
  <c r="CG151" i="9" s="1"/>
  <c r="CF149" i="9"/>
  <c r="CF145" i="9"/>
  <c r="CG146" i="9" s="1"/>
  <c r="CF144" i="9"/>
  <c r="CF140" i="9"/>
  <c r="CG141" i="9" s="1"/>
  <c r="CF139" i="9"/>
  <c r="CF135" i="9"/>
  <c r="CG136" i="9" s="1"/>
  <c r="CF134" i="9"/>
  <c r="CF130" i="9"/>
  <c r="CG131" i="9" s="1"/>
  <c r="CF129" i="9"/>
  <c r="CF125" i="9"/>
  <c r="CG126" i="9" s="1"/>
  <c r="CF124" i="9"/>
  <c r="CF120" i="9"/>
  <c r="CG121" i="9" s="1"/>
  <c r="CF119" i="9"/>
  <c r="CF115" i="9"/>
  <c r="CG116" i="9" s="1"/>
  <c r="CF114" i="9"/>
  <c r="CF110" i="9"/>
  <c r="CG111" i="9" s="1"/>
  <c r="CF109" i="9"/>
  <c r="CF105" i="9"/>
  <c r="CG106" i="9" s="1"/>
  <c r="CF104" i="9"/>
  <c r="CF100" i="9"/>
  <c r="CG101" i="9" s="1"/>
  <c r="CF99" i="9"/>
  <c r="CF95" i="9"/>
  <c r="CG96" i="9" s="1"/>
  <c r="CF94" i="9"/>
  <c r="CF90" i="9"/>
  <c r="CG91" i="9" s="1"/>
  <c r="CF89" i="9"/>
  <c r="CF85" i="9"/>
  <c r="CG86" i="9" s="1"/>
  <c r="CF84" i="9"/>
  <c r="CF80" i="9"/>
  <c r="CG81" i="9" s="1"/>
  <c r="CF79" i="9"/>
  <c r="CF75" i="9"/>
  <c r="CG76" i="9" s="1"/>
  <c r="CF74" i="9"/>
  <c r="CF70" i="9"/>
  <c r="CG71" i="9" s="1"/>
  <c r="CF69" i="9"/>
  <c r="CF65" i="9"/>
  <c r="CG66" i="9" s="1"/>
  <c r="CF64" i="9"/>
  <c r="CF60" i="9"/>
  <c r="CG61" i="9" s="1"/>
  <c r="CF59" i="9"/>
  <c r="CF55" i="9"/>
  <c r="CG56" i="9" s="1"/>
  <c r="CF54" i="9"/>
  <c r="CF50" i="9"/>
  <c r="CG51" i="9" s="1"/>
  <c r="CF49" i="9"/>
  <c r="CF45" i="9"/>
  <c r="CG46" i="9" s="1"/>
  <c r="CF44" i="9"/>
  <c r="CF40" i="9"/>
  <c r="CG41" i="9" s="1"/>
  <c r="CF39" i="9"/>
  <c r="CF35" i="9"/>
  <c r="CG36" i="9" s="1"/>
  <c r="CF34" i="9"/>
  <c r="CF30" i="9"/>
  <c r="CG31" i="9" s="1"/>
  <c r="CF29" i="9"/>
  <c r="CJ62" i="33"/>
  <c r="CJ36" i="33"/>
  <c r="A1324" i="25"/>
  <c r="K1324" i="25" s="1"/>
  <c r="A1323" i="25"/>
  <c r="H1323" i="25" s="1"/>
  <c r="A1322" i="25"/>
  <c r="H1322" i="25" s="1"/>
  <c r="A1321" i="25"/>
  <c r="H1321" i="25" s="1"/>
  <c r="A1320" i="25"/>
  <c r="A1319" i="25"/>
  <c r="H1319" i="25" s="1"/>
  <c r="A1318" i="25"/>
  <c r="G1318" i="25" s="1"/>
  <c r="A1317" i="25"/>
  <c r="H1317" i="25" s="1"/>
  <c r="A1316" i="25"/>
  <c r="A1315" i="25"/>
  <c r="H1315" i="25" s="1"/>
  <c r="A1314" i="25"/>
  <c r="G1314" i="25" s="1"/>
  <c r="A1313" i="25"/>
  <c r="H1313" i="25" s="1"/>
  <c r="A1312" i="25"/>
  <c r="G1312" i="25" s="1"/>
  <c r="A1311" i="25"/>
  <c r="H1311" i="25" s="1"/>
  <c r="A1310" i="25"/>
  <c r="G1310" i="25" s="1"/>
  <c r="A1309" i="25"/>
  <c r="H1309" i="25" s="1"/>
  <c r="A1308" i="25"/>
  <c r="I1308" i="25" s="1"/>
  <c r="A1307" i="25"/>
  <c r="H1307" i="25" s="1"/>
  <c r="A1306" i="25"/>
  <c r="G1306" i="25" s="1"/>
  <c r="A1305" i="25"/>
  <c r="H1305" i="25" s="1"/>
  <c r="A1304" i="25"/>
  <c r="K1304" i="25" s="1"/>
  <c r="A1303" i="25"/>
  <c r="H1303" i="25" s="1"/>
  <c r="A1302" i="25"/>
  <c r="K1302" i="25" s="1"/>
  <c r="A1301" i="25"/>
  <c r="H1301" i="25" s="1"/>
  <c r="A1300" i="25"/>
  <c r="K1300" i="25" s="1"/>
  <c r="BU15" i="34" l="1"/>
  <c r="BT14" i="34"/>
  <c r="I1312" i="25"/>
  <c r="J1307" i="25"/>
  <c r="K1310" i="25"/>
  <c r="K1312" i="25"/>
  <c r="J1317" i="25"/>
  <c r="H1324" i="25"/>
  <c r="G1307" i="25"/>
  <c r="H1318" i="25"/>
  <c r="I1321" i="25"/>
  <c r="F1323" i="25"/>
  <c r="I1317" i="25"/>
  <c r="J1321" i="25"/>
  <c r="I1323" i="25"/>
  <c r="L1345" i="25"/>
  <c r="M1345" i="25" s="1"/>
  <c r="N1345" i="25" s="1"/>
  <c r="L1353" i="25"/>
  <c r="M1353" i="25" s="1"/>
  <c r="N1353" i="25" s="1"/>
  <c r="L1337" i="25"/>
  <c r="M1337" i="25" s="1"/>
  <c r="N1337" i="25" s="1"/>
  <c r="J1319" i="25"/>
  <c r="G1313" i="25"/>
  <c r="J1323" i="25"/>
  <c r="K1313" i="25"/>
  <c r="C1410" i="25"/>
  <c r="C1405" i="25"/>
  <c r="C1415" i="25"/>
  <c r="C1417" i="25"/>
  <c r="C1425" i="25"/>
  <c r="C1409" i="25"/>
  <c r="C1416" i="25"/>
  <c r="M1393" i="25"/>
  <c r="N1393" i="25" s="1"/>
  <c r="C1376" i="25" s="1"/>
  <c r="L1351" i="25"/>
  <c r="M1351" i="25" s="1"/>
  <c r="N1351" i="25" s="1"/>
  <c r="L1343" i="25"/>
  <c r="M1343" i="25" s="1"/>
  <c r="N1343" i="25" s="1"/>
  <c r="J1359" i="25"/>
  <c r="H1359" i="25"/>
  <c r="L1357" i="25"/>
  <c r="M1357" i="25" s="1"/>
  <c r="N1357" i="25" s="1"/>
  <c r="I1359" i="25"/>
  <c r="L1352" i="25"/>
  <c r="M1352" i="25" s="1"/>
  <c r="N1352" i="25" s="1"/>
  <c r="L1336" i="25"/>
  <c r="M1336" i="25" s="1"/>
  <c r="N1336" i="25" s="1"/>
  <c r="L1349" i="25"/>
  <c r="M1349" i="25" s="1"/>
  <c r="N1349" i="25" s="1"/>
  <c r="L1335" i="25"/>
  <c r="M1335" i="25" s="1"/>
  <c r="N1335" i="25" s="1"/>
  <c r="L1348" i="25"/>
  <c r="M1348" i="25" s="1"/>
  <c r="N1348" i="25" s="1"/>
  <c r="G1359" i="25"/>
  <c r="L1339" i="25"/>
  <c r="M1339" i="25" s="1"/>
  <c r="N1339" i="25" s="1"/>
  <c r="L1338" i="25"/>
  <c r="M1338" i="25" s="1"/>
  <c r="N1338" i="25" s="1"/>
  <c r="L1358" i="25"/>
  <c r="M1358" i="25" s="1"/>
  <c r="N1358" i="25" s="1"/>
  <c r="L1350" i="25"/>
  <c r="M1350" i="25" s="1"/>
  <c r="N1350" i="25" s="1"/>
  <c r="L1334" i="25"/>
  <c r="L1346" i="25"/>
  <c r="M1346" i="25" s="1"/>
  <c r="N1346" i="25" s="1"/>
  <c r="L1340" i="25"/>
  <c r="M1340" i="25" s="1"/>
  <c r="N1340" i="25" s="1"/>
  <c r="L1341" i="25"/>
  <c r="M1341" i="25" s="1"/>
  <c r="N1341" i="25" s="1"/>
  <c r="L1354" i="25"/>
  <c r="M1354" i="25" s="1"/>
  <c r="N1354" i="25" s="1"/>
  <c r="L1355" i="25"/>
  <c r="M1355" i="25" s="1"/>
  <c r="N1355" i="25" s="1"/>
  <c r="L1344" i="25"/>
  <c r="M1344" i="25" s="1"/>
  <c r="N1344" i="25" s="1"/>
  <c r="L1342" i="25"/>
  <c r="M1342" i="25" s="1"/>
  <c r="N1342" i="25" s="1"/>
  <c r="L1347" i="25"/>
  <c r="M1347" i="25" s="1"/>
  <c r="N1347" i="25" s="1"/>
  <c r="K1359" i="25"/>
  <c r="F1359" i="25"/>
  <c r="L1356" i="25"/>
  <c r="M1356" i="25" s="1"/>
  <c r="N1356" i="25" s="1"/>
  <c r="K1315" i="25"/>
  <c r="F1301" i="25"/>
  <c r="G1302" i="25"/>
  <c r="G1304" i="25"/>
  <c r="F1305" i="25"/>
  <c r="I1306" i="25"/>
  <c r="J1309" i="25"/>
  <c r="I1301" i="25"/>
  <c r="I1304" i="25"/>
  <c r="G1305" i="25"/>
  <c r="G1315" i="25"/>
  <c r="F1315" i="25"/>
  <c r="K1307" i="25"/>
  <c r="F1319" i="25"/>
  <c r="H1300" i="25"/>
  <c r="J1301" i="25"/>
  <c r="K1305" i="25"/>
  <c r="F1307" i="25"/>
  <c r="F1313" i="25"/>
  <c r="I1314" i="25"/>
  <c r="J1315" i="25"/>
  <c r="F1317" i="25"/>
  <c r="I1319" i="25"/>
  <c r="F1321" i="25"/>
  <c r="F1309" i="25"/>
  <c r="K1309" i="25"/>
  <c r="J1310" i="25"/>
  <c r="F1310" i="25"/>
  <c r="H1310" i="25"/>
  <c r="J1311" i="25"/>
  <c r="I1313" i="25"/>
  <c r="K1314" i="25"/>
  <c r="J1318" i="25"/>
  <c r="F1318" i="25"/>
  <c r="I1318" i="25"/>
  <c r="K1318" i="25"/>
  <c r="G1322" i="25"/>
  <c r="J1308" i="25"/>
  <c r="F1308" i="25"/>
  <c r="H1308" i="25"/>
  <c r="I1311" i="25"/>
  <c r="J1316" i="25"/>
  <c r="F1316" i="25"/>
  <c r="H1316" i="25"/>
  <c r="J1320" i="25"/>
  <c r="F1320" i="25"/>
  <c r="I1320" i="25"/>
  <c r="K1320" i="25"/>
  <c r="I1300" i="25"/>
  <c r="G1301" i="25"/>
  <c r="K1301" i="25"/>
  <c r="J1302" i="25"/>
  <c r="F1302" i="25"/>
  <c r="H1302" i="25"/>
  <c r="J1303" i="25"/>
  <c r="I1305" i="25"/>
  <c r="K1306" i="25"/>
  <c r="I1316" i="25"/>
  <c r="F1300" i="25"/>
  <c r="J1300" i="25"/>
  <c r="I1302" i="25"/>
  <c r="F1303" i="25"/>
  <c r="K1303" i="25"/>
  <c r="J1304" i="25"/>
  <c r="F1304" i="25"/>
  <c r="H1304" i="25"/>
  <c r="J1305" i="25"/>
  <c r="I1307" i="25"/>
  <c r="K1308" i="25"/>
  <c r="G1309" i="25"/>
  <c r="I1310" i="25"/>
  <c r="F1311" i="25"/>
  <c r="K1311" i="25"/>
  <c r="J1312" i="25"/>
  <c r="F1312" i="25"/>
  <c r="H1312" i="25"/>
  <c r="J1313" i="25"/>
  <c r="I1315" i="25"/>
  <c r="K1316" i="25"/>
  <c r="G1320" i="25"/>
  <c r="I1303" i="25"/>
  <c r="G1300" i="25"/>
  <c r="G1303" i="25"/>
  <c r="J1306" i="25"/>
  <c r="F1306" i="25"/>
  <c r="H1306" i="25"/>
  <c r="G1308" i="25"/>
  <c r="I1309" i="25"/>
  <c r="G1311" i="25"/>
  <c r="J1314" i="25"/>
  <c r="F1314" i="25"/>
  <c r="H1314" i="25"/>
  <c r="G1316" i="25"/>
  <c r="H1320" i="25"/>
  <c r="J1322" i="25"/>
  <c r="F1322" i="25"/>
  <c r="I1322" i="25"/>
  <c r="K1322" i="25"/>
  <c r="G1317" i="25"/>
  <c r="K1317" i="25"/>
  <c r="G1319" i="25"/>
  <c r="K1319" i="25"/>
  <c r="G1321" i="25"/>
  <c r="K1321" i="25"/>
  <c r="G1323" i="25"/>
  <c r="K1323" i="25"/>
  <c r="I1324" i="25"/>
  <c r="F1324" i="25"/>
  <c r="J1324" i="25"/>
  <c r="G1324" i="25"/>
  <c r="CI36" i="33"/>
  <c r="BU14" i="34" l="1"/>
  <c r="BV15" i="34"/>
  <c r="C1382" i="25"/>
  <c r="C1377" i="25"/>
  <c r="C1381" i="25"/>
  <c r="C1383" i="25"/>
  <c r="L1313" i="25"/>
  <c r="M1313" i="25" s="1"/>
  <c r="N1313" i="25" s="1"/>
  <c r="C1375" i="25"/>
  <c r="C1371" i="25"/>
  <c r="C1391" i="25"/>
  <c r="L1359" i="25"/>
  <c r="M1359" i="25" s="1"/>
  <c r="N1359" i="25" s="1"/>
  <c r="M1334" i="25"/>
  <c r="N1334" i="25" s="1"/>
  <c r="C1335" i="25" s="1"/>
  <c r="L1315" i="25"/>
  <c r="M1315" i="25" s="1"/>
  <c r="N1315" i="25" s="1"/>
  <c r="L1307" i="25"/>
  <c r="M1307" i="25" s="1"/>
  <c r="N1307" i="25" s="1"/>
  <c r="L1321" i="25"/>
  <c r="M1321" i="25" s="1"/>
  <c r="N1321" i="25" s="1"/>
  <c r="L1317" i="25"/>
  <c r="M1317" i="25" s="1"/>
  <c r="N1317" i="25" s="1"/>
  <c r="L1301" i="25"/>
  <c r="M1301" i="25" s="1"/>
  <c r="N1301" i="25" s="1"/>
  <c r="L1323" i="25"/>
  <c r="M1323" i="25" s="1"/>
  <c r="N1323" i="25" s="1"/>
  <c r="L1319" i="25"/>
  <c r="M1319" i="25" s="1"/>
  <c r="N1319" i="25" s="1"/>
  <c r="H1325" i="25"/>
  <c r="L1305" i="25"/>
  <c r="M1305" i="25" s="1"/>
  <c r="N1305" i="25" s="1"/>
  <c r="K1325" i="25"/>
  <c r="L1314" i="25"/>
  <c r="M1314" i="25" s="1"/>
  <c r="N1314" i="25" s="1"/>
  <c r="L1310" i="25"/>
  <c r="M1310" i="25" s="1"/>
  <c r="N1310" i="25" s="1"/>
  <c r="L1312" i="25"/>
  <c r="M1312" i="25" s="1"/>
  <c r="N1312" i="25" s="1"/>
  <c r="F1325" i="25"/>
  <c r="L1300" i="25"/>
  <c r="M1300" i="25" s="1"/>
  <c r="N1300" i="25" s="1"/>
  <c r="L1324" i="25"/>
  <c r="M1324" i="25" s="1"/>
  <c r="N1324" i="25" s="1"/>
  <c r="L1322" i="25"/>
  <c r="M1322" i="25" s="1"/>
  <c r="N1322" i="25" s="1"/>
  <c r="L1303" i="25"/>
  <c r="M1303" i="25" s="1"/>
  <c r="N1303" i="25" s="1"/>
  <c r="L1320" i="25"/>
  <c r="M1320" i="25" s="1"/>
  <c r="N1320" i="25" s="1"/>
  <c r="L1316" i="25"/>
  <c r="M1316" i="25" s="1"/>
  <c r="N1316" i="25" s="1"/>
  <c r="L1318" i="25"/>
  <c r="M1318" i="25" s="1"/>
  <c r="N1318" i="25" s="1"/>
  <c r="L1311" i="25"/>
  <c r="M1311" i="25" s="1"/>
  <c r="N1311" i="25" s="1"/>
  <c r="J1325" i="25"/>
  <c r="L1306" i="25"/>
  <c r="M1306" i="25" s="1"/>
  <c r="N1306" i="25" s="1"/>
  <c r="G1325" i="25"/>
  <c r="L1304" i="25"/>
  <c r="M1304" i="25" s="1"/>
  <c r="N1304" i="25" s="1"/>
  <c r="L1302" i="25"/>
  <c r="M1302" i="25" s="1"/>
  <c r="N1302" i="25" s="1"/>
  <c r="I1325" i="25"/>
  <c r="L1308" i="25"/>
  <c r="M1308" i="25" s="1"/>
  <c r="N1308" i="25" s="1"/>
  <c r="L1309" i="25"/>
  <c r="M1309" i="25" s="1"/>
  <c r="N1309" i="25" s="1"/>
  <c r="CI62" i="33"/>
  <c r="CE150" i="9"/>
  <c r="CE149" i="9"/>
  <c r="CE145" i="9"/>
  <c r="CE144" i="9"/>
  <c r="CE140" i="9"/>
  <c r="CE139" i="9"/>
  <c r="CE135" i="9"/>
  <c r="CE134" i="9"/>
  <c r="CE130" i="9"/>
  <c r="CE129" i="9"/>
  <c r="CE125" i="9"/>
  <c r="CF126" i="9" s="1"/>
  <c r="CE124" i="9"/>
  <c r="CE120" i="9"/>
  <c r="CE119" i="9"/>
  <c r="CE115" i="9"/>
  <c r="CE114" i="9"/>
  <c r="CE110" i="9"/>
  <c r="CE109" i="9"/>
  <c r="CE105" i="9"/>
  <c r="CF106" i="9" s="1"/>
  <c r="CE104" i="9"/>
  <c r="CE100" i="9"/>
  <c r="CE99" i="9"/>
  <c r="CE95" i="9"/>
  <c r="CE94" i="9"/>
  <c r="CE90" i="9"/>
  <c r="CE89" i="9"/>
  <c r="CE85" i="9"/>
  <c r="CE84" i="9"/>
  <c r="CE80" i="9"/>
  <c r="CE79" i="9"/>
  <c r="CE75" i="9"/>
  <c r="CE74" i="9"/>
  <c r="CE70" i="9"/>
  <c r="CF71" i="9" s="1"/>
  <c r="CE69" i="9"/>
  <c r="CE65" i="9"/>
  <c r="CF66" i="9" s="1"/>
  <c r="CE64" i="9"/>
  <c r="CE60" i="9"/>
  <c r="CE59" i="9"/>
  <c r="CE55" i="9"/>
  <c r="CE54" i="9"/>
  <c r="CE50" i="9"/>
  <c r="CE49" i="9"/>
  <c r="CE45" i="9"/>
  <c r="CE44" i="9"/>
  <c r="CE40" i="9"/>
  <c r="CE39" i="9"/>
  <c r="CE35" i="9"/>
  <c r="CE34" i="9"/>
  <c r="CE30" i="9"/>
  <c r="CF31" i="9" s="1"/>
  <c r="CE29" i="9"/>
  <c r="A1290" i="25"/>
  <c r="K1290" i="25" s="1"/>
  <c r="A1289" i="25"/>
  <c r="H1289" i="25" s="1"/>
  <c r="A1288" i="25"/>
  <c r="H1288" i="25" s="1"/>
  <c r="A1287" i="25"/>
  <c r="H1287" i="25" s="1"/>
  <c r="A1286" i="25"/>
  <c r="A1285" i="25"/>
  <c r="H1285" i="25" s="1"/>
  <c r="A1284" i="25"/>
  <c r="A1283" i="25"/>
  <c r="H1283" i="25" s="1"/>
  <c r="A1282" i="25"/>
  <c r="G1282" i="25" s="1"/>
  <c r="A1281" i="25"/>
  <c r="H1281" i="25" s="1"/>
  <c r="A1280" i="25"/>
  <c r="G1280" i="25" s="1"/>
  <c r="A1279" i="25"/>
  <c r="H1279" i="25" s="1"/>
  <c r="A1278" i="25"/>
  <c r="G1278" i="25" s="1"/>
  <c r="A1277" i="25"/>
  <c r="H1277" i="25" s="1"/>
  <c r="A1276" i="25"/>
  <c r="A1275" i="25"/>
  <c r="H1275" i="25" s="1"/>
  <c r="A1274" i="25"/>
  <c r="G1274" i="25" s="1"/>
  <c r="A1273" i="25"/>
  <c r="H1273" i="25" s="1"/>
  <c r="A1272" i="25"/>
  <c r="K1272" i="25" s="1"/>
  <c r="A1271" i="25"/>
  <c r="H1271" i="25" s="1"/>
  <c r="A1270" i="25"/>
  <c r="K1270" i="25" s="1"/>
  <c r="A1269" i="25"/>
  <c r="H1269" i="25" s="1"/>
  <c r="A1268" i="25"/>
  <c r="G1268" i="25" s="1"/>
  <c r="A1267" i="25"/>
  <c r="I1267" i="25" s="1"/>
  <c r="A1266" i="25"/>
  <c r="K1266" i="25" s="1"/>
  <c r="BW15" i="34" l="1"/>
  <c r="BV14" i="34"/>
  <c r="J1287" i="25"/>
  <c r="G1281" i="25"/>
  <c r="K1281" i="25"/>
  <c r="J1289" i="25"/>
  <c r="G1275" i="25"/>
  <c r="I1280" i="25"/>
  <c r="G1270" i="25"/>
  <c r="J1275" i="25"/>
  <c r="K1278" i="25"/>
  <c r="K1280" i="25"/>
  <c r="I1289" i="25"/>
  <c r="C1354" i="25"/>
  <c r="C1339" i="25"/>
  <c r="C1336" i="25"/>
  <c r="C1358" i="25"/>
  <c r="C1357" i="25"/>
  <c r="C1347" i="25"/>
  <c r="C1348" i="25"/>
  <c r="C1337" i="25"/>
  <c r="C1342" i="25"/>
  <c r="C1343" i="25"/>
  <c r="C1349" i="25"/>
  <c r="C1341" i="25"/>
  <c r="C1334" i="25"/>
  <c r="C1353" i="25"/>
  <c r="C1351" i="25"/>
  <c r="C1345" i="25"/>
  <c r="C1338" i="25"/>
  <c r="C1355" i="25"/>
  <c r="M1331" i="25"/>
  <c r="C1356" i="25"/>
  <c r="C1350" i="25"/>
  <c r="C1340" i="25"/>
  <c r="C1346" i="25"/>
  <c r="C1352" i="25"/>
  <c r="C1344" i="25"/>
  <c r="J1266" i="25"/>
  <c r="K1283" i="25"/>
  <c r="CF116" i="9"/>
  <c r="CF41" i="9"/>
  <c r="CF51" i="9"/>
  <c r="CF61" i="9"/>
  <c r="CF76" i="9"/>
  <c r="CF86" i="9"/>
  <c r="CF96" i="9"/>
  <c r="CF131" i="9"/>
  <c r="CF141" i="9"/>
  <c r="CF151" i="9"/>
  <c r="F1266" i="25"/>
  <c r="J1277" i="25"/>
  <c r="F1283" i="25"/>
  <c r="H1266" i="25"/>
  <c r="F1267" i="25"/>
  <c r="I1272" i="25"/>
  <c r="G1273" i="25"/>
  <c r="F1287" i="25"/>
  <c r="CF36" i="9"/>
  <c r="CF46" i="9"/>
  <c r="CF56" i="9"/>
  <c r="CF81" i="9"/>
  <c r="CF91" i="9"/>
  <c r="CF101" i="9"/>
  <c r="CF136" i="9"/>
  <c r="CF146" i="9"/>
  <c r="G1272" i="25"/>
  <c r="F1273" i="25"/>
  <c r="I1274" i="25"/>
  <c r="K1275" i="25"/>
  <c r="G1283" i="25"/>
  <c r="I1266" i="25"/>
  <c r="J1267" i="25"/>
  <c r="G1271" i="25"/>
  <c r="K1273" i="25"/>
  <c r="F1275" i="25"/>
  <c r="F1281" i="25"/>
  <c r="I1282" i="25"/>
  <c r="J1283" i="25"/>
  <c r="J1285" i="25"/>
  <c r="I1287" i="25"/>
  <c r="F1289" i="25"/>
  <c r="H1290" i="25"/>
  <c r="CF111" i="9"/>
  <c r="CF121" i="9"/>
  <c r="C1324" i="25"/>
  <c r="C1312" i="25"/>
  <c r="C1306" i="25"/>
  <c r="C1311" i="25"/>
  <c r="C1322" i="25"/>
  <c r="C1302" i="25"/>
  <c r="C1318" i="25"/>
  <c r="C1320" i="25"/>
  <c r="C1305" i="25"/>
  <c r="L1325" i="25"/>
  <c r="M1297" i="25" s="1"/>
  <c r="C1304" i="25"/>
  <c r="C1316" i="25"/>
  <c r="C1300" i="25"/>
  <c r="C1310" i="25"/>
  <c r="C1301" i="25"/>
  <c r="C1317" i="25"/>
  <c r="C1319" i="25"/>
  <c r="C1321" i="25"/>
  <c r="J1276" i="25"/>
  <c r="F1276" i="25"/>
  <c r="H1276" i="25"/>
  <c r="J1284" i="25"/>
  <c r="F1284" i="25"/>
  <c r="H1284" i="25"/>
  <c r="I1276" i="25"/>
  <c r="F1277" i="25"/>
  <c r="K1277" i="25"/>
  <c r="J1278" i="25"/>
  <c r="F1278" i="25"/>
  <c r="H1278" i="25"/>
  <c r="J1279" i="25"/>
  <c r="I1281" i="25"/>
  <c r="K1282" i="25"/>
  <c r="I1284" i="25"/>
  <c r="F1285" i="25"/>
  <c r="K1285" i="25"/>
  <c r="G1288" i="25"/>
  <c r="G1267" i="25"/>
  <c r="K1267" i="25"/>
  <c r="J1268" i="25"/>
  <c r="F1268" i="25"/>
  <c r="H1268" i="25"/>
  <c r="J1269" i="25"/>
  <c r="I1271" i="25"/>
  <c r="I1279" i="25"/>
  <c r="J1286" i="25"/>
  <c r="F1286" i="25"/>
  <c r="I1286" i="25"/>
  <c r="K1286" i="25"/>
  <c r="H1267" i="25"/>
  <c r="I1268" i="25"/>
  <c r="F1269" i="25"/>
  <c r="K1269" i="25"/>
  <c r="J1270" i="25"/>
  <c r="F1270" i="25"/>
  <c r="H1270" i="25"/>
  <c r="J1271" i="25"/>
  <c r="I1273" i="25"/>
  <c r="K1274" i="25"/>
  <c r="G1266" i="25"/>
  <c r="K1268" i="25"/>
  <c r="G1269" i="25"/>
  <c r="I1270" i="25"/>
  <c r="F1271" i="25"/>
  <c r="K1271" i="25"/>
  <c r="J1272" i="25"/>
  <c r="F1272" i="25"/>
  <c r="H1272" i="25"/>
  <c r="J1273" i="25"/>
  <c r="I1275" i="25"/>
  <c r="K1276" i="25"/>
  <c r="G1277" i="25"/>
  <c r="I1278" i="25"/>
  <c r="F1279" i="25"/>
  <c r="K1279" i="25"/>
  <c r="J1280" i="25"/>
  <c r="F1280" i="25"/>
  <c r="H1280" i="25"/>
  <c r="J1281" i="25"/>
  <c r="I1283" i="25"/>
  <c r="K1284" i="25"/>
  <c r="G1285" i="25"/>
  <c r="G1286" i="25"/>
  <c r="I1269" i="25"/>
  <c r="J1274" i="25"/>
  <c r="F1274" i="25"/>
  <c r="H1274" i="25"/>
  <c r="G1276" i="25"/>
  <c r="I1277" i="25"/>
  <c r="G1279" i="25"/>
  <c r="J1282" i="25"/>
  <c r="F1282" i="25"/>
  <c r="H1282" i="25"/>
  <c r="G1284" i="25"/>
  <c r="I1285" i="25"/>
  <c r="H1286" i="25"/>
  <c r="J1288" i="25"/>
  <c r="F1288" i="25"/>
  <c r="I1288" i="25"/>
  <c r="K1288" i="25"/>
  <c r="G1287" i="25"/>
  <c r="K1287" i="25"/>
  <c r="G1289" i="25"/>
  <c r="K1289" i="25"/>
  <c r="I1290" i="25"/>
  <c r="F1290" i="25"/>
  <c r="J1290" i="25"/>
  <c r="G1290" i="25"/>
  <c r="CH62" i="33"/>
  <c r="CD150" i="9"/>
  <c r="CD149" i="9"/>
  <c r="CD145" i="9"/>
  <c r="CD144" i="9"/>
  <c r="CD140" i="9"/>
  <c r="CE141" i="9" s="1"/>
  <c r="CD139" i="9"/>
  <c r="CD135" i="9"/>
  <c r="CD134" i="9"/>
  <c r="CD130" i="9"/>
  <c r="CD129" i="9"/>
  <c r="CD125" i="9"/>
  <c r="CE126" i="9" s="1"/>
  <c r="CD124" i="9"/>
  <c r="CD120" i="9"/>
  <c r="CD119" i="9"/>
  <c r="CD115" i="9"/>
  <c r="CD114" i="9"/>
  <c r="CD110" i="9"/>
  <c r="CE111" i="9" s="1"/>
  <c r="CD109" i="9"/>
  <c r="CD105" i="9"/>
  <c r="CE106" i="9" s="1"/>
  <c r="CD104" i="9"/>
  <c r="CD100" i="9"/>
  <c r="CE101" i="9" s="1"/>
  <c r="CD99" i="9"/>
  <c r="CD95" i="9"/>
  <c r="CE96" i="9" s="1"/>
  <c r="CD94" i="9"/>
  <c r="CD90" i="9"/>
  <c r="CE91" i="9" s="1"/>
  <c r="CD89" i="9"/>
  <c r="CD85" i="9"/>
  <c r="CE86" i="9" s="1"/>
  <c r="CD84" i="9"/>
  <c r="CD80" i="9"/>
  <c r="CE81" i="9" s="1"/>
  <c r="CD79" i="9"/>
  <c r="CD75" i="9"/>
  <c r="CD74" i="9"/>
  <c r="CD70" i="9"/>
  <c r="CD69" i="9"/>
  <c r="CD65" i="9"/>
  <c r="CD64" i="9"/>
  <c r="CD60" i="9"/>
  <c r="CE61" i="9" s="1"/>
  <c r="CD59" i="9"/>
  <c r="CD55" i="9"/>
  <c r="CD54" i="9"/>
  <c r="CD50" i="9"/>
  <c r="CD49" i="9"/>
  <c r="CD45" i="9"/>
  <c r="CE46" i="9" s="1"/>
  <c r="CD44" i="9"/>
  <c r="CD40" i="9"/>
  <c r="CD39" i="9"/>
  <c r="CD35" i="9"/>
  <c r="CD34" i="9"/>
  <c r="CD30" i="9"/>
  <c r="CE31" i="9" s="1"/>
  <c r="CD29" i="9"/>
  <c r="A1256" i="25"/>
  <c r="K1256" i="25" s="1"/>
  <c r="A1255" i="25"/>
  <c r="H1255" i="25" s="1"/>
  <c r="A1254" i="25"/>
  <c r="H1254" i="25" s="1"/>
  <c r="A1253" i="25"/>
  <c r="H1253" i="25" s="1"/>
  <c r="A1252" i="25"/>
  <c r="A1251" i="25"/>
  <c r="H1251" i="25" s="1"/>
  <c r="A1250" i="25"/>
  <c r="H1250" i="25" s="1"/>
  <c r="A1249" i="25"/>
  <c r="H1249" i="25" s="1"/>
  <c r="A1248" i="25"/>
  <c r="H1248" i="25" s="1"/>
  <c r="A1247" i="25"/>
  <c r="H1247" i="25" s="1"/>
  <c r="A1246" i="25"/>
  <c r="H1246" i="25" s="1"/>
  <c r="A1245" i="25"/>
  <c r="H1245" i="25" s="1"/>
  <c r="A1244" i="25"/>
  <c r="G1244" i="25" s="1"/>
  <c r="A1243" i="25"/>
  <c r="H1243" i="25" s="1"/>
  <c r="A1242" i="25"/>
  <c r="G1242" i="25" s="1"/>
  <c r="A1241" i="25"/>
  <c r="H1241" i="25" s="1"/>
  <c r="A1240" i="25"/>
  <c r="G1240" i="25" s="1"/>
  <c r="A1239" i="25"/>
  <c r="H1239" i="25" s="1"/>
  <c r="A1238" i="25"/>
  <c r="A1237" i="25"/>
  <c r="H1237" i="25" s="1"/>
  <c r="A1236" i="25"/>
  <c r="G1236" i="25" s="1"/>
  <c r="A1235" i="25"/>
  <c r="H1235" i="25" s="1"/>
  <c r="A1234" i="25"/>
  <c r="I1234" i="25" s="1"/>
  <c r="A1233" i="25"/>
  <c r="F1233" i="25" s="1"/>
  <c r="A1232" i="25"/>
  <c r="H1232" i="25" s="1"/>
  <c r="BW14" i="34" l="1"/>
  <c r="BX15" i="34"/>
  <c r="K1242" i="25"/>
  <c r="I1232" i="25"/>
  <c r="J1247" i="25"/>
  <c r="J1237" i="25"/>
  <c r="K1240" i="25"/>
  <c r="J1232" i="25"/>
  <c r="I1235" i="25"/>
  <c r="J1255" i="25"/>
  <c r="J1234" i="25"/>
  <c r="F1251" i="25"/>
  <c r="G1243" i="25"/>
  <c r="I1251" i="25"/>
  <c r="F1232" i="25"/>
  <c r="I1233" i="25"/>
  <c r="G1235" i="25"/>
  <c r="G1237" i="25"/>
  <c r="I1242" i="25"/>
  <c r="K1243" i="25"/>
  <c r="J1251" i="25"/>
  <c r="L1275" i="25"/>
  <c r="M1275" i="25" s="1"/>
  <c r="N1275" i="25" s="1"/>
  <c r="L1283" i="25"/>
  <c r="M1283" i="25" s="1"/>
  <c r="N1283" i="25" s="1"/>
  <c r="CE146" i="9"/>
  <c r="CE56" i="9"/>
  <c r="CE36" i="9"/>
  <c r="CE76" i="9"/>
  <c r="CE51" i="9"/>
  <c r="CE116" i="9"/>
  <c r="J1239" i="25"/>
  <c r="F1245" i="25"/>
  <c r="CE66" i="9"/>
  <c r="K1234" i="25"/>
  <c r="F1249" i="25"/>
  <c r="G1250" i="25"/>
  <c r="F1234" i="25"/>
  <c r="K1237" i="25"/>
  <c r="I1245" i="25"/>
  <c r="F1247" i="25"/>
  <c r="G1248" i="25"/>
  <c r="I1249" i="25"/>
  <c r="I1253" i="25"/>
  <c r="H1256" i="25"/>
  <c r="CE121" i="9"/>
  <c r="CE136" i="9"/>
  <c r="CE71" i="9"/>
  <c r="CE151" i="9"/>
  <c r="CE131" i="9"/>
  <c r="CE41" i="9"/>
  <c r="I1236" i="25"/>
  <c r="F1253" i="25"/>
  <c r="J1235" i="25"/>
  <c r="F1255" i="25"/>
  <c r="G1234" i="25"/>
  <c r="F1235" i="25"/>
  <c r="K1235" i="25"/>
  <c r="F1237" i="25"/>
  <c r="F1243" i="25"/>
  <c r="K1244" i="25"/>
  <c r="J1245" i="25"/>
  <c r="I1247" i="25"/>
  <c r="J1249" i="25"/>
  <c r="J1253" i="25"/>
  <c r="I1255" i="25"/>
  <c r="M1325" i="25"/>
  <c r="N1325" i="25" s="1"/>
  <c r="C1315" i="25" s="1"/>
  <c r="L1281" i="25"/>
  <c r="M1281" i="25" s="1"/>
  <c r="N1281" i="25" s="1"/>
  <c r="L1273" i="25"/>
  <c r="M1273" i="25" s="1"/>
  <c r="N1273" i="25" s="1"/>
  <c r="L1271" i="25"/>
  <c r="M1271" i="25" s="1"/>
  <c r="N1271" i="25" s="1"/>
  <c r="L1289" i="25"/>
  <c r="M1289" i="25" s="1"/>
  <c r="N1289" i="25" s="1"/>
  <c r="L1287" i="25"/>
  <c r="M1287" i="25" s="1"/>
  <c r="N1287" i="25" s="1"/>
  <c r="L1267" i="25"/>
  <c r="M1267" i="25" s="1"/>
  <c r="N1267" i="25" s="1"/>
  <c r="H1291" i="25"/>
  <c r="I1291" i="25"/>
  <c r="J1291" i="25"/>
  <c r="K1291" i="25"/>
  <c r="L1290" i="25"/>
  <c r="M1290" i="25" s="1"/>
  <c r="N1290" i="25" s="1"/>
  <c r="L1288" i="25"/>
  <c r="M1288" i="25" s="1"/>
  <c r="N1288" i="25" s="1"/>
  <c r="L1279" i="25"/>
  <c r="M1279" i="25" s="1"/>
  <c r="N1279" i="25" s="1"/>
  <c r="L1278" i="25"/>
  <c r="M1278" i="25" s="1"/>
  <c r="N1278" i="25" s="1"/>
  <c r="L1272" i="25"/>
  <c r="M1272" i="25" s="1"/>
  <c r="N1272" i="25" s="1"/>
  <c r="L1277" i="25"/>
  <c r="M1277" i="25" s="1"/>
  <c r="N1277" i="25" s="1"/>
  <c r="L1274" i="25"/>
  <c r="M1274" i="25" s="1"/>
  <c r="N1274" i="25" s="1"/>
  <c r="L1280" i="25"/>
  <c r="M1280" i="25" s="1"/>
  <c r="N1280" i="25" s="1"/>
  <c r="L1286" i="25"/>
  <c r="M1286" i="25" s="1"/>
  <c r="N1286" i="25" s="1"/>
  <c r="L1268" i="25"/>
  <c r="M1268" i="25" s="1"/>
  <c r="N1268" i="25" s="1"/>
  <c r="F1291" i="25"/>
  <c r="L1270" i="25"/>
  <c r="M1270" i="25" s="1"/>
  <c r="N1270" i="25" s="1"/>
  <c r="L1284" i="25"/>
  <c r="M1284" i="25" s="1"/>
  <c r="N1284" i="25" s="1"/>
  <c r="L1282" i="25"/>
  <c r="M1282" i="25" s="1"/>
  <c r="N1282" i="25" s="1"/>
  <c r="G1291" i="25"/>
  <c r="L1266" i="25"/>
  <c r="L1269" i="25"/>
  <c r="M1269" i="25" s="1"/>
  <c r="N1269" i="25" s="1"/>
  <c r="L1285" i="25"/>
  <c r="M1285" i="25" s="1"/>
  <c r="N1285" i="25" s="1"/>
  <c r="L1276" i="25"/>
  <c r="M1276" i="25" s="1"/>
  <c r="N1276" i="25" s="1"/>
  <c r="I1241" i="25"/>
  <c r="K1236" i="25"/>
  <c r="I1243" i="25"/>
  <c r="G1246" i="25"/>
  <c r="J1250" i="25"/>
  <c r="F1250" i="25"/>
  <c r="I1250" i="25"/>
  <c r="K1250" i="25"/>
  <c r="G1254" i="25"/>
  <c r="J1238" i="25"/>
  <c r="F1238" i="25"/>
  <c r="H1238" i="25"/>
  <c r="J1252" i="25"/>
  <c r="F1252" i="25"/>
  <c r="I1252" i="25"/>
  <c r="K1252" i="25"/>
  <c r="G1232" i="25"/>
  <c r="K1232" i="25"/>
  <c r="J1233" i="25"/>
  <c r="I1238" i="25"/>
  <c r="F1239" i="25"/>
  <c r="K1239" i="25"/>
  <c r="J1240" i="25"/>
  <c r="F1240" i="25"/>
  <c r="H1240" i="25"/>
  <c r="J1241" i="25"/>
  <c r="H1234" i="25"/>
  <c r="I1237" i="25"/>
  <c r="K1238" i="25"/>
  <c r="G1239" i="25"/>
  <c r="I1240" i="25"/>
  <c r="F1241" i="25"/>
  <c r="K1241" i="25"/>
  <c r="J1242" i="25"/>
  <c r="F1242" i="25"/>
  <c r="H1242" i="25"/>
  <c r="J1243" i="25"/>
  <c r="J1248" i="25"/>
  <c r="F1248" i="25"/>
  <c r="I1248" i="25"/>
  <c r="K1248" i="25"/>
  <c r="G1252" i="25"/>
  <c r="K1233" i="25"/>
  <c r="G1233" i="25"/>
  <c r="H1233" i="25"/>
  <c r="J1236" i="25"/>
  <c r="F1236" i="25"/>
  <c r="H1236" i="25"/>
  <c r="G1238" i="25"/>
  <c r="I1239" i="25"/>
  <c r="G1241" i="25"/>
  <c r="J1244" i="25"/>
  <c r="F1244" i="25"/>
  <c r="I1244" i="25"/>
  <c r="H1244" i="25"/>
  <c r="J1246" i="25"/>
  <c r="F1246" i="25"/>
  <c r="I1246" i="25"/>
  <c r="K1246" i="25"/>
  <c r="H1252" i="25"/>
  <c r="J1254" i="25"/>
  <c r="F1254" i="25"/>
  <c r="I1254" i="25"/>
  <c r="K1254" i="25"/>
  <c r="G1245" i="25"/>
  <c r="K1245" i="25"/>
  <c r="G1247" i="25"/>
  <c r="K1247" i="25"/>
  <c r="G1249" i="25"/>
  <c r="K1249" i="25"/>
  <c r="G1251" i="25"/>
  <c r="K1251" i="25"/>
  <c r="G1253" i="25"/>
  <c r="K1253" i="25"/>
  <c r="G1255" i="25"/>
  <c r="K1255" i="25"/>
  <c r="I1256" i="25"/>
  <c r="F1256" i="25"/>
  <c r="J1256" i="25"/>
  <c r="G1256" i="25"/>
  <c r="CG62" i="33"/>
  <c r="CC150" i="9"/>
  <c r="CC149" i="9"/>
  <c r="CC145" i="9"/>
  <c r="CC144" i="9"/>
  <c r="CC140" i="9"/>
  <c r="CC139" i="9"/>
  <c r="CC135" i="9"/>
  <c r="CC134" i="9"/>
  <c r="CC130" i="9"/>
  <c r="CC129" i="9"/>
  <c r="CC125" i="9"/>
  <c r="CD126" i="9" s="1"/>
  <c r="CC124" i="9"/>
  <c r="CC120" i="9"/>
  <c r="CD121" i="9" s="1"/>
  <c r="CC119" i="9"/>
  <c r="CC115" i="9"/>
  <c r="CC114" i="9"/>
  <c r="CC110" i="9"/>
  <c r="CC109" i="9"/>
  <c r="CC105" i="9"/>
  <c r="CD106" i="9" s="1"/>
  <c r="CC104" i="9"/>
  <c r="CC100" i="9"/>
  <c r="CC99" i="9"/>
  <c r="CC95" i="9"/>
  <c r="CC94" i="9"/>
  <c r="CC90" i="9"/>
  <c r="CC89" i="9"/>
  <c r="CC85" i="9"/>
  <c r="CD86" i="9" s="1"/>
  <c r="CC84" i="9"/>
  <c r="CC80" i="9"/>
  <c r="CC79" i="9"/>
  <c r="CC75" i="9"/>
  <c r="CD76" i="9" s="1"/>
  <c r="CC74" i="9"/>
  <c r="CC70" i="9"/>
  <c r="CC69" i="9"/>
  <c r="CC65" i="9"/>
  <c r="CC64" i="9"/>
  <c r="CC60" i="9"/>
  <c r="CC59" i="9"/>
  <c r="CC55" i="9"/>
  <c r="CC54" i="9"/>
  <c r="CC50" i="9"/>
  <c r="CC49" i="9"/>
  <c r="CC45" i="9"/>
  <c r="CD46" i="9" s="1"/>
  <c r="CC44" i="9"/>
  <c r="CC40" i="9"/>
  <c r="CD41" i="9" s="1"/>
  <c r="CC39" i="9"/>
  <c r="CC35" i="9"/>
  <c r="CC34" i="9"/>
  <c r="CC30" i="9"/>
  <c r="CC29" i="9"/>
  <c r="A1222" i="25"/>
  <c r="K1222" i="25" s="1"/>
  <c r="A1221" i="25"/>
  <c r="H1221" i="25" s="1"/>
  <c r="A1220" i="25"/>
  <c r="G1220" i="25" s="1"/>
  <c r="A1219" i="25"/>
  <c r="H1219" i="25" s="1"/>
  <c r="A1218" i="25"/>
  <c r="G1218" i="25" s="1"/>
  <c r="A1217" i="25"/>
  <c r="H1217" i="25" s="1"/>
  <c r="A1216" i="25"/>
  <c r="I1216" i="25" s="1"/>
  <c r="A1215" i="25"/>
  <c r="H1215" i="25" s="1"/>
  <c r="A1214" i="25"/>
  <c r="K1214" i="25" s="1"/>
  <c r="A1213" i="25"/>
  <c r="H1213" i="25" s="1"/>
  <c r="A1212" i="25"/>
  <c r="A1211" i="25"/>
  <c r="H1211" i="25" s="1"/>
  <c r="A1210" i="25"/>
  <c r="G1210" i="25" s="1"/>
  <c r="A1209" i="25"/>
  <c r="H1209" i="25" s="1"/>
  <c r="A1208" i="25"/>
  <c r="K1208" i="25" s="1"/>
  <c r="A1207" i="25"/>
  <c r="I1207" i="25" s="1"/>
  <c r="A1206" i="25"/>
  <c r="G1206" i="25" s="1"/>
  <c r="A1205" i="25"/>
  <c r="J1205" i="25" s="1"/>
  <c r="A1204" i="25"/>
  <c r="G1204" i="25" s="1"/>
  <c r="A1203" i="25"/>
  <c r="H1203" i="25" s="1"/>
  <c r="A1202" i="25"/>
  <c r="A1201" i="25"/>
  <c r="H1201" i="25" s="1"/>
  <c r="A1200" i="25"/>
  <c r="K1200" i="25" s="1"/>
  <c r="A1199" i="25"/>
  <c r="K1199" i="25" s="1"/>
  <c r="A1198" i="25"/>
  <c r="I1198" i="25" s="1"/>
  <c r="BY15" i="34" l="1"/>
  <c r="BX14" i="34"/>
  <c r="I1222" i="25"/>
  <c r="F1219" i="25"/>
  <c r="H1222" i="25"/>
  <c r="J1198" i="25"/>
  <c r="G1208" i="25"/>
  <c r="F1209" i="25"/>
  <c r="I1210" i="25"/>
  <c r="J1213" i="25"/>
  <c r="J1203" i="25"/>
  <c r="K1206" i="25"/>
  <c r="I1208" i="25"/>
  <c r="G1209" i="25"/>
  <c r="K1209" i="25"/>
  <c r="J1211" i="25"/>
  <c r="F1199" i="25"/>
  <c r="G1198" i="25"/>
  <c r="H1199" i="25"/>
  <c r="I1199" i="25"/>
  <c r="L1235" i="25"/>
  <c r="M1235" i="25" s="1"/>
  <c r="N1235" i="25" s="1"/>
  <c r="L1234" i="25"/>
  <c r="M1234" i="25" s="1"/>
  <c r="N1234" i="25" s="1"/>
  <c r="K1216" i="25"/>
  <c r="J1217" i="25"/>
  <c r="CD96" i="9"/>
  <c r="CD141" i="9"/>
  <c r="CD51" i="9"/>
  <c r="G1200" i="25"/>
  <c r="F1201" i="25"/>
  <c r="K1217" i="25"/>
  <c r="CD61" i="9"/>
  <c r="CD151" i="9"/>
  <c r="CD146" i="9"/>
  <c r="CD66" i="9"/>
  <c r="K1211" i="25"/>
  <c r="I1200" i="25"/>
  <c r="G1201" i="25"/>
  <c r="F1203" i="25"/>
  <c r="F1211" i="25"/>
  <c r="G1214" i="25"/>
  <c r="G1216" i="25"/>
  <c r="F1217" i="25"/>
  <c r="J1219" i="25"/>
  <c r="J1221" i="25"/>
  <c r="CD131" i="9"/>
  <c r="CD136" i="9"/>
  <c r="CD56" i="9"/>
  <c r="K1203" i="25"/>
  <c r="I1205" i="25"/>
  <c r="K1198" i="25"/>
  <c r="F1198" i="25"/>
  <c r="J1199" i="25"/>
  <c r="K1201" i="25"/>
  <c r="G1203" i="25"/>
  <c r="G1211" i="25"/>
  <c r="G1217" i="25"/>
  <c r="I1218" i="25"/>
  <c r="K1219" i="25"/>
  <c r="CD31" i="9"/>
  <c r="CD111" i="9"/>
  <c r="CD81" i="9"/>
  <c r="CD101" i="9"/>
  <c r="CD91" i="9"/>
  <c r="CD71" i="9"/>
  <c r="CD116" i="9"/>
  <c r="CD36" i="9"/>
  <c r="C1323" i="25"/>
  <c r="C1303" i="25"/>
  <c r="C1308" i="25"/>
  <c r="C1314" i="25"/>
  <c r="C1307" i="25"/>
  <c r="C1313" i="25"/>
  <c r="C1309" i="25"/>
  <c r="L1291" i="25"/>
  <c r="M1263" i="25" s="1"/>
  <c r="M1266" i="25"/>
  <c r="N1266" i="25" s="1"/>
  <c r="C1268" i="25" s="1"/>
  <c r="L1243" i="25"/>
  <c r="M1243" i="25" s="1"/>
  <c r="N1243" i="25" s="1"/>
  <c r="L1232" i="25"/>
  <c r="M1232" i="25" s="1"/>
  <c r="N1232" i="25" s="1"/>
  <c r="L1255" i="25"/>
  <c r="M1255" i="25" s="1"/>
  <c r="N1255" i="25" s="1"/>
  <c r="L1251" i="25"/>
  <c r="M1251" i="25" s="1"/>
  <c r="N1251" i="25" s="1"/>
  <c r="L1247" i="25"/>
  <c r="M1247" i="25" s="1"/>
  <c r="N1247" i="25" s="1"/>
  <c r="F1257" i="25"/>
  <c r="L1253" i="25"/>
  <c r="M1253" i="25" s="1"/>
  <c r="N1253" i="25" s="1"/>
  <c r="L1249" i="25"/>
  <c r="M1249" i="25" s="1"/>
  <c r="N1249" i="25" s="1"/>
  <c r="L1245" i="25"/>
  <c r="M1245" i="25" s="1"/>
  <c r="N1245" i="25" s="1"/>
  <c r="L1233" i="25"/>
  <c r="M1233" i="25" s="1"/>
  <c r="N1233" i="25" s="1"/>
  <c r="J1257" i="25"/>
  <c r="I1257" i="25"/>
  <c r="H1257" i="25"/>
  <c r="L1256" i="25"/>
  <c r="M1256" i="25" s="1"/>
  <c r="N1256" i="25" s="1"/>
  <c r="L1254" i="25"/>
  <c r="M1254" i="25" s="1"/>
  <c r="N1254" i="25" s="1"/>
  <c r="K1257" i="25"/>
  <c r="L1252" i="25"/>
  <c r="M1252" i="25" s="1"/>
  <c r="N1252" i="25" s="1"/>
  <c r="L1238" i="25"/>
  <c r="M1238" i="25" s="1"/>
  <c r="N1238" i="25" s="1"/>
  <c r="L1237" i="25"/>
  <c r="M1237" i="25" s="1"/>
  <c r="N1237" i="25" s="1"/>
  <c r="L1236" i="25"/>
  <c r="L1248" i="25"/>
  <c r="M1248" i="25" s="1"/>
  <c r="N1248" i="25" s="1"/>
  <c r="L1241" i="25"/>
  <c r="M1241" i="25" s="1"/>
  <c r="N1241" i="25" s="1"/>
  <c r="L1239" i="25"/>
  <c r="M1239" i="25" s="1"/>
  <c r="N1239" i="25" s="1"/>
  <c r="G1257" i="25"/>
  <c r="L1250" i="25"/>
  <c r="M1250" i="25" s="1"/>
  <c r="N1250" i="25" s="1"/>
  <c r="L1246" i="25"/>
  <c r="M1246" i="25" s="1"/>
  <c r="N1246" i="25" s="1"/>
  <c r="L1244" i="25"/>
  <c r="M1244" i="25" s="1"/>
  <c r="N1244" i="25" s="1"/>
  <c r="L1242" i="25"/>
  <c r="M1242" i="25" s="1"/>
  <c r="N1242" i="25" s="1"/>
  <c r="L1240" i="25"/>
  <c r="M1240" i="25" s="1"/>
  <c r="N1240" i="25" s="1"/>
  <c r="J1202" i="25"/>
  <c r="F1202" i="25"/>
  <c r="G1202" i="25"/>
  <c r="K1202" i="25"/>
  <c r="H1198" i="25"/>
  <c r="J1204" i="25"/>
  <c r="F1204" i="25"/>
  <c r="K1204" i="25"/>
  <c r="I1204" i="25"/>
  <c r="J1212" i="25"/>
  <c r="F1212" i="25"/>
  <c r="G1212" i="25"/>
  <c r="K1212" i="25"/>
  <c r="I1212" i="25"/>
  <c r="H1202" i="25"/>
  <c r="H1205" i="25"/>
  <c r="G1205" i="25"/>
  <c r="K1205" i="25"/>
  <c r="F1205" i="25"/>
  <c r="H1207" i="25"/>
  <c r="K1207" i="25"/>
  <c r="F1207" i="25"/>
  <c r="J1207" i="25"/>
  <c r="H1212" i="25"/>
  <c r="I1202" i="25"/>
  <c r="H1204" i="25"/>
  <c r="G1207" i="25"/>
  <c r="F1213" i="25"/>
  <c r="K1213" i="25"/>
  <c r="J1214" i="25"/>
  <c r="F1214" i="25"/>
  <c r="H1214" i="25"/>
  <c r="J1215" i="25"/>
  <c r="I1217" i="25"/>
  <c r="K1218" i="25"/>
  <c r="G1219" i="25"/>
  <c r="I1220" i="25"/>
  <c r="F1221" i="25"/>
  <c r="K1221" i="25"/>
  <c r="I1201" i="25"/>
  <c r="J1206" i="25"/>
  <c r="F1206" i="25"/>
  <c r="H1206" i="25"/>
  <c r="I1209" i="25"/>
  <c r="K1210" i="25"/>
  <c r="G1199" i="25"/>
  <c r="J1200" i="25"/>
  <c r="F1200" i="25"/>
  <c r="H1200" i="25"/>
  <c r="J1201" i="25"/>
  <c r="I1203" i="25"/>
  <c r="I1206" i="25"/>
  <c r="J1208" i="25"/>
  <c r="F1208" i="25"/>
  <c r="H1208" i="25"/>
  <c r="J1209" i="25"/>
  <c r="I1211" i="25"/>
  <c r="G1213" i="25"/>
  <c r="I1214" i="25"/>
  <c r="F1215" i="25"/>
  <c r="K1215" i="25"/>
  <c r="J1216" i="25"/>
  <c r="F1216" i="25"/>
  <c r="H1216" i="25"/>
  <c r="I1219" i="25"/>
  <c r="K1220" i="25"/>
  <c r="G1221" i="25"/>
  <c r="J1210" i="25"/>
  <c r="F1210" i="25"/>
  <c r="H1210" i="25"/>
  <c r="I1213" i="25"/>
  <c r="G1215" i="25"/>
  <c r="J1218" i="25"/>
  <c r="F1218" i="25"/>
  <c r="H1218" i="25"/>
  <c r="I1221" i="25"/>
  <c r="I1215" i="25"/>
  <c r="J1220" i="25"/>
  <c r="F1220" i="25"/>
  <c r="H1220" i="25"/>
  <c r="F1222" i="25"/>
  <c r="J1222" i="25"/>
  <c r="G1222" i="25"/>
  <c r="CB40" i="9"/>
  <c r="CC41" i="9" s="1"/>
  <c r="CB39" i="9"/>
  <c r="CB35" i="9"/>
  <c r="CC36" i="9" s="1"/>
  <c r="CB34" i="9"/>
  <c r="CB30" i="9"/>
  <c r="CB29" i="9"/>
  <c r="CB150" i="9"/>
  <c r="CC151" i="9" s="1"/>
  <c r="CB149" i="9"/>
  <c r="CB145" i="9"/>
  <c r="CC146" i="9" s="1"/>
  <c r="CB144" i="9"/>
  <c r="CB140" i="9"/>
  <c r="CB139" i="9"/>
  <c r="CB135" i="9"/>
  <c r="CC136" i="9" s="1"/>
  <c r="CB134" i="9"/>
  <c r="CB130" i="9"/>
  <c r="CB129" i="9"/>
  <c r="CB125" i="9"/>
  <c r="CB124" i="9"/>
  <c r="CB120" i="9"/>
  <c r="CC121" i="9" s="1"/>
  <c r="CB119" i="9"/>
  <c r="CB115" i="9"/>
  <c r="CC116" i="9" s="1"/>
  <c r="CB114" i="9"/>
  <c r="CB110" i="9"/>
  <c r="CB109" i="9"/>
  <c r="CB105" i="9"/>
  <c r="CB104" i="9"/>
  <c r="CB100" i="9"/>
  <c r="CC101" i="9" s="1"/>
  <c r="CB99" i="9"/>
  <c r="CB95" i="9"/>
  <c r="CC96" i="9" s="1"/>
  <c r="CB94" i="9"/>
  <c r="CB90" i="9"/>
  <c r="CC91" i="9" s="1"/>
  <c r="CB89" i="9"/>
  <c r="CB85" i="9"/>
  <c r="CB84" i="9"/>
  <c r="CB80" i="9"/>
  <c r="CC81" i="9" s="1"/>
  <c r="CB79" i="9"/>
  <c r="CB75" i="9"/>
  <c r="CC76" i="9" s="1"/>
  <c r="CB74" i="9"/>
  <c r="CB70" i="9"/>
  <c r="CB69" i="9"/>
  <c r="CB65" i="9"/>
  <c r="CB64" i="9"/>
  <c r="CB60" i="9"/>
  <c r="CB59" i="9"/>
  <c r="CB55" i="9"/>
  <c r="CC56" i="9" s="1"/>
  <c r="CB54" i="9"/>
  <c r="CB50" i="9"/>
  <c r="CB49" i="9"/>
  <c r="CB45" i="9"/>
  <c r="CB44" i="9"/>
  <c r="CF62" i="33"/>
  <c r="CF36" i="33"/>
  <c r="BY14" i="34" l="1"/>
  <c r="BZ15" i="34"/>
  <c r="L1211" i="25"/>
  <c r="M1211" i="25" s="1"/>
  <c r="N1211" i="25" s="1"/>
  <c r="L1198" i="25"/>
  <c r="M1198" i="25" s="1"/>
  <c r="N1198" i="25" s="1"/>
  <c r="L1203" i="25"/>
  <c r="M1203" i="25" s="1"/>
  <c r="N1203" i="25" s="1"/>
  <c r="L1217" i="25"/>
  <c r="M1217" i="25" s="1"/>
  <c r="N1217" i="25" s="1"/>
  <c r="CC46" i="9"/>
  <c r="CC86" i="9"/>
  <c r="CC141" i="9"/>
  <c r="CC61" i="9"/>
  <c r="CC106" i="9"/>
  <c r="CC126" i="9"/>
  <c r="CC111" i="9"/>
  <c r="CC31" i="9"/>
  <c r="CC71" i="9"/>
  <c r="CC131" i="9"/>
  <c r="CC51" i="9"/>
  <c r="CC66" i="9"/>
  <c r="C1277" i="25"/>
  <c r="C1284" i="25"/>
  <c r="C1288" i="25"/>
  <c r="C1272" i="25"/>
  <c r="C1266" i="25"/>
  <c r="C1267" i="25"/>
  <c r="C1283" i="25"/>
  <c r="C1287" i="25"/>
  <c r="C1271" i="25"/>
  <c r="C1286" i="25"/>
  <c r="C1276" i="25"/>
  <c r="C1282" i="25"/>
  <c r="C1285" i="25"/>
  <c r="M1291" i="25"/>
  <c r="N1291" i="25" s="1"/>
  <c r="C1290" i="25"/>
  <c r="C1278" i="25"/>
  <c r="C1270" i="25"/>
  <c r="L1257" i="25"/>
  <c r="M1257" i="25" s="1"/>
  <c r="N1257" i="25" s="1"/>
  <c r="M1236" i="25"/>
  <c r="N1236" i="25" s="1"/>
  <c r="C1252" i="25" s="1"/>
  <c r="L1219" i="25"/>
  <c r="M1219" i="25" s="1"/>
  <c r="N1219" i="25" s="1"/>
  <c r="G1223" i="25"/>
  <c r="K1223" i="25"/>
  <c r="F1223" i="25"/>
  <c r="L1209" i="25"/>
  <c r="M1209" i="25" s="1"/>
  <c r="N1209" i="25" s="1"/>
  <c r="L1201" i="25"/>
  <c r="M1201" i="25" s="1"/>
  <c r="N1201" i="25" s="1"/>
  <c r="J1223" i="25"/>
  <c r="L1216" i="25"/>
  <c r="M1216" i="25" s="1"/>
  <c r="N1216" i="25" s="1"/>
  <c r="L1214" i="25"/>
  <c r="M1214" i="25" s="1"/>
  <c r="N1214" i="25" s="1"/>
  <c r="L1207" i="25"/>
  <c r="M1207" i="25" s="1"/>
  <c r="N1207" i="25" s="1"/>
  <c r="L1212" i="25"/>
  <c r="M1212" i="25" s="1"/>
  <c r="N1212" i="25" s="1"/>
  <c r="H1223" i="25"/>
  <c r="L1202" i="25"/>
  <c r="M1202" i="25" s="1"/>
  <c r="N1202" i="25" s="1"/>
  <c r="L1222" i="25"/>
  <c r="M1222" i="25" s="1"/>
  <c r="N1222" i="25" s="1"/>
  <c r="L1208" i="25"/>
  <c r="M1208" i="25" s="1"/>
  <c r="N1208" i="25" s="1"/>
  <c r="L1206" i="25"/>
  <c r="M1206" i="25" s="1"/>
  <c r="N1206" i="25" s="1"/>
  <c r="L1221" i="25"/>
  <c r="M1221" i="25" s="1"/>
  <c r="N1221" i="25" s="1"/>
  <c r="L1204" i="25"/>
  <c r="M1204" i="25" s="1"/>
  <c r="N1204" i="25" s="1"/>
  <c r="I1223" i="25"/>
  <c r="L1218" i="25"/>
  <c r="M1218" i="25" s="1"/>
  <c r="N1218" i="25" s="1"/>
  <c r="L1220" i="25"/>
  <c r="M1220" i="25" s="1"/>
  <c r="N1220" i="25" s="1"/>
  <c r="L1210" i="25"/>
  <c r="M1210" i="25" s="1"/>
  <c r="N1210" i="25" s="1"/>
  <c r="L1215" i="25"/>
  <c r="M1215" i="25" s="1"/>
  <c r="N1215" i="25" s="1"/>
  <c r="L1200" i="25"/>
  <c r="M1200" i="25" s="1"/>
  <c r="N1200" i="25" s="1"/>
  <c r="L1213" i="25"/>
  <c r="M1213" i="25" s="1"/>
  <c r="N1213" i="25" s="1"/>
  <c r="L1205" i="25"/>
  <c r="M1205" i="25" s="1"/>
  <c r="N1205" i="25" s="1"/>
  <c r="L1199" i="25"/>
  <c r="M1199" i="25" s="1"/>
  <c r="N1199" i="25" s="1"/>
  <c r="BK13" i="2"/>
  <c r="CA15" i="34" l="1"/>
  <c r="BZ14" i="34"/>
  <c r="C1279" i="25"/>
  <c r="C1281" i="25"/>
  <c r="C1273" i="25"/>
  <c r="C1275" i="25"/>
  <c r="C1289" i="25"/>
  <c r="C1280" i="25"/>
  <c r="C1269" i="25"/>
  <c r="C1274" i="25"/>
  <c r="M1229" i="25"/>
  <c r="C1235" i="25"/>
  <c r="C1244" i="25"/>
  <c r="C1237" i="25"/>
  <c r="C1238" i="25"/>
  <c r="C1254" i="25"/>
  <c r="C1236" i="25"/>
  <c r="C1253" i="25"/>
  <c r="C1251" i="25"/>
  <c r="C1249" i="25"/>
  <c r="C1247" i="25"/>
  <c r="C1245" i="25"/>
  <c r="C1232" i="25"/>
  <c r="C1255" i="25"/>
  <c r="C1234" i="25"/>
  <c r="C1233" i="25"/>
  <c r="C1243" i="25"/>
  <c r="C1239" i="25"/>
  <c r="C1246" i="25"/>
  <c r="C1240" i="25"/>
  <c r="C1241" i="25"/>
  <c r="C1248" i="25"/>
  <c r="C1250" i="25"/>
  <c r="C1242" i="25"/>
  <c r="C1256" i="25"/>
  <c r="C1210" i="25"/>
  <c r="C1200" i="25"/>
  <c r="C1208" i="25"/>
  <c r="C1222" i="25"/>
  <c r="C1218" i="25"/>
  <c r="C1216" i="25"/>
  <c r="L1223" i="25"/>
  <c r="M1223" i="25" s="1"/>
  <c r="N1223" i="25" s="1"/>
  <c r="C1206" i="25" s="1"/>
  <c r="C1198" i="25"/>
  <c r="C1204" i="25"/>
  <c r="C1199" i="25"/>
  <c r="C1215" i="25"/>
  <c r="C1217" i="25"/>
  <c r="C1202" i="25"/>
  <c r="C1214" i="25"/>
  <c r="C1203" i="25"/>
  <c r="C1209" i="25"/>
  <c r="C1220" i="25"/>
  <c r="C1219" i="25"/>
  <c r="A1188" i="25"/>
  <c r="J1188" i="25" s="1"/>
  <c r="A1187" i="25"/>
  <c r="K1187" i="25" s="1"/>
  <c r="A1186" i="25"/>
  <c r="G1186" i="25" s="1"/>
  <c r="A1185" i="25"/>
  <c r="K1185" i="25" s="1"/>
  <c r="A1184" i="25"/>
  <c r="H1184" i="25" s="1"/>
  <c r="A1183" i="25"/>
  <c r="G1183" i="25" s="1"/>
  <c r="A1182" i="25"/>
  <c r="H1182" i="25" s="1"/>
  <c r="A1181" i="25"/>
  <c r="G1181" i="25" s="1"/>
  <c r="A1180" i="25"/>
  <c r="H1180" i="25" s="1"/>
  <c r="A1179" i="25"/>
  <c r="K1179" i="25" s="1"/>
  <c r="A1178" i="25"/>
  <c r="H1178" i="25" s="1"/>
  <c r="A1177" i="25"/>
  <c r="G1177" i="25" s="1"/>
  <c r="A1176" i="25"/>
  <c r="H1176" i="25" s="1"/>
  <c r="A1175" i="25"/>
  <c r="A1174" i="25"/>
  <c r="H1174" i="25" s="1"/>
  <c r="A1173" i="25"/>
  <c r="G1173" i="25" s="1"/>
  <c r="A1172" i="25"/>
  <c r="H1172" i="25" s="1"/>
  <c r="A1171" i="25"/>
  <c r="K1171" i="25" s="1"/>
  <c r="A1170" i="25"/>
  <c r="H1170" i="25" s="1"/>
  <c r="A1169" i="25"/>
  <c r="G1169" i="25" s="1"/>
  <c r="A1168" i="25"/>
  <c r="H1168" i="25" s="1"/>
  <c r="A1167" i="25"/>
  <c r="A1166" i="25"/>
  <c r="H1166" i="25" s="1"/>
  <c r="A1165" i="25"/>
  <c r="J1165" i="25" s="1"/>
  <c r="A1164" i="25"/>
  <c r="K1164" i="25" s="1"/>
  <c r="CA14" i="34" l="1"/>
  <c r="CB15" i="34"/>
  <c r="F1168" i="25"/>
  <c r="J1168" i="25"/>
  <c r="F1174" i="25"/>
  <c r="F1184" i="25"/>
  <c r="I1173" i="25"/>
  <c r="G1179" i="25"/>
  <c r="H1185" i="25"/>
  <c r="J1166" i="25"/>
  <c r="I1181" i="25"/>
  <c r="I1185" i="25"/>
  <c r="K1181" i="25"/>
  <c r="G1171" i="25"/>
  <c r="G1172" i="25"/>
  <c r="I1171" i="25"/>
  <c r="G1174" i="25"/>
  <c r="G1180" i="25"/>
  <c r="J1184" i="25"/>
  <c r="J1186" i="25"/>
  <c r="C1213" i="25"/>
  <c r="C1212" i="25"/>
  <c r="C1221" i="25"/>
  <c r="C1211" i="25"/>
  <c r="M1195" i="25"/>
  <c r="C1205" i="25"/>
  <c r="C1207" i="25"/>
  <c r="K1165" i="25"/>
  <c r="K1166" i="25"/>
  <c r="K1182" i="25"/>
  <c r="H1165" i="25"/>
  <c r="F1166" i="25"/>
  <c r="K1168" i="25"/>
  <c r="K1173" i="25"/>
  <c r="J1174" i="25"/>
  <c r="F1176" i="25"/>
  <c r="I1179" i="25"/>
  <c r="F1182" i="25"/>
  <c r="K1184" i="25"/>
  <c r="H1187" i="25"/>
  <c r="F1165" i="25"/>
  <c r="I1165" i="25"/>
  <c r="G1166" i="25"/>
  <c r="K1174" i="25"/>
  <c r="J1176" i="25"/>
  <c r="G1182" i="25"/>
  <c r="I1187" i="25"/>
  <c r="K1176" i="25"/>
  <c r="J1182" i="25"/>
  <c r="J1167" i="25"/>
  <c r="F1167" i="25"/>
  <c r="H1167" i="25"/>
  <c r="J1175" i="25"/>
  <c r="F1175" i="25"/>
  <c r="H1175" i="25"/>
  <c r="J1178" i="25"/>
  <c r="I1180" i="25"/>
  <c r="I1183" i="25"/>
  <c r="I1186" i="25"/>
  <c r="H1186" i="25"/>
  <c r="K1186" i="25"/>
  <c r="F1188" i="25"/>
  <c r="I1170" i="25"/>
  <c r="I1167" i="25"/>
  <c r="J1169" i="25"/>
  <c r="F1169" i="25"/>
  <c r="H1169" i="25"/>
  <c r="J1170" i="25"/>
  <c r="I1172" i="25"/>
  <c r="I1175" i="25"/>
  <c r="J1177" i="25"/>
  <c r="F1177" i="25"/>
  <c r="H1177" i="25"/>
  <c r="I1164" i="25"/>
  <c r="G1165" i="25"/>
  <c r="I1166" i="25"/>
  <c r="K1167" i="25"/>
  <c r="G1168" i="25"/>
  <c r="I1169" i="25"/>
  <c r="F1170" i="25"/>
  <c r="K1170" i="25"/>
  <c r="J1171" i="25"/>
  <c r="F1171" i="25"/>
  <c r="H1171" i="25"/>
  <c r="J1172" i="25"/>
  <c r="I1174" i="25"/>
  <c r="K1175" i="25"/>
  <c r="G1176" i="25"/>
  <c r="I1177" i="25"/>
  <c r="F1178" i="25"/>
  <c r="K1178" i="25"/>
  <c r="J1179" i="25"/>
  <c r="F1179" i="25"/>
  <c r="H1179" i="25"/>
  <c r="J1180" i="25"/>
  <c r="I1182" i="25"/>
  <c r="K1183" i="25"/>
  <c r="G1184" i="25"/>
  <c r="F1186" i="25"/>
  <c r="G1188" i="25"/>
  <c r="H1164" i="25"/>
  <c r="F1164" i="25"/>
  <c r="J1164" i="25"/>
  <c r="G1167" i="25"/>
  <c r="I1168" i="25"/>
  <c r="K1169" i="25"/>
  <c r="G1170" i="25"/>
  <c r="F1172" i="25"/>
  <c r="K1172" i="25"/>
  <c r="J1173" i="25"/>
  <c r="F1173" i="25"/>
  <c r="H1173" i="25"/>
  <c r="G1175" i="25"/>
  <c r="I1176" i="25"/>
  <c r="K1177" i="25"/>
  <c r="G1178" i="25"/>
  <c r="F1180" i="25"/>
  <c r="K1180" i="25"/>
  <c r="J1181" i="25"/>
  <c r="F1181" i="25"/>
  <c r="H1181" i="25"/>
  <c r="I1184" i="25"/>
  <c r="G1164" i="25"/>
  <c r="I1178" i="25"/>
  <c r="J1183" i="25"/>
  <c r="F1183" i="25"/>
  <c r="H1183" i="25"/>
  <c r="I1188" i="25"/>
  <c r="H1188" i="25"/>
  <c r="K1188" i="25"/>
  <c r="F1185" i="25"/>
  <c r="J1185" i="25"/>
  <c r="F1187" i="25"/>
  <c r="J1187" i="25"/>
  <c r="G1185" i="25"/>
  <c r="G1187" i="25"/>
  <c r="CE62" i="33"/>
  <c r="CE36" i="33"/>
  <c r="CA150" i="9"/>
  <c r="CB151" i="9" s="1"/>
  <c r="CA149" i="9"/>
  <c r="CA145" i="9"/>
  <c r="CB146" i="9" s="1"/>
  <c r="CA144" i="9"/>
  <c r="CA140" i="9"/>
  <c r="CB141" i="9" s="1"/>
  <c r="CA139" i="9"/>
  <c r="CA135" i="9"/>
  <c r="CB136" i="9" s="1"/>
  <c r="CA134" i="9"/>
  <c r="CA130" i="9"/>
  <c r="CB131" i="9" s="1"/>
  <c r="CA129" i="9"/>
  <c r="CA125" i="9"/>
  <c r="CB126" i="9" s="1"/>
  <c r="CA124" i="9"/>
  <c r="CA120" i="9"/>
  <c r="CB121" i="9" s="1"/>
  <c r="CA119" i="9"/>
  <c r="CA115" i="9"/>
  <c r="CB116" i="9" s="1"/>
  <c r="CA114" i="9"/>
  <c r="CA110" i="9"/>
  <c r="CB111" i="9" s="1"/>
  <c r="CA109" i="9"/>
  <c r="CA105" i="9"/>
  <c r="CB106" i="9" s="1"/>
  <c r="CA104" i="9"/>
  <c r="CA100" i="9"/>
  <c r="CB101" i="9" s="1"/>
  <c r="CA99" i="9"/>
  <c r="CA95" i="9"/>
  <c r="CB96" i="9" s="1"/>
  <c r="CA94" i="9"/>
  <c r="CA90" i="9"/>
  <c r="CB91" i="9" s="1"/>
  <c r="CA89" i="9"/>
  <c r="CA85" i="9"/>
  <c r="CB86" i="9" s="1"/>
  <c r="CA84" i="9"/>
  <c r="CA80" i="9"/>
  <c r="CB81" i="9" s="1"/>
  <c r="CA79" i="9"/>
  <c r="CA75" i="9"/>
  <c r="CB76" i="9" s="1"/>
  <c r="CA74" i="9"/>
  <c r="CA70" i="9"/>
  <c r="CB71" i="9" s="1"/>
  <c r="CA69" i="9"/>
  <c r="CA65" i="9"/>
  <c r="CB66" i="9" s="1"/>
  <c r="CA64" i="9"/>
  <c r="CA60" i="9"/>
  <c r="CB61" i="9" s="1"/>
  <c r="CA59" i="9"/>
  <c r="CA55" i="9"/>
  <c r="CB56" i="9" s="1"/>
  <c r="CA54" i="9"/>
  <c r="CA50" i="9"/>
  <c r="CB51" i="9" s="1"/>
  <c r="CA49" i="9"/>
  <c r="CA45" i="9"/>
  <c r="CB46" i="9" s="1"/>
  <c r="CA44" i="9"/>
  <c r="CA40" i="9"/>
  <c r="CB41" i="9" s="1"/>
  <c r="CA39" i="9"/>
  <c r="CA35" i="9"/>
  <c r="CB36" i="9" s="1"/>
  <c r="CA34" i="9"/>
  <c r="CA30" i="9"/>
  <c r="CB31" i="9" s="1"/>
  <c r="CA29" i="9"/>
  <c r="A1154" i="25"/>
  <c r="K1154" i="25" s="1"/>
  <c r="A1153" i="25"/>
  <c r="H1153" i="25" s="1"/>
  <c r="A1152" i="25"/>
  <c r="K1152" i="25" s="1"/>
  <c r="A1151" i="25"/>
  <c r="H1151" i="25" s="1"/>
  <c r="A1150" i="25"/>
  <c r="A1149" i="25"/>
  <c r="H1149" i="25" s="1"/>
  <c r="A1148" i="25"/>
  <c r="H1148" i="25" s="1"/>
  <c r="A1147" i="25"/>
  <c r="H1147" i="25" s="1"/>
  <c r="A1146" i="25"/>
  <c r="G1146" i="25" s="1"/>
  <c r="A1145" i="25"/>
  <c r="H1145" i="25" s="1"/>
  <c r="A1144" i="25"/>
  <c r="H1144" i="25" s="1"/>
  <c r="A1143" i="25"/>
  <c r="H1143" i="25" s="1"/>
  <c r="A1142" i="25"/>
  <c r="K1142" i="25" s="1"/>
  <c r="A1141" i="25"/>
  <c r="K1141" i="25" s="1"/>
  <c r="A1140" i="25"/>
  <c r="G1140" i="25" s="1"/>
  <c r="A1139" i="25"/>
  <c r="K1139" i="25" s="1"/>
  <c r="A1138" i="25"/>
  <c r="I1138" i="25" s="1"/>
  <c r="A1137" i="25"/>
  <c r="K1137" i="25" s="1"/>
  <c r="A1136" i="25"/>
  <c r="I1136" i="25" s="1"/>
  <c r="A1135" i="25"/>
  <c r="K1135" i="25" s="1"/>
  <c r="A1134" i="25"/>
  <c r="I1134" i="25" s="1"/>
  <c r="A1133" i="25"/>
  <c r="K1133" i="25" s="1"/>
  <c r="A1132" i="25"/>
  <c r="I1132" i="25" s="1"/>
  <c r="A1131" i="25"/>
  <c r="K1131" i="25" s="1"/>
  <c r="A1130" i="25"/>
  <c r="I1130" i="25" s="1"/>
  <c r="CB14" i="34" l="1"/>
  <c r="CC15" i="34"/>
  <c r="I1147" i="25"/>
  <c r="G1130" i="25"/>
  <c r="F1135" i="25"/>
  <c r="H1135" i="25"/>
  <c r="J1130" i="25"/>
  <c r="F1143" i="25"/>
  <c r="I1143" i="25"/>
  <c r="H1131" i="25"/>
  <c r="I1135" i="25"/>
  <c r="J1147" i="25"/>
  <c r="I1131" i="25"/>
  <c r="L1182" i="25"/>
  <c r="M1182" i="25" s="1"/>
  <c r="N1182" i="25" s="1"/>
  <c r="L1165" i="25"/>
  <c r="M1165" i="25" s="1"/>
  <c r="N1165" i="25" s="1"/>
  <c r="L1174" i="25"/>
  <c r="M1174" i="25" s="1"/>
  <c r="N1174" i="25" s="1"/>
  <c r="L1166" i="25"/>
  <c r="M1166" i="25" s="1"/>
  <c r="N1166" i="25" s="1"/>
  <c r="G1134" i="25"/>
  <c r="J1134" i="25"/>
  <c r="J1149" i="25"/>
  <c r="G1138" i="25"/>
  <c r="H1139" i="25"/>
  <c r="F1131" i="25"/>
  <c r="J1138" i="25"/>
  <c r="I1139" i="25"/>
  <c r="G1144" i="25"/>
  <c r="F1147" i="25"/>
  <c r="F1139" i="25"/>
  <c r="F1149" i="25"/>
  <c r="I1151" i="25"/>
  <c r="L1180" i="25"/>
  <c r="M1180" i="25" s="1"/>
  <c r="N1180" i="25" s="1"/>
  <c r="K1189" i="25"/>
  <c r="L1176" i="25"/>
  <c r="M1176" i="25" s="1"/>
  <c r="N1176" i="25" s="1"/>
  <c r="L1184" i="25"/>
  <c r="M1184" i="25" s="1"/>
  <c r="N1184" i="25" s="1"/>
  <c r="L1168" i="25"/>
  <c r="M1168" i="25" s="1"/>
  <c r="N1168" i="25" s="1"/>
  <c r="L1183" i="25"/>
  <c r="M1183" i="25" s="1"/>
  <c r="N1183" i="25" s="1"/>
  <c r="G1189" i="25"/>
  <c r="L1173" i="25"/>
  <c r="M1173" i="25" s="1"/>
  <c r="N1173" i="25" s="1"/>
  <c r="J1189" i="25"/>
  <c r="L1186" i="25"/>
  <c r="M1186" i="25" s="1"/>
  <c r="N1186" i="25" s="1"/>
  <c r="I1189" i="25"/>
  <c r="L1188" i="25"/>
  <c r="M1188" i="25" s="1"/>
  <c r="N1188" i="25" s="1"/>
  <c r="L1167" i="25"/>
  <c r="M1167" i="25" s="1"/>
  <c r="N1167" i="25" s="1"/>
  <c r="L1187" i="25"/>
  <c r="M1187" i="25" s="1"/>
  <c r="N1187" i="25" s="1"/>
  <c r="F1189" i="25"/>
  <c r="L1164" i="25"/>
  <c r="M1164" i="25" s="1"/>
  <c r="N1164" i="25" s="1"/>
  <c r="L1170" i="25"/>
  <c r="M1170" i="25" s="1"/>
  <c r="N1170" i="25" s="1"/>
  <c r="L1169" i="25"/>
  <c r="M1169" i="25" s="1"/>
  <c r="N1169" i="25" s="1"/>
  <c r="L1175" i="25"/>
  <c r="M1175" i="25" s="1"/>
  <c r="N1175" i="25" s="1"/>
  <c r="H1189" i="25"/>
  <c r="L1178" i="25"/>
  <c r="M1178" i="25" s="1"/>
  <c r="N1178" i="25" s="1"/>
  <c r="L1171" i="25"/>
  <c r="M1171" i="25" s="1"/>
  <c r="N1171" i="25" s="1"/>
  <c r="L1177" i="25"/>
  <c r="M1177" i="25" s="1"/>
  <c r="N1177" i="25" s="1"/>
  <c r="L1185" i="25"/>
  <c r="M1185" i="25" s="1"/>
  <c r="N1185" i="25" s="1"/>
  <c r="L1181" i="25"/>
  <c r="M1181" i="25" s="1"/>
  <c r="N1181" i="25" s="1"/>
  <c r="L1172" i="25"/>
  <c r="M1172" i="25" s="1"/>
  <c r="N1172" i="25" s="1"/>
  <c r="L1179" i="25"/>
  <c r="M1179" i="25" s="1"/>
  <c r="N1179" i="25" s="1"/>
  <c r="I1133" i="25"/>
  <c r="I1137" i="25"/>
  <c r="I1141" i="25"/>
  <c r="I1145" i="25"/>
  <c r="H1146" i="25"/>
  <c r="I1153" i="25"/>
  <c r="J1145" i="25"/>
  <c r="I1149" i="25"/>
  <c r="F1151" i="25"/>
  <c r="H1152" i="25"/>
  <c r="J1153" i="25"/>
  <c r="J1137" i="25"/>
  <c r="K1130" i="25"/>
  <c r="K1134" i="25"/>
  <c r="K1138" i="25"/>
  <c r="J1133" i="25"/>
  <c r="J1141" i="25"/>
  <c r="F1133" i="25"/>
  <c r="F1137" i="25"/>
  <c r="F1141" i="25"/>
  <c r="F1130" i="25"/>
  <c r="J1131" i="25"/>
  <c r="H1133" i="25"/>
  <c r="F1134" i="25"/>
  <c r="J1135" i="25"/>
  <c r="H1137" i="25"/>
  <c r="F1138" i="25"/>
  <c r="J1139" i="25"/>
  <c r="H1141" i="25"/>
  <c r="J1143" i="25"/>
  <c r="F1145" i="25"/>
  <c r="J1151" i="25"/>
  <c r="F1153" i="25"/>
  <c r="H1154" i="25"/>
  <c r="H1136" i="25"/>
  <c r="F1140" i="25"/>
  <c r="J1142" i="25"/>
  <c r="F1142" i="25"/>
  <c r="I1142" i="25"/>
  <c r="J1148" i="25"/>
  <c r="F1148" i="25"/>
  <c r="I1148" i="25"/>
  <c r="K1148" i="25"/>
  <c r="J1150" i="25"/>
  <c r="F1150" i="25"/>
  <c r="I1150" i="25"/>
  <c r="K1150" i="25"/>
  <c r="J1132" i="25"/>
  <c r="J1136" i="25"/>
  <c r="H1130" i="25"/>
  <c r="F1132" i="25"/>
  <c r="K1132" i="25"/>
  <c r="H1134" i="25"/>
  <c r="F1136" i="25"/>
  <c r="K1136" i="25"/>
  <c r="H1138" i="25"/>
  <c r="G1142" i="25"/>
  <c r="J1146" i="25"/>
  <c r="F1146" i="25"/>
  <c r="I1146" i="25"/>
  <c r="K1146" i="25"/>
  <c r="G1150" i="25"/>
  <c r="H1132" i="25"/>
  <c r="I1140" i="25"/>
  <c r="H1140" i="25"/>
  <c r="K1140" i="25"/>
  <c r="G1132" i="25"/>
  <c r="G1136" i="25"/>
  <c r="J1140" i="25"/>
  <c r="H1142" i="25"/>
  <c r="J1144" i="25"/>
  <c r="F1144" i="25"/>
  <c r="I1144" i="25"/>
  <c r="K1144" i="25"/>
  <c r="G1148" i="25"/>
  <c r="H1150" i="25"/>
  <c r="G1143" i="25"/>
  <c r="K1143" i="25"/>
  <c r="G1145" i="25"/>
  <c r="K1145" i="25"/>
  <c r="G1147" i="25"/>
  <c r="K1147" i="25"/>
  <c r="G1149" i="25"/>
  <c r="K1149" i="25"/>
  <c r="G1151" i="25"/>
  <c r="K1151" i="25"/>
  <c r="I1152" i="25"/>
  <c r="G1153" i="25"/>
  <c r="K1153" i="25"/>
  <c r="I1154" i="25"/>
  <c r="G1131" i="25"/>
  <c r="G1133" i="25"/>
  <c r="G1135" i="25"/>
  <c r="G1137" i="25"/>
  <c r="G1139" i="25"/>
  <c r="G1141" i="25"/>
  <c r="F1152" i="25"/>
  <c r="J1152" i="25"/>
  <c r="F1154" i="25"/>
  <c r="J1154" i="25"/>
  <c r="G1152" i="25"/>
  <c r="G1154" i="25"/>
  <c r="CD62" i="33"/>
  <c r="CD36" i="33"/>
  <c r="CC14" i="34" l="1"/>
  <c r="CD15" i="34"/>
  <c r="L1131" i="25"/>
  <c r="M1131" i="25" s="1"/>
  <c r="N1131" i="25" s="1"/>
  <c r="L1134" i="25"/>
  <c r="M1134" i="25" s="1"/>
  <c r="N1134" i="25" s="1"/>
  <c r="L1139" i="25"/>
  <c r="M1139" i="25" s="1"/>
  <c r="N1139" i="25" s="1"/>
  <c r="L1137" i="25"/>
  <c r="M1137" i="25" s="1"/>
  <c r="N1137" i="25" s="1"/>
  <c r="L1135" i="25"/>
  <c r="M1135" i="25" s="1"/>
  <c r="N1135" i="25" s="1"/>
  <c r="C1175" i="25"/>
  <c r="C1170" i="25"/>
  <c r="C1180" i="25"/>
  <c r="C1183" i="25"/>
  <c r="C1185" i="25"/>
  <c r="C1169" i="25"/>
  <c r="C1164" i="25"/>
  <c r="C1188" i="25"/>
  <c r="C1184" i="25"/>
  <c r="C1182" i="25"/>
  <c r="L1189" i="25"/>
  <c r="M1189" i="25" s="1"/>
  <c r="N1189" i="25" s="1"/>
  <c r="C1179" i="25" s="1"/>
  <c r="C1167" i="25"/>
  <c r="C1165" i="25"/>
  <c r="C1168" i="25"/>
  <c r="C1166" i="25"/>
  <c r="L1138" i="25"/>
  <c r="M1138" i="25" s="1"/>
  <c r="N1138" i="25" s="1"/>
  <c r="C1181" i="25"/>
  <c r="C1186" i="25"/>
  <c r="C1174" i="25"/>
  <c r="C1176" i="25"/>
  <c r="L1141" i="25"/>
  <c r="M1141" i="25" s="1"/>
  <c r="N1141" i="25" s="1"/>
  <c r="L1133" i="25"/>
  <c r="M1133" i="25" s="1"/>
  <c r="N1133" i="25" s="1"/>
  <c r="L1130" i="25"/>
  <c r="M1130" i="25" s="1"/>
  <c r="N1130" i="25" s="1"/>
  <c r="L1151" i="25"/>
  <c r="M1151" i="25" s="1"/>
  <c r="N1151" i="25" s="1"/>
  <c r="L1147" i="25"/>
  <c r="M1147" i="25" s="1"/>
  <c r="N1147" i="25" s="1"/>
  <c r="L1143" i="25"/>
  <c r="M1143" i="25" s="1"/>
  <c r="N1143" i="25" s="1"/>
  <c r="L1153" i="25"/>
  <c r="M1153" i="25" s="1"/>
  <c r="N1153" i="25" s="1"/>
  <c r="K1155" i="25"/>
  <c r="L1149" i="25"/>
  <c r="M1149" i="25" s="1"/>
  <c r="N1149" i="25" s="1"/>
  <c r="L1145" i="25"/>
  <c r="M1145" i="25" s="1"/>
  <c r="N1145" i="25" s="1"/>
  <c r="I1155" i="25"/>
  <c r="J1155" i="25"/>
  <c r="L1142" i="25"/>
  <c r="M1142" i="25" s="1"/>
  <c r="N1142" i="25" s="1"/>
  <c r="L1152" i="25"/>
  <c r="M1152" i="25" s="1"/>
  <c r="N1152" i="25" s="1"/>
  <c r="L1146" i="25"/>
  <c r="M1146" i="25" s="1"/>
  <c r="N1146" i="25" s="1"/>
  <c r="L1148" i="25"/>
  <c r="M1148" i="25" s="1"/>
  <c r="N1148" i="25" s="1"/>
  <c r="L1132" i="25"/>
  <c r="M1132" i="25" s="1"/>
  <c r="N1132" i="25" s="1"/>
  <c r="L1150" i="25"/>
  <c r="M1150" i="25" s="1"/>
  <c r="N1150" i="25" s="1"/>
  <c r="L1140" i="25"/>
  <c r="M1140" i="25" s="1"/>
  <c r="N1140" i="25" s="1"/>
  <c r="L1154" i="25"/>
  <c r="M1154" i="25" s="1"/>
  <c r="N1154" i="25" s="1"/>
  <c r="L1144" i="25"/>
  <c r="M1144" i="25" s="1"/>
  <c r="N1144" i="25" s="1"/>
  <c r="F1155" i="25"/>
  <c r="L1136" i="25"/>
  <c r="M1136" i="25" s="1"/>
  <c r="N1136" i="25" s="1"/>
  <c r="H1155" i="25"/>
  <c r="G1155" i="25"/>
  <c r="BZ150" i="9"/>
  <c r="BZ149" i="9"/>
  <c r="BZ145" i="9"/>
  <c r="BZ144" i="9"/>
  <c r="BZ140" i="9"/>
  <c r="CA141" i="9" s="1"/>
  <c r="BZ139" i="9"/>
  <c r="BZ135" i="9"/>
  <c r="BZ134" i="9"/>
  <c r="BZ130" i="9"/>
  <c r="BZ129" i="9"/>
  <c r="BZ125" i="9"/>
  <c r="BZ124" i="9"/>
  <c r="BZ120" i="9"/>
  <c r="CA121" i="9" s="1"/>
  <c r="BZ119" i="9"/>
  <c r="BZ115" i="9"/>
  <c r="BZ114" i="9"/>
  <c r="BZ110" i="9"/>
  <c r="BZ109" i="9"/>
  <c r="BZ105" i="9"/>
  <c r="BZ104" i="9"/>
  <c r="BZ100" i="9"/>
  <c r="CA101" i="9" s="1"/>
  <c r="BZ99" i="9"/>
  <c r="BZ95" i="9"/>
  <c r="BZ94" i="9"/>
  <c r="BZ90" i="9"/>
  <c r="BZ89" i="9"/>
  <c r="BZ85" i="9"/>
  <c r="BZ84" i="9"/>
  <c r="BZ80" i="9"/>
  <c r="CA81" i="9" s="1"/>
  <c r="BZ79" i="9"/>
  <c r="BZ75" i="9"/>
  <c r="BZ74" i="9"/>
  <c r="BZ70" i="9"/>
  <c r="BZ69" i="9"/>
  <c r="BZ65" i="9"/>
  <c r="BZ64" i="9"/>
  <c r="BZ60" i="9"/>
  <c r="CA61" i="9" s="1"/>
  <c r="BZ59" i="9"/>
  <c r="BZ55" i="9"/>
  <c r="BZ54" i="9"/>
  <c r="BZ50" i="9"/>
  <c r="BZ49" i="9"/>
  <c r="BZ45" i="9"/>
  <c r="BZ44" i="9"/>
  <c r="BZ40" i="9"/>
  <c r="CA41" i="9" s="1"/>
  <c r="BZ39" i="9"/>
  <c r="BZ35" i="9"/>
  <c r="BZ34" i="9"/>
  <c r="BZ30" i="9"/>
  <c r="BZ29" i="9"/>
  <c r="A1120" i="25"/>
  <c r="K1120" i="25" s="1"/>
  <c r="A1119" i="25"/>
  <c r="H1119" i="25" s="1"/>
  <c r="A1118" i="25"/>
  <c r="H1118" i="25" s="1"/>
  <c r="A1117" i="25"/>
  <c r="H1117" i="25" s="1"/>
  <c r="A1116" i="25"/>
  <c r="H1116" i="25" s="1"/>
  <c r="A1115" i="25"/>
  <c r="H1115" i="25" s="1"/>
  <c r="A1114" i="25"/>
  <c r="H1114" i="25" s="1"/>
  <c r="A1113" i="25"/>
  <c r="H1113" i="25" s="1"/>
  <c r="A1112" i="25"/>
  <c r="H1112" i="25" s="1"/>
  <c r="A1111" i="25"/>
  <c r="H1111" i="25" s="1"/>
  <c r="A1110" i="25"/>
  <c r="H1110" i="25" s="1"/>
  <c r="A1109" i="25"/>
  <c r="H1109" i="25" s="1"/>
  <c r="A1108" i="25"/>
  <c r="K1108" i="25" s="1"/>
  <c r="A1107" i="25"/>
  <c r="K1107" i="25" s="1"/>
  <c r="A1106" i="25"/>
  <c r="A1105" i="25"/>
  <c r="K1105" i="25" s="1"/>
  <c r="A1104" i="25"/>
  <c r="I1104" i="25" s="1"/>
  <c r="A1103" i="25"/>
  <c r="K1103" i="25" s="1"/>
  <c r="A1102" i="25"/>
  <c r="I1102" i="25" s="1"/>
  <c r="A1101" i="25"/>
  <c r="K1101" i="25" s="1"/>
  <c r="A1100" i="25"/>
  <c r="I1100" i="25" s="1"/>
  <c r="A1099" i="25"/>
  <c r="K1099" i="25" s="1"/>
  <c r="A1098" i="25"/>
  <c r="I1098" i="25" s="1"/>
  <c r="A1097" i="25"/>
  <c r="K1097" i="25" s="1"/>
  <c r="A1096" i="25"/>
  <c r="I1096" i="25" s="1"/>
  <c r="CE15" i="34" l="1"/>
  <c r="CD14" i="34"/>
  <c r="G1104" i="25"/>
  <c r="K1104" i="25"/>
  <c r="I1109" i="25"/>
  <c r="H1105" i="25"/>
  <c r="F1107" i="25"/>
  <c r="I1105" i="25"/>
  <c r="I1099" i="25"/>
  <c r="F1113" i="25"/>
  <c r="F1104" i="25"/>
  <c r="F1105" i="25"/>
  <c r="F1109" i="25"/>
  <c r="F1111" i="25"/>
  <c r="I1113" i="25"/>
  <c r="H1120" i="25"/>
  <c r="F1099" i="25"/>
  <c r="F1100" i="25"/>
  <c r="H1101" i="25"/>
  <c r="G1114" i="25"/>
  <c r="F1117" i="25"/>
  <c r="F1119" i="25"/>
  <c r="F1101" i="25"/>
  <c r="I1103" i="25"/>
  <c r="G1112" i="25"/>
  <c r="H1099" i="25"/>
  <c r="G1100" i="25"/>
  <c r="I1117" i="25"/>
  <c r="M1161" i="25"/>
  <c r="C1178" i="25"/>
  <c r="C1171" i="25"/>
  <c r="C1173" i="25"/>
  <c r="C1177" i="25"/>
  <c r="C1187" i="25"/>
  <c r="C1172" i="25"/>
  <c r="CA51" i="9"/>
  <c r="CA86" i="9"/>
  <c r="CA96" i="9"/>
  <c r="CA131" i="9"/>
  <c r="J1103" i="25"/>
  <c r="G1096" i="25"/>
  <c r="H1097" i="25"/>
  <c r="J1099" i="25"/>
  <c r="K1100" i="25"/>
  <c r="I1101" i="25"/>
  <c r="F1103" i="25"/>
  <c r="J1105" i="25"/>
  <c r="H1107" i="25"/>
  <c r="H1108" i="25"/>
  <c r="J1109" i="25"/>
  <c r="I1111" i="25"/>
  <c r="J1113" i="25"/>
  <c r="F1115" i="25"/>
  <c r="J1117" i="25"/>
  <c r="I1119" i="25"/>
  <c r="CA36" i="9"/>
  <c r="CA71" i="9"/>
  <c r="CA106" i="9"/>
  <c r="CA116" i="9"/>
  <c r="CA151" i="9"/>
  <c r="F1096" i="25"/>
  <c r="F1097" i="25"/>
  <c r="K1096" i="25"/>
  <c r="I1097" i="25"/>
  <c r="J1101" i="25"/>
  <c r="H1103" i="25"/>
  <c r="I1107" i="25"/>
  <c r="J1111" i="25"/>
  <c r="I1115" i="25"/>
  <c r="J1119" i="25"/>
  <c r="CA46" i="9"/>
  <c r="CA56" i="9"/>
  <c r="CA91" i="9"/>
  <c r="CA126" i="9"/>
  <c r="CA136" i="9"/>
  <c r="J1097" i="25"/>
  <c r="J1107" i="25"/>
  <c r="J1115" i="25"/>
  <c r="CA31" i="9"/>
  <c r="CA66" i="9"/>
  <c r="CA76" i="9"/>
  <c r="CA111" i="9"/>
  <c r="CA146" i="9"/>
  <c r="C1141" i="25"/>
  <c r="C1142" i="25"/>
  <c r="C1154" i="25"/>
  <c r="C1148" i="25"/>
  <c r="C1151" i="25"/>
  <c r="C1140" i="25"/>
  <c r="C1146" i="25"/>
  <c r="C1150" i="25"/>
  <c r="C1152" i="25"/>
  <c r="C1149" i="25"/>
  <c r="C1147" i="25"/>
  <c r="C1136" i="25"/>
  <c r="L1155" i="25"/>
  <c r="M1127" i="25" s="1"/>
  <c r="C1133" i="25"/>
  <c r="C1131" i="25"/>
  <c r="C1135" i="25"/>
  <c r="C1132" i="25"/>
  <c r="C1130" i="25"/>
  <c r="C1134" i="25"/>
  <c r="H1102" i="25"/>
  <c r="I1106" i="25"/>
  <c r="H1106" i="25"/>
  <c r="J1106" i="25"/>
  <c r="J1098" i="25"/>
  <c r="J1102" i="25"/>
  <c r="K1106" i="25"/>
  <c r="J1116" i="25"/>
  <c r="F1116" i="25"/>
  <c r="I1116" i="25"/>
  <c r="K1116" i="25"/>
  <c r="F1098" i="25"/>
  <c r="K1098" i="25"/>
  <c r="H1100" i="25"/>
  <c r="F1102" i="25"/>
  <c r="K1102" i="25"/>
  <c r="H1104" i="25"/>
  <c r="F1106" i="25"/>
  <c r="J1108" i="25"/>
  <c r="F1108" i="25"/>
  <c r="I1108" i="25"/>
  <c r="G1110" i="25"/>
  <c r="J1114" i="25"/>
  <c r="F1114" i="25"/>
  <c r="I1114" i="25"/>
  <c r="K1114" i="25"/>
  <c r="G1118" i="25"/>
  <c r="H1096" i="25"/>
  <c r="J1096" i="25"/>
  <c r="G1098" i="25"/>
  <c r="J1100" i="25"/>
  <c r="G1102" i="25"/>
  <c r="J1104" i="25"/>
  <c r="G1106" i="25"/>
  <c r="G1108" i="25"/>
  <c r="J1112" i="25"/>
  <c r="F1112" i="25"/>
  <c r="I1112" i="25"/>
  <c r="K1112" i="25"/>
  <c r="G1116" i="25"/>
  <c r="H1098" i="25"/>
  <c r="J1110" i="25"/>
  <c r="F1110" i="25"/>
  <c r="I1110" i="25"/>
  <c r="K1110" i="25"/>
  <c r="J1118" i="25"/>
  <c r="F1118" i="25"/>
  <c r="I1118" i="25"/>
  <c r="K1118" i="25"/>
  <c r="G1109" i="25"/>
  <c r="K1109" i="25"/>
  <c r="G1111" i="25"/>
  <c r="K1111" i="25"/>
  <c r="G1113" i="25"/>
  <c r="K1113" i="25"/>
  <c r="G1115" i="25"/>
  <c r="K1115" i="25"/>
  <c r="G1117" i="25"/>
  <c r="K1117" i="25"/>
  <c r="G1119" i="25"/>
  <c r="K1119" i="25"/>
  <c r="I1120" i="25"/>
  <c r="G1097" i="25"/>
  <c r="G1099" i="25"/>
  <c r="G1101" i="25"/>
  <c r="G1103" i="25"/>
  <c r="G1105" i="25"/>
  <c r="G1107" i="25"/>
  <c r="F1120" i="25"/>
  <c r="J1120" i="25"/>
  <c r="G1120" i="25"/>
  <c r="CC62" i="33"/>
  <c r="CC36" i="33"/>
  <c r="BY150" i="9"/>
  <c r="BZ151" i="9" s="1"/>
  <c r="BY149" i="9"/>
  <c r="BY145" i="9"/>
  <c r="BY144" i="9"/>
  <c r="BY140" i="9"/>
  <c r="BZ141" i="9" s="1"/>
  <c r="BY139" i="9"/>
  <c r="BY135" i="9"/>
  <c r="BZ136" i="9" s="1"/>
  <c r="BY134" i="9"/>
  <c r="BY130" i="9"/>
  <c r="BZ131" i="9" s="1"/>
  <c r="BY129" i="9"/>
  <c r="BY125" i="9"/>
  <c r="BZ126" i="9" s="1"/>
  <c r="BY124" i="9"/>
  <c r="BY120" i="9"/>
  <c r="BY119" i="9"/>
  <c r="BY115" i="9"/>
  <c r="BY114" i="9"/>
  <c r="BY110" i="9"/>
  <c r="BZ111" i="9" s="1"/>
  <c r="BY109" i="9"/>
  <c r="BY105" i="9"/>
  <c r="BZ106" i="9" s="1"/>
  <c r="BY104" i="9"/>
  <c r="BY100" i="9"/>
  <c r="BY99" i="9"/>
  <c r="BY95" i="9"/>
  <c r="BY94" i="9"/>
  <c r="BY90" i="9"/>
  <c r="BZ91" i="9" s="1"/>
  <c r="BY89" i="9"/>
  <c r="BY85" i="9"/>
  <c r="BZ86" i="9" s="1"/>
  <c r="BY84" i="9"/>
  <c r="BY80" i="9"/>
  <c r="BY79" i="9"/>
  <c r="BY75" i="9"/>
  <c r="BY74" i="9"/>
  <c r="BY70" i="9"/>
  <c r="BY69" i="9"/>
  <c r="BY65" i="9"/>
  <c r="BZ66" i="9" s="1"/>
  <c r="BY64" i="9"/>
  <c r="BY60" i="9"/>
  <c r="BY59" i="9"/>
  <c r="BY55" i="9"/>
  <c r="BY54" i="9"/>
  <c r="BY50" i="9"/>
  <c r="BY49" i="9"/>
  <c r="BY45" i="9"/>
  <c r="BY44" i="9"/>
  <c r="BY40" i="9"/>
  <c r="BY39" i="9"/>
  <c r="BY35" i="9"/>
  <c r="BY34" i="9"/>
  <c r="BY30" i="9"/>
  <c r="BY29" i="9"/>
  <c r="A1086" i="25"/>
  <c r="K1086" i="25" s="1"/>
  <c r="A1085" i="25"/>
  <c r="H1085" i="25" s="1"/>
  <c r="A1084" i="25"/>
  <c r="K1084" i="25" s="1"/>
  <c r="A1083" i="25"/>
  <c r="H1083" i="25" s="1"/>
  <c r="A1082" i="25"/>
  <c r="G1082" i="25" s="1"/>
  <c r="A1081" i="25"/>
  <c r="H1081" i="25" s="1"/>
  <c r="A1080" i="25"/>
  <c r="H1080" i="25" s="1"/>
  <c r="A1079" i="25"/>
  <c r="H1079" i="25" s="1"/>
  <c r="A1078" i="25"/>
  <c r="H1078" i="25" s="1"/>
  <c r="A1077" i="25"/>
  <c r="H1077" i="25" s="1"/>
  <c r="A1076" i="25"/>
  <c r="H1076" i="25" s="1"/>
  <c r="A1075" i="25"/>
  <c r="H1075" i="25" s="1"/>
  <c r="A1074" i="25"/>
  <c r="K1074" i="25" s="1"/>
  <c r="A1073" i="25"/>
  <c r="K1073" i="25" s="1"/>
  <c r="A1072" i="25"/>
  <c r="A1071" i="25"/>
  <c r="K1071" i="25" s="1"/>
  <c r="A1070" i="25"/>
  <c r="I1070" i="25" s="1"/>
  <c r="A1069" i="25"/>
  <c r="K1069" i="25" s="1"/>
  <c r="A1068" i="25"/>
  <c r="I1068" i="25" s="1"/>
  <c r="A1067" i="25"/>
  <c r="K1067" i="25" s="1"/>
  <c r="A1066" i="25"/>
  <c r="I1066" i="25" s="1"/>
  <c r="A1065" i="25"/>
  <c r="K1065" i="25" s="1"/>
  <c r="A1064" i="25"/>
  <c r="I1064" i="25" s="1"/>
  <c r="A1063" i="25"/>
  <c r="K1063" i="25" s="1"/>
  <c r="A1062" i="25"/>
  <c r="I1062" i="25" s="1"/>
  <c r="CF15" i="34" l="1"/>
  <c r="CE14" i="34"/>
  <c r="I1071" i="25"/>
  <c r="I1069" i="25"/>
  <c r="H1073" i="25"/>
  <c r="F1067" i="25"/>
  <c r="F1069" i="25"/>
  <c r="F1081" i="25"/>
  <c r="I1065" i="25"/>
  <c r="I1067" i="25"/>
  <c r="H1069" i="25"/>
  <c r="F1071" i="25"/>
  <c r="F1073" i="25"/>
  <c r="J1079" i="25"/>
  <c r="J1081" i="25"/>
  <c r="L1099" i="25"/>
  <c r="M1099" i="25" s="1"/>
  <c r="N1099" i="25" s="1"/>
  <c r="L1105" i="25"/>
  <c r="M1105" i="25" s="1"/>
  <c r="N1105" i="25" s="1"/>
  <c r="I1075" i="25"/>
  <c r="F1063" i="25"/>
  <c r="F1065" i="25"/>
  <c r="I1073" i="25"/>
  <c r="F1079" i="25"/>
  <c r="I1063" i="25"/>
  <c r="H1065" i="25"/>
  <c r="I1079" i="25"/>
  <c r="L1103" i="25"/>
  <c r="M1103" i="25" s="1"/>
  <c r="N1103" i="25" s="1"/>
  <c r="L1101" i="25"/>
  <c r="M1101" i="25" s="1"/>
  <c r="N1101" i="25" s="1"/>
  <c r="L1107" i="25"/>
  <c r="M1107" i="25" s="1"/>
  <c r="N1107" i="25" s="1"/>
  <c r="F1062" i="25"/>
  <c r="J1063" i="25"/>
  <c r="F1066" i="25"/>
  <c r="J1067" i="25"/>
  <c r="F1070" i="25"/>
  <c r="J1071" i="25"/>
  <c r="J1075" i="25"/>
  <c r="F1077" i="25"/>
  <c r="G1078" i="25"/>
  <c r="J1083" i="25"/>
  <c r="F1085" i="25"/>
  <c r="H1086" i="25"/>
  <c r="BZ116" i="9"/>
  <c r="BZ71" i="9"/>
  <c r="K1062" i="25"/>
  <c r="I1085" i="25"/>
  <c r="BZ101" i="9"/>
  <c r="BZ81" i="9"/>
  <c r="BZ46" i="9"/>
  <c r="BZ61" i="9"/>
  <c r="G1062" i="25"/>
  <c r="G1066" i="25"/>
  <c r="G1070" i="25"/>
  <c r="I1077" i="25"/>
  <c r="J1062" i="25"/>
  <c r="H1063" i="25"/>
  <c r="J1065" i="25"/>
  <c r="J1066" i="25"/>
  <c r="H1067" i="25"/>
  <c r="J1069" i="25"/>
  <c r="J1070" i="25"/>
  <c r="H1071" i="25"/>
  <c r="J1073" i="25"/>
  <c r="F1075" i="25"/>
  <c r="G1076" i="25"/>
  <c r="J1077" i="25"/>
  <c r="I1081" i="25"/>
  <c r="F1083" i="25"/>
  <c r="H1084" i="25"/>
  <c r="J1085" i="25"/>
  <c r="BZ121" i="9"/>
  <c r="BZ146" i="9"/>
  <c r="K1066" i="25"/>
  <c r="K1070" i="25"/>
  <c r="I1083" i="25"/>
  <c r="BZ41" i="9"/>
  <c r="BZ76" i="9"/>
  <c r="BZ31" i="9"/>
  <c r="BZ56" i="9"/>
  <c r="BZ36" i="9"/>
  <c r="BZ96" i="9"/>
  <c r="BZ51" i="9"/>
  <c r="M1155" i="25"/>
  <c r="N1155" i="25" s="1"/>
  <c r="C1137" i="25" s="1"/>
  <c r="L1117" i="25"/>
  <c r="M1117" i="25" s="1"/>
  <c r="N1117" i="25" s="1"/>
  <c r="L1113" i="25"/>
  <c r="M1113" i="25" s="1"/>
  <c r="N1113" i="25" s="1"/>
  <c r="L1109" i="25"/>
  <c r="M1109" i="25" s="1"/>
  <c r="N1109" i="25" s="1"/>
  <c r="L1119" i="25"/>
  <c r="M1119" i="25" s="1"/>
  <c r="N1119" i="25" s="1"/>
  <c r="L1115" i="25"/>
  <c r="M1115" i="25" s="1"/>
  <c r="N1115" i="25" s="1"/>
  <c r="L1111" i="25"/>
  <c r="M1111" i="25" s="1"/>
  <c r="N1111" i="25" s="1"/>
  <c r="L1096" i="25"/>
  <c r="M1096" i="25" s="1"/>
  <c r="N1096" i="25" s="1"/>
  <c r="F1121" i="25"/>
  <c r="G1121" i="25"/>
  <c r="K1121" i="25"/>
  <c r="L1100" i="25"/>
  <c r="M1100" i="25" s="1"/>
  <c r="N1100" i="25" s="1"/>
  <c r="I1121" i="25"/>
  <c r="L1104" i="25"/>
  <c r="M1104" i="25" s="1"/>
  <c r="N1104" i="25" s="1"/>
  <c r="L1118" i="25"/>
  <c r="M1118" i="25" s="1"/>
  <c r="N1118" i="25" s="1"/>
  <c r="L1112" i="25"/>
  <c r="M1112" i="25" s="1"/>
  <c r="N1112" i="25" s="1"/>
  <c r="L1106" i="25"/>
  <c r="M1106" i="25" s="1"/>
  <c r="N1106" i="25" s="1"/>
  <c r="L1102" i="25"/>
  <c r="M1102" i="25" s="1"/>
  <c r="N1102" i="25" s="1"/>
  <c r="L1097" i="25"/>
  <c r="M1097" i="25" s="1"/>
  <c r="N1097" i="25" s="1"/>
  <c r="L1110" i="25"/>
  <c r="M1110" i="25" s="1"/>
  <c r="N1110" i="25" s="1"/>
  <c r="J1121" i="25"/>
  <c r="L1114" i="25"/>
  <c r="M1114" i="25" s="1"/>
  <c r="N1114" i="25" s="1"/>
  <c r="L1120" i="25"/>
  <c r="M1120" i="25" s="1"/>
  <c r="N1120" i="25" s="1"/>
  <c r="L1108" i="25"/>
  <c r="M1108" i="25" s="1"/>
  <c r="N1108" i="25" s="1"/>
  <c r="H1121" i="25"/>
  <c r="L1098" i="25"/>
  <c r="M1098" i="25" s="1"/>
  <c r="N1098" i="25" s="1"/>
  <c r="L1116" i="25"/>
  <c r="M1116" i="25" s="1"/>
  <c r="N1116" i="25" s="1"/>
  <c r="H1064" i="25"/>
  <c r="I1072" i="25"/>
  <c r="H1072" i="25"/>
  <c r="K1072" i="25"/>
  <c r="J1080" i="25"/>
  <c r="F1080" i="25"/>
  <c r="I1080" i="25"/>
  <c r="K1080" i="25"/>
  <c r="F1072" i="25"/>
  <c r="J1074" i="25"/>
  <c r="F1074" i="25"/>
  <c r="I1074" i="25"/>
  <c r="H1062" i="25"/>
  <c r="F1064" i="25"/>
  <c r="K1064" i="25"/>
  <c r="H1066" i="25"/>
  <c r="F1068" i="25"/>
  <c r="K1068" i="25"/>
  <c r="H1070" i="25"/>
  <c r="G1072" i="25"/>
  <c r="G1074" i="25"/>
  <c r="J1078" i="25"/>
  <c r="F1078" i="25"/>
  <c r="I1078" i="25"/>
  <c r="K1078" i="25"/>
  <c r="H1068" i="25"/>
  <c r="J1082" i="25"/>
  <c r="F1082" i="25"/>
  <c r="I1082" i="25"/>
  <c r="K1082" i="25"/>
  <c r="J1064" i="25"/>
  <c r="J1068" i="25"/>
  <c r="G1064" i="25"/>
  <c r="G1068" i="25"/>
  <c r="J1072" i="25"/>
  <c r="H1074" i="25"/>
  <c r="J1076" i="25"/>
  <c r="F1076" i="25"/>
  <c r="I1076" i="25"/>
  <c r="K1076" i="25"/>
  <c r="G1080" i="25"/>
  <c r="H1082" i="25"/>
  <c r="G1075" i="25"/>
  <c r="K1075" i="25"/>
  <c r="G1077" i="25"/>
  <c r="K1077" i="25"/>
  <c r="G1079" i="25"/>
  <c r="K1079" i="25"/>
  <c r="G1081" i="25"/>
  <c r="K1081" i="25"/>
  <c r="G1083" i="25"/>
  <c r="K1083" i="25"/>
  <c r="I1084" i="25"/>
  <c r="G1085" i="25"/>
  <c r="K1085" i="25"/>
  <c r="I1086" i="25"/>
  <c r="G1063" i="25"/>
  <c r="G1065" i="25"/>
  <c r="G1067" i="25"/>
  <c r="G1069" i="25"/>
  <c r="G1071" i="25"/>
  <c r="G1073" i="25"/>
  <c r="F1084" i="25"/>
  <c r="J1084" i="25"/>
  <c r="F1086" i="25"/>
  <c r="J1086" i="25"/>
  <c r="G1084" i="25"/>
  <c r="G1086" i="25"/>
  <c r="CF14" i="34" l="1"/>
  <c r="CG15" i="34"/>
  <c r="L1073" i="25"/>
  <c r="M1073" i="25" s="1"/>
  <c r="N1073" i="25" s="1"/>
  <c r="L1071" i="25"/>
  <c r="M1071" i="25" s="1"/>
  <c r="N1071" i="25" s="1"/>
  <c r="L1063" i="25"/>
  <c r="M1063" i="25" s="1"/>
  <c r="N1063" i="25" s="1"/>
  <c r="L1065" i="25"/>
  <c r="M1065" i="25" s="1"/>
  <c r="N1065" i="25" s="1"/>
  <c r="L1069" i="25"/>
  <c r="M1069" i="25" s="1"/>
  <c r="N1069" i="25" s="1"/>
  <c r="L1067" i="25"/>
  <c r="M1067" i="25" s="1"/>
  <c r="N1067" i="25" s="1"/>
  <c r="L1070" i="25"/>
  <c r="M1070" i="25" s="1"/>
  <c r="N1070" i="25" s="1"/>
  <c r="L1066" i="25"/>
  <c r="M1066" i="25" s="1"/>
  <c r="N1066" i="25" s="1"/>
  <c r="C1139" i="25"/>
  <c r="C1145" i="25"/>
  <c r="C1153" i="25"/>
  <c r="C1143" i="25"/>
  <c r="C1138" i="25"/>
  <c r="C1144" i="25"/>
  <c r="C1118" i="25"/>
  <c r="C1106" i="25"/>
  <c r="C1115" i="25"/>
  <c r="C1098" i="25"/>
  <c r="C1114" i="25"/>
  <c r="C1097" i="25"/>
  <c r="L1121" i="25"/>
  <c r="M1121" i="25" s="1"/>
  <c r="N1121" i="25" s="1"/>
  <c r="C1110" i="25" s="1"/>
  <c r="C1100" i="25"/>
  <c r="C1116" i="25"/>
  <c r="C1107" i="25"/>
  <c r="C1120" i="25"/>
  <c r="C1102" i="25"/>
  <c r="C1112" i="25"/>
  <c r="C1101" i="25"/>
  <c r="C1117" i="25"/>
  <c r="C1113" i="25"/>
  <c r="C1096" i="25"/>
  <c r="C1099" i="25"/>
  <c r="L1083" i="25"/>
  <c r="M1083" i="25" s="1"/>
  <c r="N1083" i="25" s="1"/>
  <c r="L1079" i="25"/>
  <c r="M1079" i="25" s="1"/>
  <c r="N1079" i="25" s="1"/>
  <c r="L1075" i="25"/>
  <c r="M1075" i="25" s="1"/>
  <c r="N1075" i="25" s="1"/>
  <c r="L1085" i="25"/>
  <c r="M1085" i="25" s="1"/>
  <c r="N1085" i="25" s="1"/>
  <c r="F1087" i="25"/>
  <c r="L1081" i="25"/>
  <c r="M1081" i="25" s="1"/>
  <c r="N1081" i="25" s="1"/>
  <c r="L1077" i="25"/>
  <c r="M1077" i="25" s="1"/>
  <c r="N1077" i="25" s="1"/>
  <c r="I1087" i="25"/>
  <c r="J1087" i="25"/>
  <c r="K1087" i="25"/>
  <c r="H1087" i="25"/>
  <c r="L1084" i="25"/>
  <c r="M1084" i="25" s="1"/>
  <c r="N1084" i="25" s="1"/>
  <c r="L1078" i="25"/>
  <c r="M1078" i="25" s="1"/>
  <c r="N1078" i="25" s="1"/>
  <c r="L1074" i="25"/>
  <c r="M1074" i="25" s="1"/>
  <c r="N1074" i="25" s="1"/>
  <c r="L1062" i="25"/>
  <c r="L1080" i="25"/>
  <c r="M1080" i="25" s="1"/>
  <c r="N1080" i="25" s="1"/>
  <c r="L1068" i="25"/>
  <c r="M1068" i="25" s="1"/>
  <c r="N1068" i="25" s="1"/>
  <c r="L1082" i="25"/>
  <c r="M1082" i="25" s="1"/>
  <c r="N1082" i="25" s="1"/>
  <c r="G1087" i="25"/>
  <c r="L1086" i="25"/>
  <c r="M1086" i="25" s="1"/>
  <c r="N1086" i="25" s="1"/>
  <c r="L1076" i="25"/>
  <c r="M1076" i="25" s="1"/>
  <c r="N1076" i="25" s="1"/>
  <c r="L1064" i="25"/>
  <c r="M1064" i="25" s="1"/>
  <c r="N1064" i="25" s="1"/>
  <c r="L1072" i="25"/>
  <c r="M1072" i="25" s="1"/>
  <c r="N1072" i="25" s="1"/>
  <c r="CB62" i="33"/>
  <c r="BX150" i="9"/>
  <c r="BY151" i="9" s="1"/>
  <c r="BX149" i="9"/>
  <c r="BX145" i="9"/>
  <c r="BY146" i="9" s="1"/>
  <c r="BX144" i="9"/>
  <c r="BX140" i="9"/>
  <c r="BY141" i="9" s="1"/>
  <c r="BX139" i="9"/>
  <c r="BX135" i="9"/>
  <c r="BY136" i="9" s="1"/>
  <c r="BX134" i="9"/>
  <c r="BX130" i="9"/>
  <c r="BY131" i="9" s="1"/>
  <c r="BX129" i="9"/>
  <c r="BX125" i="9"/>
  <c r="BY126" i="9" s="1"/>
  <c r="BX124" i="9"/>
  <c r="BX120" i="9"/>
  <c r="BY121" i="9" s="1"/>
  <c r="BX119" i="9"/>
  <c r="BX115" i="9"/>
  <c r="BY116" i="9" s="1"/>
  <c r="BX114" i="9"/>
  <c r="BX110" i="9"/>
  <c r="BY111" i="9" s="1"/>
  <c r="BX109" i="9"/>
  <c r="BX105" i="9"/>
  <c r="BY106" i="9" s="1"/>
  <c r="BX104" i="9"/>
  <c r="BX100" i="9"/>
  <c r="BY101" i="9" s="1"/>
  <c r="BX99" i="9"/>
  <c r="BX95" i="9"/>
  <c r="BY96" i="9" s="1"/>
  <c r="BX94" i="9"/>
  <c r="BX90" i="9"/>
  <c r="BY91" i="9" s="1"/>
  <c r="BX89" i="9"/>
  <c r="BX85" i="9"/>
  <c r="BY86" i="9" s="1"/>
  <c r="BX84" i="9"/>
  <c r="BX80" i="9"/>
  <c r="BY81" i="9" s="1"/>
  <c r="BX79" i="9"/>
  <c r="BX75" i="9"/>
  <c r="BY76" i="9" s="1"/>
  <c r="BX74" i="9"/>
  <c r="BX70" i="9"/>
  <c r="BY71" i="9" s="1"/>
  <c r="BX69" i="9"/>
  <c r="BX65" i="9"/>
  <c r="BY66" i="9" s="1"/>
  <c r="BX64" i="9"/>
  <c r="BX60" i="9"/>
  <c r="BY61" i="9" s="1"/>
  <c r="BX59" i="9"/>
  <c r="BX55" i="9"/>
  <c r="BY56" i="9" s="1"/>
  <c r="BX54" i="9"/>
  <c r="BX50" i="9"/>
  <c r="BY51" i="9" s="1"/>
  <c r="BX49" i="9"/>
  <c r="BX45" i="9"/>
  <c r="BY46" i="9" s="1"/>
  <c r="BX44" i="9"/>
  <c r="BX40" i="9"/>
  <c r="BY41" i="9" s="1"/>
  <c r="BX39" i="9"/>
  <c r="BX35" i="9"/>
  <c r="BY36" i="9" s="1"/>
  <c r="BX34" i="9"/>
  <c r="BX30" i="9"/>
  <c r="BY31" i="9" s="1"/>
  <c r="BX29" i="9"/>
  <c r="A1052" i="25"/>
  <c r="K1052" i="25" s="1"/>
  <c r="A1051" i="25"/>
  <c r="H1051" i="25" s="1"/>
  <c r="A1050" i="25"/>
  <c r="H1050" i="25" s="1"/>
  <c r="A1049" i="25"/>
  <c r="H1049" i="25" s="1"/>
  <c r="A1048" i="25"/>
  <c r="K1048" i="25" s="1"/>
  <c r="A1047" i="25"/>
  <c r="H1047" i="25" s="1"/>
  <c r="A1046" i="25"/>
  <c r="K1046" i="25" s="1"/>
  <c r="A1045" i="25"/>
  <c r="H1045" i="25" s="1"/>
  <c r="A1044" i="25"/>
  <c r="G1044" i="25" s="1"/>
  <c r="A1043" i="25"/>
  <c r="H1043" i="25" s="1"/>
  <c r="A1042" i="25"/>
  <c r="A1041" i="25"/>
  <c r="H1041" i="25" s="1"/>
  <c r="A1040" i="25"/>
  <c r="I1040" i="25" s="1"/>
  <c r="A1039" i="25"/>
  <c r="H1039" i="25" s="1"/>
  <c r="A1038" i="25"/>
  <c r="K1038" i="25" s="1"/>
  <c r="A1037" i="25"/>
  <c r="H1037" i="25" s="1"/>
  <c r="A1036" i="25"/>
  <c r="G1036" i="25" s="1"/>
  <c r="A1035" i="25"/>
  <c r="H1035" i="25" s="1"/>
  <c r="A1034" i="25"/>
  <c r="A1033" i="25"/>
  <c r="H1033" i="25" s="1"/>
  <c r="A1032" i="25"/>
  <c r="K1032" i="25" s="1"/>
  <c r="A1031" i="25"/>
  <c r="H1031" i="25" s="1"/>
  <c r="A1030" i="25"/>
  <c r="G1030" i="25" s="1"/>
  <c r="A1029" i="25"/>
  <c r="H1029" i="25" s="1"/>
  <c r="A1028" i="25"/>
  <c r="J1028" i="25" s="1"/>
  <c r="CG14" i="34" l="1"/>
  <c r="CH15" i="34"/>
  <c r="I1029" i="25"/>
  <c r="G1039" i="25"/>
  <c r="G1046" i="25"/>
  <c r="G1048" i="25"/>
  <c r="J1029" i="25"/>
  <c r="G1032" i="25"/>
  <c r="F1033" i="25"/>
  <c r="K1030" i="25"/>
  <c r="I1032" i="25"/>
  <c r="G1033" i="25"/>
  <c r="F1035" i="25"/>
  <c r="G1038" i="25"/>
  <c r="G1043" i="25"/>
  <c r="F1049" i="25"/>
  <c r="F1043" i="25"/>
  <c r="K1033" i="25"/>
  <c r="J1043" i="25"/>
  <c r="C1111" i="25"/>
  <c r="M1093" i="25"/>
  <c r="C1109" i="25"/>
  <c r="C1103" i="25"/>
  <c r="C1105" i="25"/>
  <c r="C1104" i="25"/>
  <c r="C1119" i="25"/>
  <c r="L1087" i="25"/>
  <c r="M1087" i="25" s="1"/>
  <c r="N1087" i="25" s="1"/>
  <c r="C1069" i="25" s="1"/>
  <c r="M1062" i="25"/>
  <c r="N1062" i="25" s="1"/>
  <c r="K1035" i="25"/>
  <c r="K1040" i="25"/>
  <c r="K1041" i="25"/>
  <c r="I1048" i="25"/>
  <c r="I1049" i="25"/>
  <c r="F1051" i="25"/>
  <c r="H1052" i="25"/>
  <c r="K1043" i="25"/>
  <c r="G1047" i="25"/>
  <c r="J1049" i="25"/>
  <c r="I1051" i="25"/>
  <c r="G1031" i="25"/>
  <c r="G1035" i="25"/>
  <c r="G1040" i="25"/>
  <c r="F1041" i="25"/>
  <c r="F1029" i="25"/>
  <c r="J1035" i="25"/>
  <c r="G1041" i="25"/>
  <c r="J1051" i="25"/>
  <c r="J1034" i="25"/>
  <c r="F1034" i="25"/>
  <c r="H1034" i="25"/>
  <c r="J1042" i="25"/>
  <c r="F1042" i="25"/>
  <c r="H1042" i="25"/>
  <c r="H1028" i="25"/>
  <c r="I1034" i="25"/>
  <c r="I1039" i="25"/>
  <c r="J1044" i="25"/>
  <c r="F1044" i="25"/>
  <c r="H1044" i="25"/>
  <c r="J1045" i="25"/>
  <c r="I1047" i="25"/>
  <c r="I1031" i="25"/>
  <c r="I1042" i="25"/>
  <c r="I1028" i="25"/>
  <c r="G1029" i="25"/>
  <c r="K1029" i="25"/>
  <c r="J1030" i="25"/>
  <c r="F1030" i="25"/>
  <c r="H1030" i="25"/>
  <c r="J1031" i="25"/>
  <c r="I1033" i="25"/>
  <c r="K1034" i="25"/>
  <c r="I1044" i="25"/>
  <c r="F1045" i="25"/>
  <c r="K1045" i="25"/>
  <c r="J1046" i="25"/>
  <c r="F1046" i="25"/>
  <c r="H1046" i="25"/>
  <c r="J1047" i="25"/>
  <c r="G1050" i="25"/>
  <c r="G1028" i="25"/>
  <c r="K1028" i="25"/>
  <c r="J1036" i="25"/>
  <c r="F1036" i="25"/>
  <c r="H1036" i="25"/>
  <c r="J1037" i="25"/>
  <c r="I1036" i="25"/>
  <c r="F1037" i="25"/>
  <c r="K1037" i="25"/>
  <c r="J1038" i="25"/>
  <c r="F1038" i="25"/>
  <c r="H1038" i="25"/>
  <c r="J1039" i="25"/>
  <c r="I1041" i="25"/>
  <c r="K1042" i="25"/>
  <c r="F1028" i="25"/>
  <c r="I1030" i="25"/>
  <c r="F1031" i="25"/>
  <c r="K1031" i="25"/>
  <c r="J1032" i="25"/>
  <c r="F1032" i="25"/>
  <c r="H1032" i="25"/>
  <c r="J1033" i="25"/>
  <c r="G1034" i="25"/>
  <c r="I1035" i="25"/>
  <c r="K1036" i="25"/>
  <c r="G1037" i="25"/>
  <c r="I1038" i="25"/>
  <c r="F1039" i="25"/>
  <c r="K1039" i="25"/>
  <c r="J1040" i="25"/>
  <c r="F1040" i="25"/>
  <c r="H1040" i="25"/>
  <c r="J1041" i="25"/>
  <c r="G1042" i="25"/>
  <c r="I1043" i="25"/>
  <c r="K1044" i="25"/>
  <c r="G1045" i="25"/>
  <c r="I1046" i="25"/>
  <c r="F1047" i="25"/>
  <c r="K1047" i="25"/>
  <c r="J1048" i="25"/>
  <c r="F1048" i="25"/>
  <c r="H1048" i="25"/>
  <c r="I1037" i="25"/>
  <c r="I1045" i="25"/>
  <c r="J1050" i="25"/>
  <c r="F1050" i="25"/>
  <c r="I1050" i="25"/>
  <c r="K1050" i="25"/>
  <c r="G1049" i="25"/>
  <c r="K1049" i="25"/>
  <c r="G1051" i="25"/>
  <c r="K1051" i="25"/>
  <c r="I1052" i="25"/>
  <c r="F1052" i="25"/>
  <c r="J1052" i="25"/>
  <c r="G1052" i="25"/>
  <c r="CA62" i="33"/>
  <c r="BW150" i="9"/>
  <c r="BX151" i="9" s="1"/>
  <c r="BW149" i="9"/>
  <c r="BW145" i="9"/>
  <c r="BX146" i="9" s="1"/>
  <c r="BW144" i="9"/>
  <c r="BW140" i="9"/>
  <c r="BX141" i="9" s="1"/>
  <c r="BW139" i="9"/>
  <c r="BW135" i="9"/>
  <c r="BX136" i="9" s="1"/>
  <c r="BW134" i="9"/>
  <c r="BW130" i="9"/>
  <c r="BX131" i="9" s="1"/>
  <c r="BW129" i="9"/>
  <c r="BW125" i="9"/>
  <c r="BX126" i="9" s="1"/>
  <c r="BW124" i="9"/>
  <c r="BW120" i="9"/>
  <c r="BX121" i="9" s="1"/>
  <c r="BW119" i="9"/>
  <c r="BW115" i="9"/>
  <c r="BX116" i="9" s="1"/>
  <c r="BW114" i="9"/>
  <c r="BW110" i="9"/>
  <c r="BX111" i="9" s="1"/>
  <c r="BW109" i="9"/>
  <c r="BW105" i="9"/>
  <c r="BX106" i="9" s="1"/>
  <c r="BW104" i="9"/>
  <c r="BW100" i="9"/>
  <c r="BX101" i="9" s="1"/>
  <c r="BW99" i="9"/>
  <c r="BW95" i="9"/>
  <c r="BX96" i="9" s="1"/>
  <c r="BW94" i="9"/>
  <c r="BW90" i="9"/>
  <c r="BX91" i="9" s="1"/>
  <c r="BW89" i="9"/>
  <c r="BW85" i="9"/>
  <c r="BX86" i="9" s="1"/>
  <c r="BW84" i="9"/>
  <c r="BW80" i="9"/>
  <c r="BX81" i="9" s="1"/>
  <c r="BW79" i="9"/>
  <c r="BW75" i="9"/>
  <c r="BX76" i="9" s="1"/>
  <c r="BW74" i="9"/>
  <c r="BW70" i="9"/>
  <c r="BX71" i="9" s="1"/>
  <c r="BW69" i="9"/>
  <c r="BW65" i="9"/>
  <c r="BX66" i="9" s="1"/>
  <c r="BW64" i="9"/>
  <c r="BW60" i="9"/>
  <c r="BX61" i="9" s="1"/>
  <c r="BW59" i="9"/>
  <c r="BW55" i="9"/>
  <c r="BX56" i="9" s="1"/>
  <c r="BW54" i="9"/>
  <c r="BW50" i="9"/>
  <c r="BX51" i="9" s="1"/>
  <c r="BW49" i="9"/>
  <c r="BW45" i="9"/>
  <c r="BX46" i="9" s="1"/>
  <c r="BW44" i="9"/>
  <c r="BW40" i="9"/>
  <c r="BX41" i="9" s="1"/>
  <c r="BW39" i="9"/>
  <c r="BW35" i="9"/>
  <c r="BX36" i="9" s="1"/>
  <c r="BW34" i="9"/>
  <c r="BW30" i="9"/>
  <c r="BX31" i="9" s="1"/>
  <c r="BW29" i="9"/>
  <c r="A1018" i="25"/>
  <c r="K1018" i="25" s="1"/>
  <c r="A1017" i="25"/>
  <c r="H1017" i="25" s="1"/>
  <c r="A1016" i="25"/>
  <c r="H1016" i="25" s="1"/>
  <c r="A1015" i="25"/>
  <c r="H1015" i="25" s="1"/>
  <c r="A1014" i="25"/>
  <c r="A1013" i="25"/>
  <c r="H1013" i="25" s="1"/>
  <c r="A1012" i="25"/>
  <c r="K1012" i="25" s="1"/>
  <c r="A1011" i="25"/>
  <c r="H1011" i="25" s="1"/>
  <c r="A1010" i="25"/>
  <c r="G1010" i="25" s="1"/>
  <c r="A1009" i="25"/>
  <c r="H1009" i="25" s="1"/>
  <c r="A1008" i="25"/>
  <c r="A1007" i="25"/>
  <c r="H1007" i="25" s="1"/>
  <c r="A1006" i="25"/>
  <c r="G1006" i="25" s="1"/>
  <c r="A1005" i="25"/>
  <c r="H1005" i="25" s="1"/>
  <c r="A1004" i="25"/>
  <c r="G1004" i="25" s="1"/>
  <c r="A1003" i="25"/>
  <c r="H1003" i="25" s="1"/>
  <c r="A1002" i="25"/>
  <c r="G1002" i="25" s="1"/>
  <c r="A1001" i="25"/>
  <c r="H1001" i="25" s="1"/>
  <c r="A1000" i="25"/>
  <c r="A999" i="25"/>
  <c r="H999" i="25" s="1"/>
  <c r="A998" i="25"/>
  <c r="G998" i="25" s="1"/>
  <c r="A997" i="25"/>
  <c r="H997" i="25" s="1"/>
  <c r="A996" i="25"/>
  <c r="K996" i="25" s="1"/>
  <c r="A995" i="25"/>
  <c r="K995" i="25" s="1"/>
  <c r="A994" i="25"/>
  <c r="I994" i="25" s="1"/>
  <c r="CI15" i="34" l="1"/>
  <c r="CH14" i="34"/>
  <c r="H995" i="25"/>
  <c r="G996" i="25"/>
  <c r="I996" i="25"/>
  <c r="F995" i="25"/>
  <c r="I995" i="25"/>
  <c r="I1012" i="25"/>
  <c r="L1033" i="25"/>
  <c r="M1033" i="25" s="1"/>
  <c r="N1033" i="25" s="1"/>
  <c r="K1010" i="25"/>
  <c r="J999" i="25"/>
  <c r="L1035" i="25"/>
  <c r="M1035" i="25" s="1"/>
  <c r="N1035" i="25" s="1"/>
  <c r="L1043" i="25"/>
  <c r="M1043" i="25" s="1"/>
  <c r="N1043" i="25" s="1"/>
  <c r="G997" i="25"/>
  <c r="M1059" i="25"/>
  <c r="C1075" i="25"/>
  <c r="C1062" i="25"/>
  <c r="C1065" i="25"/>
  <c r="C1063" i="25"/>
  <c r="C1067" i="25"/>
  <c r="C1081" i="25"/>
  <c r="C1083" i="25"/>
  <c r="C1073" i="25"/>
  <c r="C1066" i="25"/>
  <c r="C1079" i="25"/>
  <c r="C1080" i="25"/>
  <c r="C1086" i="25"/>
  <c r="C1072" i="25"/>
  <c r="C1076" i="25"/>
  <c r="C1070" i="25"/>
  <c r="C1084" i="25"/>
  <c r="C1071" i="25"/>
  <c r="C1077" i="25"/>
  <c r="C1085" i="25"/>
  <c r="C1078" i="25"/>
  <c r="C1082" i="25"/>
  <c r="C1068" i="25"/>
  <c r="C1064" i="25"/>
  <c r="L1041" i="25"/>
  <c r="M1041" i="25" s="1"/>
  <c r="N1041" i="25" s="1"/>
  <c r="F1007" i="25"/>
  <c r="F1013" i="25"/>
  <c r="F1015" i="25"/>
  <c r="F994" i="25"/>
  <c r="J994" i="25"/>
  <c r="I998" i="25"/>
  <c r="F997" i="25"/>
  <c r="J1001" i="25"/>
  <c r="G1007" i="25"/>
  <c r="G1012" i="25"/>
  <c r="I1013" i="25"/>
  <c r="L1029" i="25"/>
  <c r="M1029" i="25" s="1"/>
  <c r="N1029" i="25" s="1"/>
  <c r="L1049" i="25"/>
  <c r="M1049" i="25" s="1"/>
  <c r="N1049" i="25" s="1"/>
  <c r="J1053" i="25"/>
  <c r="L1051" i="25"/>
  <c r="M1051" i="25" s="1"/>
  <c r="N1051" i="25" s="1"/>
  <c r="L1031" i="25"/>
  <c r="M1031" i="25" s="1"/>
  <c r="N1031" i="25" s="1"/>
  <c r="L1047" i="25"/>
  <c r="M1047" i="25" s="1"/>
  <c r="N1047" i="25" s="1"/>
  <c r="L1040" i="25"/>
  <c r="M1040" i="25" s="1"/>
  <c r="N1040" i="25" s="1"/>
  <c r="G1053" i="25"/>
  <c r="H1053" i="25"/>
  <c r="L1052" i="25"/>
  <c r="M1052" i="25" s="1"/>
  <c r="N1052" i="25" s="1"/>
  <c r="L1050" i="25"/>
  <c r="M1050" i="25" s="1"/>
  <c r="N1050" i="25" s="1"/>
  <c r="L1048" i="25"/>
  <c r="M1048" i="25" s="1"/>
  <c r="N1048" i="25" s="1"/>
  <c r="F1053" i="25"/>
  <c r="L1028" i="25"/>
  <c r="M1028" i="25" s="1"/>
  <c r="N1028" i="25" s="1"/>
  <c r="L1037" i="25"/>
  <c r="M1037" i="25" s="1"/>
  <c r="N1037" i="25" s="1"/>
  <c r="L1036" i="25"/>
  <c r="M1036" i="25" s="1"/>
  <c r="N1036" i="25" s="1"/>
  <c r="L1045" i="25"/>
  <c r="M1045" i="25" s="1"/>
  <c r="N1045" i="25" s="1"/>
  <c r="L1034" i="25"/>
  <c r="M1034" i="25" s="1"/>
  <c r="N1034" i="25" s="1"/>
  <c r="L1038" i="25"/>
  <c r="M1038" i="25" s="1"/>
  <c r="N1038" i="25" s="1"/>
  <c r="L1046" i="25"/>
  <c r="M1046" i="25" s="1"/>
  <c r="N1046" i="25" s="1"/>
  <c r="L1042" i="25"/>
  <c r="M1042" i="25" s="1"/>
  <c r="N1042" i="25" s="1"/>
  <c r="L1039" i="25"/>
  <c r="M1039" i="25" s="1"/>
  <c r="N1039" i="25" s="1"/>
  <c r="L1032" i="25"/>
  <c r="M1032" i="25" s="1"/>
  <c r="N1032" i="25" s="1"/>
  <c r="K1053" i="25"/>
  <c r="L1030" i="25"/>
  <c r="M1030" i="25" s="1"/>
  <c r="N1030" i="25" s="1"/>
  <c r="I1053" i="25"/>
  <c r="L1044" i="25"/>
  <c r="M1044" i="25" s="1"/>
  <c r="N1044" i="25" s="1"/>
  <c r="G999" i="25"/>
  <c r="K1002" i="25"/>
  <c r="I1004" i="25"/>
  <c r="G1005" i="25"/>
  <c r="K1007" i="25"/>
  <c r="J1015" i="25"/>
  <c r="I1017" i="25"/>
  <c r="K1004" i="25"/>
  <c r="K1005" i="25"/>
  <c r="J1017" i="25"/>
  <c r="K999" i="25"/>
  <c r="J995" i="25"/>
  <c r="K997" i="25"/>
  <c r="F999" i="25"/>
  <c r="F1005" i="25"/>
  <c r="I1006" i="25"/>
  <c r="J1007" i="25"/>
  <c r="J1009" i="25"/>
  <c r="J1013" i="25"/>
  <c r="I1015" i="25"/>
  <c r="F1017" i="25"/>
  <c r="H1018" i="25"/>
  <c r="G994" i="25"/>
  <c r="K994" i="25"/>
  <c r="J1000" i="25"/>
  <c r="F1000" i="25"/>
  <c r="H1000" i="25"/>
  <c r="J1008" i="25"/>
  <c r="F1008" i="25"/>
  <c r="H1008" i="25"/>
  <c r="I1011" i="25"/>
  <c r="J1014" i="25"/>
  <c r="F1014" i="25"/>
  <c r="I1014" i="25"/>
  <c r="K1014" i="25"/>
  <c r="H994" i="25"/>
  <c r="I997" i="25"/>
  <c r="K998" i="25"/>
  <c r="I1008" i="25"/>
  <c r="F1009" i="25"/>
  <c r="K1009" i="25"/>
  <c r="J1010" i="25"/>
  <c r="F1010" i="25"/>
  <c r="H1010" i="25"/>
  <c r="J1011" i="25"/>
  <c r="G1016" i="25"/>
  <c r="I1003" i="25"/>
  <c r="I1000" i="25"/>
  <c r="F1001" i="25"/>
  <c r="K1001" i="25"/>
  <c r="J1002" i="25"/>
  <c r="F1002" i="25"/>
  <c r="H1002" i="25"/>
  <c r="J1003" i="25"/>
  <c r="I1005" i="25"/>
  <c r="K1006" i="25"/>
  <c r="G995" i="25"/>
  <c r="J996" i="25"/>
  <c r="F996" i="25"/>
  <c r="H996" i="25"/>
  <c r="J997" i="25"/>
  <c r="I999" i="25"/>
  <c r="K1000" i="25"/>
  <c r="G1001" i="25"/>
  <c r="I1002" i="25"/>
  <c r="F1003" i="25"/>
  <c r="K1003" i="25"/>
  <c r="J1004" i="25"/>
  <c r="F1004" i="25"/>
  <c r="H1004" i="25"/>
  <c r="J1005" i="25"/>
  <c r="I1007" i="25"/>
  <c r="K1008" i="25"/>
  <c r="G1009" i="25"/>
  <c r="I1010" i="25"/>
  <c r="F1011" i="25"/>
  <c r="K1011" i="25"/>
  <c r="J1012" i="25"/>
  <c r="F1012" i="25"/>
  <c r="H1012" i="25"/>
  <c r="G1014" i="25"/>
  <c r="J998" i="25"/>
  <c r="F998" i="25"/>
  <c r="H998" i="25"/>
  <c r="G1000" i="25"/>
  <c r="I1001" i="25"/>
  <c r="G1003" i="25"/>
  <c r="J1006" i="25"/>
  <c r="F1006" i="25"/>
  <c r="H1006" i="25"/>
  <c r="G1008" i="25"/>
  <c r="I1009" i="25"/>
  <c r="G1011" i="25"/>
  <c r="H1014" i="25"/>
  <c r="J1016" i="25"/>
  <c r="F1016" i="25"/>
  <c r="I1016" i="25"/>
  <c r="K1016" i="25"/>
  <c r="G1013" i="25"/>
  <c r="K1013" i="25"/>
  <c r="G1015" i="25"/>
  <c r="K1015" i="25"/>
  <c r="G1017" i="25"/>
  <c r="K1017" i="25"/>
  <c r="I1018" i="25"/>
  <c r="F1018" i="25"/>
  <c r="J1018" i="25"/>
  <c r="G1018" i="25"/>
  <c r="BZ62" i="33"/>
  <c r="BV150" i="9"/>
  <c r="BV149" i="9"/>
  <c r="BV145" i="9"/>
  <c r="BW146" i="9" s="1"/>
  <c r="BV144" i="9"/>
  <c r="BV140" i="9"/>
  <c r="BV139" i="9"/>
  <c r="BV135" i="9"/>
  <c r="BW136" i="9" s="1"/>
  <c r="BV134" i="9"/>
  <c r="BV130" i="9"/>
  <c r="BW131" i="9" s="1"/>
  <c r="BV129" i="9"/>
  <c r="BV125" i="9"/>
  <c r="BW126" i="9" s="1"/>
  <c r="BV124" i="9"/>
  <c r="BV120" i="9"/>
  <c r="BV119" i="9"/>
  <c r="BV115" i="9"/>
  <c r="BV114" i="9"/>
  <c r="BV110" i="9"/>
  <c r="BW111" i="9" s="1"/>
  <c r="BV109" i="9"/>
  <c r="BV105" i="9"/>
  <c r="BW106" i="9" s="1"/>
  <c r="BV104" i="9"/>
  <c r="BV100" i="9"/>
  <c r="BV99" i="9"/>
  <c r="BV95" i="9"/>
  <c r="BW96" i="9" s="1"/>
  <c r="BV94" i="9"/>
  <c r="BV90" i="9"/>
  <c r="BW91" i="9" s="1"/>
  <c r="BV89" i="9"/>
  <c r="BV85" i="9"/>
  <c r="BW86" i="9" s="1"/>
  <c r="BV84" i="9"/>
  <c r="BV80" i="9"/>
  <c r="BV79" i="9"/>
  <c r="BV75" i="9"/>
  <c r="BV74" i="9"/>
  <c r="BV70" i="9"/>
  <c r="BW71" i="9" s="1"/>
  <c r="BV69" i="9"/>
  <c r="BV65" i="9"/>
  <c r="BW66" i="9" s="1"/>
  <c r="BV64" i="9"/>
  <c r="BV60" i="9"/>
  <c r="BV59" i="9"/>
  <c r="BV55" i="9"/>
  <c r="BW56" i="9" s="1"/>
  <c r="BV54" i="9"/>
  <c r="BV50" i="9"/>
  <c r="BW51" i="9" s="1"/>
  <c r="BV49" i="9"/>
  <c r="BV45" i="9"/>
  <c r="BW46" i="9" s="1"/>
  <c r="BV44" i="9"/>
  <c r="BV40" i="9"/>
  <c r="BV39" i="9"/>
  <c r="BV35" i="9"/>
  <c r="BV34" i="9"/>
  <c r="BV30" i="9"/>
  <c r="BW31" i="9" s="1"/>
  <c r="BV29" i="9"/>
  <c r="A984" i="25"/>
  <c r="K984" i="25" s="1"/>
  <c r="A983" i="25"/>
  <c r="H983" i="25" s="1"/>
  <c r="A982" i="25"/>
  <c r="H982" i="25" s="1"/>
  <c r="A981" i="25"/>
  <c r="H981" i="25" s="1"/>
  <c r="A980" i="25"/>
  <c r="A979" i="25"/>
  <c r="H979" i="25" s="1"/>
  <c r="A978" i="25"/>
  <c r="K978" i="25" s="1"/>
  <c r="A977" i="25"/>
  <c r="H977" i="25" s="1"/>
  <c r="A976" i="25"/>
  <c r="K976" i="25" s="1"/>
  <c r="A975" i="25"/>
  <c r="H975" i="25" s="1"/>
  <c r="A974" i="25"/>
  <c r="I974" i="25" s="1"/>
  <c r="A973" i="25"/>
  <c r="H973" i="25" s="1"/>
  <c r="A972" i="25"/>
  <c r="G972" i="25" s="1"/>
  <c r="A971" i="25"/>
  <c r="H971" i="25" s="1"/>
  <c r="A970" i="25"/>
  <c r="K970" i="25" s="1"/>
  <c r="A969" i="25"/>
  <c r="H969" i="25" s="1"/>
  <c r="A968" i="25"/>
  <c r="G968" i="25" s="1"/>
  <c r="A967" i="25"/>
  <c r="H967" i="25" s="1"/>
  <c r="A966" i="25"/>
  <c r="A965" i="25"/>
  <c r="H965" i="25" s="1"/>
  <c r="A964" i="25"/>
  <c r="G964" i="25" s="1"/>
  <c r="A963" i="25"/>
  <c r="H963" i="25" s="1"/>
  <c r="A962" i="25"/>
  <c r="K962" i="25" s="1"/>
  <c r="A961" i="25"/>
  <c r="K961" i="25" s="1"/>
  <c r="A960" i="25"/>
  <c r="I960" i="25" s="1"/>
  <c r="CJ15" i="34" l="1"/>
  <c r="CI14" i="34"/>
  <c r="K968" i="25"/>
  <c r="I970" i="25"/>
  <c r="F983" i="25"/>
  <c r="I981" i="25"/>
  <c r="F961" i="25"/>
  <c r="G970" i="25"/>
  <c r="I972" i="25"/>
  <c r="J975" i="25"/>
  <c r="L1007" i="25"/>
  <c r="M1007" i="25" s="1"/>
  <c r="N1007" i="25" s="1"/>
  <c r="G965" i="25"/>
  <c r="G971" i="25"/>
  <c r="F981" i="25"/>
  <c r="H984" i="25"/>
  <c r="F965" i="25"/>
  <c r="F971" i="25"/>
  <c r="J981" i="25"/>
  <c r="I983" i="25"/>
  <c r="L997" i="25"/>
  <c r="M997" i="25" s="1"/>
  <c r="N997" i="25" s="1"/>
  <c r="L999" i="25"/>
  <c r="M999" i="25" s="1"/>
  <c r="N999" i="25" s="1"/>
  <c r="C1032" i="25"/>
  <c r="C1048" i="25"/>
  <c r="C1030" i="25"/>
  <c r="C1033" i="25"/>
  <c r="C1038" i="25"/>
  <c r="C1050" i="25"/>
  <c r="C1034" i="25"/>
  <c r="C1029" i="25"/>
  <c r="C1052" i="25"/>
  <c r="C1046" i="25"/>
  <c r="L1053" i="25"/>
  <c r="M1025" i="25" s="1"/>
  <c r="C1028" i="25"/>
  <c r="C1047" i="25"/>
  <c r="C1045" i="25"/>
  <c r="C1044" i="25"/>
  <c r="C1039" i="25"/>
  <c r="C1031" i="25"/>
  <c r="C1049" i="25"/>
  <c r="L995" i="25"/>
  <c r="M995" i="25" s="1"/>
  <c r="N995" i="25" s="1"/>
  <c r="K973" i="25"/>
  <c r="F960" i="25"/>
  <c r="H961" i="25"/>
  <c r="G962" i="25"/>
  <c r="F963" i="25"/>
  <c r="I964" i="25"/>
  <c r="J965" i="25"/>
  <c r="J967" i="25"/>
  <c r="K971" i="25"/>
  <c r="F973" i="25"/>
  <c r="G976" i="25"/>
  <c r="G978" i="25"/>
  <c r="F979" i="25"/>
  <c r="J983" i="25"/>
  <c r="BW61" i="9"/>
  <c r="BW101" i="9"/>
  <c r="J960" i="25"/>
  <c r="I961" i="25"/>
  <c r="I962" i="25"/>
  <c r="G963" i="25"/>
  <c r="K965" i="25"/>
  <c r="G973" i="25"/>
  <c r="I978" i="25"/>
  <c r="I979" i="25"/>
  <c r="J961" i="25"/>
  <c r="K963" i="25"/>
  <c r="J973" i="25"/>
  <c r="J979" i="25"/>
  <c r="BW151" i="9"/>
  <c r="BW121" i="9"/>
  <c r="BW36" i="9"/>
  <c r="BW141" i="9"/>
  <c r="BW116" i="9"/>
  <c r="BW41" i="9"/>
  <c r="BW76" i="9"/>
  <c r="BW81" i="9"/>
  <c r="L1017" i="25"/>
  <c r="M1017" i="25" s="1"/>
  <c r="N1017" i="25" s="1"/>
  <c r="L1013" i="25"/>
  <c r="M1013" i="25" s="1"/>
  <c r="N1013" i="25" s="1"/>
  <c r="I1019" i="25"/>
  <c r="J1019" i="25"/>
  <c r="L1015" i="25"/>
  <c r="M1015" i="25" s="1"/>
  <c r="N1015" i="25" s="1"/>
  <c r="L994" i="25"/>
  <c r="M994" i="25" s="1"/>
  <c r="N994" i="25" s="1"/>
  <c r="L996" i="25"/>
  <c r="M996" i="25" s="1"/>
  <c r="N996" i="25" s="1"/>
  <c r="L1002" i="25"/>
  <c r="M1002" i="25" s="1"/>
  <c r="N1002" i="25" s="1"/>
  <c r="L1018" i="25"/>
  <c r="M1018" i="25" s="1"/>
  <c r="N1018" i="25" s="1"/>
  <c r="L1005" i="25"/>
  <c r="M1005" i="25" s="1"/>
  <c r="N1005" i="25" s="1"/>
  <c r="L1003" i="25"/>
  <c r="M1003" i="25" s="1"/>
  <c r="N1003" i="25" s="1"/>
  <c r="F1019" i="25"/>
  <c r="L1014" i="25"/>
  <c r="M1014" i="25" s="1"/>
  <c r="N1014" i="25" s="1"/>
  <c r="L1008" i="25"/>
  <c r="M1008" i="25" s="1"/>
  <c r="N1008" i="25" s="1"/>
  <c r="L1012" i="25"/>
  <c r="M1012" i="25" s="1"/>
  <c r="N1012" i="25" s="1"/>
  <c r="L1000" i="25"/>
  <c r="M1000" i="25" s="1"/>
  <c r="N1000" i="25" s="1"/>
  <c r="L998" i="25"/>
  <c r="M998" i="25" s="1"/>
  <c r="N998" i="25" s="1"/>
  <c r="L1004" i="25"/>
  <c r="M1004" i="25" s="1"/>
  <c r="N1004" i="25" s="1"/>
  <c r="L1009" i="25"/>
  <c r="M1009" i="25" s="1"/>
  <c r="N1009" i="25" s="1"/>
  <c r="H1019" i="25"/>
  <c r="K1019" i="25"/>
  <c r="L1016" i="25"/>
  <c r="M1016" i="25" s="1"/>
  <c r="N1016" i="25" s="1"/>
  <c r="L1006" i="25"/>
  <c r="M1006" i="25" s="1"/>
  <c r="N1006" i="25" s="1"/>
  <c r="L1011" i="25"/>
  <c r="M1011" i="25" s="1"/>
  <c r="N1011" i="25" s="1"/>
  <c r="L1001" i="25"/>
  <c r="M1001" i="25" s="1"/>
  <c r="N1001" i="25" s="1"/>
  <c r="L1010" i="25"/>
  <c r="M1010" i="25" s="1"/>
  <c r="N1010" i="25" s="1"/>
  <c r="G1019" i="25"/>
  <c r="G960" i="25"/>
  <c r="K960" i="25"/>
  <c r="J966" i="25"/>
  <c r="F966" i="25"/>
  <c r="H966" i="25"/>
  <c r="I969" i="25"/>
  <c r="I977" i="25"/>
  <c r="J980" i="25"/>
  <c r="F980" i="25"/>
  <c r="I980" i="25"/>
  <c r="K980" i="25"/>
  <c r="H960" i="25"/>
  <c r="I963" i="25"/>
  <c r="K964" i="25"/>
  <c r="F975" i="25"/>
  <c r="K975" i="25"/>
  <c r="J976" i="25"/>
  <c r="F976" i="25"/>
  <c r="H976" i="25"/>
  <c r="J977" i="25"/>
  <c r="G982" i="25"/>
  <c r="J974" i="25"/>
  <c r="F974" i="25"/>
  <c r="H974" i="25"/>
  <c r="I966" i="25"/>
  <c r="F967" i="25"/>
  <c r="K967" i="25"/>
  <c r="J968" i="25"/>
  <c r="F968" i="25"/>
  <c r="H968" i="25"/>
  <c r="J969" i="25"/>
  <c r="I971" i="25"/>
  <c r="K972" i="25"/>
  <c r="G961" i="25"/>
  <c r="J962" i="25"/>
  <c r="F962" i="25"/>
  <c r="H962" i="25"/>
  <c r="J963" i="25"/>
  <c r="I965" i="25"/>
  <c r="K966" i="25"/>
  <c r="G967" i="25"/>
  <c r="I968" i="25"/>
  <c r="F969" i="25"/>
  <c r="K969" i="25"/>
  <c r="J970" i="25"/>
  <c r="F970" i="25"/>
  <c r="H970" i="25"/>
  <c r="J971" i="25"/>
  <c r="I973" i="25"/>
  <c r="K974" i="25"/>
  <c r="G975" i="25"/>
  <c r="I976" i="25"/>
  <c r="F977" i="25"/>
  <c r="K977" i="25"/>
  <c r="J978" i="25"/>
  <c r="F978" i="25"/>
  <c r="H978" i="25"/>
  <c r="G980" i="25"/>
  <c r="J964" i="25"/>
  <c r="F964" i="25"/>
  <c r="H964" i="25"/>
  <c r="G966" i="25"/>
  <c r="I967" i="25"/>
  <c r="G969" i="25"/>
  <c r="J972" i="25"/>
  <c r="F972" i="25"/>
  <c r="H972" i="25"/>
  <c r="G974" i="25"/>
  <c r="I975" i="25"/>
  <c r="G977" i="25"/>
  <c r="H980" i="25"/>
  <c r="J982" i="25"/>
  <c r="F982" i="25"/>
  <c r="I982" i="25"/>
  <c r="K982" i="25"/>
  <c r="G979" i="25"/>
  <c r="K979" i="25"/>
  <c r="G981" i="25"/>
  <c r="K981" i="25"/>
  <c r="G983" i="25"/>
  <c r="K983" i="25"/>
  <c r="I984" i="25"/>
  <c r="F984" i="25"/>
  <c r="J984" i="25"/>
  <c r="G984" i="25"/>
  <c r="BY62" i="33"/>
  <c r="BU150" i="9"/>
  <c r="BU149" i="9"/>
  <c r="BU145" i="9"/>
  <c r="BV146" i="9" s="1"/>
  <c r="BU144" i="9"/>
  <c r="BU140" i="9"/>
  <c r="BU139" i="9"/>
  <c r="BU135" i="9"/>
  <c r="BV136" i="9" s="1"/>
  <c r="BU134" i="9"/>
  <c r="BU130" i="9"/>
  <c r="BU129" i="9"/>
  <c r="BU125" i="9"/>
  <c r="BV126" i="9" s="1"/>
  <c r="BU124" i="9"/>
  <c r="BU120" i="9"/>
  <c r="BV121" i="9" s="1"/>
  <c r="BU119" i="9"/>
  <c r="BU115" i="9"/>
  <c r="BU114" i="9"/>
  <c r="BU110" i="9"/>
  <c r="BV111" i="9" s="1"/>
  <c r="BU109" i="9"/>
  <c r="BU105" i="9"/>
  <c r="BV106" i="9" s="1"/>
  <c r="BU104" i="9"/>
  <c r="BU100" i="9"/>
  <c r="BV101" i="9" s="1"/>
  <c r="BU99" i="9"/>
  <c r="BU95" i="9"/>
  <c r="BV96" i="9" s="1"/>
  <c r="BU94" i="9"/>
  <c r="BU90" i="9"/>
  <c r="BV91" i="9" s="1"/>
  <c r="BU89" i="9"/>
  <c r="BU85" i="9"/>
  <c r="BV86" i="9" s="1"/>
  <c r="BU84" i="9"/>
  <c r="BU80" i="9"/>
  <c r="BU79" i="9"/>
  <c r="BU75" i="9"/>
  <c r="BU74" i="9"/>
  <c r="BU70" i="9"/>
  <c r="BV71" i="9" s="1"/>
  <c r="BU69" i="9"/>
  <c r="BU65" i="9"/>
  <c r="BV66" i="9" s="1"/>
  <c r="BU64" i="9"/>
  <c r="BU60" i="9"/>
  <c r="BU59" i="9"/>
  <c r="BU55" i="9"/>
  <c r="BV56" i="9" s="1"/>
  <c r="BU54" i="9"/>
  <c r="BU50" i="9"/>
  <c r="BU49" i="9"/>
  <c r="BU45" i="9"/>
  <c r="BV46" i="9" s="1"/>
  <c r="BU44" i="9"/>
  <c r="BU40" i="9"/>
  <c r="BV41" i="9" s="1"/>
  <c r="BU39" i="9"/>
  <c r="BU35" i="9"/>
  <c r="BU34" i="9"/>
  <c r="BU30" i="9"/>
  <c r="BV31" i="9" s="1"/>
  <c r="BU29" i="9"/>
  <c r="A950" i="25"/>
  <c r="K950" i="25" s="1"/>
  <c r="A949" i="25"/>
  <c r="H949" i="25" s="1"/>
  <c r="A948" i="25"/>
  <c r="A947" i="25"/>
  <c r="H947" i="25" s="1"/>
  <c r="A946" i="25"/>
  <c r="A945" i="25"/>
  <c r="H945" i="25" s="1"/>
  <c r="A944" i="25"/>
  <c r="I944" i="25" s="1"/>
  <c r="A943" i="25"/>
  <c r="I943" i="25" s="1"/>
  <c r="A942" i="25"/>
  <c r="I942" i="25" s="1"/>
  <c r="A941" i="25"/>
  <c r="A940" i="25"/>
  <c r="I940" i="25" s="1"/>
  <c r="A939" i="25"/>
  <c r="I939" i="25" s="1"/>
  <c r="A938" i="25"/>
  <c r="I938" i="25" s="1"/>
  <c r="A937" i="25"/>
  <c r="A936" i="25"/>
  <c r="I936" i="25" s="1"/>
  <c r="A935" i="25"/>
  <c r="I935" i="25" s="1"/>
  <c r="A934" i="25"/>
  <c r="I934" i="25" s="1"/>
  <c r="A933" i="25"/>
  <c r="I933" i="25" s="1"/>
  <c r="A932" i="25"/>
  <c r="I932" i="25" s="1"/>
  <c r="A931" i="25"/>
  <c r="I931" i="25" s="1"/>
  <c r="A930" i="25"/>
  <c r="I930" i="25" s="1"/>
  <c r="A929" i="25"/>
  <c r="I929" i="25" s="1"/>
  <c r="A928" i="25"/>
  <c r="I928" i="25" s="1"/>
  <c r="A927" i="25"/>
  <c r="J927" i="25" s="1"/>
  <c r="A926" i="25"/>
  <c r="K926" i="25" s="1"/>
  <c r="CK15" i="34" l="1"/>
  <c r="CJ14" i="34"/>
  <c r="F926" i="25"/>
  <c r="G944" i="25"/>
  <c r="G932" i="25"/>
  <c r="G935" i="25"/>
  <c r="G928" i="25"/>
  <c r="G931" i="25"/>
  <c r="G936" i="25"/>
  <c r="G943" i="25"/>
  <c r="I947" i="25"/>
  <c r="H926" i="25"/>
  <c r="I926" i="25"/>
  <c r="M1053" i="25"/>
  <c r="N1053" i="25" s="1"/>
  <c r="C1041" i="25" s="1"/>
  <c r="L965" i="25"/>
  <c r="M965" i="25" s="1"/>
  <c r="N965" i="25" s="1"/>
  <c r="L961" i="25"/>
  <c r="M961" i="25" s="1"/>
  <c r="N961" i="25" s="1"/>
  <c r="L973" i="25"/>
  <c r="M973" i="25" s="1"/>
  <c r="N973" i="25" s="1"/>
  <c r="BV51" i="9"/>
  <c r="G940" i="25"/>
  <c r="I949" i="25"/>
  <c r="BV141" i="9"/>
  <c r="BV36" i="9"/>
  <c r="BV151" i="9"/>
  <c r="BV131" i="9"/>
  <c r="BV76" i="9"/>
  <c r="J926" i="25"/>
  <c r="G939" i="25"/>
  <c r="I945" i="25"/>
  <c r="BV81" i="9"/>
  <c r="BV116" i="9"/>
  <c r="BV61" i="9"/>
  <c r="C1011" i="25"/>
  <c r="C1012" i="25"/>
  <c r="L1019" i="25"/>
  <c r="M1019" i="25" s="1"/>
  <c r="N1019" i="25" s="1"/>
  <c r="C1003" i="25" s="1"/>
  <c r="C1014" i="25"/>
  <c r="C1010" i="25"/>
  <c r="C1004" i="25"/>
  <c r="C1016" i="25"/>
  <c r="C998" i="25"/>
  <c r="C997" i="25"/>
  <c r="C1013" i="25"/>
  <c r="C1000" i="25"/>
  <c r="C1005" i="25"/>
  <c r="C994" i="25"/>
  <c r="C995" i="25"/>
  <c r="M991" i="25"/>
  <c r="C999" i="25"/>
  <c r="C1018" i="25"/>
  <c r="C996" i="25"/>
  <c r="C1015" i="25"/>
  <c r="L963" i="25"/>
  <c r="M963" i="25" s="1"/>
  <c r="N963" i="25" s="1"/>
  <c r="L983" i="25"/>
  <c r="M983" i="25" s="1"/>
  <c r="N983" i="25" s="1"/>
  <c r="L979" i="25"/>
  <c r="M979" i="25" s="1"/>
  <c r="N979" i="25" s="1"/>
  <c r="J985" i="25"/>
  <c r="L971" i="25"/>
  <c r="M971" i="25" s="1"/>
  <c r="N971" i="25" s="1"/>
  <c r="L981" i="25"/>
  <c r="M981" i="25" s="1"/>
  <c r="N981" i="25" s="1"/>
  <c r="I985" i="25"/>
  <c r="L984" i="25"/>
  <c r="M984" i="25" s="1"/>
  <c r="N984" i="25" s="1"/>
  <c r="L972" i="25"/>
  <c r="M972" i="25" s="1"/>
  <c r="N972" i="25" s="1"/>
  <c r="L977" i="25"/>
  <c r="M977" i="25" s="1"/>
  <c r="N977" i="25" s="1"/>
  <c r="L974" i="25"/>
  <c r="M974" i="25" s="1"/>
  <c r="N974" i="25" s="1"/>
  <c r="L975" i="25"/>
  <c r="M975" i="25" s="1"/>
  <c r="N975" i="25" s="1"/>
  <c r="L966" i="25"/>
  <c r="M966" i="25" s="1"/>
  <c r="N966" i="25" s="1"/>
  <c r="L982" i="25"/>
  <c r="M982" i="25" s="1"/>
  <c r="N982" i="25" s="1"/>
  <c r="L967" i="25"/>
  <c r="M967" i="25" s="1"/>
  <c r="N967" i="25" s="1"/>
  <c r="L978" i="25"/>
  <c r="M978" i="25" s="1"/>
  <c r="N978" i="25" s="1"/>
  <c r="L962" i="25"/>
  <c r="M962" i="25" s="1"/>
  <c r="N962" i="25" s="1"/>
  <c r="L968" i="25"/>
  <c r="M968" i="25" s="1"/>
  <c r="N968" i="25" s="1"/>
  <c r="L976" i="25"/>
  <c r="M976" i="25" s="1"/>
  <c r="N976" i="25" s="1"/>
  <c r="L969" i="25"/>
  <c r="M969" i="25" s="1"/>
  <c r="N969" i="25" s="1"/>
  <c r="L980" i="25"/>
  <c r="M980" i="25" s="1"/>
  <c r="N980" i="25" s="1"/>
  <c r="K985" i="25"/>
  <c r="L964" i="25"/>
  <c r="M964" i="25" s="1"/>
  <c r="N964" i="25" s="1"/>
  <c r="L970" i="25"/>
  <c r="M970" i="25" s="1"/>
  <c r="N970" i="25" s="1"/>
  <c r="F985" i="25"/>
  <c r="H985" i="25"/>
  <c r="G985" i="25"/>
  <c r="L960" i="25"/>
  <c r="K930" i="25"/>
  <c r="H933" i="25"/>
  <c r="J933" i="25"/>
  <c r="F933" i="25"/>
  <c r="K933" i="25"/>
  <c r="J946" i="25"/>
  <c r="F946" i="25"/>
  <c r="I946" i="25"/>
  <c r="H946" i="25"/>
  <c r="G927" i="25"/>
  <c r="H927" i="25"/>
  <c r="H929" i="25"/>
  <c r="J929" i="25"/>
  <c r="F929" i="25"/>
  <c r="K929" i="25"/>
  <c r="H937" i="25"/>
  <c r="J937" i="25"/>
  <c r="F937" i="25"/>
  <c r="K937" i="25"/>
  <c r="H941" i="25"/>
  <c r="J941" i="25"/>
  <c r="F941" i="25"/>
  <c r="K941" i="25"/>
  <c r="J948" i="25"/>
  <c r="F948" i="25"/>
  <c r="I948" i="25"/>
  <c r="H948" i="25"/>
  <c r="G926" i="25"/>
  <c r="I927" i="25"/>
  <c r="J928" i="25"/>
  <c r="F928" i="25"/>
  <c r="H928" i="25"/>
  <c r="K928" i="25"/>
  <c r="G930" i="25"/>
  <c r="J932" i="25"/>
  <c r="F932" i="25"/>
  <c r="H932" i="25"/>
  <c r="K932" i="25"/>
  <c r="G934" i="25"/>
  <c r="J936" i="25"/>
  <c r="F936" i="25"/>
  <c r="H936" i="25"/>
  <c r="K936" i="25"/>
  <c r="G938" i="25"/>
  <c r="J940" i="25"/>
  <c r="F940" i="25"/>
  <c r="H940" i="25"/>
  <c r="K940" i="25"/>
  <c r="G942" i="25"/>
  <c r="J944" i="25"/>
  <c r="F944" i="25"/>
  <c r="H944" i="25"/>
  <c r="K944" i="25"/>
  <c r="G946" i="25"/>
  <c r="G948" i="25"/>
  <c r="F927" i="25"/>
  <c r="K927" i="25"/>
  <c r="G929" i="25"/>
  <c r="H931" i="25"/>
  <c r="J931" i="25"/>
  <c r="F931" i="25"/>
  <c r="K931" i="25"/>
  <c r="G933" i="25"/>
  <c r="H935" i="25"/>
  <c r="J935" i="25"/>
  <c r="F935" i="25"/>
  <c r="K935" i="25"/>
  <c r="G937" i="25"/>
  <c r="H939" i="25"/>
  <c r="J939" i="25"/>
  <c r="F939" i="25"/>
  <c r="K939" i="25"/>
  <c r="G941" i="25"/>
  <c r="H943" i="25"/>
  <c r="J943" i="25"/>
  <c r="F943" i="25"/>
  <c r="K943" i="25"/>
  <c r="K946" i="25"/>
  <c r="K948" i="25"/>
  <c r="J930" i="25"/>
  <c r="F930" i="25"/>
  <c r="H930" i="25"/>
  <c r="J934" i="25"/>
  <c r="F934" i="25"/>
  <c r="H934" i="25"/>
  <c r="K934" i="25"/>
  <c r="I937" i="25"/>
  <c r="J938" i="25"/>
  <c r="F938" i="25"/>
  <c r="H938" i="25"/>
  <c r="K938" i="25"/>
  <c r="I941" i="25"/>
  <c r="J942" i="25"/>
  <c r="F942" i="25"/>
  <c r="H942" i="25"/>
  <c r="K942" i="25"/>
  <c r="F945" i="25"/>
  <c r="J945" i="25"/>
  <c r="F947" i="25"/>
  <c r="J947" i="25"/>
  <c r="F949" i="25"/>
  <c r="J949" i="25"/>
  <c r="H950" i="25"/>
  <c r="G945" i="25"/>
  <c r="K945" i="25"/>
  <c r="G947" i="25"/>
  <c r="K947" i="25"/>
  <c r="G949" i="25"/>
  <c r="K949" i="25"/>
  <c r="I950" i="25"/>
  <c r="F950" i="25"/>
  <c r="J950" i="25"/>
  <c r="G950" i="25"/>
  <c r="BX62" i="33"/>
  <c r="BT150" i="9"/>
  <c r="BU151" i="9" s="1"/>
  <c r="BT149" i="9"/>
  <c r="BT145" i="9"/>
  <c r="BU146" i="9" s="1"/>
  <c r="BT144" i="9"/>
  <c r="BT140" i="9"/>
  <c r="BU141" i="9" s="1"/>
  <c r="BT139" i="9"/>
  <c r="BT135" i="9"/>
  <c r="BU136" i="9" s="1"/>
  <c r="BT134" i="9"/>
  <c r="BT130" i="9"/>
  <c r="BU131" i="9" s="1"/>
  <c r="BT129" i="9"/>
  <c r="BT125" i="9"/>
  <c r="BU126" i="9" s="1"/>
  <c r="BT124" i="9"/>
  <c r="BT120" i="9"/>
  <c r="BU121" i="9" s="1"/>
  <c r="BT119" i="9"/>
  <c r="BT115" i="9"/>
  <c r="BU116" i="9" s="1"/>
  <c r="BT114" i="9"/>
  <c r="BT110" i="9"/>
  <c r="BU111" i="9" s="1"/>
  <c r="BT109" i="9"/>
  <c r="BT105" i="9"/>
  <c r="BU106" i="9" s="1"/>
  <c r="BT104" i="9"/>
  <c r="BT100" i="9"/>
  <c r="BU101" i="9" s="1"/>
  <c r="BT99" i="9"/>
  <c r="BT95" i="9"/>
  <c r="BU96" i="9" s="1"/>
  <c r="BT94" i="9"/>
  <c r="BT90" i="9"/>
  <c r="BU91" i="9" s="1"/>
  <c r="BT89" i="9"/>
  <c r="BT85" i="9"/>
  <c r="BU86" i="9" s="1"/>
  <c r="BT84" i="9"/>
  <c r="BT80" i="9"/>
  <c r="BU81" i="9" s="1"/>
  <c r="BT79" i="9"/>
  <c r="BT75" i="9"/>
  <c r="BU76" i="9" s="1"/>
  <c r="BT74" i="9"/>
  <c r="BT70" i="9"/>
  <c r="BU71" i="9" s="1"/>
  <c r="BT69" i="9"/>
  <c r="BT65" i="9"/>
  <c r="BU66" i="9" s="1"/>
  <c r="BT64" i="9"/>
  <c r="BT60" i="9"/>
  <c r="BU61" i="9" s="1"/>
  <c r="BT59" i="9"/>
  <c r="BT55" i="9"/>
  <c r="BU56" i="9" s="1"/>
  <c r="BT54" i="9"/>
  <c r="BT50" i="9"/>
  <c r="BU51" i="9" s="1"/>
  <c r="BT49" i="9"/>
  <c r="BT45" i="9"/>
  <c r="BU46" i="9" s="1"/>
  <c r="BT44" i="9"/>
  <c r="BT40" i="9"/>
  <c r="BU41" i="9" s="1"/>
  <c r="BT39" i="9"/>
  <c r="BT35" i="9"/>
  <c r="BU36" i="9" s="1"/>
  <c r="BT34" i="9"/>
  <c r="BT30" i="9"/>
  <c r="BU31" i="9" s="1"/>
  <c r="BT29" i="9"/>
  <c r="CK14" i="34" l="1"/>
  <c r="CL15" i="34"/>
  <c r="L926" i="25"/>
  <c r="M926" i="25" s="1"/>
  <c r="N926" i="25" s="1"/>
  <c r="C1036" i="25"/>
  <c r="C1035" i="25"/>
  <c r="C1042" i="25"/>
  <c r="C1043" i="25"/>
  <c r="C1037" i="25"/>
  <c r="C1051" i="25"/>
  <c r="C1007" i="25"/>
  <c r="C1008" i="25"/>
  <c r="C1002" i="25"/>
  <c r="C1001" i="25"/>
  <c r="C1006" i="25"/>
  <c r="C1017" i="25"/>
  <c r="C1009" i="25"/>
  <c r="L985" i="25"/>
  <c r="M985" i="25" s="1"/>
  <c r="N985" i="25" s="1"/>
  <c r="M960" i="25"/>
  <c r="N960" i="25" s="1"/>
  <c r="I951" i="25"/>
  <c r="H951" i="25"/>
  <c r="L931" i="25"/>
  <c r="M931" i="25" s="1"/>
  <c r="N931" i="25" s="1"/>
  <c r="K951" i="25"/>
  <c r="J951" i="25"/>
  <c r="F951" i="25"/>
  <c r="L942" i="25"/>
  <c r="M942" i="25" s="1"/>
  <c r="N942" i="25" s="1"/>
  <c r="L939" i="25"/>
  <c r="M939" i="25" s="1"/>
  <c r="N939" i="25" s="1"/>
  <c r="L936" i="25"/>
  <c r="M936" i="25" s="1"/>
  <c r="N936" i="25" s="1"/>
  <c r="L948" i="25"/>
  <c r="M948" i="25" s="1"/>
  <c r="N948" i="25" s="1"/>
  <c r="L946" i="25"/>
  <c r="M946" i="25" s="1"/>
  <c r="N946" i="25" s="1"/>
  <c r="L949" i="25"/>
  <c r="M949" i="25" s="1"/>
  <c r="N949" i="25" s="1"/>
  <c r="L945" i="25"/>
  <c r="M945" i="25" s="1"/>
  <c r="N945" i="25" s="1"/>
  <c r="L938" i="25"/>
  <c r="M938" i="25" s="1"/>
  <c r="N938" i="25" s="1"/>
  <c r="L930" i="25"/>
  <c r="M930" i="25" s="1"/>
  <c r="N930" i="25" s="1"/>
  <c r="L935" i="25"/>
  <c r="M935" i="25" s="1"/>
  <c r="N935" i="25" s="1"/>
  <c r="L932" i="25"/>
  <c r="M932" i="25" s="1"/>
  <c r="N932" i="25" s="1"/>
  <c r="G951" i="25"/>
  <c r="L934" i="25"/>
  <c r="M934" i="25" s="1"/>
  <c r="N934" i="25" s="1"/>
  <c r="L944" i="25"/>
  <c r="M944" i="25" s="1"/>
  <c r="N944" i="25" s="1"/>
  <c r="L928" i="25"/>
  <c r="M928" i="25" s="1"/>
  <c r="N928" i="25" s="1"/>
  <c r="L950" i="25"/>
  <c r="M950" i="25" s="1"/>
  <c r="N950" i="25" s="1"/>
  <c r="L947" i="25"/>
  <c r="M947" i="25" s="1"/>
  <c r="N947" i="25" s="1"/>
  <c r="L943" i="25"/>
  <c r="M943" i="25" s="1"/>
  <c r="N943" i="25" s="1"/>
  <c r="L927" i="25"/>
  <c r="M927" i="25" s="1"/>
  <c r="N927" i="25" s="1"/>
  <c r="L940" i="25"/>
  <c r="M940" i="25" s="1"/>
  <c r="N940" i="25" s="1"/>
  <c r="L941" i="25"/>
  <c r="M941" i="25" s="1"/>
  <c r="N941" i="25" s="1"/>
  <c r="L937" i="25"/>
  <c r="M937" i="25" s="1"/>
  <c r="N937" i="25" s="1"/>
  <c r="L929" i="25"/>
  <c r="M929" i="25" s="1"/>
  <c r="N929" i="25" s="1"/>
  <c r="L933" i="25"/>
  <c r="M933" i="25" s="1"/>
  <c r="N933" i="25" s="1"/>
  <c r="A916" i="25"/>
  <c r="K916" i="25" s="1"/>
  <c r="A915" i="25"/>
  <c r="H915" i="25" s="1"/>
  <c r="A914" i="25"/>
  <c r="H914" i="25" s="1"/>
  <c r="A913" i="25"/>
  <c r="H913" i="25" s="1"/>
  <c r="A912" i="25"/>
  <c r="A911" i="25"/>
  <c r="H911" i="25" s="1"/>
  <c r="A910" i="25"/>
  <c r="H910" i="25" s="1"/>
  <c r="A909" i="25"/>
  <c r="H909" i="25" s="1"/>
  <c r="A908" i="25"/>
  <c r="H908" i="25" s="1"/>
  <c r="A907" i="25"/>
  <c r="H907" i="25" s="1"/>
  <c r="A906" i="25"/>
  <c r="K906" i="25" s="1"/>
  <c r="A905" i="25"/>
  <c r="H905" i="25" s="1"/>
  <c r="A904" i="25"/>
  <c r="K904" i="25" s="1"/>
  <c r="A903" i="25"/>
  <c r="H903" i="25" s="1"/>
  <c r="A902" i="25"/>
  <c r="G902" i="25" s="1"/>
  <c r="A901" i="25"/>
  <c r="H901" i="25" s="1"/>
  <c r="A900" i="25"/>
  <c r="H900" i="25" s="1"/>
  <c r="A899" i="25"/>
  <c r="K899" i="25" s="1"/>
  <c r="A898" i="25"/>
  <c r="I898" i="25" s="1"/>
  <c r="A897" i="25"/>
  <c r="K897" i="25" s="1"/>
  <c r="A896" i="25"/>
  <c r="I896" i="25" s="1"/>
  <c r="A895" i="25"/>
  <c r="K895" i="25" s="1"/>
  <c r="A894" i="25"/>
  <c r="I894" i="25" s="1"/>
  <c r="A893" i="25"/>
  <c r="K893" i="25" s="1"/>
  <c r="A892" i="25"/>
  <c r="I892" i="25" s="1"/>
  <c r="CM15" i="34" l="1"/>
  <c r="CL14" i="34"/>
  <c r="J907" i="25"/>
  <c r="F903" i="25"/>
  <c r="G903" i="25"/>
  <c r="K894" i="25"/>
  <c r="J892" i="25"/>
  <c r="K898" i="25"/>
  <c r="J903" i="25"/>
  <c r="F892" i="25"/>
  <c r="F899" i="25"/>
  <c r="G906" i="25"/>
  <c r="F911" i="25"/>
  <c r="F895" i="25"/>
  <c r="H892" i="25"/>
  <c r="F894" i="25"/>
  <c r="I895" i="25"/>
  <c r="F898" i="25"/>
  <c r="I899" i="25"/>
  <c r="I911" i="25"/>
  <c r="M957" i="25"/>
  <c r="C968" i="25"/>
  <c r="C972" i="25"/>
  <c r="C969" i="25"/>
  <c r="C974" i="25"/>
  <c r="C975" i="25"/>
  <c r="C983" i="25"/>
  <c r="C973" i="25"/>
  <c r="C967" i="25"/>
  <c r="C960" i="25"/>
  <c r="C979" i="25"/>
  <c r="C961" i="25"/>
  <c r="C965" i="25"/>
  <c r="C981" i="25"/>
  <c r="C963" i="25"/>
  <c r="C971" i="25"/>
  <c r="C976" i="25"/>
  <c r="C962" i="25"/>
  <c r="C977" i="25"/>
  <c r="C966" i="25"/>
  <c r="C984" i="25"/>
  <c r="C964" i="25"/>
  <c r="C978" i="25"/>
  <c r="C970" i="25"/>
  <c r="C982" i="25"/>
  <c r="C980" i="25"/>
  <c r="C929" i="25"/>
  <c r="C948" i="25"/>
  <c r="C950" i="25"/>
  <c r="C927" i="25"/>
  <c r="C937" i="25"/>
  <c r="C943" i="25"/>
  <c r="C946" i="25"/>
  <c r="C944" i="25"/>
  <c r="C926" i="25"/>
  <c r="C942" i="25"/>
  <c r="L951" i="25"/>
  <c r="C928" i="25"/>
  <c r="C931" i="25"/>
  <c r="C932" i="25"/>
  <c r="C930" i="25"/>
  <c r="C945" i="25"/>
  <c r="C936" i="25"/>
  <c r="C947" i="25"/>
  <c r="J915" i="25"/>
  <c r="J897" i="25"/>
  <c r="F893" i="25"/>
  <c r="J895" i="25"/>
  <c r="F897" i="25"/>
  <c r="J899" i="25"/>
  <c r="F901" i="25"/>
  <c r="I902" i="25"/>
  <c r="J905" i="25"/>
  <c r="F909" i="25"/>
  <c r="G910" i="25"/>
  <c r="F913" i="25"/>
  <c r="J893" i="25"/>
  <c r="H897" i="25"/>
  <c r="K903" i="25"/>
  <c r="F907" i="25"/>
  <c r="G908" i="25"/>
  <c r="I909" i="25"/>
  <c r="J911" i="25"/>
  <c r="I913" i="25"/>
  <c r="F915" i="25"/>
  <c r="H916" i="25"/>
  <c r="H893" i="25"/>
  <c r="G901" i="25"/>
  <c r="K892" i="25"/>
  <c r="I893" i="25"/>
  <c r="G894" i="25"/>
  <c r="H895" i="25"/>
  <c r="J896" i="25"/>
  <c r="I897" i="25"/>
  <c r="G898" i="25"/>
  <c r="H899" i="25"/>
  <c r="K900" i="25"/>
  <c r="K901" i="25"/>
  <c r="I907" i="25"/>
  <c r="J909" i="25"/>
  <c r="J913" i="25"/>
  <c r="I915" i="25"/>
  <c r="F896" i="25"/>
  <c r="K896" i="25"/>
  <c r="H898" i="25"/>
  <c r="G900" i="25"/>
  <c r="I901" i="25"/>
  <c r="K902" i="25"/>
  <c r="I904" i="25"/>
  <c r="F905" i="25"/>
  <c r="K905" i="25"/>
  <c r="J906" i="25"/>
  <c r="F906" i="25"/>
  <c r="H906" i="25"/>
  <c r="J910" i="25"/>
  <c r="F910" i="25"/>
  <c r="I910" i="25"/>
  <c r="K910" i="25"/>
  <c r="G914" i="25"/>
  <c r="J912" i="25"/>
  <c r="F912" i="25"/>
  <c r="I912" i="25"/>
  <c r="K912" i="25"/>
  <c r="H894" i="25"/>
  <c r="G892" i="25"/>
  <c r="J894" i="25"/>
  <c r="G896" i="25"/>
  <c r="J898" i="25"/>
  <c r="J901" i="25"/>
  <c r="I903" i="25"/>
  <c r="G905" i="25"/>
  <c r="I906" i="25"/>
  <c r="J908" i="25"/>
  <c r="F908" i="25"/>
  <c r="I908" i="25"/>
  <c r="K908" i="25"/>
  <c r="G912" i="25"/>
  <c r="J904" i="25"/>
  <c r="F904" i="25"/>
  <c r="H904" i="25"/>
  <c r="H896" i="25"/>
  <c r="J900" i="25"/>
  <c r="F900" i="25"/>
  <c r="I900" i="25"/>
  <c r="J902" i="25"/>
  <c r="F902" i="25"/>
  <c r="H902" i="25"/>
  <c r="G904" i="25"/>
  <c r="I905" i="25"/>
  <c r="H912" i="25"/>
  <c r="J914" i="25"/>
  <c r="F914" i="25"/>
  <c r="I914" i="25"/>
  <c r="K914" i="25"/>
  <c r="G907" i="25"/>
  <c r="K907" i="25"/>
  <c r="G909" i="25"/>
  <c r="K909" i="25"/>
  <c r="G911" i="25"/>
  <c r="K911" i="25"/>
  <c r="G913" i="25"/>
  <c r="K913" i="25"/>
  <c r="G915" i="25"/>
  <c r="K915" i="25"/>
  <c r="I916" i="25"/>
  <c r="G893" i="25"/>
  <c r="G895" i="25"/>
  <c r="G897" i="25"/>
  <c r="G899" i="25"/>
  <c r="F916" i="25"/>
  <c r="J916" i="25"/>
  <c r="G916" i="25"/>
  <c r="BW62" i="33"/>
  <c r="BS150" i="9"/>
  <c r="BS149" i="9"/>
  <c r="BS145" i="9"/>
  <c r="BS144" i="9"/>
  <c r="BS140" i="9"/>
  <c r="BS139" i="9"/>
  <c r="BS135" i="9"/>
  <c r="BS134" i="9"/>
  <c r="BS130" i="9"/>
  <c r="BS129" i="9"/>
  <c r="BS125" i="9"/>
  <c r="BT126" i="9" s="1"/>
  <c r="BS124" i="9"/>
  <c r="BS120" i="9"/>
  <c r="BS119" i="9"/>
  <c r="BS115" i="9"/>
  <c r="BS114" i="9"/>
  <c r="BS110" i="9"/>
  <c r="BS109" i="9"/>
  <c r="BS105" i="9"/>
  <c r="BT106" i="9" s="1"/>
  <c r="BS104" i="9"/>
  <c r="BS100" i="9"/>
  <c r="BS99" i="9"/>
  <c r="BS95" i="9"/>
  <c r="BT96" i="9" s="1"/>
  <c r="BS94" i="9"/>
  <c r="BS90" i="9"/>
  <c r="BS89" i="9"/>
  <c r="BS85" i="9"/>
  <c r="BS84" i="9"/>
  <c r="BS80" i="9"/>
  <c r="BS79" i="9"/>
  <c r="BS75" i="9"/>
  <c r="BT76" i="9" s="1"/>
  <c r="BS74" i="9"/>
  <c r="BS70" i="9"/>
  <c r="BS69" i="9"/>
  <c r="BS65" i="9"/>
  <c r="BT66" i="9" s="1"/>
  <c r="BS64" i="9"/>
  <c r="BS60" i="9"/>
  <c r="BS59" i="9"/>
  <c r="BS55" i="9"/>
  <c r="BT56" i="9" s="1"/>
  <c r="BS54" i="9"/>
  <c r="BS50" i="9"/>
  <c r="BS49" i="9"/>
  <c r="BS45" i="9"/>
  <c r="BS44" i="9"/>
  <c r="BS40" i="9"/>
  <c r="BS39" i="9"/>
  <c r="BS35" i="9"/>
  <c r="BT36" i="9" s="1"/>
  <c r="BS34" i="9"/>
  <c r="BS30" i="9"/>
  <c r="BS29" i="9"/>
  <c r="A882" i="25"/>
  <c r="K882" i="25" s="1"/>
  <c r="A881" i="25"/>
  <c r="H881" i="25" s="1"/>
  <c r="A880" i="25"/>
  <c r="H880" i="25" s="1"/>
  <c r="A879" i="25"/>
  <c r="H879" i="25" s="1"/>
  <c r="A878" i="25"/>
  <c r="A877" i="25"/>
  <c r="H877" i="25" s="1"/>
  <c r="A876" i="25"/>
  <c r="H876" i="25" s="1"/>
  <c r="A875" i="25"/>
  <c r="H875" i="25" s="1"/>
  <c r="A874" i="25"/>
  <c r="G874" i="25" s="1"/>
  <c r="A873" i="25"/>
  <c r="H873" i="25" s="1"/>
  <c r="A872" i="25"/>
  <c r="K872" i="25" s="1"/>
  <c r="A871" i="25"/>
  <c r="H871" i="25" s="1"/>
  <c r="A870" i="25"/>
  <c r="K870" i="25" s="1"/>
  <c r="A869" i="25"/>
  <c r="H869" i="25" s="1"/>
  <c r="A868" i="25"/>
  <c r="A867" i="25"/>
  <c r="H867" i="25" s="1"/>
  <c r="A866" i="25"/>
  <c r="G866" i="25" s="1"/>
  <c r="A865" i="25"/>
  <c r="H865" i="25" s="1"/>
  <c r="A864" i="25"/>
  <c r="K864" i="25" s="1"/>
  <c r="A863" i="25"/>
  <c r="H863" i="25" s="1"/>
  <c r="A862" i="25"/>
  <c r="G862" i="25" s="1"/>
  <c r="A861" i="25"/>
  <c r="H861" i="25" s="1"/>
  <c r="A860" i="25"/>
  <c r="G860" i="25" s="1"/>
  <c r="A859" i="25"/>
  <c r="I859" i="25" s="1"/>
  <c r="A858" i="25"/>
  <c r="K858" i="25" s="1"/>
  <c r="CM14" i="34" l="1"/>
  <c r="CN15" i="34"/>
  <c r="L892" i="25"/>
  <c r="M892" i="25" s="1"/>
  <c r="N892" i="25" s="1"/>
  <c r="I864" i="25"/>
  <c r="F875" i="25"/>
  <c r="L903" i="25"/>
  <c r="M903" i="25" s="1"/>
  <c r="N903" i="25" s="1"/>
  <c r="L893" i="25"/>
  <c r="M893" i="25" s="1"/>
  <c r="N893" i="25" s="1"/>
  <c r="M923" i="25"/>
  <c r="M951" i="25"/>
  <c r="N951" i="25" s="1"/>
  <c r="L895" i="25"/>
  <c r="M895" i="25" s="1"/>
  <c r="N895" i="25" s="1"/>
  <c r="L899" i="25"/>
  <c r="M899" i="25" s="1"/>
  <c r="N899" i="25" s="1"/>
  <c r="L901" i="25"/>
  <c r="M901" i="25" s="1"/>
  <c r="N901" i="25" s="1"/>
  <c r="L897" i="25"/>
  <c r="M897" i="25" s="1"/>
  <c r="N897" i="25" s="1"/>
  <c r="BT61" i="9"/>
  <c r="BT86" i="9"/>
  <c r="BT111" i="9"/>
  <c r="BT121" i="9"/>
  <c r="K862" i="25"/>
  <c r="BT46" i="9"/>
  <c r="BT71" i="9"/>
  <c r="BT131" i="9"/>
  <c r="BT141" i="9"/>
  <c r="BT151" i="9"/>
  <c r="BT31" i="9"/>
  <c r="BT81" i="9"/>
  <c r="BT91" i="9"/>
  <c r="BT116" i="9"/>
  <c r="F858" i="25"/>
  <c r="I866" i="25"/>
  <c r="J869" i="25"/>
  <c r="I875" i="25"/>
  <c r="H882" i="25"/>
  <c r="BT41" i="9"/>
  <c r="BT51" i="9"/>
  <c r="BT101" i="9"/>
  <c r="BT136" i="9"/>
  <c r="BT146" i="9"/>
  <c r="L913" i="25"/>
  <c r="M913" i="25" s="1"/>
  <c r="N913" i="25" s="1"/>
  <c r="L909" i="25"/>
  <c r="M909" i="25" s="1"/>
  <c r="N909" i="25" s="1"/>
  <c r="L915" i="25"/>
  <c r="M915" i="25" s="1"/>
  <c r="N915" i="25" s="1"/>
  <c r="H917" i="25"/>
  <c r="K917" i="25"/>
  <c r="L894" i="25"/>
  <c r="M894" i="25" s="1"/>
  <c r="N894" i="25" s="1"/>
  <c r="L911" i="25"/>
  <c r="M911" i="25" s="1"/>
  <c r="N911" i="25" s="1"/>
  <c r="L907" i="25"/>
  <c r="M907" i="25" s="1"/>
  <c r="N907" i="25" s="1"/>
  <c r="I917" i="25"/>
  <c r="J917" i="25"/>
  <c r="L898" i="25"/>
  <c r="M898" i="25" s="1"/>
  <c r="N898" i="25" s="1"/>
  <c r="L910" i="25"/>
  <c r="M910" i="25" s="1"/>
  <c r="N910" i="25" s="1"/>
  <c r="L906" i="25"/>
  <c r="M906" i="25" s="1"/>
  <c r="N906" i="25" s="1"/>
  <c r="L914" i="25"/>
  <c r="M914" i="25" s="1"/>
  <c r="N914" i="25" s="1"/>
  <c r="L896" i="25"/>
  <c r="M896" i="25" s="1"/>
  <c r="N896" i="25" s="1"/>
  <c r="L916" i="25"/>
  <c r="M916" i="25" s="1"/>
  <c r="N916" i="25" s="1"/>
  <c r="L904" i="25"/>
  <c r="M904" i="25" s="1"/>
  <c r="N904" i="25" s="1"/>
  <c r="G917" i="25"/>
  <c r="F917" i="25"/>
  <c r="L908" i="25"/>
  <c r="M908" i="25" s="1"/>
  <c r="N908" i="25" s="1"/>
  <c r="L905" i="25"/>
  <c r="M905" i="25" s="1"/>
  <c r="N905" i="25" s="1"/>
  <c r="L902" i="25"/>
  <c r="M902" i="25" s="1"/>
  <c r="N902" i="25" s="1"/>
  <c r="L900" i="25"/>
  <c r="M900" i="25" s="1"/>
  <c r="N900" i="25" s="1"/>
  <c r="L912" i="25"/>
  <c r="M912" i="25" s="1"/>
  <c r="N912" i="25" s="1"/>
  <c r="F877" i="25"/>
  <c r="F865" i="25"/>
  <c r="G864" i="25"/>
  <c r="G865" i="25"/>
  <c r="G876" i="25"/>
  <c r="I877" i="25"/>
  <c r="F879" i="25"/>
  <c r="F881" i="25"/>
  <c r="J877" i="25"/>
  <c r="I879" i="25"/>
  <c r="H858" i="25"/>
  <c r="F859" i="25"/>
  <c r="K865" i="25"/>
  <c r="F867" i="25"/>
  <c r="G870" i="25"/>
  <c r="G872" i="25"/>
  <c r="F873" i="25"/>
  <c r="I874" i="25"/>
  <c r="J875" i="25"/>
  <c r="J879" i="25"/>
  <c r="I881" i="25"/>
  <c r="I858" i="25"/>
  <c r="J859" i="25"/>
  <c r="G867" i="25"/>
  <c r="I872" i="25"/>
  <c r="G873" i="25"/>
  <c r="J881" i="25"/>
  <c r="K867" i="25"/>
  <c r="J858" i="25"/>
  <c r="J867" i="25"/>
  <c r="K873" i="25"/>
  <c r="G859" i="25"/>
  <c r="K859" i="25"/>
  <c r="J860" i="25"/>
  <c r="F860" i="25"/>
  <c r="H860" i="25"/>
  <c r="J861" i="25"/>
  <c r="I871" i="25"/>
  <c r="J878" i="25"/>
  <c r="F878" i="25"/>
  <c r="I878" i="25"/>
  <c r="K878" i="25"/>
  <c r="H859" i="25"/>
  <c r="I860" i="25"/>
  <c r="F861" i="25"/>
  <c r="K861" i="25"/>
  <c r="J862" i="25"/>
  <c r="F862" i="25"/>
  <c r="H862" i="25"/>
  <c r="J863" i="25"/>
  <c r="I865" i="25"/>
  <c r="K866" i="25"/>
  <c r="J876" i="25"/>
  <c r="F876" i="25"/>
  <c r="I876" i="25"/>
  <c r="K876" i="25"/>
  <c r="G880" i="25"/>
  <c r="I861" i="25"/>
  <c r="I863" i="25"/>
  <c r="J868" i="25"/>
  <c r="F868" i="25"/>
  <c r="H868" i="25"/>
  <c r="I868" i="25"/>
  <c r="F869" i="25"/>
  <c r="K869" i="25"/>
  <c r="J870" i="25"/>
  <c r="F870" i="25"/>
  <c r="H870" i="25"/>
  <c r="J871" i="25"/>
  <c r="I873" i="25"/>
  <c r="K874" i="25"/>
  <c r="G858" i="25"/>
  <c r="K860" i="25"/>
  <c r="G861" i="25"/>
  <c r="I862" i="25"/>
  <c r="F863" i="25"/>
  <c r="K863" i="25"/>
  <c r="J864" i="25"/>
  <c r="F864" i="25"/>
  <c r="H864" i="25"/>
  <c r="J865" i="25"/>
  <c r="I867" i="25"/>
  <c r="K868" i="25"/>
  <c r="G869" i="25"/>
  <c r="I870" i="25"/>
  <c r="F871" i="25"/>
  <c r="K871" i="25"/>
  <c r="J872" i="25"/>
  <c r="F872" i="25"/>
  <c r="H872" i="25"/>
  <c r="J873" i="25"/>
  <c r="G878" i="25"/>
  <c r="G863" i="25"/>
  <c r="J866" i="25"/>
  <c r="F866" i="25"/>
  <c r="H866" i="25"/>
  <c r="G868" i="25"/>
  <c r="I869" i="25"/>
  <c r="G871" i="25"/>
  <c r="J874" i="25"/>
  <c r="F874" i="25"/>
  <c r="H874" i="25"/>
  <c r="H878" i="25"/>
  <c r="J880" i="25"/>
  <c r="F880" i="25"/>
  <c r="I880" i="25"/>
  <c r="K880" i="25"/>
  <c r="G875" i="25"/>
  <c r="K875" i="25"/>
  <c r="G877" i="25"/>
  <c r="K877" i="25"/>
  <c r="G879" i="25"/>
  <c r="K879" i="25"/>
  <c r="G881" i="25"/>
  <c r="K881" i="25"/>
  <c r="I882" i="25"/>
  <c r="F882" i="25"/>
  <c r="J882" i="25"/>
  <c r="G882" i="25"/>
  <c r="BV62" i="33"/>
  <c r="CO15" i="34" l="1"/>
  <c r="CN14" i="34"/>
  <c r="C949" i="25"/>
  <c r="C933" i="25"/>
  <c r="C935" i="25"/>
  <c r="C941" i="25"/>
  <c r="C940" i="25"/>
  <c r="C938" i="25"/>
  <c r="C934" i="25"/>
  <c r="C939" i="25"/>
  <c r="C914" i="25"/>
  <c r="C910" i="25"/>
  <c r="C892" i="25"/>
  <c r="C916" i="25"/>
  <c r="C913" i="25"/>
  <c r="L917" i="25"/>
  <c r="M889" i="25" s="1"/>
  <c r="C895" i="25"/>
  <c r="C909" i="25"/>
  <c r="C898" i="25"/>
  <c r="C894" i="25"/>
  <c r="L867" i="25"/>
  <c r="M867" i="25" s="1"/>
  <c r="N867" i="25" s="1"/>
  <c r="C912" i="25"/>
  <c r="C902" i="25"/>
  <c r="C908" i="25"/>
  <c r="C893" i="25"/>
  <c r="C903" i="25"/>
  <c r="C896" i="25"/>
  <c r="C911" i="25"/>
  <c r="C897" i="25"/>
  <c r="L873" i="25"/>
  <c r="M873" i="25" s="1"/>
  <c r="N873" i="25" s="1"/>
  <c r="L879" i="25"/>
  <c r="M879" i="25" s="1"/>
  <c r="N879" i="25" s="1"/>
  <c r="L875" i="25"/>
  <c r="M875" i="25" s="1"/>
  <c r="N875" i="25" s="1"/>
  <c r="L881" i="25"/>
  <c r="M881" i="25" s="1"/>
  <c r="N881" i="25" s="1"/>
  <c r="L877" i="25"/>
  <c r="M877" i="25" s="1"/>
  <c r="N877" i="25" s="1"/>
  <c r="J883" i="25"/>
  <c r="L865" i="25"/>
  <c r="M865" i="25" s="1"/>
  <c r="N865" i="25" s="1"/>
  <c r="K883" i="25"/>
  <c r="H883" i="25"/>
  <c r="F883" i="25"/>
  <c r="I883" i="25"/>
  <c r="L859" i="25"/>
  <c r="M859" i="25" s="1"/>
  <c r="N859" i="25" s="1"/>
  <c r="L882" i="25"/>
  <c r="M882" i="25" s="1"/>
  <c r="N882" i="25" s="1"/>
  <c r="L880" i="25"/>
  <c r="M880" i="25" s="1"/>
  <c r="N880" i="25" s="1"/>
  <c r="L866" i="25"/>
  <c r="M866" i="25" s="1"/>
  <c r="N866" i="25" s="1"/>
  <c r="L864" i="25"/>
  <c r="M864" i="25" s="1"/>
  <c r="N864" i="25" s="1"/>
  <c r="L870" i="25"/>
  <c r="M870" i="25" s="1"/>
  <c r="N870" i="25" s="1"/>
  <c r="L876" i="25"/>
  <c r="M876" i="25" s="1"/>
  <c r="N876" i="25" s="1"/>
  <c r="L878" i="25"/>
  <c r="M878" i="25" s="1"/>
  <c r="N878" i="25" s="1"/>
  <c r="L871" i="25"/>
  <c r="M871" i="25" s="1"/>
  <c r="N871" i="25" s="1"/>
  <c r="L861" i="25"/>
  <c r="M861" i="25" s="1"/>
  <c r="N861" i="25" s="1"/>
  <c r="L872" i="25"/>
  <c r="M872" i="25" s="1"/>
  <c r="N872" i="25" s="1"/>
  <c r="L862" i="25"/>
  <c r="M862" i="25" s="1"/>
  <c r="N862" i="25" s="1"/>
  <c r="L874" i="25"/>
  <c r="M874" i="25" s="1"/>
  <c r="N874" i="25" s="1"/>
  <c r="L863" i="25"/>
  <c r="M863" i="25" s="1"/>
  <c r="N863" i="25" s="1"/>
  <c r="G883" i="25"/>
  <c r="L858" i="25"/>
  <c r="L869" i="25"/>
  <c r="M869" i="25" s="1"/>
  <c r="N869" i="25" s="1"/>
  <c r="L868" i="25"/>
  <c r="M868" i="25" s="1"/>
  <c r="N868" i="25" s="1"/>
  <c r="L860" i="25"/>
  <c r="M860" i="25" s="1"/>
  <c r="N860" i="25" s="1"/>
  <c r="BR150" i="9"/>
  <c r="BS151" i="9" s="1"/>
  <c r="BR149" i="9"/>
  <c r="BR145" i="9"/>
  <c r="BS146" i="9" s="1"/>
  <c r="BR144" i="9"/>
  <c r="BR140" i="9"/>
  <c r="BS141" i="9" s="1"/>
  <c r="BR139" i="9"/>
  <c r="BR135" i="9"/>
  <c r="BS136" i="9" s="1"/>
  <c r="BR134" i="9"/>
  <c r="BR130" i="9"/>
  <c r="BS131" i="9" s="1"/>
  <c r="BR129" i="9"/>
  <c r="BR125" i="9"/>
  <c r="BS126" i="9" s="1"/>
  <c r="BR124" i="9"/>
  <c r="BR120" i="9"/>
  <c r="BS121" i="9" s="1"/>
  <c r="BR119" i="9"/>
  <c r="BR115" i="9"/>
  <c r="BS116" i="9" s="1"/>
  <c r="BR114" i="9"/>
  <c r="BR110" i="9"/>
  <c r="BS111" i="9" s="1"/>
  <c r="BR109" i="9"/>
  <c r="BR105" i="9"/>
  <c r="BS106" i="9" s="1"/>
  <c r="BR104" i="9"/>
  <c r="BR100" i="9"/>
  <c r="BS101" i="9" s="1"/>
  <c r="BR99" i="9"/>
  <c r="BR95" i="9"/>
  <c r="BS96" i="9" s="1"/>
  <c r="BR94" i="9"/>
  <c r="BR90" i="9"/>
  <c r="BS91" i="9" s="1"/>
  <c r="BR89" i="9"/>
  <c r="BR85" i="9"/>
  <c r="BS86" i="9" s="1"/>
  <c r="BR84" i="9"/>
  <c r="BR80" i="9"/>
  <c r="BS81" i="9" s="1"/>
  <c r="BR79" i="9"/>
  <c r="BR75" i="9"/>
  <c r="BS76" i="9" s="1"/>
  <c r="BR74" i="9"/>
  <c r="BR70" i="9"/>
  <c r="BS71" i="9" s="1"/>
  <c r="BR69" i="9"/>
  <c r="BR65" i="9"/>
  <c r="BS66" i="9" s="1"/>
  <c r="BR64" i="9"/>
  <c r="BR60" i="9"/>
  <c r="BS61" i="9" s="1"/>
  <c r="BR59" i="9"/>
  <c r="BR55" i="9"/>
  <c r="BS56" i="9" s="1"/>
  <c r="BR54" i="9"/>
  <c r="BR50" i="9"/>
  <c r="BS51" i="9" s="1"/>
  <c r="BR49" i="9"/>
  <c r="BR45" i="9"/>
  <c r="BS46" i="9" s="1"/>
  <c r="BR44" i="9"/>
  <c r="BR40" i="9"/>
  <c r="BS41" i="9" s="1"/>
  <c r="BR39" i="9"/>
  <c r="BR35" i="9"/>
  <c r="BS36" i="9" s="1"/>
  <c r="BR34" i="9"/>
  <c r="BR30" i="9"/>
  <c r="BS31" i="9" s="1"/>
  <c r="BR29" i="9"/>
  <c r="A848" i="25"/>
  <c r="K848" i="25" s="1"/>
  <c r="A847" i="25"/>
  <c r="F847" i="25" s="1"/>
  <c r="A846" i="25"/>
  <c r="K846" i="25" s="1"/>
  <c r="A845" i="25"/>
  <c r="G845" i="25" s="1"/>
  <c r="A844" i="25"/>
  <c r="K844" i="25" s="1"/>
  <c r="A843" i="25"/>
  <c r="H843" i="25" s="1"/>
  <c r="A842" i="25"/>
  <c r="A841" i="25"/>
  <c r="H841" i="25" s="1"/>
  <c r="A840" i="25"/>
  <c r="G840" i="25" s="1"/>
  <c r="A839" i="25"/>
  <c r="H839" i="25" s="1"/>
  <c r="A838" i="25"/>
  <c r="I838" i="25" s="1"/>
  <c r="A837" i="25"/>
  <c r="H837" i="25" s="1"/>
  <c r="A836" i="25"/>
  <c r="K836" i="25" s="1"/>
  <c r="A835" i="25"/>
  <c r="H835" i="25" s="1"/>
  <c r="A834" i="25"/>
  <c r="A833" i="25"/>
  <c r="H833" i="25" s="1"/>
  <c r="A832" i="25"/>
  <c r="G832" i="25" s="1"/>
  <c r="A831" i="25"/>
  <c r="H831" i="25" s="1"/>
  <c r="A830" i="25"/>
  <c r="K830" i="25" s="1"/>
  <c r="A829" i="25"/>
  <c r="H829" i="25" s="1"/>
  <c r="A828" i="25"/>
  <c r="K828" i="25" s="1"/>
  <c r="A827" i="25"/>
  <c r="H827" i="25" s="1"/>
  <c r="A826" i="25"/>
  <c r="I826" i="25" s="1"/>
  <c r="A825" i="25"/>
  <c r="J825" i="25" s="1"/>
  <c r="A824" i="25"/>
  <c r="K824" i="25" s="1"/>
  <c r="CO14" i="34" l="1"/>
  <c r="CP15" i="34"/>
  <c r="J833" i="25"/>
  <c r="F841" i="25"/>
  <c r="M917" i="25"/>
  <c r="N917" i="25" s="1"/>
  <c r="C915" i="25" s="1"/>
  <c r="G841" i="25"/>
  <c r="F831" i="25"/>
  <c r="G828" i="25"/>
  <c r="G830" i="25"/>
  <c r="G831" i="25"/>
  <c r="J845" i="25"/>
  <c r="I830" i="25"/>
  <c r="J835" i="25"/>
  <c r="K838" i="25"/>
  <c r="F824" i="25"/>
  <c r="K839" i="25"/>
  <c r="H844" i="25"/>
  <c r="H824" i="25"/>
  <c r="I832" i="25"/>
  <c r="I844" i="25"/>
  <c r="I824" i="25"/>
  <c r="L883" i="25"/>
  <c r="M858" i="25"/>
  <c r="N858" i="25" s="1"/>
  <c r="C882" i="25" s="1"/>
  <c r="K833" i="25"/>
  <c r="J824" i="25"/>
  <c r="J827" i="25"/>
  <c r="K831" i="25"/>
  <c r="F833" i="25"/>
  <c r="G836" i="25"/>
  <c r="G838" i="25"/>
  <c r="F839" i="25"/>
  <c r="I840" i="25"/>
  <c r="J841" i="25"/>
  <c r="J843" i="25"/>
  <c r="H846" i="25"/>
  <c r="H848" i="25"/>
  <c r="G833" i="25"/>
  <c r="G839" i="25"/>
  <c r="K841" i="25"/>
  <c r="I846" i="25"/>
  <c r="I848" i="25"/>
  <c r="J834" i="25"/>
  <c r="F834" i="25"/>
  <c r="H834" i="25"/>
  <c r="J842" i="25"/>
  <c r="F842" i="25"/>
  <c r="H842" i="25"/>
  <c r="H825" i="25"/>
  <c r="F827" i="25"/>
  <c r="K827" i="25"/>
  <c r="J828" i="25"/>
  <c r="F828" i="25"/>
  <c r="H828" i="25"/>
  <c r="J829" i="25"/>
  <c r="I831" i="25"/>
  <c r="K832" i="25"/>
  <c r="I842" i="25"/>
  <c r="F843" i="25"/>
  <c r="K843" i="25"/>
  <c r="I845" i="25"/>
  <c r="H845" i="25"/>
  <c r="K845" i="25"/>
  <c r="G825" i="25"/>
  <c r="K825" i="25"/>
  <c r="J826" i="25"/>
  <c r="F826" i="25"/>
  <c r="H826" i="25"/>
  <c r="I829" i="25"/>
  <c r="I837" i="25"/>
  <c r="I847" i="25"/>
  <c r="H847" i="25"/>
  <c r="K847" i="25"/>
  <c r="I834" i="25"/>
  <c r="F835" i="25"/>
  <c r="K835" i="25"/>
  <c r="J836" i="25"/>
  <c r="F836" i="25"/>
  <c r="H836" i="25"/>
  <c r="J837" i="25"/>
  <c r="I839" i="25"/>
  <c r="K840" i="25"/>
  <c r="G824" i="25"/>
  <c r="I825" i="25"/>
  <c r="K826" i="25"/>
  <c r="G827" i="25"/>
  <c r="I828" i="25"/>
  <c r="F829" i="25"/>
  <c r="K829" i="25"/>
  <c r="J830" i="25"/>
  <c r="F830" i="25"/>
  <c r="H830" i="25"/>
  <c r="J831" i="25"/>
  <c r="I833" i="25"/>
  <c r="K834" i="25"/>
  <c r="G835" i="25"/>
  <c r="I836" i="25"/>
  <c r="F837" i="25"/>
  <c r="K837" i="25"/>
  <c r="J838" i="25"/>
  <c r="F838" i="25"/>
  <c r="H838" i="25"/>
  <c r="J839" i="25"/>
  <c r="I841" i="25"/>
  <c r="K842" i="25"/>
  <c r="G843" i="25"/>
  <c r="F845" i="25"/>
  <c r="G847" i="25"/>
  <c r="F825" i="25"/>
  <c r="G826" i="25"/>
  <c r="I827" i="25"/>
  <c r="G829" i="25"/>
  <c r="J832" i="25"/>
  <c r="F832" i="25"/>
  <c r="H832" i="25"/>
  <c r="G834" i="25"/>
  <c r="I835" i="25"/>
  <c r="G837" i="25"/>
  <c r="J840" i="25"/>
  <c r="F840" i="25"/>
  <c r="H840" i="25"/>
  <c r="G842" i="25"/>
  <c r="I843" i="25"/>
  <c r="J847" i="25"/>
  <c r="F844" i="25"/>
  <c r="J844" i="25"/>
  <c r="F846" i="25"/>
  <c r="J846" i="25"/>
  <c r="F848" i="25"/>
  <c r="J848" i="25"/>
  <c r="G844" i="25"/>
  <c r="G846" i="25"/>
  <c r="G848" i="25"/>
  <c r="BU62" i="33"/>
  <c r="CQ15" i="34" l="1"/>
  <c r="CP14" i="34"/>
  <c r="C905" i="25"/>
  <c r="C906" i="25"/>
  <c r="C907" i="25"/>
  <c r="C901" i="25"/>
  <c r="C904" i="25"/>
  <c r="C899" i="25"/>
  <c r="C900" i="25"/>
  <c r="L841" i="25"/>
  <c r="M841" i="25" s="1"/>
  <c r="N841" i="25" s="1"/>
  <c r="L833" i="25"/>
  <c r="M833" i="25" s="1"/>
  <c r="N833" i="25" s="1"/>
  <c r="C858" i="25"/>
  <c r="C877" i="25"/>
  <c r="C859" i="25"/>
  <c r="C875" i="25"/>
  <c r="C879" i="25"/>
  <c r="C867" i="25"/>
  <c r="C865" i="25"/>
  <c r="C876" i="25"/>
  <c r="M855" i="25"/>
  <c r="M883" i="25"/>
  <c r="N883" i="25" s="1"/>
  <c r="C869" i="25"/>
  <c r="C861" i="25"/>
  <c r="C868" i="25"/>
  <c r="C864" i="25"/>
  <c r="C862" i="25"/>
  <c r="C878" i="25"/>
  <c r="C880" i="25"/>
  <c r="C863" i="25"/>
  <c r="C874" i="25"/>
  <c r="C860" i="25"/>
  <c r="L831" i="25"/>
  <c r="M831" i="25" s="1"/>
  <c r="N831" i="25" s="1"/>
  <c r="L839" i="25"/>
  <c r="M839" i="25" s="1"/>
  <c r="N839" i="25" s="1"/>
  <c r="J849" i="25"/>
  <c r="L847" i="25"/>
  <c r="M847" i="25" s="1"/>
  <c r="N847" i="25" s="1"/>
  <c r="I849" i="25"/>
  <c r="H849" i="25"/>
  <c r="F849" i="25"/>
  <c r="K849" i="25"/>
  <c r="L834" i="25"/>
  <c r="M834" i="25" s="1"/>
  <c r="N834" i="25" s="1"/>
  <c r="L838" i="25"/>
  <c r="M838" i="25" s="1"/>
  <c r="N838" i="25" s="1"/>
  <c r="L826" i="25"/>
  <c r="M826" i="25" s="1"/>
  <c r="N826" i="25" s="1"/>
  <c r="L843" i="25"/>
  <c r="M843" i="25" s="1"/>
  <c r="N843" i="25" s="1"/>
  <c r="L842" i="25"/>
  <c r="M842" i="25" s="1"/>
  <c r="N842" i="25" s="1"/>
  <c r="L846" i="25"/>
  <c r="M846" i="25" s="1"/>
  <c r="N846" i="25" s="1"/>
  <c r="L836" i="25"/>
  <c r="M836" i="25" s="1"/>
  <c r="N836" i="25" s="1"/>
  <c r="L848" i="25"/>
  <c r="M848" i="25" s="1"/>
  <c r="N848" i="25" s="1"/>
  <c r="L844" i="25"/>
  <c r="M844" i="25" s="1"/>
  <c r="N844" i="25" s="1"/>
  <c r="L832" i="25"/>
  <c r="M832" i="25" s="1"/>
  <c r="N832" i="25" s="1"/>
  <c r="L829" i="25"/>
  <c r="M829" i="25" s="1"/>
  <c r="N829" i="25" s="1"/>
  <c r="L827" i="25"/>
  <c r="M827" i="25" s="1"/>
  <c r="N827" i="25" s="1"/>
  <c r="L825" i="25"/>
  <c r="M825" i="25" s="1"/>
  <c r="N825" i="25" s="1"/>
  <c r="L837" i="25"/>
  <c r="M837" i="25" s="1"/>
  <c r="N837" i="25" s="1"/>
  <c r="L840" i="25"/>
  <c r="M840" i="25" s="1"/>
  <c r="N840" i="25" s="1"/>
  <c r="L845" i="25"/>
  <c r="M845" i="25" s="1"/>
  <c r="N845" i="25" s="1"/>
  <c r="L830" i="25"/>
  <c r="M830" i="25" s="1"/>
  <c r="N830" i="25" s="1"/>
  <c r="G849" i="25"/>
  <c r="L824" i="25"/>
  <c r="L835" i="25"/>
  <c r="M835" i="25" s="1"/>
  <c r="N835" i="25" s="1"/>
  <c r="L828" i="25"/>
  <c r="M828" i="25" s="1"/>
  <c r="N828" i="25" s="1"/>
  <c r="BQ150" i="9"/>
  <c r="BQ149" i="9"/>
  <c r="BQ145" i="9"/>
  <c r="BR146" i="9" s="1"/>
  <c r="BQ144" i="9"/>
  <c r="BQ140" i="9"/>
  <c r="BQ139" i="9"/>
  <c r="BQ135" i="9"/>
  <c r="BQ134" i="9"/>
  <c r="BQ130" i="9"/>
  <c r="BQ129" i="9"/>
  <c r="BQ125" i="9"/>
  <c r="BR126" i="9" s="1"/>
  <c r="BQ124" i="9"/>
  <c r="BQ120" i="9"/>
  <c r="BQ119" i="9"/>
  <c r="BQ115" i="9"/>
  <c r="BR116" i="9" s="1"/>
  <c r="BQ114" i="9"/>
  <c r="BQ110" i="9"/>
  <c r="BQ109" i="9"/>
  <c r="BQ105" i="9"/>
  <c r="BR106" i="9" s="1"/>
  <c r="BQ104" i="9"/>
  <c r="BQ100" i="9"/>
  <c r="BQ99" i="9"/>
  <c r="BQ95" i="9"/>
  <c r="BR96" i="9" s="1"/>
  <c r="BQ94" i="9"/>
  <c r="BQ90" i="9"/>
  <c r="BQ89" i="9"/>
  <c r="BQ85" i="9"/>
  <c r="BR86" i="9" s="1"/>
  <c r="BQ84" i="9"/>
  <c r="BQ80" i="9"/>
  <c r="BQ79" i="9"/>
  <c r="BQ75" i="9"/>
  <c r="BR76" i="9" s="1"/>
  <c r="BQ74" i="9"/>
  <c r="BQ70" i="9"/>
  <c r="BQ69" i="9"/>
  <c r="BQ65" i="9"/>
  <c r="BR66" i="9" s="1"/>
  <c r="BQ64" i="9"/>
  <c r="BQ60" i="9"/>
  <c r="BQ59" i="9"/>
  <c r="BQ55" i="9"/>
  <c r="BR56" i="9" s="1"/>
  <c r="BQ54" i="9"/>
  <c r="BQ50" i="9"/>
  <c r="BQ49" i="9"/>
  <c r="BQ45" i="9"/>
  <c r="BR46" i="9" s="1"/>
  <c r="BQ44" i="9"/>
  <c r="BQ40" i="9"/>
  <c r="BQ39" i="9"/>
  <c r="BQ35" i="9"/>
  <c r="BR36" i="9" s="1"/>
  <c r="BQ34" i="9"/>
  <c r="BQ30" i="9"/>
  <c r="BQ29" i="9"/>
  <c r="A814" i="25"/>
  <c r="K814" i="25" s="1"/>
  <c r="A813" i="25"/>
  <c r="H813" i="25" s="1"/>
  <c r="A812" i="25"/>
  <c r="H812" i="25" s="1"/>
  <c r="A811" i="25"/>
  <c r="H811" i="25" s="1"/>
  <c r="A810" i="25"/>
  <c r="A809" i="25"/>
  <c r="H809" i="25" s="1"/>
  <c r="A808" i="25"/>
  <c r="H808" i="25" s="1"/>
  <c r="A807" i="25"/>
  <c r="H807" i="25" s="1"/>
  <c r="A806" i="25"/>
  <c r="H806" i="25" s="1"/>
  <c r="A805" i="25"/>
  <c r="H805" i="25" s="1"/>
  <c r="A804" i="25"/>
  <c r="H804" i="25" s="1"/>
  <c r="A803" i="25"/>
  <c r="H803" i="25" s="1"/>
  <c r="A802" i="25"/>
  <c r="K802" i="25" s="1"/>
  <c r="A801" i="25"/>
  <c r="K801" i="25" s="1"/>
  <c r="A800" i="25"/>
  <c r="I800" i="25" s="1"/>
  <c r="A799" i="25"/>
  <c r="K799" i="25" s="1"/>
  <c r="A798" i="25"/>
  <c r="I798" i="25" s="1"/>
  <c r="A797" i="25"/>
  <c r="K797" i="25" s="1"/>
  <c r="A796" i="25"/>
  <c r="I796" i="25" s="1"/>
  <c r="A795" i="25"/>
  <c r="K795" i="25" s="1"/>
  <c r="A794" i="25"/>
  <c r="I794" i="25" s="1"/>
  <c r="A793" i="25"/>
  <c r="K793" i="25" s="1"/>
  <c r="A792" i="25"/>
  <c r="I792" i="25" s="1"/>
  <c r="A791" i="25"/>
  <c r="K791" i="25" s="1"/>
  <c r="A790" i="25"/>
  <c r="I790" i="25" s="1"/>
  <c r="CQ14" i="34" l="1"/>
  <c r="CR15" i="34"/>
  <c r="I799" i="25"/>
  <c r="I791" i="25"/>
  <c r="F799" i="25"/>
  <c r="F809" i="25"/>
  <c r="F791" i="25"/>
  <c r="F795" i="25"/>
  <c r="F803" i="25"/>
  <c r="I795" i="25"/>
  <c r="H791" i="25"/>
  <c r="F793" i="25"/>
  <c r="H795" i="25"/>
  <c r="F797" i="25"/>
  <c r="H799" i="25"/>
  <c r="F801" i="25"/>
  <c r="F807" i="25"/>
  <c r="F811" i="25"/>
  <c r="C881" i="25"/>
  <c r="C870" i="25"/>
  <c r="C873" i="25"/>
  <c r="C871" i="25"/>
  <c r="C872" i="25"/>
  <c r="BR41" i="9"/>
  <c r="BR121" i="9"/>
  <c r="I809" i="25"/>
  <c r="BR51" i="9"/>
  <c r="BR91" i="9"/>
  <c r="BR131" i="9"/>
  <c r="BR141" i="9"/>
  <c r="BR81" i="9"/>
  <c r="G808" i="25"/>
  <c r="BR61" i="9"/>
  <c r="BR101" i="9"/>
  <c r="BR151" i="9"/>
  <c r="BR31" i="9"/>
  <c r="BR71" i="9"/>
  <c r="BR111" i="9"/>
  <c r="BR136" i="9"/>
  <c r="L849" i="25"/>
  <c r="M824" i="25"/>
  <c r="N824" i="25" s="1"/>
  <c r="C828" i="25" s="1"/>
  <c r="K790" i="25"/>
  <c r="K794" i="25"/>
  <c r="F790" i="25"/>
  <c r="J791" i="25"/>
  <c r="H793" i="25"/>
  <c r="F794" i="25"/>
  <c r="J795" i="25"/>
  <c r="H797" i="25"/>
  <c r="F798" i="25"/>
  <c r="J799" i="25"/>
  <c r="H801" i="25"/>
  <c r="H802" i="25"/>
  <c r="I803" i="25"/>
  <c r="F805" i="25"/>
  <c r="G806" i="25"/>
  <c r="I807" i="25"/>
  <c r="J809" i="25"/>
  <c r="I811" i="25"/>
  <c r="F813" i="25"/>
  <c r="H814" i="25"/>
  <c r="K798" i="25"/>
  <c r="G790" i="25"/>
  <c r="I793" i="25"/>
  <c r="G794" i="25"/>
  <c r="I797" i="25"/>
  <c r="G798" i="25"/>
  <c r="I801" i="25"/>
  <c r="J803" i="25"/>
  <c r="I805" i="25"/>
  <c r="J807" i="25"/>
  <c r="J811" i="25"/>
  <c r="I813" i="25"/>
  <c r="J790" i="25"/>
  <c r="J793" i="25"/>
  <c r="J794" i="25"/>
  <c r="J797" i="25"/>
  <c r="J798" i="25"/>
  <c r="J801" i="25"/>
  <c r="J805" i="25"/>
  <c r="J813" i="25"/>
  <c r="H800" i="25"/>
  <c r="J810" i="25"/>
  <c r="F810" i="25"/>
  <c r="I810" i="25"/>
  <c r="K810" i="25"/>
  <c r="J796" i="25"/>
  <c r="J800" i="25"/>
  <c r="J802" i="25"/>
  <c r="F802" i="25"/>
  <c r="I802" i="25"/>
  <c r="G804" i="25"/>
  <c r="J808" i="25"/>
  <c r="F808" i="25"/>
  <c r="I808" i="25"/>
  <c r="K808" i="25"/>
  <c r="G812" i="25"/>
  <c r="H792" i="25"/>
  <c r="J792" i="25"/>
  <c r="H790" i="25"/>
  <c r="F792" i="25"/>
  <c r="K792" i="25"/>
  <c r="H794" i="25"/>
  <c r="F796" i="25"/>
  <c r="K796" i="25"/>
  <c r="H798" i="25"/>
  <c r="F800" i="25"/>
  <c r="K800" i="25"/>
  <c r="G802" i="25"/>
  <c r="J806" i="25"/>
  <c r="F806" i="25"/>
  <c r="I806" i="25"/>
  <c r="K806" i="25"/>
  <c r="G810" i="25"/>
  <c r="H796" i="25"/>
  <c r="G792" i="25"/>
  <c r="G796" i="25"/>
  <c r="G800" i="25"/>
  <c r="J804" i="25"/>
  <c r="F804" i="25"/>
  <c r="I804" i="25"/>
  <c r="K804" i="25"/>
  <c r="H810" i="25"/>
  <c r="J812" i="25"/>
  <c r="F812" i="25"/>
  <c r="I812" i="25"/>
  <c r="K812" i="25"/>
  <c r="G803" i="25"/>
  <c r="K803" i="25"/>
  <c r="G805" i="25"/>
  <c r="K805" i="25"/>
  <c r="G807" i="25"/>
  <c r="K807" i="25"/>
  <c r="G809" i="25"/>
  <c r="K809" i="25"/>
  <c r="G811" i="25"/>
  <c r="K811" i="25"/>
  <c r="G813" i="25"/>
  <c r="K813" i="25"/>
  <c r="I814" i="25"/>
  <c r="G791" i="25"/>
  <c r="G793" i="25"/>
  <c r="G795" i="25"/>
  <c r="G797" i="25"/>
  <c r="G799" i="25"/>
  <c r="G801" i="25"/>
  <c r="F814" i="25"/>
  <c r="J814" i="25"/>
  <c r="G814" i="25"/>
  <c r="CR14" i="34" l="1"/>
  <c r="CS15" i="34"/>
  <c r="L791" i="25"/>
  <c r="M791" i="25" s="1"/>
  <c r="N791" i="25" s="1"/>
  <c r="L795" i="25"/>
  <c r="M795" i="25" s="1"/>
  <c r="N795" i="25" s="1"/>
  <c r="C842" i="25"/>
  <c r="C844" i="25"/>
  <c r="L798" i="25"/>
  <c r="M798" i="25" s="1"/>
  <c r="N798" i="25" s="1"/>
  <c r="C846" i="25"/>
  <c r="C832" i="25"/>
  <c r="L799" i="25"/>
  <c r="M799" i="25" s="1"/>
  <c r="N799" i="25" s="1"/>
  <c r="C845" i="25"/>
  <c r="C835" i="25"/>
  <c r="C834" i="25"/>
  <c r="C826" i="25"/>
  <c r="C848" i="25"/>
  <c r="C840" i="25"/>
  <c r="C827" i="25"/>
  <c r="C843" i="25"/>
  <c r="C824" i="25"/>
  <c r="C841" i="25"/>
  <c r="C831" i="25"/>
  <c r="C833" i="25"/>
  <c r="C830" i="25"/>
  <c r="C829" i="25"/>
  <c r="M849" i="25"/>
  <c r="N849" i="25" s="1"/>
  <c r="M821" i="25"/>
  <c r="C825" i="25"/>
  <c r="L801" i="25"/>
  <c r="M801" i="25" s="1"/>
  <c r="N801" i="25" s="1"/>
  <c r="L793" i="25"/>
  <c r="M793" i="25" s="1"/>
  <c r="N793" i="25" s="1"/>
  <c r="L790" i="25"/>
  <c r="M790" i="25" s="1"/>
  <c r="N790" i="25" s="1"/>
  <c r="L797" i="25"/>
  <c r="M797" i="25" s="1"/>
  <c r="N797" i="25" s="1"/>
  <c r="L794" i="25"/>
  <c r="M794" i="25" s="1"/>
  <c r="N794" i="25" s="1"/>
  <c r="L811" i="25"/>
  <c r="M811" i="25" s="1"/>
  <c r="N811" i="25" s="1"/>
  <c r="L807" i="25"/>
  <c r="M807" i="25" s="1"/>
  <c r="N807" i="25" s="1"/>
  <c r="L803" i="25"/>
  <c r="M803" i="25" s="1"/>
  <c r="N803" i="25" s="1"/>
  <c r="L805" i="25"/>
  <c r="M805" i="25" s="1"/>
  <c r="N805" i="25" s="1"/>
  <c r="L813" i="25"/>
  <c r="M813" i="25" s="1"/>
  <c r="N813" i="25" s="1"/>
  <c r="L809" i="25"/>
  <c r="M809" i="25" s="1"/>
  <c r="N809" i="25" s="1"/>
  <c r="K815" i="25"/>
  <c r="J815" i="25"/>
  <c r="I815" i="25"/>
  <c r="L792" i="25"/>
  <c r="M792" i="25" s="1"/>
  <c r="N792" i="25" s="1"/>
  <c r="G815" i="25"/>
  <c r="L814" i="25"/>
  <c r="M814" i="25" s="1"/>
  <c r="N814" i="25" s="1"/>
  <c r="L806" i="25"/>
  <c r="M806" i="25" s="1"/>
  <c r="N806" i="25" s="1"/>
  <c r="L796" i="25"/>
  <c r="M796" i="25" s="1"/>
  <c r="N796" i="25" s="1"/>
  <c r="H815" i="25"/>
  <c r="L808" i="25"/>
  <c r="M808" i="25" s="1"/>
  <c r="N808" i="25" s="1"/>
  <c r="L810" i="25"/>
  <c r="M810" i="25" s="1"/>
  <c r="N810" i="25" s="1"/>
  <c r="L804" i="25"/>
  <c r="M804" i="25" s="1"/>
  <c r="N804" i="25" s="1"/>
  <c r="L812" i="25"/>
  <c r="M812" i="25" s="1"/>
  <c r="N812" i="25" s="1"/>
  <c r="L800" i="25"/>
  <c r="F815" i="25"/>
  <c r="L802" i="25"/>
  <c r="M802" i="25" s="1"/>
  <c r="N802" i="25" s="1"/>
  <c r="BT62" i="33"/>
  <c r="CS14" i="34" l="1"/>
  <c r="CT15" i="34"/>
  <c r="C838" i="25"/>
  <c r="C847" i="25"/>
  <c r="C836" i="25"/>
  <c r="C837" i="25"/>
  <c r="C839" i="25"/>
  <c r="L815" i="25"/>
  <c r="M787" i="25" s="1"/>
  <c r="M800" i="25"/>
  <c r="N800" i="25" s="1"/>
  <c r="C800" i="25" s="1"/>
  <c r="BP150" i="9"/>
  <c r="BP149" i="9"/>
  <c r="BP145" i="9"/>
  <c r="BP144" i="9"/>
  <c r="BP140" i="9"/>
  <c r="BP139" i="9"/>
  <c r="BP135" i="9"/>
  <c r="BP134" i="9"/>
  <c r="BP130" i="9"/>
  <c r="BP129" i="9"/>
  <c r="BP125" i="9"/>
  <c r="BQ126" i="9" s="1"/>
  <c r="BP124" i="9"/>
  <c r="BP120" i="9"/>
  <c r="BP119" i="9"/>
  <c r="BP115" i="9"/>
  <c r="BP114" i="9"/>
  <c r="BP110" i="9"/>
  <c r="BQ111" i="9" s="1"/>
  <c r="BP109" i="9"/>
  <c r="BP105" i="9"/>
  <c r="BP104" i="9"/>
  <c r="BP100" i="9"/>
  <c r="BP99" i="9"/>
  <c r="BP95" i="9"/>
  <c r="BP94" i="9"/>
  <c r="BP90" i="9"/>
  <c r="BP89" i="9"/>
  <c r="BP85" i="9"/>
  <c r="BP84" i="9"/>
  <c r="BP80" i="9"/>
  <c r="BP79" i="9"/>
  <c r="BP75" i="9"/>
  <c r="BP74" i="9"/>
  <c r="BP70" i="9"/>
  <c r="BQ71" i="9" s="1"/>
  <c r="BP69" i="9"/>
  <c r="BP65" i="9"/>
  <c r="BP64" i="9"/>
  <c r="BP60" i="9"/>
  <c r="BP59" i="9"/>
  <c r="BP55" i="9"/>
  <c r="BP54" i="9"/>
  <c r="BP50" i="9"/>
  <c r="BP49" i="9"/>
  <c r="BP45" i="9"/>
  <c r="BP44" i="9"/>
  <c r="BP40" i="9"/>
  <c r="BP39" i="9"/>
  <c r="BP35" i="9"/>
  <c r="BP34" i="9"/>
  <c r="BP30" i="9"/>
  <c r="BQ31" i="9" s="1"/>
  <c r="BP29" i="9"/>
  <c r="A780" i="25"/>
  <c r="K780" i="25" s="1"/>
  <c r="A779" i="25"/>
  <c r="H779" i="25" s="1"/>
  <c r="A778" i="25"/>
  <c r="A777" i="25"/>
  <c r="A776" i="25"/>
  <c r="I776" i="25" s="1"/>
  <c r="A775" i="25"/>
  <c r="G775" i="25" s="1"/>
  <c r="A774" i="25"/>
  <c r="I774" i="25" s="1"/>
  <c r="A773" i="25"/>
  <c r="I773" i="25" s="1"/>
  <c r="A772" i="25"/>
  <c r="I772" i="25" s="1"/>
  <c r="A771" i="25"/>
  <c r="G771" i="25" s="1"/>
  <c r="A770" i="25"/>
  <c r="G770" i="25" s="1"/>
  <c r="A769" i="25"/>
  <c r="I769" i="25" s="1"/>
  <c r="A768" i="25"/>
  <c r="I768" i="25" s="1"/>
  <c r="A767" i="25"/>
  <c r="G767" i="25" s="1"/>
  <c r="A766" i="25"/>
  <c r="G766" i="25" s="1"/>
  <c r="A765" i="25"/>
  <c r="I765" i="25" s="1"/>
  <c r="A764" i="25"/>
  <c r="I764" i="25" s="1"/>
  <c r="A763" i="25"/>
  <c r="G763" i="25" s="1"/>
  <c r="A762" i="25"/>
  <c r="G762" i="25" s="1"/>
  <c r="A761" i="25"/>
  <c r="I761" i="25" s="1"/>
  <c r="A760" i="25"/>
  <c r="G760" i="25" s="1"/>
  <c r="A759" i="25"/>
  <c r="G759" i="25" s="1"/>
  <c r="A758" i="25"/>
  <c r="K758" i="25" s="1"/>
  <c r="A757" i="25"/>
  <c r="I757" i="25" s="1"/>
  <c r="A756" i="25"/>
  <c r="K756" i="25" s="1"/>
  <c r="CT14" i="34" l="1"/>
  <c r="CU15" i="34"/>
  <c r="I762" i="25"/>
  <c r="G758" i="25"/>
  <c r="I766" i="25"/>
  <c r="I763" i="25"/>
  <c r="I756" i="25"/>
  <c r="I775" i="25"/>
  <c r="I771" i="25"/>
  <c r="G774" i="25"/>
  <c r="H756" i="25"/>
  <c r="I770" i="25"/>
  <c r="BQ76" i="9"/>
  <c r="BQ86" i="9"/>
  <c r="BQ96" i="9"/>
  <c r="BQ106" i="9"/>
  <c r="BQ131" i="9"/>
  <c r="BQ141" i="9"/>
  <c r="BQ151" i="9"/>
  <c r="BQ41" i="9"/>
  <c r="BQ51" i="9"/>
  <c r="BQ61" i="9"/>
  <c r="BQ116" i="9"/>
  <c r="BQ81" i="9"/>
  <c r="BQ91" i="9"/>
  <c r="BQ101" i="9"/>
  <c r="BQ136" i="9"/>
  <c r="BQ146" i="9"/>
  <c r="F756" i="25"/>
  <c r="I767" i="25"/>
  <c r="BQ36" i="9"/>
  <c r="BQ46" i="9"/>
  <c r="BQ56" i="9"/>
  <c r="BQ66" i="9"/>
  <c r="BQ121" i="9"/>
  <c r="C810" i="25"/>
  <c r="M815" i="25"/>
  <c r="N815" i="25" s="1"/>
  <c r="C803" i="25" s="1"/>
  <c r="C801" i="25"/>
  <c r="C808" i="25"/>
  <c r="J756" i="25"/>
  <c r="I759" i="25"/>
  <c r="G780" i="25"/>
  <c r="F757" i="25"/>
  <c r="I760" i="25"/>
  <c r="I779" i="25"/>
  <c r="J757" i="25"/>
  <c r="C809" i="25"/>
  <c r="C796" i="25"/>
  <c r="C795" i="25"/>
  <c r="C799" i="25"/>
  <c r="C807" i="25"/>
  <c r="C812" i="25"/>
  <c r="C794" i="25"/>
  <c r="C790" i="25"/>
  <c r="C797" i="25"/>
  <c r="C811" i="25"/>
  <c r="C806" i="25"/>
  <c r="C814" i="25"/>
  <c r="C798" i="25"/>
  <c r="C792" i="25"/>
  <c r="C791" i="25"/>
  <c r="C793" i="25"/>
  <c r="G757" i="25"/>
  <c r="K757" i="25"/>
  <c r="K768" i="25"/>
  <c r="H757" i="25"/>
  <c r="I758" i="25"/>
  <c r="H763" i="25"/>
  <c r="J763" i="25"/>
  <c r="F763" i="25"/>
  <c r="K763" i="25"/>
  <c r="G765" i="25"/>
  <c r="H767" i="25"/>
  <c r="J767" i="25"/>
  <c r="F767" i="25"/>
  <c r="K767" i="25"/>
  <c r="G769" i="25"/>
  <c r="G756" i="25"/>
  <c r="J762" i="25"/>
  <c r="F762" i="25"/>
  <c r="H762" i="25"/>
  <c r="K762" i="25"/>
  <c r="G764" i="25"/>
  <c r="J766" i="25"/>
  <c r="F766" i="25"/>
  <c r="H766" i="25"/>
  <c r="K766" i="25"/>
  <c r="G768" i="25"/>
  <c r="J770" i="25"/>
  <c r="F770" i="25"/>
  <c r="H770" i="25"/>
  <c r="K770" i="25"/>
  <c r="G772" i="25"/>
  <c r="J774" i="25"/>
  <c r="F774" i="25"/>
  <c r="H774" i="25"/>
  <c r="K774" i="25"/>
  <c r="G776" i="25"/>
  <c r="H761" i="25"/>
  <c r="J761" i="25"/>
  <c r="F761" i="25"/>
  <c r="K761" i="25"/>
  <c r="H765" i="25"/>
  <c r="J765" i="25"/>
  <c r="F765" i="25"/>
  <c r="K765" i="25"/>
  <c r="H769" i="25"/>
  <c r="J769" i="25"/>
  <c r="F769" i="25"/>
  <c r="K769" i="25"/>
  <c r="H773" i="25"/>
  <c r="J773" i="25"/>
  <c r="F773" i="25"/>
  <c r="K773" i="25"/>
  <c r="H777" i="25"/>
  <c r="K777" i="25"/>
  <c r="G777" i="25"/>
  <c r="J777" i="25"/>
  <c r="F777" i="25"/>
  <c r="J778" i="25"/>
  <c r="F778" i="25"/>
  <c r="I778" i="25"/>
  <c r="H778" i="25"/>
  <c r="J780" i="25"/>
  <c r="F780" i="25"/>
  <c r="I780" i="25"/>
  <c r="H780" i="25"/>
  <c r="J758" i="25"/>
  <c r="F758" i="25"/>
  <c r="H758" i="25"/>
  <c r="J764" i="25"/>
  <c r="F764" i="25"/>
  <c r="H764" i="25"/>
  <c r="K764" i="25"/>
  <c r="J772" i="25"/>
  <c r="F772" i="25"/>
  <c r="H772" i="25"/>
  <c r="K772" i="25"/>
  <c r="J776" i="25"/>
  <c r="F776" i="25"/>
  <c r="H776" i="25"/>
  <c r="K776" i="25"/>
  <c r="G778" i="25"/>
  <c r="J760" i="25"/>
  <c r="F760" i="25"/>
  <c r="H760" i="25"/>
  <c r="K760" i="25"/>
  <c r="J768" i="25"/>
  <c r="F768" i="25"/>
  <c r="H768" i="25"/>
  <c r="H759" i="25"/>
  <c r="J759" i="25"/>
  <c r="F759" i="25"/>
  <c r="K759" i="25"/>
  <c r="G761" i="25"/>
  <c r="H771" i="25"/>
  <c r="J771" i="25"/>
  <c r="F771" i="25"/>
  <c r="K771" i="25"/>
  <c r="G773" i="25"/>
  <c r="H775" i="25"/>
  <c r="J775" i="25"/>
  <c r="F775" i="25"/>
  <c r="K775" i="25"/>
  <c r="I777" i="25"/>
  <c r="K778" i="25"/>
  <c r="F779" i="25"/>
  <c r="J779" i="25"/>
  <c r="G779" i="25"/>
  <c r="K779" i="25"/>
  <c r="BS62" i="33"/>
  <c r="CU14" i="34" l="1"/>
  <c r="CV15" i="34"/>
  <c r="C805" i="25"/>
  <c r="C813" i="25"/>
  <c r="C804" i="25"/>
  <c r="C802" i="25"/>
  <c r="L757" i="25"/>
  <c r="M757" i="25" s="1"/>
  <c r="N757" i="25" s="1"/>
  <c r="I781" i="25"/>
  <c r="F781" i="25"/>
  <c r="H781" i="25"/>
  <c r="J781" i="25"/>
  <c r="K781" i="25"/>
  <c r="L779" i="25"/>
  <c r="M779" i="25" s="1"/>
  <c r="N779" i="25" s="1"/>
  <c r="L758" i="25"/>
  <c r="M758" i="25" s="1"/>
  <c r="N758" i="25" s="1"/>
  <c r="L780" i="25"/>
  <c r="M780" i="25" s="1"/>
  <c r="N780" i="25" s="1"/>
  <c r="L778" i="25"/>
  <c r="M778" i="25" s="1"/>
  <c r="N778" i="25" s="1"/>
  <c r="L773" i="25"/>
  <c r="M773" i="25" s="1"/>
  <c r="N773" i="25" s="1"/>
  <c r="L769" i="25"/>
  <c r="M769" i="25" s="1"/>
  <c r="N769" i="25" s="1"/>
  <c r="L765" i="25"/>
  <c r="M765" i="25" s="1"/>
  <c r="N765" i="25" s="1"/>
  <c r="L761" i="25"/>
  <c r="M761" i="25" s="1"/>
  <c r="N761" i="25" s="1"/>
  <c r="L770" i="25"/>
  <c r="M770" i="25" s="1"/>
  <c r="N770" i="25" s="1"/>
  <c r="G781" i="25"/>
  <c r="L756" i="25"/>
  <c r="L763" i="25"/>
  <c r="M763" i="25" s="1"/>
  <c r="N763" i="25" s="1"/>
  <c r="L775" i="25"/>
  <c r="M775" i="25" s="1"/>
  <c r="N775" i="25" s="1"/>
  <c r="L771" i="25"/>
  <c r="M771" i="25" s="1"/>
  <c r="N771" i="25" s="1"/>
  <c r="L776" i="25"/>
  <c r="M776" i="25" s="1"/>
  <c r="N776" i="25" s="1"/>
  <c r="L772" i="25"/>
  <c r="M772" i="25" s="1"/>
  <c r="N772" i="25" s="1"/>
  <c r="L764" i="25"/>
  <c r="M764" i="25" s="1"/>
  <c r="N764" i="25" s="1"/>
  <c r="L766" i="25"/>
  <c r="M766" i="25" s="1"/>
  <c r="N766" i="25" s="1"/>
  <c r="L759" i="25"/>
  <c r="M759" i="25" s="1"/>
  <c r="N759" i="25" s="1"/>
  <c r="L777" i="25"/>
  <c r="M777" i="25" s="1"/>
  <c r="N777" i="25" s="1"/>
  <c r="L762" i="25"/>
  <c r="M762" i="25" s="1"/>
  <c r="N762" i="25" s="1"/>
  <c r="L768" i="25"/>
  <c r="M768" i="25" s="1"/>
  <c r="N768" i="25" s="1"/>
  <c r="L760" i="25"/>
  <c r="M760" i="25" s="1"/>
  <c r="N760" i="25" s="1"/>
  <c r="L774" i="25"/>
  <c r="M774" i="25" s="1"/>
  <c r="N774" i="25" s="1"/>
  <c r="L767" i="25"/>
  <c r="M767" i="25" s="1"/>
  <c r="N767" i="25" s="1"/>
  <c r="AC68" i="7"/>
  <c r="BO150" i="9"/>
  <c r="BP151" i="9" s="1"/>
  <c r="BO149" i="9"/>
  <c r="BO145" i="9"/>
  <c r="BP146" i="9" s="1"/>
  <c r="BO144" i="9"/>
  <c r="BO140" i="9"/>
  <c r="BP141" i="9" s="1"/>
  <c r="BO139" i="9"/>
  <c r="BO135" i="9"/>
  <c r="BP136" i="9" s="1"/>
  <c r="BO134" i="9"/>
  <c r="BO130" i="9"/>
  <c r="BP131" i="9" s="1"/>
  <c r="BO129" i="9"/>
  <c r="BO125" i="9"/>
  <c r="BP126" i="9" s="1"/>
  <c r="BO124" i="9"/>
  <c r="BO120" i="9"/>
  <c r="BP121" i="9" s="1"/>
  <c r="BO119" i="9"/>
  <c r="BO115" i="9"/>
  <c r="BP116" i="9" s="1"/>
  <c r="BO114" i="9"/>
  <c r="BO110" i="9"/>
  <c r="BP111" i="9" s="1"/>
  <c r="BO109" i="9"/>
  <c r="BO105" i="9"/>
  <c r="BP106" i="9" s="1"/>
  <c r="BO104" i="9"/>
  <c r="BO100" i="9"/>
  <c r="BP101" i="9" s="1"/>
  <c r="BO99" i="9"/>
  <c r="BO95" i="9"/>
  <c r="BP96" i="9" s="1"/>
  <c r="BO94" i="9"/>
  <c r="BO90" i="9"/>
  <c r="BP91" i="9" s="1"/>
  <c r="BO89" i="9"/>
  <c r="BO85" i="9"/>
  <c r="BP86" i="9" s="1"/>
  <c r="BO84" i="9"/>
  <c r="BO80" i="9"/>
  <c r="BP81" i="9" s="1"/>
  <c r="BO79" i="9"/>
  <c r="BO75" i="9"/>
  <c r="BP76" i="9" s="1"/>
  <c r="BO74" i="9"/>
  <c r="BO70" i="9"/>
  <c r="BP71" i="9" s="1"/>
  <c r="BO69" i="9"/>
  <c r="BO65" i="9"/>
  <c r="BP66" i="9" s="1"/>
  <c r="BO64" i="9"/>
  <c r="BO60" i="9"/>
  <c r="BP61" i="9" s="1"/>
  <c r="BO59" i="9"/>
  <c r="BO55" i="9"/>
  <c r="BP56" i="9" s="1"/>
  <c r="BO54" i="9"/>
  <c r="BO50" i="9"/>
  <c r="BP51" i="9" s="1"/>
  <c r="BO49" i="9"/>
  <c r="BO45" i="9"/>
  <c r="BP46" i="9" s="1"/>
  <c r="BO44" i="9"/>
  <c r="BO40" i="9"/>
  <c r="BP41" i="9" s="1"/>
  <c r="BO39" i="9"/>
  <c r="BO35" i="9"/>
  <c r="BP36" i="9" s="1"/>
  <c r="BO34" i="9"/>
  <c r="BO30" i="9"/>
  <c r="BP31" i="9" s="1"/>
  <c r="BO29" i="9"/>
  <c r="A746" i="25"/>
  <c r="K746" i="25" s="1"/>
  <c r="A745" i="25"/>
  <c r="H745" i="25" s="1"/>
  <c r="A744" i="25"/>
  <c r="A743" i="25"/>
  <c r="K743" i="25" s="1"/>
  <c r="A742" i="25"/>
  <c r="G742" i="25" s="1"/>
  <c r="A741" i="25"/>
  <c r="K741" i="25" s="1"/>
  <c r="A740" i="25"/>
  <c r="H740" i="25" s="1"/>
  <c r="A739" i="25"/>
  <c r="I739" i="25" s="1"/>
  <c r="A738" i="25"/>
  <c r="H738" i="25" s="1"/>
  <c r="A737" i="25"/>
  <c r="G737" i="25" s="1"/>
  <c r="A736" i="25"/>
  <c r="H736" i="25" s="1"/>
  <c r="A735" i="25"/>
  <c r="K735" i="25" s="1"/>
  <c r="A734" i="25"/>
  <c r="H734" i="25" s="1"/>
  <c r="A733" i="25"/>
  <c r="K733" i="25" s="1"/>
  <c r="A732" i="25"/>
  <c r="H732" i="25" s="1"/>
  <c r="A731" i="25"/>
  <c r="A730" i="25"/>
  <c r="H730" i="25" s="1"/>
  <c r="A729" i="25"/>
  <c r="A728" i="25"/>
  <c r="H728" i="25" s="1"/>
  <c r="A727" i="25"/>
  <c r="K727" i="25" s="1"/>
  <c r="A726" i="25"/>
  <c r="I726" i="25" s="1"/>
  <c r="A725" i="25"/>
  <c r="K725" i="25" s="1"/>
  <c r="A724" i="25"/>
  <c r="J724" i="25" s="1"/>
  <c r="A723" i="25"/>
  <c r="G723" i="25" s="1"/>
  <c r="A722" i="25"/>
  <c r="H722" i="25" s="1"/>
  <c r="CV14" i="34" l="1"/>
  <c r="CW15" i="34"/>
  <c r="J730" i="25"/>
  <c r="G725" i="25"/>
  <c r="F738" i="25"/>
  <c r="J742" i="25"/>
  <c r="F722" i="25"/>
  <c r="I722" i="25"/>
  <c r="I724" i="25"/>
  <c r="J722" i="25"/>
  <c r="J732" i="25"/>
  <c r="G738" i="25"/>
  <c r="H741" i="25"/>
  <c r="I741" i="25"/>
  <c r="L781" i="25"/>
  <c r="M756" i="25"/>
  <c r="N756" i="25" s="1"/>
  <c r="G727" i="25"/>
  <c r="G726" i="25"/>
  <c r="I727" i="25"/>
  <c r="G728" i="25"/>
  <c r="F730" i="25"/>
  <c r="G733" i="25"/>
  <c r="G735" i="25"/>
  <c r="F736" i="25"/>
  <c r="I737" i="25"/>
  <c r="J738" i="25"/>
  <c r="J740" i="25"/>
  <c r="H743" i="25"/>
  <c r="F745" i="25"/>
  <c r="H746" i="25"/>
  <c r="K730" i="25"/>
  <c r="K728" i="25"/>
  <c r="G730" i="25"/>
  <c r="I735" i="25"/>
  <c r="G736" i="25"/>
  <c r="K738" i="25"/>
  <c r="I743" i="25"/>
  <c r="I745" i="25"/>
  <c r="K736" i="25"/>
  <c r="J745" i="25"/>
  <c r="F728" i="25"/>
  <c r="J729" i="25"/>
  <c r="F729" i="25"/>
  <c r="G729" i="25"/>
  <c r="K729" i="25"/>
  <c r="H724" i="25"/>
  <c r="G724" i="25"/>
  <c r="K724" i="25"/>
  <c r="F724" i="25"/>
  <c r="H726" i="25"/>
  <c r="K726" i="25"/>
  <c r="F726" i="25"/>
  <c r="J726" i="25"/>
  <c r="H729" i="25"/>
  <c r="J723" i="25"/>
  <c r="K723" i="25"/>
  <c r="F723" i="25"/>
  <c r="I723" i="25"/>
  <c r="J731" i="25"/>
  <c r="F731" i="25"/>
  <c r="G731" i="25"/>
  <c r="K731" i="25"/>
  <c r="I731" i="25"/>
  <c r="H731" i="25"/>
  <c r="H723" i="25"/>
  <c r="I729" i="25"/>
  <c r="I734" i="25"/>
  <c r="I744" i="25"/>
  <c r="H744" i="25"/>
  <c r="K744" i="25"/>
  <c r="G722" i="25"/>
  <c r="K722" i="25"/>
  <c r="J725" i="25"/>
  <c r="F725" i="25"/>
  <c r="H725" i="25"/>
  <c r="I728" i="25"/>
  <c r="F740" i="25"/>
  <c r="K740" i="25"/>
  <c r="I742" i="25"/>
  <c r="H742" i="25"/>
  <c r="K742" i="25"/>
  <c r="F744" i="25"/>
  <c r="J739" i="25"/>
  <c r="F739" i="25"/>
  <c r="H739" i="25"/>
  <c r="F732" i="25"/>
  <c r="K732" i="25"/>
  <c r="J733" i="25"/>
  <c r="F733" i="25"/>
  <c r="H733" i="25"/>
  <c r="J734" i="25"/>
  <c r="I736" i="25"/>
  <c r="K737" i="25"/>
  <c r="I725" i="25"/>
  <c r="J727" i="25"/>
  <c r="F727" i="25"/>
  <c r="H727" i="25"/>
  <c r="J728" i="25"/>
  <c r="I730" i="25"/>
  <c r="G732" i="25"/>
  <c r="I733" i="25"/>
  <c r="F734" i="25"/>
  <c r="K734" i="25"/>
  <c r="J735" i="25"/>
  <c r="F735" i="25"/>
  <c r="H735" i="25"/>
  <c r="J736" i="25"/>
  <c r="I738" i="25"/>
  <c r="K739" i="25"/>
  <c r="G740" i="25"/>
  <c r="F742" i="25"/>
  <c r="G744" i="25"/>
  <c r="I732" i="25"/>
  <c r="G734" i="25"/>
  <c r="J737" i="25"/>
  <c r="F737" i="25"/>
  <c r="H737" i="25"/>
  <c r="G739" i="25"/>
  <c r="I740" i="25"/>
  <c r="J744" i="25"/>
  <c r="F741" i="25"/>
  <c r="J741" i="25"/>
  <c r="F743" i="25"/>
  <c r="J743" i="25"/>
  <c r="G745" i="25"/>
  <c r="K745" i="25"/>
  <c r="I746" i="25"/>
  <c r="G741" i="25"/>
  <c r="G743" i="25"/>
  <c r="F746" i="25"/>
  <c r="J746" i="25"/>
  <c r="G746" i="25"/>
  <c r="BR62" i="33"/>
  <c r="CX15" i="34" l="1"/>
  <c r="CW14" i="34"/>
  <c r="L730" i="25"/>
  <c r="M730" i="25" s="1"/>
  <c r="N730" i="25" s="1"/>
  <c r="L738" i="25"/>
  <c r="M738" i="25" s="1"/>
  <c r="N738" i="25" s="1"/>
  <c r="C756" i="25"/>
  <c r="C757" i="25"/>
  <c r="C758" i="25"/>
  <c r="C777" i="25"/>
  <c r="C762" i="25"/>
  <c r="C765" i="25"/>
  <c r="C776" i="25"/>
  <c r="M753" i="25"/>
  <c r="M781" i="25"/>
  <c r="N781" i="25" s="1"/>
  <c r="C769" i="25"/>
  <c r="C767" i="25"/>
  <c r="C759" i="25"/>
  <c r="C764" i="25"/>
  <c r="C761" i="25"/>
  <c r="C780" i="25"/>
  <c r="C775" i="25"/>
  <c r="C760" i="25"/>
  <c r="C763" i="25"/>
  <c r="C774" i="25"/>
  <c r="C766" i="25"/>
  <c r="C770" i="25"/>
  <c r="C778" i="25"/>
  <c r="C773" i="25"/>
  <c r="C772" i="25"/>
  <c r="L736" i="25"/>
  <c r="M736" i="25" s="1"/>
  <c r="N736" i="25" s="1"/>
  <c r="L745" i="25"/>
  <c r="M745" i="25" s="1"/>
  <c r="N745" i="25" s="1"/>
  <c r="L722" i="25"/>
  <c r="M722" i="25" s="1"/>
  <c r="N722" i="25" s="1"/>
  <c r="J747" i="25"/>
  <c r="F747" i="25"/>
  <c r="L741" i="25"/>
  <c r="M741" i="25" s="1"/>
  <c r="N741" i="25" s="1"/>
  <c r="L728" i="25"/>
  <c r="M728" i="25" s="1"/>
  <c r="N728" i="25" s="1"/>
  <c r="K747" i="25"/>
  <c r="H747" i="25"/>
  <c r="I747" i="25"/>
  <c r="L732" i="25"/>
  <c r="M732" i="25" s="1"/>
  <c r="N732" i="25" s="1"/>
  <c r="L729" i="25"/>
  <c r="M729" i="25" s="1"/>
  <c r="N729" i="25" s="1"/>
  <c r="L733" i="25"/>
  <c r="M733" i="25" s="1"/>
  <c r="N733" i="25" s="1"/>
  <c r="L726" i="25"/>
  <c r="M726" i="25" s="1"/>
  <c r="N726" i="25" s="1"/>
  <c r="G747" i="25"/>
  <c r="L743" i="25"/>
  <c r="M743" i="25" s="1"/>
  <c r="N743" i="25" s="1"/>
  <c r="L727" i="25"/>
  <c r="M727" i="25" s="1"/>
  <c r="N727" i="25" s="1"/>
  <c r="L739" i="25"/>
  <c r="M739" i="25" s="1"/>
  <c r="N739" i="25" s="1"/>
  <c r="L744" i="25"/>
  <c r="M744" i="25" s="1"/>
  <c r="N744" i="25" s="1"/>
  <c r="L725" i="25"/>
  <c r="M725" i="25" s="1"/>
  <c r="N725" i="25" s="1"/>
  <c r="L734" i="25"/>
  <c r="M734" i="25" s="1"/>
  <c r="N734" i="25" s="1"/>
  <c r="L724" i="25"/>
  <c r="M724" i="25" s="1"/>
  <c r="N724" i="25" s="1"/>
  <c r="L737" i="25"/>
  <c r="M737" i="25" s="1"/>
  <c r="N737" i="25" s="1"/>
  <c r="L735" i="25"/>
  <c r="M735" i="25" s="1"/>
  <c r="N735" i="25" s="1"/>
  <c r="L746" i="25"/>
  <c r="M746" i="25" s="1"/>
  <c r="N746" i="25" s="1"/>
  <c r="L742" i="25"/>
  <c r="M742" i="25" s="1"/>
  <c r="N742" i="25" s="1"/>
  <c r="L740" i="25"/>
  <c r="M740" i="25" s="1"/>
  <c r="N740" i="25" s="1"/>
  <c r="L731" i="25"/>
  <c r="M731" i="25" s="1"/>
  <c r="N731" i="25" s="1"/>
  <c r="L723" i="25"/>
  <c r="M723" i="25" s="1"/>
  <c r="N723" i="25" s="1"/>
  <c r="BN150" i="9"/>
  <c r="BO151" i="9" s="1"/>
  <c r="BN149" i="9"/>
  <c r="BN145" i="9"/>
  <c r="BO146" i="9" s="1"/>
  <c r="BN144" i="9"/>
  <c r="BN140" i="9"/>
  <c r="BO141" i="9" s="1"/>
  <c r="BN139" i="9"/>
  <c r="BN135" i="9"/>
  <c r="BO136" i="9" s="1"/>
  <c r="BN134" i="9"/>
  <c r="BN130" i="9"/>
  <c r="BO131" i="9" s="1"/>
  <c r="BN129" i="9"/>
  <c r="BN125" i="9"/>
  <c r="BO126" i="9" s="1"/>
  <c r="BN124" i="9"/>
  <c r="BN120" i="9"/>
  <c r="BO121" i="9" s="1"/>
  <c r="BN119" i="9"/>
  <c r="BN115" i="9"/>
  <c r="BO116" i="9" s="1"/>
  <c r="BN114" i="9"/>
  <c r="BN110" i="9"/>
  <c r="BO111" i="9" s="1"/>
  <c r="BN109" i="9"/>
  <c r="BN105" i="9"/>
  <c r="BO106" i="9" s="1"/>
  <c r="BN104" i="9"/>
  <c r="BN100" i="9"/>
  <c r="BO101" i="9" s="1"/>
  <c r="BN99" i="9"/>
  <c r="BN95" i="9"/>
  <c r="BO96" i="9" s="1"/>
  <c r="BN94" i="9"/>
  <c r="BN90" i="9"/>
  <c r="BO91" i="9" s="1"/>
  <c r="BN89" i="9"/>
  <c r="BN85" i="9"/>
  <c r="BO86" i="9" s="1"/>
  <c r="BN84" i="9"/>
  <c r="BN80" i="9"/>
  <c r="BO81" i="9" s="1"/>
  <c r="BN79" i="9"/>
  <c r="BN75" i="9"/>
  <c r="BO76" i="9" s="1"/>
  <c r="BN74" i="9"/>
  <c r="BN70" i="9"/>
  <c r="BO71" i="9" s="1"/>
  <c r="BN69" i="9"/>
  <c r="BN65" i="9"/>
  <c r="BO66" i="9" s="1"/>
  <c r="BN64" i="9"/>
  <c r="BN60" i="9"/>
  <c r="BO61" i="9" s="1"/>
  <c r="BN59" i="9"/>
  <c r="BN55" i="9"/>
  <c r="BO56" i="9" s="1"/>
  <c r="BN54" i="9"/>
  <c r="BN50" i="9"/>
  <c r="BO51" i="9" s="1"/>
  <c r="BN49" i="9"/>
  <c r="BN45" i="9"/>
  <c r="BO46" i="9" s="1"/>
  <c r="BN44" i="9"/>
  <c r="BN40" i="9"/>
  <c r="BO41" i="9" s="1"/>
  <c r="BN39" i="9"/>
  <c r="BN35" i="9"/>
  <c r="BO36" i="9" s="1"/>
  <c r="BN34" i="9"/>
  <c r="BN30" i="9"/>
  <c r="BO31" i="9" s="1"/>
  <c r="BN29" i="9"/>
  <c r="A712" i="25"/>
  <c r="K712" i="25" s="1"/>
  <c r="A711" i="25"/>
  <c r="H711" i="25" s="1"/>
  <c r="A710" i="25"/>
  <c r="H710" i="25" s="1"/>
  <c r="A709" i="25"/>
  <c r="H709" i="25" s="1"/>
  <c r="A708" i="25"/>
  <c r="A707" i="25"/>
  <c r="H707" i="25" s="1"/>
  <c r="A706" i="25"/>
  <c r="H706" i="25" s="1"/>
  <c r="A705" i="25"/>
  <c r="H705" i="25" s="1"/>
  <c r="A704" i="25"/>
  <c r="H704" i="25" s="1"/>
  <c r="A703" i="25"/>
  <c r="H703" i="25" s="1"/>
  <c r="A702" i="25"/>
  <c r="A701" i="25"/>
  <c r="H701" i="25" s="1"/>
  <c r="A700" i="25"/>
  <c r="G700" i="25" s="1"/>
  <c r="A699" i="25"/>
  <c r="H699" i="25" s="1"/>
  <c r="A698" i="25"/>
  <c r="I698" i="25" s="1"/>
  <c r="A697" i="25"/>
  <c r="H697" i="25" s="1"/>
  <c r="A696" i="25"/>
  <c r="K696" i="25" s="1"/>
  <c r="A695" i="25"/>
  <c r="H695" i="25" s="1"/>
  <c r="A694" i="25"/>
  <c r="H694" i="25" s="1"/>
  <c r="A693" i="25"/>
  <c r="H693" i="25" s="1"/>
  <c r="A692" i="25"/>
  <c r="G692" i="25" s="1"/>
  <c r="A691" i="25"/>
  <c r="H691" i="25" s="1"/>
  <c r="A690" i="25"/>
  <c r="K690" i="25" s="1"/>
  <c r="A689" i="25"/>
  <c r="K689" i="25" s="1"/>
  <c r="A688" i="25"/>
  <c r="J688" i="25" s="1"/>
  <c r="CY15" i="34" l="1"/>
  <c r="CX14" i="34"/>
  <c r="J703" i="25"/>
  <c r="I689" i="25"/>
  <c r="I692" i="25"/>
  <c r="J695" i="25"/>
  <c r="K698" i="25"/>
  <c r="F701" i="25"/>
  <c r="C771" i="25"/>
  <c r="C779" i="25"/>
  <c r="H689" i="25"/>
  <c r="I690" i="25"/>
  <c r="K699" i="25"/>
  <c r="G701" i="25"/>
  <c r="F707" i="25"/>
  <c r="F709" i="25"/>
  <c r="I707" i="25"/>
  <c r="F691" i="25"/>
  <c r="F689" i="25"/>
  <c r="G690" i="25"/>
  <c r="G691" i="25"/>
  <c r="J693" i="25"/>
  <c r="C740" i="25"/>
  <c r="C723" i="25"/>
  <c r="C742" i="25"/>
  <c r="C739" i="25"/>
  <c r="C729" i="25"/>
  <c r="C727" i="25"/>
  <c r="C726" i="25"/>
  <c r="C744" i="25"/>
  <c r="C724" i="25"/>
  <c r="C733" i="25"/>
  <c r="C731" i="25"/>
  <c r="C734" i="25"/>
  <c r="C722" i="25"/>
  <c r="C730" i="25"/>
  <c r="L747" i="25"/>
  <c r="C746" i="25"/>
  <c r="C732" i="25"/>
  <c r="C736" i="25"/>
  <c r="C741" i="25"/>
  <c r="C735" i="25"/>
  <c r="C725" i="25"/>
  <c r="C743" i="25"/>
  <c r="C738" i="25"/>
  <c r="C728" i="25"/>
  <c r="J711" i="25"/>
  <c r="K693" i="25"/>
  <c r="F705" i="25"/>
  <c r="G706" i="25"/>
  <c r="J689" i="25"/>
  <c r="K691" i="25"/>
  <c r="F693" i="25"/>
  <c r="G696" i="25"/>
  <c r="G698" i="25"/>
  <c r="F699" i="25"/>
  <c r="I700" i="25"/>
  <c r="J701" i="25"/>
  <c r="F703" i="25"/>
  <c r="G704" i="25"/>
  <c r="I705" i="25"/>
  <c r="J707" i="25"/>
  <c r="I709" i="25"/>
  <c r="F711" i="25"/>
  <c r="H712" i="25"/>
  <c r="G693" i="25"/>
  <c r="G699" i="25"/>
  <c r="K701" i="25"/>
  <c r="I703" i="25"/>
  <c r="J705" i="25"/>
  <c r="J709" i="25"/>
  <c r="I711" i="25"/>
  <c r="J702" i="25"/>
  <c r="F702" i="25"/>
  <c r="H702" i="25"/>
  <c r="J708" i="25"/>
  <c r="F708" i="25"/>
  <c r="I708" i="25"/>
  <c r="K708" i="25"/>
  <c r="H688" i="25"/>
  <c r="I691" i="25"/>
  <c r="K692" i="25"/>
  <c r="I702" i="25"/>
  <c r="J706" i="25"/>
  <c r="F706" i="25"/>
  <c r="I706" i="25"/>
  <c r="K706" i="25"/>
  <c r="G710" i="25"/>
  <c r="J694" i="25"/>
  <c r="F694" i="25"/>
  <c r="I697" i="25"/>
  <c r="I694" i="25"/>
  <c r="F695" i="25"/>
  <c r="K695" i="25"/>
  <c r="J696" i="25"/>
  <c r="F696" i="25"/>
  <c r="H696" i="25"/>
  <c r="J697" i="25"/>
  <c r="I699" i="25"/>
  <c r="K700" i="25"/>
  <c r="I688" i="25"/>
  <c r="G689" i="25"/>
  <c r="J690" i="25"/>
  <c r="F690" i="25"/>
  <c r="H690" i="25"/>
  <c r="J691" i="25"/>
  <c r="I693" i="25"/>
  <c r="K694" i="25"/>
  <c r="G695" i="25"/>
  <c r="I696" i="25"/>
  <c r="F697" i="25"/>
  <c r="K697" i="25"/>
  <c r="J698" i="25"/>
  <c r="F698" i="25"/>
  <c r="H698" i="25"/>
  <c r="J699" i="25"/>
  <c r="I701" i="25"/>
  <c r="K702" i="25"/>
  <c r="J704" i="25"/>
  <c r="F704" i="25"/>
  <c r="I704" i="25"/>
  <c r="K704" i="25"/>
  <c r="G708" i="25"/>
  <c r="G688" i="25"/>
  <c r="K688" i="25"/>
  <c r="F688" i="25"/>
  <c r="J692" i="25"/>
  <c r="F692" i="25"/>
  <c r="H692" i="25"/>
  <c r="G694" i="25"/>
  <c r="I695" i="25"/>
  <c r="G697" i="25"/>
  <c r="J700" i="25"/>
  <c r="F700" i="25"/>
  <c r="H700" i="25"/>
  <c r="G702" i="25"/>
  <c r="H708" i="25"/>
  <c r="J710" i="25"/>
  <c r="F710" i="25"/>
  <c r="I710" i="25"/>
  <c r="K710" i="25"/>
  <c r="G703" i="25"/>
  <c r="K703" i="25"/>
  <c r="G705" i="25"/>
  <c r="K705" i="25"/>
  <c r="G707" i="25"/>
  <c r="K707" i="25"/>
  <c r="G709" i="25"/>
  <c r="K709" i="25"/>
  <c r="G711" i="25"/>
  <c r="K711" i="25"/>
  <c r="I712" i="25"/>
  <c r="F712" i="25"/>
  <c r="J712" i="25"/>
  <c r="G712" i="25"/>
  <c r="BQ62" i="33"/>
  <c r="BM150" i="9"/>
  <c r="BN151" i="9" s="1"/>
  <c r="BM149" i="9"/>
  <c r="BM145" i="9"/>
  <c r="BN146" i="9" s="1"/>
  <c r="BM144" i="9"/>
  <c r="BM140" i="9"/>
  <c r="BN141" i="9" s="1"/>
  <c r="BM139" i="9"/>
  <c r="BM135" i="9"/>
  <c r="BN136" i="9" s="1"/>
  <c r="BM134" i="9"/>
  <c r="BM130" i="9"/>
  <c r="BN131" i="9" s="1"/>
  <c r="BM129" i="9"/>
  <c r="BM125" i="9"/>
  <c r="BN126" i="9" s="1"/>
  <c r="BM124" i="9"/>
  <c r="BM120" i="9"/>
  <c r="BN121" i="9" s="1"/>
  <c r="BM119" i="9"/>
  <c r="BM115" i="9"/>
  <c r="BN116" i="9" s="1"/>
  <c r="BM114" i="9"/>
  <c r="BM110" i="9"/>
  <c r="BN111" i="9" s="1"/>
  <c r="BM109" i="9"/>
  <c r="BM105" i="9"/>
  <c r="BN106" i="9" s="1"/>
  <c r="BM104" i="9"/>
  <c r="BM100" i="9"/>
  <c r="BN101" i="9" s="1"/>
  <c r="BM99" i="9"/>
  <c r="BM95" i="9"/>
  <c r="BN96" i="9" s="1"/>
  <c r="BM94" i="9"/>
  <c r="BM90" i="9"/>
  <c r="BN91" i="9" s="1"/>
  <c r="BM89" i="9"/>
  <c r="BM85" i="9"/>
  <c r="BN86" i="9" s="1"/>
  <c r="BM84" i="9"/>
  <c r="BM80" i="9"/>
  <c r="BN81" i="9" s="1"/>
  <c r="BM79" i="9"/>
  <c r="BM75" i="9"/>
  <c r="BN76" i="9" s="1"/>
  <c r="BM74" i="9"/>
  <c r="BM70" i="9"/>
  <c r="BN71" i="9" s="1"/>
  <c r="BM69" i="9"/>
  <c r="BM65" i="9"/>
  <c r="BN66" i="9" s="1"/>
  <c r="BM64" i="9"/>
  <c r="BM60" i="9"/>
  <c r="BN61" i="9" s="1"/>
  <c r="BM59" i="9"/>
  <c r="BM55" i="9"/>
  <c r="BN56" i="9" s="1"/>
  <c r="BM54" i="9"/>
  <c r="BM50" i="9"/>
  <c r="BN51" i="9" s="1"/>
  <c r="BM49" i="9"/>
  <c r="BM45" i="9"/>
  <c r="BN46" i="9" s="1"/>
  <c r="BM44" i="9"/>
  <c r="BM40" i="9"/>
  <c r="BN41" i="9" s="1"/>
  <c r="BM39" i="9"/>
  <c r="BM35" i="9"/>
  <c r="BN36" i="9" s="1"/>
  <c r="BM34" i="9"/>
  <c r="BM30" i="9"/>
  <c r="BN31" i="9" s="1"/>
  <c r="BM29" i="9"/>
  <c r="A678" i="25"/>
  <c r="K678" i="25" s="1"/>
  <c r="A677" i="25"/>
  <c r="H677" i="25" s="1"/>
  <c r="A676" i="25"/>
  <c r="H676" i="25" s="1"/>
  <c r="A675" i="25"/>
  <c r="H675" i="25" s="1"/>
  <c r="A674" i="25"/>
  <c r="A673" i="25"/>
  <c r="H673" i="25" s="1"/>
  <c r="A672" i="25"/>
  <c r="H672" i="25" s="1"/>
  <c r="A671" i="25"/>
  <c r="H671" i="25" s="1"/>
  <c r="A670" i="25"/>
  <c r="G670" i="25" s="1"/>
  <c r="A669" i="25"/>
  <c r="H669" i="25" s="1"/>
  <c r="A668" i="25"/>
  <c r="K668" i="25" s="1"/>
  <c r="A667" i="25"/>
  <c r="H667" i="25" s="1"/>
  <c r="A666" i="25"/>
  <c r="K666" i="25" s="1"/>
  <c r="A665" i="25"/>
  <c r="H665" i="25" s="1"/>
  <c r="A664" i="25"/>
  <c r="H664" i="25" s="1"/>
  <c r="A663" i="25"/>
  <c r="H663" i="25" s="1"/>
  <c r="A662" i="25"/>
  <c r="G662" i="25" s="1"/>
  <c r="A661" i="25"/>
  <c r="H661" i="25" s="1"/>
  <c r="A660" i="25"/>
  <c r="K660" i="25" s="1"/>
  <c r="A659" i="25"/>
  <c r="H659" i="25" s="1"/>
  <c r="A658" i="25"/>
  <c r="K658" i="25" s="1"/>
  <c r="A657" i="25"/>
  <c r="H657" i="25" s="1"/>
  <c r="A656" i="25"/>
  <c r="I656" i="25" s="1"/>
  <c r="A655" i="25"/>
  <c r="J655" i="25" s="1"/>
  <c r="A654" i="25"/>
  <c r="K654" i="25" s="1"/>
  <c r="G51" i="11"/>
  <c r="CY14" i="34" l="1"/>
  <c r="CZ15" i="34"/>
  <c r="L689" i="25"/>
  <c r="M689" i="25" s="1"/>
  <c r="N689" i="25" s="1"/>
  <c r="G663" i="25"/>
  <c r="F654" i="25"/>
  <c r="J657" i="25"/>
  <c r="J663" i="25"/>
  <c r="M747" i="25"/>
  <c r="N747" i="25" s="1"/>
  <c r="M719" i="25"/>
  <c r="L699" i="25"/>
  <c r="M699" i="25" s="1"/>
  <c r="N699" i="25" s="1"/>
  <c r="L701" i="25"/>
  <c r="M701" i="25" s="1"/>
  <c r="N701" i="25" s="1"/>
  <c r="L693" i="25"/>
  <c r="M693" i="25" s="1"/>
  <c r="N693" i="25" s="1"/>
  <c r="G666" i="25"/>
  <c r="G668" i="25"/>
  <c r="F669" i="25"/>
  <c r="I670" i="25"/>
  <c r="F673" i="25"/>
  <c r="I668" i="25"/>
  <c r="G669" i="25"/>
  <c r="I673" i="25"/>
  <c r="F663" i="25"/>
  <c r="K669" i="25"/>
  <c r="J677" i="25"/>
  <c r="L711" i="25"/>
  <c r="M711" i="25" s="1"/>
  <c r="N711" i="25" s="1"/>
  <c r="L707" i="25"/>
  <c r="M707" i="25" s="1"/>
  <c r="N707" i="25" s="1"/>
  <c r="L703" i="25"/>
  <c r="M703" i="25" s="1"/>
  <c r="N703" i="25" s="1"/>
  <c r="J713" i="25"/>
  <c r="L709" i="25"/>
  <c r="M709" i="25" s="1"/>
  <c r="N709" i="25" s="1"/>
  <c r="L705" i="25"/>
  <c r="M705" i="25" s="1"/>
  <c r="N705" i="25" s="1"/>
  <c r="L691" i="25"/>
  <c r="M691" i="25" s="1"/>
  <c r="N691" i="25" s="1"/>
  <c r="L710" i="25"/>
  <c r="M710" i="25" s="1"/>
  <c r="N710" i="25" s="1"/>
  <c r="L706" i="25"/>
  <c r="M706" i="25" s="1"/>
  <c r="N706" i="25" s="1"/>
  <c r="L708" i="25"/>
  <c r="M708" i="25" s="1"/>
  <c r="N708" i="25" s="1"/>
  <c r="L692" i="25"/>
  <c r="M692" i="25" s="1"/>
  <c r="N692" i="25" s="1"/>
  <c r="K713" i="25"/>
  <c r="L698" i="25"/>
  <c r="M698" i="25" s="1"/>
  <c r="N698" i="25" s="1"/>
  <c r="H713" i="25"/>
  <c r="L712" i="25"/>
  <c r="M712" i="25" s="1"/>
  <c r="N712" i="25" s="1"/>
  <c r="L700" i="25"/>
  <c r="M700" i="25" s="1"/>
  <c r="N700" i="25" s="1"/>
  <c r="G713" i="25"/>
  <c r="I713" i="25"/>
  <c r="F713" i="25"/>
  <c r="L688" i="25"/>
  <c r="M688" i="25" s="1"/>
  <c r="N688" i="25" s="1"/>
  <c r="L697" i="25"/>
  <c r="M697" i="25" s="1"/>
  <c r="N697" i="25" s="1"/>
  <c r="L696" i="25"/>
  <c r="M696" i="25" s="1"/>
  <c r="N696" i="25" s="1"/>
  <c r="L694" i="25"/>
  <c r="M694" i="25" s="1"/>
  <c r="N694" i="25" s="1"/>
  <c r="L702" i="25"/>
  <c r="M702" i="25" s="1"/>
  <c r="N702" i="25" s="1"/>
  <c r="L704" i="25"/>
  <c r="M704" i="25" s="1"/>
  <c r="N704" i="25" s="1"/>
  <c r="L690" i="25"/>
  <c r="M690" i="25" s="1"/>
  <c r="N690" i="25" s="1"/>
  <c r="L695" i="25"/>
  <c r="M695" i="25" s="1"/>
  <c r="N695" i="25" s="1"/>
  <c r="H654" i="25"/>
  <c r="J665" i="25"/>
  <c r="F671" i="25"/>
  <c r="G672" i="25"/>
  <c r="F675" i="25"/>
  <c r="G658" i="25"/>
  <c r="G660" i="25"/>
  <c r="F661" i="25"/>
  <c r="I662" i="25"/>
  <c r="I654" i="25"/>
  <c r="I660" i="25"/>
  <c r="G661" i="25"/>
  <c r="K663" i="25"/>
  <c r="I671" i="25"/>
  <c r="J673" i="25"/>
  <c r="I675" i="25"/>
  <c r="F677" i="25"/>
  <c r="H678" i="25"/>
  <c r="J654" i="25"/>
  <c r="K661" i="25"/>
  <c r="J671" i="25"/>
  <c r="J675" i="25"/>
  <c r="I677" i="25"/>
  <c r="I659" i="25"/>
  <c r="I667" i="25"/>
  <c r="J674" i="25"/>
  <c r="F674" i="25"/>
  <c r="I674" i="25"/>
  <c r="K674" i="25"/>
  <c r="H655" i="25"/>
  <c r="F657" i="25"/>
  <c r="K657" i="25"/>
  <c r="J658" i="25"/>
  <c r="F658" i="25"/>
  <c r="H658" i="25"/>
  <c r="J659" i="25"/>
  <c r="I661" i="25"/>
  <c r="K662" i="25"/>
  <c r="J672" i="25"/>
  <c r="F672" i="25"/>
  <c r="I672" i="25"/>
  <c r="K672" i="25"/>
  <c r="G676" i="25"/>
  <c r="G655" i="25"/>
  <c r="K655" i="25"/>
  <c r="J656" i="25"/>
  <c r="F656" i="25"/>
  <c r="H656" i="25"/>
  <c r="J664" i="25"/>
  <c r="F664" i="25"/>
  <c r="I664" i="25"/>
  <c r="F665" i="25"/>
  <c r="K665" i="25"/>
  <c r="J666" i="25"/>
  <c r="F666" i="25"/>
  <c r="H666" i="25"/>
  <c r="J667" i="25"/>
  <c r="I669" i="25"/>
  <c r="K670" i="25"/>
  <c r="G654" i="25"/>
  <c r="I655" i="25"/>
  <c r="K656" i="25"/>
  <c r="G657" i="25"/>
  <c r="I658" i="25"/>
  <c r="F659" i="25"/>
  <c r="K659" i="25"/>
  <c r="J660" i="25"/>
  <c r="F660" i="25"/>
  <c r="H660" i="25"/>
  <c r="J661" i="25"/>
  <c r="I663" i="25"/>
  <c r="K664" i="25"/>
  <c r="G665" i="25"/>
  <c r="I666" i="25"/>
  <c r="F667" i="25"/>
  <c r="K667" i="25"/>
  <c r="J668" i="25"/>
  <c r="F668" i="25"/>
  <c r="H668" i="25"/>
  <c r="J669" i="25"/>
  <c r="G674" i="25"/>
  <c r="F655" i="25"/>
  <c r="G656" i="25"/>
  <c r="I657" i="25"/>
  <c r="G659" i="25"/>
  <c r="J662" i="25"/>
  <c r="F662" i="25"/>
  <c r="H662" i="25"/>
  <c r="G664" i="25"/>
  <c r="I665" i="25"/>
  <c r="G667" i="25"/>
  <c r="J670" i="25"/>
  <c r="F670" i="25"/>
  <c r="H670" i="25"/>
  <c r="H674" i="25"/>
  <c r="J676" i="25"/>
  <c r="F676" i="25"/>
  <c r="I676" i="25"/>
  <c r="K676" i="25"/>
  <c r="G671" i="25"/>
  <c r="K671" i="25"/>
  <c r="G673" i="25"/>
  <c r="K673" i="25"/>
  <c r="G675" i="25"/>
  <c r="K675" i="25"/>
  <c r="G677" i="25"/>
  <c r="K677" i="25"/>
  <c r="I678" i="25"/>
  <c r="F678" i="25"/>
  <c r="J678" i="25"/>
  <c r="G678" i="25"/>
  <c r="BP62" i="33"/>
  <c r="CZ14" i="34" l="1"/>
  <c r="DA15" i="34"/>
  <c r="DA14" i="34" s="1"/>
  <c r="CY30" i="34"/>
  <c r="CY67" i="34"/>
  <c r="CY29" i="34"/>
  <c r="CY47" i="34"/>
  <c r="CY66" i="34"/>
  <c r="CY38" i="34"/>
  <c r="CY40" i="34"/>
  <c r="CY17" i="34"/>
  <c r="CY31" i="34"/>
  <c r="CY49" i="34"/>
  <c r="CY71" i="34"/>
  <c r="CY46" i="34"/>
  <c r="CY16" i="34"/>
  <c r="CY48" i="34"/>
  <c r="CY19" i="34"/>
  <c r="CY39" i="34"/>
  <c r="CY51" i="34"/>
  <c r="CY18" i="34"/>
  <c r="CY50" i="34"/>
  <c r="CY20" i="34"/>
  <c r="CY60" i="34"/>
  <c r="CY27" i="34"/>
  <c r="CY45" i="34"/>
  <c r="CY61" i="34"/>
  <c r="CY28" i="34"/>
  <c r="CY65" i="34"/>
  <c r="C737" i="25"/>
  <c r="C745" i="25"/>
  <c r="L663" i="25"/>
  <c r="M663" i="25" s="1"/>
  <c r="N663" i="25" s="1"/>
  <c r="C695" i="25"/>
  <c r="C694" i="25"/>
  <c r="C699" i="25"/>
  <c r="C693" i="25"/>
  <c r="C698" i="25"/>
  <c r="C702" i="25"/>
  <c r="C697" i="25"/>
  <c r="C692" i="25"/>
  <c r="C701" i="25"/>
  <c r="L713" i="25"/>
  <c r="M685" i="25" s="1"/>
  <c r="C705" i="25"/>
  <c r="C700" i="25"/>
  <c r="C707" i="25"/>
  <c r="C690" i="25"/>
  <c r="C696" i="25"/>
  <c r="C688" i="25"/>
  <c r="C712" i="25"/>
  <c r="C708" i="25"/>
  <c r="C710" i="25"/>
  <c r="C709" i="25"/>
  <c r="C704" i="25"/>
  <c r="C706" i="25"/>
  <c r="C691" i="25"/>
  <c r="C689" i="25"/>
  <c r="L669" i="25"/>
  <c r="M669" i="25" s="1"/>
  <c r="N669" i="25" s="1"/>
  <c r="L661" i="25"/>
  <c r="M661" i="25" s="1"/>
  <c r="N661" i="25" s="1"/>
  <c r="L677" i="25"/>
  <c r="M677" i="25" s="1"/>
  <c r="N677" i="25" s="1"/>
  <c r="L673" i="25"/>
  <c r="M673" i="25" s="1"/>
  <c r="N673" i="25" s="1"/>
  <c r="L671" i="25"/>
  <c r="M671" i="25" s="1"/>
  <c r="N671" i="25" s="1"/>
  <c r="F679" i="25"/>
  <c r="J679" i="25"/>
  <c r="L675" i="25"/>
  <c r="M675" i="25" s="1"/>
  <c r="N675" i="25" s="1"/>
  <c r="H679" i="25"/>
  <c r="I679" i="25"/>
  <c r="K679" i="25"/>
  <c r="L676" i="25"/>
  <c r="M676" i="25" s="1"/>
  <c r="N676" i="25" s="1"/>
  <c r="L662" i="25"/>
  <c r="M662" i="25" s="1"/>
  <c r="N662" i="25" s="1"/>
  <c r="L668" i="25"/>
  <c r="M668" i="25" s="1"/>
  <c r="N668" i="25" s="1"/>
  <c r="L658" i="25"/>
  <c r="M658" i="25" s="1"/>
  <c r="N658" i="25" s="1"/>
  <c r="L674" i="25"/>
  <c r="M674" i="25" s="1"/>
  <c r="N674" i="25" s="1"/>
  <c r="L670" i="25"/>
  <c r="M670" i="25" s="1"/>
  <c r="N670" i="25" s="1"/>
  <c r="L659" i="25"/>
  <c r="M659" i="25" s="1"/>
  <c r="N659" i="25" s="1"/>
  <c r="L664" i="25"/>
  <c r="M664" i="25" s="1"/>
  <c r="N664" i="25" s="1"/>
  <c r="L656" i="25"/>
  <c r="M656" i="25" s="1"/>
  <c r="N656" i="25" s="1"/>
  <c r="L678" i="25"/>
  <c r="M678" i="25" s="1"/>
  <c r="N678" i="25" s="1"/>
  <c r="L655" i="25"/>
  <c r="M655" i="25" s="1"/>
  <c r="N655" i="25" s="1"/>
  <c r="L660" i="25"/>
  <c r="M660" i="25" s="1"/>
  <c r="N660" i="25" s="1"/>
  <c r="G679" i="25"/>
  <c r="L654" i="25"/>
  <c r="L665" i="25"/>
  <c r="M665" i="25" s="1"/>
  <c r="N665" i="25" s="1"/>
  <c r="L672" i="25"/>
  <c r="M672" i="25" s="1"/>
  <c r="N672" i="25" s="1"/>
  <c r="L667" i="25"/>
  <c r="M667" i="25" s="1"/>
  <c r="N667" i="25" s="1"/>
  <c r="L666" i="25"/>
  <c r="M666" i="25" s="1"/>
  <c r="N666" i="25" s="1"/>
  <c r="L657" i="25"/>
  <c r="M657" i="25" s="1"/>
  <c r="N657" i="25" s="1"/>
  <c r="G32" i="11"/>
  <c r="BL150" i="9"/>
  <c r="BL149" i="9"/>
  <c r="BL145" i="9"/>
  <c r="BM146" i="9" s="1"/>
  <c r="BL144" i="9"/>
  <c r="BL140" i="9"/>
  <c r="BL139" i="9"/>
  <c r="BL135" i="9"/>
  <c r="BL134" i="9"/>
  <c r="BL130" i="9"/>
  <c r="BM131" i="9" s="1"/>
  <c r="BL129" i="9"/>
  <c r="BL125" i="9"/>
  <c r="BM126" i="9" s="1"/>
  <c r="BL124" i="9"/>
  <c r="BL120" i="9"/>
  <c r="BL119" i="9"/>
  <c r="BL115" i="9"/>
  <c r="BL114" i="9"/>
  <c r="BL110" i="9"/>
  <c r="BM111" i="9" s="1"/>
  <c r="BL109" i="9"/>
  <c r="BL105" i="9"/>
  <c r="BM106" i="9" s="1"/>
  <c r="BL104" i="9"/>
  <c r="BL100" i="9"/>
  <c r="BL99" i="9"/>
  <c r="BL95" i="9"/>
  <c r="BL94" i="9"/>
  <c r="BL90" i="9"/>
  <c r="BM91" i="9" s="1"/>
  <c r="BL89" i="9"/>
  <c r="BL85" i="9"/>
  <c r="BM86" i="9" s="1"/>
  <c r="BL84" i="9"/>
  <c r="BL80" i="9"/>
  <c r="BL79" i="9"/>
  <c r="BL75" i="9"/>
  <c r="BL74" i="9"/>
  <c r="BL70" i="9"/>
  <c r="BM71" i="9" s="1"/>
  <c r="BL69" i="9"/>
  <c r="BL65" i="9"/>
  <c r="BM66" i="9" s="1"/>
  <c r="BL64" i="9"/>
  <c r="BL60" i="9"/>
  <c r="BL59" i="9"/>
  <c r="BL55" i="9"/>
  <c r="BL54" i="9"/>
  <c r="BL50" i="9"/>
  <c r="BM51" i="9" s="1"/>
  <c r="BL49" i="9"/>
  <c r="BL45" i="9"/>
  <c r="BM46" i="9" s="1"/>
  <c r="BL44" i="9"/>
  <c r="BL40" i="9"/>
  <c r="BL39" i="9"/>
  <c r="BL35" i="9"/>
  <c r="BL34" i="9"/>
  <c r="BL30" i="9"/>
  <c r="BM31" i="9" s="1"/>
  <c r="BL29" i="9"/>
  <c r="A644" i="25"/>
  <c r="K644" i="25" s="1"/>
  <c r="A643" i="25"/>
  <c r="H643" i="25" s="1"/>
  <c r="A642" i="25"/>
  <c r="H642" i="25" s="1"/>
  <c r="A641" i="25"/>
  <c r="H641" i="25" s="1"/>
  <c r="A640" i="25"/>
  <c r="A639" i="25"/>
  <c r="H639" i="25" s="1"/>
  <c r="A638" i="25"/>
  <c r="H638" i="25" s="1"/>
  <c r="A637" i="25"/>
  <c r="H637" i="25" s="1"/>
  <c r="A636" i="25"/>
  <c r="H636" i="25" s="1"/>
  <c r="A635" i="25"/>
  <c r="H635" i="25" s="1"/>
  <c r="A634" i="25"/>
  <c r="H634" i="25" s="1"/>
  <c r="A633" i="25"/>
  <c r="H633" i="25" s="1"/>
  <c r="A632" i="25"/>
  <c r="A631" i="25"/>
  <c r="H631" i="25" s="1"/>
  <c r="A630" i="25"/>
  <c r="H630" i="25" s="1"/>
  <c r="A629" i="25"/>
  <c r="H629" i="25" s="1"/>
  <c r="A628" i="25"/>
  <c r="I628" i="25" s="1"/>
  <c r="A627" i="25"/>
  <c r="K627" i="25" s="1"/>
  <c r="A626" i="25"/>
  <c r="I626" i="25" s="1"/>
  <c r="A625" i="25"/>
  <c r="K625" i="25" s="1"/>
  <c r="A624" i="25"/>
  <c r="I624" i="25" s="1"/>
  <c r="A623" i="25"/>
  <c r="K623" i="25" s="1"/>
  <c r="A622" i="25"/>
  <c r="I622" i="25" s="1"/>
  <c r="A621" i="25"/>
  <c r="K621" i="25" s="1"/>
  <c r="A620" i="25"/>
  <c r="I620" i="25" s="1"/>
  <c r="DA17" i="34" l="1"/>
  <c r="DA49" i="34"/>
  <c r="DA18" i="34"/>
  <c r="DA38" i="34"/>
  <c r="DA50" i="34"/>
  <c r="DA19" i="34"/>
  <c r="DA51" i="34"/>
  <c r="DA27" i="34"/>
  <c r="DA61" i="34"/>
  <c r="DA20" i="34"/>
  <c r="DA40" i="34"/>
  <c r="DA60" i="34"/>
  <c r="DA29" i="34"/>
  <c r="DA66" i="34"/>
  <c r="DA31" i="34"/>
  <c r="DA71" i="34"/>
  <c r="DA28" i="34"/>
  <c r="DA46" i="34"/>
  <c r="DA65" i="34"/>
  <c r="DA39" i="34"/>
  <c r="DA45" i="34"/>
  <c r="DA16" i="34"/>
  <c r="DA30" i="34"/>
  <c r="DA48" i="34"/>
  <c r="DA67" i="34"/>
  <c r="DA47" i="34"/>
  <c r="CZ20" i="34"/>
  <c r="CY25" i="34" s="1"/>
  <c r="CZ40" i="34"/>
  <c r="CY43" i="34" s="1"/>
  <c r="CZ60" i="34"/>
  <c r="CY62" i="34" s="1"/>
  <c r="CZ17" i="34"/>
  <c r="CY22" i="34" s="1"/>
  <c r="CZ31" i="34"/>
  <c r="CY36" i="34" s="1"/>
  <c r="CZ49" i="34"/>
  <c r="CY56" i="34" s="1"/>
  <c r="CZ28" i="34"/>
  <c r="CY33" i="34" s="1"/>
  <c r="CZ46" i="34"/>
  <c r="CY53" i="34" s="1"/>
  <c r="CZ65" i="34"/>
  <c r="CY68" i="34" s="1"/>
  <c r="CZ19" i="34"/>
  <c r="CY24" i="34" s="1"/>
  <c r="CZ39" i="34"/>
  <c r="CY42" i="34" s="1"/>
  <c r="CZ51" i="34"/>
  <c r="CY58" i="34" s="1"/>
  <c r="CZ16" i="34"/>
  <c r="CY21" i="34" s="1"/>
  <c r="CZ30" i="34"/>
  <c r="CY35" i="34" s="1"/>
  <c r="CZ48" i="34"/>
  <c r="CY55" i="34" s="1"/>
  <c r="CZ67" i="34"/>
  <c r="CY70" i="34" s="1"/>
  <c r="CZ27" i="34"/>
  <c r="CY32" i="34" s="1"/>
  <c r="CZ45" i="34"/>
  <c r="CY52" i="34" s="1"/>
  <c r="CZ61" i="34"/>
  <c r="CY63" i="34" s="1"/>
  <c r="CZ18" i="34"/>
  <c r="CY23" i="34" s="1"/>
  <c r="CZ38" i="34"/>
  <c r="CY41" i="34" s="1"/>
  <c r="CZ50" i="34"/>
  <c r="CY57" i="34" s="1"/>
  <c r="CZ71" i="34"/>
  <c r="CY72" i="34" s="1"/>
  <c r="CZ29" i="34"/>
  <c r="CY34" i="34" s="1"/>
  <c r="CZ47" i="34"/>
  <c r="CY54" i="34" s="1"/>
  <c r="CZ66" i="34"/>
  <c r="CY69" i="34" s="1"/>
  <c r="J622" i="25"/>
  <c r="H621" i="25"/>
  <c r="F631" i="25"/>
  <c r="G638" i="25"/>
  <c r="G630" i="25"/>
  <c r="F624" i="25"/>
  <c r="F625" i="25"/>
  <c r="J626" i="25"/>
  <c r="G624" i="25"/>
  <c r="H625" i="25"/>
  <c r="F621" i="25"/>
  <c r="K624" i="25"/>
  <c r="I625" i="25"/>
  <c r="F633" i="25"/>
  <c r="K628" i="25"/>
  <c r="I629" i="25"/>
  <c r="F620" i="25"/>
  <c r="G620" i="25"/>
  <c r="K629" i="25"/>
  <c r="K620" i="25"/>
  <c r="I621" i="25"/>
  <c r="F628" i="25"/>
  <c r="F629" i="25"/>
  <c r="I631" i="25"/>
  <c r="F637" i="25"/>
  <c r="F639" i="25"/>
  <c r="F641" i="25"/>
  <c r="G628" i="25"/>
  <c r="G629" i="25"/>
  <c r="I639" i="25"/>
  <c r="M713" i="25"/>
  <c r="N713" i="25" s="1"/>
  <c r="J623" i="25"/>
  <c r="BM36" i="9"/>
  <c r="BM61" i="9"/>
  <c r="BM76" i="9"/>
  <c r="BM101" i="9"/>
  <c r="BM116" i="9"/>
  <c r="BM141" i="9"/>
  <c r="J621" i="25"/>
  <c r="F623" i="25"/>
  <c r="J625" i="25"/>
  <c r="F627" i="25"/>
  <c r="J629" i="25"/>
  <c r="J631" i="25"/>
  <c r="I633" i="25"/>
  <c r="F635" i="25"/>
  <c r="G636" i="25"/>
  <c r="I637" i="25"/>
  <c r="J639" i="25"/>
  <c r="I641" i="25"/>
  <c r="F643" i="25"/>
  <c r="H644" i="25"/>
  <c r="BM151" i="9"/>
  <c r="H623" i="25"/>
  <c r="H627" i="25"/>
  <c r="J633" i="25"/>
  <c r="I635" i="25"/>
  <c r="J637" i="25"/>
  <c r="J641" i="25"/>
  <c r="I643" i="25"/>
  <c r="BM41" i="9"/>
  <c r="BM56" i="9"/>
  <c r="BM81" i="9"/>
  <c r="BM96" i="9"/>
  <c r="BM121" i="9"/>
  <c r="BM136" i="9"/>
  <c r="J627" i="25"/>
  <c r="I623" i="25"/>
  <c r="I627" i="25"/>
  <c r="J635" i="25"/>
  <c r="J643" i="25"/>
  <c r="L679" i="25"/>
  <c r="M654" i="25"/>
  <c r="N654" i="25" s="1"/>
  <c r="C662" i="25" s="1"/>
  <c r="J632" i="25"/>
  <c r="F632" i="25"/>
  <c r="I632" i="25"/>
  <c r="K632" i="25"/>
  <c r="J640" i="25"/>
  <c r="F640" i="25"/>
  <c r="I640" i="25"/>
  <c r="K640" i="25"/>
  <c r="H620" i="25"/>
  <c r="F626" i="25"/>
  <c r="K626" i="25"/>
  <c r="H628" i="25"/>
  <c r="J630" i="25"/>
  <c r="F630" i="25"/>
  <c r="I630" i="25"/>
  <c r="K630" i="25"/>
  <c r="G634" i="25"/>
  <c r="J638" i="25"/>
  <c r="F638" i="25"/>
  <c r="I638" i="25"/>
  <c r="K638" i="25"/>
  <c r="G642" i="25"/>
  <c r="F622" i="25"/>
  <c r="K622" i="25"/>
  <c r="H624" i="25"/>
  <c r="J620" i="25"/>
  <c r="G622" i="25"/>
  <c r="J624" i="25"/>
  <c r="G626" i="25"/>
  <c r="J628" i="25"/>
  <c r="G632" i="25"/>
  <c r="J636" i="25"/>
  <c r="F636" i="25"/>
  <c r="I636" i="25"/>
  <c r="K636" i="25"/>
  <c r="G640" i="25"/>
  <c r="H622" i="25"/>
  <c r="H626" i="25"/>
  <c r="H632" i="25"/>
  <c r="J634" i="25"/>
  <c r="F634" i="25"/>
  <c r="I634" i="25"/>
  <c r="K634" i="25"/>
  <c r="H640" i="25"/>
  <c r="J642" i="25"/>
  <c r="F642" i="25"/>
  <c r="I642" i="25"/>
  <c r="K642" i="25"/>
  <c r="G631" i="25"/>
  <c r="K631" i="25"/>
  <c r="G633" i="25"/>
  <c r="K633" i="25"/>
  <c r="G635" i="25"/>
  <c r="K635" i="25"/>
  <c r="G637" i="25"/>
  <c r="K637" i="25"/>
  <c r="G639" i="25"/>
  <c r="K639" i="25"/>
  <c r="G641" i="25"/>
  <c r="K641" i="25"/>
  <c r="G643" i="25"/>
  <c r="K643" i="25"/>
  <c r="I644" i="25"/>
  <c r="G621" i="25"/>
  <c r="G623" i="25"/>
  <c r="G625" i="25"/>
  <c r="G627" i="25"/>
  <c r="F644" i="25"/>
  <c r="J644" i="25"/>
  <c r="G644" i="25"/>
  <c r="BK150" i="9"/>
  <c r="BL151" i="9" s="1"/>
  <c r="BK149" i="9"/>
  <c r="BK145" i="9"/>
  <c r="BL146" i="9" s="1"/>
  <c r="BK144" i="9"/>
  <c r="BK140" i="9"/>
  <c r="BL141" i="9" s="1"/>
  <c r="BK139" i="9"/>
  <c r="BK135" i="9"/>
  <c r="BK134" i="9"/>
  <c r="BK130" i="9"/>
  <c r="BK129" i="9"/>
  <c r="BK125" i="9"/>
  <c r="BL126" i="9" s="1"/>
  <c r="BK124" i="9"/>
  <c r="BK120" i="9"/>
  <c r="BL121" i="9" s="1"/>
  <c r="BK119" i="9"/>
  <c r="BK115" i="9"/>
  <c r="BL116" i="9" s="1"/>
  <c r="BK114" i="9"/>
  <c r="BK110" i="9"/>
  <c r="BK109" i="9"/>
  <c r="BK105" i="9"/>
  <c r="BK104" i="9"/>
  <c r="BK100" i="9"/>
  <c r="BL101" i="9" s="1"/>
  <c r="BK99" i="9"/>
  <c r="BK95" i="9"/>
  <c r="BK94" i="9"/>
  <c r="BK90" i="9"/>
  <c r="BK89" i="9"/>
  <c r="BK85" i="9"/>
  <c r="BL86" i="9" s="1"/>
  <c r="BK84" i="9"/>
  <c r="BK80" i="9"/>
  <c r="BL81" i="9" s="1"/>
  <c r="BK79" i="9"/>
  <c r="BK75" i="9"/>
  <c r="BK74" i="9"/>
  <c r="BK70" i="9"/>
  <c r="BK69" i="9"/>
  <c r="BK65" i="9"/>
  <c r="BL66" i="9" s="1"/>
  <c r="BK64" i="9"/>
  <c r="BK60" i="9"/>
  <c r="BL61" i="9" s="1"/>
  <c r="BK59" i="9"/>
  <c r="BK55" i="9"/>
  <c r="BK54" i="9"/>
  <c r="BK50" i="9"/>
  <c r="BK49" i="9"/>
  <c r="BK45" i="9"/>
  <c r="BL46" i="9" s="1"/>
  <c r="BK44" i="9"/>
  <c r="BK40" i="9"/>
  <c r="BL41" i="9" s="1"/>
  <c r="BK39" i="9"/>
  <c r="BK35" i="9"/>
  <c r="BL36" i="9" s="1"/>
  <c r="BK34" i="9"/>
  <c r="BK30" i="9"/>
  <c r="BK29" i="9"/>
  <c r="G35" i="11"/>
  <c r="H99" i="33"/>
  <c r="E99" i="33"/>
  <c r="G99" i="33"/>
  <c r="F99" i="33"/>
  <c r="D99" i="33"/>
  <c r="O67" i="33"/>
  <c r="P67" i="33" s="1"/>
  <c r="B95" i="33"/>
  <c r="B94" i="33"/>
  <c r="B93" i="33"/>
  <c r="B92" i="33"/>
  <c r="B91" i="33"/>
  <c r="B90" i="33"/>
  <c r="B89" i="33"/>
  <c r="B88" i="33"/>
  <c r="B87" i="33"/>
  <c r="B86" i="33"/>
  <c r="B85" i="33"/>
  <c r="B84" i="33"/>
  <c r="B83" i="33"/>
  <c r="B82" i="33"/>
  <c r="B81" i="33"/>
  <c r="B80" i="33"/>
  <c r="B79" i="33"/>
  <c r="B78" i="33"/>
  <c r="B77" i="33"/>
  <c r="B76" i="33"/>
  <c r="B75" i="33"/>
  <c r="B74" i="33"/>
  <c r="B73" i="33"/>
  <c r="B72" i="33"/>
  <c r="B71" i="33"/>
  <c r="B70" i="33"/>
  <c r="B69" i="33"/>
  <c r="BL63" i="33"/>
  <c r="BK63" i="33"/>
  <c r="BJ63" i="33"/>
  <c r="BI63" i="33"/>
  <c r="BH63" i="33"/>
  <c r="BG63" i="33"/>
  <c r="BF63" i="33"/>
  <c r="BE63" i="33"/>
  <c r="BD63" i="33"/>
  <c r="BC63" i="33"/>
  <c r="BB63" i="33"/>
  <c r="BA63" i="33"/>
  <c r="AZ63" i="33"/>
  <c r="AY63" i="33"/>
  <c r="AX63" i="33"/>
  <c r="AW63" i="33"/>
  <c r="AV63" i="33"/>
  <c r="AU63" i="33"/>
  <c r="AT63" i="33"/>
  <c r="AS63" i="33"/>
  <c r="AR63" i="33"/>
  <c r="AQ63" i="33"/>
  <c r="AP63" i="33"/>
  <c r="AO63" i="33"/>
  <c r="AN63" i="33"/>
  <c r="AM63" i="33"/>
  <c r="AL63" i="33"/>
  <c r="AK63" i="33"/>
  <c r="AJ63" i="33"/>
  <c r="AI63" i="33"/>
  <c r="AH63" i="33"/>
  <c r="AG63" i="33"/>
  <c r="AF63" i="33"/>
  <c r="AE63" i="33"/>
  <c r="AD63" i="33"/>
  <c r="AC63" i="33"/>
  <c r="AB63" i="33"/>
  <c r="AA63" i="33"/>
  <c r="Z63" i="33"/>
  <c r="Y63" i="33"/>
  <c r="X63" i="33"/>
  <c r="W63" i="33"/>
  <c r="V63" i="33"/>
  <c r="U63" i="33"/>
  <c r="T63" i="33"/>
  <c r="S63" i="33"/>
  <c r="R63" i="33"/>
  <c r="Q63" i="33"/>
  <c r="P63" i="33"/>
  <c r="O63" i="33"/>
  <c r="N63" i="33"/>
  <c r="M63" i="33"/>
  <c r="L63" i="33"/>
  <c r="K63" i="33"/>
  <c r="J63" i="33"/>
  <c r="I63" i="33"/>
  <c r="H63" i="33"/>
  <c r="G63" i="33"/>
  <c r="BL62" i="33"/>
  <c r="BK62" i="33"/>
  <c r="BJ62" i="33"/>
  <c r="BI62" i="33"/>
  <c r="BH62" i="33"/>
  <c r="BG62" i="33"/>
  <c r="BF62" i="33"/>
  <c r="BE62" i="33"/>
  <c r="BD62" i="33"/>
  <c r="BC62" i="33"/>
  <c r="BB62" i="33"/>
  <c r="BA62" i="33"/>
  <c r="AZ62" i="33"/>
  <c r="AY62" i="33"/>
  <c r="AX62" i="33"/>
  <c r="AW62" i="33"/>
  <c r="AV62" i="33"/>
  <c r="AU62" i="33"/>
  <c r="AT62" i="33"/>
  <c r="AS62" i="33"/>
  <c r="AR62" i="33"/>
  <c r="AQ62" i="33"/>
  <c r="AP62" i="33"/>
  <c r="AO62" i="33"/>
  <c r="AN62" i="33"/>
  <c r="AM62" i="33"/>
  <c r="AL62" i="33"/>
  <c r="AK62" i="33"/>
  <c r="AJ62" i="33"/>
  <c r="AI62" i="33"/>
  <c r="AH62" i="33"/>
  <c r="AG62" i="33"/>
  <c r="AF62" i="33"/>
  <c r="AE62" i="33"/>
  <c r="AD62" i="33"/>
  <c r="AC62" i="33"/>
  <c r="AB62" i="33"/>
  <c r="AA62" i="33"/>
  <c r="Z62" i="33"/>
  <c r="Y62" i="33"/>
  <c r="X62" i="33"/>
  <c r="W62" i="33"/>
  <c r="V62" i="33"/>
  <c r="U62" i="33"/>
  <c r="T62" i="33"/>
  <c r="S62" i="33"/>
  <c r="R62" i="33"/>
  <c r="Q62" i="33"/>
  <c r="P62" i="33"/>
  <c r="O62" i="33"/>
  <c r="N62" i="33"/>
  <c r="M62" i="33"/>
  <c r="L62" i="33"/>
  <c r="K62" i="33"/>
  <c r="J62" i="33"/>
  <c r="I62" i="33"/>
  <c r="H62" i="33"/>
  <c r="G62" i="33"/>
  <c r="BL61" i="33"/>
  <c r="BK61" i="33"/>
  <c r="BJ61" i="33"/>
  <c r="BI61" i="33"/>
  <c r="BH61" i="33"/>
  <c r="BG61" i="33"/>
  <c r="BF61" i="33"/>
  <c r="BE61" i="33"/>
  <c r="BD61" i="33"/>
  <c r="BC61" i="33"/>
  <c r="BB61" i="33"/>
  <c r="BA61" i="33"/>
  <c r="AZ61" i="33"/>
  <c r="AY61" i="33"/>
  <c r="AX61" i="33"/>
  <c r="AW61" i="33"/>
  <c r="AV61" i="33"/>
  <c r="AU61" i="33"/>
  <c r="AT61" i="33"/>
  <c r="AS61" i="33"/>
  <c r="AR61" i="33"/>
  <c r="AQ61" i="33"/>
  <c r="AP61" i="33"/>
  <c r="AO61" i="33"/>
  <c r="AN61" i="33"/>
  <c r="AM61" i="33"/>
  <c r="AL61" i="33"/>
  <c r="AK61" i="33"/>
  <c r="AJ61" i="33"/>
  <c r="AI61" i="33"/>
  <c r="AH61" i="33"/>
  <c r="AG61" i="33"/>
  <c r="AF61" i="33"/>
  <c r="AE61" i="33"/>
  <c r="AD61" i="33"/>
  <c r="AC61" i="33"/>
  <c r="AB61" i="33"/>
  <c r="AA61" i="33"/>
  <c r="Z61" i="33"/>
  <c r="Y61" i="33"/>
  <c r="X61" i="33"/>
  <c r="W61" i="33"/>
  <c r="V61" i="33"/>
  <c r="U61" i="33"/>
  <c r="T61" i="33"/>
  <c r="S61" i="33"/>
  <c r="R61" i="33"/>
  <c r="Q61" i="33"/>
  <c r="P61" i="33"/>
  <c r="O61" i="33"/>
  <c r="N61" i="33"/>
  <c r="M61" i="33"/>
  <c r="L61" i="33"/>
  <c r="K61" i="33"/>
  <c r="J61" i="33"/>
  <c r="I61" i="33"/>
  <c r="H61" i="33"/>
  <c r="G61" i="33"/>
  <c r="BL60" i="33"/>
  <c r="BK60" i="33"/>
  <c r="BJ60" i="33"/>
  <c r="BI60" i="33"/>
  <c r="BH60" i="33"/>
  <c r="BG60" i="33"/>
  <c r="BF60" i="33"/>
  <c r="BE60" i="33"/>
  <c r="BD60" i="33"/>
  <c r="BC60" i="33"/>
  <c r="BB60" i="33"/>
  <c r="BA60" i="33"/>
  <c r="AZ60" i="33"/>
  <c r="AY60" i="33"/>
  <c r="AX60" i="33"/>
  <c r="AW60" i="33"/>
  <c r="AV60" i="33"/>
  <c r="AU60" i="33"/>
  <c r="AT60" i="33"/>
  <c r="AS60" i="33"/>
  <c r="AR60" i="33"/>
  <c r="AQ60" i="33"/>
  <c r="AP60" i="33"/>
  <c r="AO60" i="33"/>
  <c r="AN60" i="33"/>
  <c r="AM60" i="33"/>
  <c r="AL60" i="33"/>
  <c r="AK60" i="33"/>
  <c r="AJ60" i="33"/>
  <c r="AI60" i="33"/>
  <c r="AH60" i="33"/>
  <c r="AG60" i="33"/>
  <c r="AF60" i="33"/>
  <c r="AE60" i="33"/>
  <c r="AD60" i="33"/>
  <c r="AC60" i="33"/>
  <c r="AB60" i="33"/>
  <c r="AA60" i="33"/>
  <c r="Z60" i="33"/>
  <c r="Y60" i="33"/>
  <c r="X60" i="33"/>
  <c r="W60" i="33"/>
  <c r="V60" i="33"/>
  <c r="U60" i="33"/>
  <c r="T60" i="33"/>
  <c r="S60" i="33"/>
  <c r="R60" i="33"/>
  <c r="Q60" i="33"/>
  <c r="P60" i="33"/>
  <c r="O60" i="33"/>
  <c r="N60" i="33"/>
  <c r="M60" i="33"/>
  <c r="L60" i="33"/>
  <c r="K60" i="33"/>
  <c r="J60" i="33"/>
  <c r="I60" i="33"/>
  <c r="H60" i="33"/>
  <c r="G60" i="33"/>
  <c r="BL59" i="33"/>
  <c r="BK59" i="33"/>
  <c r="BJ59" i="33"/>
  <c r="BI59" i="33"/>
  <c r="BH59" i="33"/>
  <c r="BG59" i="33"/>
  <c r="BF59" i="33"/>
  <c r="BE59" i="33"/>
  <c r="BD59" i="33"/>
  <c r="BC59" i="33"/>
  <c r="BB59" i="33"/>
  <c r="BA59" i="33"/>
  <c r="AZ59" i="33"/>
  <c r="AY59" i="33"/>
  <c r="AX59" i="33"/>
  <c r="AW59" i="33"/>
  <c r="AV59" i="33"/>
  <c r="AU59" i="33"/>
  <c r="AT59" i="33"/>
  <c r="AS59" i="33"/>
  <c r="AR59" i="33"/>
  <c r="AQ59" i="33"/>
  <c r="AP59" i="33"/>
  <c r="AO59" i="33"/>
  <c r="AN59" i="33"/>
  <c r="AM59" i="33"/>
  <c r="AL59" i="33"/>
  <c r="AK59" i="33"/>
  <c r="AJ59" i="33"/>
  <c r="AI59" i="33"/>
  <c r="AH59" i="33"/>
  <c r="AG59" i="33"/>
  <c r="AF59" i="33"/>
  <c r="AE59" i="33"/>
  <c r="AD59" i="33"/>
  <c r="AC59" i="33"/>
  <c r="AB59" i="33"/>
  <c r="AA59" i="33"/>
  <c r="Z59" i="33"/>
  <c r="Y59" i="33"/>
  <c r="X59" i="33"/>
  <c r="W59" i="33"/>
  <c r="V59" i="33"/>
  <c r="U59" i="33"/>
  <c r="T59" i="33"/>
  <c r="S59" i="33"/>
  <c r="R59" i="33"/>
  <c r="Q59" i="33"/>
  <c r="P59" i="33"/>
  <c r="O59" i="33"/>
  <c r="N59" i="33"/>
  <c r="M59" i="33"/>
  <c r="L59" i="33"/>
  <c r="K59" i="33"/>
  <c r="J59" i="33"/>
  <c r="I59" i="33"/>
  <c r="H59" i="33"/>
  <c r="G59" i="33"/>
  <c r="BL58" i="33"/>
  <c r="BK58" i="33"/>
  <c r="BJ58" i="33"/>
  <c r="BI58" i="33"/>
  <c r="BH58" i="33"/>
  <c r="BG58" i="33"/>
  <c r="BF58" i="33"/>
  <c r="BE58" i="33"/>
  <c r="BD58" i="33"/>
  <c r="BC58" i="33"/>
  <c r="BB58" i="33"/>
  <c r="BA58" i="33"/>
  <c r="AZ58" i="33"/>
  <c r="AY58" i="33"/>
  <c r="AX58" i="33"/>
  <c r="AW58" i="33"/>
  <c r="AV58" i="33"/>
  <c r="AU58" i="33"/>
  <c r="AT58" i="33"/>
  <c r="AS58" i="33"/>
  <c r="AR58" i="33"/>
  <c r="AQ58" i="33"/>
  <c r="AP58" i="33"/>
  <c r="AO58" i="33"/>
  <c r="AN58" i="33"/>
  <c r="AM58" i="33"/>
  <c r="AL58" i="33"/>
  <c r="AK58" i="33"/>
  <c r="AJ58" i="33"/>
  <c r="AI58" i="33"/>
  <c r="AH58" i="33"/>
  <c r="AG58" i="33"/>
  <c r="AF58" i="33"/>
  <c r="AE58" i="33"/>
  <c r="AD58" i="33"/>
  <c r="AC58" i="33"/>
  <c r="AB58" i="33"/>
  <c r="AA58" i="33"/>
  <c r="Z58" i="33"/>
  <c r="Y58" i="33"/>
  <c r="X58" i="33"/>
  <c r="W58" i="33"/>
  <c r="V58" i="33"/>
  <c r="U58" i="33"/>
  <c r="T58" i="33"/>
  <c r="S58" i="33"/>
  <c r="R58" i="33"/>
  <c r="Q58" i="33"/>
  <c r="P58" i="33"/>
  <c r="O58" i="33"/>
  <c r="N58" i="33"/>
  <c r="M58" i="33"/>
  <c r="L58" i="33"/>
  <c r="K58" i="33"/>
  <c r="J58" i="33"/>
  <c r="I58" i="33"/>
  <c r="H58" i="33"/>
  <c r="G58" i="33"/>
  <c r="BL57" i="33"/>
  <c r="BK57" i="33"/>
  <c r="BJ57" i="33"/>
  <c r="BI57" i="33"/>
  <c r="BH57" i="33"/>
  <c r="BG57" i="33"/>
  <c r="BF57" i="33"/>
  <c r="BE57" i="33"/>
  <c r="BD57" i="33"/>
  <c r="BC57" i="33"/>
  <c r="BB57" i="33"/>
  <c r="BA57" i="33"/>
  <c r="AZ57" i="33"/>
  <c r="AY57" i="33"/>
  <c r="AX57" i="33"/>
  <c r="AW57" i="33"/>
  <c r="AV57" i="33"/>
  <c r="AU57" i="33"/>
  <c r="AT57" i="33"/>
  <c r="AS57" i="33"/>
  <c r="AR57" i="33"/>
  <c r="AQ57" i="33"/>
  <c r="AP57" i="33"/>
  <c r="AO57" i="33"/>
  <c r="AN57" i="33"/>
  <c r="AM57" i="33"/>
  <c r="AL57" i="33"/>
  <c r="AK57" i="33"/>
  <c r="AJ57" i="33"/>
  <c r="AI57" i="33"/>
  <c r="AH57" i="33"/>
  <c r="AG57" i="33"/>
  <c r="AF57" i="33"/>
  <c r="AE57" i="33"/>
  <c r="AD57" i="33"/>
  <c r="AC57" i="33"/>
  <c r="AB57" i="33"/>
  <c r="AA57" i="33"/>
  <c r="Z57" i="33"/>
  <c r="Y57" i="33"/>
  <c r="X57" i="33"/>
  <c r="W57" i="33"/>
  <c r="V57" i="33"/>
  <c r="U57" i="33"/>
  <c r="T57" i="33"/>
  <c r="S57" i="33"/>
  <c r="R57" i="33"/>
  <c r="Q57" i="33"/>
  <c r="P57" i="33"/>
  <c r="O57" i="33"/>
  <c r="N57" i="33"/>
  <c r="M57" i="33"/>
  <c r="L57" i="33"/>
  <c r="K57" i="33"/>
  <c r="J57" i="33"/>
  <c r="I57" i="33"/>
  <c r="H57" i="33"/>
  <c r="G57" i="33"/>
  <c r="BL56" i="33"/>
  <c r="BK56" i="33"/>
  <c r="BJ56" i="33"/>
  <c r="BI56" i="33"/>
  <c r="BH56" i="33"/>
  <c r="BG56" i="33"/>
  <c r="BF56" i="33"/>
  <c r="BE56" i="33"/>
  <c r="BD56" i="33"/>
  <c r="BC56" i="33"/>
  <c r="BB56" i="33"/>
  <c r="BA56" i="33"/>
  <c r="AZ56" i="33"/>
  <c r="AY56" i="33"/>
  <c r="AX56" i="33"/>
  <c r="AW56" i="33"/>
  <c r="AV56" i="33"/>
  <c r="AU56" i="33"/>
  <c r="AT56" i="33"/>
  <c r="AS56" i="33"/>
  <c r="AR56" i="33"/>
  <c r="AQ56" i="33"/>
  <c r="AP56" i="33"/>
  <c r="AO56" i="33"/>
  <c r="AN56" i="33"/>
  <c r="AM56" i="33"/>
  <c r="AL56" i="33"/>
  <c r="AK56" i="33"/>
  <c r="AJ56" i="33"/>
  <c r="AI56" i="33"/>
  <c r="AH56" i="33"/>
  <c r="AG56" i="33"/>
  <c r="AF56" i="33"/>
  <c r="AE56" i="33"/>
  <c r="AD56" i="33"/>
  <c r="AC56" i="33"/>
  <c r="AB56" i="33"/>
  <c r="AA56" i="33"/>
  <c r="Z56" i="33"/>
  <c r="Y56" i="33"/>
  <c r="X56" i="33"/>
  <c r="W56" i="33"/>
  <c r="V56" i="33"/>
  <c r="U56" i="33"/>
  <c r="T56" i="33"/>
  <c r="S56" i="33"/>
  <c r="R56" i="33"/>
  <c r="Q56" i="33"/>
  <c r="P56" i="33"/>
  <c r="O56" i="33"/>
  <c r="N56" i="33"/>
  <c r="M56" i="33"/>
  <c r="L56" i="33"/>
  <c r="K56" i="33"/>
  <c r="J56" i="33"/>
  <c r="I56" i="33"/>
  <c r="H56" i="33"/>
  <c r="G56" i="33"/>
  <c r="BL55" i="33"/>
  <c r="BK55" i="33"/>
  <c r="BJ55" i="33"/>
  <c r="BI55" i="33"/>
  <c r="BH55" i="33"/>
  <c r="BG55" i="33"/>
  <c r="BF55" i="33"/>
  <c r="BE55" i="33"/>
  <c r="BD55" i="33"/>
  <c r="BC55" i="33"/>
  <c r="BB55" i="33"/>
  <c r="BA55" i="33"/>
  <c r="AZ55" i="33"/>
  <c r="AY55" i="33"/>
  <c r="AX55" i="33"/>
  <c r="AW55" i="33"/>
  <c r="AV55" i="33"/>
  <c r="AU55" i="33"/>
  <c r="AT55" i="33"/>
  <c r="AS55" i="33"/>
  <c r="AR55" i="33"/>
  <c r="AQ55" i="33"/>
  <c r="AP55" i="33"/>
  <c r="AO55" i="33"/>
  <c r="AN55" i="33"/>
  <c r="AM55" i="33"/>
  <c r="AL55" i="33"/>
  <c r="AK55" i="33"/>
  <c r="AJ55" i="33"/>
  <c r="AI55" i="33"/>
  <c r="AH55" i="33"/>
  <c r="AG55" i="33"/>
  <c r="AF55" i="33"/>
  <c r="AE55" i="33"/>
  <c r="AD55" i="33"/>
  <c r="AC55" i="33"/>
  <c r="AB55" i="33"/>
  <c r="AA55" i="33"/>
  <c r="Z55" i="33"/>
  <c r="Y55" i="33"/>
  <c r="X55" i="33"/>
  <c r="W55" i="33"/>
  <c r="V55" i="33"/>
  <c r="U55" i="33"/>
  <c r="T55" i="33"/>
  <c r="S55" i="33"/>
  <c r="R55" i="33"/>
  <c r="Q55" i="33"/>
  <c r="P55" i="33"/>
  <c r="O55" i="33"/>
  <c r="N55" i="33"/>
  <c r="M55" i="33"/>
  <c r="L55" i="33"/>
  <c r="K55" i="33"/>
  <c r="J55" i="33"/>
  <c r="I55" i="33"/>
  <c r="H55" i="33"/>
  <c r="G55" i="33"/>
  <c r="BL54" i="33"/>
  <c r="BK54" i="33"/>
  <c r="BJ54" i="33"/>
  <c r="BI54" i="33"/>
  <c r="BH54" i="33"/>
  <c r="BG54" i="33"/>
  <c r="BF54" i="33"/>
  <c r="BE54" i="33"/>
  <c r="BD54" i="33"/>
  <c r="BC54" i="33"/>
  <c r="BB54" i="33"/>
  <c r="BA54" i="33"/>
  <c r="AZ54" i="33"/>
  <c r="AY54" i="33"/>
  <c r="AX54" i="33"/>
  <c r="AW54" i="33"/>
  <c r="AV54" i="33"/>
  <c r="AU54" i="33"/>
  <c r="AT54" i="33"/>
  <c r="AS54" i="33"/>
  <c r="AR54" i="33"/>
  <c r="AQ54" i="33"/>
  <c r="AP54" i="33"/>
  <c r="AO54" i="33"/>
  <c r="AN54" i="33"/>
  <c r="AM54" i="33"/>
  <c r="AL54" i="33"/>
  <c r="AK54" i="33"/>
  <c r="AJ54" i="33"/>
  <c r="AI54" i="33"/>
  <c r="AH54" i="33"/>
  <c r="AG54" i="33"/>
  <c r="AF54" i="33"/>
  <c r="AE54" i="33"/>
  <c r="AD54" i="33"/>
  <c r="AC54" i="33"/>
  <c r="AB54" i="33"/>
  <c r="AA54" i="33"/>
  <c r="Z54" i="33"/>
  <c r="Y54" i="33"/>
  <c r="X54" i="33"/>
  <c r="W54" i="33"/>
  <c r="V54" i="33"/>
  <c r="U54" i="33"/>
  <c r="T54" i="33"/>
  <c r="S54" i="33"/>
  <c r="R54" i="33"/>
  <c r="Q54" i="33"/>
  <c r="P54" i="33"/>
  <c r="O54" i="33"/>
  <c r="N54" i="33"/>
  <c r="M54" i="33"/>
  <c r="L54" i="33"/>
  <c r="K54" i="33"/>
  <c r="J54" i="33"/>
  <c r="I54" i="33"/>
  <c r="H54" i="33"/>
  <c r="G54" i="33"/>
  <c r="BL53" i="33"/>
  <c r="BK53" i="33"/>
  <c r="BJ53" i="33"/>
  <c r="BI53" i="33"/>
  <c r="BH53" i="33"/>
  <c r="BG53" i="33"/>
  <c r="BF53" i="33"/>
  <c r="BE53" i="33"/>
  <c r="BD53" i="33"/>
  <c r="BC53" i="33"/>
  <c r="BB53" i="33"/>
  <c r="BA53" i="33"/>
  <c r="AZ53" i="33"/>
  <c r="AY53" i="33"/>
  <c r="AX53" i="33"/>
  <c r="AW53" i="33"/>
  <c r="AV53" i="33"/>
  <c r="AU53" i="33"/>
  <c r="AT53" i="33"/>
  <c r="AS53" i="33"/>
  <c r="AR53" i="33"/>
  <c r="AQ53" i="33"/>
  <c r="AP53" i="33"/>
  <c r="AO53" i="33"/>
  <c r="AN53" i="33"/>
  <c r="AM53" i="33"/>
  <c r="AL53" i="33"/>
  <c r="AK53" i="33"/>
  <c r="AJ53" i="33"/>
  <c r="AI53" i="33"/>
  <c r="AH53" i="33"/>
  <c r="AG53" i="33"/>
  <c r="AF53" i="33"/>
  <c r="AE53" i="33"/>
  <c r="AD53" i="33"/>
  <c r="AC53" i="33"/>
  <c r="AB53" i="33"/>
  <c r="AA53" i="33"/>
  <c r="Z53" i="33"/>
  <c r="Y53" i="33"/>
  <c r="X53" i="33"/>
  <c r="W53" i="33"/>
  <c r="V53" i="33"/>
  <c r="U53" i="33"/>
  <c r="T53" i="33"/>
  <c r="S53" i="33"/>
  <c r="R53" i="33"/>
  <c r="Q53" i="33"/>
  <c r="P53" i="33"/>
  <c r="O53" i="33"/>
  <c r="N53" i="33"/>
  <c r="M53" i="33"/>
  <c r="L53" i="33"/>
  <c r="K53" i="33"/>
  <c r="J53" i="33"/>
  <c r="I53" i="33"/>
  <c r="H53" i="33"/>
  <c r="G53" i="33"/>
  <c r="BL52" i="33"/>
  <c r="BK52" i="33"/>
  <c r="BJ52" i="33"/>
  <c r="BI52" i="33"/>
  <c r="BH52" i="33"/>
  <c r="BG52" i="33"/>
  <c r="BF52" i="33"/>
  <c r="BE52" i="33"/>
  <c r="BD52" i="33"/>
  <c r="BC52" i="33"/>
  <c r="BB52" i="33"/>
  <c r="BA52" i="33"/>
  <c r="AZ52" i="33"/>
  <c r="AY52" i="33"/>
  <c r="AX52" i="33"/>
  <c r="AW52" i="33"/>
  <c r="AV52" i="33"/>
  <c r="AU52" i="33"/>
  <c r="AT52" i="33"/>
  <c r="AS52" i="33"/>
  <c r="AR52" i="33"/>
  <c r="AQ52" i="33"/>
  <c r="AP52" i="33"/>
  <c r="AO52" i="33"/>
  <c r="AN52" i="33"/>
  <c r="AM52" i="33"/>
  <c r="AL52" i="33"/>
  <c r="AK52" i="33"/>
  <c r="AJ52" i="33"/>
  <c r="AI52" i="33"/>
  <c r="AH52" i="33"/>
  <c r="AG52" i="33"/>
  <c r="AF52" i="33"/>
  <c r="AE52" i="33"/>
  <c r="AD52" i="33"/>
  <c r="AC52" i="33"/>
  <c r="AB52" i="33"/>
  <c r="AA52" i="33"/>
  <c r="Z52" i="33"/>
  <c r="Y52" i="33"/>
  <c r="X52" i="33"/>
  <c r="W52" i="33"/>
  <c r="V52" i="33"/>
  <c r="U52" i="33"/>
  <c r="T52" i="33"/>
  <c r="S52" i="33"/>
  <c r="R52" i="33"/>
  <c r="Q52" i="33"/>
  <c r="P52" i="33"/>
  <c r="O52" i="33"/>
  <c r="N52" i="33"/>
  <c r="M52" i="33"/>
  <c r="L52" i="33"/>
  <c r="K52" i="33"/>
  <c r="J52" i="33"/>
  <c r="I52" i="33"/>
  <c r="H52" i="33"/>
  <c r="G52" i="33"/>
  <c r="BL51" i="33"/>
  <c r="BK51" i="33"/>
  <c r="BJ51" i="33"/>
  <c r="BI51" i="33"/>
  <c r="BH51" i="33"/>
  <c r="BG51" i="33"/>
  <c r="BF51" i="33"/>
  <c r="BE51" i="33"/>
  <c r="BD51" i="33"/>
  <c r="BC51" i="33"/>
  <c r="BB51" i="33"/>
  <c r="BA51" i="33"/>
  <c r="AZ51" i="33"/>
  <c r="AY51" i="33"/>
  <c r="AX51" i="33"/>
  <c r="AW51" i="33"/>
  <c r="AV51" i="33"/>
  <c r="AU51" i="33"/>
  <c r="AT51" i="33"/>
  <c r="AS51" i="33"/>
  <c r="AR51" i="33"/>
  <c r="AQ51" i="33"/>
  <c r="AP51" i="33"/>
  <c r="AO51" i="33"/>
  <c r="AN51" i="33"/>
  <c r="AM51" i="33"/>
  <c r="AL51" i="33"/>
  <c r="AK51" i="33"/>
  <c r="AJ51" i="33"/>
  <c r="AI51" i="33"/>
  <c r="AH51" i="33"/>
  <c r="AG51" i="33"/>
  <c r="AF51" i="33"/>
  <c r="AE51" i="33"/>
  <c r="AD51" i="33"/>
  <c r="AC51" i="33"/>
  <c r="AB51" i="33"/>
  <c r="AA51" i="33"/>
  <c r="Z51" i="33"/>
  <c r="Y51" i="33"/>
  <c r="X51" i="33"/>
  <c r="W51" i="33"/>
  <c r="V51" i="33"/>
  <c r="U51" i="33"/>
  <c r="T51" i="33"/>
  <c r="S51" i="33"/>
  <c r="R51" i="33"/>
  <c r="Q51" i="33"/>
  <c r="P51" i="33"/>
  <c r="O51" i="33"/>
  <c r="N51" i="33"/>
  <c r="M51" i="33"/>
  <c r="L51" i="33"/>
  <c r="K51" i="33"/>
  <c r="J51" i="33"/>
  <c r="I51" i="33"/>
  <c r="H51" i="33"/>
  <c r="G51" i="33"/>
  <c r="BL50" i="33"/>
  <c r="BK50" i="33"/>
  <c r="BJ50" i="33"/>
  <c r="BI50" i="33"/>
  <c r="BH50" i="33"/>
  <c r="BG50" i="33"/>
  <c r="BF50" i="33"/>
  <c r="BE50" i="33"/>
  <c r="BD50" i="33"/>
  <c r="BC50" i="33"/>
  <c r="BB50" i="33"/>
  <c r="BA50" i="33"/>
  <c r="AZ50" i="33"/>
  <c r="AY50" i="33"/>
  <c r="AX50" i="33"/>
  <c r="AW50" i="33"/>
  <c r="AV50" i="33"/>
  <c r="AU50" i="33"/>
  <c r="AT50" i="33"/>
  <c r="AS50" i="33"/>
  <c r="AR50" i="33"/>
  <c r="AQ50" i="33"/>
  <c r="AP50" i="33"/>
  <c r="AO50" i="33"/>
  <c r="AN50" i="33"/>
  <c r="AM50" i="33"/>
  <c r="AL50" i="33"/>
  <c r="AK50" i="33"/>
  <c r="AJ50" i="33"/>
  <c r="AI50" i="33"/>
  <c r="AH50" i="33"/>
  <c r="AG50" i="33"/>
  <c r="AF50" i="33"/>
  <c r="AE50" i="33"/>
  <c r="AD50" i="33"/>
  <c r="AC50" i="33"/>
  <c r="AB50" i="33"/>
  <c r="AA50" i="33"/>
  <c r="Z50" i="33"/>
  <c r="Y50" i="33"/>
  <c r="X50" i="33"/>
  <c r="W50" i="33"/>
  <c r="V50" i="33"/>
  <c r="U50" i="33"/>
  <c r="T50" i="33"/>
  <c r="S50" i="33"/>
  <c r="R50" i="33"/>
  <c r="Q50" i="33"/>
  <c r="P50" i="33"/>
  <c r="O50" i="33"/>
  <c r="N50" i="33"/>
  <c r="M50" i="33"/>
  <c r="L50" i="33"/>
  <c r="K50" i="33"/>
  <c r="J50" i="33"/>
  <c r="I50" i="33"/>
  <c r="H50" i="33"/>
  <c r="G50" i="33"/>
  <c r="BL49" i="33"/>
  <c r="BK49" i="33"/>
  <c r="BJ49" i="33"/>
  <c r="BI49" i="33"/>
  <c r="BH49" i="33"/>
  <c r="BG49" i="33"/>
  <c r="BF49" i="33"/>
  <c r="BE49" i="33"/>
  <c r="BD49" i="33"/>
  <c r="BC49" i="33"/>
  <c r="BB49" i="33"/>
  <c r="BA49" i="33"/>
  <c r="AZ49" i="33"/>
  <c r="AY49" i="33"/>
  <c r="AX49" i="33"/>
  <c r="AW49" i="33"/>
  <c r="AV49" i="33"/>
  <c r="AU49" i="33"/>
  <c r="AT49" i="33"/>
  <c r="AS49" i="33"/>
  <c r="AR49" i="33"/>
  <c r="AQ49" i="33"/>
  <c r="AP49" i="33"/>
  <c r="AO49" i="33"/>
  <c r="AN49" i="33"/>
  <c r="AM49" i="33"/>
  <c r="AL49" i="33"/>
  <c r="AK49" i="33"/>
  <c r="AJ49" i="33"/>
  <c r="AI49" i="33"/>
  <c r="AH49" i="33"/>
  <c r="AG49" i="33"/>
  <c r="AF49" i="33"/>
  <c r="AE49" i="33"/>
  <c r="AD49" i="33"/>
  <c r="AC49" i="33"/>
  <c r="AB49" i="33"/>
  <c r="AA49" i="33"/>
  <c r="Z49" i="33"/>
  <c r="Y49" i="33"/>
  <c r="X49" i="33"/>
  <c r="W49" i="33"/>
  <c r="V49" i="33"/>
  <c r="U49" i="33"/>
  <c r="T49" i="33"/>
  <c r="S49" i="33"/>
  <c r="R49" i="33"/>
  <c r="Q49" i="33"/>
  <c r="P49" i="33"/>
  <c r="O49" i="33"/>
  <c r="N49" i="33"/>
  <c r="M49" i="33"/>
  <c r="L49" i="33"/>
  <c r="K49" i="33"/>
  <c r="J49" i="33"/>
  <c r="I49" i="33"/>
  <c r="H49" i="33"/>
  <c r="G49" i="33"/>
  <c r="BL48" i="33"/>
  <c r="BK48" i="33"/>
  <c r="BJ48" i="33"/>
  <c r="BI48" i="33"/>
  <c r="BH48" i="33"/>
  <c r="BG48" i="33"/>
  <c r="BF48" i="33"/>
  <c r="BE48" i="33"/>
  <c r="BD48" i="33"/>
  <c r="BC48" i="33"/>
  <c r="BB48" i="33"/>
  <c r="BA48" i="33"/>
  <c r="AZ48" i="33"/>
  <c r="AY48" i="33"/>
  <c r="AX48" i="33"/>
  <c r="AW48" i="33"/>
  <c r="AV48" i="33"/>
  <c r="AU48" i="33"/>
  <c r="AT48" i="33"/>
  <c r="AS48" i="33"/>
  <c r="AR48" i="33"/>
  <c r="AQ48" i="33"/>
  <c r="AP48" i="33"/>
  <c r="AO48" i="33"/>
  <c r="AN48" i="33"/>
  <c r="AM48" i="33"/>
  <c r="AL48" i="33"/>
  <c r="AK48" i="33"/>
  <c r="AJ48" i="33"/>
  <c r="AI48" i="33"/>
  <c r="AH48" i="33"/>
  <c r="AG48" i="33"/>
  <c r="AF48" i="33"/>
  <c r="AE48" i="33"/>
  <c r="AD48" i="33"/>
  <c r="AC48" i="33"/>
  <c r="AB48" i="33"/>
  <c r="AA48" i="33"/>
  <c r="Z48" i="33"/>
  <c r="Y48" i="33"/>
  <c r="X48" i="33"/>
  <c r="W48" i="33"/>
  <c r="V48" i="33"/>
  <c r="U48" i="33"/>
  <c r="T48" i="33"/>
  <c r="S48" i="33"/>
  <c r="R48" i="33"/>
  <c r="Q48" i="33"/>
  <c r="P48" i="33"/>
  <c r="O48" i="33"/>
  <c r="N48" i="33"/>
  <c r="M48" i="33"/>
  <c r="L48" i="33"/>
  <c r="K48" i="33"/>
  <c r="J48" i="33"/>
  <c r="I48" i="33"/>
  <c r="H48" i="33"/>
  <c r="G48" i="33"/>
  <c r="BL47" i="33"/>
  <c r="BK47" i="33"/>
  <c r="BJ47" i="33"/>
  <c r="BI47" i="33"/>
  <c r="BH47" i="33"/>
  <c r="BG47" i="33"/>
  <c r="BF47" i="33"/>
  <c r="BE47" i="33"/>
  <c r="BD47" i="33"/>
  <c r="BC47" i="33"/>
  <c r="BB47" i="33"/>
  <c r="BA47" i="33"/>
  <c r="AZ47" i="33"/>
  <c r="AY47" i="33"/>
  <c r="AX47" i="33"/>
  <c r="AW47" i="33"/>
  <c r="AV47" i="33"/>
  <c r="AU47" i="33"/>
  <c r="AT47" i="33"/>
  <c r="AS47" i="33"/>
  <c r="AR47" i="33"/>
  <c r="AQ47" i="33"/>
  <c r="AP47" i="33"/>
  <c r="AO47" i="33"/>
  <c r="AN47" i="33"/>
  <c r="AM47" i="33"/>
  <c r="AL47" i="33"/>
  <c r="AK47" i="33"/>
  <c r="AJ47" i="33"/>
  <c r="AI47" i="33"/>
  <c r="AH47" i="33"/>
  <c r="AG47" i="33"/>
  <c r="AF47" i="33"/>
  <c r="AE47" i="33"/>
  <c r="AD47" i="33"/>
  <c r="AC47" i="33"/>
  <c r="AB47" i="33"/>
  <c r="AA47" i="33"/>
  <c r="Z47" i="33"/>
  <c r="Y47" i="33"/>
  <c r="X47" i="33"/>
  <c r="W47" i="33"/>
  <c r="V47" i="33"/>
  <c r="U47" i="33"/>
  <c r="T47" i="33"/>
  <c r="S47" i="33"/>
  <c r="R47" i="33"/>
  <c r="Q47" i="33"/>
  <c r="P47" i="33"/>
  <c r="O47" i="33"/>
  <c r="N47" i="33"/>
  <c r="M47" i="33"/>
  <c r="L47" i="33"/>
  <c r="K47" i="33"/>
  <c r="J47" i="33"/>
  <c r="I47" i="33"/>
  <c r="H47" i="33"/>
  <c r="G47" i="33"/>
  <c r="BL46" i="33"/>
  <c r="BK46" i="33"/>
  <c r="BJ46" i="33"/>
  <c r="BI46" i="33"/>
  <c r="BH46" i="33"/>
  <c r="BG46" i="33"/>
  <c r="BF46" i="33"/>
  <c r="BE46" i="33"/>
  <c r="BD46" i="33"/>
  <c r="BC46" i="33"/>
  <c r="BB46" i="33"/>
  <c r="BA46" i="33"/>
  <c r="AZ46" i="33"/>
  <c r="AY46" i="33"/>
  <c r="AX46" i="33"/>
  <c r="AW46" i="33"/>
  <c r="AV46" i="33"/>
  <c r="AU46" i="33"/>
  <c r="AT46" i="33"/>
  <c r="AS46" i="33"/>
  <c r="AR46" i="33"/>
  <c r="AQ46" i="33"/>
  <c r="AP46" i="33"/>
  <c r="AO46" i="33"/>
  <c r="AN46" i="33"/>
  <c r="AM46" i="33"/>
  <c r="AL46" i="33"/>
  <c r="AK46" i="33"/>
  <c r="AJ46" i="33"/>
  <c r="AI46" i="33"/>
  <c r="AH46" i="33"/>
  <c r="AG46" i="33"/>
  <c r="AF46" i="33"/>
  <c r="AE46" i="33"/>
  <c r="AD46" i="33"/>
  <c r="AC46" i="33"/>
  <c r="AB46" i="33"/>
  <c r="AA46" i="33"/>
  <c r="Z46" i="33"/>
  <c r="Y46" i="33"/>
  <c r="X46" i="33"/>
  <c r="W46" i="33"/>
  <c r="V46" i="33"/>
  <c r="U46" i="33"/>
  <c r="T46" i="33"/>
  <c r="S46" i="33"/>
  <c r="R46" i="33"/>
  <c r="Q46" i="33"/>
  <c r="P46" i="33"/>
  <c r="O46" i="33"/>
  <c r="N46" i="33"/>
  <c r="M46" i="33"/>
  <c r="L46" i="33"/>
  <c r="K46" i="33"/>
  <c r="J46" i="33"/>
  <c r="I46" i="33"/>
  <c r="H46" i="33"/>
  <c r="G46" i="33"/>
  <c r="BL45" i="33"/>
  <c r="BK45" i="33"/>
  <c r="BJ45" i="33"/>
  <c r="BI45" i="33"/>
  <c r="BH45" i="33"/>
  <c r="BG45" i="33"/>
  <c r="BF45" i="33"/>
  <c r="BE45" i="33"/>
  <c r="BD45" i="33"/>
  <c r="BC45" i="33"/>
  <c r="BB45" i="33"/>
  <c r="BA45" i="33"/>
  <c r="AZ45" i="33"/>
  <c r="AY45" i="33"/>
  <c r="AX45" i="33"/>
  <c r="AW45" i="33"/>
  <c r="AV45" i="33"/>
  <c r="AU45" i="33"/>
  <c r="AT45" i="33"/>
  <c r="AS45" i="33"/>
  <c r="AR45" i="33"/>
  <c r="AQ45" i="33"/>
  <c r="AP45" i="33"/>
  <c r="AO45" i="33"/>
  <c r="AN45" i="33"/>
  <c r="AM45" i="33"/>
  <c r="AL45" i="33"/>
  <c r="AK45" i="33"/>
  <c r="AJ45" i="33"/>
  <c r="AI45" i="33"/>
  <c r="AH45" i="33"/>
  <c r="AG45" i="33"/>
  <c r="AF45" i="33"/>
  <c r="AE45" i="33"/>
  <c r="AD45" i="33"/>
  <c r="AC45" i="33"/>
  <c r="AB45" i="33"/>
  <c r="AA45" i="33"/>
  <c r="Z45" i="33"/>
  <c r="Y45" i="33"/>
  <c r="X45" i="33"/>
  <c r="W45" i="33"/>
  <c r="V45" i="33"/>
  <c r="U45" i="33"/>
  <c r="T45" i="33"/>
  <c r="S45" i="33"/>
  <c r="R45" i="33"/>
  <c r="Q45" i="33"/>
  <c r="P45" i="33"/>
  <c r="O45" i="33"/>
  <c r="N45" i="33"/>
  <c r="M45" i="33"/>
  <c r="L45" i="33"/>
  <c r="K45" i="33"/>
  <c r="J45" i="33"/>
  <c r="I45" i="33"/>
  <c r="H45" i="33"/>
  <c r="G45" i="33"/>
  <c r="BL44" i="33"/>
  <c r="BK44" i="33"/>
  <c r="BJ44" i="33"/>
  <c r="BI44" i="33"/>
  <c r="BH44" i="33"/>
  <c r="BG44" i="33"/>
  <c r="BF44" i="33"/>
  <c r="BE44" i="33"/>
  <c r="BD44" i="33"/>
  <c r="BC44" i="33"/>
  <c r="BB44" i="33"/>
  <c r="BA44" i="33"/>
  <c r="AZ44" i="33"/>
  <c r="AY44" i="33"/>
  <c r="AX44" i="33"/>
  <c r="AW44" i="33"/>
  <c r="AV44" i="33"/>
  <c r="AU44" i="33"/>
  <c r="AT44" i="33"/>
  <c r="AS44" i="33"/>
  <c r="AR44" i="33"/>
  <c r="AQ44" i="33"/>
  <c r="AP44" i="33"/>
  <c r="AO44" i="33"/>
  <c r="AN44" i="33"/>
  <c r="AM44" i="33"/>
  <c r="AL44" i="33"/>
  <c r="AK44" i="33"/>
  <c r="AJ44" i="33"/>
  <c r="AI44" i="33"/>
  <c r="AH44" i="33"/>
  <c r="AG44" i="33"/>
  <c r="AF44" i="33"/>
  <c r="AE44" i="33"/>
  <c r="AD44" i="33"/>
  <c r="AC44" i="33"/>
  <c r="AB44" i="33"/>
  <c r="AA44" i="33"/>
  <c r="Z44" i="33"/>
  <c r="Y44" i="33"/>
  <c r="X44" i="33"/>
  <c r="W44" i="33"/>
  <c r="V44" i="33"/>
  <c r="U44" i="33"/>
  <c r="T44" i="33"/>
  <c r="S44" i="33"/>
  <c r="R44" i="33"/>
  <c r="Q44" i="33"/>
  <c r="P44" i="33"/>
  <c r="O44" i="33"/>
  <c r="N44" i="33"/>
  <c r="M44" i="33"/>
  <c r="L44" i="33"/>
  <c r="K44" i="33"/>
  <c r="J44" i="33"/>
  <c r="I44" i="33"/>
  <c r="H44" i="33"/>
  <c r="G44" i="33"/>
  <c r="BL43" i="33"/>
  <c r="BK43" i="33"/>
  <c r="BJ43" i="33"/>
  <c r="BI43" i="33"/>
  <c r="BH43" i="33"/>
  <c r="BG43" i="33"/>
  <c r="BF43" i="33"/>
  <c r="BE43" i="33"/>
  <c r="BD43" i="33"/>
  <c r="BC43" i="33"/>
  <c r="BB43" i="33"/>
  <c r="BA43" i="33"/>
  <c r="AZ43" i="33"/>
  <c r="AY43" i="33"/>
  <c r="AX43" i="33"/>
  <c r="AW43" i="33"/>
  <c r="AV43" i="33"/>
  <c r="AU43" i="33"/>
  <c r="AT43" i="33"/>
  <c r="AS43" i="33"/>
  <c r="AR43" i="33"/>
  <c r="AQ43" i="33"/>
  <c r="AP43" i="33"/>
  <c r="AO43" i="33"/>
  <c r="AN43" i="33"/>
  <c r="AM43" i="33"/>
  <c r="AL43" i="33"/>
  <c r="AK43" i="33"/>
  <c r="AJ43" i="33"/>
  <c r="AI43" i="33"/>
  <c r="AH43" i="33"/>
  <c r="AG43" i="33"/>
  <c r="AF43" i="33"/>
  <c r="AE43" i="33"/>
  <c r="AD43" i="33"/>
  <c r="AC43" i="33"/>
  <c r="AB43" i="33"/>
  <c r="AA43" i="33"/>
  <c r="Z43" i="33"/>
  <c r="Y43" i="33"/>
  <c r="X43" i="33"/>
  <c r="W43" i="33"/>
  <c r="V43" i="33"/>
  <c r="U43" i="33"/>
  <c r="T43" i="33"/>
  <c r="S43" i="33"/>
  <c r="R43" i="33"/>
  <c r="Q43" i="33"/>
  <c r="P43" i="33"/>
  <c r="O43" i="33"/>
  <c r="N43" i="33"/>
  <c r="M43" i="33"/>
  <c r="L43" i="33"/>
  <c r="K43" i="33"/>
  <c r="J43" i="33"/>
  <c r="I43" i="33"/>
  <c r="H43" i="33"/>
  <c r="G43" i="33"/>
  <c r="BL42" i="33"/>
  <c r="BK42" i="33"/>
  <c r="BJ42" i="33"/>
  <c r="BI42" i="33"/>
  <c r="BH42" i="33"/>
  <c r="BG42" i="33"/>
  <c r="BF42" i="33"/>
  <c r="BE42" i="33"/>
  <c r="BD42" i="33"/>
  <c r="BC42" i="33"/>
  <c r="BB42" i="33"/>
  <c r="BA42" i="33"/>
  <c r="AZ42" i="33"/>
  <c r="AY42" i="33"/>
  <c r="AX42" i="33"/>
  <c r="AW42" i="33"/>
  <c r="AV42" i="33"/>
  <c r="AU42" i="33"/>
  <c r="AT42" i="33"/>
  <c r="AS42" i="33"/>
  <c r="AR42" i="33"/>
  <c r="AQ42" i="33"/>
  <c r="AP42" i="33"/>
  <c r="AO42" i="33"/>
  <c r="AN42" i="33"/>
  <c r="AM42" i="33"/>
  <c r="AL42" i="33"/>
  <c r="AK42" i="33"/>
  <c r="AJ42" i="33"/>
  <c r="AI42" i="33"/>
  <c r="AH42" i="33"/>
  <c r="AG42" i="33"/>
  <c r="AF42" i="33"/>
  <c r="AE42" i="33"/>
  <c r="AD42" i="33"/>
  <c r="AC42" i="33"/>
  <c r="AB42" i="33"/>
  <c r="AA42" i="33"/>
  <c r="Z42" i="33"/>
  <c r="Y42" i="33"/>
  <c r="X42" i="33"/>
  <c r="W42" i="33"/>
  <c r="V42" i="33"/>
  <c r="U42" i="33"/>
  <c r="T42" i="33"/>
  <c r="S42" i="33"/>
  <c r="R42" i="33"/>
  <c r="Q42" i="33"/>
  <c r="P42" i="33"/>
  <c r="O42" i="33"/>
  <c r="N42" i="33"/>
  <c r="M42" i="33"/>
  <c r="L42" i="33"/>
  <c r="K42" i="33"/>
  <c r="J42" i="33"/>
  <c r="I42" i="33"/>
  <c r="H42" i="33"/>
  <c r="G42" i="33"/>
  <c r="BL41" i="33"/>
  <c r="BK41" i="33"/>
  <c r="BJ41" i="33"/>
  <c r="BI41" i="33"/>
  <c r="BH41" i="33"/>
  <c r="BG41" i="33"/>
  <c r="BF41" i="33"/>
  <c r="BE41" i="33"/>
  <c r="BD41" i="33"/>
  <c r="BC41" i="33"/>
  <c r="BB41" i="33"/>
  <c r="BA41" i="33"/>
  <c r="AZ41" i="33"/>
  <c r="AY41" i="33"/>
  <c r="AX41" i="33"/>
  <c r="AW41" i="33"/>
  <c r="AV41" i="33"/>
  <c r="AU41" i="33"/>
  <c r="AT41" i="33"/>
  <c r="AS41" i="33"/>
  <c r="AR41" i="33"/>
  <c r="AQ41" i="33"/>
  <c r="AP41" i="33"/>
  <c r="AO41" i="33"/>
  <c r="AN41" i="33"/>
  <c r="AM41" i="33"/>
  <c r="AL41" i="33"/>
  <c r="AK41" i="33"/>
  <c r="AJ41" i="33"/>
  <c r="AI41" i="33"/>
  <c r="AH41" i="33"/>
  <c r="AG41" i="33"/>
  <c r="AF41" i="33"/>
  <c r="AE41" i="33"/>
  <c r="AD41" i="33"/>
  <c r="AC41" i="33"/>
  <c r="AB41" i="33"/>
  <c r="AA41" i="33"/>
  <c r="Z41" i="33"/>
  <c r="Y41" i="33"/>
  <c r="X41" i="33"/>
  <c r="W41" i="33"/>
  <c r="V41" i="33"/>
  <c r="U41" i="33"/>
  <c r="T41" i="33"/>
  <c r="S41" i="33"/>
  <c r="R41" i="33"/>
  <c r="Q41" i="33"/>
  <c r="P41" i="33"/>
  <c r="O41" i="33"/>
  <c r="N41" i="33"/>
  <c r="M41" i="33"/>
  <c r="L41" i="33"/>
  <c r="K41" i="33"/>
  <c r="J41" i="33"/>
  <c r="I41" i="33"/>
  <c r="H41" i="33"/>
  <c r="G41" i="33"/>
  <c r="BL40" i="33"/>
  <c r="BK40" i="33"/>
  <c r="BJ40" i="33"/>
  <c r="BI40" i="33"/>
  <c r="BH40" i="33"/>
  <c r="BG40" i="33"/>
  <c r="BF40" i="33"/>
  <c r="BE40" i="33"/>
  <c r="BD40" i="33"/>
  <c r="BC40" i="33"/>
  <c r="BB40" i="33"/>
  <c r="BA40" i="33"/>
  <c r="AZ40" i="33"/>
  <c r="AY40" i="33"/>
  <c r="AX40" i="33"/>
  <c r="AW40" i="33"/>
  <c r="AV40" i="33"/>
  <c r="AU40" i="33"/>
  <c r="AT40" i="33"/>
  <c r="AS40" i="33"/>
  <c r="AR40" i="33"/>
  <c r="AQ40" i="33"/>
  <c r="AP40" i="33"/>
  <c r="AO40" i="33"/>
  <c r="AN40" i="33"/>
  <c r="AM40" i="33"/>
  <c r="AL40" i="33"/>
  <c r="AK40" i="33"/>
  <c r="AJ40" i="33"/>
  <c r="AI40" i="33"/>
  <c r="AH40" i="33"/>
  <c r="AG40" i="33"/>
  <c r="AF40" i="33"/>
  <c r="AE40" i="33"/>
  <c r="AD40" i="33"/>
  <c r="AC40" i="33"/>
  <c r="AB40" i="33"/>
  <c r="AA40" i="33"/>
  <c r="Z40" i="33"/>
  <c r="Y40" i="33"/>
  <c r="X40" i="33"/>
  <c r="W40" i="33"/>
  <c r="V40" i="33"/>
  <c r="U40" i="33"/>
  <c r="T40" i="33"/>
  <c r="S40" i="33"/>
  <c r="R40" i="33"/>
  <c r="Q40" i="33"/>
  <c r="P40" i="33"/>
  <c r="O40" i="33"/>
  <c r="N40" i="33"/>
  <c r="M40" i="33"/>
  <c r="L40" i="33"/>
  <c r="K40" i="33"/>
  <c r="J40" i="33"/>
  <c r="I40" i="33"/>
  <c r="H40" i="33"/>
  <c r="G40" i="33"/>
  <c r="BL39" i="33"/>
  <c r="BK39" i="33"/>
  <c r="BJ39" i="33"/>
  <c r="BI39" i="33"/>
  <c r="BH39" i="33"/>
  <c r="BG39" i="33"/>
  <c r="BF39" i="33"/>
  <c r="BE39" i="33"/>
  <c r="BD39" i="33"/>
  <c r="BC39" i="33"/>
  <c r="BB39" i="33"/>
  <c r="BA39" i="33"/>
  <c r="AZ39" i="33"/>
  <c r="AY39" i="33"/>
  <c r="AX39" i="33"/>
  <c r="AW39" i="33"/>
  <c r="AV39" i="33"/>
  <c r="AU39" i="33"/>
  <c r="AT39" i="33"/>
  <c r="AS39" i="33"/>
  <c r="AR39" i="33"/>
  <c r="AQ39" i="33"/>
  <c r="AP39" i="33"/>
  <c r="AO39" i="33"/>
  <c r="AN39" i="33"/>
  <c r="AM39" i="33"/>
  <c r="AL39" i="33"/>
  <c r="AK39" i="33"/>
  <c r="AJ39" i="33"/>
  <c r="AI39" i="33"/>
  <c r="AH39" i="33"/>
  <c r="AG39" i="33"/>
  <c r="AF39" i="33"/>
  <c r="AE39" i="33"/>
  <c r="AD39" i="33"/>
  <c r="AC39" i="33"/>
  <c r="AB39" i="33"/>
  <c r="AA39" i="33"/>
  <c r="Z39" i="33"/>
  <c r="Y39" i="33"/>
  <c r="X39" i="33"/>
  <c r="W39" i="33"/>
  <c r="V39" i="33"/>
  <c r="U39" i="33"/>
  <c r="T39" i="33"/>
  <c r="S39" i="33"/>
  <c r="R39" i="33"/>
  <c r="Q39" i="33"/>
  <c r="P39" i="33"/>
  <c r="O39" i="33"/>
  <c r="N39" i="33"/>
  <c r="M39" i="33"/>
  <c r="L39" i="33"/>
  <c r="K39" i="33"/>
  <c r="J39" i="33"/>
  <c r="I39" i="33"/>
  <c r="H39" i="33"/>
  <c r="G39" i="33"/>
  <c r="BL38" i="33"/>
  <c r="BK38" i="33"/>
  <c r="BJ38" i="33"/>
  <c r="BI38" i="33"/>
  <c r="BH38" i="33"/>
  <c r="BG38" i="33"/>
  <c r="BF38" i="33"/>
  <c r="BE38" i="33"/>
  <c r="BD38" i="33"/>
  <c r="BC38" i="33"/>
  <c r="BB38" i="33"/>
  <c r="BA38" i="33"/>
  <c r="AZ38" i="33"/>
  <c r="AY38" i="33"/>
  <c r="AX38" i="33"/>
  <c r="AW38" i="33"/>
  <c r="AV38" i="33"/>
  <c r="AU38" i="33"/>
  <c r="AT38" i="33"/>
  <c r="AS38" i="33"/>
  <c r="AR38" i="33"/>
  <c r="AQ38" i="33"/>
  <c r="AP38" i="33"/>
  <c r="AO38" i="33"/>
  <c r="AN38" i="33"/>
  <c r="AM38" i="33"/>
  <c r="AL38" i="33"/>
  <c r="AK38" i="33"/>
  <c r="AJ38" i="33"/>
  <c r="AI38" i="33"/>
  <c r="AH38" i="33"/>
  <c r="AG38" i="33"/>
  <c r="AF38" i="33"/>
  <c r="AE38" i="33"/>
  <c r="AD38" i="33"/>
  <c r="AC38" i="33"/>
  <c r="AB38" i="33"/>
  <c r="AA38" i="33"/>
  <c r="Z38" i="33"/>
  <c r="Y38" i="33"/>
  <c r="X38" i="33"/>
  <c r="W38" i="33"/>
  <c r="V38" i="33"/>
  <c r="U38" i="33"/>
  <c r="T38" i="33"/>
  <c r="S38" i="33"/>
  <c r="R38" i="33"/>
  <c r="Q38" i="33"/>
  <c r="P38" i="33"/>
  <c r="O38" i="33"/>
  <c r="N38" i="33"/>
  <c r="M38" i="33"/>
  <c r="L38" i="33"/>
  <c r="K38" i="33"/>
  <c r="J38" i="33"/>
  <c r="I38" i="33"/>
  <c r="H38" i="33"/>
  <c r="G38" i="33"/>
  <c r="BL37" i="33"/>
  <c r="BK37" i="33"/>
  <c r="BJ37" i="33"/>
  <c r="BI37" i="33"/>
  <c r="BH37" i="33"/>
  <c r="BG37" i="33"/>
  <c r="BF37" i="33"/>
  <c r="BE37" i="33"/>
  <c r="BD37" i="33"/>
  <c r="BC37" i="33"/>
  <c r="BB37" i="33"/>
  <c r="BA37" i="33"/>
  <c r="AZ37" i="33"/>
  <c r="AY37" i="33"/>
  <c r="AX37" i="33"/>
  <c r="AW37" i="33"/>
  <c r="AV37" i="33"/>
  <c r="AU37" i="33"/>
  <c r="AT37" i="33"/>
  <c r="AS37" i="33"/>
  <c r="AR37" i="33"/>
  <c r="AQ37" i="33"/>
  <c r="AP37" i="33"/>
  <c r="AO37" i="33"/>
  <c r="AN37" i="33"/>
  <c r="AM37" i="33"/>
  <c r="AL37" i="33"/>
  <c r="AK37" i="33"/>
  <c r="AJ37" i="33"/>
  <c r="AI37" i="33"/>
  <c r="AH37" i="33"/>
  <c r="AG37" i="33"/>
  <c r="AF37" i="33"/>
  <c r="AE37" i="33"/>
  <c r="AD37" i="33"/>
  <c r="AC37" i="33"/>
  <c r="AB37" i="33"/>
  <c r="AA37" i="33"/>
  <c r="Z37" i="33"/>
  <c r="Y37" i="33"/>
  <c r="X37" i="33"/>
  <c r="W37" i="33"/>
  <c r="V37" i="33"/>
  <c r="U37" i="33"/>
  <c r="T37" i="33"/>
  <c r="S37" i="33"/>
  <c r="R37" i="33"/>
  <c r="Q37" i="33"/>
  <c r="P37" i="33"/>
  <c r="O37" i="33"/>
  <c r="N37" i="33"/>
  <c r="M37" i="33"/>
  <c r="L37" i="33"/>
  <c r="K37" i="33"/>
  <c r="J37" i="33"/>
  <c r="I37" i="33"/>
  <c r="H37" i="33"/>
  <c r="G37" i="33"/>
  <c r="F38" i="33"/>
  <c r="F39" i="33"/>
  <c r="F40" i="33"/>
  <c r="F41" i="33"/>
  <c r="F42" i="33"/>
  <c r="F43" i="33"/>
  <c r="F44" i="33"/>
  <c r="F45" i="33"/>
  <c r="F46" i="33"/>
  <c r="F47" i="33"/>
  <c r="F48" i="33"/>
  <c r="F49" i="33"/>
  <c r="F50" i="33"/>
  <c r="F51" i="33"/>
  <c r="F52" i="33"/>
  <c r="F53" i="33"/>
  <c r="F54" i="33"/>
  <c r="F55" i="33"/>
  <c r="F56" i="33"/>
  <c r="F57" i="33"/>
  <c r="F58" i="33"/>
  <c r="F59" i="33"/>
  <c r="F60" i="33"/>
  <c r="F61" i="33"/>
  <c r="F62" i="33"/>
  <c r="F63" i="33"/>
  <c r="F37" i="33"/>
  <c r="CB36" i="33"/>
  <c r="CA36" i="33"/>
  <c r="BZ36" i="33"/>
  <c r="BY36" i="33"/>
  <c r="BX36" i="33"/>
  <c r="BW36" i="33"/>
  <c r="BV36" i="33"/>
  <c r="BU36" i="33"/>
  <c r="BT36" i="33"/>
  <c r="BS36" i="33"/>
  <c r="BR36" i="33"/>
  <c r="BQ36" i="33"/>
  <c r="BP36" i="33"/>
  <c r="BO36" i="33"/>
  <c r="BN36" i="33"/>
  <c r="BM36" i="33"/>
  <c r="BL36" i="33"/>
  <c r="BK36" i="33"/>
  <c r="BJ36" i="33"/>
  <c r="BI36" i="33"/>
  <c r="BH36" i="33"/>
  <c r="BG36" i="33"/>
  <c r="BF36" i="33"/>
  <c r="BE36" i="33"/>
  <c r="BD36" i="33"/>
  <c r="BC36" i="33"/>
  <c r="BB36" i="33"/>
  <c r="BA36" i="33"/>
  <c r="AZ36" i="33"/>
  <c r="AY36" i="33"/>
  <c r="AX36" i="33"/>
  <c r="AW36" i="33"/>
  <c r="AV36" i="33"/>
  <c r="AU36" i="33"/>
  <c r="AT36" i="33"/>
  <c r="AS36" i="33"/>
  <c r="AR36" i="33"/>
  <c r="AQ36" i="33"/>
  <c r="AP36" i="33"/>
  <c r="AO36" i="33"/>
  <c r="AN36" i="33"/>
  <c r="AM36" i="33"/>
  <c r="AL36" i="33"/>
  <c r="AK36" i="33"/>
  <c r="AJ36" i="33"/>
  <c r="AI36" i="33"/>
  <c r="AH36" i="33"/>
  <c r="AG36" i="33"/>
  <c r="AF36" i="33"/>
  <c r="AE36" i="33"/>
  <c r="AD36" i="33"/>
  <c r="AC36" i="33"/>
  <c r="AB36" i="33"/>
  <c r="AA36" i="33"/>
  <c r="Z36" i="33"/>
  <c r="Y36" i="33"/>
  <c r="X36" i="33"/>
  <c r="W36" i="33"/>
  <c r="V36" i="33"/>
  <c r="U36" i="33"/>
  <c r="T36" i="33"/>
  <c r="S36" i="33"/>
  <c r="R36" i="33"/>
  <c r="Q36" i="33"/>
  <c r="P36" i="33"/>
  <c r="O36" i="33"/>
  <c r="N36" i="33"/>
  <c r="M36" i="33"/>
  <c r="L36" i="33"/>
  <c r="K36" i="33"/>
  <c r="J36" i="33"/>
  <c r="I36" i="33"/>
  <c r="H36" i="33"/>
  <c r="G36" i="33"/>
  <c r="F36" i="33"/>
  <c r="D63" i="33"/>
  <c r="C63" i="33"/>
  <c r="D62" i="33"/>
  <c r="C62" i="33"/>
  <c r="D61" i="33"/>
  <c r="C61" i="33"/>
  <c r="D60" i="33"/>
  <c r="C60" i="33"/>
  <c r="D59" i="33"/>
  <c r="C59" i="33"/>
  <c r="D58" i="33"/>
  <c r="C58" i="33"/>
  <c r="D57" i="33"/>
  <c r="C57" i="33"/>
  <c r="D56" i="33"/>
  <c r="C56" i="33"/>
  <c r="D55" i="33"/>
  <c r="C55" i="33"/>
  <c r="D54" i="33"/>
  <c r="C54" i="33"/>
  <c r="D53" i="33"/>
  <c r="C53" i="33"/>
  <c r="D52" i="33"/>
  <c r="C52" i="33"/>
  <c r="D51" i="33"/>
  <c r="C51" i="33"/>
  <c r="D50" i="33"/>
  <c r="C50" i="33"/>
  <c r="D49" i="33"/>
  <c r="C49" i="33"/>
  <c r="D48" i="33"/>
  <c r="C48" i="33"/>
  <c r="D47" i="33"/>
  <c r="C47" i="33"/>
  <c r="D46" i="33"/>
  <c r="C46" i="33"/>
  <c r="D45" i="33"/>
  <c r="C45" i="33"/>
  <c r="D44" i="33"/>
  <c r="C44" i="33"/>
  <c r="D43" i="33"/>
  <c r="C43" i="33"/>
  <c r="D42" i="33"/>
  <c r="C42" i="33"/>
  <c r="D41" i="33"/>
  <c r="C41" i="33"/>
  <c r="D40" i="33"/>
  <c r="C40" i="33"/>
  <c r="D39" i="33"/>
  <c r="C39" i="33"/>
  <c r="D38" i="33"/>
  <c r="C38" i="33"/>
  <c r="D37" i="33"/>
  <c r="C37" i="33"/>
  <c r="D95" i="33"/>
  <c r="D94" i="33"/>
  <c r="D93" i="33"/>
  <c r="N93" i="33" s="1"/>
  <c r="D92" i="33"/>
  <c r="N92" i="33" s="1"/>
  <c r="D91" i="33"/>
  <c r="N91" i="33" s="1"/>
  <c r="D90" i="33"/>
  <c r="N90" i="33" s="1"/>
  <c r="D89" i="33"/>
  <c r="N89" i="33" s="1"/>
  <c r="D88" i="33"/>
  <c r="N88" i="33" s="1"/>
  <c r="D87" i="33"/>
  <c r="N87" i="33" s="1"/>
  <c r="D86" i="33"/>
  <c r="N86" i="33" s="1"/>
  <c r="D85" i="33"/>
  <c r="N85" i="33" s="1"/>
  <c r="D84" i="33"/>
  <c r="N84" i="33" s="1"/>
  <c r="D83" i="33"/>
  <c r="N83" i="33" s="1"/>
  <c r="D82" i="33"/>
  <c r="N82" i="33" s="1"/>
  <c r="D81" i="33"/>
  <c r="N81" i="33" s="1"/>
  <c r="D80" i="33"/>
  <c r="N80" i="33" s="1"/>
  <c r="D79" i="33"/>
  <c r="N79" i="33" s="1"/>
  <c r="D78" i="33"/>
  <c r="N78" i="33" s="1"/>
  <c r="D77" i="33"/>
  <c r="N77" i="33" s="1"/>
  <c r="D76" i="33"/>
  <c r="N76" i="33" s="1"/>
  <c r="D75" i="33"/>
  <c r="N75" i="33" s="1"/>
  <c r="D74" i="33"/>
  <c r="N74" i="33" s="1"/>
  <c r="D73" i="33"/>
  <c r="N73" i="33" s="1"/>
  <c r="D72" i="33"/>
  <c r="N72" i="33" s="1"/>
  <c r="D71" i="33"/>
  <c r="N71" i="33" s="1"/>
  <c r="D70" i="33"/>
  <c r="N70" i="33" s="1"/>
  <c r="D69" i="33"/>
  <c r="N69" i="33" s="1"/>
  <c r="CZ72" i="34" l="1"/>
  <c r="DA72" i="34"/>
  <c r="CZ68" i="34"/>
  <c r="DA68" i="34"/>
  <c r="CZ69" i="34"/>
  <c r="DA69" i="34"/>
  <c r="DA70" i="34"/>
  <c r="CZ70" i="34"/>
  <c r="CZ62" i="34"/>
  <c r="DA62" i="34"/>
  <c r="CZ63" i="34"/>
  <c r="DA63" i="34"/>
  <c r="CZ55" i="34"/>
  <c r="DA55" i="34"/>
  <c r="CZ58" i="34"/>
  <c r="DA58" i="34"/>
  <c r="DA54" i="34"/>
  <c r="CZ54" i="34"/>
  <c r="CZ53" i="34"/>
  <c r="DA53" i="34"/>
  <c r="DA56" i="34"/>
  <c r="CZ56" i="34"/>
  <c r="CZ52" i="34"/>
  <c r="DA52" i="34"/>
  <c r="CZ57" i="34"/>
  <c r="DA57" i="34"/>
  <c r="CZ42" i="34"/>
  <c r="DA42" i="34"/>
  <c r="CZ41" i="34"/>
  <c r="DA41" i="34"/>
  <c r="DA43" i="34"/>
  <c r="CZ43" i="34"/>
  <c r="CZ32" i="34"/>
  <c r="DA32" i="34"/>
  <c r="CZ35" i="34"/>
  <c r="DA35" i="34"/>
  <c r="CZ36" i="34"/>
  <c r="DA36" i="34"/>
  <c r="CZ33" i="34"/>
  <c r="DA33" i="34"/>
  <c r="DA34" i="34"/>
  <c r="CZ34" i="34"/>
  <c r="CZ23" i="34"/>
  <c r="DA23" i="34"/>
  <c r="CZ25" i="34"/>
  <c r="DA25" i="34"/>
  <c r="DA24" i="34"/>
  <c r="CZ24" i="34"/>
  <c r="CZ22" i="34"/>
  <c r="DA22" i="34"/>
  <c r="CZ21" i="34"/>
  <c r="DA21" i="34"/>
  <c r="L625" i="25"/>
  <c r="M625" i="25" s="1"/>
  <c r="N625" i="25" s="1"/>
  <c r="L629" i="25"/>
  <c r="M629" i="25" s="1"/>
  <c r="N629" i="25" s="1"/>
  <c r="C703" i="25"/>
  <c r="L623" i="25"/>
  <c r="M623" i="25" s="1"/>
  <c r="N623" i="25" s="1"/>
  <c r="L621" i="25"/>
  <c r="M621" i="25" s="1"/>
  <c r="N621" i="25" s="1"/>
  <c r="BL91" i="9"/>
  <c r="BL31" i="9"/>
  <c r="BL111" i="9"/>
  <c r="BL51" i="9"/>
  <c r="BL131" i="9"/>
  <c r="BL106" i="9"/>
  <c r="BL136" i="9"/>
  <c r="BL96" i="9"/>
  <c r="BL56" i="9"/>
  <c r="BL76" i="9"/>
  <c r="BL71" i="9"/>
  <c r="L627" i="25"/>
  <c r="M627" i="25" s="1"/>
  <c r="N627" i="25" s="1"/>
  <c r="L620" i="25"/>
  <c r="M620" i="25" s="1"/>
  <c r="N620" i="25" s="1"/>
  <c r="C654" i="25"/>
  <c r="C675" i="25"/>
  <c r="C663" i="25"/>
  <c r="C673" i="25"/>
  <c r="C671" i="25"/>
  <c r="C661" i="25"/>
  <c r="C668" i="25"/>
  <c r="C667" i="25"/>
  <c r="C657" i="25"/>
  <c r="C670" i="25"/>
  <c r="M651" i="25"/>
  <c r="M679" i="25"/>
  <c r="N679" i="25" s="1"/>
  <c r="C674" i="25"/>
  <c r="C656" i="25"/>
  <c r="C658" i="25"/>
  <c r="C678" i="25"/>
  <c r="C666" i="25"/>
  <c r="C665" i="25"/>
  <c r="C660" i="25"/>
  <c r="C655" i="25"/>
  <c r="C676" i="25"/>
  <c r="C664" i="25"/>
  <c r="C659" i="25"/>
  <c r="C672" i="25"/>
  <c r="L641" i="25"/>
  <c r="M641" i="25" s="1"/>
  <c r="N641" i="25" s="1"/>
  <c r="L637" i="25"/>
  <c r="M637" i="25" s="1"/>
  <c r="N637" i="25" s="1"/>
  <c r="L633" i="25"/>
  <c r="M633" i="25" s="1"/>
  <c r="N633" i="25" s="1"/>
  <c r="C73" i="33"/>
  <c r="C77" i="33"/>
  <c r="C81" i="33"/>
  <c r="C85" i="33"/>
  <c r="C89" i="33"/>
  <c r="C93" i="33"/>
  <c r="C70" i="33"/>
  <c r="C74" i="33"/>
  <c r="C78" i="33"/>
  <c r="C82" i="33"/>
  <c r="C86" i="33"/>
  <c r="C90" i="33"/>
  <c r="C94" i="33"/>
  <c r="C75" i="33"/>
  <c r="C79" i="33"/>
  <c r="C83" i="33"/>
  <c r="C87" i="33"/>
  <c r="C91" i="33"/>
  <c r="C95" i="33"/>
  <c r="C71" i="33"/>
  <c r="C72" i="33"/>
  <c r="C76" i="33"/>
  <c r="C80" i="33"/>
  <c r="C84" i="33"/>
  <c r="C88" i="33"/>
  <c r="C92" i="33"/>
  <c r="C69" i="33"/>
  <c r="L631" i="25"/>
  <c r="M631" i="25" s="1"/>
  <c r="N631" i="25" s="1"/>
  <c r="L643" i="25"/>
  <c r="M643" i="25" s="1"/>
  <c r="N643" i="25" s="1"/>
  <c r="L639" i="25"/>
  <c r="M639" i="25" s="1"/>
  <c r="N639" i="25" s="1"/>
  <c r="L635" i="25"/>
  <c r="M635" i="25" s="1"/>
  <c r="N635" i="25" s="1"/>
  <c r="K645" i="25"/>
  <c r="L628" i="25"/>
  <c r="M628" i="25" s="1"/>
  <c r="N628" i="25" s="1"/>
  <c r="I645" i="25"/>
  <c r="L624" i="25"/>
  <c r="M624" i="25" s="1"/>
  <c r="N624" i="25" s="1"/>
  <c r="L640" i="25"/>
  <c r="M640" i="25" s="1"/>
  <c r="N640" i="25" s="1"/>
  <c r="L644" i="25"/>
  <c r="M644" i="25" s="1"/>
  <c r="N644" i="25" s="1"/>
  <c r="L634" i="25"/>
  <c r="M634" i="25" s="1"/>
  <c r="N634" i="25" s="1"/>
  <c r="G645" i="25"/>
  <c r="H645" i="25"/>
  <c r="L632" i="25"/>
  <c r="M632" i="25" s="1"/>
  <c r="N632" i="25" s="1"/>
  <c r="L638" i="25"/>
  <c r="M638" i="25" s="1"/>
  <c r="N638" i="25" s="1"/>
  <c r="F645" i="25"/>
  <c r="L636" i="25"/>
  <c r="M636" i="25" s="1"/>
  <c r="N636" i="25" s="1"/>
  <c r="L622" i="25"/>
  <c r="M622" i="25" s="1"/>
  <c r="N622" i="25" s="1"/>
  <c r="L630" i="25"/>
  <c r="L642" i="25"/>
  <c r="M642" i="25" s="1"/>
  <c r="N642" i="25" s="1"/>
  <c r="J645" i="25"/>
  <c r="L626" i="25"/>
  <c r="M626" i="25" s="1"/>
  <c r="N626" i="25" s="1"/>
  <c r="A610" i="25"/>
  <c r="K610" i="25" s="1"/>
  <c r="A609" i="25"/>
  <c r="H609" i="25" s="1"/>
  <c r="A608" i="25"/>
  <c r="K608" i="25" s="1"/>
  <c r="A607" i="25"/>
  <c r="H607" i="25" s="1"/>
  <c r="A606" i="25"/>
  <c r="K606" i="25" s="1"/>
  <c r="A605" i="25"/>
  <c r="H605" i="25" s="1"/>
  <c r="A604" i="25"/>
  <c r="K604" i="25" s="1"/>
  <c r="A603" i="25"/>
  <c r="H603" i="25" s="1"/>
  <c r="A602" i="25"/>
  <c r="K602" i="25" s="1"/>
  <c r="A601" i="25"/>
  <c r="H601" i="25" s="1"/>
  <c r="A600" i="25"/>
  <c r="K600" i="25" s="1"/>
  <c r="A599" i="25"/>
  <c r="K599" i="25" s="1"/>
  <c r="A598" i="25"/>
  <c r="G598" i="25" s="1"/>
  <c r="A597" i="25"/>
  <c r="K597" i="25" s="1"/>
  <c r="A596" i="25"/>
  <c r="G596" i="25" s="1"/>
  <c r="A595" i="25"/>
  <c r="K595" i="25" s="1"/>
  <c r="A594" i="25"/>
  <c r="K594" i="25" s="1"/>
  <c r="A593" i="25"/>
  <c r="K593" i="25" s="1"/>
  <c r="A592" i="25"/>
  <c r="G592" i="25" s="1"/>
  <c r="A591" i="25"/>
  <c r="K591" i="25" s="1"/>
  <c r="A590" i="25"/>
  <c r="J590" i="25" s="1"/>
  <c r="A589" i="25"/>
  <c r="K589" i="25" s="1"/>
  <c r="A588" i="25"/>
  <c r="J588" i="25" s="1"/>
  <c r="A587" i="25"/>
  <c r="K587" i="25" s="1"/>
  <c r="A586" i="25"/>
  <c r="BP2" i="33"/>
  <c r="BQ2" i="33" s="1"/>
  <c r="BR2" i="33" s="1"/>
  <c r="BS2" i="33" s="1"/>
  <c r="BT2" i="33" s="1"/>
  <c r="BU2" i="33" s="1"/>
  <c r="BV2" i="33" s="1"/>
  <c r="BW2" i="33" s="1"/>
  <c r="BX2" i="33" s="1"/>
  <c r="BY2" i="33" s="1"/>
  <c r="BZ2" i="33" s="1"/>
  <c r="CA2" i="33" s="1"/>
  <c r="CB2" i="33" s="1"/>
  <c r="CC2" i="33" s="1"/>
  <c r="CD2" i="33" s="1"/>
  <c r="CE2" i="33" s="1"/>
  <c r="CF2" i="33" s="1"/>
  <c r="CG2" i="33" s="1"/>
  <c r="CH2" i="33" s="1"/>
  <c r="CI2" i="33" s="1"/>
  <c r="CJ2" i="33" s="1"/>
  <c r="CK2" i="33" s="1"/>
  <c r="CL2" i="33" s="1"/>
  <c r="CM2" i="33" s="1"/>
  <c r="CN2" i="33" s="1"/>
  <c r="CO2" i="33" s="1"/>
  <c r="CP2" i="33" s="1"/>
  <c r="CQ2" i="33" s="1"/>
  <c r="CR2" i="33" s="1"/>
  <c r="CS2" i="33" s="1"/>
  <c r="CT2" i="33" s="1"/>
  <c r="CU2" i="33" s="1"/>
  <c r="CV2" i="33" s="1"/>
  <c r="CW2" i="33" s="1"/>
  <c r="CX2" i="33" s="1"/>
  <c r="CY2" i="33" s="1"/>
  <c r="CZ2" i="33" s="1"/>
  <c r="DA2" i="33" s="1"/>
  <c r="DB2" i="33" s="1"/>
  <c r="BN62" i="33"/>
  <c r="BJ31" i="33"/>
  <c r="BI31" i="33"/>
  <c r="BH31" i="33"/>
  <c r="BG31" i="33"/>
  <c r="BF31" i="33"/>
  <c r="BE31" i="33"/>
  <c r="BD31" i="33"/>
  <c r="BC31" i="33"/>
  <c r="BB31" i="33"/>
  <c r="BA31" i="33"/>
  <c r="AZ31" i="33"/>
  <c r="AY31" i="33"/>
  <c r="AX31" i="33"/>
  <c r="AW31" i="33"/>
  <c r="AV31" i="33"/>
  <c r="AU31" i="33"/>
  <c r="AT31" i="33"/>
  <c r="AS31" i="33"/>
  <c r="AR31" i="33"/>
  <c r="AQ31" i="33"/>
  <c r="AP31" i="33"/>
  <c r="AO31" i="33"/>
  <c r="AN31" i="33"/>
  <c r="AM31" i="33"/>
  <c r="AL31" i="33"/>
  <c r="AK31" i="33"/>
  <c r="AJ31" i="33"/>
  <c r="AI31" i="33"/>
  <c r="AH31" i="33"/>
  <c r="AG31" i="33"/>
  <c r="AF31" i="33"/>
  <c r="AE31" i="33"/>
  <c r="AD31" i="33"/>
  <c r="AC31" i="33"/>
  <c r="AB31" i="33"/>
  <c r="AA31" i="33"/>
  <c r="Z31" i="33"/>
  <c r="Y31" i="33"/>
  <c r="X31" i="33"/>
  <c r="W31" i="33"/>
  <c r="V31" i="33"/>
  <c r="U31" i="33"/>
  <c r="T31" i="33"/>
  <c r="S31" i="33"/>
  <c r="R31" i="33"/>
  <c r="Q31" i="33"/>
  <c r="P31" i="33"/>
  <c r="O31" i="33"/>
  <c r="N31" i="33"/>
  <c r="M31" i="33"/>
  <c r="L31" i="33"/>
  <c r="K31" i="33"/>
  <c r="J31" i="33"/>
  <c r="I31" i="33"/>
  <c r="H31" i="33"/>
  <c r="G31" i="33"/>
  <c r="F31" i="33"/>
  <c r="I599" i="25" l="1"/>
  <c r="G601" i="25"/>
  <c r="J607" i="25"/>
  <c r="F589" i="25"/>
  <c r="H593" i="25"/>
  <c r="F599" i="25"/>
  <c r="G600" i="25"/>
  <c r="H599" i="25"/>
  <c r="J603" i="25"/>
  <c r="C677" i="25"/>
  <c r="C669" i="25"/>
  <c r="L645" i="25"/>
  <c r="M617" i="25" s="1"/>
  <c r="M630" i="25"/>
  <c r="N630" i="25" s="1"/>
  <c r="C630" i="25" s="1"/>
  <c r="H591" i="25"/>
  <c r="I595" i="25"/>
  <c r="I591" i="25"/>
  <c r="F593" i="25"/>
  <c r="I601" i="25"/>
  <c r="I603" i="25"/>
  <c r="F605" i="25"/>
  <c r="I607" i="25"/>
  <c r="F609" i="25"/>
  <c r="F591" i="25"/>
  <c r="F592" i="25"/>
  <c r="I593" i="25"/>
  <c r="H595" i="25"/>
  <c r="H602" i="25"/>
  <c r="H606" i="25"/>
  <c r="H610" i="25"/>
  <c r="J597" i="25"/>
  <c r="J592" i="25"/>
  <c r="J595" i="25"/>
  <c r="F597" i="25"/>
  <c r="I605" i="25"/>
  <c r="I609" i="25"/>
  <c r="J587" i="25"/>
  <c r="F587" i="25"/>
  <c r="BM62" i="33"/>
  <c r="H587" i="25"/>
  <c r="F588" i="25"/>
  <c r="H589" i="25"/>
  <c r="G590" i="25"/>
  <c r="J601" i="25"/>
  <c r="BO62" i="33"/>
  <c r="I587" i="25"/>
  <c r="I589" i="25"/>
  <c r="J591" i="25"/>
  <c r="J593" i="25"/>
  <c r="F595" i="25"/>
  <c r="H597" i="25"/>
  <c r="J599" i="25"/>
  <c r="F601" i="25"/>
  <c r="K601" i="25"/>
  <c r="F603" i="25"/>
  <c r="H604" i="25"/>
  <c r="J605" i="25"/>
  <c r="F607" i="25"/>
  <c r="H608" i="25"/>
  <c r="J609" i="25"/>
  <c r="J589" i="25"/>
  <c r="I597" i="25"/>
  <c r="I586" i="25"/>
  <c r="H586" i="25"/>
  <c r="K586" i="25"/>
  <c r="F586" i="25"/>
  <c r="I588" i="25"/>
  <c r="H588" i="25"/>
  <c r="K588" i="25"/>
  <c r="J596" i="25"/>
  <c r="F596" i="25"/>
  <c r="I596" i="25"/>
  <c r="H596" i="25"/>
  <c r="J598" i="25"/>
  <c r="F598" i="25"/>
  <c r="I598" i="25"/>
  <c r="H598" i="25"/>
  <c r="I590" i="25"/>
  <c r="H590" i="25"/>
  <c r="K590" i="25"/>
  <c r="K598" i="25"/>
  <c r="G586" i="25"/>
  <c r="J594" i="25"/>
  <c r="F594" i="25"/>
  <c r="I594" i="25"/>
  <c r="H594" i="25"/>
  <c r="J586" i="25"/>
  <c r="G588" i="25"/>
  <c r="F590" i="25"/>
  <c r="I592" i="25"/>
  <c r="H592" i="25"/>
  <c r="K592" i="25"/>
  <c r="G594" i="25"/>
  <c r="K596" i="25"/>
  <c r="J600" i="25"/>
  <c r="F600" i="25"/>
  <c r="I600" i="25"/>
  <c r="H600" i="25"/>
  <c r="I602" i="25"/>
  <c r="G603" i="25"/>
  <c r="K603" i="25"/>
  <c r="I604" i="25"/>
  <c r="G605" i="25"/>
  <c r="K605" i="25"/>
  <c r="I606" i="25"/>
  <c r="G607" i="25"/>
  <c r="K607" i="25"/>
  <c r="I608" i="25"/>
  <c r="G609" i="25"/>
  <c r="K609" i="25"/>
  <c r="I610" i="25"/>
  <c r="G587" i="25"/>
  <c r="G589" i="25"/>
  <c r="G591" i="25"/>
  <c r="G593" i="25"/>
  <c r="G595" i="25"/>
  <c r="G597" i="25"/>
  <c r="G599" i="25"/>
  <c r="F602" i="25"/>
  <c r="J602" i="25"/>
  <c r="F604" i="25"/>
  <c r="J604" i="25"/>
  <c r="F606" i="25"/>
  <c r="J606" i="25"/>
  <c r="F608" i="25"/>
  <c r="J608" i="25"/>
  <c r="F610" i="25"/>
  <c r="J610" i="25"/>
  <c r="G602" i="25"/>
  <c r="G604" i="25"/>
  <c r="G606" i="25"/>
  <c r="G608" i="25"/>
  <c r="G610" i="25"/>
  <c r="C637" i="25" l="1"/>
  <c r="C629" i="25"/>
  <c r="M645" i="25"/>
  <c r="N645" i="25" s="1"/>
  <c r="C643" i="25" s="1"/>
  <c r="C622" i="25"/>
  <c r="C641" i="25"/>
  <c r="C628" i="25"/>
  <c r="C638" i="25"/>
  <c r="C640" i="25"/>
  <c r="C621" i="25"/>
  <c r="C633" i="25"/>
  <c r="C620" i="25"/>
  <c r="C634" i="25"/>
  <c r="C639" i="25"/>
  <c r="C624" i="25"/>
  <c r="C627" i="25"/>
  <c r="C636" i="25"/>
  <c r="C644" i="25"/>
  <c r="C631" i="25"/>
  <c r="C623" i="25"/>
  <c r="C632" i="25"/>
  <c r="C625" i="25"/>
  <c r="C642" i="25"/>
  <c r="C626" i="25"/>
  <c r="L595" i="25"/>
  <c r="M595" i="25" s="1"/>
  <c r="N595" i="25" s="1"/>
  <c r="L599" i="25"/>
  <c r="M599" i="25" s="1"/>
  <c r="N599" i="25" s="1"/>
  <c r="L591" i="25"/>
  <c r="M591" i="25" s="1"/>
  <c r="N591" i="25" s="1"/>
  <c r="L587" i="25"/>
  <c r="M587" i="25" s="1"/>
  <c r="N587" i="25" s="1"/>
  <c r="L601" i="25"/>
  <c r="M601" i="25" s="1"/>
  <c r="N601" i="25" s="1"/>
  <c r="L593" i="25"/>
  <c r="M593" i="25" s="1"/>
  <c r="N593" i="25" s="1"/>
  <c r="L597" i="25"/>
  <c r="M597" i="25" s="1"/>
  <c r="N597" i="25" s="1"/>
  <c r="L589" i="25"/>
  <c r="M589" i="25" s="1"/>
  <c r="N589" i="25" s="1"/>
  <c r="L605" i="25"/>
  <c r="M605" i="25" s="1"/>
  <c r="N605" i="25" s="1"/>
  <c r="L592" i="25"/>
  <c r="M592" i="25" s="1"/>
  <c r="N592" i="25" s="1"/>
  <c r="L609" i="25"/>
  <c r="M609" i="25" s="1"/>
  <c r="N609" i="25" s="1"/>
  <c r="L603" i="25"/>
  <c r="M603" i="25" s="1"/>
  <c r="N603" i="25" s="1"/>
  <c r="L588" i="25"/>
  <c r="M588" i="25" s="1"/>
  <c r="N588" i="25" s="1"/>
  <c r="L607" i="25"/>
  <c r="M607" i="25" s="1"/>
  <c r="N607" i="25" s="1"/>
  <c r="L608" i="25"/>
  <c r="M608" i="25" s="1"/>
  <c r="N608" i="25" s="1"/>
  <c r="L604" i="25"/>
  <c r="M604" i="25" s="1"/>
  <c r="N604" i="25" s="1"/>
  <c r="L590" i="25"/>
  <c r="M590" i="25" s="1"/>
  <c r="N590" i="25" s="1"/>
  <c r="K611" i="25"/>
  <c r="G611" i="25"/>
  <c r="L600" i="25"/>
  <c r="M600" i="25" s="1"/>
  <c r="N600" i="25" s="1"/>
  <c r="L594" i="25"/>
  <c r="M594" i="25" s="1"/>
  <c r="N594" i="25" s="1"/>
  <c r="H611" i="25"/>
  <c r="F611" i="25"/>
  <c r="L586" i="25"/>
  <c r="L610" i="25"/>
  <c r="M610" i="25" s="1"/>
  <c r="N610" i="25" s="1"/>
  <c r="L606" i="25"/>
  <c r="M606" i="25" s="1"/>
  <c r="N606" i="25" s="1"/>
  <c r="L602" i="25"/>
  <c r="M602" i="25" s="1"/>
  <c r="N602" i="25" s="1"/>
  <c r="J611" i="25"/>
  <c r="L598" i="25"/>
  <c r="M598" i="25" s="1"/>
  <c r="N598" i="25" s="1"/>
  <c r="L596" i="25"/>
  <c r="M596" i="25" s="1"/>
  <c r="N596" i="25" s="1"/>
  <c r="I611" i="25"/>
  <c r="C635" i="25" l="1"/>
  <c r="L611" i="25"/>
  <c r="M583" i="25" s="1"/>
  <c r="M586" i="25"/>
  <c r="N586" i="25" s="1"/>
  <c r="C590" i="25" s="1"/>
  <c r="M611" i="25" l="1"/>
  <c r="N611" i="25" s="1"/>
  <c r="C594" i="25"/>
  <c r="C604" i="25"/>
  <c r="C598" i="25"/>
  <c r="C596" i="25"/>
  <c r="C602" i="25"/>
  <c r="C586" i="25"/>
  <c r="C607" i="25"/>
  <c r="C605" i="25"/>
  <c r="C591" i="25"/>
  <c r="C592" i="25"/>
  <c r="C588" i="25"/>
  <c r="C599" i="25"/>
  <c r="C603" i="25"/>
  <c r="C597" i="25"/>
  <c r="C587" i="25"/>
  <c r="C593" i="25"/>
  <c r="C589" i="25"/>
  <c r="C610" i="25"/>
  <c r="C600" i="25"/>
  <c r="C608" i="25"/>
  <c r="C606" i="25"/>
  <c r="BJ150" i="9"/>
  <c r="BK151" i="9" s="1"/>
  <c r="BJ149" i="9"/>
  <c r="BJ145" i="9"/>
  <c r="BK146" i="9" s="1"/>
  <c r="BJ144" i="9"/>
  <c r="BJ140" i="9"/>
  <c r="BK141" i="9" s="1"/>
  <c r="BJ139" i="9"/>
  <c r="BJ135" i="9"/>
  <c r="BK136" i="9" s="1"/>
  <c r="BJ134" i="9"/>
  <c r="BJ130" i="9"/>
  <c r="BK131" i="9" s="1"/>
  <c r="BJ129" i="9"/>
  <c r="BJ125" i="9"/>
  <c r="BK126" i="9" s="1"/>
  <c r="BJ124" i="9"/>
  <c r="BJ120" i="9"/>
  <c r="BK121" i="9" s="1"/>
  <c r="BJ119" i="9"/>
  <c r="BJ115" i="9"/>
  <c r="BK116" i="9" s="1"/>
  <c r="BJ114" i="9"/>
  <c r="BJ110" i="9"/>
  <c r="BK111" i="9" s="1"/>
  <c r="BJ109" i="9"/>
  <c r="BJ105" i="9"/>
  <c r="BK106" i="9" s="1"/>
  <c r="BJ104" i="9"/>
  <c r="BJ100" i="9"/>
  <c r="BK101" i="9" s="1"/>
  <c r="BJ99" i="9"/>
  <c r="BJ95" i="9"/>
  <c r="BK96" i="9" s="1"/>
  <c r="BJ94" i="9"/>
  <c r="BJ90" i="9"/>
  <c r="BK91" i="9" s="1"/>
  <c r="BJ89" i="9"/>
  <c r="BJ85" i="9"/>
  <c r="BK86" i="9" s="1"/>
  <c r="BJ84" i="9"/>
  <c r="BJ80" i="9"/>
  <c r="BK81" i="9" s="1"/>
  <c r="BJ79" i="9"/>
  <c r="BJ75" i="9"/>
  <c r="BK76" i="9" s="1"/>
  <c r="BJ74" i="9"/>
  <c r="BJ70" i="9"/>
  <c r="BK71" i="9" s="1"/>
  <c r="BJ69" i="9"/>
  <c r="BJ65" i="9"/>
  <c r="BK66" i="9" s="1"/>
  <c r="BJ64" i="9"/>
  <c r="BJ60" i="9"/>
  <c r="BK61" i="9" s="1"/>
  <c r="BJ59" i="9"/>
  <c r="BJ55" i="9"/>
  <c r="BK56" i="9" s="1"/>
  <c r="BJ54" i="9"/>
  <c r="BJ50" i="9"/>
  <c r="BK51" i="9" s="1"/>
  <c r="BJ49" i="9"/>
  <c r="BJ45" i="9"/>
  <c r="BK46" i="9" s="1"/>
  <c r="BJ44" i="9"/>
  <c r="BJ40" i="9"/>
  <c r="BK41" i="9" s="1"/>
  <c r="BJ39" i="9"/>
  <c r="BJ35" i="9"/>
  <c r="BK36" i="9" s="1"/>
  <c r="BJ34" i="9"/>
  <c r="BJ30" i="9"/>
  <c r="BK31" i="9" s="1"/>
  <c r="BJ29" i="9"/>
  <c r="A576" i="25"/>
  <c r="K576" i="25" s="1"/>
  <c r="A575" i="25"/>
  <c r="H575" i="25" s="1"/>
  <c r="A574" i="25"/>
  <c r="G574" i="25" s="1"/>
  <c r="A573" i="25"/>
  <c r="H573" i="25" s="1"/>
  <c r="A572" i="25"/>
  <c r="H572" i="25" s="1"/>
  <c r="A571" i="25"/>
  <c r="H571" i="25" s="1"/>
  <c r="A570" i="25"/>
  <c r="A569" i="25"/>
  <c r="H569" i="25" s="1"/>
  <c r="A568" i="25"/>
  <c r="H568" i="25" s="1"/>
  <c r="A567" i="25"/>
  <c r="H567" i="25" s="1"/>
  <c r="A566" i="25"/>
  <c r="K566" i="25" s="1"/>
  <c r="A565" i="25"/>
  <c r="K565" i="25" s="1"/>
  <c r="A564" i="25"/>
  <c r="I564" i="25" s="1"/>
  <c r="A563" i="25"/>
  <c r="K563" i="25" s="1"/>
  <c r="A562" i="25"/>
  <c r="I562" i="25" s="1"/>
  <c r="A561" i="25"/>
  <c r="K561" i="25" s="1"/>
  <c r="A560" i="25"/>
  <c r="I560" i="25" s="1"/>
  <c r="A559" i="25"/>
  <c r="K559" i="25" s="1"/>
  <c r="A558" i="25"/>
  <c r="I558" i="25" s="1"/>
  <c r="A557" i="25"/>
  <c r="K557" i="25" s="1"/>
  <c r="A556" i="25"/>
  <c r="I556" i="25" s="1"/>
  <c r="A555" i="25"/>
  <c r="K555" i="25" s="1"/>
  <c r="A554" i="25"/>
  <c r="I554" i="25" s="1"/>
  <c r="A553" i="25"/>
  <c r="K553" i="25" s="1"/>
  <c r="A552" i="25"/>
  <c r="I552" i="25" s="1"/>
  <c r="F560" i="25" l="1"/>
  <c r="F563" i="25"/>
  <c r="H563" i="25"/>
  <c r="F559" i="25"/>
  <c r="F564" i="25"/>
  <c r="F567" i="25"/>
  <c r="F569" i="25"/>
  <c r="G567" i="25"/>
  <c r="F555" i="25"/>
  <c r="F556" i="25"/>
  <c r="H559" i="25"/>
  <c r="I555" i="25"/>
  <c r="I559" i="25"/>
  <c r="I563" i="25"/>
  <c r="I567" i="25"/>
  <c r="J569" i="25"/>
  <c r="H555" i="25"/>
  <c r="C609" i="25"/>
  <c r="C601" i="25"/>
  <c r="G572" i="25"/>
  <c r="K567" i="25"/>
  <c r="I569" i="25"/>
  <c r="F571" i="25"/>
  <c r="J573" i="25"/>
  <c r="K556" i="25"/>
  <c r="I557" i="25"/>
  <c r="K560" i="25"/>
  <c r="I561" i="25"/>
  <c r="K564" i="25"/>
  <c r="I565" i="25"/>
  <c r="I573" i="25"/>
  <c r="H574" i="25"/>
  <c r="J575" i="25"/>
  <c r="J565" i="25"/>
  <c r="J557" i="25"/>
  <c r="J561" i="25"/>
  <c r="G564" i="25"/>
  <c r="F565" i="25"/>
  <c r="I571" i="25"/>
  <c r="F575" i="25"/>
  <c r="H576" i="25"/>
  <c r="K552" i="25"/>
  <c r="I553" i="25"/>
  <c r="F552" i="25"/>
  <c r="J553" i="25"/>
  <c r="G552" i="25"/>
  <c r="F553" i="25"/>
  <c r="G556" i="25"/>
  <c r="F557" i="25"/>
  <c r="G560" i="25"/>
  <c r="F561" i="25"/>
  <c r="J552" i="25"/>
  <c r="H553" i="25"/>
  <c r="J555" i="25"/>
  <c r="J556" i="25"/>
  <c r="H557" i="25"/>
  <c r="J559" i="25"/>
  <c r="J560" i="25"/>
  <c r="H561" i="25"/>
  <c r="J563" i="25"/>
  <c r="J564" i="25"/>
  <c r="H565" i="25"/>
  <c r="J567" i="25"/>
  <c r="J571" i="25"/>
  <c r="F573" i="25"/>
  <c r="I575" i="25"/>
  <c r="J562" i="25"/>
  <c r="J568" i="25"/>
  <c r="F568" i="25"/>
  <c r="I568" i="25"/>
  <c r="K568" i="25"/>
  <c r="H554" i="25"/>
  <c r="I566" i="25"/>
  <c r="H566" i="25"/>
  <c r="J566" i="25"/>
  <c r="J570" i="25"/>
  <c r="F570" i="25"/>
  <c r="I570" i="25"/>
  <c r="K570" i="25"/>
  <c r="J554" i="25"/>
  <c r="J558" i="25"/>
  <c r="H552" i="25"/>
  <c r="F554" i="25"/>
  <c r="K554" i="25"/>
  <c r="H556" i="25"/>
  <c r="F558" i="25"/>
  <c r="K558" i="25"/>
  <c r="H560" i="25"/>
  <c r="F562" i="25"/>
  <c r="K562" i="25"/>
  <c r="H564" i="25"/>
  <c r="F566" i="25"/>
  <c r="G570" i="25"/>
  <c r="K574" i="25"/>
  <c r="J574" i="25"/>
  <c r="F574" i="25"/>
  <c r="I574" i="25"/>
  <c r="H558" i="25"/>
  <c r="H562" i="25"/>
  <c r="G554" i="25"/>
  <c r="G558" i="25"/>
  <c r="G562" i="25"/>
  <c r="G566" i="25"/>
  <c r="G568" i="25"/>
  <c r="H570" i="25"/>
  <c r="J572" i="25"/>
  <c r="F572" i="25"/>
  <c r="I572" i="25"/>
  <c r="K572" i="25"/>
  <c r="G569" i="25"/>
  <c r="K569" i="25"/>
  <c r="G571" i="25"/>
  <c r="K571" i="25"/>
  <c r="G573" i="25"/>
  <c r="K573" i="25"/>
  <c r="G575" i="25"/>
  <c r="K575" i="25"/>
  <c r="I576" i="25"/>
  <c r="G553" i="25"/>
  <c r="G555" i="25"/>
  <c r="G557" i="25"/>
  <c r="G559" i="25"/>
  <c r="G561" i="25"/>
  <c r="G563" i="25"/>
  <c r="G565" i="25"/>
  <c r="F576" i="25"/>
  <c r="J576" i="25"/>
  <c r="G576" i="25"/>
  <c r="BI150" i="9"/>
  <c r="BI149" i="9"/>
  <c r="BI145" i="9"/>
  <c r="BJ146" i="9" s="1"/>
  <c r="BI144" i="9"/>
  <c r="BI140" i="9"/>
  <c r="BI139" i="9"/>
  <c r="BI135" i="9"/>
  <c r="BI134" i="9"/>
  <c r="BI130" i="9"/>
  <c r="BJ131" i="9" s="1"/>
  <c r="BI129" i="9"/>
  <c r="BI125" i="9"/>
  <c r="BJ126" i="9" s="1"/>
  <c r="BI124" i="9"/>
  <c r="BI120" i="9"/>
  <c r="BJ121" i="9" s="1"/>
  <c r="BI119" i="9"/>
  <c r="BI115" i="9"/>
  <c r="BI114" i="9"/>
  <c r="BI110" i="9"/>
  <c r="BJ111" i="9" s="1"/>
  <c r="BI109" i="9"/>
  <c r="BI105" i="9"/>
  <c r="BJ106" i="9" s="1"/>
  <c r="BI104" i="9"/>
  <c r="BI100" i="9"/>
  <c r="BI99" i="9"/>
  <c r="BI95" i="9"/>
  <c r="BI94" i="9"/>
  <c r="BI90" i="9"/>
  <c r="BJ91" i="9" s="1"/>
  <c r="BI89" i="9"/>
  <c r="BI85" i="9"/>
  <c r="BJ86" i="9" s="1"/>
  <c r="BI84" i="9"/>
  <c r="BI80" i="9"/>
  <c r="BI79" i="9"/>
  <c r="BI75" i="9"/>
  <c r="BI74" i="9"/>
  <c r="BI70" i="9"/>
  <c r="BJ71" i="9" s="1"/>
  <c r="BI69" i="9"/>
  <c r="BI65" i="9"/>
  <c r="BJ66" i="9" s="1"/>
  <c r="BI64" i="9"/>
  <c r="BI60" i="9"/>
  <c r="BI59" i="9"/>
  <c r="BI55" i="9"/>
  <c r="BJ56" i="9" s="1"/>
  <c r="BI54" i="9"/>
  <c r="BI50" i="9"/>
  <c r="BJ51" i="9" s="1"/>
  <c r="BI49" i="9"/>
  <c r="BI45" i="9"/>
  <c r="BJ46" i="9" s="1"/>
  <c r="BI44" i="9"/>
  <c r="BI40" i="9"/>
  <c r="BI39" i="9"/>
  <c r="BI35" i="9"/>
  <c r="BI34" i="9"/>
  <c r="BI30" i="9"/>
  <c r="BI29" i="9"/>
  <c r="L563" i="25" l="1"/>
  <c r="M563" i="25" s="1"/>
  <c r="N563" i="25" s="1"/>
  <c r="L567" i="25"/>
  <c r="M567" i="25" s="1"/>
  <c r="N567" i="25" s="1"/>
  <c r="L565" i="25"/>
  <c r="M565" i="25" s="1"/>
  <c r="N565" i="25" s="1"/>
  <c r="L555" i="25"/>
  <c r="M555" i="25" s="1"/>
  <c r="N555" i="25" s="1"/>
  <c r="L553" i="25"/>
  <c r="M553" i="25" s="1"/>
  <c r="N553" i="25" s="1"/>
  <c r="L564" i="25"/>
  <c r="M564" i="25" s="1"/>
  <c r="N564" i="25" s="1"/>
  <c r="L559" i="25"/>
  <c r="M559" i="25" s="1"/>
  <c r="N559" i="25" s="1"/>
  <c r="L557" i="25"/>
  <c r="M557" i="25" s="1"/>
  <c r="N557" i="25" s="1"/>
  <c r="L560" i="25"/>
  <c r="M560" i="25" s="1"/>
  <c r="N560" i="25" s="1"/>
  <c r="L561" i="25"/>
  <c r="M561" i="25" s="1"/>
  <c r="N561" i="25" s="1"/>
  <c r="L556" i="25"/>
  <c r="M556" i="25" s="1"/>
  <c r="N556" i="25" s="1"/>
  <c r="BJ76" i="9"/>
  <c r="BJ31" i="9"/>
  <c r="BJ36" i="9"/>
  <c r="BJ41" i="9"/>
  <c r="BJ116" i="9"/>
  <c r="BJ136" i="9"/>
  <c r="BJ151" i="9"/>
  <c r="BJ96" i="9"/>
  <c r="BJ61" i="9"/>
  <c r="BJ101" i="9"/>
  <c r="BJ81" i="9"/>
  <c r="BJ141" i="9"/>
  <c r="L571" i="25"/>
  <c r="M571" i="25" s="1"/>
  <c r="N571" i="25" s="1"/>
  <c r="L575" i="25"/>
  <c r="M575" i="25" s="1"/>
  <c r="N575" i="25" s="1"/>
  <c r="L573" i="25"/>
  <c r="M573" i="25" s="1"/>
  <c r="N573" i="25" s="1"/>
  <c r="J577" i="25"/>
  <c r="L569" i="25"/>
  <c r="M569" i="25" s="1"/>
  <c r="N569" i="25" s="1"/>
  <c r="K577" i="25"/>
  <c r="I577" i="25"/>
  <c r="L554" i="25"/>
  <c r="M554" i="25" s="1"/>
  <c r="N554" i="25" s="1"/>
  <c r="L574" i="25"/>
  <c r="M574" i="25" s="1"/>
  <c r="N574" i="25" s="1"/>
  <c r="L558" i="25"/>
  <c r="M558" i="25" s="1"/>
  <c r="N558" i="25" s="1"/>
  <c r="H577" i="25"/>
  <c r="G577" i="25"/>
  <c r="L568" i="25"/>
  <c r="M568" i="25" s="1"/>
  <c r="N568" i="25" s="1"/>
  <c r="F577" i="25"/>
  <c r="L562" i="25"/>
  <c r="M562" i="25" s="1"/>
  <c r="N562" i="25" s="1"/>
  <c r="L572" i="25"/>
  <c r="M572" i="25" s="1"/>
  <c r="N572" i="25" s="1"/>
  <c r="L570" i="25"/>
  <c r="M570" i="25" s="1"/>
  <c r="N570" i="25" s="1"/>
  <c r="L576" i="25"/>
  <c r="M576" i="25" s="1"/>
  <c r="N576" i="25" s="1"/>
  <c r="L566" i="25"/>
  <c r="M566" i="25" s="1"/>
  <c r="N566" i="25" s="1"/>
  <c r="L552" i="25"/>
  <c r="G33" i="11"/>
  <c r="A542" i="25"/>
  <c r="K542" i="25" s="1"/>
  <c r="A541" i="25"/>
  <c r="H541" i="25" s="1"/>
  <c r="A540" i="25"/>
  <c r="K540" i="25" s="1"/>
  <c r="A539" i="25"/>
  <c r="H539" i="25" s="1"/>
  <c r="A538" i="25"/>
  <c r="K538" i="25" s="1"/>
  <c r="A537" i="25"/>
  <c r="H537" i="25" s="1"/>
  <c r="A536" i="25"/>
  <c r="H536" i="25" s="1"/>
  <c r="A535" i="25"/>
  <c r="H535" i="25" s="1"/>
  <c r="A534" i="25"/>
  <c r="H534" i="25" s="1"/>
  <c r="A533" i="25"/>
  <c r="H533" i="25" s="1"/>
  <c r="A532" i="25"/>
  <c r="J532" i="25" s="1"/>
  <c r="A531" i="25"/>
  <c r="K531" i="25" s="1"/>
  <c r="A530" i="25"/>
  <c r="G530" i="25" s="1"/>
  <c r="A529" i="25"/>
  <c r="K529" i="25" s="1"/>
  <c r="A528" i="25"/>
  <c r="I528" i="25" s="1"/>
  <c r="A527" i="25"/>
  <c r="K527" i="25" s="1"/>
  <c r="A526" i="25"/>
  <c r="I526" i="25" s="1"/>
  <c r="A525" i="25"/>
  <c r="K525" i="25" s="1"/>
  <c r="A524" i="25"/>
  <c r="I524" i="25" s="1"/>
  <c r="A523" i="25"/>
  <c r="K523" i="25" s="1"/>
  <c r="A522" i="25"/>
  <c r="I522" i="25" s="1"/>
  <c r="A521" i="25"/>
  <c r="K521" i="25" s="1"/>
  <c r="A520" i="25"/>
  <c r="I520" i="25" s="1"/>
  <c r="A519" i="25"/>
  <c r="K519" i="25" s="1"/>
  <c r="A518" i="25"/>
  <c r="I518" i="25" s="1"/>
  <c r="F530" i="25" l="1"/>
  <c r="K533" i="25"/>
  <c r="F535" i="25"/>
  <c r="G534" i="25"/>
  <c r="G532" i="25"/>
  <c r="J535" i="25"/>
  <c r="F533" i="25"/>
  <c r="F523" i="25"/>
  <c r="F531" i="25"/>
  <c r="F519" i="25"/>
  <c r="I531" i="25"/>
  <c r="F527" i="25"/>
  <c r="F518" i="25"/>
  <c r="I519" i="25"/>
  <c r="F522" i="25"/>
  <c r="I523" i="25"/>
  <c r="F526" i="25"/>
  <c r="I527" i="25"/>
  <c r="K518" i="25"/>
  <c r="K522" i="25"/>
  <c r="K526" i="25"/>
  <c r="J530" i="25"/>
  <c r="I533" i="25"/>
  <c r="G536" i="25"/>
  <c r="I539" i="25"/>
  <c r="J529" i="25"/>
  <c r="J519" i="25"/>
  <c r="F521" i="25"/>
  <c r="J523" i="25"/>
  <c r="F525" i="25"/>
  <c r="J527" i="25"/>
  <c r="F529" i="25"/>
  <c r="J531" i="25"/>
  <c r="J533" i="25"/>
  <c r="F537" i="25"/>
  <c r="H538" i="25"/>
  <c r="J539" i="25"/>
  <c r="F541" i="25"/>
  <c r="H542" i="25"/>
  <c r="J521" i="25"/>
  <c r="H525" i="25"/>
  <c r="I537" i="25"/>
  <c r="I541" i="25"/>
  <c r="H521" i="25"/>
  <c r="H529" i="25"/>
  <c r="J518" i="25"/>
  <c r="H519" i="25"/>
  <c r="G520" i="25"/>
  <c r="I521" i="25"/>
  <c r="J522" i="25"/>
  <c r="H523" i="25"/>
  <c r="G524" i="25"/>
  <c r="I525" i="25"/>
  <c r="J526" i="25"/>
  <c r="H527" i="25"/>
  <c r="G528" i="25"/>
  <c r="I529" i="25"/>
  <c r="H531" i="25"/>
  <c r="F532" i="25"/>
  <c r="G533" i="25"/>
  <c r="I535" i="25"/>
  <c r="J537" i="25"/>
  <c r="F539" i="25"/>
  <c r="H540" i="25"/>
  <c r="J541" i="25"/>
  <c r="J525" i="25"/>
  <c r="L577" i="25"/>
  <c r="M549" i="25" s="1"/>
  <c r="M552" i="25"/>
  <c r="N552" i="25" s="1"/>
  <c r="C566" i="25" s="1"/>
  <c r="H520" i="25"/>
  <c r="H524" i="25"/>
  <c r="H528" i="25"/>
  <c r="G518" i="25"/>
  <c r="J520" i="25"/>
  <c r="G522" i="25"/>
  <c r="J524" i="25"/>
  <c r="G526" i="25"/>
  <c r="J528" i="25"/>
  <c r="I530" i="25"/>
  <c r="H530" i="25"/>
  <c r="K530" i="25"/>
  <c r="J536" i="25"/>
  <c r="F536" i="25"/>
  <c r="I536" i="25"/>
  <c r="K536" i="25"/>
  <c r="H518" i="25"/>
  <c r="F520" i="25"/>
  <c r="K520" i="25"/>
  <c r="H522" i="25"/>
  <c r="F524" i="25"/>
  <c r="K524" i="25"/>
  <c r="H526" i="25"/>
  <c r="F528" i="25"/>
  <c r="K528" i="25"/>
  <c r="I532" i="25"/>
  <c r="H532" i="25"/>
  <c r="K532" i="25"/>
  <c r="J534" i="25"/>
  <c r="F534" i="25"/>
  <c r="I534" i="25"/>
  <c r="K534" i="25"/>
  <c r="G535" i="25"/>
  <c r="K535" i="25"/>
  <c r="G537" i="25"/>
  <c r="K537" i="25"/>
  <c r="I538" i="25"/>
  <c r="G539" i="25"/>
  <c r="K539" i="25"/>
  <c r="I540" i="25"/>
  <c r="G541" i="25"/>
  <c r="K541" i="25"/>
  <c r="I542" i="25"/>
  <c r="G519" i="25"/>
  <c r="G521" i="25"/>
  <c r="G523" i="25"/>
  <c r="G525" i="25"/>
  <c r="G527" i="25"/>
  <c r="G529" i="25"/>
  <c r="G531" i="25"/>
  <c r="F538" i="25"/>
  <c r="J538" i="25"/>
  <c r="F540" i="25"/>
  <c r="J540" i="25"/>
  <c r="F542" i="25"/>
  <c r="J542" i="25"/>
  <c r="G538" i="25"/>
  <c r="G540" i="25"/>
  <c r="G542" i="25"/>
  <c r="DQ41" i="2"/>
  <c r="L521" i="25" l="1"/>
  <c r="M521" i="25" s="1"/>
  <c r="N521" i="25" s="1"/>
  <c r="L529" i="25"/>
  <c r="M529" i="25" s="1"/>
  <c r="N529" i="25" s="1"/>
  <c r="L533" i="25"/>
  <c r="M533" i="25" s="1"/>
  <c r="N533" i="25" s="1"/>
  <c r="L531" i="25"/>
  <c r="M531" i="25" s="1"/>
  <c r="N531" i="25" s="1"/>
  <c r="L523" i="25"/>
  <c r="M523" i="25" s="1"/>
  <c r="N523" i="25" s="1"/>
  <c r="L527" i="25"/>
  <c r="M527" i="25" s="1"/>
  <c r="N527" i="25" s="1"/>
  <c r="L519" i="25"/>
  <c r="M519" i="25" s="1"/>
  <c r="N519" i="25" s="1"/>
  <c r="L525" i="25"/>
  <c r="M525" i="25" s="1"/>
  <c r="N525" i="25" s="1"/>
  <c r="M577" i="25"/>
  <c r="N577" i="25" s="1"/>
  <c r="C575" i="25" s="1"/>
  <c r="C554" i="25"/>
  <c r="C562" i="25"/>
  <c r="C570" i="25"/>
  <c r="C576" i="25"/>
  <c r="C572" i="25"/>
  <c r="C558" i="25"/>
  <c r="C552" i="25"/>
  <c r="C573" i="25"/>
  <c r="C555" i="25"/>
  <c r="C571" i="25"/>
  <c r="C563" i="25"/>
  <c r="C565" i="25"/>
  <c r="C560" i="25"/>
  <c r="C559" i="25"/>
  <c r="C561" i="25"/>
  <c r="C557" i="25"/>
  <c r="C569" i="25"/>
  <c r="C553" i="25"/>
  <c r="C564" i="25"/>
  <c r="C556" i="25"/>
  <c r="C568" i="25"/>
  <c r="C574" i="25"/>
  <c r="I543" i="25"/>
  <c r="L537" i="25"/>
  <c r="M537" i="25" s="1"/>
  <c r="N537" i="25" s="1"/>
  <c r="L541" i="25"/>
  <c r="M541" i="25" s="1"/>
  <c r="N541" i="25" s="1"/>
  <c r="L530" i="25"/>
  <c r="M530" i="25" s="1"/>
  <c r="N530" i="25" s="1"/>
  <c r="L518" i="25"/>
  <c r="M518" i="25" s="1"/>
  <c r="N518" i="25" s="1"/>
  <c r="L539" i="25"/>
  <c r="M539" i="25" s="1"/>
  <c r="N539" i="25" s="1"/>
  <c r="L526" i="25"/>
  <c r="M526" i="25" s="1"/>
  <c r="N526" i="25" s="1"/>
  <c r="K543" i="25"/>
  <c r="L535" i="25"/>
  <c r="M535" i="25" s="1"/>
  <c r="N535" i="25" s="1"/>
  <c r="F543" i="25"/>
  <c r="L522" i="25"/>
  <c r="M522" i="25" s="1"/>
  <c r="N522" i="25" s="1"/>
  <c r="L532" i="25"/>
  <c r="M532" i="25" s="1"/>
  <c r="N532" i="25" s="1"/>
  <c r="J543" i="25"/>
  <c r="L542" i="25"/>
  <c r="M542" i="25" s="1"/>
  <c r="N542" i="25" s="1"/>
  <c r="L538" i="25"/>
  <c r="M538" i="25" s="1"/>
  <c r="N538" i="25" s="1"/>
  <c r="L524" i="25"/>
  <c r="H543" i="25"/>
  <c r="L536" i="25"/>
  <c r="M536" i="25" s="1"/>
  <c r="N536" i="25" s="1"/>
  <c r="L520" i="25"/>
  <c r="M520" i="25" s="1"/>
  <c r="N520" i="25" s="1"/>
  <c r="L540" i="25"/>
  <c r="M540" i="25" s="1"/>
  <c r="N540" i="25" s="1"/>
  <c r="L534" i="25"/>
  <c r="M534" i="25" s="1"/>
  <c r="N534" i="25" s="1"/>
  <c r="L528" i="25"/>
  <c r="M528" i="25" s="1"/>
  <c r="N528" i="25" s="1"/>
  <c r="G543" i="25"/>
  <c r="BH150" i="9"/>
  <c r="BH149" i="9"/>
  <c r="BH145" i="9"/>
  <c r="BH144" i="9"/>
  <c r="BH140" i="9"/>
  <c r="BH139" i="9"/>
  <c r="BH135" i="9"/>
  <c r="BH134" i="9"/>
  <c r="BH130" i="9"/>
  <c r="BH129" i="9"/>
  <c r="BH125" i="9"/>
  <c r="BI126" i="9" s="1"/>
  <c r="BH124" i="9"/>
  <c r="BH120" i="9"/>
  <c r="BH119" i="9"/>
  <c r="BH115" i="9"/>
  <c r="BH114" i="9"/>
  <c r="BH110" i="9"/>
  <c r="BH109" i="9"/>
  <c r="BH105" i="9"/>
  <c r="BI106" i="9" s="1"/>
  <c r="BH104" i="9"/>
  <c r="BH100" i="9"/>
  <c r="BH99" i="9"/>
  <c r="BH95" i="9"/>
  <c r="BH94" i="9"/>
  <c r="BH90" i="9"/>
  <c r="BH89" i="9"/>
  <c r="BH85" i="9"/>
  <c r="BH84" i="9"/>
  <c r="BH80" i="9"/>
  <c r="BH79" i="9"/>
  <c r="BH75" i="9"/>
  <c r="BH74" i="9"/>
  <c r="BH70" i="9"/>
  <c r="BH69" i="9"/>
  <c r="BH65" i="9"/>
  <c r="BH64" i="9"/>
  <c r="BH60" i="9"/>
  <c r="BH59" i="9"/>
  <c r="BH55" i="9"/>
  <c r="BH54" i="9"/>
  <c r="BH50" i="9"/>
  <c r="BH49" i="9"/>
  <c r="BH45" i="9"/>
  <c r="BI46" i="9" s="1"/>
  <c r="BH44" i="9"/>
  <c r="BH40" i="9"/>
  <c r="BH39" i="9"/>
  <c r="BH35" i="9"/>
  <c r="BH34" i="9"/>
  <c r="BH30" i="9"/>
  <c r="BH29" i="9"/>
  <c r="A508" i="25"/>
  <c r="K508" i="25" s="1"/>
  <c r="A507" i="25"/>
  <c r="H507" i="25" s="1"/>
  <c r="A506" i="25"/>
  <c r="H506" i="25" s="1"/>
  <c r="A505" i="25"/>
  <c r="H505" i="25" s="1"/>
  <c r="A504" i="25"/>
  <c r="A503" i="25"/>
  <c r="H503" i="25" s="1"/>
  <c r="A502" i="25"/>
  <c r="H502" i="25" s="1"/>
  <c r="A501" i="25"/>
  <c r="H501" i="25" s="1"/>
  <c r="A500" i="25"/>
  <c r="A499" i="25"/>
  <c r="H499" i="25" s="1"/>
  <c r="A498" i="25"/>
  <c r="G498" i="25" s="1"/>
  <c r="A497" i="25"/>
  <c r="H497" i="25" s="1"/>
  <c r="A496" i="25"/>
  <c r="K496" i="25" s="1"/>
  <c r="A495" i="25"/>
  <c r="H495" i="25" s="1"/>
  <c r="A494" i="25"/>
  <c r="K494" i="25" s="1"/>
  <c r="A493" i="25"/>
  <c r="H493" i="25" s="1"/>
  <c r="A492" i="25"/>
  <c r="A491" i="25"/>
  <c r="H491" i="25" s="1"/>
  <c r="A490" i="25"/>
  <c r="G490" i="25" s="1"/>
  <c r="A489" i="25"/>
  <c r="H489" i="25" s="1"/>
  <c r="A488" i="25"/>
  <c r="K488" i="25" s="1"/>
  <c r="A487" i="25"/>
  <c r="H487" i="25" s="1"/>
  <c r="A486" i="25"/>
  <c r="K486" i="25" s="1"/>
  <c r="A485" i="25"/>
  <c r="H485" i="25" s="1"/>
  <c r="A484" i="25"/>
  <c r="K484" i="25" s="1"/>
  <c r="J499" i="25" l="1"/>
  <c r="I490" i="25"/>
  <c r="J493" i="25"/>
  <c r="I498" i="25"/>
  <c r="F497" i="25"/>
  <c r="F499" i="25"/>
  <c r="F485" i="25"/>
  <c r="G486" i="25"/>
  <c r="G488" i="25"/>
  <c r="F489" i="25"/>
  <c r="G489" i="25"/>
  <c r="I485" i="25"/>
  <c r="I488" i="25"/>
  <c r="J485" i="25"/>
  <c r="K489" i="25"/>
  <c r="G499" i="25"/>
  <c r="F501" i="25"/>
  <c r="F503" i="25"/>
  <c r="F505" i="25"/>
  <c r="I503" i="25"/>
  <c r="G502" i="25"/>
  <c r="K491" i="25"/>
  <c r="J507" i="25"/>
  <c r="BI31" i="9"/>
  <c r="BI41" i="9"/>
  <c r="BI116" i="9"/>
  <c r="BI51" i="9"/>
  <c r="BI61" i="9"/>
  <c r="BI71" i="9"/>
  <c r="BI81" i="9"/>
  <c r="BI91" i="9"/>
  <c r="BI101" i="9"/>
  <c r="BI136" i="9"/>
  <c r="BI146" i="9"/>
  <c r="F491" i="25"/>
  <c r="G494" i="25"/>
  <c r="G496" i="25"/>
  <c r="G491" i="25"/>
  <c r="I496" i="25"/>
  <c r="G497" i="25"/>
  <c r="K499" i="25"/>
  <c r="I501" i="25"/>
  <c r="J503" i="25"/>
  <c r="I505" i="25"/>
  <c r="F507" i="25"/>
  <c r="H508" i="25"/>
  <c r="BI36" i="9"/>
  <c r="BI111" i="9"/>
  <c r="BI121" i="9"/>
  <c r="H484" i="25"/>
  <c r="J491" i="25"/>
  <c r="K497" i="25"/>
  <c r="J501" i="25"/>
  <c r="J505" i="25"/>
  <c r="I507" i="25"/>
  <c r="BI56" i="9"/>
  <c r="BI66" i="9"/>
  <c r="BI76" i="9"/>
  <c r="BI86" i="9"/>
  <c r="BI96" i="9"/>
  <c r="BI131" i="9"/>
  <c r="BI141" i="9"/>
  <c r="BI151" i="9"/>
  <c r="L543" i="25"/>
  <c r="M543" i="25" s="1"/>
  <c r="N543" i="25" s="1"/>
  <c r="M524" i="25"/>
  <c r="N524" i="25" s="1"/>
  <c r="C524" i="25" s="1"/>
  <c r="I487" i="25"/>
  <c r="I495" i="25"/>
  <c r="J500" i="25"/>
  <c r="F500" i="25"/>
  <c r="H500" i="25"/>
  <c r="G485" i="25"/>
  <c r="K485" i="25"/>
  <c r="I489" i="25"/>
  <c r="K490" i="25"/>
  <c r="I500" i="25"/>
  <c r="J502" i="25"/>
  <c r="F502" i="25"/>
  <c r="I502" i="25"/>
  <c r="K502" i="25"/>
  <c r="G506" i="25"/>
  <c r="J492" i="25"/>
  <c r="F492" i="25"/>
  <c r="H492" i="25"/>
  <c r="J504" i="25"/>
  <c r="F504" i="25"/>
  <c r="I504" i="25"/>
  <c r="K504" i="25"/>
  <c r="I484" i="25"/>
  <c r="J486" i="25"/>
  <c r="F486" i="25"/>
  <c r="H486" i="25"/>
  <c r="J487" i="25"/>
  <c r="I492" i="25"/>
  <c r="F493" i="25"/>
  <c r="K493" i="25"/>
  <c r="J494" i="25"/>
  <c r="F494" i="25"/>
  <c r="H494" i="25"/>
  <c r="J495" i="25"/>
  <c r="I497" i="25"/>
  <c r="K498" i="25"/>
  <c r="F484" i="25"/>
  <c r="J484" i="25"/>
  <c r="I486" i="25"/>
  <c r="F487" i="25"/>
  <c r="K487" i="25"/>
  <c r="J488" i="25"/>
  <c r="F488" i="25"/>
  <c r="H488" i="25"/>
  <c r="J489" i="25"/>
  <c r="I491" i="25"/>
  <c r="K492" i="25"/>
  <c r="G493" i="25"/>
  <c r="I494" i="25"/>
  <c r="F495" i="25"/>
  <c r="K495" i="25"/>
  <c r="J496" i="25"/>
  <c r="F496" i="25"/>
  <c r="H496" i="25"/>
  <c r="J497" i="25"/>
  <c r="I499" i="25"/>
  <c r="K500" i="25"/>
  <c r="G504" i="25"/>
  <c r="G484" i="25"/>
  <c r="G487" i="25"/>
  <c r="J490" i="25"/>
  <c r="F490" i="25"/>
  <c r="H490" i="25"/>
  <c r="G492" i="25"/>
  <c r="I493" i="25"/>
  <c r="G495" i="25"/>
  <c r="J498" i="25"/>
  <c r="F498" i="25"/>
  <c r="H498" i="25"/>
  <c r="G500" i="25"/>
  <c r="H504" i="25"/>
  <c r="J506" i="25"/>
  <c r="F506" i="25"/>
  <c r="I506" i="25"/>
  <c r="K506" i="25"/>
  <c r="G501" i="25"/>
  <c r="K501" i="25"/>
  <c r="G503" i="25"/>
  <c r="K503" i="25"/>
  <c r="G505" i="25"/>
  <c r="K505" i="25"/>
  <c r="G507" i="25"/>
  <c r="K507" i="25"/>
  <c r="I508" i="25"/>
  <c r="F508" i="25"/>
  <c r="J508" i="25"/>
  <c r="G508" i="25"/>
  <c r="C15" i="11"/>
  <c r="L499" i="25" l="1"/>
  <c r="M499" i="25" s="1"/>
  <c r="N499" i="25" s="1"/>
  <c r="L491" i="25"/>
  <c r="M491" i="25" s="1"/>
  <c r="N491" i="25" s="1"/>
  <c r="M515" i="25"/>
  <c r="C542" i="25"/>
  <c r="C537" i="25"/>
  <c r="L485" i="25"/>
  <c r="M485" i="25" s="1"/>
  <c r="N485" i="25" s="1"/>
  <c r="C528" i="25"/>
  <c r="C523" i="25"/>
  <c r="C532" i="25"/>
  <c r="C531" i="25"/>
  <c r="C541" i="25"/>
  <c r="C525" i="25"/>
  <c r="C538" i="25"/>
  <c r="C522" i="25"/>
  <c r="C535" i="25"/>
  <c r="C539" i="25"/>
  <c r="C536" i="25"/>
  <c r="C518" i="25"/>
  <c r="C521" i="25"/>
  <c r="C520" i="25"/>
  <c r="C529" i="25"/>
  <c r="C519" i="25"/>
  <c r="C530" i="25"/>
  <c r="C540" i="25"/>
  <c r="C526" i="25"/>
  <c r="C527" i="25"/>
  <c r="C534" i="25"/>
  <c r="L489" i="25"/>
  <c r="M489" i="25" s="1"/>
  <c r="N489" i="25" s="1"/>
  <c r="L505" i="25"/>
  <c r="M505" i="25" s="1"/>
  <c r="N505" i="25" s="1"/>
  <c r="L501" i="25"/>
  <c r="M501" i="25" s="1"/>
  <c r="N501" i="25" s="1"/>
  <c r="L497" i="25"/>
  <c r="M497" i="25" s="1"/>
  <c r="N497" i="25" s="1"/>
  <c r="K509" i="25"/>
  <c r="H509" i="25"/>
  <c r="L507" i="25"/>
  <c r="M507" i="25" s="1"/>
  <c r="N507" i="25" s="1"/>
  <c r="L503" i="25"/>
  <c r="M503" i="25" s="1"/>
  <c r="N503" i="25" s="1"/>
  <c r="L488" i="25"/>
  <c r="M488" i="25" s="1"/>
  <c r="N488" i="25" s="1"/>
  <c r="L506" i="25"/>
  <c r="M506" i="25" s="1"/>
  <c r="N506" i="25" s="1"/>
  <c r="L495" i="25"/>
  <c r="M495" i="25" s="1"/>
  <c r="N495" i="25" s="1"/>
  <c r="J509" i="25"/>
  <c r="L492" i="25"/>
  <c r="M492" i="25" s="1"/>
  <c r="N492" i="25" s="1"/>
  <c r="L500" i="25"/>
  <c r="M500" i="25" s="1"/>
  <c r="N500" i="25" s="1"/>
  <c r="L508" i="25"/>
  <c r="M508" i="25" s="1"/>
  <c r="N508" i="25" s="1"/>
  <c r="L490" i="25"/>
  <c r="M490" i="25" s="1"/>
  <c r="N490" i="25" s="1"/>
  <c r="G509" i="25"/>
  <c r="L496" i="25"/>
  <c r="M496" i="25" s="1"/>
  <c r="N496" i="25" s="1"/>
  <c r="F509" i="25"/>
  <c r="L484" i="25"/>
  <c r="L493" i="25"/>
  <c r="M493" i="25" s="1"/>
  <c r="N493" i="25" s="1"/>
  <c r="L486" i="25"/>
  <c r="M486" i="25" s="1"/>
  <c r="N486" i="25" s="1"/>
  <c r="I509" i="25"/>
  <c r="L502" i="25"/>
  <c r="M502" i="25" s="1"/>
  <c r="N502" i="25" s="1"/>
  <c r="L498" i="25"/>
  <c r="M498" i="25" s="1"/>
  <c r="N498" i="25" s="1"/>
  <c r="L487" i="25"/>
  <c r="M487" i="25" s="1"/>
  <c r="N487" i="25" s="1"/>
  <c r="L494" i="25"/>
  <c r="M494" i="25" s="1"/>
  <c r="N494" i="25" s="1"/>
  <c r="L504" i="25"/>
  <c r="M504" i="25" s="1"/>
  <c r="N504" i="25" s="1"/>
  <c r="BG150" i="9"/>
  <c r="BG149" i="9"/>
  <c r="BG145" i="9"/>
  <c r="BH146" i="9" s="1"/>
  <c r="BG144" i="9"/>
  <c r="BG140" i="9"/>
  <c r="BG139" i="9"/>
  <c r="BG135" i="9"/>
  <c r="BG134" i="9"/>
  <c r="BG130" i="9"/>
  <c r="BG129" i="9"/>
  <c r="BG125" i="9"/>
  <c r="BH126" i="9" s="1"/>
  <c r="BG124" i="9"/>
  <c r="BG120" i="9"/>
  <c r="BG119" i="9"/>
  <c r="BG115" i="9"/>
  <c r="BG114" i="9"/>
  <c r="BG110" i="9"/>
  <c r="BG109" i="9"/>
  <c r="BG105" i="9"/>
  <c r="BH106" i="9" s="1"/>
  <c r="BG104" i="9"/>
  <c r="BG100" i="9"/>
  <c r="BG99" i="9"/>
  <c r="BG95" i="9"/>
  <c r="BG94" i="9"/>
  <c r="BG90" i="9"/>
  <c r="BG89" i="9"/>
  <c r="BG85" i="9"/>
  <c r="BH86" i="9" s="1"/>
  <c r="BG84" i="9"/>
  <c r="BG80" i="9"/>
  <c r="BG79" i="9"/>
  <c r="BG75" i="9"/>
  <c r="BG74" i="9"/>
  <c r="BG70" i="9"/>
  <c r="BG69" i="9"/>
  <c r="BG65" i="9"/>
  <c r="BH66" i="9" s="1"/>
  <c r="BG64" i="9"/>
  <c r="BG60" i="9"/>
  <c r="BG59" i="9"/>
  <c r="BG55" i="9"/>
  <c r="BG54" i="9"/>
  <c r="BG50" i="9"/>
  <c r="BG49" i="9"/>
  <c r="BG45" i="9"/>
  <c r="BH46" i="9" s="1"/>
  <c r="BG44" i="9"/>
  <c r="BG40" i="9"/>
  <c r="BG39" i="9"/>
  <c r="BG35" i="9"/>
  <c r="BG34" i="9"/>
  <c r="BG30" i="9"/>
  <c r="BG29" i="9"/>
  <c r="A474" i="25"/>
  <c r="K474" i="25" s="1"/>
  <c r="A473" i="25"/>
  <c r="H473" i="25" s="1"/>
  <c r="A472" i="25"/>
  <c r="H472" i="25" s="1"/>
  <c r="A471" i="25"/>
  <c r="H471" i="25" s="1"/>
  <c r="A470" i="25"/>
  <c r="A469" i="25"/>
  <c r="H469" i="25" s="1"/>
  <c r="A468" i="25"/>
  <c r="K468" i="25" s="1"/>
  <c r="A467" i="25"/>
  <c r="H467" i="25" s="1"/>
  <c r="A466" i="25"/>
  <c r="G466" i="25" s="1"/>
  <c r="A465" i="25"/>
  <c r="H465" i="25" s="1"/>
  <c r="A464" i="25"/>
  <c r="I464" i="25" s="1"/>
  <c r="A463" i="25"/>
  <c r="H463" i="25" s="1"/>
  <c r="A462" i="25"/>
  <c r="G462" i="25" s="1"/>
  <c r="A461" i="25"/>
  <c r="H461" i="25" s="1"/>
  <c r="A460" i="25"/>
  <c r="I460" i="25" s="1"/>
  <c r="A459" i="25"/>
  <c r="H459" i="25" s="1"/>
  <c r="A458" i="25"/>
  <c r="K458" i="25" s="1"/>
  <c r="A457" i="25"/>
  <c r="H457" i="25" s="1"/>
  <c r="A456" i="25"/>
  <c r="A455" i="25"/>
  <c r="H455" i="25" s="1"/>
  <c r="A454" i="25"/>
  <c r="G454" i="25" s="1"/>
  <c r="A453" i="25"/>
  <c r="H453" i="25" s="1"/>
  <c r="A452" i="25"/>
  <c r="K452" i="25" s="1"/>
  <c r="A451" i="25"/>
  <c r="K451" i="25" s="1"/>
  <c r="A450" i="25"/>
  <c r="I450" i="25" s="1"/>
  <c r="F450" i="25" l="1"/>
  <c r="K466" i="25"/>
  <c r="I451" i="25"/>
  <c r="I468" i="25"/>
  <c r="J450" i="25"/>
  <c r="I452" i="25"/>
  <c r="I454" i="25"/>
  <c r="K461" i="25"/>
  <c r="H451" i="25"/>
  <c r="G468" i="25"/>
  <c r="J457" i="25"/>
  <c r="K460" i="25"/>
  <c r="F453" i="25"/>
  <c r="F451" i="25"/>
  <c r="G452" i="25"/>
  <c r="G453" i="25"/>
  <c r="J455" i="25"/>
  <c r="F463" i="25"/>
  <c r="F469" i="25"/>
  <c r="F471" i="25"/>
  <c r="G463" i="25"/>
  <c r="I469" i="25"/>
  <c r="J473" i="25"/>
  <c r="BH31" i="9"/>
  <c r="BH41" i="9"/>
  <c r="BH76" i="9"/>
  <c r="BH111" i="9"/>
  <c r="BH121" i="9"/>
  <c r="K455" i="25"/>
  <c r="BH51" i="9"/>
  <c r="BH61" i="9"/>
  <c r="BH96" i="9"/>
  <c r="BH131" i="9"/>
  <c r="BH141" i="9"/>
  <c r="J451" i="25"/>
  <c r="K453" i="25"/>
  <c r="F455" i="25"/>
  <c r="G458" i="25"/>
  <c r="G460" i="25"/>
  <c r="F461" i="25"/>
  <c r="I462" i="25"/>
  <c r="J463" i="25"/>
  <c r="J465" i="25"/>
  <c r="J469" i="25"/>
  <c r="I471" i="25"/>
  <c r="F473" i="25"/>
  <c r="H474" i="25"/>
  <c r="BH36" i="9"/>
  <c r="BH71" i="9"/>
  <c r="BH81" i="9"/>
  <c r="BH116" i="9"/>
  <c r="BH151" i="9"/>
  <c r="G455" i="25"/>
  <c r="G461" i="25"/>
  <c r="K463" i="25"/>
  <c r="J471" i="25"/>
  <c r="I473" i="25"/>
  <c r="BH56" i="9"/>
  <c r="BH91" i="9"/>
  <c r="BH101" i="9"/>
  <c r="BH136" i="9"/>
  <c r="M484" i="25"/>
  <c r="N484" i="25" s="1"/>
  <c r="C494" i="25" s="1"/>
  <c r="L509" i="25"/>
  <c r="M481" i="25" s="1"/>
  <c r="I459" i="25"/>
  <c r="I467" i="25"/>
  <c r="J470" i="25"/>
  <c r="F470" i="25"/>
  <c r="I470" i="25"/>
  <c r="K470" i="25"/>
  <c r="H450" i="25"/>
  <c r="I453" i="25"/>
  <c r="K454" i="25"/>
  <c r="F465" i="25"/>
  <c r="K465" i="25"/>
  <c r="J466" i="25"/>
  <c r="F466" i="25"/>
  <c r="H466" i="25"/>
  <c r="J467" i="25"/>
  <c r="G472" i="25"/>
  <c r="G450" i="25"/>
  <c r="K450" i="25"/>
  <c r="J456" i="25"/>
  <c r="F456" i="25"/>
  <c r="H456" i="25"/>
  <c r="J464" i="25"/>
  <c r="F464" i="25"/>
  <c r="H464" i="25"/>
  <c r="I456" i="25"/>
  <c r="F457" i="25"/>
  <c r="K457" i="25"/>
  <c r="J458" i="25"/>
  <c r="F458" i="25"/>
  <c r="H458" i="25"/>
  <c r="J459" i="25"/>
  <c r="I461" i="25"/>
  <c r="K462" i="25"/>
  <c r="G451" i="25"/>
  <c r="J452" i="25"/>
  <c r="F452" i="25"/>
  <c r="H452" i="25"/>
  <c r="J453" i="25"/>
  <c r="I455" i="25"/>
  <c r="K456" i="25"/>
  <c r="G457" i="25"/>
  <c r="I458" i="25"/>
  <c r="F459" i="25"/>
  <c r="K459" i="25"/>
  <c r="J460" i="25"/>
  <c r="F460" i="25"/>
  <c r="H460" i="25"/>
  <c r="J461" i="25"/>
  <c r="I463" i="25"/>
  <c r="K464" i="25"/>
  <c r="G465" i="25"/>
  <c r="I466" i="25"/>
  <c r="F467" i="25"/>
  <c r="K467" i="25"/>
  <c r="J468" i="25"/>
  <c r="F468" i="25"/>
  <c r="H468" i="25"/>
  <c r="G470" i="25"/>
  <c r="J454" i="25"/>
  <c r="F454" i="25"/>
  <c r="H454" i="25"/>
  <c r="G456" i="25"/>
  <c r="I457" i="25"/>
  <c r="G459" i="25"/>
  <c r="J462" i="25"/>
  <c r="F462" i="25"/>
  <c r="H462" i="25"/>
  <c r="G464" i="25"/>
  <c r="I465" i="25"/>
  <c r="G467" i="25"/>
  <c r="H470" i="25"/>
  <c r="J472" i="25"/>
  <c r="F472" i="25"/>
  <c r="I472" i="25"/>
  <c r="K472" i="25"/>
  <c r="G469" i="25"/>
  <c r="K469" i="25"/>
  <c r="G471" i="25"/>
  <c r="K471" i="25"/>
  <c r="G473" i="25"/>
  <c r="K473" i="25"/>
  <c r="I474" i="25"/>
  <c r="F474" i="25"/>
  <c r="J474" i="25"/>
  <c r="G474" i="25"/>
  <c r="BF150" i="9"/>
  <c r="BF149" i="9"/>
  <c r="BF145" i="9"/>
  <c r="BF144" i="9"/>
  <c r="BF140" i="9"/>
  <c r="BF139" i="9"/>
  <c r="BF135" i="9"/>
  <c r="BG136" i="9" s="1"/>
  <c r="BF134" i="9"/>
  <c r="BF130" i="9"/>
  <c r="BG131" i="9" s="1"/>
  <c r="BF129" i="9"/>
  <c r="BF125" i="9"/>
  <c r="BG126" i="9" s="1"/>
  <c r="BF124" i="9"/>
  <c r="BF120" i="9"/>
  <c r="BF119" i="9"/>
  <c r="BF115" i="9"/>
  <c r="BF114" i="9"/>
  <c r="BF110" i="9"/>
  <c r="BG111" i="9" s="1"/>
  <c r="BF109" i="9"/>
  <c r="BF105" i="9"/>
  <c r="BG106" i="9" s="1"/>
  <c r="BF104" i="9"/>
  <c r="BF100" i="9"/>
  <c r="BF99" i="9"/>
  <c r="BF95" i="9"/>
  <c r="BG96" i="9" s="1"/>
  <c r="BF94" i="9"/>
  <c r="BF90" i="9"/>
  <c r="BF89" i="9"/>
  <c r="BF85" i="9"/>
  <c r="BG86" i="9" s="1"/>
  <c r="BF84" i="9"/>
  <c r="BF80" i="9"/>
  <c r="BF79" i="9"/>
  <c r="BF75" i="9"/>
  <c r="BG76" i="9" s="1"/>
  <c r="BF74" i="9"/>
  <c r="BF70" i="9"/>
  <c r="BG71" i="9" s="1"/>
  <c r="BF69" i="9"/>
  <c r="BF65" i="9"/>
  <c r="BG66" i="9" s="1"/>
  <c r="BF64" i="9"/>
  <c r="BF60" i="9"/>
  <c r="BG61" i="9" s="1"/>
  <c r="BF59" i="9"/>
  <c r="BF55" i="9"/>
  <c r="BG56" i="9" s="1"/>
  <c r="BF54" i="9"/>
  <c r="BF50" i="9"/>
  <c r="BF49" i="9"/>
  <c r="BF45" i="9"/>
  <c r="BG46" i="9" s="1"/>
  <c r="BF44" i="9"/>
  <c r="BF40" i="9"/>
  <c r="BF39" i="9"/>
  <c r="BF35" i="9"/>
  <c r="BG36" i="9" s="1"/>
  <c r="BF34" i="9"/>
  <c r="BF30" i="9"/>
  <c r="BG31" i="9" s="1"/>
  <c r="BF29" i="9"/>
  <c r="A440" i="25"/>
  <c r="K440" i="25" s="1"/>
  <c r="A439" i="25"/>
  <c r="H439" i="25" s="1"/>
  <c r="A438" i="25"/>
  <c r="H438" i="25" s="1"/>
  <c r="A437" i="25"/>
  <c r="H437" i="25" s="1"/>
  <c r="A436" i="25"/>
  <c r="A435" i="25"/>
  <c r="H435" i="25" s="1"/>
  <c r="A434" i="25"/>
  <c r="I434" i="25" s="1"/>
  <c r="A433" i="25"/>
  <c r="H433" i="25" s="1"/>
  <c r="A432" i="25"/>
  <c r="K432" i="25" s="1"/>
  <c r="A431" i="25"/>
  <c r="H431" i="25" s="1"/>
  <c r="A430" i="25"/>
  <c r="A429" i="25"/>
  <c r="H429" i="25" s="1"/>
  <c r="A428" i="25"/>
  <c r="G428" i="25" s="1"/>
  <c r="A427" i="25"/>
  <c r="H427" i="25" s="1"/>
  <c r="A426" i="25"/>
  <c r="I426" i="25" s="1"/>
  <c r="A425" i="25"/>
  <c r="H425" i="25" s="1"/>
  <c r="A424" i="25"/>
  <c r="K424" i="25" s="1"/>
  <c r="A423" i="25"/>
  <c r="H423" i="25" s="1"/>
  <c r="A422" i="25"/>
  <c r="A421" i="25"/>
  <c r="H421" i="25" s="1"/>
  <c r="A420" i="25"/>
  <c r="G420" i="25" s="1"/>
  <c r="A419" i="25"/>
  <c r="H419" i="25" s="1"/>
  <c r="A418" i="25"/>
  <c r="I418" i="25" s="1"/>
  <c r="A417" i="25"/>
  <c r="K417" i="25" s="1"/>
  <c r="A416" i="25"/>
  <c r="J416" i="25" s="1"/>
  <c r="G432" i="25" l="1"/>
  <c r="K418" i="25"/>
  <c r="J421" i="25"/>
  <c r="I417" i="25"/>
  <c r="K419" i="25"/>
  <c r="G429" i="25"/>
  <c r="G434" i="25"/>
  <c r="J435" i="25"/>
  <c r="F429" i="25"/>
  <c r="F435" i="25"/>
  <c r="J429" i="25"/>
  <c r="K434" i="25"/>
  <c r="L455" i="25"/>
  <c r="M455" i="25" s="1"/>
  <c r="N455" i="25" s="1"/>
  <c r="L451" i="25"/>
  <c r="M451" i="25" s="1"/>
  <c r="N451" i="25" s="1"/>
  <c r="L463" i="25"/>
  <c r="M463" i="25" s="1"/>
  <c r="N463" i="25" s="1"/>
  <c r="G418" i="25"/>
  <c r="F419" i="25"/>
  <c r="I420" i="25"/>
  <c r="H417" i="25"/>
  <c r="G419" i="25"/>
  <c r="J423" i="25"/>
  <c r="K426" i="25"/>
  <c r="I435" i="25"/>
  <c r="F437" i="25"/>
  <c r="K427" i="25"/>
  <c r="BG146" i="9"/>
  <c r="BG41" i="9"/>
  <c r="K421" i="25"/>
  <c r="J417" i="25"/>
  <c r="F421" i="25"/>
  <c r="G424" i="25"/>
  <c r="G426" i="25"/>
  <c r="F427" i="25"/>
  <c r="I428" i="25"/>
  <c r="J431" i="25"/>
  <c r="I437" i="25"/>
  <c r="F439" i="25"/>
  <c r="H440" i="25"/>
  <c r="BG91" i="9"/>
  <c r="BG116" i="9"/>
  <c r="F417" i="25"/>
  <c r="G421" i="25"/>
  <c r="G427" i="25"/>
  <c r="K429" i="25"/>
  <c r="J437" i="25"/>
  <c r="I439" i="25"/>
  <c r="BG141" i="9"/>
  <c r="BG51" i="9"/>
  <c r="BG121" i="9"/>
  <c r="J439" i="25"/>
  <c r="BG101" i="9"/>
  <c r="BG151" i="9"/>
  <c r="BG81" i="9"/>
  <c r="C500" i="25"/>
  <c r="C508" i="25"/>
  <c r="C489" i="25"/>
  <c r="C486" i="25"/>
  <c r="C497" i="25"/>
  <c r="C492" i="25"/>
  <c r="C485" i="25"/>
  <c r="C491" i="25"/>
  <c r="C498" i="25"/>
  <c r="C501" i="25"/>
  <c r="C490" i="25"/>
  <c r="C505" i="25"/>
  <c r="C484" i="25"/>
  <c r="C493" i="25"/>
  <c r="C504" i="25"/>
  <c r="C506" i="25"/>
  <c r="C502" i="25"/>
  <c r="C495" i="25"/>
  <c r="C487" i="25"/>
  <c r="C503" i="25"/>
  <c r="C488" i="25"/>
  <c r="C496" i="25"/>
  <c r="M509" i="25"/>
  <c r="N509" i="25" s="1"/>
  <c r="C507" i="25" s="1"/>
  <c r="L473" i="25"/>
  <c r="M473" i="25" s="1"/>
  <c r="N473" i="25" s="1"/>
  <c r="L471" i="25"/>
  <c r="M471" i="25" s="1"/>
  <c r="N471" i="25" s="1"/>
  <c r="L461" i="25"/>
  <c r="M461" i="25" s="1"/>
  <c r="N461" i="25" s="1"/>
  <c r="L453" i="25"/>
  <c r="M453" i="25" s="1"/>
  <c r="N453" i="25" s="1"/>
  <c r="J475" i="25"/>
  <c r="L469" i="25"/>
  <c r="M469" i="25" s="1"/>
  <c r="N469" i="25" s="1"/>
  <c r="I475" i="25"/>
  <c r="L462" i="25"/>
  <c r="M462" i="25" s="1"/>
  <c r="N462" i="25" s="1"/>
  <c r="L465" i="25"/>
  <c r="M465" i="25" s="1"/>
  <c r="N465" i="25" s="1"/>
  <c r="L468" i="25"/>
  <c r="M468" i="25" s="1"/>
  <c r="N468" i="25" s="1"/>
  <c r="L452" i="25"/>
  <c r="M452" i="25" s="1"/>
  <c r="N452" i="25" s="1"/>
  <c r="L458" i="25"/>
  <c r="M458" i="25" s="1"/>
  <c r="N458" i="25" s="1"/>
  <c r="K475" i="25"/>
  <c r="L466" i="25"/>
  <c r="M466" i="25" s="1"/>
  <c r="N466" i="25" s="1"/>
  <c r="F475" i="25"/>
  <c r="L457" i="25"/>
  <c r="M457" i="25" s="1"/>
  <c r="N457" i="25" s="1"/>
  <c r="H475" i="25"/>
  <c r="L474" i="25"/>
  <c r="M474" i="25" s="1"/>
  <c r="N474" i="25" s="1"/>
  <c r="L459" i="25"/>
  <c r="M459" i="25" s="1"/>
  <c r="N459" i="25" s="1"/>
  <c r="G475" i="25"/>
  <c r="L472" i="25"/>
  <c r="M472" i="25" s="1"/>
  <c r="N472" i="25" s="1"/>
  <c r="L467" i="25"/>
  <c r="M467" i="25" s="1"/>
  <c r="N467" i="25" s="1"/>
  <c r="L464" i="25"/>
  <c r="M464" i="25" s="1"/>
  <c r="N464" i="25" s="1"/>
  <c r="L454" i="25"/>
  <c r="M454" i="25" s="1"/>
  <c r="N454" i="25" s="1"/>
  <c r="L460" i="25"/>
  <c r="M460" i="25" s="1"/>
  <c r="N460" i="25" s="1"/>
  <c r="L456" i="25"/>
  <c r="M456" i="25" s="1"/>
  <c r="N456" i="25" s="1"/>
  <c r="L450" i="25"/>
  <c r="L470" i="25"/>
  <c r="M470" i="25" s="1"/>
  <c r="N470" i="25" s="1"/>
  <c r="J422" i="25"/>
  <c r="F422" i="25"/>
  <c r="H422" i="25"/>
  <c r="J430" i="25"/>
  <c r="F430" i="25"/>
  <c r="H430" i="25"/>
  <c r="I422" i="25"/>
  <c r="F423" i="25"/>
  <c r="K423" i="25"/>
  <c r="J424" i="25"/>
  <c r="F424" i="25"/>
  <c r="H424" i="25"/>
  <c r="J425" i="25"/>
  <c r="I430" i="25"/>
  <c r="F431" i="25"/>
  <c r="K431" i="25"/>
  <c r="G438" i="25"/>
  <c r="I425" i="25"/>
  <c r="I433" i="25"/>
  <c r="J436" i="25"/>
  <c r="F436" i="25"/>
  <c r="I436" i="25"/>
  <c r="K436" i="25"/>
  <c r="H416" i="25"/>
  <c r="I419" i="25"/>
  <c r="K420" i="25"/>
  <c r="I427" i="25"/>
  <c r="K428" i="25"/>
  <c r="J432" i="25"/>
  <c r="F432" i="25"/>
  <c r="H432" i="25"/>
  <c r="J433" i="25"/>
  <c r="I416" i="25"/>
  <c r="G417" i="25"/>
  <c r="J418" i="25"/>
  <c r="F418" i="25"/>
  <c r="H418" i="25"/>
  <c r="J419" i="25"/>
  <c r="I421" i="25"/>
  <c r="K422" i="25"/>
  <c r="G423" i="25"/>
  <c r="I424" i="25"/>
  <c r="F425" i="25"/>
  <c r="K425" i="25"/>
  <c r="J426" i="25"/>
  <c r="F426" i="25"/>
  <c r="H426" i="25"/>
  <c r="J427" i="25"/>
  <c r="I429" i="25"/>
  <c r="K430" i="25"/>
  <c r="G431" i="25"/>
  <c r="I432" i="25"/>
  <c r="F433" i="25"/>
  <c r="K433" i="25"/>
  <c r="J434" i="25"/>
  <c r="F434" i="25"/>
  <c r="H434" i="25"/>
  <c r="G436" i="25"/>
  <c r="G416" i="25"/>
  <c r="K416" i="25"/>
  <c r="F416" i="25"/>
  <c r="J420" i="25"/>
  <c r="F420" i="25"/>
  <c r="H420" i="25"/>
  <c r="G422" i="25"/>
  <c r="I423" i="25"/>
  <c r="G425" i="25"/>
  <c r="J428" i="25"/>
  <c r="F428" i="25"/>
  <c r="H428" i="25"/>
  <c r="G430" i="25"/>
  <c r="I431" i="25"/>
  <c r="G433" i="25"/>
  <c r="H436" i="25"/>
  <c r="J438" i="25"/>
  <c r="F438" i="25"/>
  <c r="I438" i="25"/>
  <c r="K438" i="25"/>
  <c r="G435" i="25"/>
  <c r="K435" i="25"/>
  <c r="G437" i="25"/>
  <c r="K437" i="25"/>
  <c r="G439" i="25"/>
  <c r="K439" i="25"/>
  <c r="I440" i="25"/>
  <c r="F440" i="25"/>
  <c r="J440" i="25"/>
  <c r="G440" i="25"/>
  <c r="BE150" i="9"/>
  <c r="BF151" i="9" s="1"/>
  <c r="BE149" i="9"/>
  <c r="BE145" i="9"/>
  <c r="BF146" i="9" s="1"/>
  <c r="BE144" i="9"/>
  <c r="BE140" i="9"/>
  <c r="BE139" i="9"/>
  <c r="BE135" i="9"/>
  <c r="BF136" i="9" s="1"/>
  <c r="BE134" i="9"/>
  <c r="BE130" i="9"/>
  <c r="BE129" i="9"/>
  <c r="BE125" i="9"/>
  <c r="BF126" i="9" s="1"/>
  <c r="BE124" i="9"/>
  <c r="BE120" i="9"/>
  <c r="BE119" i="9"/>
  <c r="BE115" i="9"/>
  <c r="BE114" i="9"/>
  <c r="BE110" i="9"/>
  <c r="BE109" i="9"/>
  <c r="BE105" i="9"/>
  <c r="BF106" i="9" s="1"/>
  <c r="BE104" i="9"/>
  <c r="BE100" i="9"/>
  <c r="BF101" i="9" s="1"/>
  <c r="BE99" i="9"/>
  <c r="BE95" i="9"/>
  <c r="BE94" i="9"/>
  <c r="BE90" i="9"/>
  <c r="BF91" i="9" s="1"/>
  <c r="BE89" i="9"/>
  <c r="BE85" i="9"/>
  <c r="BF86" i="9" s="1"/>
  <c r="BE84" i="9"/>
  <c r="BE80" i="9"/>
  <c r="BE79" i="9"/>
  <c r="BE75" i="9"/>
  <c r="BE74" i="9"/>
  <c r="BE70" i="9"/>
  <c r="BE69" i="9"/>
  <c r="BE65" i="9"/>
  <c r="BF66" i="9" s="1"/>
  <c r="BE64" i="9"/>
  <c r="BE60" i="9"/>
  <c r="BF61" i="9" s="1"/>
  <c r="BE59" i="9"/>
  <c r="BE55" i="9"/>
  <c r="BF56" i="9" s="1"/>
  <c r="BE54" i="9"/>
  <c r="BE50" i="9"/>
  <c r="BE49" i="9"/>
  <c r="BE45" i="9"/>
  <c r="BF46" i="9" s="1"/>
  <c r="BE44" i="9"/>
  <c r="BE40" i="9"/>
  <c r="BE39" i="9"/>
  <c r="BE35" i="9"/>
  <c r="BF36" i="9" s="1"/>
  <c r="BE34" i="9"/>
  <c r="BE30" i="9"/>
  <c r="BE29" i="9"/>
  <c r="A406" i="25"/>
  <c r="K406" i="25" s="1"/>
  <c r="A405" i="25"/>
  <c r="H405" i="25" s="1"/>
  <c r="A404" i="25"/>
  <c r="H404" i="25" s="1"/>
  <c r="A403" i="25"/>
  <c r="H403" i="25" s="1"/>
  <c r="A402" i="25"/>
  <c r="K402" i="25" s="1"/>
  <c r="A401" i="25"/>
  <c r="H401" i="25" s="1"/>
  <c r="A400" i="25"/>
  <c r="I400" i="25" s="1"/>
  <c r="A399" i="25"/>
  <c r="H399" i="25" s="1"/>
  <c r="A398" i="25"/>
  <c r="G398" i="25" s="1"/>
  <c r="A397" i="25"/>
  <c r="H397" i="25" s="1"/>
  <c r="A396" i="25"/>
  <c r="K396" i="25" s="1"/>
  <c r="A395" i="25"/>
  <c r="H395" i="25" s="1"/>
  <c r="A394" i="25"/>
  <c r="K394" i="25" s="1"/>
  <c r="A393" i="25"/>
  <c r="H393" i="25" s="1"/>
  <c r="A392" i="25"/>
  <c r="A391" i="25"/>
  <c r="H391" i="25" s="1"/>
  <c r="A390" i="25"/>
  <c r="G390" i="25" s="1"/>
  <c r="A389" i="25"/>
  <c r="H389" i="25" s="1"/>
  <c r="A388" i="25"/>
  <c r="G388" i="25" s="1"/>
  <c r="A387" i="25"/>
  <c r="H387" i="25" s="1"/>
  <c r="A386" i="25"/>
  <c r="K386" i="25" s="1"/>
  <c r="A385" i="25"/>
  <c r="H385" i="25" s="1"/>
  <c r="A384" i="25"/>
  <c r="G384" i="25" s="1"/>
  <c r="A383" i="25"/>
  <c r="I383" i="25" s="1"/>
  <c r="A382" i="25"/>
  <c r="K382" i="25" s="1"/>
  <c r="H382" i="25" l="1"/>
  <c r="I388" i="25"/>
  <c r="F403" i="25"/>
  <c r="F383" i="25"/>
  <c r="G389" i="25"/>
  <c r="L429" i="25"/>
  <c r="M429" i="25" s="1"/>
  <c r="N429" i="25" s="1"/>
  <c r="L417" i="25"/>
  <c r="M417" i="25" s="1"/>
  <c r="N417" i="25" s="1"/>
  <c r="J403" i="25"/>
  <c r="J383" i="25"/>
  <c r="G386" i="25"/>
  <c r="G399" i="25"/>
  <c r="L421" i="25"/>
  <c r="M421" i="25" s="1"/>
  <c r="N421" i="25" s="1"/>
  <c r="I382" i="25"/>
  <c r="G387" i="25"/>
  <c r="K388" i="25"/>
  <c r="K389" i="25"/>
  <c r="F391" i="25"/>
  <c r="G394" i="25"/>
  <c r="G396" i="25"/>
  <c r="F397" i="25"/>
  <c r="I398" i="25"/>
  <c r="J399" i="25"/>
  <c r="J401" i="25"/>
  <c r="J405" i="25"/>
  <c r="BF31" i="9"/>
  <c r="G391" i="25"/>
  <c r="K399" i="25"/>
  <c r="BF141" i="9"/>
  <c r="BF121" i="9"/>
  <c r="BF41" i="9"/>
  <c r="J382" i="25"/>
  <c r="I396" i="25"/>
  <c r="G397" i="25"/>
  <c r="F382" i="25"/>
  <c r="F389" i="25"/>
  <c r="I390" i="25"/>
  <c r="J391" i="25"/>
  <c r="J393" i="25"/>
  <c r="K397" i="25"/>
  <c r="F399" i="25"/>
  <c r="G402" i="25"/>
  <c r="I403" i="25"/>
  <c r="F405" i="25"/>
  <c r="H406" i="25"/>
  <c r="BF111" i="9"/>
  <c r="BF131" i="9"/>
  <c r="BF51" i="9"/>
  <c r="BF96" i="9"/>
  <c r="K391" i="25"/>
  <c r="I405" i="25"/>
  <c r="BF71" i="9"/>
  <c r="BF76" i="9"/>
  <c r="BF81" i="9"/>
  <c r="BF116" i="9"/>
  <c r="L427" i="25"/>
  <c r="M427" i="25" s="1"/>
  <c r="N427" i="25" s="1"/>
  <c r="L475" i="25"/>
  <c r="M475" i="25" s="1"/>
  <c r="N475" i="25" s="1"/>
  <c r="C473" i="25" s="1"/>
  <c r="M450" i="25"/>
  <c r="N450" i="25" s="1"/>
  <c r="C457" i="25" s="1"/>
  <c r="L439" i="25"/>
  <c r="M439" i="25" s="1"/>
  <c r="N439" i="25" s="1"/>
  <c r="L435" i="25"/>
  <c r="M435" i="25" s="1"/>
  <c r="N435" i="25" s="1"/>
  <c r="L437" i="25"/>
  <c r="M437" i="25" s="1"/>
  <c r="N437" i="25" s="1"/>
  <c r="J441" i="25"/>
  <c r="L419" i="25"/>
  <c r="M419" i="25" s="1"/>
  <c r="N419" i="25" s="1"/>
  <c r="L420" i="25"/>
  <c r="M420" i="25" s="1"/>
  <c r="N420" i="25" s="1"/>
  <c r="K441" i="25"/>
  <c r="L433" i="25"/>
  <c r="M433" i="25" s="1"/>
  <c r="N433" i="25" s="1"/>
  <c r="I441" i="25"/>
  <c r="L436" i="25"/>
  <c r="M436" i="25" s="1"/>
  <c r="N436" i="25" s="1"/>
  <c r="L422" i="25"/>
  <c r="M422" i="25" s="1"/>
  <c r="N422" i="25" s="1"/>
  <c r="F441" i="25"/>
  <c r="L416" i="25"/>
  <c r="M416" i="25" s="1"/>
  <c r="N416" i="25" s="1"/>
  <c r="L438" i="25"/>
  <c r="M438" i="25" s="1"/>
  <c r="N438" i="25" s="1"/>
  <c r="L428" i="25"/>
  <c r="M428" i="25" s="1"/>
  <c r="N428" i="25" s="1"/>
  <c r="G441" i="25"/>
  <c r="L434" i="25"/>
  <c r="M434" i="25" s="1"/>
  <c r="N434" i="25" s="1"/>
  <c r="L418" i="25"/>
  <c r="M418" i="25" s="1"/>
  <c r="N418" i="25" s="1"/>
  <c r="H441" i="25"/>
  <c r="L423" i="25"/>
  <c r="M423" i="25" s="1"/>
  <c r="N423" i="25" s="1"/>
  <c r="L430" i="25"/>
  <c r="M430" i="25" s="1"/>
  <c r="N430" i="25" s="1"/>
  <c r="L440" i="25"/>
  <c r="M440" i="25" s="1"/>
  <c r="N440" i="25" s="1"/>
  <c r="L426" i="25"/>
  <c r="M426" i="25" s="1"/>
  <c r="N426" i="25" s="1"/>
  <c r="L425" i="25"/>
  <c r="M425" i="25" s="1"/>
  <c r="N425" i="25" s="1"/>
  <c r="L431" i="25"/>
  <c r="M431" i="25" s="1"/>
  <c r="N431" i="25" s="1"/>
  <c r="L424" i="25"/>
  <c r="M424" i="25" s="1"/>
  <c r="N424" i="25" s="1"/>
  <c r="L432" i="25"/>
  <c r="M432" i="25" s="1"/>
  <c r="N432" i="25" s="1"/>
  <c r="I385" i="25"/>
  <c r="J392" i="25"/>
  <c r="F392" i="25"/>
  <c r="I395" i="25"/>
  <c r="H383" i="25"/>
  <c r="J386" i="25"/>
  <c r="F386" i="25"/>
  <c r="H386" i="25"/>
  <c r="J387" i="25"/>
  <c r="I389" i="25"/>
  <c r="K390" i="25"/>
  <c r="I397" i="25"/>
  <c r="K398" i="25"/>
  <c r="F401" i="25"/>
  <c r="K401" i="25"/>
  <c r="J402" i="25"/>
  <c r="F402" i="25"/>
  <c r="H402" i="25"/>
  <c r="G404" i="25"/>
  <c r="G383" i="25"/>
  <c r="K383" i="25"/>
  <c r="J384" i="25"/>
  <c r="F384" i="25"/>
  <c r="H384" i="25"/>
  <c r="J385" i="25"/>
  <c r="I387" i="25"/>
  <c r="H392" i="25"/>
  <c r="J400" i="25"/>
  <c r="F400" i="25"/>
  <c r="H400" i="25"/>
  <c r="I384" i="25"/>
  <c r="F385" i="25"/>
  <c r="K385" i="25"/>
  <c r="I392" i="25"/>
  <c r="F393" i="25"/>
  <c r="K393" i="25"/>
  <c r="J394" i="25"/>
  <c r="F394" i="25"/>
  <c r="H394" i="25"/>
  <c r="J395" i="25"/>
  <c r="G382" i="25"/>
  <c r="K384" i="25"/>
  <c r="G385" i="25"/>
  <c r="I386" i="25"/>
  <c r="F387" i="25"/>
  <c r="K387" i="25"/>
  <c r="J388" i="25"/>
  <c r="F388" i="25"/>
  <c r="H388" i="25"/>
  <c r="J389" i="25"/>
  <c r="I391" i="25"/>
  <c r="K392" i="25"/>
  <c r="G393" i="25"/>
  <c r="I394" i="25"/>
  <c r="F395" i="25"/>
  <c r="K395" i="25"/>
  <c r="J396" i="25"/>
  <c r="F396" i="25"/>
  <c r="H396" i="25"/>
  <c r="J397" i="25"/>
  <c r="I399" i="25"/>
  <c r="K400" i="25"/>
  <c r="G401" i="25"/>
  <c r="I402" i="25"/>
  <c r="J390" i="25"/>
  <c r="F390" i="25"/>
  <c r="H390" i="25"/>
  <c r="G392" i="25"/>
  <c r="I393" i="25"/>
  <c r="G395" i="25"/>
  <c r="J398" i="25"/>
  <c r="F398" i="25"/>
  <c r="H398" i="25"/>
  <c r="G400" i="25"/>
  <c r="I401" i="25"/>
  <c r="J404" i="25"/>
  <c r="F404" i="25"/>
  <c r="I404" i="25"/>
  <c r="K404" i="25"/>
  <c r="G403" i="25"/>
  <c r="K403" i="25"/>
  <c r="G405" i="25"/>
  <c r="K405" i="25"/>
  <c r="I406" i="25"/>
  <c r="F406" i="25"/>
  <c r="J406" i="25"/>
  <c r="G406" i="25"/>
  <c r="BD125" i="9"/>
  <c r="BE126" i="9" s="1"/>
  <c r="BC125" i="9"/>
  <c r="BB125" i="9"/>
  <c r="BA125" i="9"/>
  <c r="AZ125" i="9"/>
  <c r="AY125" i="9"/>
  <c r="AX125" i="9"/>
  <c r="AW125" i="9"/>
  <c r="AV125" i="9"/>
  <c r="AU125" i="9"/>
  <c r="AT125" i="9"/>
  <c r="AS125" i="9"/>
  <c r="AR125" i="9"/>
  <c r="AQ125" i="9"/>
  <c r="AP125" i="9"/>
  <c r="AO125" i="9"/>
  <c r="AN125" i="9"/>
  <c r="AM125" i="9"/>
  <c r="AL125" i="9"/>
  <c r="AK125" i="9"/>
  <c r="AJ125" i="9"/>
  <c r="AI125" i="9"/>
  <c r="AH125" i="9"/>
  <c r="AG125" i="9"/>
  <c r="AF125" i="9"/>
  <c r="AE125" i="9"/>
  <c r="AD125" i="9"/>
  <c r="AC125" i="9"/>
  <c r="AB125" i="9"/>
  <c r="AA125" i="9"/>
  <c r="Z125" i="9"/>
  <c r="Y125" i="9"/>
  <c r="X125" i="9"/>
  <c r="W125" i="9"/>
  <c r="V125" i="9"/>
  <c r="U125" i="9"/>
  <c r="T125" i="9"/>
  <c r="S125" i="9"/>
  <c r="R125" i="9"/>
  <c r="Q125" i="9"/>
  <c r="P125" i="9"/>
  <c r="O125" i="9"/>
  <c r="N125" i="9"/>
  <c r="M125" i="9"/>
  <c r="L125" i="9"/>
  <c r="K125" i="9"/>
  <c r="J125" i="9"/>
  <c r="I125" i="9"/>
  <c r="H125" i="9"/>
  <c r="G125" i="9"/>
  <c r="F125" i="9"/>
  <c r="E125" i="9"/>
  <c r="D125" i="9"/>
  <c r="C125" i="9"/>
  <c r="L391" i="25" l="1"/>
  <c r="M391" i="25" s="1"/>
  <c r="N391" i="25" s="1"/>
  <c r="L399" i="25"/>
  <c r="M399" i="25" s="1"/>
  <c r="N399" i="25" s="1"/>
  <c r="L397" i="25"/>
  <c r="M397" i="25" s="1"/>
  <c r="N397" i="25" s="1"/>
  <c r="M447" i="25"/>
  <c r="C454" i="25"/>
  <c r="C466" i="25"/>
  <c r="C465" i="25"/>
  <c r="C474" i="25"/>
  <c r="C450" i="25"/>
  <c r="C471" i="25"/>
  <c r="C469" i="25"/>
  <c r="C451" i="25"/>
  <c r="C455" i="25"/>
  <c r="C463" i="25"/>
  <c r="C453" i="25"/>
  <c r="C461" i="25"/>
  <c r="C452" i="25"/>
  <c r="C456" i="25"/>
  <c r="C468" i="25"/>
  <c r="C464" i="25"/>
  <c r="C459" i="25"/>
  <c r="C472" i="25"/>
  <c r="C458" i="25"/>
  <c r="C470" i="25"/>
  <c r="C462" i="25"/>
  <c r="C460" i="25"/>
  <c r="C467" i="25"/>
  <c r="C426" i="25"/>
  <c r="C433" i="25"/>
  <c r="C423" i="25"/>
  <c r="C438" i="25"/>
  <c r="C422" i="25"/>
  <c r="C432" i="25"/>
  <c r="C436" i="25"/>
  <c r="C434" i="25"/>
  <c r="C425" i="25"/>
  <c r="C424" i="25"/>
  <c r="C440" i="25"/>
  <c r="C428" i="25"/>
  <c r="C416" i="25"/>
  <c r="C427" i="25"/>
  <c r="C417" i="25"/>
  <c r="C431" i="25"/>
  <c r="C430" i="25"/>
  <c r="C419" i="25"/>
  <c r="C421" i="25"/>
  <c r="C429" i="25"/>
  <c r="C435" i="25"/>
  <c r="C418" i="25"/>
  <c r="L441" i="25"/>
  <c r="M441" i="25" s="1"/>
  <c r="N441" i="25" s="1"/>
  <c r="C439" i="25" s="1"/>
  <c r="C420" i="25"/>
  <c r="C437" i="25"/>
  <c r="L383" i="25"/>
  <c r="M383" i="25" s="1"/>
  <c r="N383" i="25" s="1"/>
  <c r="I407" i="25"/>
  <c r="H407" i="25"/>
  <c r="L405" i="25"/>
  <c r="M405" i="25" s="1"/>
  <c r="N405" i="25" s="1"/>
  <c r="L389" i="25"/>
  <c r="M389" i="25" s="1"/>
  <c r="N389" i="25" s="1"/>
  <c r="J407" i="25"/>
  <c r="K407" i="25"/>
  <c r="L403" i="25"/>
  <c r="M403" i="25" s="1"/>
  <c r="N403" i="25" s="1"/>
  <c r="L390" i="25"/>
  <c r="M390" i="25" s="1"/>
  <c r="N390" i="25" s="1"/>
  <c r="L385" i="25"/>
  <c r="M385" i="25" s="1"/>
  <c r="N385" i="25" s="1"/>
  <c r="L384" i="25"/>
  <c r="M384" i="25" s="1"/>
  <c r="N384" i="25" s="1"/>
  <c r="L401" i="25"/>
  <c r="M401" i="25" s="1"/>
  <c r="N401" i="25" s="1"/>
  <c r="L392" i="25"/>
  <c r="M392" i="25" s="1"/>
  <c r="N392" i="25" s="1"/>
  <c r="L404" i="25"/>
  <c r="M404" i="25" s="1"/>
  <c r="N404" i="25" s="1"/>
  <c r="L398" i="25"/>
  <c r="M398" i="25" s="1"/>
  <c r="N398" i="25" s="1"/>
  <c r="L395" i="25"/>
  <c r="M395" i="25" s="1"/>
  <c r="N395" i="25" s="1"/>
  <c r="L393" i="25"/>
  <c r="M393" i="25" s="1"/>
  <c r="N393" i="25" s="1"/>
  <c r="L400" i="25"/>
  <c r="M400" i="25" s="1"/>
  <c r="N400" i="25" s="1"/>
  <c r="L402" i="25"/>
  <c r="M402" i="25" s="1"/>
  <c r="N402" i="25" s="1"/>
  <c r="L388" i="25"/>
  <c r="M388" i="25" s="1"/>
  <c r="N388" i="25" s="1"/>
  <c r="L396" i="25"/>
  <c r="M396" i="25" s="1"/>
  <c r="N396" i="25" s="1"/>
  <c r="L394" i="25"/>
  <c r="M394" i="25" s="1"/>
  <c r="N394" i="25" s="1"/>
  <c r="F407" i="25"/>
  <c r="L406" i="25"/>
  <c r="M406" i="25" s="1"/>
  <c r="N406" i="25" s="1"/>
  <c r="L387" i="25"/>
  <c r="M387" i="25" s="1"/>
  <c r="N387" i="25" s="1"/>
  <c r="G407" i="25"/>
  <c r="L382" i="25"/>
  <c r="L386" i="25"/>
  <c r="M386" i="25" s="1"/>
  <c r="N386" i="25" s="1"/>
  <c r="BD150" i="9"/>
  <c r="BD149" i="9"/>
  <c r="BD145" i="9"/>
  <c r="BE146" i="9" s="1"/>
  <c r="BD144" i="9"/>
  <c r="BD140" i="9"/>
  <c r="BD139" i="9"/>
  <c r="BD135" i="9"/>
  <c r="BD134" i="9"/>
  <c r="BD130" i="9"/>
  <c r="BD129" i="9"/>
  <c r="BD126" i="9"/>
  <c r="BD124" i="9"/>
  <c r="BD120" i="9"/>
  <c r="BD119" i="9"/>
  <c r="BD115" i="9"/>
  <c r="BD114" i="9"/>
  <c r="BD110" i="9"/>
  <c r="BD109" i="9"/>
  <c r="BD105" i="9"/>
  <c r="BE106" i="9" s="1"/>
  <c r="BD104" i="9"/>
  <c r="BD100" i="9"/>
  <c r="BD99" i="9"/>
  <c r="BD95" i="9"/>
  <c r="BD94" i="9"/>
  <c r="BD90" i="9"/>
  <c r="BD89" i="9"/>
  <c r="BD85" i="9"/>
  <c r="BE86" i="9" s="1"/>
  <c r="BD84" i="9"/>
  <c r="BD80" i="9"/>
  <c r="BD79" i="9"/>
  <c r="BD75" i="9"/>
  <c r="BD74" i="9"/>
  <c r="BD70" i="9"/>
  <c r="BD69" i="9"/>
  <c r="BD65" i="9"/>
  <c r="BE66" i="9" s="1"/>
  <c r="BD64" i="9"/>
  <c r="BD60" i="9"/>
  <c r="BD59" i="9"/>
  <c r="BD55" i="9"/>
  <c r="BD54" i="9"/>
  <c r="BD50" i="9"/>
  <c r="BD49" i="9"/>
  <c r="BD45" i="9"/>
  <c r="BE46" i="9" s="1"/>
  <c r="BD44" i="9"/>
  <c r="BD40" i="9"/>
  <c r="BD39" i="9"/>
  <c r="BD35" i="9"/>
  <c r="BD34" i="9"/>
  <c r="BD30" i="9"/>
  <c r="BD29" i="9"/>
  <c r="A372" i="25"/>
  <c r="K372" i="25" s="1"/>
  <c r="A371" i="25"/>
  <c r="H371" i="25" s="1"/>
  <c r="A370" i="25"/>
  <c r="A369" i="25"/>
  <c r="K369" i="25" s="1"/>
  <c r="A368" i="25"/>
  <c r="G368" i="25" s="1"/>
  <c r="A367" i="25"/>
  <c r="K367" i="25" s="1"/>
  <c r="A366" i="25"/>
  <c r="H366" i="25" s="1"/>
  <c r="A365" i="25"/>
  <c r="H365" i="25" s="1"/>
  <c r="A364" i="25"/>
  <c r="H364" i="25" s="1"/>
  <c r="A363" i="25"/>
  <c r="G363" i="25" s="1"/>
  <c r="A362" i="25"/>
  <c r="H362" i="25" s="1"/>
  <c r="A361" i="25"/>
  <c r="I361" i="25" s="1"/>
  <c r="A360" i="25"/>
  <c r="G360" i="25" s="1"/>
  <c r="A359" i="25"/>
  <c r="K359" i="25" s="1"/>
  <c r="A358" i="25"/>
  <c r="J358" i="25" s="1"/>
  <c r="A357" i="25"/>
  <c r="G357" i="25" s="1"/>
  <c r="A356" i="25"/>
  <c r="H356" i="25" s="1"/>
  <c r="A355" i="25"/>
  <c r="H355" i="25" s="1"/>
  <c r="A354" i="25"/>
  <c r="H354" i="25" s="1"/>
  <c r="A353" i="25"/>
  <c r="G353" i="25" s="1"/>
  <c r="A352" i="25"/>
  <c r="I352" i="25" s="1"/>
  <c r="A351" i="25"/>
  <c r="K351" i="25" s="1"/>
  <c r="A350" i="25"/>
  <c r="J350" i="25" s="1"/>
  <c r="A349" i="25"/>
  <c r="H349" i="25" s="1"/>
  <c r="A348" i="25"/>
  <c r="H348" i="25" s="1"/>
  <c r="G359" i="25" l="1"/>
  <c r="J364" i="25"/>
  <c r="K353" i="25"/>
  <c r="J368" i="25"/>
  <c r="G364" i="25"/>
  <c r="H367" i="25"/>
  <c r="G352" i="25"/>
  <c r="K354" i="25"/>
  <c r="F364" i="25"/>
  <c r="I367" i="25"/>
  <c r="J348" i="25"/>
  <c r="I353" i="25"/>
  <c r="G354" i="25"/>
  <c r="I355" i="25"/>
  <c r="J356" i="25"/>
  <c r="H357" i="25"/>
  <c r="I360" i="25"/>
  <c r="K361" i="25"/>
  <c r="K362" i="25"/>
  <c r="I369" i="25"/>
  <c r="I371" i="25"/>
  <c r="BE56" i="9"/>
  <c r="BE91" i="9"/>
  <c r="BE101" i="9"/>
  <c r="J371" i="25"/>
  <c r="BE31" i="9"/>
  <c r="BE41" i="9"/>
  <c r="BE76" i="9"/>
  <c r="BE111" i="9"/>
  <c r="BE121" i="9"/>
  <c r="BE131" i="9"/>
  <c r="BE141" i="9"/>
  <c r="K356" i="25"/>
  <c r="F348" i="25"/>
  <c r="G349" i="25"/>
  <c r="G351" i="25"/>
  <c r="BE51" i="9"/>
  <c r="BE61" i="9"/>
  <c r="BE96" i="9"/>
  <c r="BE151" i="9"/>
  <c r="F356" i="25"/>
  <c r="I358" i="25"/>
  <c r="G361" i="25"/>
  <c r="F362" i="25"/>
  <c r="I363" i="25"/>
  <c r="I348" i="25"/>
  <c r="F354" i="25"/>
  <c r="G356" i="25"/>
  <c r="G362" i="25"/>
  <c r="K364" i="25"/>
  <c r="J366" i="25"/>
  <c r="H369" i="25"/>
  <c r="F371" i="25"/>
  <c r="H372" i="25"/>
  <c r="BE36" i="9"/>
  <c r="BE71" i="9"/>
  <c r="BE81" i="9"/>
  <c r="BE116" i="9"/>
  <c r="BE136" i="9"/>
  <c r="M413" i="25"/>
  <c r="L407" i="25"/>
  <c r="M379" i="25" s="1"/>
  <c r="M382" i="25"/>
  <c r="N382" i="25" s="1"/>
  <c r="C393" i="25" s="1"/>
  <c r="J349" i="25"/>
  <c r="K349" i="25"/>
  <c r="F349" i="25"/>
  <c r="I349" i="25"/>
  <c r="I350" i="25"/>
  <c r="J355" i="25"/>
  <c r="F355" i="25"/>
  <c r="G355" i="25"/>
  <c r="K355" i="25"/>
  <c r="J357" i="25"/>
  <c r="F357" i="25"/>
  <c r="K357" i="25"/>
  <c r="I357" i="25"/>
  <c r="J365" i="25"/>
  <c r="F365" i="25"/>
  <c r="G365" i="25"/>
  <c r="K365" i="25"/>
  <c r="I365" i="25"/>
  <c r="H350" i="25"/>
  <c r="G350" i="25"/>
  <c r="K350" i="25"/>
  <c r="F350" i="25"/>
  <c r="H352" i="25"/>
  <c r="K352" i="25"/>
  <c r="F352" i="25"/>
  <c r="J352" i="25"/>
  <c r="H358" i="25"/>
  <c r="G358" i="25"/>
  <c r="K358" i="25"/>
  <c r="F358" i="25"/>
  <c r="H360" i="25"/>
  <c r="K360" i="25"/>
  <c r="F360" i="25"/>
  <c r="J360" i="25"/>
  <c r="I370" i="25"/>
  <c r="H370" i="25"/>
  <c r="K370" i="25"/>
  <c r="J351" i="25"/>
  <c r="F351" i="25"/>
  <c r="H351" i="25"/>
  <c r="I354" i="25"/>
  <c r="F366" i="25"/>
  <c r="K366" i="25"/>
  <c r="I368" i="25"/>
  <c r="H368" i="25"/>
  <c r="K368" i="25"/>
  <c r="F370" i="25"/>
  <c r="G348" i="25"/>
  <c r="K348" i="25"/>
  <c r="J359" i="25"/>
  <c r="F359" i="25"/>
  <c r="H359" i="25"/>
  <c r="I362" i="25"/>
  <c r="K363" i="25"/>
  <c r="I351" i="25"/>
  <c r="J353" i="25"/>
  <c r="F353" i="25"/>
  <c r="H353" i="25"/>
  <c r="J354" i="25"/>
  <c r="I356" i="25"/>
  <c r="I359" i="25"/>
  <c r="J361" i="25"/>
  <c r="F361" i="25"/>
  <c r="H361" i="25"/>
  <c r="J362" i="25"/>
  <c r="I364" i="25"/>
  <c r="G366" i="25"/>
  <c r="F368" i="25"/>
  <c r="G370" i="25"/>
  <c r="J363" i="25"/>
  <c r="F363" i="25"/>
  <c r="H363" i="25"/>
  <c r="I366" i="25"/>
  <c r="J370" i="25"/>
  <c r="F367" i="25"/>
  <c r="J367" i="25"/>
  <c r="F369" i="25"/>
  <c r="J369" i="25"/>
  <c r="G371" i="25"/>
  <c r="K371" i="25"/>
  <c r="I372" i="25"/>
  <c r="G367" i="25"/>
  <c r="G369" i="25"/>
  <c r="F372" i="25"/>
  <c r="J372" i="25"/>
  <c r="G372" i="25"/>
  <c r="BC150" i="9"/>
  <c r="BC149" i="9"/>
  <c r="BC145" i="9"/>
  <c r="BD146" i="9" s="1"/>
  <c r="BC144" i="9"/>
  <c r="BC140" i="9"/>
  <c r="BC139" i="9"/>
  <c r="BC135" i="9"/>
  <c r="BC134" i="9"/>
  <c r="BC130" i="9"/>
  <c r="BD131" i="9" s="1"/>
  <c r="BC129" i="9"/>
  <c r="BC126" i="9"/>
  <c r="BC124" i="9"/>
  <c r="BC120" i="9"/>
  <c r="BC119" i="9"/>
  <c r="BC115" i="9"/>
  <c r="BC114" i="9"/>
  <c r="BC110" i="9"/>
  <c r="BD111" i="9" s="1"/>
  <c r="BC109" i="9"/>
  <c r="BC105" i="9"/>
  <c r="BD106" i="9" s="1"/>
  <c r="BC104" i="9"/>
  <c r="BC100" i="9"/>
  <c r="BC99" i="9"/>
  <c r="BC95" i="9"/>
  <c r="BD96" i="9" s="1"/>
  <c r="BC94" i="9"/>
  <c r="BC90" i="9"/>
  <c r="BC89" i="9"/>
  <c r="BC85" i="9"/>
  <c r="BD86" i="9" s="1"/>
  <c r="BC84" i="9"/>
  <c r="BC80" i="9"/>
  <c r="BC79" i="9"/>
  <c r="BC75" i="9"/>
  <c r="BC74" i="9"/>
  <c r="BC70" i="9"/>
  <c r="BC69" i="9"/>
  <c r="BC65" i="9"/>
  <c r="BD66" i="9" s="1"/>
  <c r="BC64" i="9"/>
  <c r="BC60" i="9"/>
  <c r="BC59" i="9"/>
  <c r="BC55" i="9"/>
  <c r="BC54" i="9"/>
  <c r="BC50" i="9"/>
  <c r="BD51" i="9" s="1"/>
  <c r="BC49" i="9"/>
  <c r="BC45" i="9"/>
  <c r="BC44" i="9"/>
  <c r="BC40" i="9"/>
  <c r="BD41" i="9" s="1"/>
  <c r="BC39" i="9"/>
  <c r="BC35" i="9"/>
  <c r="BC34" i="9"/>
  <c r="BC30" i="9"/>
  <c r="BC29" i="9"/>
  <c r="A338" i="25"/>
  <c r="K338" i="25" s="1"/>
  <c r="A337" i="25"/>
  <c r="H337" i="25" s="1"/>
  <c r="A336" i="25"/>
  <c r="H336" i="25" s="1"/>
  <c r="A335" i="25"/>
  <c r="H335" i="25" s="1"/>
  <c r="A334" i="25"/>
  <c r="A333" i="25"/>
  <c r="H333" i="25" s="1"/>
  <c r="A332" i="25"/>
  <c r="I332" i="25" s="1"/>
  <c r="A331" i="25"/>
  <c r="H331" i="25" s="1"/>
  <c r="A330" i="25"/>
  <c r="K330" i="25" s="1"/>
  <c r="A329" i="25"/>
  <c r="H329" i="25" s="1"/>
  <c r="A328" i="25"/>
  <c r="I328" i="25" s="1"/>
  <c r="A327" i="25"/>
  <c r="H327" i="25" s="1"/>
  <c r="A326" i="25"/>
  <c r="G326" i="25" s="1"/>
  <c r="A325" i="25"/>
  <c r="H325" i="25" s="1"/>
  <c r="A324" i="25"/>
  <c r="K324" i="25" s="1"/>
  <c r="A323" i="25"/>
  <c r="H323" i="25" s="1"/>
  <c r="A322" i="25"/>
  <c r="K322" i="25" s="1"/>
  <c r="A321" i="25"/>
  <c r="H321" i="25" s="1"/>
  <c r="A320" i="25"/>
  <c r="A319" i="25"/>
  <c r="H319" i="25" s="1"/>
  <c r="A318" i="25"/>
  <c r="G318" i="25" s="1"/>
  <c r="A317" i="25"/>
  <c r="H317" i="25" s="1"/>
  <c r="A316" i="25"/>
  <c r="G316" i="25" s="1"/>
  <c r="A315" i="25"/>
  <c r="K315" i="25" s="1"/>
  <c r="A314" i="25"/>
  <c r="I314" i="25" s="1"/>
  <c r="J327" i="25" l="1"/>
  <c r="F325" i="25"/>
  <c r="F335" i="25"/>
  <c r="I337" i="25"/>
  <c r="G324" i="25"/>
  <c r="I326" i="25"/>
  <c r="J335" i="25"/>
  <c r="I316" i="25"/>
  <c r="H338" i="25"/>
  <c r="L364" i="25"/>
  <c r="M364" i="25" s="1"/>
  <c r="N364" i="25" s="1"/>
  <c r="L356" i="25"/>
  <c r="M356" i="25" s="1"/>
  <c r="N356" i="25" s="1"/>
  <c r="G317" i="25"/>
  <c r="F319" i="25"/>
  <c r="G322" i="25"/>
  <c r="J329" i="25"/>
  <c r="K332" i="25"/>
  <c r="K317" i="25"/>
  <c r="J314" i="25"/>
  <c r="K316" i="25"/>
  <c r="J333" i="25"/>
  <c r="I335" i="25"/>
  <c r="F337" i="25"/>
  <c r="J315" i="25"/>
  <c r="BD116" i="9"/>
  <c r="BD46" i="9"/>
  <c r="I324" i="25"/>
  <c r="G325" i="25"/>
  <c r="BD71" i="9"/>
  <c r="BD91" i="9"/>
  <c r="F315" i="25"/>
  <c r="G319" i="25"/>
  <c r="K327" i="25"/>
  <c r="F314" i="25"/>
  <c r="H315" i="25"/>
  <c r="F317" i="25"/>
  <c r="I318" i="25"/>
  <c r="J319" i="25"/>
  <c r="J321" i="25"/>
  <c r="K325" i="25"/>
  <c r="F327" i="25"/>
  <c r="G330" i="25"/>
  <c r="G332" i="25"/>
  <c r="F333" i="25"/>
  <c r="J337" i="25"/>
  <c r="BD136" i="9"/>
  <c r="I315" i="25"/>
  <c r="K319" i="25"/>
  <c r="G327" i="25"/>
  <c r="I333" i="25"/>
  <c r="BD81" i="9"/>
  <c r="BD36" i="9"/>
  <c r="BD151" i="9"/>
  <c r="BD61" i="9"/>
  <c r="BD141" i="9"/>
  <c r="BD121" i="9"/>
  <c r="BD76" i="9"/>
  <c r="BD31" i="9"/>
  <c r="BD101" i="9"/>
  <c r="BD56" i="9"/>
  <c r="M407" i="25"/>
  <c r="N407" i="25" s="1"/>
  <c r="C405" i="25" s="1"/>
  <c r="C398" i="25"/>
  <c r="C384" i="25"/>
  <c r="C401" i="25"/>
  <c r="C386" i="25"/>
  <c r="C382" i="25"/>
  <c r="C403" i="25"/>
  <c r="C389" i="25"/>
  <c r="C391" i="25"/>
  <c r="C399" i="25"/>
  <c r="C397" i="25"/>
  <c r="C383" i="25"/>
  <c r="C395" i="25"/>
  <c r="C396" i="25"/>
  <c r="C402" i="25"/>
  <c r="C400" i="25"/>
  <c r="C392" i="25"/>
  <c r="C387" i="25"/>
  <c r="C390" i="25"/>
  <c r="C394" i="25"/>
  <c r="C385" i="25"/>
  <c r="C406" i="25"/>
  <c r="C404" i="25"/>
  <c r="C388" i="25"/>
  <c r="L371" i="25"/>
  <c r="M371" i="25" s="1"/>
  <c r="N371" i="25" s="1"/>
  <c r="H373" i="25"/>
  <c r="L365" i="25"/>
  <c r="M365" i="25" s="1"/>
  <c r="N365" i="25" s="1"/>
  <c r="J373" i="25"/>
  <c r="I373" i="25"/>
  <c r="L362" i="25"/>
  <c r="M362" i="25" s="1"/>
  <c r="N362" i="25" s="1"/>
  <c r="K373" i="25"/>
  <c r="L354" i="25"/>
  <c r="M354" i="25" s="1"/>
  <c r="N354" i="25" s="1"/>
  <c r="L353" i="25"/>
  <c r="M353" i="25" s="1"/>
  <c r="N353" i="25" s="1"/>
  <c r="L370" i="25"/>
  <c r="M370" i="25" s="1"/>
  <c r="N370" i="25" s="1"/>
  <c r="L369" i="25"/>
  <c r="M369" i="25" s="1"/>
  <c r="N369" i="25" s="1"/>
  <c r="L372" i="25"/>
  <c r="M372" i="25" s="1"/>
  <c r="N372" i="25" s="1"/>
  <c r="L368" i="25"/>
  <c r="M368" i="25" s="1"/>
  <c r="N368" i="25" s="1"/>
  <c r="G373" i="25"/>
  <c r="L366" i="25"/>
  <c r="M366" i="25" s="1"/>
  <c r="N366" i="25" s="1"/>
  <c r="L358" i="25"/>
  <c r="M358" i="25" s="1"/>
  <c r="N358" i="25" s="1"/>
  <c r="L350" i="25"/>
  <c r="M350" i="25" s="1"/>
  <c r="N350" i="25" s="1"/>
  <c r="L357" i="25"/>
  <c r="M357" i="25" s="1"/>
  <c r="N357" i="25" s="1"/>
  <c r="L351" i="25"/>
  <c r="M351" i="25" s="1"/>
  <c r="N351" i="25" s="1"/>
  <c r="L367" i="25"/>
  <c r="M367" i="25" s="1"/>
  <c r="N367" i="25" s="1"/>
  <c r="L363" i="25"/>
  <c r="M363" i="25" s="1"/>
  <c r="N363" i="25" s="1"/>
  <c r="L361" i="25"/>
  <c r="M361" i="25" s="1"/>
  <c r="N361" i="25" s="1"/>
  <c r="L359" i="25"/>
  <c r="M359" i="25" s="1"/>
  <c r="N359" i="25" s="1"/>
  <c r="L360" i="25"/>
  <c r="M360" i="25" s="1"/>
  <c r="N360" i="25" s="1"/>
  <c r="L352" i="25"/>
  <c r="M352" i="25" s="1"/>
  <c r="N352" i="25" s="1"/>
  <c r="L348" i="25"/>
  <c r="L349" i="25"/>
  <c r="M349" i="25" s="1"/>
  <c r="N349" i="25" s="1"/>
  <c r="F373" i="25"/>
  <c r="L355" i="25"/>
  <c r="M355" i="25" s="1"/>
  <c r="N355" i="25" s="1"/>
  <c r="G314" i="25"/>
  <c r="K314" i="25"/>
  <c r="J320" i="25"/>
  <c r="F320" i="25"/>
  <c r="H320" i="25"/>
  <c r="I323" i="25"/>
  <c r="H328" i="25"/>
  <c r="J334" i="25"/>
  <c r="F334" i="25"/>
  <c r="I334" i="25"/>
  <c r="K334" i="25"/>
  <c r="H314" i="25"/>
  <c r="I317" i="25"/>
  <c r="K318" i="25"/>
  <c r="F329" i="25"/>
  <c r="K329" i="25"/>
  <c r="J330" i="25"/>
  <c r="F330" i="25"/>
  <c r="H330" i="25"/>
  <c r="J331" i="25"/>
  <c r="G336" i="25"/>
  <c r="J328" i="25"/>
  <c r="F328" i="25"/>
  <c r="I331" i="25"/>
  <c r="I320" i="25"/>
  <c r="F321" i="25"/>
  <c r="K321" i="25"/>
  <c r="J322" i="25"/>
  <c r="F322" i="25"/>
  <c r="H322" i="25"/>
  <c r="J323" i="25"/>
  <c r="I325" i="25"/>
  <c r="K326" i="25"/>
  <c r="G315" i="25"/>
  <c r="J316" i="25"/>
  <c r="F316" i="25"/>
  <c r="H316" i="25"/>
  <c r="J317" i="25"/>
  <c r="I319" i="25"/>
  <c r="K320" i="25"/>
  <c r="G321" i="25"/>
  <c r="I322" i="25"/>
  <c r="F323" i="25"/>
  <c r="K323" i="25"/>
  <c r="J324" i="25"/>
  <c r="F324" i="25"/>
  <c r="H324" i="25"/>
  <c r="J325" i="25"/>
  <c r="I327" i="25"/>
  <c r="K328" i="25"/>
  <c r="G329" i="25"/>
  <c r="I330" i="25"/>
  <c r="F331" i="25"/>
  <c r="K331" i="25"/>
  <c r="J332" i="25"/>
  <c r="F332" i="25"/>
  <c r="H332" i="25"/>
  <c r="G334" i="25"/>
  <c r="J318" i="25"/>
  <c r="F318" i="25"/>
  <c r="H318" i="25"/>
  <c r="G320" i="25"/>
  <c r="I321" i="25"/>
  <c r="G323" i="25"/>
  <c r="J326" i="25"/>
  <c r="F326" i="25"/>
  <c r="H326" i="25"/>
  <c r="G328" i="25"/>
  <c r="I329" i="25"/>
  <c r="G331" i="25"/>
  <c r="H334" i="25"/>
  <c r="J336" i="25"/>
  <c r="F336" i="25"/>
  <c r="I336" i="25"/>
  <c r="K336" i="25"/>
  <c r="G333" i="25"/>
  <c r="K333" i="25"/>
  <c r="G335" i="25"/>
  <c r="K335" i="25"/>
  <c r="G337" i="25"/>
  <c r="K337" i="25"/>
  <c r="I338" i="25"/>
  <c r="F338" i="25"/>
  <c r="J338" i="25"/>
  <c r="G338" i="25"/>
  <c r="BB150" i="9"/>
  <c r="BB149" i="9"/>
  <c r="BB145" i="9"/>
  <c r="BB144" i="9"/>
  <c r="BB140" i="9"/>
  <c r="BB139" i="9"/>
  <c r="BB135" i="9"/>
  <c r="BC136" i="9" s="1"/>
  <c r="BB134" i="9"/>
  <c r="BB130" i="9"/>
  <c r="BC131" i="9" s="1"/>
  <c r="BB129" i="9"/>
  <c r="BB126" i="9"/>
  <c r="BB124" i="9"/>
  <c r="BB120" i="9"/>
  <c r="BC121" i="9" s="1"/>
  <c r="BB119" i="9"/>
  <c r="BB115" i="9"/>
  <c r="BC116" i="9" s="1"/>
  <c r="BB114" i="9"/>
  <c r="BB110" i="9"/>
  <c r="BB109" i="9"/>
  <c r="BB105" i="9"/>
  <c r="BC106" i="9" s="1"/>
  <c r="BB104" i="9"/>
  <c r="BB100" i="9"/>
  <c r="BB99" i="9"/>
  <c r="BB95" i="9"/>
  <c r="BC96" i="9" s="1"/>
  <c r="BB94" i="9"/>
  <c r="BB90" i="9"/>
  <c r="BB89" i="9"/>
  <c r="BB85" i="9"/>
  <c r="BC86" i="9" s="1"/>
  <c r="BB84" i="9"/>
  <c r="BB80" i="9"/>
  <c r="BB79" i="9"/>
  <c r="BB75" i="9"/>
  <c r="BC76" i="9" s="1"/>
  <c r="BB74" i="9"/>
  <c r="BB70" i="9"/>
  <c r="BC71" i="9" s="1"/>
  <c r="BB69" i="9"/>
  <c r="BB65" i="9"/>
  <c r="BC66" i="9" s="1"/>
  <c r="BB64" i="9"/>
  <c r="BB60" i="9"/>
  <c r="BB59" i="9"/>
  <c r="BB55" i="9"/>
  <c r="BB54" i="9"/>
  <c r="BB50" i="9"/>
  <c r="BB49" i="9"/>
  <c r="BB45" i="9"/>
  <c r="BC46" i="9" s="1"/>
  <c r="BB44" i="9"/>
  <c r="BB40" i="9"/>
  <c r="BC41" i="9" s="1"/>
  <c r="BB39" i="9"/>
  <c r="BB35" i="9"/>
  <c r="BC36" i="9" s="1"/>
  <c r="BB34" i="9"/>
  <c r="BB30" i="9"/>
  <c r="BB29" i="9"/>
  <c r="A304" i="25"/>
  <c r="K304" i="25" s="1"/>
  <c r="A303" i="25"/>
  <c r="H303" i="25" s="1"/>
  <c r="A302" i="25"/>
  <c r="H302" i="25" s="1"/>
  <c r="A301" i="25"/>
  <c r="H301" i="25" s="1"/>
  <c r="A300" i="25"/>
  <c r="G300" i="25" s="1"/>
  <c r="A299" i="25"/>
  <c r="H299" i="25" s="1"/>
  <c r="A298" i="25"/>
  <c r="K298" i="25" s="1"/>
  <c r="A297" i="25"/>
  <c r="H297" i="25" s="1"/>
  <c r="A296" i="25"/>
  <c r="K296" i="25" s="1"/>
  <c r="A295" i="25"/>
  <c r="H295" i="25" s="1"/>
  <c r="A294" i="25"/>
  <c r="A293" i="25"/>
  <c r="H293" i="25" s="1"/>
  <c r="A292" i="25"/>
  <c r="G292" i="25" s="1"/>
  <c r="A291" i="25"/>
  <c r="H291" i="25" s="1"/>
  <c r="A290" i="25"/>
  <c r="G290" i="25" s="1"/>
  <c r="A289" i="25"/>
  <c r="H289" i="25" s="1"/>
  <c r="A288" i="25"/>
  <c r="G288" i="25" s="1"/>
  <c r="A287" i="25"/>
  <c r="H287" i="25" s="1"/>
  <c r="A286" i="25"/>
  <c r="I286" i="25" s="1"/>
  <c r="A285" i="25"/>
  <c r="H285" i="25" s="1"/>
  <c r="A284" i="25"/>
  <c r="G284" i="25" s="1"/>
  <c r="A283" i="25"/>
  <c r="H283" i="25" s="1"/>
  <c r="A282" i="25"/>
  <c r="K282" i="25" s="1"/>
  <c r="A281" i="25"/>
  <c r="K281" i="25" s="1"/>
  <c r="A280" i="25"/>
  <c r="I280" i="25" s="1"/>
  <c r="I281" i="25" l="1"/>
  <c r="J285" i="25"/>
  <c r="F299" i="25"/>
  <c r="F281" i="25"/>
  <c r="G283" i="25"/>
  <c r="F293" i="25"/>
  <c r="I303" i="25"/>
  <c r="G282" i="25"/>
  <c r="I284" i="25"/>
  <c r="L327" i="25"/>
  <c r="M327" i="25" s="1"/>
  <c r="N327" i="25" s="1"/>
  <c r="L319" i="25"/>
  <c r="M319" i="25" s="1"/>
  <c r="N319" i="25" s="1"/>
  <c r="H281" i="25"/>
  <c r="I282" i="25"/>
  <c r="K291" i="25"/>
  <c r="G293" i="25"/>
  <c r="G296" i="25"/>
  <c r="G298" i="25"/>
  <c r="G299" i="25"/>
  <c r="J303" i="25"/>
  <c r="L315" i="25"/>
  <c r="M315" i="25" s="1"/>
  <c r="N315" i="25" s="1"/>
  <c r="I298" i="25"/>
  <c r="F283" i="25"/>
  <c r="J287" i="25"/>
  <c r="K290" i="25"/>
  <c r="K300" i="25"/>
  <c r="F303" i="25"/>
  <c r="H304" i="25"/>
  <c r="G285" i="25"/>
  <c r="K288" i="25"/>
  <c r="I290" i="25"/>
  <c r="G291" i="25"/>
  <c r="K293" i="25"/>
  <c r="I301" i="25"/>
  <c r="BC141" i="9"/>
  <c r="BC56" i="9"/>
  <c r="J301" i="25"/>
  <c r="BC61" i="9"/>
  <c r="BC146" i="9"/>
  <c r="BC151" i="9"/>
  <c r="BC51" i="9"/>
  <c r="BC101" i="9"/>
  <c r="K285" i="25"/>
  <c r="J281" i="25"/>
  <c r="K283" i="25"/>
  <c r="F285" i="25"/>
  <c r="F291" i="25"/>
  <c r="I292" i="25"/>
  <c r="J293" i="25"/>
  <c r="J295" i="25"/>
  <c r="K299" i="25"/>
  <c r="F301" i="25"/>
  <c r="BC111" i="9"/>
  <c r="BC31" i="9"/>
  <c r="BC91" i="9"/>
  <c r="BC81" i="9"/>
  <c r="L373" i="25"/>
  <c r="M345" i="25" s="1"/>
  <c r="M348" i="25"/>
  <c r="N348" i="25" s="1"/>
  <c r="C360" i="25" s="1"/>
  <c r="L317" i="25"/>
  <c r="M317" i="25" s="1"/>
  <c r="N317" i="25" s="1"/>
  <c r="J339" i="25"/>
  <c r="L325" i="25"/>
  <c r="M325" i="25" s="1"/>
  <c r="N325" i="25" s="1"/>
  <c r="L335" i="25"/>
  <c r="M335" i="25" s="1"/>
  <c r="N335" i="25" s="1"/>
  <c r="L337" i="25"/>
  <c r="M337" i="25" s="1"/>
  <c r="N337" i="25" s="1"/>
  <c r="L333" i="25"/>
  <c r="M333" i="25" s="1"/>
  <c r="N333" i="25" s="1"/>
  <c r="I339" i="25"/>
  <c r="L336" i="25"/>
  <c r="M336" i="25" s="1"/>
  <c r="N336" i="25" s="1"/>
  <c r="L331" i="25"/>
  <c r="M331" i="25" s="1"/>
  <c r="N331" i="25" s="1"/>
  <c r="L321" i="25"/>
  <c r="M321" i="25" s="1"/>
  <c r="N321" i="25" s="1"/>
  <c r="L329" i="25"/>
  <c r="M329" i="25" s="1"/>
  <c r="N329" i="25" s="1"/>
  <c r="L332" i="25"/>
  <c r="M332" i="25" s="1"/>
  <c r="N332" i="25" s="1"/>
  <c r="L316" i="25"/>
  <c r="M316" i="25" s="1"/>
  <c r="N316" i="25" s="1"/>
  <c r="L322" i="25"/>
  <c r="M322" i="25" s="1"/>
  <c r="N322" i="25" s="1"/>
  <c r="L330" i="25"/>
  <c r="M330" i="25" s="1"/>
  <c r="N330" i="25" s="1"/>
  <c r="L326" i="25"/>
  <c r="M326" i="25" s="1"/>
  <c r="N326" i="25" s="1"/>
  <c r="L338" i="25"/>
  <c r="M338" i="25" s="1"/>
  <c r="N338" i="25" s="1"/>
  <c r="L323" i="25"/>
  <c r="M323" i="25" s="1"/>
  <c r="N323" i="25" s="1"/>
  <c r="L334" i="25"/>
  <c r="M334" i="25" s="1"/>
  <c r="N334" i="25" s="1"/>
  <c r="K339" i="25"/>
  <c r="L328" i="25"/>
  <c r="M328" i="25" s="1"/>
  <c r="N328" i="25" s="1"/>
  <c r="L318" i="25"/>
  <c r="M318" i="25" s="1"/>
  <c r="N318" i="25" s="1"/>
  <c r="L324" i="25"/>
  <c r="M324" i="25" s="1"/>
  <c r="N324" i="25" s="1"/>
  <c r="F339" i="25"/>
  <c r="H339" i="25"/>
  <c r="L320" i="25"/>
  <c r="M320" i="25" s="1"/>
  <c r="N320" i="25" s="1"/>
  <c r="G339" i="25"/>
  <c r="L314" i="25"/>
  <c r="F280" i="25"/>
  <c r="J280" i="25"/>
  <c r="G280" i="25"/>
  <c r="K280" i="25"/>
  <c r="I289" i="25"/>
  <c r="I297" i="25"/>
  <c r="F287" i="25"/>
  <c r="K287" i="25"/>
  <c r="J288" i="25"/>
  <c r="F288" i="25"/>
  <c r="H288" i="25"/>
  <c r="J289" i="25"/>
  <c r="I291" i="25"/>
  <c r="K292" i="25"/>
  <c r="I299" i="25"/>
  <c r="G302" i="25"/>
  <c r="J286" i="25"/>
  <c r="F286" i="25"/>
  <c r="H286" i="25"/>
  <c r="J294" i="25"/>
  <c r="F294" i="25"/>
  <c r="H294" i="25"/>
  <c r="H280" i="25"/>
  <c r="I283" i="25"/>
  <c r="K284" i="25"/>
  <c r="I294" i="25"/>
  <c r="F295" i="25"/>
  <c r="K295" i="25"/>
  <c r="J296" i="25"/>
  <c r="F296" i="25"/>
  <c r="H296" i="25"/>
  <c r="J297" i="25"/>
  <c r="G281" i="25"/>
  <c r="J282" i="25"/>
  <c r="F282" i="25"/>
  <c r="H282" i="25"/>
  <c r="J283" i="25"/>
  <c r="I285" i="25"/>
  <c r="K286" i="25"/>
  <c r="G287" i="25"/>
  <c r="I288" i="25"/>
  <c r="F289" i="25"/>
  <c r="K289" i="25"/>
  <c r="J290" i="25"/>
  <c r="F290" i="25"/>
  <c r="H290" i="25"/>
  <c r="J291" i="25"/>
  <c r="I293" i="25"/>
  <c r="K294" i="25"/>
  <c r="G295" i="25"/>
  <c r="I296" i="25"/>
  <c r="F297" i="25"/>
  <c r="K297" i="25"/>
  <c r="J298" i="25"/>
  <c r="F298" i="25"/>
  <c r="H298" i="25"/>
  <c r="J299" i="25"/>
  <c r="J284" i="25"/>
  <c r="F284" i="25"/>
  <c r="H284" i="25"/>
  <c r="G286" i="25"/>
  <c r="I287" i="25"/>
  <c r="G289" i="25"/>
  <c r="J292" i="25"/>
  <c r="F292" i="25"/>
  <c r="H292" i="25"/>
  <c r="G294" i="25"/>
  <c r="I295" i="25"/>
  <c r="G297" i="25"/>
  <c r="J300" i="25"/>
  <c r="F300" i="25"/>
  <c r="I300" i="25"/>
  <c r="H300" i="25"/>
  <c r="J302" i="25"/>
  <c r="F302" i="25"/>
  <c r="I302" i="25"/>
  <c r="K302" i="25"/>
  <c r="G301" i="25"/>
  <c r="K301" i="25"/>
  <c r="G303" i="25"/>
  <c r="K303" i="25"/>
  <c r="I304" i="25"/>
  <c r="F304" i="25"/>
  <c r="J304" i="25"/>
  <c r="G304" i="25"/>
  <c r="BA150" i="9"/>
  <c r="BA149" i="9"/>
  <c r="BA145" i="9"/>
  <c r="BB146" i="9" s="1"/>
  <c r="BA144" i="9"/>
  <c r="BA140" i="9"/>
  <c r="BB141" i="9" s="1"/>
  <c r="BA139" i="9"/>
  <c r="BA135" i="9"/>
  <c r="BA134" i="9"/>
  <c r="BA130" i="9"/>
  <c r="BA129" i="9"/>
  <c r="BA126" i="9"/>
  <c r="BA124" i="9"/>
  <c r="BA120" i="9"/>
  <c r="BB121" i="9" s="1"/>
  <c r="BA119" i="9"/>
  <c r="BA115" i="9"/>
  <c r="BA114" i="9"/>
  <c r="BA110" i="9"/>
  <c r="BB111" i="9" s="1"/>
  <c r="BA109" i="9"/>
  <c r="BA105" i="9"/>
  <c r="BB106" i="9" s="1"/>
  <c r="BA104" i="9"/>
  <c r="BA100" i="9"/>
  <c r="BA99" i="9"/>
  <c r="BA95" i="9"/>
  <c r="BA94" i="9"/>
  <c r="BA90" i="9"/>
  <c r="BB91" i="9" s="1"/>
  <c r="BA89" i="9"/>
  <c r="BA85" i="9"/>
  <c r="BB86" i="9" s="1"/>
  <c r="BA84" i="9"/>
  <c r="BA80" i="9"/>
  <c r="BA79" i="9"/>
  <c r="BA75" i="9"/>
  <c r="BB76" i="9" s="1"/>
  <c r="BA74" i="9"/>
  <c r="BA70" i="9"/>
  <c r="BB71" i="9" s="1"/>
  <c r="BA69" i="9"/>
  <c r="BA65" i="9"/>
  <c r="BB66" i="9" s="1"/>
  <c r="BA64" i="9"/>
  <c r="BA60" i="9"/>
  <c r="BB61" i="9" s="1"/>
  <c r="BA59" i="9"/>
  <c r="BA55" i="9"/>
  <c r="BB56" i="9" s="1"/>
  <c r="BA54" i="9"/>
  <c r="BA50" i="9"/>
  <c r="BB51" i="9" s="1"/>
  <c r="BA49" i="9"/>
  <c r="BA45" i="9"/>
  <c r="BB46" i="9" s="1"/>
  <c r="BA44" i="9"/>
  <c r="BA40" i="9"/>
  <c r="BA39" i="9"/>
  <c r="BA35" i="9"/>
  <c r="BB36" i="9" s="1"/>
  <c r="BA34" i="9"/>
  <c r="BA30" i="9"/>
  <c r="BA29" i="9"/>
  <c r="A270" i="25"/>
  <c r="K270" i="25" s="1"/>
  <c r="A269" i="25"/>
  <c r="J269" i="25" s="1"/>
  <c r="A268" i="25"/>
  <c r="K268" i="25" s="1"/>
  <c r="A267" i="25"/>
  <c r="J267" i="25" s="1"/>
  <c r="A266" i="25"/>
  <c r="K266" i="25" s="1"/>
  <c r="A265" i="25"/>
  <c r="I265" i="25" s="1"/>
  <c r="A264" i="25"/>
  <c r="K264" i="25" s="1"/>
  <c r="A263" i="25"/>
  <c r="I263" i="25" s="1"/>
  <c r="A262" i="25"/>
  <c r="K262" i="25" s="1"/>
  <c r="A261" i="25"/>
  <c r="I261" i="25" s="1"/>
  <c r="A260" i="25"/>
  <c r="K260" i="25" s="1"/>
  <c r="A259" i="25"/>
  <c r="I259" i="25" s="1"/>
  <c r="A258" i="25"/>
  <c r="K258" i="25" s="1"/>
  <c r="A257" i="25"/>
  <c r="I257" i="25" s="1"/>
  <c r="A256" i="25"/>
  <c r="K256" i="25" s="1"/>
  <c r="A255" i="25"/>
  <c r="I255" i="25" s="1"/>
  <c r="A254" i="25"/>
  <c r="K254" i="25" s="1"/>
  <c r="A253" i="25"/>
  <c r="I253" i="25" s="1"/>
  <c r="A252" i="25"/>
  <c r="K252" i="25" s="1"/>
  <c r="A251" i="25"/>
  <c r="A250" i="25"/>
  <c r="K250" i="25" s="1"/>
  <c r="A249" i="25"/>
  <c r="I249" i="25" s="1"/>
  <c r="A248" i="25"/>
  <c r="K248" i="25" s="1"/>
  <c r="A247" i="25"/>
  <c r="H247" i="25" s="1"/>
  <c r="A246" i="25"/>
  <c r="K246" i="25" s="1"/>
  <c r="F262" i="25" l="1"/>
  <c r="I256" i="25"/>
  <c r="I246" i="25"/>
  <c r="I264" i="25"/>
  <c r="F246" i="25"/>
  <c r="H246" i="25"/>
  <c r="H252" i="25"/>
  <c r="F258" i="25"/>
  <c r="F261" i="25"/>
  <c r="F266" i="25"/>
  <c r="F249" i="25"/>
  <c r="G249" i="25"/>
  <c r="F257" i="25"/>
  <c r="G261" i="25"/>
  <c r="F265" i="25"/>
  <c r="H270" i="25"/>
  <c r="J249" i="25"/>
  <c r="J257" i="25"/>
  <c r="J261" i="25"/>
  <c r="J265" i="25"/>
  <c r="L293" i="25"/>
  <c r="M293" i="25" s="1"/>
  <c r="N293" i="25" s="1"/>
  <c r="L281" i="25"/>
  <c r="M281" i="25" s="1"/>
  <c r="N281" i="25" s="1"/>
  <c r="L285" i="25"/>
  <c r="M285" i="25" s="1"/>
  <c r="N285" i="25" s="1"/>
  <c r="I248" i="25"/>
  <c r="G253" i="25"/>
  <c r="I252" i="25"/>
  <c r="J253" i="25"/>
  <c r="H256" i="25"/>
  <c r="G257" i="25"/>
  <c r="H264" i="25"/>
  <c r="G265" i="25"/>
  <c r="I268" i="25"/>
  <c r="F270" i="25"/>
  <c r="H248" i="25"/>
  <c r="F253" i="25"/>
  <c r="H260" i="25"/>
  <c r="F268" i="25"/>
  <c r="G269" i="25"/>
  <c r="I270" i="25"/>
  <c r="I260" i="25"/>
  <c r="H268" i="25"/>
  <c r="J254" i="25"/>
  <c r="J258" i="25"/>
  <c r="J262" i="25"/>
  <c r="J266" i="25"/>
  <c r="BB116" i="9"/>
  <c r="BB131" i="9"/>
  <c r="BB41" i="9"/>
  <c r="BB31" i="9"/>
  <c r="BB101" i="9"/>
  <c r="BB136" i="9"/>
  <c r="J250" i="25"/>
  <c r="F254" i="25"/>
  <c r="J248" i="25"/>
  <c r="H250" i="25"/>
  <c r="H254" i="25"/>
  <c r="H258" i="25"/>
  <c r="J260" i="25"/>
  <c r="H262" i="25"/>
  <c r="J264" i="25"/>
  <c r="H266" i="25"/>
  <c r="BB96" i="9"/>
  <c r="F250" i="25"/>
  <c r="J252" i="25"/>
  <c r="J256" i="25"/>
  <c r="J246" i="25"/>
  <c r="F248" i="25"/>
  <c r="K249" i="25"/>
  <c r="I250" i="25"/>
  <c r="F252" i="25"/>
  <c r="K253" i="25"/>
  <c r="I254" i="25"/>
  <c r="F256" i="25"/>
  <c r="K257" i="25"/>
  <c r="I258" i="25"/>
  <c r="F260" i="25"/>
  <c r="K261" i="25"/>
  <c r="I262" i="25"/>
  <c r="F264" i="25"/>
  <c r="K265" i="25"/>
  <c r="I266" i="25"/>
  <c r="J268" i="25"/>
  <c r="J270" i="25"/>
  <c r="BB81" i="9"/>
  <c r="BB151" i="9"/>
  <c r="C368" i="25"/>
  <c r="C369" i="25"/>
  <c r="C366" i="25"/>
  <c r="C370" i="25"/>
  <c r="C361" i="25"/>
  <c r="C359" i="25"/>
  <c r="C348" i="25"/>
  <c r="C356" i="25"/>
  <c r="C354" i="25"/>
  <c r="C362" i="25"/>
  <c r="C364" i="25"/>
  <c r="C365" i="25"/>
  <c r="C372" i="25"/>
  <c r="C349" i="25"/>
  <c r="C357" i="25"/>
  <c r="C358" i="25"/>
  <c r="C355" i="25"/>
  <c r="C352" i="25"/>
  <c r="C353" i="25"/>
  <c r="C350" i="25"/>
  <c r="M373" i="25"/>
  <c r="N373" i="25" s="1"/>
  <c r="C371" i="25" s="1"/>
  <c r="C363" i="25"/>
  <c r="C367" i="25"/>
  <c r="C351" i="25"/>
  <c r="L291" i="25"/>
  <c r="M291" i="25" s="1"/>
  <c r="N291" i="25" s="1"/>
  <c r="L339" i="25"/>
  <c r="M339" i="25" s="1"/>
  <c r="N339" i="25" s="1"/>
  <c r="M314" i="25"/>
  <c r="N314" i="25" s="1"/>
  <c r="C329" i="25" s="1"/>
  <c r="L303" i="25"/>
  <c r="M303" i="25" s="1"/>
  <c r="N303" i="25" s="1"/>
  <c r="L283" i="25"/>
  <c r="M283" i="25" s="1"/>
  <c r="N283" i="25" s="1"/>
  <c r="L299" i="25"/>
  <c r="M299" i="25" s="1"/>
  <c r="N299" i="25" s="1"/>
  <c r="L301" i="25"/>
  <c r="M301" i="25" s="1"/>
  <c r="N301" i="25" s="1"/>
  <c r="I305" i="25"/>
  <c r="L296" i="25"/>
  <c r="M296" i="25" s="1"/>
  <c r="N296" i="25" s="1"/>
  <c r="L286" i="25"/>
  <c r="M286" i="25" s="1"/>
  <c r="N286" i="25" s="1"/>
  <c r="L284" i="25"/>
  <c r="M284" i="25" s="1"/>
  <c r="N284" i="25" s="1"/>
  <c r="L290" i="25"/>
  <c r="M290" i="25" s="1"/>
  <c r="N290" i="25" s="1"/>
  <c r="L294" i="25"/>
  <c r="M294" i="25" s="1"/>
  <c r="N294" i="25" s="1"/>
  <c r="L287" i="25"/>
  <c r="M287" i="25" s="1"/>
  <c r="N287" i="25" s="1"/>
  <c r="J305" i="25"/>
  <c r="L292" i="25"/>
  <c r="M292" i="25" s="1"/>
  <c r="N292" i="25" s="1"/>
  <c r="L297" i="25"/>
  <c r="M297" i="25" s="1"/>
  <c r="N297" i="25" s="1"/>
  <c r="L288" i="25"/>
  <c r="M288" i="25" s="1"/>
  <c r="N288" i="25" s="1"/>
  <c r="F305" i="25"/>
  <c r="L280" i="25"/>
  <c r="M280" i="25" s="1"/>
  <c r="N280" i="25" s="1"/>
  <c r="L289" i="25"/>
  <c r="M289" i="25" s="1"/>
  <c r="N289" i="25" s="1"/>
  <c r="G305" i="25"/>
  <c r="L304" i="25"/>
  <c r="M304" i="25" s="1"/>
  <c r="N304" i="25" s="1"/>
  <c r="L302" i="25"/>
  <c r="M302" i="25" s="1"/>
  <c r="N302" i="25" s="1"/>
  <c r="L300" i="25"/>
  <c r="M300" i="25" s="1"/>
  <c r="N300" i="25" s="1"/>
  <c r="L298" i="25"/>
  <c r="M298" i="25" s="1"/>
  <c r="N298" i="25" s="1"/>
  <c r="L282" i="25"/>
  <c r="M282" i="25" s="1"/>
  <c r="N282" i="25" s="1"/>
  <c r="L295" i="25"/>
  <c r="M295" i="25" s="1"/>
  <c r="N295" i="25" s="1"/>
  <c r="H305" i="25"/>
  <c r="K305" i="25"/>
  <c r="I251" i="25"/>
  <c r="G251" i="25"/>
  <c r="J251" i="25"/>
  <c r="K251" i="25"/>
  <c r="F251" i="25"/>
  <c r="H251" i="25"/>
  <c r="I247" i="25"/>
  <c r="G247" i="25"/>
  <c r="K247" i="25"/>
  <c r="F247" i="25"/>
  <c r="J247" i="25"/>
  <c r="H255" i="25"/>
  <c r="J255" i="25"/>
  <c r="H259" i="25"/>
  <c r="J259" i="25"/>
  <c r="J263" i="25"/>
  <c r="I267" i="25"/>
  <c r="H267" i="25"/>
  <c r="K267" i="25"/>
  <c r="H249" i="25"/>
  <c r="H253" i="25"/>
  <c r="F255" i="25"/>
  <c r="K255" i="25"/>
  <c r="H257" i="25"/>
  <c r="F259" i="25"/>
  <c r="K259" i="25"/>
  <c r="H261" i="25"/>
  <c r="F263" i="25"/>
  <c r="K263" i="25"/>
  <c r="H265" i="25"/>
  <c r="F267" i="25"/>
  <c r="I269" i="25"/>
  <c r="H269" i="25"/>
  <c r="K269" i="25"/>
  <c r="H263" i="25"/>
  <c r="G255" i="25"/>
  <c r="G259" i="25"/>
  <c r="G263" i="25"/>
  <c r="G267" i="25"/>
  <c r="F269" i="25"/>
  <c r="G246" i="25"/>
  <c r="G248" i="25"/>
  <c r="G250" i="25"/>
  <c r="G252" i="25"/>
  <c r="G254" i="25"/>
  <c r="G256" i="25"/>
  <c r="G258" i="25"/>
  <c r="G260" i="25"/>
  <c r="G262" i="25"/>
  <c r="G264" i="25"/>
  <c r="G266" i="25"/>
  <c r="G268" i="25"/>
  <c r="G270" i="25"/>
  <c r="AZ150" i="9"/>
  <c r="BA151" i="9" s="1"/>
  <c r="AZ149" i="9"/>
  <c r="AZ145" i="9"/>
  <c r="BA146" i="9" s="1"/>
  <c r="AZ144" i="9"/>
  <c r="AZ140" i="9"/>
  <c r="AZ139" i="9"/>
  <c r="AZ135" i="9"/>
  <c r="AZ134" i="9"/>
  <c r="AZ130" i="9"/>
  <c r="BA131" i="9" s="1"/>
  <c r="AZ129" i="9"/>
  <c r="AZ124" i="9"/>
  <c r="AZ120" i="9"/>
  <c r="BA121" i="9" s="1"/>
  <c r="AZ119" i="9"/>
  <c r="AZ115" i="9"/>
  <c r="BA116" i="9" s="1"/>
  <c r="AZ114" i="9"/>
  <c r="AZ110" i="9"/>
  <c r="BA111" i="9" s="1"/>
  <c r="AZ109" i="9"/>
  <c r="AZ105" i="9"/>
  <c r="BA106" i="9" s="1"/>
  <c r="AZ104" i="9"/>
  <c r="AZ100" i="9"/>
  <c r="BA101" i="9" s="1"/>
  <c r="AZ99" i="9"/>
  <c r="AZ95" i="9"/>
  <c r="BA96" i="9" s="1"/>
  <c r="AZ94" i="9"/>
  <c r="AZ90" i="9"/>
  <c r="BA91" i="9" s="1"/>
  <c r="AZ89" i="9"/>
  <c r="AZ85" i="9"/>
  <c r="BA86" i="9" s="1"/>
  <c r="AZ84" i="9"/>
  <c r="AZ80" i="9"/>
  <c r="BA81" i="9" s="1"/>
  <c r="AZ79" i="9"/>
  <c r="AZ75" i="9"/>
  <c r="AZ74" i="9"/>
  <c r="AZ70" i="9"/>
  <c r="BA71" i="9" s="1"/>
  <c r="AZ69" i="9"/>
  <c r="AZ65" i="9"/>
  <c r="BA66" i="9" s="1"/>
  <c r="AZ64" i="9"/>
  <c r="AZ60" i="9"/>
  <c r="BA61" i="9" s="1"/>
  <c r="AZ59" i="9"/>
  <c r="AZ55" i="9"/>
  <c r="AZ54" i="9"/>
  <c r="AZ50" i="9"/>
  <c r="BA51" i="9" s="1"/>
  <c r="AZ49" i="9"/>
  <c r="AZ45" i="9"/>
  <c r="BA46" i="9" s="1"/>
  <c r="AZ44" i="9"/>
  <c r="AZ40" i="9"/>
  <c r="BA41" i="9" s="1"/>
  <c r="AZ39" i="9"/>
  <c r="AZ35" i="9"/>
  <c r="BA36" i="9" s="1"/>
  <c r="AZ34" i="9"/>
  <c r="AZ30" i="9"/>
  <c r="BA31" i="9" s="1"/>
  <c r="AZ29" i="9"/>
  <c r="A212" i="25"/>
  <c r="F212" i="25" s="1"/>
  <c r="A213" i="25"/>
  <c r="F213" i="25" s="1"/>
  <c r="A214" i="25"/>
  <c r="F214" i="25" s="1"/>
  <c r="A215" i="25"/>
  <c r="F215" i="25" s="1"/>
  <c r="A216" i="25"/>
  <c r="G216" i="25" s="1"/>
  <c r="A217" i="25"/>
  <c r="F217" i="25" s="1"/>
  <c r="A218" i="25"/>
  <c r="F218" i="25" s="1"/>
  <c r="A219" i="25"/>
  <c r="F219" i="25" s="1"/>
  <c r="A220" i="25"/>
  <c r="F220" i="25" s="1"/>
  <c r="A221" i="25"/>
  <c r="F221" i="25" s="1"/>
  <c r="A222" i="25"/>
  <c r="F222" i="25" s="1"/>
  <c r="A223" i="25"/>
  <c r="F223" i="25" s="1"/>
  <c r="A224" i="25"/>
  <c r="F224" i="25" s="1"/>
  <c r="A225" i="25"/>
  <c r="A226" i="25"/>
  <c r="F226" i="25" s="1"/>
  <c r="A227" i="25"/>
  <c r="F227" i="25" s="1"/>
  <c r="A228" i="25"/>
  <c r="F228" i="25" s="1"/>
  <c r="A229" i="25"/>
  <c r="I229" i="25" s="1"/>
  <c r="A230" i="25"/>
  <c r="F230" i="25" s="1"/>
  <c r="A231" i="25"/>
  <c r="F231" i="25" s="1"/>
  <c r="A232" i="25"/>
  <c r="F232" i="25" s="1"/>
  <c r="A233" i="25"/>
  <c r="I233" i="25" s="1"/>
  <c r="A234" i="25"/>
  <c r="G234" i="25" s="1"/>
  <c r="A235" i="25"/>
  <c r="F235" i="25" s="1"/>
  <c r="A236" i="25"/>
  <c r="F236" i="25" s="1"/>
  <c r="AY150" i="9"/>
  <c r="AY149" i="9"/>
  <c r="AY145" i="9"/>
  <c r="AZ146" i="9" s="1"/>
  <c r="AY144" i="9"/>
  <c r="AY140" i="9"/>
  <c r="AY139" i="9"/>
  <c r="AY135" i="9"/>
  <c r="AY134" i="9"/>
  <c r="AY130" i="9"/>
  <c r="AY129" i="9"/>
  <c r="AZ126" i="9"/>
  <c r="AY124" i="9"/>
  <c r="AY120" i="9"/>
  <c r="AY119" i="9"/>
  <c r="AY115" i="9"/>
  <c r="AY114" i="9"/>
  <c r="AY110" i="9"/>
  <c r="AY109" i="9"/>
  <c r="AY105" i="9"/>
  <c r="AY104" i="9"/>
  <c r="AY100" i="9"/>
  <c r="AY99" i="9"/>
  <c r="AY95" i="9"/>
  <c r="AY94" i="9"/>
  <c r="AY90" i="9"/>
  <c r="AY89" i="9"/>
  <c r="AY85" i="9"/>
  <c r="AY84" i="9"/>
  <c r="AY80" i="9"/>
  <c r="AY79" i="9"/>
  <c r="AY75" i="9"/>
  <c r="AY74" i="9"/>
  <c r="AY70" i="9"/>
  <c r="AY69" i="9"/>
  <c r="AY65" i="9"/>
  <c r="AY64" i="9"/>
  <c r="AY60" i="9"/>
  <c r="AY59" i="9"/>
  <c r="AY55" i="9"/>
  <c r="AY54" i="9"/>
  <c r="AY50" i="9"/>
  <c r="AY49" i="9"/>
  <c r="AY45" i="9"/>
  <c r="AY44" i="9"/>
  <c r="AY40" i="9"/>
  <c r="AY39" i="9"/>
  <c r="AY35" i="9"/>
  <c r="AY34" i="9"/>
  <c r="AY30" i="9"/>
  <c r="AY29" i="9"/>
  <c r="A178" i="25"/>
  <c r="G178" i="25" s="1"/>
  <c r="A179" i="25"/>
  <c r="F179" i="25" s="1"/>
  <c r="A180" i="25"/>
  <c r="F180" i="25" s="1"/>
  <c r="A181" i="25"/>
  <c r="H181" i="25" s="1"/>
  <c r="A182" i="25"/>
  <c r="F182" i="25" s="1"/>
  <c r="A183" i="25"/>
  <c r="F183" i="25" s="1"/>
  <c r="A184" i="25"/>
  <c r="F184" i="25" s="1"/>
  <c r="A185" i="25"/>
  <c r="H185" i="25" s="1"/>
  <c r="A186" i="25"/>
  <c r="A187" i="25"/>
  <c r="F187" i="25" s="1"/>
  <c r="A188" i="25"/>
  <c r="K188" i="25" s="1"/>
  <c r="A189" i="25"/>
  <c r="J189" i="25" s="1"/>
  <c r="A190" i="25"/>
  <c r="H190" i="25" s="1"/>
  <c r="A191" i="25"/>
  <c r="F191" i="25" s="1"/>
  <c r="A192" i="25"/>
  <c r="G192" i="25" s="1"/>
  <c r="A193" i="25"/>
  <c r="F193" i="25" s="1"/>
  <c r="A194" i="25"/>
  <c r="J194" i="25" s="1"/>
  <c r="A195" i="25"/>
  <c r="F195" i="25" s="1"/>
  <c r="A196" i="25"/>
  <c r="G196" i="25" s="1"/>
  <c r="A197" i="25"/>
  <c r="F197" i="25" s="1"/>
  <c r="A198" i="25"/>
  <c r="H198" i="25" s="1"/>
  <c r="A199" i="25"/>
  <c r="K199" i="25" s="1"/>
  <c r="A200" i="25"/>
  <c r="K200" i="25" s="1"/>
  <c r="A201" i="25"/>
  <c r="F201" i="25" s="1"/>
  <c r="A202" i="25"/>
  <c r="AX150" i="9"/>
  <c r="AX149" i="9"/>
  <c r="AX145" i="9"/>
  <c r="AX144" i="9"/>
  <c r="AX140" i="9"/>
  <c r="AX139" i="9"/>
  <c r="AX135" i="9"/>
  <c r="AX134" i="9"/>
  <c r="AX130" i="9"/>
  <c r="AX129" i="9"/>
  <c r="AX124" i="9"/>
  <c r="AX120" i="9"/>
  <c r="AX119" i="9"/>
  <c r="AX115" i="9"/>
  <c r="AX114" i="9"/>
  <c r="AX110" i="9"/>
  <c r="AX109" i="9"/>
  <c r="AX105" i="9"/>
  <c r="AY106" i="9" s="1"/>
  <c r="AX104" i="9"/>
  <c r="AX100" i="9"/>
  <c r="AX99" i="9"/>
  <c r="AX95" i="9"/>
  <c r="AX94" i="9"/>
  <c r="AX90" i="9"/>
  <c r="AX89" i="9"/>
  <c r="AX85" i="9"/>
  <c r="AX84" i="9"/>
  <c r="AX80" i="9"/>
  <c r="AX79" i="9"/>
  <c r="AX75" i="9"/>
  <c r="AX74" i="9"/>
  <c r="AX70" i="9"/>
  <c r="AX69" i="9"/>
  <c r="AX65" i="9"/>
  <c r="AX64" i="9"/>
  <c r="AX60" i="9"/>
  <c r="AX59" i="9"/>
  <c r="AX55" i="9"/>
  <c r="AX54" i="9"/>
  <c r="AX50" i="9"/>
  <c r="AX49" i="9"/>
  <c r="AX45" i="9"/>
  <c r="AX44" i="9"/>
  <c r="AX40" i="9"/>
  <c r="AX39" i="9"/>
  <c r="AX35" i="9"/>
  <c r="AX34" i="9"/>
  <c r="AX30" i="9"/>
  <c r="AX29" i="9"/>
  <c r="A144" i="25"/>
  <c r="J144" i="25" s="1"/>
  <c r="A145" i="25"/>
  <c r="F145" i="25" s="1"/>
  <c r="A146" i="25"/>
  <c r="A147" i="25"/>
  <c r="F147" i="25" s="1"/>
  <c r="A148" i="25"/>
  <c r="J148" i="25" s="1"/>
  <c r="A149" i="25"/>
  <c r="H149" i="25" s="1"/>
  <c r="A150" i="25"/>
  <c r="G150" i="25" s="1"/>
  <c r="A151" i="25"/>
  <c r="H151" i="25" s="1"/>
  <c r="A152" i="25"/>
  <c r="H152" i="25" s="1"/>
  <c r="A153" i="25"/>
  <c r="F153" i="25" s="1"/>
  <c r="A154" i="25"/>
  <c r="A155" i="25"/>
  <c r="A156" i="25"/>
  <c r="G156" i="25" s="1"/>
  <c r="A157" i="25"/>
  <c r="H157" i="25" s="1"/>
  <c r="A158" i="25"/>
  <c r="G158" i="25" s="1"/>
  <c r="A159" i="25"/>
  <c r="J159" i="25" s="1"/>
  <c r="A160" i="25"/>
  <c r="J160" i="25" s="1"/>
  <c r="A161" i="25"/>
  <c r="H161" i="25" s="1"/>
  <c r="A162" i="25"/>
  <c r="K162" i="25" s="1"/>
  <c r="A163" i="25"/>
  <c r="F163" i="25" s="1"/>
  <c r="A164" i="25"/>
  <c r="G164" i="25" s="1"/>
  <c r="A165" i="25"/>
  <c r="A166" i="25"/>
  <c r="K166" i="25" s="1"/>
  <c r="A167" i="25"/>
  <c r="H167" i="25" s="1"/>
  <c r="A168" i="25"/>
  <c r="G168" i="25" s="1"/>
  <c r="AW150" i="9"/>
  <c r="AW149" i="9"/>
  <c r="AW145" i="9"/>
  <c r="AW144" i="9"/>
  <c r="AW140" i="9"/>
  <c r="AW139" i="9"/>
  <c r="AW135" i="9"/>
  <c r="AW134" i="9"/>
  <c r="AW130" i="9"/>
  <c r="AW129" i="9"/>
  <c r="AW126" i="9"/>
  <c r="AW124" i="9"/>
  <c r="AW120" i="9"/>
  <c r="AW119" i="9"/>
  <c r="AW115" i="9"/>
  <c r="AW114" i="9"/>
  <c r="AW110" i="9"/>
  <c r="AW109" i="9"/>
  <c r="AW105" i="9"/>
  <c r="AW104" i="9"/>
  <c r="AW100" i="9"/>
  <c r="AW99" i="9"/>
  <c r="AW95" i="9"/>
  <c r="AW94" i="9"/>
  <c r="AW90" i="9"/>
  <c r="AW89" i="9"/>
  <c r="AW85" i="9"/>
  <c r="AW84" i="9"/>
  <c r="AW80" i="9"/>
  <c r="AW79" i="9"/>
  <c r="AW75" i="9"/>
  <c r="AW74" i="9"/>
  <c r="AW70" i="9"/>
  <c r="AW69" i="9"/>
  <c r="AW65" i="9"/>
  <c r="AW64" i="9"/>
  <c r="AW60" i="9"/>
  <c r="AW59" i="9"/>
  <c r="AW55" i="9"/>
  <c r="AW54" i="9"/>
  <c r="AW50" i="9"/>
  <c r="AW49" i="9"/>
  <c r="AW45" i="9"/>
  <c r="AW44" i="9"/>
  <c r="AW40" i="9"/>
  <c r="AW39" i="9"/>
  <c r="AW35" i="9"/>
  <c r="AW34" i="9"/>
  <c r="AW30" i="9"/>
  <c r="AW29" i="9"/>
  <c r="AC49" i="7"/>
  <c r="AD49" i="7" s="1"/>
  <c r="AE49" i="7" s="1"/>
  <c r="A110" i="25"/>
  <c r="H110" i="25" s="1"/>
  <c r="A111" i="25"/>
  <c r="K111" i="25" s="1"/>
  <c r="A112" i="25"/>
  <c r="A113" i="25"/>
  <c r="A114" i="25"/>
  <c r="F114" i="25" s="1"/>
  <c r="A115" i="25"/>
  <c r="F115" i="25" s="1"/>
  <c r="A116" i="25"/>
  <c r="I116" i="25" s="1"/>
  <c r="A117" i="25"/>
  <c r="A118" i="25"/>
  <c r="A119" i="25"/>
  <c r="K119" i="25" s="1"/>
  <c r="A120" i="25"/>
  <c r="F120" i="25" s="1"/>
  <c r="A121" i="25"/>
  <c r="K121" i="25" s="1"/>
  <c r="A122" i="25"/>
  <c r="A123" i="25"/>
  <c r="G123" i="25" s="1"/>
  <c r="A124" i="25"/>
  <c r="I124" i="25" s="1"/>
  <c r="A125" i="25"/>
  <c r="G125" i="25" s="1"/>
  <c r="A126" i="25"/>
  <c r="A127" i="25"/>
  <c r="A128" i="25"/>
  <c r="I128" i="25" s="1"/>
  <c r="A129" i="25"/>
  <c r="K129" i="25" s="1"/>
  <c r="A130" i="25"/>
  <c r="G130" i="25" s="1"/>
  <c r="A131" i="25"/>
  <c r="F131" i="25" s="1"/>
  <c r="A132" i="25"/>
  <c r="A133" i="25"/>
  <c r="G133" i="25" s="1"/>
  <c r="A134" i="25"/>
  <c r="C1" i="8"/>
  <c r="C2" i="8" s="1"/>
  <c r="B41" i="8" s="1"/>
  <c r="B12" i="8" s="1"/>
  <c r="A125" i="9"/>
  <c r="B125" i="9"/>
  <c r="C126" i="9" s="1"/>
  <c r="D75" i="17"/>
  <c r="D76" i="17"/>
  <c r="D77" i="17"/>
  <c r="D80" i="17"/>
  <c r="D81" i="17"/>
  <c r="D82" i="17"/>
  <c r="E56" i="17"/>
  <c r="E55" i="17"/>
  <c r="E54" i="17"/>
  <c r="E25" i="17" s="1"/>
  <c r="W25" i="17" s="1"/>
  <c r="E53" i="17"/>
  <c r="E52" i="17"/>
  <c r="W52" i="17" s="1"/>
  <c r="E51" i="17"/>
  <c r="E50" i="17"/>
  <c r="A76" i="25"/>
  <c r="H76" i="25" s="1"/>
  <c r="A77" i="25"/>
  <c r="A78" i="25"/>
  <c r="I78" i="25" s="1"/>
  <c r="A79" i="25"/>
  <c r="A80" i="25"/>
  <c r="J80" i="25" s="1"/>
  <c r="A81" i="25"/>
  <c r="F81" i="25" s="1"/>
  <c r="A82" i="25"/>
  <c r="F82" i="25" s="1"/>
  <c r="A83" i="25"/>
  <c r="I83" i="25" s="1"/>
  <c r="A84" i="25"/>
  <c r="A85" i="25"/>
  <c r="J85" i="25" s="1"/>
  <c r="A86" i="25"/>
  <c r="H86" i="25" s="1"/>
  <c r="A87" i="25"/>
  <c r="A88" i="25"/>
  <c r="A89" i="25"/>
  <c r="A90" i="25"/>
  <c r="H90" i="25" s="1"/>
  <c r="A91" i="25"/>
  <c r="H91" i="25" s="1"/>
  <c r="A92" i="25"/>
  <c r="A93" i="25"/>
  <c r="H93" i="25" s="1"/>
  <c r="A94" i="25"/>
  <c r="H94" i="25" s="1"/>
  <c r="A95" i="25"/>
  <c r="I95" i="25" s="1"/>
  <c r="A96" i="25"/>
  <c r="A97" i="25"/>
  <c r="A98" i="25"/>
  <c r="G98" i="25" s="1"/>
  <c r="A99" i="25"/>
  <c r="G99" i="25" s="1"/>
  <c r="A100" i="25"/>
  <c r="A42" i="25"/>
  <c r="G42" i="25" s="1"/>
  <c r="A43" i="25"/>
  <c r="I43" i="25" s="1"/>
  <c r="A44" i="25"/>
  <c r="H44" i="25" s="1"/>
  <c r="A45" i="25"/>
  <c r="J45" i="25" s="1"/>
  <c r="A46" i="25"/>
  <c r="G46" i="25" s="1"/>
  <c r="A47" i="25"/>
  <c r="A48" i="25"/>
  <c r="K48" i="25" s="1"/>
  <c r="A49" i="25"/>
  <c r="A50" i="25"/>
  <c r="A51" i="25"/>
  <c r="I51" i="25" s="1"/>
  <c r="A52" i="25"/>
  <c r="F52" i="25" s="1"/>
  <c r="A53" i="25"/>
  <c r="I53" i="25" s="1"/>
  <c r="A54" i="25"/>
  <c r="H54" i="25" s="1"/>
  <c r="A55" i="25"/>
  <c r="A56" i="25"/>
  <c r="I56" i="25" s="1"/>
  <c r="A57" i="25"/>
  <c r="J57" i="25" s="1"/>
  <c r="A58" i="25"/>
  <c r="A59" i="25"/>
  <c r="H59" i="25" s="1"/>
  <c r="A60" i="25"/>
  <c r="I60" i="25" s="1"/>
  <c r="A61" i="25"/>
  <c r="K61" i="25" s="1"/>
  <c r="A62" i="25"/>
  <c r="A63" i="25"/>
  <c r="A64" i="25"/>
  <c r="F64" i="25" s="1"/>
  <c r="A65" i="25"/>
  <c r="F65" i="25" s="1"/>
  <c r="A66" i="25"/>
  <c r="F66" i="25" s="1"/>
  <c r="BL15" i="2"/>
  <c r="BL13" i="2" s="1"/>
  <c r="BJ14" i="2"/>
  <c r="BI14" i="2"/>
  <c r="BK14" i="2"/>
  <c r="A8" i="25"/>
  <c r="A9" i="25"/>
  <c r="H9" i="25" s="1"/>
  <c r="A10" i="25"/>
  <c r="A11" i="25"/>
  <c r="J11" i="25" s="1"/>
  <c r="A12" i="25"/>
  <c r="A13" i="25"/>
  <c r="J13" i="25" s="1"/>
  <c r="A14" i="25"/>
  <c r="K14" i="25" s="1"/>
  <c r="A15" i="25"/>
  <c r="J15" i="25" s="1"/>
  <c r="A16" i="25"/>
  <c r="G16" i="25" s="1"/>
  <c r="A17" i="25"/>
  <c r="J17" i="25" s="1"/>
  <c r="A18" i="25"/>
  <c r="I18" i="25" s="1"/>
  <c r="A19" i="25"/>
  <c r="A20" i="25"/>
  <c r="I20" i="25" s="1"/>
  <c r="A21" i="25"/>
  <c r="G21" i="25" s="1"/>
  <c r="A22" i="25"/>
  <c r="J22" i="25" s="1"/>
  <c r="A23" i="25"/>
  <c r="J23" i="25" s="1"/>
  <c r="A24" i="25"/>
  <c r="K24" i="25" s="1"/>
  <c r="A25" i="25"/>
  <c r="J25" i="25" s="1"/>
  <c r="A26" i="25"/>
  <c r="F26" i="25" s="1"/>
  <c r="A27" i="25"/>
  <c r="J27" i="25" s="1"/>
  <c r="A28" i="25"/>
  <c r="A29" i="25"/>
  <c r="J29" i="25" s="1"/>
  <c r="A30" i="25"/>
  <c r="A31" i="25"/>
  <c r="A32" i="25"/>
  <c r="K32" i="25" s="1"/>
  <c r="F13" i="25"/>
  <c r="DT34" i="2"/>
  <c r="DQ34" i="2"/>
  <c r="DP34" i="2"/>
  <c r="DO34" i="2"/>
  <c r="F23" i="10"/>
  <c r="F4" i="10"/>
  <c r="F5" i="10"/>
  <c r="F6" i="10"/>
  <c r="F7" i="10"/>
  <c r="F8" i="10"/>
  <c r="F9" i="10"/>
  <c r="F10" i="10"/>
  <c r="F11" i="10"/>
  <c r="F12" i="10"/>
  <c r="F13" i="10"/>
  <c r="F14" i="10"/>
  <c r="F15" i="10"/>
  <c r="F16" i="10"/>
  <c r="F17" i="10"/>
  <c r="F18" i="10"/>
  <c r="F19" i="10"/>
  <c r="F20" i="10"/>
  <c r="F21" i="10"/>
  <c r="F22" i="10"/>
  <c r="F24" i="10"/>
  <c r="F25" i="10"/>
  <c r="F26" i="10"/>
  <c r="F27" i="10"/>
  <c r="F28" i="10"/>
  <c r="AK29" i="9"/>
  <c r="AN29" i="9"/>
  <c r="AR29" i="9"/>
  <c r="AV29" i="9"/>
  <c r="AN30" i="9"/>
  <c r="AR30" i="9"/>
  <c r="AV30" i="9"/>
  <c r="AM30" i="9"/>
  <c r="AQ30" i="9"/>
  <c r="AU30" i="9"/>
  <c r="AN34" i="9"/>
  <c r="AR34" i="9"/>
  <c r="AU34" i="9"/>
  <c r="AV34" i="9"/>
  <c r="AM35" i="9"/>
  <c r="AN35" i="9"/>
  <c r="AQ35" i="9"/>
  <c r="AR35" i="9"/>
  <c r="AU35" i="9"/>
  <c r="AV35" i="9"/>
  <c r="AL35" i="9"/>
  <c r="AP35" i="9"/>
  <c r="AT35" i="9"/>
  <c r="AM39" i="9"/>
  <c r="AN39" i="9"/>
  <c r="AQ39" i="9"/>
  <c r="AR39" i="9"/>
  <c r="AU39" i="9"/>
  <c r="AV39" i="9"/>
  <c r="AM40" i="9"/>
  <c r="AN40" i="9"/>
  <c r="AQ40" i="9"/>
  <c r="AR40" i="9"/>
  <c r="AU40" i="9"/>
  <c r="AV40" i="9"/>
  <c r="AL40" i="9"/>
  <c r="AP40" i="9"/>
  <c r="AT40" i="9"/>
  <c r="AM44" i="9"/>
  <c r="AN44" i="9"/>
  <c r="AQ44" i="9"/>
  <c r="AR44" i="9"/>
  <c r="AU44" i="9"/>
  <c r="AV44" i="9"/>
  <c r="AM45" i="9"/>
  <c r="AN45" i="9"/>
  <c r="AQ45" i="9"/>
  <c r="AR45" i="9"/>
  <c r="AU45" i="9"/>
  <c r="AV45" i="9"/>
  <c r="AL45" i="9"/>
  <c r="AP45" i="9"/>
  <c r="AT45" i="9"/>
  <c r="AM49" i="9"/>
  <c r="AN49" i="9"/>
  <c r="AO49" i="9"/>
  <c r="AQ49" i="9"/>
  <c r="AR49" i="9"/>
  <c r="AS49" i="9"/>
  <c r="AU49" i="9"/>
  <c r="AV49" i="9"/>
  <c r="AK50" i="9"/>
  <c r="AM50" i="9"/>
  <c r="AN50" i="9"/>
  <c r="AO50" i="9"/>
  <c r="AQ50" i="9"/>
  <c r="AR50" i="9"/>
  <c r="AS50" i="9"/>
  <c r="AU50" i="9"/>
  <c r="AV50" i="9"/>
  <c r="AJ50" i="9"/>
  <c r="AL50" i="9"/>
  <c r="AP50" i="9"/>
  <c r="AT50" i="9"/>
  <c r="AK54" i="9"/>
  <c r="AM54" i="9"/>
  <c r="AN54" i="9"/>
  <c r="AO54" i="9"/>
  <c r="AQ54" i="9"/>
  <c r="AR54" i="9"/>
  <c r="AS54" i="9"/>
  <c r="AU54" i="9"/>
  <c r="AV54" i="9"/>
  <c r="AK55" i="9"/>
  <c r="AM55" i="9"/>
  <c r="AN55" i="9"/>
  <c r="AO55" i="9"/>
  <c r="AQ55" i="9"/>
  <c r="AR55" i="9"/>
  <c r="AS55" i="9"/>
  <c r="AU55" i="9"/>
  <c r="AV55" i="9"/>
  <c r="AJ55" i="9"/>
  <c r="AL55" i="9"/>
  <c r="AP55" i="9"/>
  <c r="AP56" i="9" s="1"/>
  <c r="AT55" i="9"/>
  <c r="AK59" i="9"/>
  <c r="AL59" i="9"/>
  <c r="AM59" i="9"/>
  <c r="AN59" i="9"/>
  <c r="AO59" i="9"/>
  <c r="AP59" i="9"/>
  <c r="AQ59" i="9"/>
  <c r="AR59" i="9"/>
  <c r="AS59" i="9"/>
  <c r="AT59" i="9"/>
  <c r="AU59" i="9"/>
  <c r="AV59" i="9"/>
  <c r="AK60" i="9"/>
  <c r="AL60" i="9"/>
  <c r="AM60" i="9"/>
  <c r="AN60" i="9"/>
  <c r="AO60" i="9"/>
  <c r="AP60" i="9"/>
  <c r="AQ60" i="9"/>
  <c r="AR60" i="9"/>
  <c r="AS60" i="9"/>
  <c r="AT60" i="9"/>
  <c r="AU60" i="9"/>
  <c r="AV60" i="9"/>
  <c r="AJ60" i="9"/>
  <c r="AK64" i="9"/>
  <c r="AL64" i="9"/>
  <c r="AM64" i="9"/>
  <c r="AN64" i="9"/>
  <c r="AO64" i="9"/>
  <c r="AP64" i="9"/>
  <c r="AQ64" i="9"/>
  <c r="AR64" i="9"/>
  <c r="AS64" i="9"/>
  <c r="AT64" i="9"/>
  <c r="AU64" i="9"/>
  <c r="AV64" i="9"/>
  <c r="AK65" i="9"/>
  <c r="AL65" i="9"/>
  <c r="AM65" i="9"/>
  <c r="AN65" i="9"/>
  <c r="AO65" i="9"/>
  <c r="AP65" i="9"/>
  <c r="AQ65" i="9"/>
  <c r="AR65" i="9"/>
  <c r="AS65" i="9"/>
  <c r="AT65" i="9"/>
  <c r="AU65" i="9"/>
  <c r="AV65" i="9"/>
  <c r="AJ65" i="9"/>
  <c r="AK69" i="9"/>
  <c r="AL69" i="9"/>
  <c r="AM69" i="9"/>
  <c r="AN69" i="9"/>
  <c r="AO69" i="9"/>
  <c r="AP69" i="9"/>
  <c r="AQ69" i="9"/>
  <c r="AR69" i="9"/>
  <c r="AS69" i="9"/>
  <c r="AT69" i="9"/>
  <c r="AU69" i="9"/>
  <c r="AV69" i="9"/>
  <c r="AK70" i="9"/>
  <c r="AL70" i="9"/>
  <c r="AM70" i="9"/>
  <c r="AN70" i="9"/>
  <c r="AO70" i="9"/>
  <c r="AP70" i="9"/>
  <c r="AQ70" i="9"/>
  <c r="AR70" i="9"/>
  <c r="AS70" i="9"/>
  <c r="AT70" i="9"/>
  <c r="AU70" i="9"/>
  <c r="AV70" i="9"/>
  <c r="AJ70" i="9"/>
  <c r="AK74" i="9"/>
  <c r="AL74" i="9"/>
  <c r="AM74" i="9"/>
  <c r="AN74" i="9"/>
  <c r="AO74" i="9"/>
  <c r="AP74" i="9"/>
  <c r="AQ74" i="9"/>
  <c r="AR74" i="9"/>
  <c r="AS74" i="9"/>
  <c r="AT74" i="9"/>
  <c r="AU74" i="9"/>
  <c r="AV74" i="9"/>
  <c r="AK75" i="9"/>
  <c r="AL75" i="9"/>
  <c r="AM75" i="9"/>
  <c r="AN75" i="9"/>
  <c r="AO75" i="9"/>
  <c r="AP75" i="9"/>
  <c r="AQ75" i="9"/>
  <c r="AR75" i="9"/>
  <c r="AS75" i="9"/>
  <c r="AT75" i="9"/>
  <c r="AU75" i="9"/>
  <c r="AV75" i="9"/>
  <c r="AJ75" i="9"/>
  <c r="AK79" i="9"/>
  <c r="AL79" i="9"/>
  <c r="AM79" i="9"/>
  <c r="AN79" i="9"/>
  <c r="AP79" i="9"/>
  <c r="AQ79" i="9"/>
  <c r="AR79" i="9"/>
  <c r="AT79" i="9"/>
  <c r="AU79" i="9"/>
  <c r="AV79" i="9"/>
  <c r="AL80" i="9"/>
  <c r="AM80" i="9"/>
  <c r="AN80" i="9"/>
  <c r="AP80" i="9"/>
  <c r="AQ80" i="9"/>
  <c r="AR80" i="9"/>
  <c r="AT80" i="9"/>
  <c r="AU80" i="9"/>
  <c r="AV80" i="9"/>
  <c r="AK80" i="9"/>
  <c r="AO80" i="9"/>
  <c r="AS80" i="9"/>
  <c r="AL84" i="9"/>
  <c r="AM84" i="9"/>
  <c r="AN84" i="9"/>
  <c r="AP84" i="9"/>
  <c r="AQ84" i="9"/>
  <c r="AR84" i="9"/>
  <c r="AT84" i="9"/>
  <c r="AU84" i="9"/>
  <c r="AV84" i="9"/>
  <c r="AL85" i="9"/>
  <c r="AM85" i="9"/>
  <c r="AN85" i="9"/>
  <c r="AP85" i="9"/>
  <c r="AQ85" i="9"/>
  <c r="AR85" i="9"/>
  <c r="AT85" i="9"/>
  <c r="AU85" i="9"/>
  <c r="AV85" i="9"/>
  <c r="AK85" i="9"/>
  <c r="AO85" i="9"/>
  <c r="AS85" i="9"/>
  <c r="AK89" i="9"/>
  <c r="AL89" i="9"/>
  <c r="AM89" i="9"/>
  <c r="AN89" i="9"/>
  <c r="AO89" i="9"/>
  <c r="AP89" i="9"/>
  <c r="AQ89" i="9"/>
  <c r="AR89" i="9"/>
  <c r="AS89" i="9"/>
  <c r="AT89" i="9"/>
  <c r="AU89" i="9"/>
  <c r="AV89" i="9"/>
  <c r="AK90" i="9"/>
  <c r="AL90" i="9"/>
  <c r="AM90" i="9"/>
  <c r="AN90" i="9"/>
  <c r="AO90" i="9"/>
  <c r="AP90" i="9"/>
  <c r="AQ90" i="9"/>
  <c r="AR90" i="9"/>
  <c r="AS90" i="9"/>
  <c r="AT90" i="9"/>
  <c r="AU90" i="9"/>
  <c r="AV90" i="9"/>
  <c r="AJ90" i="9"/>
  <c r="AK94" i="9"/>
  <c r="AL94" i="9"/>
  <c r="AM94" i="9"/>
  <c r="AN94" i="9"/>
  <c r="AO94" i="9"/>
  <c r="AP94" i="9"/>
  <c r="AQ94" i="9"/>
  <c r="AR94" i="9"/>
  <c r="AS94" i="9"/>
  <c r="AT94" i="9"/>
  <c r="AU94" i="9"/>
  <c r="AV94" i="9"/>
  <c r="AK95" i="9"/>
  <c r="AL95" i="9"/>
  <c r="AM95" i="9"/>
  <c r="AN95" i="9"/>
  <c r="AO95" i="9"/>
  <c r="AP95" i="9"/>
  <c r="AQ95" i="9"/>
  <c r="AR95" i="9"/>
  <c r="AS95" i="9"/>
  <c r="AT95" i="9"/>
  <c r="AU95" i="9"/>
  <c r="AV95" i="9"/>
  <c r="AJ95" i="9"/>
  <c r="AK99" i="9"/>
  <c r="AL99" i="9"/>
  <c r="AM99" i="9"/>
  <c r="AN99" i="9"/>
  <c r="AO99" i="9"/>
  <c r="AP99" i="9"/>
  <c r="AQ99" i="9"/>
  <c r="AR99" i="9"/>
  <c r="AS99" i="9"/>
  <c r="AT99" i="9"/>
  <c r="AU99" i="9"/>
  <c r="AV99" i="9"/>
  <c r="AK100" i="9"/>
  <c r="AL100" i="9"/>
  <c r="AM100" i="9"/>
  <c r="AN100" i="9"/>
  <c r="AO100" i="9"/>
  <c r="AP100" i="9"/>
  <c r="AQ100" i="9"/>
  <c r="AR100" i="9"/>
  <c r="AS100" i="9"/>
  <c r="AT100" i="9"/>
  <c r="AU100" i="9"/>
  <c r="AV100" i="9"/>
  <c r="AJ100" i="9"/>
  <c r="AK104" i="9"/>
  <c r="AL104" i="9"/>
  <c r="AM104" i="9"/>
  <c r="AN104" i="9"/>
  <c r="AO104" i="9"/>
  <c r="AP104" i="9"/>
  <c r="AQ104" i="9"/>
  <c r="AR104" i="9"/>
  <c r="AS104" i="9"/>
  <c r="AT104" i="9"/>
  <c r="AU104" i="9"/>
  <c r="AV104" i="9"/>
  <c r="AK105" i="9"/>
  <c r="AL105" i="9"/>
  <c r="AM105" i="9"/>
  <c r="AN105" i="9"/>
  <c r="AO105" i="9"/>
  <c r="AP105" i="9"/>
  <c r="AQ105" i="9"/>
  <c r="AR105" i="9"/>
  <c r="AS105" i="9"/>
  <c r="AT105" i="9"/>
  <c r="AU105" i="9"/>
  <c r="AV105" i="9"/>
  <c r="AJ105" i="9"/>
  <c r="AK109" i="9"/>
  <c r="AL109" i="9"/>
  <c r="AM109" i="9"/>
  <c r="AN109" i="9"/>
  <c r="AO109" i="9"/>
  <c r="AP109" i="9"/>
  <c r="AQ109" i="9"/>
  <c r="AR109" i="9"/>
  <c r="AS109" i="9"/>
  <c r="AT109" i="9"/>
  <c r="AU109" i="9"/>
  <c r="AV109" i="9"/>
  <c r="AK110" i="9"/>
  <c r="AL110" i="9"/>
  <c r="AM110" i="9"/>
  <c r="AN110" i="9"/>
  <c r="AO110" i="9"/>
  <c r="AP110" i="9"/>
  <c r="AQ110" i="9"/>
  <c r="AR110" i="9"/>
  <c r="AS110" i="9"/>
  <c r="AT110" i="9"/>
  <c r="AU110" i="9"/>
  <c r="AV110" i="9"/>
  <c r="AJ110" i="9"/>
  <c r="AK114" i="9"/>
  <c r="AL114" i="9"/>
  <c r="AM114" i="9"/>
  <c r="AN114" i="9"/>
  <c r="AO114" i="9"/>
  <c r="AP114" i="9"/>
  <c r="AQ114" i="9"/>
  <c r="AR114" i="9"/>
  <c r="AS114" i="9"/>
  <c r="AT114" i="9"/>
  <c r="AU114" i="9"/>
  <c r="AV114" i="9"/>
  <c r="AK115" i="9"/>
  <c r="AL115" i="9"/>
  <c r="AM115" i="9"/>
  <c r="AN115" i="9"/>
  <c r="AO115" i="9"/>
  <c r="AP115" i="9"/>
  <c r="AQ115" i="9"/>
  <c r="AR115" i="9"/>
  <c r="AS115" i="9"/>
  <c r="AT115" i="9"/>
  <c r="AU115" i="9"/>
  <c r="AV115" i="9"/>
  <c r="AJ115" i="9"/>
  <c r="AK119" i="9"/>
  <c r="AL119" i="9"/>
  <c r="AM119" i="9"/>
  <c r="AN119" i="9"/>
  <c r="AO119" i="9"/>
  <c r="AP119" i="9"/>
  <c r="AQ119" i="9"/>
  <c r="AR119" i="9"/>
  <c r="AS119" i="9"/>
  <c r="AT119" i="9"/>
  <c r="AU119" i="9"/>
  <c r="AV119" i="9"/>
  <c r="AK120" i="9"/>
  <c r="AL120" i="9"/>
  <c r="AM120" i="9"/>
  <c r="AN120" i="9"/>
  <c r="AO120" i="9"/>
  <c r="AP120" i="9"/>
  <c r="AQ120" i="9"/>
  <c r="AR120" i="9"/>
  <c r="AS120" i="9"/>
  <c r="AT120" i="9"/>
  <c r="AU120" i="9"/>
  <c r="AV120" i="9"/>
  <c r="AJ120" i="9"/>
  <c r="AK124" i="9"/>
  <c r="AL124" i="9"/>
  <c r="AM124" i="9"/>
  <c r="AN124" i="9"/>
  <c r="AO124" i="9"/>
  <c r="AP124" i="9"/>
  <c r="AQ124" i="9"/>
  <c r="AR124" i="9"/>
  <c r="AS124" i="9"/>
  <c r="AT124" i="9"/>
  <c r="AU124" i="9"/>
  <c r="AV124" i="9"/>
  <c r="AK126" i="9"/>
  <c r="AL126" i="9"/>
  <c r="AM126" i="9"/>
  <c r="AN126" i="9"/>
  <c r="AO126" i="9"/>
  <c r="AP126" i="9"/>
  <c r="AQ126" i="9"/>
  <c r="AR126" i="9"/>
  <c r="AS126" i="9"/>
  <c r="AT126" i="9"/>
  <c r="AU126" i="9"/>
  <c r="AV126" i="9"/>
  <c r="AK129" i="9"/>
  <c r="AL129" i="9"/>
  <c r="AM129" i="9"/>
  <c r="AN129" i="9"/>
  <c r="AO129" i="9"/>
  <c r="AP129" i="9"/>
  <c r="AQ129" i="9"/>
  <c r="AR129" i="9"/>
  <c r="AS129" i="9"/>
  <c r="AT129" i="9"/>
  <c r="AU129" i="9"/>
  <c r="AV129" i="9"/>
  <c r="AK130" i="9"/>
  <c r="AL130" i="9"/>
  <c r="AM130" i="9"/>
  <c r="AN130" i="9"/>
  <c r="AO130" i="9"/>
  <c r="AP130" i="9"/>
  <c r="AQ130" i="9"/>
  <c r="AR130" i="9"/>
  <c r="AS130" i="9"/>
  <c r="AT130" i="9"/>
  <c r="AU130" i="9"/>
  <c r="AV130" i="9"/>
  <c r="AJ130" i="9"/>
  <c r="AK134" i="9"/>
  <c r="AL134" i="9"/>
  <c r="AM134" i="9"/>
  <c r="AN134" i="9"/>
  <c r="AO134" i="9"/>
  <c r="AP134" i="9"/>
  <c r="AQ134" i="9"/>
  <c r="AR134" i="9"/>
  <c r="AS134" i="9"/>
  <c r="AT134" i="9"/>
  <c r="AU134" i="9"/>
  <c r="AV134" i="9"/>
  <c r="AK135" i="9"/>
  <c r="AL135" i="9"/>
  <c r="AM135" i="9"/>
  <c r="AN135" i="9"/>
  <c r="AO135" i="9"/>
  <c r="AP135" i="9"/>
  <c r="AQ135" i="9"/>
  <c r="AR135" i="9"/>
  <c r="AS135" i="9"/>
  <c r="AT135" i="9"/>
  <c r="AU135" i="9"/>
  <c r="AV135" i="9"/>
  <c r="AJ135" i="9"/>
  <c r="AK139" i="9"/>
  <c r="AL139" i="9"/>
  <c r="AM139" i="9"/>
  <c r="AN139" i="9"/>
  <c r="AO139" i="9"/>
  <c r="AP139" i="9"/>
  <c r="AQ139" i="9"/>
  <c r="AR139" i="9"/>
  <c r="AS139" i="9"/>
  <c r="AT139" i="9"/>
  <c r="AU139" i="9"/>
  <c r="AV139" i="9"/>
  <c r="AK140" i="9"/>
  <c r="AL140" i="9"/>
  <c r="AM140" i="9"/>
  <c r="AN140" i="9"/>
  <c r="AO140" i="9"/>
  <c r="AP140" i="9"/>
  <c r="AQ140" i="9"/>
  <c r="AR140" i="9"/>
  <c r="AS140" i="9"/>
  <c r="AT140" i="9"/>
  <c r="AU140" i="9"/>
  <c r="AV140" i="9"/>
  <c r="AJ140" i="9"/>
  <c r="AK144" i="9"/>
  <c r="AL144" i="9"/>
  <c r="AM144" i="9"/>
  <c r="AN144" i="9"/>
  <c r="AO144" i="9"/>
  <c r="AP144" i="9"/>
  <c r="AQ144" i="9"/>
  <c r="AR144" i="9"/>
  <c r="AS144" i="9"/>
  <c r="AT144" i="9"/>
  <c r="AU144" i="9"/>
  <c r="AV144" i="9"/>
  <c r="AK145" i="9"/>
  <c r="AL145" i="9"/>
  <c r="AM145" i="9"/>
  <c r="AN145" i="9"/>
  <c r="AO145" i="9"/>
  <c r="AP145" i="9"/>
  <c r="AQ145" i="9"/>
  <c r="AR145" i="9"/>
  <c r="AS145" i="9"/>
  <c r="AT145" i="9"/>
  <c r="AU145" i="9"/>
  <c r="AV145" i="9"/>
  <c r="AJ145" i="9"/>
  <c r="AK149" i="9"/>
  <c r="AL149" i="9"/>
  <c r="AM149" i="9"/>
  <c r="AN149" i="9"/>
  <c r="AO149" i="9"/>
  <c r="AP149" i="9"/>
  <c r="AQ149" i="9"/>
  <c r="AR149" i="9"/>
  <c r="AS149" i="9"/>
  <c r="AT149" i="9"/>
  <c r="AU149" i="9"/>
  <c r="AV149" i="9"/>
  <c r="AK150" i="9"/>
  <c r="AL150" i="9"/>
  <c r="AM150" i="9"/>
  <c r="AN150" i="9"/>
  <c r="AO150" i="9"/>
  <c r="AP150" i="9"/>
  <c r="AQ150" i="9"/>
  <c r="AR150" i="9"/>
  <c r="AS150" i="9"/>
  <c r="AT150" i="9"/>
  <c r="AU150" i="9"/>
  <c r="AV150" i="9"/>
  <c r="AJ150" i="9"/>
  <c r="AQ34" i="9"/>
  <c r="AM34" i="9"/>
  <c r="AT30" i="9"/>
  <c r="AP30" i="9"/>
  <c r="AL30" i="9"/>
  <c r="AU29" i="9"/>
  <c r="AQ29" i="9"/>
  <c r="AM29" i="9"/>
  <c r="AT54" i="9"/>
  <c r="AP54" i="9"/>
  <c r="AL54" i="9"/>
  <c r="AT49" i="9"/>
  <c r="AP49" i="9"/>
  <c r="AL49" i="9"/>
  <c r="AS45" i="9"/>
  <c r="AO45" i="9"/>
  <c r="AK45" i="9"/>
  <c r="AT44" i="9"/>
  <c r="AP44" i="9"/>
  <c r="AL44" i="9"/>
  <c r="AS40" i="9"/>
  <c r="AO40" i="9"/>
  <c r="AK40" i="9"/>
  <c r="AT39" i="9"/>
  <c r="AP39" i="9"/>
  <c r="AL39" i="9"/>
  <c r="AS35" i="9"/>
  <c r="AO35" i="9"/>
  <c r="AK35" i="9"/>
  <c r="AT34" i="9"/>
  <c r="AP34" i="9"/>
  <c r="AL34" i="9"/>
  <c r="AS30" i="9"/>
  <c r="AO30" i="9"/>
  <c r="AK30" i="9"/>
  <c r="AT29" i="9"/>
  <c r="AP29" i="9"/>
  <c r="AL29" i="9"/>
  <c r="AJ85" i="9"/>
  <c r="AS84" i="9"/>
  <c r="AO84" i="9"/>
  <c r="AK84" i="9"/>
  <c r="AJ80" i="9"/>
  <c r="AS79" i="9"/>
  <c r="AO79" i="9"/>
  <c r="AK49" i="9"/>
  <c r="AJ45" i="9"/>
  <c r="AS44" i="9"/>
  <c r="AO44" i="9"/>
  <c r="AK44" i="9"/>
  <c r="AJ40" i="9"/>
  <c r="AS39" i="9"/>
  <c r="AO39" i="9"/>
  <c r="AK39" i="9"/>
  <c r="AJ35" i="9"/>
  <c r="AS34" i="9"/>
  <c r="AO34" i="9"/>
  <c r="AK34" i="9"/>
  <c r="AJ30" i="9"/>
  <c r="AS29" i="9"/>
  <c r="AO29" i="9"/>
  <c r="G50" i="11"/>
  <c r="G49" i="11"/>
  <c r="G48" i="11"/>
  <c r="G47" i="11"/>
  <c r="G46" i="11"/>
  <c r="G45" i="11"/>
  <c r="G44" i="11"/>
  <c r="G43" i="11"/>
  <c r="G42" i="11"/>
  <c r="G41" i="11"/>
  <c r="G37" i="11"/>
  <c r="G40" i="11"/>
  <c r="G34" i="11"/>
  <c r="G36" i="11"/>
  <c r="G38" i="11"/>
  <c r="G39" i="11"/>
  <c r="G31" i="11"/>
  <c r="G30" i="11"/>
  <c r="AJ149" i="9"/>
  <c r="AJ144" i="9"/>
  <c r="AJ139" i="9"/>
  <c r="AJ134" i="9"/>
  <c r="AJ129" i="9"/>
  <c r="AJ124" i="9"/>
  <c r="AJ119" i="9"/>
  <c r="AJ114" i="9"/>
  <c r="AJ109" i="9"/>
  <c r="AJ104" i="9"/>
  <c r="AJ99" i="9"/>
  <c r="AJ94" i="9"/>
  <c r="AJ89" i="9"/>
  <c r="AJ84" i="9"/>
  <c r="AJ79" i="9"/>
  <c r="AJ74" i="9"/>
  <c r="AJ69" i="9"/>
  <c r="AJ64" i="9"/>
  <c r="AJ59" i="9"/>
  <c r="AJ54" i="9"/>
  <c r="AJ49" i="9"/>
  <c r="AJ44" i="9"/>
  <c r="AJ39" i="9"/>
  <c r="AJ34" i="9"/>
  <c r="AJ29" i="9"/>
  <c r="AI150" i="9"/>
  <c r="AI149" i="9"/>
  <c r="AI145" i="9"/>
  <c r="AI144" i="9"/>
  <c r="AI140" i="9"/>
  <c r="AI139" i="9"/>
  <c r="AI135" i="9"/>
  <c r="AI134" i="9"/>
  <c r="AI130" i="9"/>
  <c r="AI129" i="9"/>
  <c r="AJ126" i="9"/>
  <c r="AI124" i="9"/>
  <c r="AI120" i="9"/>
  <c r="AI119" i="9"/>
  <c r="AI115" i="9"/>
  <c r="AI114" i="9"/>
  <c r="AI110" i="9"/>
  <c r="AI109" i="9"/>
  <c r="AI105" i="9"/>
  <c r="AI104" i="9"/>
  <c r="AI100" i="9"/>
  <c r="AI99" i="9"/>
  <c r="AI95" i="9"/>
  <c r="AI94" i="9"/>
  <c r="AI90" i="9"/>
  <c r="AI89" i="9"/>
  <c r="AI85" i="9"/>
  <c r="AI84" i="9"/>
  <c r="AI80" i="9"/>
  <c r="AI79" i="9"/>
  <c r="AI75" i="9"/>
  <c r="AI74" i="9"/>
  <c r="AI70" i="9"/>
  <c r="AI69" i="9"/>
  <c r="AI65" i="9"/>
  <c r="AI64" i="9"/>
  <c r="AI60" i="9"/>
  <c r="AI59" i="9"/>
  <c r="AI55" i="9"/>
  <c r="AI54" i="9"/>
  <c r="AI50" i="9"/>
  <c r="AI49" i="9"/>
  <c r="AI45" i="9"/>
  <c r="AI44" i="9"/>
  <c r="AI40" i="9"/>
  <c r="AI39" i="9"/>
  <c r="AI35" i="9"/>
  <c r="AI34" i="9"/>
  <c r="AI30" i="9"/>
  <c r="AI29" i="9"/>
  <c r="AH150" i="9"/>
  <c r="AH149" i="9"/>
  <c r="AH145" i="9"/>
  <c r="AH144" i="9"/>
  <c r="AH140" i="9"/>
  <c r="AH139" i="9"/>
  <c r="AH135" i="9"/>
  <c r="AH134" i="9"/>
  <c r="AH130" i="9"/>
  <c r="AH129" i="9"/>
  <c r="AH124" i="9"/>
  <c r="AH120" i="9"/>
  <c r="AH119" i="9"/>
  <c r="AH115" i="9"/>
  <c r="AH114" i="9"/>
  <c r="AH110" i="9"/>
  <c r="AH109" i="9"/>
  <c r="AH105" i="9"/>
  <c r="AH104" i="9"/>
  <c r="AH100" i="9"/>
  <c r="AH99" i="9"/>
  <c r="AH95" i="9"/>
  <c r="AH94" i="9"/>
  <c r="AH90" i="9"/>
  <c r="AH89" i="9"/>
  <c r="AH85" i="9"/>
  <c r="AH84" i="9"/>
  <c r="AH80" i="9"/>
  <c r="AH79" i="9"/>
  <c r="AH75" i="9"/>
  <c r="AH74" i="9"/>
  <c r="AH70" i="9"/>
  <c r="AH69" i="9"/>
  <c r="AH65" i="9"/>
  <c r="AH64" i="9"/>
  <c r="AH60" i="9"/>
  <c r="AH59" i="9"/>
  <c r="AH55" i="9"/>
  <c r="AH54" i="9"/>
  <c r="AH50" i="9"/>
  <c r="AH49" i="9"/>
  <c r="AH45" i="9"/>
  <c r="AH44" i="9"/>
  <c r="AH40" i="9"/>
  <c r="AH39" i="9"/>
  <c r="AH35" i="9"/>
  <c r="AH34" i="9"/>
  <c r="AH30" i="9"/>
  <c r="AH29" i="9"/>
  <c r="AI126" i="9"/>
  <c r="E2" i="7"/>
  <c r="D34" i="7"/>
  <c r="D33" i="7"/>
  <c r="D32" i="7"/>
  <c r="D31" i="7"/>
  <c r="D30" i="7"/>
  <c r="D29" i="7"/>
  <c r="D28" i="7"/>
  <c r="D27" i="7"/>
  <c r="D26" i="7"/>
  <c r="D25" i="7"/>
  <c r="D24" i="7"/>
  <c r="D23" i="7"/>
  <c r="D22" i="7"/>
  <c r="D21" i="7"/>
  <c r="D20" i="7"/>
  <c r="D19" i="7"/>
  <c r="D18" i="7"/>
  <c r="D17" i="7"/>
  <c r="D16" i="7"/>
  <c r="D15" i="7"/>
  <c r="D14" i="7"/>
  <c r="D13" i="7"/>
  <c r="D12" i="7"/>
  <c r="D11" i="7"/>
  <c r="D10" i="7"/>
  <c r="D9" i="7"/>
  <c r="D8" i="7"/>
  <c r="D7" i="7"/>
  <c r="D6" i="7"/>
  <c r="D5" i="7"/>
  <c r="D4" i="7"/>
  <c r="D3" i="7"/>
  <c r="D2" i="7"/>
  <c r="C34" i="7"/>
  <c r="E34" i="7" s="1"/>
  <c r="C33" i="7"/>
  <c r="E33" i="7" s="1"/>
  <c r="C32" i="7"/>
  <c r="E32" i="7" s="1"/>
  <c r="C31" i="7"/>
  <c r="E31" i="7" s="1"/>
  <c r="C30" i="7"/>
  <c r="E30" i="7" s="1"/>
  <c r="C29" i="7"/>
  <c r="E29" i="7" s="1"/>
  <c r="C28" i="7"/>
  <c r="E28" i="7" s="1"/>
  <c r="C27" i="7"/>
  <c r="E27" i="7" s="1"/>
  <c r="C26" i="7"/>
  <c r="E26" i="7" s="1"/>
  <c r="C25" i="7"/>
  <c r="E25" i="7" s="1"/>
  <c r="C24" i="7"/>
  <c r="E24" i="7" s="1"/>
  <c r="C23" i="7"/>
  <c r="E23" i="7" s="1"/>
  <c r="C22" i="7"/>
  <c r="E22" i="7" s="1"/>
  <c r="C21" i="7"/>
  <c r="E21" i="7" s="1"/>
  <c r="C20" i="7"/>
  <c r="E20" i="7" s="1"/>
  <c r="C19" i="7"/>
  <c r="E19" i="7" s="1"/>
  <c r="C18" i="7"/>
  <c r="E18" i="7" s="1"/>
  <c r="C17" i="7"/>
  <c r="E17" i="7" s="1"/>
  <c r="C16" i="7"/>
  <c r="E16" i="7" s="1"/>
  <c r="C15" i="7"/>
  <c r="E15" i="7" s="1"/>
  <c r="C14" i="7"/>
  <c r="E14" i="7" s="1"/>
  <c r="C13" i="7"/>
  <c r="E13" i="7" s="1"/>
  <c r="C12" i="7"/>
  <c r="E12" i="7" s="1"/>
  <c r="C11" i="7"/>
  <c r="E11" i="7" s="1"/>
  <c r="C10" i="7"/>
  <c r="E10" i="7" s="1"/>
  <c r="C9" i="7"/>
  <c r="E9" i="7" s="1"/>
  <c r="C8" i="7"/>
  <c r="E8" i="7" s="1"/>
  <c r="C7" i="7"/>
  <c r="E7" i="7" s="1"/>
  <c r="C6" i="7"/>
  <c r="E6" i="7" s="1"/>
  <c r="C5" i="7"/>
  <c r="E5" i="7" s="1"/>
  <c r="C4" i="7"/>
  <c r="E4" i="7" s="1"/>
  <c r="C3" i="7"/>
  <c r="E3" i="7" s="1"/>
  <c r="AG150" i="9"/>
  <c r="AG149" i="9"/>
  <c r="AG145" i="9"/>
  <c r="AG144" i="9"/>
  <c r="AG140" i="9"/>
  <c r="AG139" i="9"/>
  <c r="AG135" i="9"/>
  <c r="AG134" i="9"/>
  <c r="AG130" i="9"/>
  <c r="AG129" i="9"/>
  <c r="AH126" i="9"/>
  <c r="AG124" i="9"/>
  <c r="AG120" i="9"/>
  <c r="AG119" i="9"/>
  <c r="AG115" i="9"/>
  <c r="AG114" i="9"/>
  <c r="AG110" i="9"/>
  <c r="AG109" i="9"/>
  <c r="AG105" i="9"/>
  <c r="AG104" i="9"/>
  <c r="AG100" i="9"/>
  <c r="AG99" i="9"/>
  <c r="AG95" i="9"/>
  <c r="AG94" i="9"/>
  <c r="AG90" i="9"/>
  <c r="AG89" i="9"/>
  <c r="AG85" i="9"/>
  <c r="AG84" i="9"/>
  <c r="AG80" i="9"/>
  <c r="AG79" i="9"/>
  <c r="AG75" i="9"/>
  <c r="AG74" i="9"/>
  <c r="AG70" i="9"/>
  <c r="AG69" i="9"/>
  <c r="AG65" i="9"/>
  <c r="AG64" i="9"/>
  <c r="AG60" i="9"/>
  <c r="AG59" i="9"/>
  <c r="AG55" i="9"/>
  <c r="AG54" i="9"/>
  <c r="AG50" i="9"/>
  <c r="AG49" i="9"/>
  <c r="AG45" i="9"/>
  <c r="AG44" i="9"/>
  <c r="AG40" i="9"/>
  <c r="AG39" i="9"/>
  <c r="AG35" i="9"/>
  <c r="AG34" i="9"/>
  <c r="AG30" i="9"/>
  <c r="AG29" i="9"/>
  <c r="G58" i="17"/>
  <c r="H58" i="17" s="1"/>
  <c r="I58" i="17" s="1"/>
  <c r="E79" i="17"/>
  <c r="E74" i="17"/>
  <c r="G63" i="17"/>
  <c r="H63" i="17" s="1"/>
  <c r="I63" i="17" s="1"/>
  <c r="J63" i="17" s="1"/>
  <c r="K63" i="17" s="1"/>
  <c r="L63" i="17" s="1"/>
  <c r="F29" i="17"/>
  <c r="AF150" i="9"/>
  <c r="AE150" i="9"/>
  <c r="AF149" i="9"/>
  <c r="AE149" i="9"/>
  <c r="AF145" i="9"/>
  <c r="AE145" i="9"/>
  <c r="AF144" i="9"/>
  <c r="AE144" i="9"/>
  <c r="AF140" i="9"/>
  <c r="AE140" i="9"/>
  <c r="AF139" i="9"/>
  <c r="AE139" i="9"/>
  <c r="AF135" i="9"/>
  <c r="AE135" i="9"/>
  <c r="AF134" i="9"/>
  <c r="AE134" i="9"/>
  <c r="AF130" i="9"/>
  <c r="AE130" i="9"/>
  <c r="AF129" i="9"/>
  <c r="AE129" i="9"/>
  <c r="AF124" i="9"/>
  <c r="AE124" i="9"/>
  <c r="AF120" i="9"/>
  <c r="AE120" i="9"/>
  <c r="AF119" i="9"/>
  <c r="AE119" i="9"/>
  <c r="AF115" i="9"/>
  <c r="AE115" i="9"/>
  <c r="AF114" i="9"/>
  <c r="AE114" i="9"/>
  <c r="AF110" i="9"/>
  <c r="AE110" i="9"/>
  <c r="AF109" i="9"/>
  <c r="AE109" i="9"/>
  <c r="AF105" i="9"/>
  <c r="AE105" i="9"/>
  <c r="AF104" i="9"/>
  <c r="AE104" i="9"/>
  <c r="AF100" i="9"/>
  <c r="AE100" i="9"/>
  <c r="AF99" i="9"/>
  <c r="AE99" i="9"/>
  <c r="AF95" i="9"/>
  <c r="AE95" i="9"/>
  <c r="AF94" i="9"/>
  <c r="AE94" i="9"/>
  <c r="AF90" i="9"/>
  <c r="AE90" i="9"/>
  <c r="AF89" i="9"/>
  <c r="AE89" i="9"/>
  <c r="AF85" i="9"/>
  <c r="AE85" i="9"/>
  <c r="AF84" i="9"/>
  <c r="AE84" i="9"/>
  <c r="AF80" i="9"/>
  <c r="AE80" i="9"/>
  <c r="AF79" i="9"/>
  <c r="AE79" i="9"/>
  <c r="AF75" i="9"/>
  <c r="AE75" i="9"/>
  <c r="AF74" i="9"/>
  <c r="AE74" i="9"/>
  <c r="AF70" i="9"/>
  <c r="AE70" i="9"/>
  <c r="AF69" i="9"/>
  <c r="AE69" i="9"/>
  <c r="AF65" i="9"/>
  <c r="AE65" i="9"/>
  <c r="AF64" i="9"/>
  <c r="AE64" i="9"/>
  <c r="AF60" i="9"/>
  <c r="AE60" i="9"/>
  <c r="AF59" i="9"/>
  <c r="AE59" i="9"/>
  <c r="AF55" i="9"/>
  <c r="AE55" i="9"/>
  <c r="AF54" i="9"/>
  <c r="AE54" i="9"/>
  <c r="AF50" i="9"/>
  <c r="AE50" i="9"/>
  <c r="AF49" i="9"/>
  <c r="AE49" i="9"/>
  <c r="AF45" i="9"/>
  <c r="AE45" i="9"/>
  <c r="AF44" i="9"/>
  <c r="AE44" i="9"/>
  <c r="AF40" i="9"/>
  <c r="AE40" i="9"/>
  <c r="AF39" i="9"/>
  <c r="AE39" i="9"/>
  <c r="AF35" i="9"/>
  <c r="AE35" i="9"/>
  <c r="AF34" i="9"/>
  <c r="AE34" i="9"/>
  <c r="AF30" i="9"/>
  <c r="AE30" i="9"/>
  <c r="AF29" i="9"/>
  <c r="AE29" i="9"/>
  <c r="AF126" i="9"/>
  <c r="AG126" i="9"/>
  <c r="E4" i="11"/>
  <c r="AD150" i="9"/>
  <c r="AD149" i="9"/>
  <c r="AD145" i="9"/>
  <c r="AD144" i="9"/>
  <c r="AD140" i="9"/>
  <c r="AD139" i="9"/>
  <c r="AD135" i="9"/>
  <c r="AD134" i="9"/>
  <c r="AD130" i="9"/>
  <c r="AD129" i="9"/>
  <c r="AD124" i="9"/>
  <c r="AD120" i="9"/>
  <c r="AD119" i="9"/>
  <c r="AD115" i="9"/>
  <c r="AD114" i="9"/>
  <c r="AD110" i="9"/>
  <c r="AD109" i="9"/>
  <c r="AD105" i="9"/>
  <c r="AD104" i="9"/>
  <c r="AD100" i="9"/>
  <c r="AD99" i="9"/>
  <c r="AD95" i="9"/>
  <c r="AD94" i="9"/>
  <c r="AD90" i="9"/>
  <c r="AD89" i="9"/>
  <c r="AD85" i="9"/>
  <c r="AD84" i="9"/>
  <c r="AD80" i="9"/>
  <c r="AD79" i="9"/>
  <c r="AD75" i="9"/>
  <c r="AD74" i="9"/>
  <c r="AD70" i="9"/>
  <c r="AD69" i="9"/>
  <c r="AD65" i="9"/>
  <c r="AD64" i="9"/>
  <c r="AD60" i="9"/>
  <c r="AD59" i="9"/>
  <c r="AD55" i="9"/>
  <c r="AD54" i="9"/>
  <c r="AD50" i="9"/>
  <c r="AD49" i="9"/>
  <c r="AD45" i="9"/>
  <c r="AD44" i="9"/>
  <c r="AD40" i="9"/>
  <c r="AD39" i="9"/>
  <c r="AD35" i="9"/>
  <c r="AD34" i="9"/>
  <c r="AD30" i="9"/>
  <c r="AD29" i="9"/>
  <c r="AE126" i="9"/>
  <c r="AC150" i="9"/>
  <c r="AC149" i="9"/>
  <c r="AC145" i="9"/>
  <c r="AC144" i="9"/>
  <c r="AC140" i="9"/>
  <c r="AC139" i="9"/>
  <c r="AC135" i="9"/>
  <c r="AC134" i="9"/>
  <c r="AC130" i="9"/>
  <c r="AC129" i="9"/>
  <c r="AC124" i="9"/>
  <c r="AC120" i="9"/>
  <c r="AC119" i="9"/>
  <c r="AC115" i="9"/>
  <c r="AC114" i="9"/>
  <c r="AC110" i="9"/>
  <c r="AC109" i="9"/>
  <c r="AC105" i="9"/>
  <c r="AC104" i="9"/>
  <c r="AC100" i="9"/>
  <c r="AC99" i="9"/>
  <c r="AC95" i="9"/>
  <c r="AC94" i="9"/>
  <c r="AC90" i="9"/>
  <c r="AC89" i="9"/>
  <c r="AC85" i="9"/>
  <c r="AC84" i="9"/>
  <c r="AC80" i="9"/>
  <c r="AC79" i="9"/>
  <c r="AC75" i="9"/>
  <c r="AC74" i="9"/>
  <c r="AC70" i="9"/>
  <c r="AC69" i="9"/>
  <c r="AC65" i="9"/>
  <c r="AC64" i="9"/>
  <c r="AC60" i="9"/>
  <c r="AC59" i="9"/>
  <c r="AC55" i="9"/>
  <c r="AC54" i="9"/>
  <c r="AC50" i="9"/>
  <c r="AC49" i="9"/>
  <c r="AC45" i="9"/>
  <c r="AC44" i="9"/>
  <c r="AC40" i="9"/>
  <c r="AC39" i="9"/>
  <c r="AC35" i="9"/>
  <c r="AC34" i="9"/>
  <c r="AC30" i="9"/>
  <c r="AC29" i="9"/>
  <c r="AD126" i="9"/>
  <c r="A150" i="9"/>
  <c r="A149" i="9" s="1"/>
  <c r="A148" i="9" s="1"/>
  <c r="CZ138" i="9" s="1"/>
  <c r="AB150" i="9"/>
  <c r="AB149" i="9"/>
  <c r="AB145" i="9"/>
  <c r="AB144" i="9"/>
  <c r="AB140" i="9"/>
  <c r="AB139" i="9"/>
  <c r="AB135" i="9"/>
  <c r="AB134" i="9"/>
  <c r="AB130" i="9"/>
  <c r="AB129" i="9"/>
  <c r="AC126" i="9"/>
  <c r="AB124" i="9"/>
  <c r="AB120" i="9"/>
  <c r="AB119" i="9"/>
  <c r="AB115" i="9"/>
  <c r="AB114" i="9"/>
  <c r="AB110" i="9"/>
  <c r="AB109" i="9"/>
  <c r="AB105" i="9"/>
  <c r="AB104" i="9"/>
  <c r="AB100" i="9"/>
  <c r="AB99" i="9"/>
  <c r="AB95" i="9"/>
  <c r="AB94" i="9"/>
  <c r="AB90" i="9"/>
  <c r="AB89" i="9"/>
  <c r="AB85" i="9"/>
  <c r="AB84" i="9"/>
  <c r="AB80" i="9"/>
  <c r="AB79" i="9"/>
  <c r="AB75" i="9"/>
  <c r="AB74" i="9"/>
  <c r="AB70" i="9"/>
  <c r="AB69" i="9"/>
  <c r="AB65" i="9"/>
  <c r="AB64" i="9"/>
  <c r="AB60" i="9"/>
  <c r="AB59" i="9"/>
  <c r="AB55" i="9"/>
  <c r="AB54" i="9"/>
  <c r="AB50" i="9"/>
  <c r="AB49" i="9"/>
  <c r="AB45" i="9"/>
  <c r="AB44" i="9"/>
  <c r="AB40" i="9"/>
  <c r="AB39" i="9"/>
  <c r="AB35" i="9"/>
  <c r="AB34" i="9"/>
  <c r="AB30" i="9"/>
  <c r="AB29" i="9"/>
  <c r="AA150" i="9"/>
  <c r="Z150" i="9"/>
  <c r="Y150" i="9"/>
  <c r="X150" i="9"/>
  <c r="W150" i="9"/>
  <c r="V150" i="9"/>
  <c r="U150" i="9"/>
  <c r="T150" i="9"/>
  <c r="S150" i="9"/>
  <c r="R150" i="9"/>
  <c r="Q150" i="9"/>
  <c r="P150" i="9"/>
  <c r="O150" i="9"/>
  <c r="N150" i="9"/>
  <c r="M150" i="9"/>
  <c r="L150" i="9"/>
  <c r="K150" i="9"/>
  <c r="J150" i="9"/>
  <c r="I150" i="9"/>
  <c r="H150" i="9"/>
  <c r="G150" i="9"/>
  <c r="F150" i="9"/>
  <c r="E150" i="9"/>
  <c r="D150" i="9"/>
  <c r="C150" i="9"/>
  <c r="B150" i="9"/>
  <c r="AA149" i="9"/>
  <c r="Z149" i="9"/>
  <c r="Y149" i="9"/>
  <c r="X149" i="9"/>
  <c r="W149" i="9"/>
  <c r="V149" i="9"/>
  <c r="U149" i="9"/>
  <c r="T149" i="9"/>
  <c r="S149" i="9"/>
  <c r="R149" i="9"/>
  <c r="Q149" i="9"/>
  <c r="P149" i="9"/>
  <c r="O149" i="9"/>
  <c r="N149" i="9"/>
  <c r="M149" i="9"/>
  <c r="L149" i="9"/>
  <c r="K149" i="9"/>
  <c r="J149" i="9"/>
  <c r="I149" i="9"/>
  <c r="H149" i="9"/>
  <c r="G149" i="9"/>
  <c r="F149" i="9"/>
  <c r="E149" i="9"/>
  <c r="D149" i="9"/>
  <c r="C149" i="9"/>
  <c r="B149" i="9"/>
  <c r="AB84" i="8"/>
  <c r="DT38" i="2"/>
  <c r="DT35" i="2"/>
  <c r="DQ38" i="2"/>
  <c r="DO38" i="2"/>
  <c r="DQ37" i="2"/>
  <c r="DO37" i="2"/>
  <c r="DQ36" i="2"/>
  <c r="DO36" i="2"/>
  <c r="DQ35" i="2"/>
  <c r="DO35" i="2"/>
  <c r="G51" i="2"/>
  <c r="H51" i="2"/>
  <c r="I51" i="2"/>
  <c r="J51" i="2"/>
  <c r="K51" i="2"/>
  <c r="AA145" i="9"/>
  <c r="AA144" i="9"/>
  <c r="AA140" i="9"/>
  <c r="AA139" i="9"/>
  <c r="AA135" i="9"/>
  <c r="AA134" i="9"/>
  <c r="AA130" i="9"/>
  <c r="AA129" i="9"/>
  <c r="AB126" i="9"/>
  <c r="AA124" i="9"/>
  <c r="AA120" i="9"/>
  <c r="AA119" i="9"/>
  <c r="AA115" i="9"/>
  <c r="AA114" i="9"/>
  <c r="AA110" i="9"/>
  <c r="AA109" i="9"/>
  <c r="AA105" i="9"/>
  <c r="AA104" i="9"/>
  <c r="AA100" i="9"/>
  <c r="AA99" i="9"/>
  <c r="AA95" i="9"/>
  <c r="AA94" i="9"/>
  <c r="AA90" i="9"/>
  <c r="AA89" i="9"/>
  <c r="AA85" i="9"/>
  <c r="AA84" i="9"/>
  <c r="AA80" i="9"/>
  <c r="AA79" i="9"/>
  <c r="AA75" i="9"/>
  <c r="AA74" i="9"/>
  <c r="AA70" i="9"/>
  <c r="AA69" i="9"/>
  <c r="AA65" i="9"/>
  <c r="AA64" i="9"/>
  <c r="AA60" i="9"/>
  <c r="AA59" i="9"/>
  <c r="AA55" i="9"/>
  <c r="AA54" i="9"/>
  <c r="AA50" i="9"/>
  <c r="AA49" i="9"/>
  <c r="AA45" i="9"/>
  <c r="AA44" i="9"/>
  <c r="AA40" i="9"/>
  <c r="AA39" i="9"/>
  <c r="AA35" i="9"/>
  <c r="AA34" i="9"/>
  <c r="AA30" i="9"/>
  <c r="AA29" i="9"/>
  <c r="L27" i="7"/>
  <c r="L26" i="7"/>
  <c r="L25" i="7"/>
  <c r="L24" i="7"/>
  <c r="DT40" i="2"/>
  <c r="DT39" i="2"/>
  <c r="DT37" i="2"/>
  <c r="DT36" i="2"/>
  <c r="DT33" i="2"/>
  <c r="DT32" i="2"/>
  <c r="DT31" i="2"/>
  <c r="DT30" i="2"/>
  <c r="DT29" i="2"/>
  <c r="DT28" i="2"/>
  <c r="DT27" i="2"/>
  <c r="DT26" i="2"/>
  <c r="DT25" i="2"/>
  <c r="DT24" i="2"/>
  <c r="DT23" i="2"/>
  <c r="DT22" i="2"/>
  <c r="DT21" i="2"/>
  <c r="DT20" i="2"/>
  <c r="DT19" i="2"/>
  <c r="DT18" i="2"/>
  <c r="DT17" i="2"/>
  <c r="DT16" i="2"/>
  <c r="N4" i="7"/>
  <c r="O4" i="7"/>
  <c r="K27" i="7"/>
  <c r="J27" i="7"/>
  <c r="I27" i="7"/>
  <c r="M27" i="7" s="1"/>
  <c r="E31" i="17"/>
  <c r="E49" i="17"/>
  <c r="E48" i="17"/>
  <c r="E47" i="17"/>
  <c r="E46" i="17"/>
  <c r="E45" i="17"/>
  <c r="E44" i="17"/>
  <c r="E43" i="17"/>
  <c r="E42" i="17"/>
  <c r="E41" i="17"/>
  <c r="E40" i="17"/>
  <c r="E39" i="17"/>
  <c r="E38" i="17"/>
  <c r="E37" i="17"/>
  <c r="E36" i="17"/>
  <c r="E35" i="17"/>
  <c r="E34" i="17"/>
  <c r="E33" i="17"/>
  <c r="E32" i="17"/>
  <c r="G29" i="17"/>
  <c r="E29" i="17"/>
  <c r="E8" i="17"/>
  <c r="W8" i="17" s="1"/>
  <c r="E23" i="17"/>
  <c r="W23" i="17" s="1"/>
  <c r="Z145" i="9"/>
  <c r="Z144" i="9"/>
  <c r="Z140" i="9"/>
  <c r="Z139" i="9"/>
  <c r="Z135" i="9"/>
  <c r="Z134" i="9"/>
  <c r="Z130" i="9"/>
  <c r="Z129" i="9"/>
  <c r="AA126" i="9"/>
  <c r="Z124" i="9"/>
  <c r="Z120" i="9"/>
  <c r="Z119" i="9"/>
  <c r="Z115" i="9"/>
  <c r="Z114" i="9"/>
  <c r="Z110" i="9"/>
  <c r="Z109" i="9"/>
  <c r="Z105" i="9"/>
  <c r="Z104" i="9"/>
  <c r="Z100" i="9"/>
  <c r="Z99" i="9"/>
  <c r="Z95" i="9"/>
  <c r="Z94" i="9"/>
  <c r="Z90" i="9"/>
  <c r="Z89" i="9"/>
  <c r="Z85" i="9"/>
  <c r="Z84" i="9"/>
  <c r="Z80" i="9"/>
  <c r="Z79" i="9"/>
  <c r="Z75" i="9"/>
  <c r="Z74" i="9"/>
  <c r="Z70" i="9"/>
  <c r="Z69" i="9"/>
  <c r="Z65" i="9"/>
  <c r="Z64" i="9"/>
  <c r="Z60" i="9"/>
  <c r="Z59" i="9"/>
  <c r="Z55" i="9"/>
  <c r="Z54" i="9"/>
  <c r="Z50" i="9"/>
  <c r="Z49" i="9"/>
  <c r="Z45" i="9"/>
  <c r="Z44" i="9"/>
  <c r="Z40" i="9"/>
  <c r="Z39" i="9"/>
  <c r="Z35" i="9"/>
  <c r="Z34" i="9"/>
  <c r="Z30" i="9"/>
  <c r="Z29" i="9"/>
  <c r="K26" i="7"/>
  <c r="J26" i="7"/>
  <c r="I26" i="7"/>
  <c r="M26" i="7" s="1"/>
  <c r="Y145" i="9"/>
  <c r="Y144" i="9"/>
  <c r="Y140" i="9"/>
  <c r="Y139" i="9"/>
  <c r="Y135" i="9"/>
  <c r="Y134" i="9"/>
  <c r="Y130" i="9"/>
  <c r="Y129" i="9"/>
  <c r="Y124" i="9"/>
  <c r="Y120" i="9"/>
  <c r="Y119" i="9"/>
  <c r="Y115" i="9"/>
  <c r="Y114" i="9"/>
  <c r="Y110" i="9"/>
  <c r="Y109" i="9"/>
  <c r="Y105" i="9"/>
  <c r="Y104" i="9"/>
  <c r="Y100" i="9"/>
  <c r="Y99" i="9"/>
  <c r="Y95" i="9"/>
  <c r="Y94" i="9"/>
  <c r="Y90" i="9"/>
  <c r="Y89" i="9"/>
  <c r="Y85" i="9"/>
  <c r="Y84" i="9"/>
  <c r="Y80" i="9"/>
  <c r="Y79" i="9"/>
  <c r="Y75" i="9"/>
  <c r="Y74" i="9"/>
  <c r="Y70" i="9"/>
  <c r="Y69" i="9"/>
  <c r="Y65" i="9"/>
  <c r="Y64" i="9"/>
  <c r="Y60" i="9"/>
  <c r="Y59" i="9"/>
  <c r="Y55" i="9"/>
  <c r="Y54" i="9"/>
  <c r="Y50" i="9"/>
  <c r="Y49" i="9"/>
  <c r="Y45" i="9"/>
  <c r="Y44" i="9"/>
  <c r="Y40" i="9"/>
  <c r="Y39" i="9"/>
  <c r="Y35" i="9"/>
  <c r="Y34" i="9"/>
  <c r="Y30" i="9"/>
  <c r="Y29" i="9"/>
  <c r="Z126" i="9"/>
  <c r="K25" i="7"/>
  <c r="J25" i="7"/>
  <c r="I25" i="7"/>
  <c r="M25" i="7" s="1"/>
  <c r="X145" i="9"/>
  <c r="X144" i="9"/>
  <c r="X140" i="9"/>
  <c r="X139" i="9"/>
  <c r="X135" i="9"/>
  <c r="X134" i="9"/>
  <c r="X130" i="9"/>
  <c r="X129" i="9"/>
  <c r="Y126" i="9"/>
  <c r="X124" i="9"/>
  <c r="X120" i="9"/>
  <c r="X119" i="9"/>
  <c r="X115" i="9"/>
  <c r="X114" i="9"/>
  <c r="X110" i="9"/>
  <c r="X109" i="9"/>
  <c r="X105" i="9"/>
  <c r="X104" i="9"/>
  <c r="X100" i="9"/>
  <c r="X99" i="9"/>
  <c r="X95" i="9"/>
  <c r="X94" i="9"/>
  <c r="X90" i="9"/>
  <c r="X89" i="9"/>
  <c r="X85" i="9"/>
  <c r="X84" i="9"/>
  <c r="X80" i="9"/>
  <c r="X79" i="9"/>
  <c r="X75" i="9"/>
  <c r="X74" i="9"/>
  <c r="X70" i="9"/>
  <c r="X69" i="9"/>
  <c r="X65" i="9"/>
  <c r="X64" i="9"/>
  <c r="X60" i="9"/>
  <c r="X59" i="9"/>
  <c r="X55" i="9"/>
  <c r="X54" i="9"/>
  <c r="X50" i="9"/>
  <c r="X49" i="9"/>
  <c r="X45" i="9"/>
  <c r="X44" i="9"/>
  <c r="X40" i="9"/>
  <c r="X39" i="9"/>
  <c r="X35" i="9"/>
  <c r="X34" i="9"/>
  <c r="X30" i="9"/>
  <c r="X29" i="9"/>
  <c r="K24" i="7"/>
  <c r="J24" i="7"/>
  <c r="I24" i="7"/>
  <c r="M24" i="7" s="1"/>
  <c r="W145" i="9"/>
  <c r="W144" i="9"/>
  <c r="W140" i="9"/>
  <c r="W139" i="9"/>
  <c r="W135" i="9"/>
  <c r="W134" i="9"/>
  <c r="W130" i="9"/>
  <c r="W129" i="9"/>
  <c r="W124" i="9"/>
  <c r="W120" i="9"/>
  <c r="W119" i="9"/>
  <c r="W115" i="9"/>
  <c r="W114" i="9"/>
  <c r="W110" i="9"/>
  <c r="W109" i="9"/>
  <c r="W105" i="9"/>
  <c r="W104" i="9"/>
  <c r="W100" i="9"/>
  <c r="W99" i="9"/>
  <c r="W95" i="9"/>
  <c r="W94" i="9"/>
  <c r="W90" i="9"/>
  <c r="W89" i="9"/>
  <c r="W85" i="9"/>
  <c r="W84" i="9"/>
  <c r="W80" i="9"/>
  <c r="W79" i="9"/>
  <c r="W75" i="9"/>
  <c r="W74" i="9"/>
  <c r="W70" i="9"/>
  <c r="W69" i="9"/>
  <c r="W65" i="9"/>
  <c r="W64" i="9"/>
  <c r="W60" i="9"/>
  <c r="W59" i="9"/>
  <c r="W55" i="9"/>
  <c r="W54" i="9"/>
  <c r="W50" i="9"/>
  <c r="W49" i="9"/>
  <c r="W45" i="9"/>
  <c r="W44" i="9"/>
  <c r="W40" i="9"/>
  <c r="W39" i="9"/>
  <c r="W35" i="9"/>
  <c r="W34" i="9"/>
  <c r="W30" i="9"/>
  <c r="W29" i="9"/>
  <c r="X126" i="9"/>
  <c r="K23" i="7"/>
  <c r="J23" i="7"/>
  <c r="I23" i="7"/>
  <c r="AB38" i="8"/>
  <c r="V145" i="9"/>
  <c r="V144" i="9"/>
  <c r="V140" i="9"/>
  <c r="V139" i="9"/>
  <c r="V135" i="9"/>
  <c r="V134" i="9"/>
  <c r="V130" i="9"/>
  <c r="V129" i="9"/>
  <c r="V124" i="9"/>
  <c r="V120" i="9"/>
  <c r="V119" i="9"/>
  <c r="V115" i="9"/>
  <c r="V114" i="9"/>
  <c r="V110" i="9"/>
  <c r="V109" i="9"/>
  <c r="V105" i="9"/>
  <c r="V104" i="9"/>
  <c r="V100" i="9"/>
  <c r="V99" i="9"/>
  <c r="V95" i="9"/>
  <c r="V94" i="9"/>
  <c r="V90" i="9"/>
  <c r="V89" i="9"/>
  <c r="V85" i="9"/>
  <c r="V84" i="9"/>
  <c r="V80" i="9"/>
  <c r="V79" i="9"/>
  <c r="V75" i="9"/>
  <c r="V74" i="9"/>
  <c r="V70" i="9"/>
  <c r="V69" i="9"/>
  <c r="V65" i="9"/>
  <c r="V64" i="9"/>
  <c r="V60" i="9"/>
  <c r="V59" i="9"/>
  <c r="V55" i="9"/>
  <c r="V54" i="9"/>
  <c r="V50" i="9"/>
  <c r="V49" i="9"/>
  <c r="V45" i="9"/>
  <c r="V44" i="9"/>
  <c r="V40" i="9"/>
  <c r="V39" i="9"/>
  <c r="V35" i="9"/>
  <c r="V34" i="9"/>
  <c r="V30" i="9"/>
  <c r="V29" i="9"/>
  <c r="K22" i="7"/>
  <c r="J22" i="7"/>
  <c r="I22" i="7"/>
  <c r="W126" i="9"/>
  <c r="U145" i="9"/>
  <c r="U144" i="9"/>
  <c r="U140" i="9"/>
  <c r="U139" i="9"/>
  <c r="U135" i="9"/>
  <c r="U134" i="9"/>
  <c r="U130" i="9"/>
  <c r="U129" i="9"/>
  <c r="U124" i="9"/>
  <c r="U120" i="9"/>
  <c r="U119" i="9"/>
  <c r="U115" i="9"/>
  <c r="U114" i="9"/>
  <c r="U110" i="9"/>
  <c r="U109" i="9"/>
  <c r="U105" i="9"/>
  <c r="U104" i="9"/>
  <c r="U100" i="9"/>
  <c r="U99" i="9"/>
  <c r="U95" i="9"/>
  <c r="U94" i="9"/>
  <c r="U90" i="9"/>
  <c r="U89" i="9"/>
  <c r="U85" i="9"/>
  <c r="U84" i="9"/>
  <c r="U80" i="9"/>
  <c r="U79" i="9"/>
  <c r="U75" i="9"/>
  <c r="U74" i="9"/>
  <c r="U70" i="9"/>
  <c r="U69" i="9"/>
  <c r="U65" i="9"/>
  <c r="U64" i="9"/>
  <c r="U60" i="9"/>
  <c r="U59" i="9"/>
  <c r="U55" i="9"/>
  <c r="U54" i="9"/>
  <c r="U50" i="9"/>
  <c r="U49" i="9"/>
  <c r="U45" i="9"/>
  <c r="U44" i="9"/>
  <c r="U40" i="9"/>
  <c r="U39" i="9"/>
  <c r="U35" i="9"/>
  <c r="U34" i="9"/>
  <c r="U30" i="9"/>
  <c r="U29" i="9"/>
  <c r="V126" i="9"/>
  <c r="K21" i="7"/>
  <c r="J21" i="7"/>
  <c r="I21" i="7"/>
  <c r="T145" i="9"/>
  <c r="T144" i="9"/>
  <c r="T140" i="9"/>
  <c r="T139" i="9"/>
  <c r="T135" i="9"/>
  <c r="T134" i="9"/>
  <c r="T130" i="9"/>
  <c r="T129" i="9"/>
  <c r="T124" i="9"/>
  <c r="T120" i="9"/>
  <c r="T119" i="9"/>
  <c r="T115" i="9"/>
  <c r="T114" i="9"/>
  <c r="T110" i="9"/>
  <c r="T109" i="9"/>
  <c r="T105" i="9"/>
  <c r="T104" i="9"/>
  <c r="T100" i="9"/>
  <c r="T99" i="9"/>
  <c r="T95" i="9"/>
  <c r="T94" i="9"/>
  <c r="T90" i="9"/>
  <c r="T89" i="9"/>
  <c r="T85" i="9"/>
  <c r="T84" i="9"/>
  <c r="T80" i="9"/>
  <c r="T79" i="9"/>
  <c r="T75" i="9"/>
  <c r="T74" i="9"/>
  <c r="T70" i="9"/>
  <c r="T69" i="9"/>
  <c r="T65" i="9"/>
  <c r="T64" i="9"/>
  <c r="T60" i="9"/>
  <c r="T59" i="9"/>
  <c r="T55" i="9"/>
  <c r="T54" i="9"/>
  <c r="T50" i="9"/>
  <c r="T49" i="9"/>
  <c r="T45" i="9"/>
  <c r="T44" i="9"/>
  <c r="T40" i="9"/>
  <c r="T39" i="9"/>
  <c r="T35" i="9"/>
  <c r="T34" i="9"/>
  <c r="T30" i="9"/>
  <c r="T29" i="9"/>
  <c r="K20" i="7"/>
  <c r="J20" i="7"/>
  <c r="I20" i="7"/>
  <c r="U126" i="9"/>
  <c r="S145" i="9"/>
  <c r="S144" i="9"/>
  <c r="S140" i="9"/>
  <c r="S139" i="9"/>
  <c r="S135" i="9"/>
  <c r="S134" i="9"/>
  <c r="S130" i="9"/>
  <c r="S129" i="9"/>
  <c r="T126" i="9"/>
  <c r="S124" i="9"/>
  <c r="S120" i="9"/>
  <c r="S119" i="9"/>
  <c r="S115" i="9"/>
  <c r="S114" i="9"/>
  <c r="S110" i="9"/>
  <c r="S109" i="9"/>
  <c r="S105" i="9"/>
  <c r="S104" i="9"/>
  <c r="S100" i="9"/>
  <c r="S99" i="9"/>
  <c r="S95" i="9"/>
  <c r="S94" i="9"/>
  <c r="S90" i="9"/>
  <c r="S89" i="9"/>
  <c r="S85" i="9"/>
  <c r="S84" i="9"/>
  <c r="S80" i="9"/>
  <c r="S79" i="9"/>
  <c r="S75" i="9"/>
  <c r="S74" i="9"/>
  <c r="S70" i="9"/>
  <c r="S69" i="9"/>
  <c r="S65" i="9"/>
  <c r="S64" i="9"/>
  <c r="S60" i="9"/>
  <c r="S59" i="9"/>
  <c r="S55" i="9"/>
  <c r="S54" i="9"/>
  <c r="S50" i="9"/>
  <c r="S49" i="9"/>
  <c r="S45" i="9"/>
  <c r="S44" i="9"/>
  <c r="S40" i="9"/>
  <c r="S39" i="9"/>
  <c r="S35" i="9"/>
  <c r="S34" i="9"/>
  <c r="S30" i="9"/>
  <c r="S29" i="9"/>
  <c r="K19" i="7"/>
  <c r="J19" i="7"/>
  <c r="I19" i="7"/>
  <c r="R145" i="9"/>
  <c r="R144" i="9"/>
  <c r="R140" i="9"/>
  <c r="R139" i="9"/>
  <c r="R135" i="9"/>
  <c r="R134" i="9"/>
  <c r="R130" i="9"/>
  <c r="R129" i="9"/>
  <c r="S126" i="9"/>
  <c r="R124" i="9"/>
  <c r="R120" i="9"/>
  <c r="R119" i="9"/>
  <c r="R115" i="9"/>
  <c r="R114" i="9"/>
  <c r="R110" i="9"/>
  <c r="R109" i="9"/>
  <c r="R105" i="9"/>
  <c r="R104" i="9"/>
  <c r="R100" i="9"/>
  <c r="R99" i="9"/>
  <c r="R95" i="9"/>
  <c r="R94" i="9"/>
  <c r="R90" i="9"/>
  <c r="R89" i="9"/>
  <c r="R85" i="9"/>
  <c r="R84" i="9"/>
  <c r="R80" i="9"/>
  <c r="R79" i="9"/>
  <c r="R75" i="9"/>
  <c r="R74" i="9"/>
  <c r="R70" i="9"/>
  <c r="R69" i="9"/>
  <c r="R65" i="9"/>
  <c r="R64" i="9"/>
  <c r="R60" i="9"/>
  <c r="R59" i="9"/>
  <c r="R55" i="9"/>
  <c r="R54" i="9"/>
  <c r="R50" i="9"/>
  <c r="R49" i="9"/>
  <c r="R45" i="9"/>
  <c r="R44" i="9"/>
  <c r="R40" i="9"/>
  <c r="R39" i="9"/>
  <c r="R35" i="9"/>
  <c r="R34" i="9"/>
  <c r="R30" i="9"/>
  <c r="R29" i="9"/>
  <c r="K18" i="7"/>
  <c r="J18" i="7"/>
  <c r="I18" i="7"/>
  <c r="Q145" i="9"/>
  <c r="Q144" i="9"/>
  <c r="Q140" i="9"/>
  <c r="Q139" i="9"/>
  <c r="Q135" i="9"/>
  <c r="Q134" i="9"/>
  <c r="Q130" i="9"/>
  <c r="Q129" i="9"/>
  <c r="Q124" i="9"/>
  <c r="Q120" i="9"/>
  <c r="Q119" i="9"/>
  <c r="Q115" i="9"/>
  <c r="Q114" i="9"/>
  <c r="Q110" i="9"/>
  <c r="Q109" i="9"/>
  <c r="Q105" i="9"/>
  <c r="Q104" i="9"/>
  <c r="Q100" i="9"/>
  <c r="Q99" i="9"/>
  <c r="Q95" i="9"/>
  <c r="Q94" i="9"/>
  <c r="Q90" i="9"/>
  <c r="Q89" i="9"/>
  <c r="Q85" i="9"/>
  <c r="Q84" i="9"/>
  <c r="Q80" i="9"/>
  <c r="Q79" i="9"/>
  <c r="Q75" i="9"/>
  <c r="Q74" i="9"/>
  <c r="Q70" i="9"/>
  <c r="Q69" i="9"/>
  <c r="Q65" i="9"/>
  <c r="Q64" i="9"/>
  <c r="Q60" i="9"/>
  <c r="Q59" i="9"/>
  <c r="Q55" i="9"/>
  <c r="Q54" i="9"/>
  <c r="Q50" i="9"/>
  <c r="Q49" i="9"/>
  <c r="Q45" i="9"/>
  <c r="Q44" i="9"/>
  <c r="Q40" i="9"/>
  <c r="Q39" i="9"/>
  <c r="Q35" i="9"/>
  <c r="Q34" i="9"/>
  <c r="Q30" i="9"/>
  <c r="Q29" i="9"/>
  <c r="R126" i="9"/>
  <c r="K17" i="7"/>
  <c r="J17" i="7"/>
  <c r="I17" i="7"/>
  <c r="AB82" i="8"/>
  <c r="P145" i="9"/>
  <c r="P144" i="9"/>
  <c r="P140" i="9"/>
  <c r="P139" i="9"/>
  <c r="P135" i="9"/>
  <c r="P134" i="9"/>
  <c r="P130" i="9"/>
  <c r="P129" i="9"/>
  <c r="Q126" i="9"/>
  <c r="P124" i="9"/>
  <c r="P120" i="9"/>
  <c r="P119" i="9"/>
  <c r="P115" i="9"/>
  <c r="P114" i="9"/>
  <c r="P110" i="9"/>
  <c r="P109" i="9"/>
  <c r="P105" i="9"/>
  <c r="P104" i="9"/>
  <c r="P100" i="9"/>
  <c r="P99" i="9"/>
  <c r="P95" i="9"/>
  <c r="P94" i="9"/>
  <c r="P90" i="9"/>
  <c r="P89" i="9"/>
  <c r="P85" i="9"/>
  <c r="P84" i="9"/>
  <c r="P80" i="9"/>
  <c r="P79" i="9"/>
  <c r="P75" i="9"/>
  <c r="P74" i="9"/>
  <c r="P70" i="9"/>
  <c r="P69" i="9"/>
  <c r="P65" i="9"/>
  <c r="P64" i="9"/>
  <c r="P60" i="9"/>
  <c r="P59" i="9"/>
  <c r="P55" i="9"/>
  <c r="P54" i="9"/>
  <c r="P50" i="9"/>
  <c r="P49" i="9"/>
  <c r="P45" i="9"/>
  <c r="P44" i="9"/>
  <c r="P40" i="9"/>
  <c r="P39" i="9"/>
  <c r="P35" i="9"/>
  <c r="P34" i="9"/>
  <c r="P30" i="9"/>
  <c r="P29" i="9"/>
  <c r="K16" i="7"/>
  <c r="J16" i="7"/>
  <c r="I16" i="7"/>
  <c r="AB80" i="8"/>
  <c r="AB78" i="8"/>
  <c r="AB76" i="8"/>
  <c r="O144" i="9"/>
  <c r="N144" i="9"/>
  <c r="M144" i="9"/>
  <c r="L144" i="9"/>
  <c r="K144" i="9"/>
  <c r="J144" i="9"/>
  <c r="I144" i="9"/>
  <c r="H144" i="9"/>
  <c r="G144" i="9"/>
  <c r="F144" i="9"/>
  <c r="E144" i="9"/>
  <c r="D144" i="9"/>
  <c r="C144" i="9"/>
  <c r="B144" i="9"/>
  <c r="O139" i="9"/>
  <c r="N139" i="9"/>
  <c r="M139" i="9"/>
  <c r="L139" i="9"/>
  <c r="K139" i="9"/>
  <c r="J139" i="9"/>
  <c r="I139" i="9"/>
  <c r="H139" i="9"/>
  <c r="G139" i="9"/>
  <c r="F139" i="9"/>
  <c r="E139" i="9"/>
  <c r="D139" i="9"/>
  <c r="C139" i="9"/>
  <c r="B139" i="9"/>
  <c r="O134" i="9"/>
  <c r="N134" i="9"/>
  <c r="M134" i="9"/>
  <c r="L134" i="9"/>
  <c r="K134" i="9"/>
  <c r="J134" i="9"/>
  <c r="I134" i="9"/>
  <c r="H134" i="9"/>
  <c r="G134" i="9"/>
  <c r="F134" i="9"/>
  <c r="E134" i="9"/>
  <c r="D134" i="9"/>
  <c r="C134" i="9"/>
  <c r="B134" i="9"/>
  <c r="O129" i="9"/>
  <c r="N129" i="9"/>
  <c r="M129" i="9"/>
  <c r="L129" i="9"/>
  <c r="K129" i="9"/>
  <c r="J129" i="9"/>
  <c r="I129" i="9"/>
  <c r="H129" i="9"/>
  <c r="G129" i="9"/>
  <c r="F129" i="9"/>
  <c r="E129" i="9"/>
  <c r="D129" i="9"/>
  <c r="C129" i="9"/>
  <c r="B129" i="9"/>
  <c r="A130" i="9"/>
  <c r="A129" i="9" s="1"/>
  <c r="A128" i="9" s="1"/>
  <c r="CZ122" i="9" s="1"/>
  <c r="B130" i="9"/>
  <c r="C130" i="9"/>
  <c r="D130" i="9"/>
  <c r="E130" i="9"/>
  <c r="F130" i="9"/>
  <c r="G130" i="9"/>
  <c r="H130" i="9"/>
  <c r="I130" i="9"/>
  <c r="J130" i="9"/>
  <c r="K130" i="9"/>
  <c r="L130" i="9"/>
  <c r="M130" i="9"/>
  <c r="N130" i="9"/>
  <c r="O130" i="9"/>
  <c r="A135" i="9"/>
  <c r="A134" i="9" s="1"/>
  <c r="A133" i="9" s="1"/>
  <c r="DG122" i="9" s="1"/>
  <c r="B135" i="9"/>
  <c r="C135" i="9"/>
  <c r="D135" i="9"/>
  <c r="E135" i="9"/>
  <c r="F135" i="9"/>
  <c r="G135" i="9"/>
  <c r="H135" i="9"/>
  <c r="I135" i="9"/>
  <c r="J135" i="9"/>
  <c r="K135" i="9"/>
  <c r="L135" i="9"/>
  <c r="M135" i="9"/>
  <c r="N135" i="9"/>
  <c r="O135" i="9"/>
  <c r="A140" i="9"/>
  <c r="A139" i="9" s="1"/>
  <c r="A138" i="9" s="1"/>
  <c r="CZ130" i="9" s="1"/>
  <c r="B140" i="9"/>
  <c r="C140" i="9"/>
  <c r="D140" i="9"/>
  <c r="E140" i="9"/>
  <c r="F140" i="9"/>
  <c r="G140" i="9"/>
  <c r="H140" i="9"/>
  <c r="I140" i="9"/>
  <c r="J140" i="9"/>
  <c r="K140" i="9"/>
  <c r="L140" i="9"/>
  <c r="M140" i="9"/>
  <c r="N140" i="9"/>
  <c r="O140" i="9"/>
  <c r="A145" i="9"/>
  <c r="A144" i="9" s="1"/>
  <c r="A143" i="9" s="1"/>
  <c r="DG130" i="9" s="1"/>
  <c r="B145" i="9"/>
  <c r="C145" i="9"/>
  <c r="D145" i="9"/>
  <c r="E145" i="9"/>
  <c r="F145" i="9"/>
  <c r="G145" i="9"/>
  <c r="H145" i="9"/>
  <c r="I145" i="9"/>
  <c r="J145" i="9"/>
  <c r="K145" i="9"/>
  <c r="L145" i="9"/>
  <c r="M145" i="9"/>
  <c r="N145" i="9"/>
  <c r="O145" i="9"/>
  <c r="DQ40" i="2"/>
  <c r="DQ39" i="2"/>
  <c r="DQ33" i="2"/>
  <c r="DQ32" i="2"/>
  <c r="DQ31" i="2"/>
  <c r="DQ30" i="2"/>
  <c r="DQ29" i="2"/>
  <c r="DQ28" i="2"/>
  <c r="DQ27" i="2"/>
  <c r="DQ26" i="2"/>
  <c r="DQ25" i="2"/>
  <c r="DQ24" i="2"/>
  <c r="DQ23" i="2"/>
  <c r="DQ22" i="2"/>
  <c r="DQ21" i="2"/>
  <c r="DQ20" i="2"/>
  <c r="DQ19" i="2"/>
  <c r="DQ18" i="2"/>
  <c r="DQ17" i="2"/>
  <c r="DQ16" i="2"/>
  <c r="A62" i="2"/>
  <c r="A63" i="2" s="1"/>
  <c r="A64" i="2" s="1"/>
  <c r="A65" i="2" s="1"/>
  <c r="A66" i="2" s="1"/>
  <c r="A67" i="2" s="1"/>
  <c r="A68" i="2" s="1"/>
  <c r="A69" i="2" s="1"/>
  <c r="A70" i="2" s="1"/>
  <c r="A71" i="2" s="1"/>
  <c r="A72" i="2" s="1"/>
  <c r="A73" i="2" s="1"/>
  <c r="A74" i="2" s="1"/>
  <c r="A75" i="2" s="1"/>
  <c r="A76" i="2" s="1"/>
  <c r="K15" i="7"/>
  <c r="J15" i="7"/>
  <c r="I15" i="7"/>
  <c r="F29" i="10"/>
  <c r="F3" i="10"/>
  <c r="K14" i="7"/>
  <c r="J14" i="7"/>
  <c r="I14" i="7"/>
  <c r="P126" i="9"/>
  <c r="O124" i="9"/>
  <c r="O120" i="9"/>
  <c r="O119" i="9"/>
  <c r="O115" i="9"/>
  <c r="O114" i="9"/>
  <c r="O110" i="9"/>
  <c r="O109" i="9"/>
  <c r="O105" i="9"/>
  <c r="O104" i="9"/>
  <c r="O100" i="9"/>
  <c r="O99" i="9"/>
  <c r="O95" i="9"/>
  <c r="O94" i="9"/>
  <c r="O90" i="9"/>
  <c r="O89" i="9"/>
  <c r="O85" i="9"/>
  <c r="O84" i="9"/>
  <c r="O80" i="9"/>
  <c r="O79" i="9"/>
  <c r="O75" i="9"/>
  <c r="O74" i="9"/>
  <c r="O70" i="9"/>
  <c r="O69" i="9"/>
  <c r="O65" i="9"/>
  <c r="O64" i="9"/>
  <c r="O60" i="9"/>
  <c r="O59" i="9"/>
  <c r="O55" i="9"/>
  <c r="O54" i="9"/>
  <c r="O50" i="9"/>
  <c r="O49" i="9"/>
  <c r="O45" i="9"/>
  <c r="O44" i="9"/>
  <c r="O40" i="9"/>
  <c r="O39" i="9"/>
  <c r="O35" i="9"/>
  <c r="O34" i="9"/>
  <c r="O30" i="9"/>
  <c r="O29" i="9"/>
  <c r="N124" i="9"/>
  <c r="M124" i="9"/>
  <c r="L124" i="9"/>
  <c r="K124" i="9"/>
  <c r="J124" i="9"/>
  <c r="I124" i="9"/>
  <c r="H124" i="9"/>
  <c r="G124" i="9"/>
  <c r="F124" i="9"/>
  <c r="E124" i="9"/>
  <c r="D124" i="9"/>
  <c r="C124" i="9"/>
  <c r="B124" i="9"/>
  <c r="N119" i="9"/>
  <c r="M119" i="9"/>
  <c r="L119" i="9"/>
  <c r="K119" i="9"/>
  <c r="J119" i="9"/>
  <c r="I119" i="9"/>
  <c r="H119" i="9"/>
  <c r="G119" i="9"/>
  <c r="F119" i="9"/>
  <c r="E119" i="9"/>
  <c r="D119" i="9"/>
  <c r="C119" i="9"/>
  <c r="B119" i="9"/>
  <c r="N114" i="9"/>
  <c r="M114" i="9"/>
  <c r="L114" i="9"/>
  <c r="K114" i="9"/>
  <c r="J114" i="9"/>
  <c r="I114" i="9"/>
  <c r="H114" i="9"/>
  <c r="G114" i="9"/>
  <c r="F114" i="9"/>
  <c r="E114" i="9"/>
  <c r="D114" i="9"/>
  <c r="C114" i="9"/>
  <c r="B114" i="9"/>
  <c r="N109" i="9"/>
  <c r="M109" i="9"/>
  <c r="L109" i="9"/>
  <c r="K109" i="9"/>
  <c r="J109" i="9"/>
  <c r="I109" i="9"/>
  <c r="H109" i="9"/>
  <c r="G109" i="9"/>
  <c r="F109" i="9"/>
  <c r="E109" i="9"/>
  <c r="D109" i="9"/>
  <c r="C109" i="9"/>
  <c r="B109" i="9"/>
  <c r="N104" i="9"/>
  <c r="M104" i="9"/>
  <c r="L104" i="9"/>
  <c r="K104" i="9"/>
  <c r="J104" i="9"/>
  <c r="I104" i="9"/>
  <c r="H104" i="9"/>
  <c r="G104" i="9"/>
  <c r="F104" i="9"/>
  <c r="E104" i="9"/>
  <c r="D104" i="9"/>
  <c r="C104" i="9"/>
  <c r="B104" i="9"/>
  <c r="N99" i="9"/>
  <c r="M99" i="9"/>
  <c r="L99" i="9"/>
  <c r="K99" i="9"/>
  <c r="J99" i="9"/>
  <c r="I99" i="9"/>
  <c r="H99" i="9"/>
  <c r="G99" i="9"/>
  <c r="F99" i="9"/>
  <c r="E99" i="9"/>
  <c r="D99" i="9"/>
  <c r="C99" i="9"/>
  <c r="B99" i="9"/>
  <c r="N94" i="9"/>
  <c r="M94" i="9"/>
  <c r="L94" i="9"/>
  <c r="K94" i="9"/>
  <c r="J94" i="9"/>
  <c r="I94" i="9"/>
  <c r="H94" i="9"/>
  <c r="G94" i="9"/>
  <c r="F94" i="9"/>
  <c r="E94" i="9"/>
  <c r="D94" i="9"/>
  <c r="C94" i="9"/>
  <c r="B94" i="9"/>
  <c r="N89" i="9"/>
  <c r="M89" i="9"/>
  <c r="L89" i="9"/>
  <c r="K89" i="9"/>
  <c r="J89" i="9"/>
  <c r="I89" i="9"/>
  <c r="H89" i="9"/>
  <c r="G89" i="9"/>
  <c r="F89" i="9"/>
  <c r="E89" i="9"/>
  <c r="D89" i="9"/>
  <c r="C89" i="9"/>
  <c r="B89" i="9"/>
  <c r="N84" i="9"/>
  <c r="M84" i="9"/>
  <c r="L84" i="9"/>
  <c r="K84" i="9"/>
  <c r="J84" i="9"/>
  <c r="I84" i="9"/>
  <c r="H84" i="9"/>
  <c r="G84" i="9"/>
  <c r="F84" i="9"/>
  <c r="E84" i="9"/>
  <c r="D84" i="9"/>
  <c r="C84" i="9"/>
  <c r="B84" i="9"/>
  <c r="N79" i="9"/>
  <c r="M79" i="9"/>
  <c r="L79" i="9"/>
  <c r="K79" i="9"/>
  <c r="J79" i="9"/>
  <c r="I79" i="9"/>
  <c r="H79" i="9"/>
  <c r="G79" i="9"/>
  <c r="F79" i="9"/>
  <c r="E79" i="9"/>
  <c r="D79" i="9"/>
  <c r="C79" i="9"/>
  <c r="B79" i="9"/>
  <c r="N74" i="9"/>
  <c r="M74" i="9"/>
  <c r="L74" i="9"/>
  <c r="K74" i="9"/>
  <c r="J74" i="9"/>
  <c r="I74" i="9"/>
  <c r="H74" i="9"/>
  <c r="G74" i="9"/>
  <c r="F74" i="9"/>
  <c r="E74" i="9"/>
  <c r="D74" i="9"/>
  <c r="C74" i="9"/>
  <c r="B74" i="9"/>
  <c r="N69" i="9"/>
  <c r="M69" i="9"/>
  <c r="L69" i="9"/>
  <c r="K69" i="9"/>
  <c r="J69" i="9"/>
  <c r="I69" i="9"/>
  <c r="H69" i="9"/>
  <c r="G69" i="9"/>
  <c r="F69" i="9"/>
  <c r="E69" i="9"/>
  <c r="D69" i="9"/>
  <c r="C69" i="9"/>
  <c r="B69" i="9"/>
  <c r="N64" i="9"/>
  <c r="M64" i="9"/>
  <c r="L64" i="9"/>
  <c r="K64" i="9"/>
  <c r="J64" i="9"/>
  <c r="I64" i="9"/>
  <c r="H64" i="9"/>
  <c r="G64" i="9"/>
  <c r="F64" i="9"/>
  <c r="E64" i="9"/>
  <c r="D64" i="9"/>
  <c r="C64" i="9"/>
  <c r="B64" i="9"/>
  <c r="N59" i="9"/>
  <c r="M59" i="9"/>
  <c r="L59" i="9"/>
  <c r="K59" i="9"/>
  <c r="J59" i="9"/>
  <c r="I59" i="9"/>
  <c r="H59" i="9"/>
  <c r="G59" i="9"/>
  <c r="F59" i="9"/>
  <c r="E59" i="9"/>
  <c r="D59" i="9"/>
  <c r="C59" i="9"/>
  <c r="B59" i="9"/>
  <c r="N54" i="9"/>
  <c r="M54" i="9"/>
  <c r="L54" i="9"/>
  <c r="K54" i="9"/>
  <c r="J54" i="9"/>
  <c r="I54" i="9"/>
  <c r="H54" i="9"/>
  <c r="G54" i="9"/>
  <c r="F54" i="9"/>
  <c r="E54" i="9"/>
  <c r="D54" i="9"/>
  <c r="C54" i="9"/>
  <c r="B54" i="9"/>
  <c r="N49" i="9"/>
  <c r="M49" i="9"/>
  <c r="L49" i="9"/>
  <c r="K49" i="9"/>
  <c r="J49" i="9"/>
  <c r="I49" i="9"/>
  <c r="H49" i="9"/>
  <c r="G49" i="9"/>
  <c r="F49" i="9"/>
  <c r="E49" i="9"/>
  <c r="D49" i="9"/>
  <c r="C49" i="9"/>
  <c r="B49" i="9"/>
  <c r="N44" i="9"/>
  <c r="M44" i="9"/>
  <c r="L44" i="9"/>
  <c r="K44" i="9"/>
  <c r="J44" i="9"/>
  <c r="I44" i="9"/>
  <c r="H44" i="9"/>
  <c r="G44" i="9"/>
  <c r="F44" i="9"/>
  <c r="E44" i="9"/>
  <c r="D44" i="9"/>
  <c r="C44" i="9"/>
  <c r="B44" i="9"/>
  <c r="N39" i="9"/>
  <c r="M39" i="9"/>
  <c r="L39" i="9"/>
  <c r="K39" i="9"/>
  <c r="J39" i="9"/>
  <c r="I39" i="9"/>
  <c r="H39" i="9"/>
  <c r="G39" i="9"/>
  <c r="F39" i="9"/>
  <c r="E39" i="9"/>
  <c r="D39" i="9"/>
  <c r="C39" i="9"/>
  <c r="B39" i="9"/>
  <c r="N34" i="9"/>
  <c r="M34" i="9"/>
  <c r="L34" i="9"/>
  <c r="K34" i="9"/>
  <c r="J34" i="9"/>
  <c r="I34" i="9"/>
  <c r="H34" i="9"/>
  <c r="G34" i="9"/>
  <c r="F34" i="9"/>
  <c r="E34" i="9"/>
  <c r="D34" i="9"/>
  <c r="C34" i="9"/>
  <c r="B34" i="9"/>
  <c r="O126" i="9"/>
  <c r="A124" i="9"/>
  <c r="A123" i="9" s="1"/>
  <c r="DG114" i="9" s="1"/>
  <c r="N120" i="9"/>
  <c r="M120" i="9"/>
  <c r="L120" i="9"/>
  <c r="K120" i="9"/>
  <c r="J120" i="9"/>
  <c r="I120" i="9"/>
  <c r="H120" i="9"/>
  <c r="G120" i="9"/>
  <c r="F120" i="9"/>
  <c r="E120" i="9"/>
  <c r="D120" i="9"/>
  <c r="C120" i="9"/>
  <c r="B120" i="9"/>
  <c r="A120" i="9"/>
  <c r="A119" i="9" s="1"/>
  <c r="A118" i="9" s="1"/>
  <c r="CZ114" i="9" s="1"/>
  <c r="N115" i="9"/>
  <c r="M115" i="9"/>
  <c r="L115" i="9"/>
  <c r="K115" i="9"/>
  <c r="J115" i="9"/>
  <c r="I115" i="9"/>
  <c r="H115" i="9"/>
  <c r="G115" i="9"/>
  <c r="F115" i="9"/>
  <c r="E115" i="9"/>
  <c r="D115" i="9"/>
  <c r="C115" i="9"/>
  <c r="B115" i="9"/>
  <c r="A115" i="9"/>
  <c r="A114" i="9" s="1"/>
  <c r="A113" i="9" s="1"/>
  <c r="DG106" i="9" s="1"/>
  <c r="N110" i="9"/>
  <c r="M110" i="9"/>
  <c r="L110" i="9"/>
  <c r="K110" i="9"/>
  <c r="J110" i="9"/>
  <c r="I110" i="9"/>
  <c r="H110" i="9"/>
  <c r="G110" i="9"/>
  <c r="F110" i="9"/>
  <c r="E110" i="9"/>
  <c r="D110" i="9"/>
  <c r="C110" i="9"/>
  <c r="B110" i="9"/>
  <c r="A110" i="9"/>
  <c r="A109" i="9" s="1"/>
  <c r="A108" i="9" s="1"/>
  <c r="CZ106" i="9" s="1"/>
  <c r="N105" i="9"/>
  <c r="M105" i="9"/>
  <c r="L105" i="9"/>
  <c r="K105" i="9"/>
  <c r="J105" i="9"/>
  <c r="I105" i="9"/>
  <c r="H105" i="9"/>
  <c r="G105" i="9"/>
  <c r="F105" i="9"/>
  <c r="E105" i="9"/>
  <c r="D105" i="9"/>
  <c r="C105" i="9"/>
  <c r="B105" i="9"/>
  <c r="A105" i="9"/>
  <c r="A104" i="9" s="1"/>
  <c r="A103" i="9" s="1"/>
  <c r="DG98" i="9" s="1"/>
  <c r="N100" i="9"/>
  <c r="M100" i="9"/>
  <c r="L100" i="9"/>
  <c r="K100" i="9"/>
  <c r="J100" i="9"/>
  <c r="I100" i="9"/>
  <c r="H100" i="9"/>
  <c r="G100" i="9"/>
  <c r="F100" i="9"/>
  <c r="E100" i="9"/>
  <c r="D100" i="9"/>
  <c r="C100" i="9"/>
  <c r="B100" i="9"/>
  <c r="A100" i="9"/>
  <c r="A99" i="9" s="1"/>
  <c r="A98" i="9" s="1"/>
  <c r="CZ98" i="9" s="1"/>
  <c r="N95" i="9"/>
  <c r="M95" i="9"/>
  <c r="L95" i="9"/>
  <c r="K95" i="9"/>
  <c r="J95" i="9"/>
  <c r="I95" i="9"/>
  <c r="H95" i="9"/>
  <c r="G95" i="9"/>
  <c r="F95" i="9"/>
  <c r="E95" i="9"/>
  <c r="D95" i="9"/>
  <c r="C95" i="9"/>
  <c r="B95" i="9"/>
  <c r="A95" i="9"/>
  <c r="A94" i="9" s="1"/>
  <c r="A93" i="9" s="1"/>
  <c r="DG89" i="9" s="1"/>
  <c r="N90" i="9"/>
  <c r="M90" i="9"/>
  <c r="L90" i="9"/>
  <c r="K90" i="9"/>
  <c r="J90" i="9"/>
  <c r="I90" i="9"/>
  <c r="H90" i="9"/>
  <c r="G90" i="9"/>
  <c r="F90" i="9"/>
  <c r="E90" i="9"/>
  <c r="D90" i="9"/>
  <c r="C90" i="9"/>
  <c r="B90" i="9"/>
  <c r="A90" i="9"/>
  <c r="A89" i="9" s="1"/>
  <c r="A88" i="9" s="1"/>
  <c r="CZ89" i="9" s="1"/>
  <c r="N85" i="9"/>
  <c r="M85" i="9"/>
  <c r="L85" i="9"/>
  <c r="K85" i="9"/>
  <c r="J85" i="9"/>
  <c r="I85" i="9"/>
  <c r="H85" i="9"/>
  <c r="G85" i="9"/>
  <c r="F85" i="9"/>
  <c r="E85" i="9"/>
  <c r="D85" i="9"/>
  <c r="C85" i="9"/>
  <c r="B85" i="9"/>
  <c r="A85" i="9"/>
  <c r="A84" i="9" s="1"/>
  <c r="N80" i="9"/>
  <c r="M80" i="9"/>
  <c r="L80" i="9"/>
  <c r="K80" i="9"/>
  <c r="J80" i="9"/>
  <c r="I80" i="9"/>
  <c r="H80" i="9"/>
  <c r="G80" i="9"/>
  <c r="F80" i="9"/>
  <c r="E80" i="9"/>
  <c r="D80" i="9"/>
  <c r="C80" i="9"/>
  <c r="B80" i="9"/>
  <c r="A80" i="9"/>
  <c r="A79" i="9" s="1"/>
  <c r="N75" i="9"/>
  <c r="M75" i="9"/>
  <c r="L75" i="9"/>
  <c r="K75" i="9"/>
  <c r="J75" i="9"/>
  <c r="I75" i="9"/>
  <c r="H75" i="9"/>
  <c r="G75" i="9"/>
  <c r="F75" i="9"/>
  <c r="E75" i="9"/>
  <c r="D75" i="9"/>
  <c r="C75" i="9"/>
  <c r="B75" i="9"/>
  <c r="A75" i="9"/>
  <c r="A74" i="9" s="1"/>
  <c r="DG61" i="9" s="1"/>
  <c r="N70" i="9"/>
  <c r="M70" i="9"/>
  <c r="L70" i="9"/>
  <c r="K70" i="9"/>
  <c r="J70" i="9"/>
  <c r="I70" i="9"/>
  <c r="H70" i="9"/>
  <c r="G70" i="9"/>
  <c r="F70" i="9"/>
  <c r="E70" i="9"/>
  <c r="D70" i="9"/>
  <c r="C70" i="9"/>
  <c r="B70" i="9"/>
  <c r="A70" i="9"/>
  <c r="A69" i="9" s="1"/>
  <c r="A68" i="9" s="1"/>
  <c r="N65" i="9"/>
  <c r="M65" i="9"/>
  <c r="L65" i="9"/>
  <c r="K65" i="9"/>
  <c r="J65" i="9"/>
  <c r="I65" i="9"/>
  <c r="H65" i="9"/>
  <c r="G65" i="9"/>
  <c r="F65" i="9"/>
  <c r="E65" i="9"/>
  <c r="D65" i="9"/>
  <c r="C65" i="9"/>
  <c r="B65" i="9"/>
  <c r="A65" i="9"/>
  <c r="A64" i="9" s="1"/>
  <c r="N60" i="9"/>
  <c r="M60" i="9"/>
  <c r="L60" i="9"/>
  <c r="K60" i="9"/>
  <c r="J60" i="9"/>
  <c r="I60" i="9"/>
  <c r="H60" i="9"/>
  <c r="G60" i="9"/>
  <c r="F60" i="9"/>
  <c r="E60" i="9"/>
  <c r="D60" i="9"/>
  <c r="C60" i="9"/>
  <c r="B60" i="9"/>
  <c r="A60" i="9"/>
  <c r="A59" i="9" s="1"/>
  <c r="N55" i="9"/>
  <c r="M55" i="9"/>
  <c r="L55" i="9"/>
  <c r="K55" i="9"/>
  <c r="J55" i="9"/>
  <c r="I55" i="9"/>
  <c r="H55" i="9"/>
  <c r="G55" i="9"/>
  <c r="F55" i="9"/>
  <c r="E55" i="9"/>
  <c r="D55" i="9"/>
  <c r="C55" i="9"/>
  <c r="B55" i="9"/>
  <c r="A55" i="9"/>
  <c r="A54" i="9" s="1"/>
  <c r="N50" i="9"/>
  <c r="M50" i="9"/>
  <c r="L50" i="9"/>
  <c r="K50" i="9"/>
  <c r="J50" i="9"/>
  <c r="I50" i="9"/>
  <c r="H50" i="9"/>
  <c r="G50" i="9"/>
  <c r="F50" i="9"/>
  <c r="E50" i="9"/>
  <c r="D50" i="9"/>
  <c r="C50" i="9"/>
  <c r="B50" i="9"/>
  <c r="A50" i="9"/>
  <c r="A49" i="9" s="1"/>
  <c r="N45" i="9"/>
  <c r="M45" i="9"/>
  <c r="L45" i="9"/>
  <c r="K45" i="9"/>
  <c r="J45" i="9"/>
  <c r="I45" i="9"/>
  <c r="H45" i="9"/>
  <c r="G45" i="9"/>
  <c r="F45" i="9"/>
  <c r="E45" i="9"/>
  <c r="D45" i="9"/>
  <c r="C45" i="9"/>
  <c r="B45" i="9"/>
  <c r="A45" i="9"/>
  <c r="A44" i="9" s="1"/>
  <c r="N40" i="9"/>
  <c r="M40" i="9"/>
  <c r="L40" i="9"/>
  <c r="K40" i="9"/>
  <c r="J40" i="9"/>
  <c r="I40" i="9"/>
  <c r="H40" i="9"/>
  <c r="G40" i="9"/>
  <c r="F40" i="9"/>
  <c r="E40" i="9"/>
  <c r="D40" i="9"/>
  <c r="C40" i="9"/>
  <c r="B40" i="9"/>
  <c r="A40" i="9"/>
  <c r="A39" i="9" s="1"/>
  <c r="N35" i="9"/>
  <c r="M35" i="9"/>
  <c r="L35" i="9"/>
  <c r="K35" i="9"/>
  <c r="J35" i="9"/>
  <c r="I35" i="9"/>
  <c r="H35" i="9"/>
  <c r="G35" i="9"/>
  <c r="F35" i="9"/>
  <c r="E35" i="9"/>
  <c r="D35" i="9"/>
  <c r="C35" i="9"/>
  <c r="B35" i="9"/>
  <c r="A35" i="9"/>
  <c r="A34" i="9" s="1"/>
  <c r="A33" i="9" s="1"/>
  <c r="N29" i="9"/>
  <c r="M29" i="9"/>
  <c r="L29" i="9"/>
  <c r="K29" i="9"/>
  <c r="J29" i="9"/>
  <c r="I29" i="9"/>
  <c r="H29" i="9"/>
  <c r="G29" i="9"/>
  <c r="F29" i="9"/>
  <c r="E29" i="9"/>
  <c r="D29" i="9"/>
  <c r="C29" i="9"/>
  <c r="B29" i="9"/>
  <c r="N30" i="9"/>
  <c r="M30" i="9"/>
  <c r="L30" i="9"/>
  <c r="K30" i="9"/>
  <c r="J30" i="9"/>
  <c r="I30" i="9"/>
  <c r="H30" i="9"/>
  <c r="G30" i="9"/>
  <c r="F30" i="9"/>
  <c r="E30" i="9"/>
  <c r="D30" i="9"/>
  <c r="C30" i="9"/>
  <c r="B30" i="9"/>
  <c r="A30" i="9"/>
  <c r="A29" i="9" s="1"/>
  <c r="A28" i="9" s="1"/>
  <c r="AB74" i="8"/>
  <c r="AB72" i="8"/>
  <c r="AB70" i="8"/>
  <c r="AB68" i="8"/>
  <c r="AB66" i="8"/>
  <c r="AB64" i="8"/>
  <c r="AB62" i="8"/>
  <c r="AB60" i="8"/>
  <c r="AB58" i="8"/>
  <c r="AB56" i="8"/>
  <c r="AB54" i="8"/>
  <c r="AB52" i="8"/>
  <c r="AB50" i="8"/>
  <c r="AB48" i="8"/>
  <c r="AB46" i="8"/>
  <c r="AB44" i="8"/>
  <c r="AB42" i="8"/>
  <c r="AB40" i="8"/>
  <c r="AB36" i="8"/>
  <c r="F126" i="9"/>
  <c r="J126" i="9"/>
  <c r="E126" i="9"/>
  <c r="I126" i="9"/>
  <c r="M126" i="9"/>
  <c r="G126" i="9"/>
  <c r="K126" i="9"/>
  <c r="D126" i="9"/>
  <c r="H126" i="9"/>
  <c r="L126" i="9"/>
  <c r="N126" i="9"/>
  <c r="K13" i="7"/>
  <c r="J13" i="7"/>
  <c r="I13" i="7"/>
  <c r="K11" i="7"/>
  <c r="J11" i="7"/>
  <c r="K10" i="7"/>
  <c r="J10" i="7"/>
  <c r="K9" i="7"/>
  <c r="J9" i="7"/>
  <c r="K8" i="7"/>
  <c r="J8" i="7"/>
  <c r="I11" i="7"/>
  <c r="I10" i="7"/>
  <c r="I9" i="7"/>
  <c r="I8" i="7"/>
  <c r="I7" i="7"/>
  <c r="I6" i="7"/>
  <c r="I5" i="7"/>
  <c r="I4" i="7"/>
  <c r="K7" i="7"/>
  <c r="J7" i="7"/>
  <c r="K5" i="7"/>
  <c r="K4" i="7"/>
  <c r="K3" i="7"/>
  <c r="K6" i="7"/>
  <c r="J5" i="7"/>
  <c r="J4" i="7"/>
  <c r="J3" i="7"/>
  <c r="J6" i="7"/>
  <c r="K12" i="7"/>
  <c r="I12" i="7"/>
  <c r="J12" i="7"/>
  <c r="DP18" i="2"/>
  <c r="DP30" i="2"/>
  <c r="DP21" i="2"/>
  <c r="DP22" i="2"/>
  <c r="DP24" i="2"/>
  <c r="DP26" i="2"/>
  <c r="DP20" i="2"/>
  <c r="DP40" i="2"/>
  <c r="DP31" i="2"/>
  <c r="DP33" i="2"/>
  <c r="DP16" i="2"/>
  <c r="DP37" i="2"/>
  <c r="DP35" i="2"/>
  <c r="DP38" i="2"/>
  <c r="DP36" i="2"/>
  <c r="DP27" i="2"/>
  <c r="DP39" i="2"/>
  <c r="DP29" i="2"/>
  <c r="DP19" i="2"/>
  <c r="DP28" i="2"/>
  <c r="DP23" i="2"/>
  <c r="DP25" i="2"/>
  <c r="DP32" i="2"/>
  <c r="DP17" i="2"/>
  <c r="DO40" i="2"/>
  <c r="DO25" i="2"/>
  <c r="DO17" i="2"/>
  <c r="DO23" i="2"/>
  <c r="DO32" i="2"/>
  <c r="DO19" i="2"/>
  <c r="DO28" i="2"/>
  <c r="DO31" i="2"/>
  <c r="DO33" i="2"/>
  <c r="DO21" i="2"/>
  <c r="DO27" i="2"/>
  <c r="DO22" i="2"/>
  <c r="DO26" i="2"/>
  <c r="DO18" i="2"/>
  <c r="DO30" i="2"/>
  <c r="DO24" i="2"/>
  <c r="DO20" i="2"/>
  <c r="DO39" i="2"/>
  <c r="DO29" i="2"/>
  <c r="DO16" i="2"/>
  <c r="H28" i="7"/>
  <c r="J28" i="7" s="1"/>
  <c r="AY146" i="9" l="1"/>
  <c r="F53" i="17"/>
  <c r="E5" i="17"/>
  <c r="W5" i="17" s="1"/>
  <c r="E13" i="17"/>
  <c r="W13" i="17" s="1"/>
  <c r="E17" i="17"/>
  <c r="W17" i="17" s="1"/>
  <c r="F31" i="17"/>
  <c r="F2" i="17" s="1"/>
  <c r="F50" i="17"/>
  <c r="F54" i="17"/>
  <c r="E11" i="17"/>
  <c r="W11" i="17" s="1"/>
  <c r="W44" i="17"/>
  <c r="E22" i="17"/>
  <c r="W22" i="17" s="1"/>
  <c r="W55" i="17"/>
  <c r="W35" i="17"/>
  <c r="W39" i="17"/>
  <c r="E18" i="17"/>
  <c r="W18" i="17" s="1"/>
  <c r="F33" i="17"/>
  <c r="F37" i="17"/>
  <c r="E12" i="17"/>
  <c r="W12" i="17" s="1"/>
  <c r="W49" i="17"/>
  <c r="F52" i="17"/>
  <c r="E21" i="17"/>
  <c r="W21" i="17" s="1"/>
  <c r="F55" i="17"/>
  <c r="W51" i="17"/>
  <c r="F51" i="17"/>
  <c r="AW111" i="9"/>
  <c r="AW91" i="9"/>
  <c r="AW51" i="9"/>
  <c r="AV146" i="9"/>
  <c r="AR86" i="9"/>
  <c r="AN86" i="9"/>
  <c r="H24" i="25"/>
  <c r="AH36" i="9"/>
  <c r="AH86" i="9"/>
  <c r="AH96" i="9"/>
  <c r="Z136" i="9"/>
  <c r="AS71" i="9"/>
  <c r="AO71" i="9"/>
  <c r="AQ61" i="9"/>
  <c r="AM61" i="9"/>
  <c r="AQ56" i="9"/>
  <c r="AV56" i="9"/>
  <c r="AR46" i="9"/>
  <c r="AN36" i="9"/>
  <c r="P31" i="9"/>
  <c r="O91" i="9"/>
  <c r="AZ61" i="9"/>
  <c r="F81" i="9"/>
  <c r="AO151" i="9"/>
  <c r="AP46" i="9"/>
  <c r="J71" i="9"/>
  <c r="N71" i="9"/>
  <c r="C86" i="9"/>
  <c r="G86" i="9"/>
  <c r="K86" i="9"/>
  <c r="I91" i="9"/>
  <c r="H111" i="9"/>
  <c r="C116" i="9"/>
  <c r="AD66" i="9"/>
  <c r="AW71" i="9"/>
  <c r="H25" i="25"/>
  <c r="I216" i="25"/>
  <c r="K213" i="25"/>
  <c r="H13" i="25"/>
  <c r="K179" i="25"/>
  <c r="K221" i="25"/>
  <c r="F25" i="25"/>
  <c r="I65" i="25"/>
  <c r="G81" i="25"/>
  <c r="H14" i="25"/>
  <c r="I44" i="25"/>
  <c r="K42" i="25"/>
  <c r="H179" i="25"/>
  <c r="K46" i="25"/>
  <c r="G44" i="25"/>
  <c r="I180" i="25"/>
  <c r="G22" i="25"/>
  <c r="F14" i="25"/>
  <c r="C66" i="9"/>
  <c r="O76" i="9"/>
  <c r="K91" i="9"/>
  <c r="R91" i="9"/>
  <c r="Q111" i="9"/>
  <c r="U41" i="9"/>
  <c r="U51" i="9"/>
  <c r="AP136" i="9"/>
  <c r="AL111" i="9"/>
  <c r="H22" i="25"/>
  <c r="G14" i="25"/>
  <c r="K180" i="25"/>
  <c r="I179" i="25"/>
  <c r="L86" i="9"/>
  <c r="E91" i="9"/>
  <c r="AA96" i="9"/>
  <c r="AB36" i="9"/>
  <c r="AP146" i="9"/>
  <c r="F20" i="25"/>
  <c r="I14" i="25"/>
  <c r="G145" i="25"/>
  <c r="F29" i="25"/>
  <c r="I178" i="25"/>
  <c r="J149" i="25"/>
  <c r="I191" i="25"/>
  <c r="I220" i="25"/>
  <c r="AI81" i="9"/>
  <c r="AI101" i="9"/>
  <c r="AU151" i="9"/>
  <c r="AM151" i="9"/>
  <c r="AR41" i="9"/>
  <c r="AR31" i="9"/>
  <c r="G25" i="25"/>
  <c r="G13" i="25"/>
  <c r="F21" i="25"/>
  <c r="F9" i="25"/>
  <c r="I149" i="25"/>
  <c r="J201" i="25"/>
  <c r="K235" i="25"/>
  <c r="H218" i="25"/>
  <c r="I111" i="9"/>
  <c r="Z81" i="9"/>
  <c r="AA36" i="9"/>
  <c r="Z56" i="9"/>
  <c r="AD56" i="9"/>
  <c r="G9" i="25"/>
  <c r="K54" i="25"/>
  <c r="I45" i="25"/>
  <c r="G149" i="25"/>
  <c r="K212" i="25"/>
  <c r="G106" i="9"/>
  <c r="AA46" i="9"/>
  <c r="AA86" i="9"/>
  <c r="H31" i="9"/>
  <c r="C41" i="9"/>
  <c r="K41" i="9"/>
  <c r="F46" i="9"/>
  <c r="J46" i="9"/>
  <c r="C51" i="9"/>
  <c r="G51" i="9"/>
  <c r="L51" i="9"/>
  <c r="F56" i="9"/>
  <c r="J81" i="9"/>
  <c r="D86" i="9"/>
  <c r="H86" i="9"/>
  <c r="L96" i="9"/>
  <c r="S146" i="9"/>
  <c r="U106" i="9"/>
  <c r="V111" i="9"/>
  <c r="AA116" i="9"/>
  <c r="AA136" i="9"/>
  <c r="S151" i="9"/>
  <c r="AG71" i="9"/>
  <c r="AU111" i="9"/>
  <c r="AT96" i="9"/>
  <c r="AP61" i="9"/>
  <c r="G17" i="25"/>
  <c r="J65" i="25"/>
  <c r="F54" i="25"/>
  <c r="F45" i="25"/>
  <c r="K149" i="25"/>
  <c r="F149" i="25"/>
  <c r="I212" i="25"/>
  <c r="S86" i="9"/>
  <c r="AW36" i="9"/>
  <c r="AV36" i="9"/>
  <c r="S96" i="9"/>
  <c r="A63" i="9"/>
  <c r="DG53" i="9"/>
  <c r="D106" i="9"/>
  <c r="H106" i="9"/>
  <c r="L106" i="9"/>
  <c r="D116" i="9"/>
  <c r="H116" i="9"/>
  <c r="L116" i="9"/>
  <c r="N131" i="9"/>
  <c r="P41" i="9"/>
  <c r="P61" i="9"/>
  <c r="P71" i="9"/>
  <c r="Q106" i="9"/>
  <c r="E31" i="9"/>
  <c r="I31" i="9"/>
  <c r="N31" i="9"/>
  <c r="K36" i="9"/>
  <c r="J76" i="9"/>
  <c r="AC131" i="9"/>
  <c r="AE146" i="9"/>
  <c r="AL41" i="9"/>
  <c r="AU131" i="9"/>
  <c r="AQ131" i="9"/>
  <c r="AM131" i="9"/>
  <c r="AM106" i="9"/>
  <c r="AV101" i="9"/>
  <c r="AR101" i="9"/>
  <c r="AL66" i="9"/>
  <c r="AU36" i="9"/>
  <c r="AO31" i="9"/>
  <c r="V91" i="9"/>
  <c r="J31" i="25"/>
  <c r="K31" i="25"/>
  <c r="I31" i="25"/>
  <c r="J9" i="25"/>
  <c r="AX121" i="9"/>
  <c r="H85" i="25"/>
  <c r="K196" i="25"/>
  <c r="I51" i="9"/>
  <c r="G56" i="9"/>
  <c r="K66" i="9"/>
  <c r="C76" i="9"/>
  <c r="X86" i="9"/>
  <c r="X106" i="9"/>
  <c r="Z96" i="9"/>
  <c r="Z116" i="9"/>
  <c r="Z41" i="9"/>
  <c r="F17" i="25"/>
  <c r="H65" i="25"/>
  <c r="J54" i="25"/>
  <c r="I93" i="25"/>
  <c r="H128" i="25"/>
  <c r="AX146" i="9"/>
  <c r="J163" i="25"/>
  <c r="K150" i="25"/>
  <c r="K145" i="25"/>
  <c r="J197" i="25"/>
  <c r="I196" i="25"/>
  <c r="I188" i="25"/>
  <c r="I223" i="25"/>
  <c r="I221" i="25"/>
  <c r="I217" i="25"/>
  <c r="I213" i="25"/>
  <c r="C46" i="9"/>
  <c r="E51" i="9"/>
  <c r="C56" i="9"/>
  <c r="K56" i="9"/>
  <c r="G76" i="9"/>
  <c r="K76" i="9"/>
  <c r="T61" i="9"/>
  <c r="W96" i="9"/>
  <c r="AB116" i="9"/>
  <c r="AH61" i="9"/>
  <c r="AH131" i="9"/>
  <c r="AH151" i="9"/>
  <c r="AS41" i="9"/>
  <c r="AL46" i="9"/>
  <c r="AV71" i="9"/>
  <c r="D31" i="9"/>
  <c r="G31" i="9"/>
  <c r="O71" i="9"/>
  <c r="E101" i="9"/>
  <c r="C106" i="9"/>
  <c r="K106" i="9"/>
  <c r="N106" i="9"/>
  <c r="G116" i="9"/>
  <c r="K116" i="9"/>
  <c r="P116" i="9"/>
  <c r="C131" i="9"/>
  <c r="Q46" i="9"/>
  <c r="U146" i="9"/>
  <c r="Y91" i="9"/>
  <c r="H151" i="9"/>
  <c r="M151" i="9"/>
  <c r="Q151" i="9"/>
  <c r="AD46" i="9"/>
  <c r="AD151" i="9"/>
  <c r="AG116" i="9"/>
  <c r="AI66" i="9"/>
  <c r="AK141" i="9"/>
  <c r="AO121" i="9"/>
  <c r="AK121" i="9"/>
  <c r="AP101" i="9"/>
  <c r="AU91" i="9"/>
  <c r="AQ91" i="9"/>
  <c r="AN91" i="9"/>
  <c r="AQ51" i="9"/>
  <c r="AM46" i="9"/>
  <c r="AM41" i="9"/>
  <c r="AM36" i="9"/>
  <c r="H17" i="25"/>
  <c r="I24" i="25"/>
  <c r="G54" i="25"/>
  <c r="J44" i="25"/>
  <c r="J93" i="25"/>
  <c r="F128" i="25"/>
  <c r="K152" i="25"/>
  <c r="I150" i="25"/>
  <c r="H145" i="25"/>
  <c r="AX131" i="9"/>
  <c r="H197" i="25"/>
  <c r="H196" i="25"/>
  <c r="G188" i="25"/>
  <c r="J178" i="25"/>
  <c r="I218" i="25"/>
  <c r="H217" i="25"/>
  <c r="CZ37" i="9"/>
  <c r="A38" i="9"/>
  <c r="V51" i="9"/>
  <c r="J8" i="25"/>
  <c r="F8" i="25"/>
  <c r="V31" i="9"/>
  <c r="W111" i="9"/>
  <c r="H61" i="25"/>
  <c r="I61" i="25"/>
  <c r="H55" i="25"/>
  <c r="I55" i="25"/>
  <c r="I49" i="25"/>
  <c r="F49" i="25"/>
  <c r="H49" i="25"/>
  <c r="N41" i="9"/>
  <c r="D46" i="9"/>
  <c r="H46" i="9"/>
  <c r="L46" i="9"/>
  <c r="F51" i="9"/>
  <c r="N51" i="9"/>
  <c r="D56" i="9"/>
  <c r="H56" i="9"/>
  <c r="F61" i="9"/>
  <c r="K61" i="9"/>
  <c r="N61" i="9"/>
  <c r="D66" i="9"/>
  <c r="G96" i="9"/>
  <c r="K96" i="9"/>
  <c r="D101" i="9"/>
  <c r="H101" i="9"/>
  <c r="F106" i="9"/>
  <c r="D111" i="9"/>
  <c r="F116" i="9"/>
  <c r="N116" i="9"/>
  <c r="F146" i="9"/>
  <c r="M136" i="9"/>
  <c r="E136" i="9"/>
  <c r="L131" i="9"/>
  <c r="H131" i="9"/>
  <c r="S51" i="9"/>
  <c r="W146" i="9"/>
  <c r="Y66" i="9"/>
  <c r="Y76" i="9"/>
  <c r="E26" i="17"/>
  <c r="W26" i="17" s="1"/>
  <c r="AA71" i="9"/>
  <c r="AA81" i="9"/>
  <c r="AA111" i="9"/>
  <c r="R151" i="9"/>
  <c r="U151" i="9"/>
  <c r="AB121" i="9"/>
  <c r="AV96" i="9"/>
  <c r="AV91" i="9"/>
  <c r="AO86" i="9"/>
  <c r="AU86" i="9"/>
  <c r="AQ81" i="9"/>
  <c r="AV76" i="9"/>
  <c r="AN76" i="9"/>
  <c r="AL51" i="9"/>
  <c r="AT36" i="9"/>
  <c r="H29" i="25"/>
  <c r="H21" i="25"/>
  <c r="G24" i="25"/>
  <c r="I15" i="25"/>
  <c r="H28" i="25"/>
  <c r="G28" i="25"/>
  <c r="J19" i="25"/>
  <c r="I19" i="25"/>
  <c r="J16" i="25"/>
  <c r="F16" i="25"/>
  <c r="H10" i="25"/>
  <c r="G10" i="25"/>
  <c r="K66" i="25"/>
  <c r="J61" i="25"/>
  <c r="H57" i="25"/>
  <c r="F42" i="25"/>
  <c r="H42" i="25"/>
  <c r="I42" i="25"/>
  <c r="K97" i="25"/>
  <c r="I97" i="25"/>
  <c r="G97" i="25"/>
  <c r="J89" i="25"/>
  <c r="K89" i="25"/>
  <c r="G89" i="25"/>
  <c r="I81" i="25"/>
  <c r="K81" i="25"/>
  <c r="K77" i="25"/>
  <c r="I77" i="25"/>
  <c r="H77" i="25"/>
  <c r="I85" i="25"/>
  <c r="I155" i="25"/>
  <c r="J155" i="25"/>
  <c r="V41" i="9"/>
  <c r="AK96" i="9"/>
  <c r="O116" i="9"/>
  <c r="T71" i="9"/>
  <c r="T91" i="9"/>
  <c r="S111" i="9"/>
  <c r="V106" i="9"/>
  <c r="V116" i="9"/>
  <c r="W66" i="9"/>
  <c r="AD136" i="9"/>
  <c r="AG101" i="9"/>
  <c r="AG111" i="9"/>
  <c r="AG121" i="9"/>
  <c r="AT141" i="9"/>
  <c r="AP141" i="9"/>
  <c r="AV136" i="9"/>
  <c r="H8" i="25"/>
  <c r="J21" i="25"/>
  <c r="G18" i="25"/>
  <c r="H18" i="25"/>
  <c r="G61" i="25"/>
  <c r="H50" i="25"/>
  <c r="J50" i="25"/>
  <c r="G48" i="25"/>
  <c r="H48" i="25"/>
  <c r="I48" i="25"/>
  <c r="J167" i="25"/>
  <c r="F199" i="25"/>
  <c r="H199" i="25"/>
  <c r="I199" i="25"/>
  <c r="G199" i="25"/>
  <c r="U111" i="9"/>
  <c r="W81" i="9"/>
  <c r="G46" i="9"/>
  <c r="K46" i="9"/>
  <c r="M51" i="9"/>
  <c r="C81" i="9"/>
  <c r="G81" i="9"/>
  <c r="K81" i="9"/>
  <c r="E86" i="9"/>
  <c r="M86" i="9"/>
  <c r="J96" i="9"/>
  <c r="M96" i="9"/>
  <c r="E146" i="9"/>
  <c r="O136" i="9"/>
  <c r="X61" i="9"/>
  <c r="X81" i="9"/>
  <c r="Z61" i="9"/>
  <c r="Z111" i="9"/>
  <c r="Z131" i="9"/>
  <c r="AB96" i="9"/>
  <c r="AC96" i="9"/>
  <c r="AE36" i="9"/>
  <c r="AF46" i="9"/>
  <c r="AE66" i="9"/>
  <c r="AE96" i="9"/>
  <c r="AF121" i="9"/>
  <c r="AG41" i="9"/>
  <c r="AG51" i="9"/>
  <c r="AT121" i="9"/>
  <c r="AP121" i="9"/>
  <c r="AL121" i="9"/>
  <c r="AU116" i="9"/>
  <c r="AQ116" i="9"/>
  <c r="AM116" i="9"/>
  <c r="AP66" i="9"/>
  <c r="AV46" i="9"/>
  <c r="AN46" i="9"/>
  <c r="AS36" i="9"/>
  <c r="AU31" i="9"/>
  <c r="G29" i="25"/>
  <c r="I23" i="25"/>
  <c r="J12" i="25"/>
  <c r="I12" i="25"/>
  <c r="H12" i="25"/>
  <c r="F62" i="25"/>
  <c r="J62" i="25"/>
  <c r="F61" i="25"/>
  <c r="J52" i="25"/>
  <c r="J49" i="25"/>
  <c r="I195" i="25"/>
  <c r="K192" i="25"/>
  <c r="H184" i="25"/>
  <c r="AY81" i="9"/>
  <c r="AY121" i="9"/>
  <c r="AY141" i="9"/>
  <c r="H231" i="25"/>
  <c r="H230" i="25"/>
  <c r="J216" i="25"/>
  <c r="F216" i="25"/>
  <c r="AX51" i="9"/>
  <c r="AX61" i="9"/>
  <c r="AX141" i="9"/>
  <c r="I153" i="25"/>
  <c r="K198" i="25"/>
  <c r="K184" i="25"/>
  <c r="AZ46" i="9"/>
  <c r="AZ66" i="9"/>
  <c r="AZ86" i="9"/>
  <c r="AZ106" i="9"/>
  <c r="AZ116" i="9"/>
  <c r="K230" i="25"/>
  <c r="I226" i="25"/>
  <c r="K224" i="25"/>
  <c r="H221" i="25"/>
  <c r="H216" i="25"/>
  <c r="H212" i="25"/>
  <c r="AA106" i="9"/>
  <c r="AD76" i="9"/>
  <c r="AD96" i="9"/>
  <c r="AD106" i="9"/>
  <c r="AD111" i="9"/>
  <c r="AF136" i="9"/>
  <c r="AH46" i="9"/>
  <c r="AI131" i="9"/>
  <c r="AI46" i="9"/>
  <c r="AK36" i="9"/>
  <c r="AJ81" i="9"/>
  <c r="AO136" i="9"/>
  <c r="AV121" i="9"/>
  <c r="AR121" i="9"/>
  <c r="AP116" i="9"/>
  <c r="AU106" i="9"/>
  <c r="AQ106" i="9"/>
  <c r="AP96" i="9"/>
  <c r="AP81" i="9"/>
  <c r="AR71" i="9"/>
  <c r="AN71" i="9"/>
  <c r="AU66" i="9"/>
  <c r="AQ66" i="9"/>
  <c r="AM66" i="9"/>
  <c r="AJ51" i="9"/>
  <c r="I54" i="25"/>
  <c r="G83" i="25"/>
  <c r="G128" i="25"/>
  <c r="H153" i="25"/>
  <c r="J151" i="25"/>
  <c r="I145" i="25"/>
  <c r="J198" i="25"/>
  <c r="I184" i="25"/>
  <c r="I231" i="25"/>
  <c r="I230" i="25"/>
  <c r="K228" i="25"/>
  <c r="H226" i="25"/>
  <c r="I224" i="25"/>
  <c r="G221" i="25"/>
  <c r="K217" i="25"/>
  <c r="K216" i="25"/>
  <c r="I214" i="25"/>
  <c r="G212" i="25"/>
  <c r="B45" i="8"/>
  <c r="B16" i="8" s="1"/>
  <c r="L258" i="25"/>
  <c r="M258" i="25" s="1"/>
  <c r="N258" i="25" s="1"/>
  <c r="L256" i="25"/>
  <c r="M256" i="25" s="1"/>
  <c r="N256" i="25" s="1"/>
  <c r="L265" i="25"/>
  <c r="M265" i="25" s="1"/>
  <c r="N265" i="25" s="1"/>
  <c r="L270" i="25"/>
  <c r="M270" i="25" s="1"/>
  <c r="N270" i="25" s="1"/>
  <c r="L253" i="25"/>
  <c r="M253" i="25" s="1"/>
  <c r="N253" i="25" s="1"/>
  <c r="L264" i="25"/>
  <c r="M264" i="25" s="1"/>
  <c r="N264" i="25" s="1"/>
  <c r="L248" i="25"/>
  <c r="M248" i="25" s="1"/>
  <c r="N248" i="25" s="1"/>
  <c r="L262" i="25"/>
  <c r="M262" i="25" s="1"/>
  <c r="N262" i="25" s="1"/>
  <c r="L254" i="25"/>
  <c r="M254" i="25" s="1"/>
  <c r="N254" i="25" s="1"/>
  <c r="L268" i="25"/>
  <c r="M268" i="25" s="1"/>
  <c r="N268" i="25" s="1"/>
  <c r="L260" i="25"/>
  <c r="M260" i="25" s="1"/>
  <c r="N260" i="25" s="1"/>
  <c r="L252" i="25"/>
  <c r="M252" i="25" s="1"/>
  <c r="N252" i="25" s="1"/>
  <c r="L257" i="25"/>
  <c r="M257" i="25" s="1"/>
  <c r="N257" i="25" s="1"/>
  <c r="L266" i="25"/>
  <c r="M266" i="25" s="1"/>
  <c r="N266" i="25" s="1"/>
  <c r="L250" i="25"/>
  <c r="M250" i="25" s="1"/>
  <c r="N250" i="25" s="1"/>
  <c r="L261" i="25"/>
  <c r="M261" i="25" s="1"/>
  <c r="N261" i="25" s="1"/>
  <c r="J36" i="9"/>
  <c r="M116" i="9"/>
  <c r="I136" i="9"/>
  <c r="J136" i="9"/>
  <c r="T31" i="9"/>
  <c r="S31" i="9"/>
  <c r="W33" i="17"/>
  <c r="AC76" i="9"/>
  <c r="AB76" i="9"/>
  <c r="AL141" i="9"/>
  <c r="AM141" i="9"/>
  <c r="G41" i="9"/>
  <c r="F41" i="9"/>
  <c r="K51" i="9"/>
  <c r="O51" i="9"/>
  <c r="J61" i="9"/>
  <c r="H66" i="9"/>
  <c r="J86" i="9"/>
  <c r="Z36" i="9"/>
  <c r="Y36" i="9"/>
  <c r="AS151" i="9"/>
  <c r="AR151" i="9"/>
  <c r="AR76" i="9"/>
  <c r="AS76" i="9"/>
  <c r="CZ69" i="9"/>
  <c r="A78" i="9"/>
  <c r="AG76" i="9"/>
  <c r="AH76" i="9"/>
  <c r="AO36" i="9"/>
  <c r="AP36" i="9"/>
  <c r="V131" i="9"/>
  <c r="F45" i="17"/>
  <c r="W45" i="17"/>
  <c r="C61" i="9"/>
  <c r="G111" i="9"/>
  <c r="P81" i="9"/>
  <c r="Q81" i="9"/>
  <c r="P101" i="9"/>
  <c r="R146" i="9"/>
  <c r="U101" i="9"/>
  <c r="V101" i="9"/>
  <c r="X51" i="9"/>
  <c r="W51" i="9"/>
  <c r="X71" i="9"/>
  <c r="W101" i="9"/>
  <c r="X101" i="9"/>
  <c r="Z146" i="9"/>
  <c r="F49" i="17"/>
  <c r="W41" i="17"/>
  <c r="AD36" i="9"/>
  <c r="AC36" i="9"/>
  <c r="AJ41" i="9"/>
  <c r="AK41" i="9"/>
  <c r="AA131" i="9"/>
  <c r="I151" i="9"/>
  <c r="C36" i="9"/>
  <c r="G61" i="9"/>
  <c r="O131" i="9"/>
  <c r="I28" i="25"/>
  <c r="I32" i="25"/>
  <c r="F32" i="25"/>
  <c r="H32" i="25"/>
  <c r="J32" i="25"/>
  <c r="G32" i="25"/>
  <c r="AA56" i="9"/>
  <c r="AH141" i="9"/>
  <c r="AG141" i="9"/>
  <c r="M106" i="9"/>
  <c r="L111" i="9"/>
  <c r="K111" i="9"/>
  <c r="O96" i="9"/>
  <c r="P76" i="9"/>
  <c r="P96" i="9"/>
  <c r="AG61" i="9"/>
  <c r="AG81" i="9"/>
  <c r="AI91" i="9"/>
  <c r="AU61" i="9"/>
  <c r="K31" i="9"/>
  <c r="L31" i="9"/>
  <c r="C91" i="9"/>
  <c r="J91" i="9"/>
  <c r="D146" i="9"/>
  <c r="P146" i="9"/>
  <c r="Q31" i="9"/>
  <c r="Q51" i="9"/>
  <c r="Q71" i="9"/>
  <c r="S61" i="9"/>
  <c r="R71" i="9"/>
  <c r="R81" i="9"/>
  <c r="S91" i="9"/>
  <c r="R101" i="9"/>
  <c r="R111" i="9"/>
  <c r="R131" i="9"/>
  <c r="T111" i="9"/>
  <c r="U31" i="9"/>
  <c r="U61" i="9"/>
  <c r="U71" i="9"/>
  <c r="Y51" i="9"/>
  <c r="Y71" i="9"/>
  <c r="Z101" i="9"/>
  <c r="Z91" i="9"/>
  <c r="AB131" i="9"/>
  <c r="AC141" i="9"/>
  <c r="AE151" i="9"/>
  <c r="AI61" i="9"/>
  <c r="AS116" i="9"/>
  <c r="AT116" i="9"/>
  <c r="AK116" i="9"/>
  <c r="AL116" i="9"/>
  <c r="AR111" i="9"/>
  <c r="AR91" i="9"/>
  <c r="AP86" i="9"/>
  <c r="AO76" i="9"/>
  <c r="AK76" i="9"/>
  <c r="AJ61" i="9"/>
  <c r="AT51" i="9"/>
  <c r="AS51" i="9"/>
  <c r="AN51" i="9"/>
  <c r="AM51" i="9"/>
  <c r="K26" i="25"/>
  <c r="I26" i="25"/>
  <c r="G26" i="25"/>
  <c r="H26" i="25"/>
  <c r="J26" i="25"/>
  <c r="F28" i="25"/>
  <c r="K28" i="25"/>
  <c r="J28" i="25"/>
  <c r="E151" i="9"/>
  <c r="Y151" i="9"/>
  <c r="AJ106" i="9"/>
  <c r="AR56" i="9"/>
  <c r="K30" i="25"/>
  <c r="G30" i="25"/>
  <c r="J30" i="25"/>
  <c r="I30" i="25"/>
  <c r="F30" i="25"/>
  <c r="H30" i="25"/>
  <c r="AE131" i="9"/>
  <c r="AE141" i="9"/>
  <c r="AG106" i="9"/>
  <c r="N56" i="9"/>
  <c r="D61" i="9"/>
  <c r="H61" i="9"/>
  <c r="L61" i="9"/>
  <c r="N66" i="9"/>
  <c r="C71" i="9"/>
  <c r="G71" i="9"/>
  <c r="K71" i="9"/>
  <c r="D76" i="9"/>
  <c r="L91" i="9"/>
  <c r="M101" i="9"/>
  <c r="E111" i="9"/>
  <c r="J111" i="9"/>
  <c r="M111" i="9"/>
  <c r="O36" i="9"/>
  <c r="O81" i="9"/>
  <c r="M146" i="9"/>
  <c r="P131" i="9"/>
  <c r="R96" i="9"/>
  <c r="R106" i="9"/>
  <c r="R56" i="9"/>
  <c r="R76" i="9"/>
  <c r="T76" i="9"/>
  <c r="S106" i="9"/>
  <c r="S116" i="9"/>
  <c r="U131" i="9"/>
  <c r="U76" i="9"/>
  <c r="V56" i="9"/>
  <c r="V76" i="9"/>
  <c r="V146" i="9"/>
  <c r="AA51" i="9"/>
  <c r="D151" i="9"/>
  <c r="L151" i="9"/>
  <c r="P151" i="9"/>
  <c r="T151" i="9"/>
  <c r="X151" i="9"/>
  <c r="AB151" i="9"/>
  <c r="AG31" i="9"/>
  <c r="AG66" i="9"/>
  <c r="AG91" i="9"/>
  <c r="AH136" i="9"/>
  <c r="AH66" i="9"/>
  <c r="AI116" i="9"/>
  <c r="AI51" i="9"/>
  <c r="AL31" i="9"/>
  <c r="AR146" i="9"/>
  <c r="AU136" i="9"/>
  <c r="AV106" i="9"/>
  <c r="AS106" i="9"/>
  <c r="AO106" i="9"/>
  <c r="AK86" i="9"/>
  <c r="AM86" i="9"/>
  <c r="AJ66" i="9"/>
  <c r="AT66" i="9"/>
  <c r="AK66" i="9"/>
  <c r="AR61" i="9"/>
  <c r="AN61" i="9"/>
  <c r="AL56" i="9"/>
  <c r="AV51" i="9"/>
  <c r="AU51" i="9"/>
  <c r="AO51" i="9"/>
  <c r="H20" i="25"/>
  <c r="G12" i="25"/>
  <c r="F24" i="25"/>
  <c r="F10" i="25"/>
  <c r="I22" i="25"/>
  <c r="J24" i="25"/>
  <c r="J20" i="25"/>
  <c r="J18" i="25"/>
  <c r="J14" i="25"/>
  <c r="J10" i="25"/>
  <c r="H62" i="25"/>
  <c r="H58" i="25"/>
  <c r="J58" i="25"/>
  <c r="K18" i="25"/>
  <c r="F165" i="25"/>
  <c r="G165" i="25"/>
  <c r="H165" i="25"/>
  <c r="I165" i="25"/>
  <c r="K22" i="25"/>
  <c r="F22" i="25"/>
  <c r="K16" i="25"/>
  <c r="H16" i="25"/>
  <c r="K12" i="25"/>
  <c r="F12" i="25"/>
  <c r="I8" i="25"/>
  <c r="G8" i="25"/>
  <c r="H66" i="25"/>
  <c r="J66" i="25"/>
  <c r="K20" i="25"/>
  <c r="K134" i="25"/>
  <c r="G134" i="25"/>
  <c r="I134" i="25"/>
  <c r="K130" i="25"/>
  <c r="H130" i="25"/>
  <c r="F130" i="25"/>
  <c r="K126" i="25"/>
  <c r="G126" i="25"/>
  <c r="K122" i="25"/>
  <c r="F122" i="25"/>
  <c r="K118" i="25"/>
  <c r="I118" i="25"/>
  <c r="H118" i="25"/>
  <c r="K114" i="25"/>
  <c r="H114" i="25"/>
  <c r="G114" i="25"/>
  <c r="K110" i="25"/>
  <c r="G110" i="25"/>
  <c r="I110" i="25"/>
  <c r="G122" i="25"/>
  <c r="G62" i="25"/>
  <c r="K62" i="25"/>
  <c r="H53" i="25"/>
  <c r="J53" i="25"/>
  <c r="K8" i="25"/>
  <c r="G117" i="25"/>
  <c r="H117" i="25"/>
  <c r="J113" i="25"/>
  <c r="K113" i="25"/>
  <c r="I113" i="25"/>
  <c r="H154" i="25"/>
  <c r="K154" i="25"/>
  <c r="AG36" i="9"/>
  <c r="AG56" i="9"/>
  <c r="AH81" i="9"/>
  <c r="AG96" i="9"/>
  <c r="AJ121" i="9"/>
  <c r="AI151" i="9"/>
  <c r="AO46" i="9"/>
  <c r="AQ151" i="9"/>
  <c r="AQ111" i="9"/>
  <c r="AM111" i="9"/>
  <c r="AJ91" i="9"/>
  <c r="AL81" i="9"/>
  <c r="AU56" i="9"/>
  <c r="G20" i="25"/>
  <c r="F18" i="25"/>
  <c r="I16" i="25"/>
  <c r="I10" i="25"/>
  <c r="G66" i="25"/>
  <c r="I62" i="25"/>
  <c r="I57" i="25"/>
  <c r="F57" i="25"/>
  <c r="G45" i="25"/>
  <c r="K45" i="25"/>
  <c r="H45" i="25"/>
  <c r="I87" i="25"/>
  <c r="H87" i="25"/>
  <c r="F79" i="25"/>
  <c r="I79" i="25"/>
  <c r="K10" i="25"/>
  <c r="K91" i="25"/>
  <c r="I126" i="25"/>
  <c r="G118" i="25"/>
  <c r="H122" i="25"/>
  <c r="K165" i="25"/>
  <c r="H160" i="25"/>
  <c r="F160" i="25"/>
  <c r="K160" i="25"/>
  <c r="G160" i="25"/>
  <c r="I160" i="25"/>
  <c r="K44" i="25"/>
  <c r="F44" i="25"/>
  <c r="J42" i="25"/>
  <c r="B34" i="8"/>
  <c r="B5" i="8" s="1"/>
  <c r="J77" i="25"/>
  <c r="H81" i="25"/>
  <c r="K85" i="25"/>
  <c r="H89" i="25"/>
  <c r="F93" i="25"/>
  <c r="K93" i="25"/>
  <c r="J97" i="25"/>
  <c r="J164" i="25"/>
  <c r="I163" i="25"/>
  <c r="H159" i="25"/>
  <c r="K153" i="25"/>
  <c r="G153" i="25"/>
  <c r="J152" i="25"/>
  <c r="H150" i="25"/>
  <c r="AX81" i="9"/>
  <c r="AX91" i="9"/>
  <c r="AX111" i="9"/>
  <c r="J199" i="25"/>
  <c r="I198" i="25"/>
  <c r="H195" i="25"/>
  <c r="H191" i="25"/>
  <c r="J190" i="25"/>
  <c r="G184" i="25"/>
  <c r="G179" i="25"/>
  <c r="K236" i="25"/>
  <c r="I235" i="25"/>
  <c r="J234" i="25"/>
  <c r="K232" i="25"/>
  <c r="G230" i="25"/>
  <c r="I228" i="25"/>
  <c r="I227" i="25"/>
  <c r="H224" i="25"/>
  <c r="H220" i="25"/>
  <c r="I219" i="25"/>
  <c r="G217" i="25"/>
  <c r="H214" i="25"/>
  <c r="H213" i="25"/>
  <c r="J212" i="25"/>
  <c r="F77" i="25"/>
  <c r="J81" i="25"/>
  <c r="G85" i="25"/>
  <c r="I89" i="25"/>
  <c r="G93" i="25"/>
  <c r="F97" i="25"/>
  <c r="G115" i="25"/>
  <c r="J156" i="25"/>
  <c r="J153" i="25"/>
  <c r="I152" i="25"/>
  <c r="K195" i="25"/>
  <c r="G195" i="25"/>
  <c r="J193" i="25"/>
  <c r="K191" i="25"/>
  <c r="G191" i="25"/>
  <c r="I190" i="25"/>
  <c r="I187" i="25"/>
  <c r="I236" i="25"/>
  <c r="H235" i="25"/>
  <c r="I234" i="25"/>
  <c r="H228" i="25"/>
  <c r="G224" i="25"/>
  <c r="I222" i="25"/>
  <c r="K220" i="25"/>
  <c r="G220" i="25"/>
  <c r="I215" i="25"/>
  <c r="G213" i="25"/>
  <c r="AX36" i="9"/>
  <c r="J195" i="25"/>
  <c r="J191" i="25"/>
  <c r="I183" i="25"/>
  <c r="G235" i="25"/>
  <c r="G228" i="25"/>
  <c r="H222" i="25"/>
  <c r="J220" i="25"/>
  <c r="U81" i="9"/>
  <c r="V81" i="9"/>
  <c r="AD31" i="9"/>
  <c r="H71" i="9"/>
  <c r="L101" i="9"/>
  <c r="N111" i="9"/>
  <c r="S71" i="9"/>
  <c r="W56" i="9"/>
  <c r="X46" i="9"/>
  <c r="W46" i="9"/>
  <c r="Y56" i="9"/>
  <c r="J51" i="9"/>
  <c r="I86" i="9"/>
  <c r="G36" i="9"/>
  <c r="I101" i="9"/>
  <c r="O31" i="9"/>
  <c r="P111" i="9"/>
  <c r="O111" i="9"/>
  <c r="P91" i="9"/>
  <c r="Q101" i="9"/>
  <c r="T51" i="9"/>
  <c r="T101" i="9"/>
  <c r="S101" i="9"/>
  <c r="T131" i="9"/>
  <c r="S131" i="9"/>
  <c r="V66" i="9"/>
  <c r="X76" i="9"/>
  <c r="Y31" i="9"/>
  <c r="Y111" i="9"/>
  <c r="E9" i="17"/>
  <c r="W9" i="17" s="1"/>
  <c r="W38" i="17"/>
  <c r="AA66" i="9"/>
  <c r="AA101" i="9"/>
  <c r="AB101" i="9"/>
  <c r="AC121" i="9"/>
  <c r="AE121" i="9"/>
  <c r="AH116" i="9"/>
  <c r="AH51" i="9"/>
  <c r="AR106" i="9"/>
  <c r="AN56" i="9"/>
  <c r="AO56" i="9"/>
  <c r="N76" i="9"/>
  <c r="N91" i="9"/>
  <c r="M91" i="9"/>
  <c r="G66" i="9"/>
  <c r="I96" i="9"/>
  <c r="D36" i="9"/>
  <c r="H36" i="9"/>
  <c r="L36" i="9"/>
  <c r="M36" i="9"/>
  <c r="D41" i="9"/>
  <c r="H41" i="9"/>
  <c r="I41" i="9"/>
  <c r="L41" i="9"/>
  <c r="D51" i="9"/>
  <c r="H51" i="9"/>
  <c r="E56" i="9"/>
  <c r="M56" i="9"/>
  <c r="F66" i="9"/>
  <c r="J66" i="9"/>
  <c r="C96" i="9"/>
  <c r="N101" i="9"/>
  <c r="O101" i="9"/>
  <c r="L146" i="9"/>
  <c r="D131" i="9"/>
  <c r="E131" i="9"/>
  <c r="Q91" i="9"/>
  <c r="P36" i="9"/>
  <c r="R51" i="9"/>
  <c r="Q36" i="9"/>
  <c r="S56" i="9"/>
  <c r="T136" i="9"/>
  <c r="X56" i="9"/>
  <c r="W41" i="9"/>
  <c r="Y116" i="9"/>
  <c r="Z71" i="9"/>
  <c r="AA76" i="9"/>
  <c r="AB86" i="9"/>
  <c r="AE136" i="9"/>
  <c r="AD131" i="9"/>
  <c r="AF96" i="9"/>
  <c r="AH91" i="9"/>
  <c r="AP51" i="9"/>
  <c r="AQ136" i="9"/>
  <c r="AR136" i="9"/>
  <c r="AN136" i="9"/>
  <c r="AM136" i="9"/>
  <c r="AK71" i="9"/>
  <c r="AT56" i="9"/>
  <c r="Y136" i="9"/>
  <c r="X136" i="9"/>
  <c r="AH146" i="9"/>
  <c r="AJ31" i="9"/>
  <c r="AI31" i="9"/>
  <c r="AJ141" i="9"/>
  <c r="AI141" i="9"/>
  <c r="J106" i="9"/>
  <c r="I106" i="9"/>
  <c r="E61" i="9"/>
  <c r="M61" i="9"/>
  <c r="H76" i="9"/>
  <c r="L76" i="9"/>
  <c r="D81" i="9"/>
  <c r="L81" i="9"/>
  <c r="O66" i="9"/>
  <c r="D136" i="9"/>
  <c r="C136" i="9"/>
  <c r="AB81" i="9"/>
  <c r="AB91" i="9"/>
  <c r="AB136" i="9"/>
  <c r="AC136" i="9"/>
  <c r="AC81" i="9"/>
  <c r="AF36" i="9"/>
  <c r="AI106" i="9"/>
  <c r="AH106" i="9"/>
  <c r="AJ96" i="9"/>
  <c r="AI96" i="9"/>
  <c r="AS31" i="9"/>
  <c r="AT31" i="9"/>
  <c r="AL36" i="9"/>
  <c r="AL96" i="9"/>
  <c r="AM96" i="9"/>
  <c r="AO91" i="9"/>
  <c r="AP91" i="9"/>
  <c r="AQ41" i="9"/>
  <c r="AP41" i="9"/>
  <c r="G91" i="9"/>
  <c r="F91" i="9"/>
  <c r="O56" i="9"/>
  <c r="H146" i="9"/>
  <c r="G146" i="9"/>
  <c r="Q76" i="9"/>
  <c r="R116" i="9"/>
  <c r="Q116" i="9"/>
  <c r="Z66" i="9"/>
  <c r="AB71" i="9"/>
  <c r="AC41" i="9"/>
  <c r="M31" i="9"/>
  <c r="I61" i="9"/>
  <c r="D71" i="9"/>
  <c r="L71" i="9"/>
  <c r="H81" i="9"/>
  <c r="S41" i="9"/>
  <c r="T41" i="9"/>
  <c r="W36" i="9"/>
  <c r="W76" i="9"/>
  <c r="X66" i="9"/>
  <c r="Z76" i="9"/>
  <c r="AA91" i="9"/>
  <c r="N96" i="9"/>
  <c r="E106" i="9"/>
  <c r="E46" i="9"/>
  <c r="M46" i="9"/>
  <c r="L56" i="9"/>
  <c r="I116" i="9"/>
  <c r="O41" i="9"/>
  <c r="I146" i="9"/>
  <c r="J146" i="9"/>
  <c r="AA146" i="9"/>
  <c r="AB56" i="9"/>
  <c r="AD146" i="9"/>
  <c r="AF66" i="9"/>
  <c r="AH111" i="9"/>
  <c r="AI121" i="9"/>
  <c r="AI146" i="9"/>
  <c r="AJ136" i="9"/>
  <c r="AJ131" i="9"/>
  <c r="AK131" i="9"/>
  <c r="AT81" i="9"/>
  <c r="I66" i="25"/>
  <c r="G65" i="25"/>
  <c r="K65" i="25"/>
  <c r="G58" i="25"/>
  <c r="J56" i="25"/>
  <c r="K53" i="25"/>
  <c r="F53" i="25"/>
  <c r="H52" i="25"/>
  <c r="G50" i="25"/>
  <c r="F48" i="25"/>
  <c r="J48" i="25"/>
  <c r="H46" i="25"/>
  <c r="G78" i="25"/>
  <c r="J82" i="25"/>
  <c r="J83" i="25"/>
  <c r="G86" i="25"/>
  <c r="F87" i="25"/>
  <c r="K87" i="25"/>
  <c r="I90" i="25"/>
  <c r="G94" i="25"/>
  <c r="F95" i="25"/>
  <c r="I98" i="25"/>
  <c r="K99" i="25"/>
  <c r="F132" i="25"/>
  <c r="G132" i="25"/>
  <c r="K124" i="25"/>
  <c r="F124" i="25"/>
  <c r="G124" i="25"/>
  <c r="I120" i="25"/>
  <c r="H120" i="25"/>
  <c r="K116" i="25"/>
  <c r="F116" i="25"/>
  <c r="G116" i="25"/>
  <c r="I112" i="25"/>
  <c r="H112" i="25"/>
  <c r="G131" i="25"/>
  <c r="I129" i="25"/>
  <c r="F123" i="25"/>
  <c r="G120" i="25"/>
  <c r="F112" i="25"/>
  <c r="H121" i="25"/>
  <c r="AW76" i="9"/>
  <c r="G166" i="25"/>
  <c r="H166" i="25"/>
  <c r="I157" i="25"/>
  <c r="H144" i="25"/>
  <c r="G144" i="25"/>
  <c r="I144" i="25"/>
  <c r="H202" i="25"/>
  <c r="G202" i="25"/>
  <c r="J202" i="25"/>
  <c r="AY101" i="9"/>
  <c r="O106" i="9"/>
  <c r="N136" i="9"/>
  <c r="F136" i="9"/>
  <c r="M131" i="9"/>
  <c r="I131" i="9"/>
  <c r="P51" i="9"/>
  <c r="R66" i="9"/>
  <c r="Q86" i="9"/>
  <c r="Q136" i="9"/>
  <c r="Q146" i="9"/>
  <c r="R31" i="9"/>
  <c r="R86" i="9"/>
  <c r="S66" i="9"/>
  <c r="T46" i="9"/>
  <c r="T56" i="9"/>
  <c r="U66" i="9"/>
  <c r="U86" i="9"/>
  <c r="T116" i="9"/>
  <c r="V36" i="9"/>
  <c r="W86" i="9"/>
  <c r="V96" i="9"/>
  <c r="X41" i="9"/>
  <c r="X116" i="9"/>
  <c r="AA31" i="9"/>
  <c r="AA41" i="9"/>
  <c r="C151" i="9"/>
  <c r="J151" i="9"/>
  <c r="Z151" i="9"/>
  <c r="AB111" i="9"/>
  <c r="AC61" i="9"/>
  <c r="AC71" i="9"/>
  <c r="AD141" i="9"/>
  <c r="AC151" i="9"/>
  <c r="AD41" i="9"/>
  <c r="AD51" i="9"/>
  <c r="AD61" i="9"/>
  <c r="AD71" i="9"/>
  <c r="AD81" i="9"/>
  <c r="AD91" i="9"/>
  <c r="AD121" i="9"/>
  <c r="AH121" i="9"/>
  <c r="AH31" i="9"/>
  <c r="AI136" i="9"/>
  <c r="AS46" i="9"/>
  <c r="AS121" i="9"/>
  <c r="AV111" i="9"/>
  <c r="AN111" i="9"/>
  <c r="AK106" i="9"/>
  <c r="AJ101" i="9"/>
  <c r="AO101" i="9"/>
  <c r="AU96" i="9"/>
  <c r="AQ96" i="9"/>
  <c r="AM91" i="9"/>
  <c r="AL86" i="9"/>
  <c r="AM81" i="9"/>
  <c r="AT71" i="9"/>
  <c r="AP71" i="9"/>
  <c r="AL71" i="9"/>
  <c r="AV66" i="9"/>
  <c r="AR51" i="9"/>
  <c r="AV41" i="9"/>
  <c r="AN41" i="9"/>
  <c r="F60" i="25"/>
  <c r="K58" i="25"/>
  <c r="F58" i="25"/>
  <c r="F56" i="25"/>
  <c r="K50" i="25"/>
  <c r="F50" i="25"/>
  <c r="J91" i="25"/>
  <c r="F91" i="25"/>
  <c r="K79" i="25"/>
  <c r="G79" i="25"/>
  <c r="H78" i="25"/>
  <c r="H79" i="25"/>
  <c r="F83" i="25"/>
  <c r="K83" i="25"/>
  <c r="I86" i="25"/>
  <c r="G87" i="25"/>
  <c r="J90" i="25"/>
  <c r="I91" i="25"/>
  <c r="H95" i="25"/>
  <c r="J98" i="25"/>
  <c r="B54" i="8"/>
  <c r="B25" i="8" s="1"/>
  <c r="B44" i="8"/>
  <c r="B15" i="8" s="1"/>
  <c r="F127" i="25"/>
  <c r="K127" i="25"/>
  <c r="G127" i="25"/>
  <c r="F119" i="25"/>
  <c r="G119" i="25"/>
  <c r="F111" i="25"/>
  <c r="G111" i="25"/>
  <c r="H162" i="25"/>
  <c r="F161" i="25"/>
  <c r="J161" i="25"/>
  <c r="G161" i="25"/>
  <c r="K161" i="25"/>
  <c r="K144" i="25"/>
  <c r="AY66" i="9"/>
  <c r="AX66" i="9"/>
  <c r="AX76" i="9"/>
  <c r="G52" i="25"/>
  <c r="K52" i="25"/>
  <c r="F46" i="25"/>
  <c r="J46" i="25"/>
  <c r="K94" i="25"/>
  <c r="J94" i="25"/>
  <c r="F94" i="25"/>
  <c r="K82" i="25"/>
  <c r="G82" i="25"/>
  <c r="J78" i="25"/>
  <c r="H82" i="25"/>
  <c r="J86" i="25"/>
  <c r="F90" i="25"/>
  <c r="K90" i="25"/>
  <c r="I94" i="25"/>
  <c r="J95" i="25"/>
  <c r="K98" i="25"/>
  <c r="AW101" i="9"/>
  <c r="F157" i="25"/>
  <c r="J157" i="25"/>
  <c r="G157" i="25"/>
  <c r="K157" i="25"/>
  <c r="I147" i="25"/>
  <c r="J147" i="25"/>
  <c r="AY41" i="9"/>
  <c r="AX41" i="9"/>
  <c r="I168" i="25"/>
  <c r="C31" i="9"/>
  <c r="F31" i="9"/>
  <c r="F36" i="9"/>
  <c r="N36" i="9"/>
  <c r="J41" i="9"/>
  <c r="M41" i="9"/>
  <c r="E66" i="9"/>
  <c r="I66" i="9"/>
  <c r="L66" i="9"/>
  <c r="F71" i="9"/>
  <c r="I71" i="9"/>
  <c r="M71" i="9"/>
  <c r="I76" i="9"/>
  <c r="E81" i="9"/>
  <c r="D91" i="9"/>
  <c r="H91" i="9"/>
  <c r="D96" i="9"/>
  <c r="H96" i="9"/>
  <c r="F101" i="9"/>
  <c r="K101" i="9"/>
  <c r="C111" i="9"/>
  <c r="F111" i="9"/>
  <c r="O61" i="9"/>
  <c r="N146" i="9"/>
  <c r="C146" i="9"/>
  <c r="Q56" i="9"/>
  <c r="Q66" i="9"/>
  <c r="Q61" i="9"/>
  <c r="Q131" i="9"/>
  <c r="R36" i="9"/>
  <c r="R46" i="9"/>
  <c r="U116" i="9"/>
  <c r="W131" i="9"/>
  <c r="X36" i="9"/>
  <c r="Y96" i="9"/>
  <c r="AB46" i="9"/>
  <c r="AC106" i="9"/>
  <c r="AC56" i="9"/>
  <c r="AC101" i="9"/>
  <c r="AF131" i="9"/>
  <c r="AF141" i="9"/>
  <c r="AF146" i="9"/>
  <c r="AG86" i="9"/>
  <c r="AH71" i="9"/>
  <c r="AJ116" i="9"/>
  <c r="AK151" i="9"/>
  <c r="AO146" i="9"/>
  <c r="AU141" i="9"/>
  <c r="AQ141" i="9"/>
  <c r="AO111" i="9"/>
  <c r="AU81" i="9"/>
  <c r="AV81" i="9"/>
  <c r="AS56" i="9"/>
  <c r="AM56" i="9"/>
  <c r="AT46" i="9"/>
  <c r="AQ46" i="9"/>
  <c r="G31" i="25"/>
  <c r="F31" i="25"/>
  <c r="H31" i="25"/>
  <c r="I27" i="25"/>
  <c r="F27" i="25"/>
  <c r="H27" i="25"/>
  <c r="F23" i="25"/>
  <c r="H23" i="25"/>
  <c r="F19" i="25"/>
  <c r="H19" i="25"/>
  <c r="F15" i="25"/>
  <c r="H15" i="25"/>
  <c r="I11" i="25"/>
  <c r="F11" i="25"/>
  <c r="H11" i="25"/>
  <c r="I58" i="25"/>
  <c r="G57" i="25"/>
  <c r="K57" i="25"/>
  <c r="G53" i="25"/>
  <c r="I52" i="25"/>
  <c r="I50" i="25"/>
  <c r="G49" i="25"/>
  <c r="K49" i="25"/>
  <c r="I46" i="25"/>
  <c r="F78" i="25"/>
  <c r="K78" i="25"/>
  <c r="J79" i="25"/>
  <c r="I82" i="25"/>
  <c r="H83" i="25"/>
  <c r="F86" i="25"/>
  <c r="K86" i="25"/>
  <c r="J87" i="25"/>
  <c r="G90" i="25"/>
  <c r="G91" i="25"/>
  <c r="B52" i="8"/>
  <c r="B23" i="8" s="1"/>
  <c r="B55" i="8"/>
  <c r="B26" i="8" s="1"/>
  <c r="H99" i="25"/>
  <c r="J133" i="25"/>
  <c r="H133" i="25"/>
  <c r="K133" i="25"/>
  <c r="I133" i="25"/>
  <c r="J129" i="25"/>
  <c r="G129" i="25"/>
  <c r="J125" i="25"/>
  <c r="H125" i="25"/>
  <c r="I125" i="25"/>
  <c r="J121" i="25"/>
  <c r="G121" i="25"/>
  <c r="J117" i="25"/>
  <c r="I117" i="25"/>
  <c r="K117" i="25"/>
  <c r="I132" i="25"/>
  <c r="I121" i="25"/>
  <c r="G112" i="25"/>
  <c r="K132" i="25"/>
  <c r="I166" i="25"/>
  <c r="I161" i="25"/>
  <c r="I158" i="25"/>
  <c r="K158" i="25"/>
  <c r="F155" i="25"/>
  <c r="H155" i="25"/>
  <c r="G148" i="25"/>
  <c r="H146" i="25"/>
  <c r="K146" i="25"/>
  <c r="F144" i="25"/>
  <c r="H201" i="25"/>
  <c r="I201" i="25"/>
  <c r="AK51" i="9"/>
  <c r="AT41" i="9"/>
  <c r="G77" i="25"/>
  <c r="F85" i="25"/>
  <c r="F89" i="25"/>
  <c r="H97" i="25"/>
  <c r="F134" i="25"/>
  <c r="I130" i="25"/>
  <c r="F126" i="25"/>
  <c r="I122" i="25"/>
  <c r="F118" i="25"/>
  <c r="I114" i="25"/>
  <c r="G113" i="25"/>
  <c r="F110" i="25"/>
  <c r="H134" i="25"/>
  <c r="H126" i="25"/>
  <c r="AW81" i="9"/>
  <c r="J165" i="25"/>
  <c r="F152" i="25"/>
  <c r="J145" i="25"/>
  <c r="AX71" i="9"/>
  <c r="AX106" i="9"/>
  <c r="F198" i="25"/>
  <c r="I193" i="25"/>
  <c r="H192" i="25"/>
  <c r="G190" i="25"/>
  <c r="H187" i="25"/>
  <c r="H183" i="25"/>
  <c r="J182" i="25"/>
  <c r="I181" i="25"/>
  <c r="H180" i="25"/>
  <c r="J179" i="25"/>
  <c r="F178" i="25"/>
  <c r="AY61" i="9"/>
  <c r="AY96" i="9"/>
  <c r="H236" i="25"/>
  <c r="J235" i="25"/>
  <c r="F234" i="25"/>
  <c r="I232" i="25"/>
  <c r="K231" i="25"/>
  <c r="G231" i="25"/>
  <c r="J230" i="25"/>
  <c r="H227" i="25"/>
  <c r="K226" i="25"/>
  <c r="G226" i="25"/>
  <c r="H223" i="25"/>
  <c r="K222" i="25"/>
  <c r="G222" i="25"/>
  <c r="J221" i="25"/>
  <c r="H219" i="25"/>
  <c r="K218" i="25"/>
  <c r="G218" i="25"/>
  <c r="J217" i="25"/>
  <c r="H215" i="25"/>
  <c r="K214" i="25"/>
  <c r="G214" i="25"/>
  <c r="J213" i="25"/>
  <c r="AZ36" i="9"/>
  <c r="AZ81" i="9"/>
  <c r="AZ136" i="9"/>
  <c r="BA136" i="9"/>
  <c r="AW56" i="9"/>
  <c r="AX101" i="9"/>
  <c r="AW121" i="9"/>
  <c r="AX31" i="9"/>
  <c r="AX116" i="9"/>
  <c r="AX151" i="9"/>
  <c r="K190" i="25"/>
  <c r="F190" i="25"/>
  <c r="K187" i="25"/>
  <c r="G187" i="25"/>
  <c r="I185" i="25"/>
  <c r="K183" i="25"/>
  <c r="G183" i="25"/>
  <c r="I182" i="25"/>
  <c r="G180" i="25"/>
  <c r="G236" i="25"/>
  <c r="H232" i="25"/>
  <c r="J231" i="25"/>
  <c r="K227" i="25"/>
  <c r="G227" i="25"/>
  <c r="J226" i="25"/>
  <c r="K223" i="25"/>
  <c r="G223" i="25"/>
  <c r="J222" i="25"/>
  <c r="K219" i="25"/>
  <c r="G219" i="25"/>
  <c r="J218" i="25"/>
  <c r="K215" i="25"/>
  <c r="G215" i="25"/>
  <c r="J214" i="25"/>
  <c r="AZ56" i="9"/>
  <c r="BA56" i="9"/>
  <c r="AZ101" i="9"/>
  <c r="J187" i="25"/>
  <c r="J183" i="25"/>
  <c r="AY56" i="9"/>
  <c r="AY136" i="9"/>
  <c r="G232" i="25"/>
  <c r="J227" i="25"/>
  <c r="J223" i="25"/>
  <c r="J219" i="25"/>
  <c r="J215" i="25"/>
  <c r="AZ76" i="9"/>
  <c r="BA76" i="9"/>
  <c r="AZ121" i="9"/>
  <c r="AZ141" i="9"/>
  <c r="AZ41" i="9"/>
  <c r="AZ96" i="9"/>
  <c r="BA141" i="9"/>
  <c r="E20" i="17"/>
  <c r="W20" i="17" s="1"/>
  <c r="W46" i="17"/>
  <c r="W37" i="17"/>
  <c r="W42" i="17"/>
  <c r="E4" i="17"/>
  <c r="W4" i="17" s="1"/>
  <c r="F41" i="17"/>
  <c r="W34" i="17"/>
  <c r="W53" i="17"/>
  <c r="E16" i="17"/>
  <c r="W16" i="17" s="1"/>
  <c r="W54" i="17"/>
  <c r="W50" i="17"/>
  <c r="F42" i="17"/>
  <c r="F34" i="17"/>
  <c r="F46" i="17"/>
  <c r="F38" i="17"/>
  <c r="E10" i="17"/>
  <c r="W10" i="17" s="1"/>
  <c r="E24" i="17"/>
  <c r="W24" i="17" s="1"/>
  <c r="B36" i="8"/>
  <c r="B7" i="8" s="1"/>
  <c r="B37" i="8"/>
  <c r="B8" i="8" s="1"/>
  <c r="E38" i="8"/>
  <c r="B42" i="8"/>
  <c r="B13" i="8" s="1"/>
  <c r="B46" i="8"/>
  <c r="B17" i="8" s="1"/>
  <c r="B51" i="8"/>
  <c r="B22" i="8" s="1"/>
  <c r="D53" i="8"/>
  <c r="H33" i="8"/>
  <c r="B35" i="8"/>
  <c r="B6" i="8" s="1"/>
  <c r="C36" i="8"/>
  <c r="D37" i="8"/>
  <c r="B33" i="8"/>
  <c r="B4" i="8" s="1"/>
  <c r="G40" i="8"/>
  <c r="H41" i="8"/>
  <c r="B43" i="8"/>
  <c r="B14" i="8" s="1"/>
  <c r="C44" i="8"/>
  <c r="D45" i="8"/>
  <c r="B47" i="8"/>
  <c r="B18" i="8" s="1"/>
  <c r="F47" i="8"/>
  <c r="B48" i="8"/>
  <c r="B19" i="8" s="1"/>
  <c r="B53" i="8"/>
  <c r="B24" i="8" s="1"/>
  <c r="M311" i="25"/>
  <c r="H35" i="8"/>
  <c r="B38" i="8"/>
  <c r="B9" i="8" s="1"/>
  <c r="B39" i="8"/>
  <c r="B10" i="8" s="1"/>
  <c r="F39" i="8"/>
  <c r="B40" i="8"/>
  <c r="B11" i="8" s="1"/>
  <c r="F40" i="8"/>
  <c r="C323" i="25"/>
  <c r="C322" i="25"/>
  <c r="C336" i="25"/>
  <c r="C314" i="25"/>
  <c r="C335" i="25"/>
  <c r="C315" i="25"/>
  <c r="C327" i="25"/>
  <c r="C319" i="25"/>
  <c r="C317" i="25"/>
  <c r="C333" i="25"/>
  <c r="C325" i="25"/>
  <c r="C316" i="25"/>
  <c r="C324" i="25"/>
  <c r="C326" i="25"/>
  <c r="C334" i="25"/>
  <c r="C330" i="25"/>
  <c r="C321" i="25"/>
  <c r="C318" i="25"/>
  <c r="C328" i="25"/>
  <c r="C331" i="25"/>
  <c r="C338" i="25"/>
  <c r="C332" i="25"/>
  <c r="C320" i="25"/>
  <c r="D38" i="8"/>
  <c r="B49" i="8"/>
  <c r="B20" i="8" s="1"/>
  <c r="C282" i="25"/>
  <c r="C285" i="25"/>
  <c r="C295" i="25"/>
  <c r="C300" i="25"/>
  <c r="C302" i="25"/>
  <c r="C292" i="25"/>
  <c r="C294" i="25"/>
  <c r="C286" i="25"/>
  <c r="C304" i="25"/>
  <c r="C290" i="25"/>
  <c r="C296" i="25"/>
  <c r="C298" i="25"/>
  <c r="C284" i="25"/>
  <c r="C283" i="25"/>
  <c r="C289" i="25"/>
  <c r="C287" i="25"/>
  <c r="C299" i="25"/>
  <c r="C280" i="25"/>
  <c r="C288" i="25"/>
  <c r="C293" i="25"/>
  <c r="C281" i="25"/>
  <c r="C297" i="25"/>
  <c r="C301" i="25"/>
  <c r="L305" i="25"/>
  <c r="M305" i="25" s="1"/>
  <c r="N305" i="25" s="1"/>
  <c r="C291" i="25"/>
  <c r="C303" i="25"/>
  <c r="E40" i="8"/>
  <c r="H271" i="25"/>
  <c r="D47" i="8"/>
  <c r="G48" i="8"/>
  <c r="B50" i="8"/>
  <c r="B21" i="8" s="1"/>
  <c r="J271" i="25"/>
  <c r="K271" i="25"/>
  <c r="F54" i="8"/>
  <c r="L251" i="25"/>
  <c r="M251" i="25" s="1"/>
  <c r="N251" i="25" s="1"/>
  <c r="F48" i="8"/>
  <c r="G33" i="8"/>
  <c r="L255" i="25"/>
  <c r="M255" i="25" s="1"/>
  <c r="N255" i="25" s="1"/>
  <c r="L249" i="25"/>
  <c r="M249" i="25" s="1"/>
  <c r="N249" i="25" s="1"/>
  <c r="G56" i="8"/>
  <c r="H52" i="8"/>
  <c r="D52" i="8"/>
  <c r="G51" i="8"/>
  <c r="C51" i="8"/>
  <c r="H49" i="8"/>
  <c r="C49" i="8"/>
  <c r="E48" i="8"/>
  <c r="C45" i="8"/>
  <c r="G42" i="8"/>
  <c r="G34" i="8"/>
  <c r="G271" i="25"/>
  <c r="L259" i="25"/>
  <c r="M259" i="25" s="1"/>
  <c r="N259" i="25" s="1"/>
  <c r="I271" i="25"/>
  <c r="D55" i="8"/>
  <c r="C52" i="8"/>
  <c r="F49" i="8"/>
  <c r="L269" i="25"/>
  <c r="M269" i="25" s="1"/>
  <c r="N269" i="25" s="1"/>
  <c r="L267" i="25"/>
  <c r="M267" i="25" s="1"/>
  <c r="N267" i="25" s="1"/>
  <c r="L263" i="25"/>
  <c r="M263" i="25" s="1"/>
  <c r="N263" i="25" s="1"/>
  <c r="L247" i="25"/>
  <c r="M247" i="25" s="1"/>
  <c r="N247" i="25" s="1"/>
  <c r="L246" i="25"/>
  <c r="F271" i="25"/>
  <c r="A53" i="9"/>
  <c r="DG45" i="9"/>
  <c r="A43" i="9"/>
  <c r="DG37" i="9"/>
  <c r="A48" i="9"/>
  <c r="CZ45" i="9"/>
  <c r="A58" i="9"/>
  <c r="CZ53" i="9"/>
  <c r="DG69" i="9"/>
  <c r="A83" i="9"/>
  <c r="I28" i="7"/>
  <c r="M28" i="7" s="1"/>
  <c r="I81" i="9"/>
  <c r="M76" i="9"/>
  <c r="I36" i="9"/>
  <c r="E76" i="9"/>
  <c r="F76" i="9"/>
  <c r="E96" i="9"/>
  <c r="A73" i="9"/>
  <c r="DG29" i="9"/>
  <c r="CZ61" i="9"/>
  <c r="CZ29" i="9"/>
  <c r="J101" i="9"/>
  <c r="E116" i="9"/>
  <c r="C101" i="9"/>
  <c r="J116" i="9"/>
  <c r="F86" i="9"/>
  <c r="M66" i="9"/>
  <c r="P46" i="9"/>
  <c r="O46" i="9"/>
  <c r="P56" i="9"/>
  <c r="P136" i="9"/>
  <c r="J131" i="9"/>
  <c r="K131" i="9"/>
  <c r="F131" i="9"/>
  <c r="G131" i="9"/>
  <c r="R41" i="9"/>
  <c r="Q41" i="9"/>
  <c r="T86" i="9"/>
  <c r="T106" i="9"/>
  <c r="U91" i="9"/>
  <c r="V86" i="9"/>
  <c r="U56" i="9"/>
  <c r="V61" i="9"/>
  <c r="X96" i="9"/>
  <c r="W31" i="9"/>
  <c r="W61" i="9"/>
  <c r="W71" i="9"/>
  <c r="X91" i="9"/>
  <c r="W91" i="9"/>
  <c r="Z51" i="9"/>
  <c r="Z46" i="9"/>
  <c r="Y46" i="9"/>
  <c r="Z86" i="9"/>
  <c r="Y86" i="9"/>
  <c r="Z106" i="9"/>
  <c r="Y106" i="9"/>
  <c r="F32" i="17"/>
  <c r="E3" i="17"/>
  <c r="W3" i="17" s="1"/>
  <c r="W32" i="17"/>
  <c r="F36" i="17"/>
  <c r="E7" i="17"/>
  <c r="W7" i="17" s="1"/>
  <c r="W36" i="17"/>
  <c r="F40" i="17"/>
  <c r="W40" i="17"/>
  <c r="F44" i="17"/>
  <c r="E15" i="17"/>
  <c r="W15" i="17" s="1"/>
  <c r="F48" i="17"/>
  <c r="E19" i="17"/>
  <c r="W19" i="17" s="1"/>
  <c r="W48" i="17"/>
  <c r="AB106" i="9"/>
  <c r="AB51" i="9"/>
  <c r="AC51" i="9"/>
  <c r="AC86" i="9"/>
  <c r="AD86" i="9"/>
  <c r="AE46" i="9"/>
  <c r="AR96" i="9"/>
  <c r="AS96" i="9"/>
  <c r="AN96" i="9"/>
  <c r="AO96" i="9"/>
  <c r="E41" i="9"/>
  <c r="J31" i="9"/>
  <c r="M81" i="9"/>
  <c r="L28" i="7"/>
  <c r="K28" i="7"/>
  <c r="N46" i="9"/>
  <c r="N81" i="9"/>
  <c r="I46" i="9"/>
  <c r="F96" i="9"/>
  <c r="J56" i="9"/>
  <c r="I56" i="9"/>
  <c r="P86" i="9"/>
  <c r="O86" i="9"/>
  <c r="O146" i="9"/>
  <c r="K146" i="9"/>
  <c r="P106" i="9"/>
  <c r="R61" i="9"/>
  <c r="Q96" i="9"/>
  <c r="S76" i="9"/>
  <c r="T81" i="9"/>
  <c r="S81" i="9"/>
  <c r="U36" i="9"/>
  <c r="W116" i="9"/>
  <c r="X111" i="9"/>
  <c r="X31" i="9"/>
  <c r="Y131" i="9"/>
  <c r="AB31" i="9"/>
  <c r="AC31" i="9"/>
  <c r="AC46" i="9"/>
  <c r="AF31" i="9"/>
  <c r="AE31" i="9"/>
  <c r="AF41" i="9"/>
  <c r="AE41" i="9"/>
  <c r="AF51" i="9"/>
  <c r="AE51" i="9"/>
  <c r="AE56" i="9"/>
  <c r="AF56" i="9"/>
  <c r="AF61" i="9"/>
  <c r="AE61" i="9"/>
  <c r="AF71" i="9"/>
  <c r="AE71" i="9"/>
  <c r="AE76" i="9"/>
  <c r="AF76" i="9"/>
  <c r="AF81" i="9"/>
  <c r="AE81" i="9"/>
  <c r="AF86" i="9"/>
  <c r="AE86" i="9"/>
  <c r="AF91" i="9"/>
  <c r="AE91" i="9"/>
  <c r="AF101" i="9"/>
  <c r="AE101" i="9"/>
  <c r="AE106" i="9"/>
  <c r="AF106" i="9"/>
  <c r="AF111" i="9"/>
  <c r="AE111" i="9"/>
  <c r="AE116" i="9"/>
  <c r="AF116" i="9"/>
  <c r="AW131" i="9"/>
  <c r="AV131" i="9"/>
  <c r="AR131" i="9"/>
  <c r="AS131" i="9"/>
  <c r="AO131" i="9"/>
  <c r="AN131" i="9"/>
  <c r="S46" i="9"/>
  <c r="T146" i="9"/>
  <c r="V71" i="9"/>
  <c r="U136" i="9"/>
  <c r="W106" i="9"/>
  <c r="V136" i="9"/>
  <c r="W136" i="9"/>
  <c r="Y146" i="9"/>
  <c r="X146" i="9"/>
  <c r="Y41" i="9"/>
  <c r="Y81" i="9"/>
  <c r="AA61" i="9"/>
  <c r="AB61" i="9"/>
  <c r="F151" i="9"/>
  <c r="G151" i="9"/>
  <c r="N151" i="9"/>
  <c r="O151" i="9"/>
  <c r="W151" i="9"/>
  <c r="V151" i="9"/>
  <c r="AD101" i="9"/>
  <c r="AI41" i="9"/>
  <c r="AH41" i="9"/>
  <c r="AI111" i="9"/>
  <c r="AJ111" i="9"/>
  <c r="AW141" i="9"/>
  <c r="AV141" i="9"/>
  <c r="AR141" i="9"/>
  <c r="AS141" i="9"/>
  <c r="AN141" i="9"/>
  <c r="AO141" i="9"/>
  <c r="AW61" i="9"/>
  <c r="AV61" i="9"/>
  <c r="AW31" i="9"/>
  <c r="AV31" i="9"/>
  <c r="N86" i="9"/>
  <c r="E36" i="9"/>
  <c r="E71" i="9"/>
  <c r="G101" i="9"/>
  <c r="K136" i="9"/>
  <c r="L136" i="9"/>
  <c r="G136" i="9"/>
  <c r="H136" i="9"/>
  <c r="P66" i="9"/>
  <c r="S136" i="9"/>
  <c r="R136" i="9"/>
  <c r="S36" i="9"/>
  <c r="T36" i="9"/>
  <c r="T66" i="9"/>
  <c r="U96" i="9"/>
  <c r="T96" i="9"/>
  <c r="V46" i="9"/>
  <c r="U46" i="9"/>
  <c r="X131" i="9"/>
  <c r="AC66" i="9"/>
  <c r="AB66" i="9"/>
  <c r="Z31" i="9"/>
  <c r="W47" i="17"/>
  <c r="E14" i="17"/>
  <c r="W14" i="17" s="1"/>
  <c r="AB146" i="9"/>
  <c r="AC146" i="9"/>
  <c r="AG146" i="9"/>
  <c r="AG131" i="9"/>
  <c r="AG46" i="9"/>
  <c r="AH101" i="9"/>
  <c r="AG136" i="9"/>
  <c r="AJ71" i="9"/>
  <c r="AI71" i="9"/>
  <c r="AJ146" i="9"/>
  <c r="AS146" i="9"/>
  <c r="AT146" i="9"/>
  <c r="AK146" i="9"/>
  <c r="AS101" i="9"/>
  <c r="AT101" i="9"/>
  <c r="AK101" i="9"/>
  <c r="AR66" i="9"/>
  <c r="AS66" i="9"/>
  <c r="AN66" i="9"/>
  <c r="AO66" i="9"/>
  <c r="Y61" i="9"/>
  <c r="Y101" i="9"/>
  <c r="AB41" i="9"/>
  <c r="AC91" i="9"/>
  <c r="AC111" i="9"/>
  <c r="AK46" i="9"/>
  <c r="AJ46" i="9"/>
  <c r="AS136" i="9"/>
  <c r="AT136" i="9"/>
  <c r="AK136" i="9"/>
  <c r="AL136" i="9"/>
  <c r="AS91" i="9"/>
  <c r="AT91" i="9"/>
  <c r="AK91" i="9"/>
  <c r="AL91" i="9"/>
  <c r="AT76" i="9"/>
  <c r="AU76" i="9"/>
  <c r="AP76" i="9"/>
  <c r="AQ76" i="9"/>
  <c r="AL76" i="9"/>
  <c r="AM76" i="9"/>
  <c r="F35" i="17"/>
  <c r="E6" i="17"/>
  <c r="W6" i="17" s="1"/>
  <c r="F39" i="17"/>
  <c r="F43" i="17"/>
  <c r="W43" i="17"/>
  <c r="F47" i="17"/>
  <c r="AB141" i="9"/>
  <c r="AD116" i="9"/>
  <c r="AC116" i="9"/>
  <c r="AF151" i="9"/>
  <c r="AG151" i="9"/>
  <c r="AI56" i="9"/>
  <c r="AH56" i="9"/>
  <c r="AJ36" i="9"/>
  <c r="AI36" i="9"/>
  <c r="AT86" i="9"/>
  <c r="AS86" i="9"/>
  <c r="AN31" i="9"/>
  <c r="AM31" i="9"/>
  <c r="K151" i="9"/>
  <c r="AA151" i="9"/>
  <c r="AJ76" i="9"/>
  <c r="AI76" i="9"/>
  <c r="AO41" i="9"/>
  <c r="AW151" i="9"/>
  <c r="AV151" i="9"/>
  <c r="AS111" i="9"/>
  <c r="AT111" i="9"/>
  <c r="AK111" i="9"/>
  <c r="AN81" i="9"/>
  <c r="AO81" i="9"/>
  <c r="AJ56" i="9"/>
  <c r="AK56" i="9"/>
  <c r="AI86" i="9"/>
  <c r="AJ86" i="9"/>
  <c r="AQ31" i="9"/>
  <c r="AP31" i="9"/>
  <c r="AN151" i="9"/>
  <c r="AL146" i="9"/>
  <c r="AW116" i="9"/>
  <c r="AV116" i="9"/>
  <c r="AR116" i="9"/>
  <c r="AN116" i="9"/>
  <c r="AO116" i="9"/>
  <c r="AP111" i="9"/>
  <c r="AN106" i="9"/>
  <c r="AL101" i="9"/>
  <c r="AV86" i="9"/>
  <c r="AQ86" i="9"/>
  <c r="AK81" i="9"/>
  <c r="AR81" i="9"/>
  <c r="AS81" i="9"/>
  <c r="AS61" i="9"/>
  <c r="AT61" i="9"/>
  <c r="AO61" i="9"/>
  <c r="AK61" i="9"/>
  <c r="AL61" i="9"/>
  <c r="AK31" i="9"/>
  <c r="AJ151" i="9"/>
  <c r="AU146" i="9"/>
  <c r="AQ146" i="9"/>
  <c r="AM146" i="9"/>
  <c r="AU121" i="9"/>
  <c r="AQ121" i="9"/>
  <c r="AM121" i="9"/>
  <c r="AU101" i="9"/>
  <c r="AQ101" i="9"/>
  <c r="AM101" i="9"/>
  <c r="AU46" i="9"/>
  <c r="AT151" i="9"/>
  <c r="AP151" i="9"/>
  <c r="AL151" i="9"/>
  <c r="AN146" i="9"/>
  <c r="AT131" i="9"/>
  <c r="AP131" i="9"/>
  <c r="AL131" i="9"/>
  <c r="AN121" i="9"/>
  <c r="AT106" i="9"/>
  <c r="AP106" i="9"/>
  <c r="AL106" i="9"/>
  <c r="AN101" i="9"/>
  <c r="AU41" i="9"/>
  <c r="AR36" i="9"/>
  <c r="AQ36" i="9"/>
  <c r="F63" i="25"/>
  <c r="J63" i="25"/>
  <c r="G63" i="25"/>
  <c r="K63" i="25"/>
  <c r="F47" i="25"/>
  <c r="J47" i="25"/>
  <c r="G47" i="25"/>
  <c r="K47" i="25"/>
  <c r="H47" i="25"/>
  <c r="AU71" i="9"/>
  <c r="AQ71" i="9"/>
  <c r="AM71" i="9"/>
  <c r="K29" i="25"/>
  <c r="I29" i="25"/>
  <c r="G27" i="25"/>
  <c r="K27" i="25"/>
  <c r="K25" i="25"/>
  <c r="I25" i="25"/>
  <c r="G23" i="25"/>
  <c r="K23" i="25"/>
  <c r="K21" i="25"/>
  <c r="I21" i="25"/>
  <c r="G19" i="25"/>
  <c r="K19" i="25"/>
  <c r="K17" i="25"/>
  <c r="I17" i="25"/>
  <c r="G15" i="25"/>
  <c r="K15" i="25"/>
  <c r="K13" i="25"/>
  <c r="I13" i="25"/>
  <c r="G11" i="25"/>
  <c r="K11" i="25"/>
  <c r="K9" i="25"/>
  <c r="I9" i="25"/>
  <c r="G64" i="25"/>
  <c r="K64" i="25"/>
  <c r="H64" i="25"/>
  <c r="F59" i="25"/>
  <c r="J59" i="25"/>
  <c r="G59" i="25"/>
  <c r="K59" i="25"/>
  <c r="F51" i="25"/>
  <c r="J51" i="25"/>
  <c r="G51" i="25"/>
  <c r="K51" i="25"/>
  <c r="H51" i="25"/>
  <c r="J64" i="25"/>
  <c r="I63" i="25"/>
  <c r="G60" i="25"/>
  <c r="K60" i="25"/>
  <c r="H60" i="25"/>
  <c r="F55" i="25"/>
  <c r="J55" i="25"/>
  <c r="G55" i="25"/>
  <c r="K55" i="25"/>
  <c r="BM15" i="2"/>
  <c r="BM13" i="2" s="1"/>
  <c r="BL14" i="2"/>
  <c r="I64" i="25"/>
  <c r="H63" i="25"/>
  <c r="J60" i="25"/>
  <c r="I59" i="25"/>
  <c r="G56" i="25"/>
  <c r="K56" i="25"/>
  <c r="H56" i="25"/>
  <c r="I47" i="25"/>
  <c r="F43" i="25"/>
  <c r="J43" i="25"/>
  <c r="G43" i="25"/>
  <c r="K43" i="25"/>
  <c r="H43" i="25"/>
  <c r="H100" i="25"/>
  <c r="G100" i="25"/>
  <c r="J100" i="25"/>
  <c r="F100" i="25"/>
  <c r="K100" i="25"/>
  <c r="I100" i="25"/>
  <c r="H96" i="25"/>
  <c r="J96" i="25"/>
  <c r="F96" i="25"/>
  <c r="I96" i="25"/>
  <c r="K92" i="25"/>
  <c r="I92" i="25"/>
  <c r="F92" i="25"/>
  <c r="J92" i="25"/>
  <c r="H92" i="25"/>
  <c r="G92" i="25"/>
  <c r="J88" i="25"/>
  <c r="I88" i="25"/>
  <c r="F88" i="25"/>
  <c r="H88" i="25"/>
  <c r="K88" i="25"/>
  <c r="G88" i="25"/>
  <c r="G84" i="25"/>
  <c r="J84" i="25"/>
  <c r="F84" i="25"/>
  <c r="I84" i="25"/>
  <c r="K84" i="25"/>
  <c r="H84" i="25"/>
  <c r="I80" i="25"/>
  <c r="F80" i="25"/>
  <c r="H80" i="25"/>
  <c r="K80" i="25"/>
  <c r="G80" i="25"/>
  <c r="J76" i="25"/>
  <c r="G76" i="25"/>
  <c r="F76" i="25"/>
  <c r="K76" i="25"/>
  <c r="I76" i="25"/>
  <c r="AW46" i="9"/>
  <c r="AW96" i="9"/>
  <c r="AW41" i="9"/>
  <c r="AW86" i="9"/>
  <c r="AW136" i="9"/>
  <c r="I99" i="25"/>
  <c r="J99" i="25"/>
  <c r="F99" i="25"/>
  <c r="F98" i="25"/>
  <c r="H98" i="25"/>
  <c r="K96" i="25"/>
  <c r="G96" i="25"/>
  <c r="K95" i="25"/>
  <c r="G95" i="25"/>
  <c r="H57" i="8"/>
  <c r="F57" i="8"/>
  <c r="B57" i="8"/>
  <c r="B28" i="8" s="1"/>
  <c r="B56" i="8"/>
  <c r="B27" i="8" s="1"/>
  <c r="F55" i="8"/>
  <c r="J132" i="25"/>
  <c r="H132" i="25"/>
  <c r="H131" i="25"/>
  <c r="J131" i="25"/>
  <c r="K131" i="25"/>
  <c r="I131" i="25"/>
  <c r="J128" i="25"/>
  <c r="K128" i="25"/>
  <c r="H127" i="25"/>
  <c r="J127" i="25"/>
  <c r="I127" i="25"/>
  <c r="J124" i="25"/>
  <c r="H124" i="25"/>
  <c r="H123" i="25"/>
  <c r="J123" i="25"/>
  <c r="I123" i="25"/>
  <c r="K123" i="25"/>
  <c r="J120" i="25"/>
  <c r="K120" i="25"/>
  <c r="H119" i="25"/>
  <c r="J119" i="25"/>
  <c r="I119" i="25"/>
  <c r="J116" i="25"/>
  <c r="H116" i="25"/>
  <c r="H115" i="25"/>
  <c r="J115" i="25"/>
  <c r="K115" i="25"/>
  <c r="I115" i="25"/>
  <c r="J112" i="25"/>
  <c r="K112" i="25"/>
  <c r="H111" i="25"/>
  <c r="J111" i="25"/>
  <c r="I111" i="25"/>
  <c r="G167" i="25"/>
  <c r="K167" i="25"/>
  <c r="I167" i="25"/>
  <c r="F167" i="25"/>
  <c r="H164" i="25"/>
  <c r="F164" i="25"/>
  <c r="K164" i="25"/>
  <c r="I164" i="25"/>
  <c r="F162" i="25"/>
  <c r="J162" i="25"/>
  <c r="I162" i="25"/>
  <c r="G162" i="25"/>
  <c r="G159" i="25"/>
  <c r="K159" i="25"/>
  <c r="F159" i="25"/>
  <c r="I159" i="25"/>
  <c r="H156" i="25"/>
  <c r="I156" i="25"/>
  <c r="F156" i="25"/>
  <c r="K156" i="25"/>
  <c r="F154" i="25"/>
  <c r="J154" i="25"/>
  <c r="G154" i="25"/>
  <c r="I154" i="25"/>
  <c r="G151" i="25"/>
  <c r="K151" i="25"/>
  <c r="I151" i="25"/>
  <c r="F151" i="25"/>
  <c r="H148" i="25"/>
  <c r="F148" i="25"/>
  <c r="K148" i="25"/>
  <c r="I148" i="25"/>
  <c r="F146" i="25"/>
  <c r="J146" i="25"/>
  <c r="I146" i="25"/>
  <c r="G146" i="25"/>
  <c r="AY46" i="9"/>
  <c r="AX46" i="9"/>
  <c r="AY86" i="9"/>
  <c r="AX86" i="9"/>
  <c r="AY126" i="9"/>
  <c r="AX126" i="9"/>
  <c r="F200" i="25"/>
  <c r="J200" i="25"/>
  <c r="G200" i="25"/>
  <c r="H200" i="25"/>
  <c r="I200" i="25"/>
  <c r="H194" i="25"/>
  <c r="F194" i="25"/>
  <c r="K194" i="25"/>
  <c r="G194" i="25"/>
  <c r="I194" i="25"/>
  <c r="G189" i="25"/>
  <c r="K189" i="25"/>
  <c r="F189" i="25"/>
  <c r="H189" i="25"/>
  <c r="I189" i="25"/>
  <c r="G186" i="25"/>
  <c r="K186" i="25"/>
  <c r="H186" i="25"/>
  <c r="F186" i="25"/>
  <c r="I186" i="25"/>
  <c r="J186" i="25"/>
  <c r="AY31" i="9"/>
  <c r="AZ31" i="9"/>
  <c r="AY71" i="9"/>
  <c r="AZ71" i="9"/>
  <c r="AY111" i="9"/>
  <c r="AZ111" i="9"/>
  <c r="AY151" i="9"/>
  <c r="AZ151" i="9"/>
  <c r="F225" i="25"/>
  <c r="C46" i="8" s="1"/>
  <c r="J225" i="25"/>
  <c r="G46" i="8" s="1"/>
  <c r="G225" i="25"/>
  <c r="D46" i="8" s="1"/>
  <c r="K225" i="25"/>
  <c r="H46" i="8" s="1"/>
  <c r="H225" i="25"/>
  <c r="E46" i="8" s="1"/>
  <c r="I225" i="25"/>
  <c r="F46" i="8" s="1"/>
  <c r="AW106" i="9"/>
  <c r="F168" i="25"/>
  <c r="J168" i="25"/>
  <c r="G163" i="25"/>
  <c r="K163" i="25"/>
  <c r="F158" i="25"/>
  <c r="J158" i="25"/>
  <c r="G147" i="25"/>
  <c r="K147" i="25"/>
  <c r="AX96" i="9"/>
  <c r="K168" i="25"/>
  <c r="K202" i="25"/>
  <c r="F202" i="25"/>
  <c r="G193" i="25"/>
  <c r="K193" i="25"/>
  <c r="F188" i="25"/>
  <c r="J188" i="25"/>
  <c r="C57" i="8"/>
  <c r="G55" i="8"/>
  <c r="E53" i="8"/>
  <c r="H48" i="8"/>
  <c r="D48" i="8"/>
  <c r="G47" i="8"/>
  <c r="G197" i="25"/>
  <c r="K197" i="25"/>
  <c r="F192" i="25"/>
  <c r="J192" i="25"/>
  <c r="F181" i="25"/>
  <c r="J181" i="25"/>
  <c r="G181" i="25"/>
  <c r="K181" i="25"/>
  <c r="AY36" i="9"/>
  <c r="AY51" i="9"/>
  <c r="AZ51" i="9"/>
  <c r="AY76" i="9"/>
  <c r="AY91" i="9"/>
  <c r="AZ91" i="9"/>
  <c r="AY116" i="9"/>
  <c r="AY131" i="9"/>
  <c r="AZ131" i="9"/>
  <c r="H56" i="8"/>
  <c r="D56" i="8"/>
  <c r="F233" i="25"/>
  <c r="C54" i="8" s="1"/>
  <c r="J233" i="25"/>
  <c r="G54" i="8" s="1"/>
  <c r="G233" i="25"/>
  <c r="D54" i="8" s="1"/>
  <c r="K233" i="25"/>
  <c r="H54" i="8" s="1"/>
  <c r="H233" i="25"/>
  <c r="E54" i="8" s="1"/>
  <c r="F50" i="8"/>
  <c r="E49" i="8"/>
  <c r="H44" i="8"/>
  <c r="D44" i="8"/>
  <c r="G43" i="8"/>
  <c r="C43" i="8"/>
  <c r="F42" i="8"/>
  <c r="E41" i="8"/>
  <c r="H40" i="8"/>
  <c r="D40" i="8"/>
  <c r="G39" i="8"/>
  <c r="F38" i="8"/>
  <c r="E37" i="8"/>
  <c r="H36" i="8"/>
  <c r="D36" i="8"/>
  <c r="G35" i="8"/>
  <c r="C35" i="8"/>
  <c r="F34" i="8"/>
  <c r="E33" i="8"/>
  <c r="F133" i="25"/>
  <c r="F129" i="25"/>
  <c r="F125" i="25"/>
  <c r="F121" i="25"/>
  <c r="F117" i="25"/>
  <c r="F113" i="25"/>
  <c r="K125" i="25"/>
  <c r="H129" i="25"/>
  <c r="H113" i="25"/>
  <c r="AW66" i="9"/>
  <c r="AW146" i="9"/>
  <c r="F166" i="25"/>
  <c r="J166" i="25"/>
  <c r="H163" i="25"/>
  <c r="H158" i="25"/>
  <c r="G155" i="25"/>
  <c r="K155" i="25"/>
  <c r="G152" i="25"/>
  <c r="F150" i="25"/>
  <c r="J150" i="25"/>
  <c r="H147" i="25"/>
  <c r="AX56" i="9"/>
  <c r="AX136" i="9"/>
  <c r="H168" i="25"/>
  <c r="I202" i="25"/>
  <c r="G201" i="25"/>
  <c r="K201" i="25"/>
  <c r="G198" i="25"/>
  <c r="I197" i="25"/>
  <c r="F196" i="25"/>
  <c r="J196" i="25"/>
  <c r="H193" i="25"/>
  <c r="I192" i="25"/>
  <c r="H188" i="25"/>
  <c r="F185" i="25"/>
  <c r="J185" i="25"/>
  <c r="G185" i="25"/>
  <c r="K185" i="25"/>
  <c r="G182" i="25"/>
  <c r="K182" i="25"/>
  <c r="H182" i="25"/>
  <c r="E57" i="8"/>
  <c r="C53" i="8"/>
  <c r="F229" i="25"/>
  <c r="C50" i="8" s="1"/>
  <c r="J229" i="25"/>
  <c r="G50" i="8" s="1"/>
  <c r="G229" i="25"/>
  <c r="D50" i="8" s="1"/>
  <c r="K229" i="25"/>
  <c r="H50" i="8" s="1"/>
  <c r="H229" i="25"/>
  <c r="E50" i="8" s="1"/>
  <c r="E45" i="8"/>
  <c r="D57" i="8"/>
  <c r="C56" i="8"/>
  <c r="H53" i="8"/>
  <c r="G52" i="8"/>
  <c r="F51" i="8"/>
  <c r="D49" i="8"/>
  <c r="C48" i="8"/>
  <c r="H45" i="8"/>
  <c r="G44" i="8"/>
  <c r="F43" i="8"/>
  <c r="E42" i="8"/>
  <c r="D41" i="8"/>
  <c r="C40" i="8"/>
  <c r="H37" i="8"/>
  <c r="G36" i="8"/>
  <c r="F35" i="8"/>
  <c r="E34" i="8"/>
  <c r="D33" i="8"/>
  <c r="J134" i="25"/>
  <c r="J130" i="25"/>
  <c r="J126" i="25"/>
  <c r="J122" i="25"/>
  <c r="J118" i="25"/>
  <c r="J114" i="25"/>
  <c r="J110" i="25"/>
  <c r="J184" i="25"/>
  <c r="J180" i="25"/>
  <c r="H178" i="25"/>
  <c r="J236" i="25"/>
  <c r="G57" i="8" s="1"/>
  <c r="F56" i="8"/>
  <c r="H234" i="25"/>
  <c r="E55" i="8" s="1"/>
  <c r="J232" i="25"/>
  <c r="G53" i="8" s="1"/>
  <c r="F52" i="8"/>
  <c r="E51" i="8"/>
  <c r="J228" i="25"/>
  <c r="G49" i="8" s="1"/>
  <c r="E47" i="8"/>
  <c r="J224" i="25"/>
  <c r="G45" i="8" s="1"/>
  <c r="F44" i="8"/>
  <c r="E43" i="8"/>
  <c r="H42" i="8"/>
  <c r="D42" i="8"/>
  <c r="G41" i="8"/>
  <c r="C41" i="8"/>
  <c r="E39" i="8"/>
  <c r="H38" i="8"/>
  <c r="G37" i="8"/>
  <c r="C37" i="8"/>
  <c r="F36" i="8"/>
  <c r="E35" i="8"/>
  <c r="H34" i="8"/>
  <c r="D34" i="8"/>
  <c r="C33" i="8"/>
  <c r="K178" i="25"/>
  <c r="E56" i="8"/>
  <c r="K234" i="25"/>
  <c r="H55" i="8" s="1"/>
  <c r="F53" i="8"/>
  <c r="E52" i="8"/>
  <c r="H51" i="8"/>
  <c r="D51" i="8"/>
  <c r="H47" i="8"/>
  <c r="F45" i="8"/>
  <c r="E44" i="8"/>
  <c r="H43" i="8"/>
  <c r="D43" i="8"/>
  <c r="C42" i="8"/>
  <c r="F41" i="8"/>
  <c r="H39" i="8"/>
  <c r="D39" i="8"/>
  <c r="G38" i="8"/>
  <c r="C38" i="8"/>
  <c r="F37" i="8"/>
  <c r="E36" i="8"/>
  <c r="D35" i="8"/>
  <c r="F33" i="8"/>
  <c r="C55" i="8"/>
  <c r="C47" i="8"/>
  <c r="C34" i="8"/>
  <c r="C39" i="8"/>
  <c r="L149" i="25" l="1"/>
  <c r="M149" i="25" s="1"/>
  <c r="N149" i="25" s="1"/>
  <c r="L14" i="25"/>
  <c r="M14" i="25" s="1"/>
  <c r="N14" i="25" s="1"/>
  <c r="P14" i="25" s="1"/>
  <c r="L54" i="25"/>
  <c r="M54" i="25" s="1"/>
  <c r="N54" i="25" s="1"/>
  <c r="L221" i="25"/>
  <c r="M221" i="25" s="1"/>
  <c r="N221" i="25" s="1"/>
  <c r="L145" i="25"/>
  <c r="M145" i="25" s="1"/>
  <c r="N145" i="25" s="1"/>
  <c r="L216" i="25"/>
  <c r="M216" i="25" s="1"/>
  <c r="N216" i="25" s="1"/>
  <c r="L61" i="25"/>
  <c r="M61" i="25" s="1"/>
  <c r="N61" i="25" s="1"/>
  <c r="L212" i="25"/>
  <c r="M212" i="25" s="1"/>
  <c r="N212" i="25" s="1"/>
  <c r="L42" i="25"/>
  <c r="M42" i="25" s="1"/>
  <c r="N42" i="25" s="1"/>
  <c r="L199" i="25"/>
  <c r="M199" i="25" s="1"/>
  <c r="N199" i="25" s="1"/>
  <c r="L18" i="25"/>
  <c r="M18" i="25" s="1"/>
  <c r="N18" i="25" s="1"/>
  <c r="P18" i="25" s="1"/>
  <c r="L184" i="25"/>
  <c r="M184" i="25" s="1"/>
  <c r="N184" i="25" s="1"/>
  <c r="L66" i="25"/>
  <c r="M66" i="25" s="1"/>
  <c r="N66" i="25" s="1"/>
  <c r="L180" i="25"/>
  <c r="M180" i="25" s="1"/>
  <c r="N180" i="25" s="1"/>
  <c r="L198" i="25"/>
  <c r="M198" i="25" s="1"/>
  <c r="N198" i="25" s="1"/>
  <c r="L97" i="25"/>
  <c r="M97" i="25" s="1"/>
  <c r="N97" i="25" s="1"/>
  <c r="L179" i="25"/>
  <c r="M179" i="25" s="1"/>
  <c r="N179" i="25" s="1"/>
  <c r="L217" i="25"/>
  <c r="M217" i="25" s="1"/>
  <c r="N217" i="25" s="1"/>
  <c r="L153" i="25"/>
  <c r="M153" i="25" s="1"/>
  <c r="N153" i="25" s="1"/>
  <c r="L110" i="25"/>
  <c r="M110" i="25" s="1"/>
  <c r="N110" i="25" s="1"/>
  <c r="L114" i="25"/>
  <c r="M114" i="25" s="1"/>
  <c r="N114" i="25" s="1"/>
  <c r="L48" i="25"/>
  <c r="M48" i="25" s="1"/>
  <c r="N48" i="25" s="1"/>
  <c r="L65" i="25"/>
  <c r="M65" i="25" s="1"/>
  <c r="N65" i="25" s="1"/>
  <c r="L227" i="25"/>
  <c r="M227" i="25" s="1"/>
  <c r="N227" i="25" s="1"/>
  <c r="L191" i="25"/>
  <c r="M191" i="25" s="1"/>
  <c r="N191" i="25" s="1"/>
  <c r="L45" i="25"/>
  <c r="M45" i="25" s="1"/>
  <c r="N45" i="25" s="1"/>
  <c r="L213" i="25"/>
  <c r="M213" i="25" s="1"/>
  <c r="N213" i="25" s="1"/>
  <c r="L85" i="25"/>
  <c r="M85" i="25" s="1"/>
  <c r="N85" i="25" s="1"/>
  <c r="L77" i="25"/>
  <c r="M77" i="25" s="1"/>
  <c r="N77" i="25" s="1"/>
  <c r="L20" i="25"/>
  <c r="M20" i="25" s="1"/>
  <c r="N20" i="25" s="1"/>
  <c r="P20" i="25" s="1"/>
  <c r="L22" i="25"/>
  <c r="M22" i="25" s="1"/>
  <c r="N22" i="25" s="1"/>
  <c r="P22" i="25" s="1"/>
  <c r="L53" i="25"/>
  <c r="M53" i="25" s="1"/>
  <c r="N53" i="25" s="1"/>
  <c r="L230" i="25"/>
  <c r="M230" i="25" s="1"/>
  <c r="N230" i="25" s="1"/>
  <c r="L83" i="25"/>
  <c r="M83" i="25" s="1"/>
  <c r="N83" i="25" s="1"/>
  <c r="L44" i="25"/>
  <c r="M44" i="25" s="1"/>
  <c r="N44" i="25" s="1"/>
  <c r="L226" i="25"/>
  <c r="M226" i="25" s="1"/>
  <c r="N226" i="25" s="1"/>
  <c r="L144" i="25"/>
  <c r="M144" i="25" s="1"/>
  <c r="N144" i="25" s="1"/>
  <c r="L50" i="25"/>
  <c r="M50" i="25" s="1"/>
  <c r="N50" i="25" s="1"/>
  <c r="L235" i="25"/>
  <c r="M235" i="25" s="1"/>
  <c r="N235" i="25" s="1"/>
  <c r="L195" i="25"/>
  <c r="M195" i="25" s="1"/>
  <c r="N195" i="25" s="1"/>
  <c r="L89" i="25"/>
  <c r="M89" i="25" s="1"/>
  <c r="N89" i="25" s="1"/>
  <c r="H33" i="25"/>
  <c r="J33" i="25"/>
  <c r="L32" i="25"/>
  <c r="M32" i="25" s="1"/>
  <c r="N32" i="25" s="1"/>
  <c r="P32" i="25" s="1"/>
  <c r="AT67" i="34" s="1"/>
  <c r="AS70" i="34" s="1"/>
  <c r="L16" i="25"/>
  <c r="M16" i="25" s="1"/>
  <c r="N16" i="25" s="1"/>
  <c r="P16" i="25" s="1"/>
  <c r="L187" i="25"/>
  <c r="M187" i="25" s="1"/>
  <c r="N187" i="25" s="1"/>
  <c r="L219" i="25"/>
  <c r="M219" i="25" s="1"/>
  <c r="N219" i="25" s="1"/>
  <c r="L190" i="25"/>
  <c r="M190" i="25" s="1"/>
  <c r="N190" i="25" s="1"/>
  <c r="L90" i="25"/>
  <c r="M90" i="25" s="1"/>
  <c r="N90" i="25" s="1"/>
  <c r="L78" i="25"/>
  <c r="M78" i="25" s="1"/>
  <c r="N78" i="25" s="1"/>
  <c r="F33" i="25"/>
  <c r="L157" i="25"/>
  <c r="M157" i="25" s="1"/>
  <c r="N157" i="25" s="1"/>
  <c r="L82" i="25"/>
  <c r="M82" i="25" s="1"/>
  <c r="N82" i="25" s="1"/>
  <c r="G135" i="25"/>
  <c r="L86" i="25"/>
  <c r="M86" i="25" s="1"/>
  <c r="N86" i="25" s="1"/>
  <c r="L46" i="25"/>
  <c r="M46" i="25" s="1"/>
  <c r="N46" i="25" s="1"/>
  <c r="L58" i="25"/>
  <c r="M58" i="25" s="1"/>
  <c r="N58" i="25" s="1"/>
  <c r="L220" i="25"/>
  <c r="M220" i="25" s="1"/>
  <c r="N220" i="25" s="1"/>
  <c r="L93" i="25"/>
  <c r="M93" i="25" s="1"/>
  <c r="N93" i="25" s="1"/>
  <c r="L81" i="25"/>
  <c r="M81" i="25" s="1"/>
  <c r="N81" i="25" s="1"/>
  <c r="L160" i="25"/>
  <c r="M160" i="25" s="1"/>
  <c r="N160" i="25" s="1"/>
  <c r="L57" i="25"/>
  <c r="M57" i="25" s="1"/>
  <c r="N57" i="25" s="1"/>
  <c r="L10" i="25"/>
  <c r="M10" i="25" s="1"/>
  <c r="N10" i="25" s="1"/>
  <c r="P10" i="25" s="1"/>
  <c r="L62" i="25"/>
  <c r="M62" i="25" s="1"/>
  <c r="N62" i="25" s="1"/>
  <c r="L8" i="25"/>
  <c r="M8" i="25" s="1"/>
  <c r="N8" i="25" s="1"/>
  <c r="L165" i="25"/>
  <c r="M165" i="25" s="1"/>
  <c r="N165" i="25" s="1"/>
  <c r="L24" i="25"/>
  <c r="M24" i="25" s="1"/>
  <c r="N24" i="25" s="1"/>
  <c r="P24" i="25" s="1"/>
  <c r="L12" i="25"/>
  <c r="M12" i="25" s="1"/>
  <c r="N12" i="25" s="1"/>
  <c r="P12" i="25" s="1"/>
  <c r="L30" i="25"/>
  <c r="M30" i="25" s="1"/>
  <c r="N30" i="25" s="1"/>
  <c r="P30" i="25" s="1"/>
  <c r="L26" i="25"/>
  <c r="M26" i="25" s="1"/>
  <c r="N26" i="25" s="1"/>
  <c r="P26" i="25" s="1"/>
  <c r="L28" i="25"/>
  <c r="M28" i="25" s="1"/>
  <c r="N28" i="25" s="1"/>
  <c r="P28" i="25" s="1"/>
  <c r="L118" i="25"/>
  <c r="M118" i="25" s="1"/>
  <c r="N118" i="25" s="1"/>
  <c r="L134" i="25"/>
  <c r="M134" i="25" s="1"/>
  <c r="N134" i="25" s="1"/>
  <c r="L122" i="25"/>
  <c r="M122" i="25" s="1"/>
  <c r="N122" i="25" s="1"/>
  <c r="L223" i="25"/>
  <c r="M223" i="25" s="1"/>
  <c r="N223" i="25" s="1"/>
  <c r="L214" i="25"/>
  <c r="M214" i="25" s="1"/>
  <c r="N214" i="25" s="1"/>
  <c r="L218" i="25"/>
  <c r="M218" i="25" s="1"/>
  <c r="N218" i="25" s="1"/>
  <c r="L222" i="25"/>
  <c r="M222" i="25" s="1"/>
  <c r="N222" i="25" s="1"/>
  <c r="L231" i="25"/>
  <c r="M231" i="25" s="1"/>
  <c r="N231" i="25" s="1"/>
  <c r="L183" i="25"/>
  <c r="M183" i="25" s="1"/>
  <c r="N183" i="25" s="1"/>
  <c r="L49" i="25"/>
  <c r="M49" i="25" s="1"/>
  <c r="N49" i="25" s="1"/>
  <c r="L31" i="25"/>
  <c r="M31" i="25" s="1"/>
  <c r="N31" i="25" s="1"/>
  <c r="P31" i="25" s="1"/>
  <c r="AT66" i="34" s="1"/>
  <c r="AS69" i="34" s="1"/>
  <c r="L94" i="25"/>
  <c r="M94" i="25" s="1"/>
  <c r="N94" i="25" s="1"/>
  <c r="L52" i="25"/>
  <c r="M52" i="25" s="1"/>
  <c r="N52" i="25" s="1"/>
  <c r="L161" i="25"/>
  <c r="M161" i="25" s="1"/>
  <c r="N161" i="25" s="1"/>
  <c r="L87" i="25"/>
  <c r="M87" i="25" s="1"/>
  <c r="N87" i="25" s="1"/>
  <c r="L79" i="25"/>
  <c r="M79" i="25" s="1"/>
  <c r="N79" i="25" s="1"/>
  <c r="L91" i="25"/>
  <c r="M91" i="25" s="1"/>
  <c r="N91" i="25" s="1"/>
  <c r="L215" i="25"/>
  <c r="M215" i="25" s="1"/>
  <c r="N215" i="25" s="1"/>
  <c r="L126" i="25"/>
  <c r="M126" i="25" s="1"/>
  <c r="N126" i="25" s="1"/>
  <c r="L152" i="25"/>
  <c r="M152" i="25" s="1"/>
  <c r="N152" i="25" s="1"/>
  <c r="L130" i="25"/>
  <c r="M130" i="25" s="1"/>
  <c r="N130" i="25" s="1"/>
  <c r="L117" i="25"/>
  <c r="M117" i="25" s="1"/>
  <c r="N117" i="25" s="1"/>
  <c r="L133" i="25"/>
  <c r="M133" i="25" s="1"/>
  <c r="N133" i="25" s="1"/>
  <c r="L13" i="25"/>
  <c r="M13" i="25" s="1"/>
  <c r="N13" i="25" s="1"/>
  <c r="P13" i="25" s="1"/>
  <c r="L29" i="25"/>
  <c r="M29" i="25" s="1"/>
  <c r="N29" i="25" s="1"/>
  <c r="P29" i="25" s="1"/>
  <c r="AT61" i="34" s="1"/>
  <c r="AS63" i="34" s="1"/>
  <c r="L132" i="25"/>
  <c r="M132" i="25" s="1"/>
  <c r="N132" i="25" s="1"/>
  <c r="F67" i="25"/>
  <c r="I67" i="25"/>
  <c r="C19" i="8"/>
  <c r="M277" i="25"/>
  <c r="L43" i="25"/>
  <c r="M43" i="25" s="1"/>
  <c r="N43" i="25" s="1"/>
  <c r="L11" i="25"/>
  <c r="M11" i="25" s="1"/>
  <c r="N11" i="25" s="1"/>
  <c r="P11" i="25" s="1"/>
  <c r="L120" i="25"/>
  <c r="M120" i="25" s="1"/>
  <c r="N120" i="25" s="1"/>
  <c r="F101" i="25"/>
  <c r="K33" i="25"/>
  <c r="K135" i="25"/>
  <c r="H67" i="25"/>
  <c r="K67" i="25"/>
  <c r="L116" i="25"/>
  <c r="M116" i="25" s="1"/>
  <c r="N116" i="25" s="1"/>
  <c r="L128" i="25"/>
  <c r="M128" i="25" s="1"/>
  <c r="N128" i="25" s="1"/>
  <c r="L271" i="25"/>
  <c r="M243" i="25" s="1"/>
  <c r="M246" i="25"/>
  <c r="N246" i="25" s="1"/>
  <c r="C247" i="25" s="1"/>
  <c r="L112" i="25"/>
  <c r="M112" i="25" s="1"/>
  <c r="N112" i="25" s="1"/>
  <c r="L98" i="25"/>
  <c r="M98" i="25" s="1"/>
  <c r="N98" i="25" s="1"/>
  <c r="L127" i="25"/>
  <c r="M127" i="25" s="1"/>
  <c r="N127" i="25" s="1"/>
  <c r="L95" i="25"/>
  <c r="M95" i="25" s="1"/>
  <c r="N95" i="25" s="1"/>
  <c r="L9" i="25"/>
  <c r="M9" i="25" s="1"/>
  <c r="N9" i="25" s="1"/>
  <c r="P9" i="25" s="1"/>
  <c r="L17" i="25"/>
  <c r="M17" i="25" s="1"/>
  <c r="N17" i="25" s="1"/>
  <c r="P17" i="25" s="1"/>
  <c r="L21" i="25"/>
  <c r="M21" i="25" s="1"/>
  <c r="N21" i="25" s="1"/>
  <c r="P21" i="25" s="1"/>
  <c r="L25" i="25"/>
  <c r="M25" i="25" s="1"/>
  <c r="N25" i="25" s="1"/>
  <c r="P25" i="25" s="1"/>
  <c r="I33" i="25"/>
  <c r="G237" i="25"/>
  <c r="G20" i="8"/>
  <c r="L63" i="25"/>
  <c r="M63" i="25" s="1"/>
  <c r="N63" i="25" s="1"/>
  <c r="L125" i="25"/>
  <c r="M125" i="25" s="1"/>
  <c r="N125" i="25" s="1"/>
  <c r="E25" i="8"/>
  <c r="I169" i="25"/>
  <c r="L99" i="25"/>
  <c r="M99" i="25" s="1"/>
  <c r="N99" i="25" s="1"/>
  <c r="J67" i="25"/>
  <c r="L56" i="25"/>
  <c r="M56" i="25" s="1"/>
  <c r="N56" i="25" s="1"/>
  <c r="D17" i="8"/>
  <c r="L202" i="25"/>
  <c r="M202" i="25" s="1"/>
  <c r="N202" i="25" s="1"/>
  <c r="L147" i="25"/>
  <c r="M147" i="25" s="1"/>
  <c r="N147" i="25" s="1"/>
  <c r="D18" i="8"/>
  <c r="J169" i="25"/>
  <c r="C27" i="8"/>
  <c r="L200" i="25"/>
  <c r="M200" i="25" s="1"/>
  <c r="N200" i="25" s="1"/>
  <c r="I135" i="25"/>
  <c r="L123" i="25"/>
  <c r="M123" i="25" s="1"/>
  <c r="N123" i="25" s="1"/>
  <c r="L80" i="25"/>
  <c r="M80" i="25" s="1"/>
  <c r="N80" i="25" s="1"/>
  <c r="L88" i="25"/>
  <c r="M88" i="25" s="1"/>
  <c r="N88" i="25" s="1"/>
  <c r="L100" i="25"/>
  <c r="M100" i="25" s="1"/>
  <c r="N100" i="25" s="1"/>
  <c r="L60" i="25"/>
  <c r="M60" i="25" s="1"/>
  <c r="N60" i="25" s="1"/>
  <c r="L51" i="25"/>
  <c r="M51" i="25" s="1"/>
  <c r="N51" i="25" s="1"/>
  <c r="L59" i="25"/>
  <c r="M59" i="25" s="1"/>
  <c r="N59" i="25" s="1"/>
  <c r="L64" i="25"/>
  <c r="M64" i="25" s="1"/>
  <c r="N64" i="25" s="1"/>
  <c r="L19" i="25"/>
  <c r="M19" i="25" s="1"/>
  <c r="N19" i="25" s="1"/>
  <c r="P19" i="25" s="1"/>
  <c r="L23" i="25"/>
  <c r="M23" i="25" s="1"/>
  <c r="N23" i="25" s="1"/>
  <c r="P23" i="25" s="1"/>
  <c r="L27" i="25"/>
  <c r="M27" i="25" s="1"/>
  <c r="N27" i="25" s="1"/>
  <c r="P27" i="25" s="1"/>
  <c r="L47" i="25"/>
  <c r="M47" i="25" s="1"/>
  <c r="N47" i="25" s="1"/>
  <c r="J101" i="25"/>
  <c r="C17" i="8"/>
  <c r="F9" i="8"/>
  <c r="G11" i="8"/>
  <c r="L196" i="25"/>
  <c r="M196" i="25" s="1"/>
  <c r="N196" i="25" s="1"/>
  <c r="L201" i="25"/>
  <c r="M201" i="25" s="1"/>
  <c r="N201" i="25" s="1"/>
  <c r="L181" i="25"/>
  <c r="M181" i="25" s="1"/>
  <c r="N181" i="25" s="1"/>
  <c r="E19" i="8"/>
  <c r="G67" i="25"/>
  <c r="G7" i="8"/>
  <c r="L113" i="25"/>
  <c r="M113" i="25" s="1"/>
  <c r="N113" i="25" s="1"/>
  <c r="D25" i="8"/>
  <c r="E23" i="8"/>
  <c r="L232" i="25"/>
  <c r="M232" i="25" s="1"/>
  <c r="N232" i="25" s="1"/>
  <c r="L124" i="25"/>
  <c r="M124" i="25" s="1"/>
  <c r="N124" i="25" s="1"/>
  <c r="G25" i="8"/>
  <c r="F14" i="8"/>
  <c r="F7" i="8"/>
  <c r="E6" i="8"/>
  <c r="G16" i="8"/>
  <c r="D11" i="8"/>
  <c r="C25" i="8"/>
  <c r="F8" i="8"/>
  <c r="E22" i="8"/>
  <c r="G22" i="8"/>
  <c r="L178" i="25"/>
  <c r="M178" i="25" s="1"/>
  <c r="N178" i="25" s="1"/>
  <c r="L150" i="25"/>
  <c r="M150" i="25" s="1"/>
  <c r="N150" i="25" s="1"/>
  <c r="L111" i="25"/>
  <c r="M111" i="25" s="1"/>
  <c r="N111" i="25" s="1"/>
  <c r="C24" i="8"/>
  <c r="C12" i="8"/>
  <c r="G6" i="8"/>
  <c r="E16" i="8"/>
  <c r="D23" i="8"/>
  <c r="E15" i="8"/>
  <c r="F25" i="8"/>
  <c r="F17" i="8"/>
  <c r="C16" i="8"/>
  <c r="D13" i="8"/>
  <c r="E21" i="8"/>
  <c r="K203" i="25"/>
  <c r="L185" i="25"/>
  <c r="M185" i="25" s="1"/>
  <c r="N185" i="25" s="1"/>
  <c r="H203" i="25"/>
  <c r="H169" i="25"/>
  <c r="L155" i="25"/>
  <c r="M155" i="25" s="1"/>
  <c r="N155" i="25" s="1"/>
  <c r="L166" i="25"/>
  <c r="M166" i="25" s="1"/>
  <c r="N166" i="25" s="1"/>
  <c r="H135" i="25"/>
  <c r="F135" i="25"/>
  <c r="F4" i="8"/>
  <c r="F10" i="8"/>
  <c r="F13" i="8"/>
  <c r="E27" i="8"/>
  <c r="L192" i="25"/>
  <c r="M192" i="25" s="1"/>
  <c r="N192" i="25" s="1"/>
  <c r="D19" i="8"/>
  <c r="G28" i="8"/>
  <c r="L193" i="25"/>
  <c r="M193" i="25" s="1"/>
  <c r="N193" i="25" s="1"/>
  <c r="L158" i="25"/>
  <c r="M158" i="25" s="1"/>
  <c r="N158" i="25" s="1"/>
  <c r="L186" i="25"/>
  <c r="M186" i="25" s="1"/>
  <c r="N186" i="25" s="1"/>
  <c r="L189" i="25"/>
  <c r="M189" i="25" s="1"/>
  <c r="N189" i="25" s="1"/>
  <c r="L194" i="25"/>
  <c r="M194" i="25" s="1"/>
  <c r="N194" i="25" s="1"/>
  <c r="I203" i="25"/>
  <c r="L146" i="25"/>
  <c r="M146" i="25" s="1"/>
  <c r="N146" i="25" s="1"/>
  <c r="K169" i="25"/>
  <c r="L151" i="25"/>
  <c r="M151" i="25" s="1"/>
  <c r="N151" i="25" s="1"/>
  <c r="L154" i="25"/>
  <c r="M154" i="25" s="1"/>
  <c r="N154" i="25" s="1"/>
  <c r="L156" i="25"/>
  <c r="M156" i="25" s="1"/>
  <c r="N156" i="25" s="1"/>
  <c r="L159" i="25"/>
  <c r="M159" i="25" s="1"/>
  <c r="N159" i="25" s="1"/>
  <c r="L162" i="25"/>
  <c r="M162" i="25" s="1"/>
  <c r="N162" i="25" s="1"/>
  <c r="L164" i="25"/>
  <c r="M164" i="25" s="1"/>
  <c r="N164" i="25" s="1"/>
  <c r="L167" i="25"/>
  <c r="M167" i="25" s="1"/>
  <c r="N167" i="25" s="1"/>
  <c r="L115" i="25"/>
  <c r="M115" i="25" s="1"/>
  <c r="N115" i="25" s="1"/>
  <c r="L119" i="25"/>
  <c r="M119" i="25" s="1"/>
  <c r="N119" i="25" s="1"/>
  <c r="L131" i="25"/>
  <c r="M131" i="25" s="1"/>
  <c r="N131" i="25" s="1"/>
  <c r="L76" i="25"/>
  <c r="M76" i="25" s="1"/>
  <c r="N76" i="25" s="1"/>
  <c r="G101" i="25"/>
  <c r="I101" i="25"/>
  <c r="L84" i="25"/>
  <c r="M84" i="25" s="1"/>
  <c r="N84" i="25" s="1"/>
  <c r="L92" i="25"/>
  <c r="M92" i="25" s="1"/>
  <c r="N92" i="25" s="1"/>
  <c r="L96" i="25"/>
  <c r="M96" i="25" s="1"/>
  <c r="N96" i="25" s="1"/>
  <c r="H101" i="25"/>
  <c r="L55" i="25"/>
  <c r="M55" i="25" s="1"/>
  <c r="N55" i="25" s="1"/>
  <c r="G33" i="25"/>
  <c r="F16" i="8"/>
  <c r="G14" i="8"/>
  <c r="E11" i="8"/>
  <c r="D9" i="8"/>
  <c r="D15" i="8"/>
  <c r="F23" i="8"/>
  <c r="F6" i="8"/>
  <c r="E8" i="8"/>
  <c r="L197" i="25"/>
  <c r="M197" i="25" s="1"/>
  <c r="N197" i="25" s="1"/>
  <c r="G24" i="8"/>
  <c r="L188" i="25"/>
  <c r="M188" i="25" s="1"/>
  <c r="N188" i="25" s="1"/>
  <c r="L163" i="25"/>
  <c r="M163" i="25" s="1"/>
  <c r="N163" i="25" s="1"/>
  <c r="G17" i="8"/>
  <c r="D12" i="8"/>
  <c r="G23" i="8"/>
  <c r="D8" i="8"/>
  <c r="C7" i="8"/>
  <c r="L168" i="25"/>
  <c r="I237" i="25"/>
  <c r="L224" i="25"/>
  <c r="M224" i="25" s="1"/>
  <c r="N224" i="25" s="1"/>
  <c r="E17" i="8"/>
  <c r="C15" i="8"/>
  <c r="K101" i="25"/>
  <c r="C11" i="8"/>
  <c r="F11" i="8"/>
  <c r="C9" i="8"/>
  <c r="C6" i="8"/>
  <c r="E24" i="8"/>
  <c r="L15" i="25"/>
  <c r="M15" i="25" s="1"/>
  <c r="N15" i="25" s="1"/>
  <c r="P15" i="25" s="1"/>
  <c r="G9" i="8"/>
  <c r="F12" i="8"/>
  <c r="G15" i="8"/>
  <c r="F15" i="8"/>
  <c r="F20" i="8"/>
  <c r="G27" i="8"/>
  <c r="D24" i="8"/>
  <c r="F203" i="25"/>
  <c r="F169" i="25"/>
  <c r="G21" i="8"/>
  <c r="G203" i="25"/>
  <c r="J135" i="25"/>
  <c r="L229" i="25"/>
  <c r="M229" i="25" s="1"/>
  <c r="N229" i="25" s="1"/>
  <c r="E13" i="8"/>
  <c r="L228" i="25"/>
  <c r="M228" i="25" s="1"/>
  <c r="N228" i="25" s="1"/>
  <c r="C20" i="8"/>
  <c r="F22" i="8"/>
  <c r="C10" i="8"/>
  <c r="L225" i="25"/>
  <c r="M225" i="25" s="1"/>
  <c r="N225" i="25" s="1"/>
  <c r="L182" i="25"/>
  <c r="M182" i="25" s="1"/>
  <c r="N182" i="25" s="1"/>
  <c r="D16" i="8"/>
  <c r="E4" i="8"/>
  <c r="C8" i="8"/>
  <c r="L236" i="25"/>
  <c r="M236" i="25" s="1"/>
  <c r="N236" i="25" s="1"/>
  <c r="D4" i="8"/>
  <c r="F19" i="8"/>
  <c r="C26" i="8"/>
  <c r="F24" i="8"/>
  <c r="G4" i="8"/>
  <c r="D6" i="8"/>
  <c r="C23" i="8"/>
  <c r="G12" i="8"/>
  <c r="C4" i="8"/>
  <c r="D22" i="8"/>
  <c r="L148" i="25"/>
  <c r="M148" i="25" s="1"/>
  <c r="N148" i="25" s="1"/>
  <c r="E12" i="8"/>
  <c r="G169" i="25"/>
  <c r="C14" i="8"/>
  <c r="C13" i="8"/>
  <c r="G19" i="8"/>
  <c r="D27" i="8"/>
  <c r="C28" i="8"/>
  <c r="C5" i="8"/>
  <c r="J203" i="25"/>
  <c r="L234" i="25"/>
  <c r="M234" i="25" s="1"/>
  <c r="N234" i="25" s="1"/>
  <c r="D21" i="8"/>
  <c r="L121" i="25"/>
  <c r="M121" i="25" s="1"/>
  <c r="N121" i="25" s="1"/>
  <c r="D7" i="8"/>
  <c r="G13" i="8"/>
  <c r="F28" i="8"/>
  <c r="D20" i="8"/>
  <c r="E9" i="8"/>
  <c r="C21" i="8"/>
  <c r="E14" i="8"/>
  <c r="C22" i="8"/>
  <c r="D28" i="8"/>
  <c r="F237" i="25"/>
  <c r="E18" i="8"/>
  <c r="K237" i="25"/>
  <c r="E20" i="8"/>
  <c r="L233" i="25"/>
  <c r="M233" i="25" s="1"/>
  <c r="N233" i="25" s="1"/>
  <c r="E7" i="8"/>
  <c r="L129" i="25"/>
  <c r="M129" i="25" s="1"/>
  <c r="N129" i="25" s="1"/>
  <c r="F27" i="8"/>
  <c r="G8" i="8"/>
  <c r="D14" i="8"/>
  <c r="E28" i="8"/>
  <c r="J237" i="25"/>
  <c r="H237" i="25"/>
  <c r="F21" i="8"/>
  <c r="BN15" i="2"/>
  <c r="BN13" i="2" s="1"/>
  <c r="BM14" i="2"/>
  <c r="G18" i="8"/>
  <c r="C18" i="8"/>
  <c r="D10" i="8"/>
  <c r="E10" i="8"/>
  <c r="G10" i="8"/>
  <c r="F18" i="8"/>
  <c r="F5" i="8"/>
  <c r="D5" i="8"/>
  <c r="G5" i="8"/>
  <c r="G26" i="8"/>
  <c r="F26" i="8"/>
  <c r="E26" i="8"/>
  <c r="E5" i="8"/>
  <c r="D26" i="8"/>
  <c r="BI39" i="2" l="1"/>
  <c r="AT31" i="34"/>
  <c r="AS36" i="34" s="1"/>
  <c r="AT19" i="34"/>
  <c r="AS24" i="34" s="1"/>
  <c r="AT47" i="34"/>
  <c r="AS54" i="34" s="1"/>
  <c r="AT39" i="34"/>
  <c r="AS42" i="34" s="1"/>
  <c r="AT45" i="34"/>
  <c r="AS52" i="34" s="1"/>
  <c r="AT29" i="34"/>
  <c r="AS34" i="34" s="1"/>
  <c r="AT49" i="34"/>
  <c r="AS56" i="34" s="1"/>
  <c r="AT27" i="34"/>
  <c r="AS32" i="34" s="1"/>
  <c r="AT51" i="34"/>
  <c r="AS58" i="34" s="1"/>
  <c r="AT17" i="34"/>
  <c r="AS22" i="34" s="1"/>
  <c r="AT20" i="34"/>
  <c r="AS25" i="34" s="1"/>
  <c r="AT60" i="34"/>
  <c r="AS62" i="34" s="1"/>
  <c r="AT48" i="34"/>
  <c r="AS55" i="34" s="1"/>
  <c r="AT18" i="34"/>
  <c r="AS23" i="34" s="1"/>
  <c r="AT46" i="34"/>
  <c r="AS53" i="34" s="1"/>
  <c r="AT38" i="34"/>
  <c r="AS41" i="34" s="1"/>
  <c r="AT50" i="34"/>
  <c r="AS57" i="34" s="1"/>
  <c r="AT40" i="34"/>
  <c r="AS43" i="34" s="1"/>
  <c r="AT28" i="34"/>
  <c r="AS33" i="34" s="1"/>
  <c r="AT30" i="34"/>
  <c r="AS35" i="34" s="1"/>
  <c r="BI27" i="2"/>
  <c r="BI29" i="2"/>
  <c r="O46" i="25"/>
  <c r="P46" i="25" s="1"/>
  <c r="O51" i="25"/>
  <c r="P51" i="25" s="1"/>
  <c r="O47" i="25"/>
  <c r="P47" i="25" s="1"/>
  <c r="BI36" i="2"/>
  <c r="O56" i="25"/>
  <c r="P56" i="25" s="1"/>
  <c r="O61" i="25"/>
  <c r="P61" i="25" s="1"/>
  <c r="BI17" i="2"/>
  <c r="O65" i="25"/>
  <c r="P65" i="25" s="1"/>
  <c r="AU66" i="34" s="1"/>
  <c r="AT69" i="34" s="1"/>
  <c r="O48" i="25"/>
  <c r="P48" i="25" s="1"/>
  <c r="BI23" i="2"/>
  <c r="O57" i="25"/>
  <c r="P57" i="25" s="1"/>
  <c r="BI33" i="2"/>
  <c r="BI24" i="2"/>
  <c r="BI20" i="2"/>
  <c r="O62" i="25"/>
  <c r="P62" i="25" s="1"/>
  <c r="BI22" i="2"/>
  <c r="O50" i="25"/>
  <c r="P50" i="25" s="1"/>
  <c r="O64" i="25"/>
  <c r="P64" i="25" s="1"/>
  <c r="BI30" i="2"/>
  <c r="O53" i="25"/>
  <c r="P53" i="25" s="1"/>
  <c r="O55" i="25"/>
  <c r="P55" i="25" s="1"/>
  <c r="BI21" i="2"/>
  <c r="BI25" i="2"/>
  <c r="C22" i="11"/>
  <c r="O49" i="25"/>
  <c r="P49" i="25" s="1"/>
  <c r="C20" i="11"/>
  <c r="C17" i="11"/>
  <c r="C21" i="11"/>
  <c r="BI35" i="2"/>
  <c r="O43" i="25"/>
  <c r="P43" i="25" s="1"/>
  <c r="H21" i="8"/>
  <c r="H6" i="8"/>
  <c r="H15" i="8"/>
  <c r="C255" i="25"/>
  <c r="M271" i="25"/>
  <c r="N271" i="25" s="1"/>
  <c r="C263" i="25"/>
  <c r="C251" i="25"/>
  <c r="C249" i="25"/>
  <c r="C246" i="25"/>
  <c r="C258" i="25"/>
  <c r="C261" i="25"/>
  <c r="C260" i="25"/>
  <c r="C250" i="25"/>
  <c r="C264" i="25"/>
  <c r="C262" i="25"/>
  <c r="C252" i="25"/>
  <c r="C253" i="25"/>
  <c r="C256" i="25"/>
  <c r="C254" i="25"/>
  <c r="C270" i="25"/>
  <c r="C268" i="25"/>
  <c r="C257" i="25"/>
  <c r="C248" i="25"/>
  <c r="C265" i="25"/>
  <c r="C266" i="25"/>
  <c r="C269" i="25"/>
  <c r="C259" i="25"/>
  <c r="C267" i="25"/>
  <c r="O59" i="25"/>
  <c r="P59" i="25" s="1"/>
  <c r="AU49" i="34" s="1"/>
  <c r="C58" i="25"/>
  <c r="BI31" i="2"/>
  <c r="H7" i="8"/>
  <c r="L33" i="25"/>
  <c r="M33" i="25" s="1"/>
  <c r="N33" i="25" s="1"/>
  <c r="P33" i="25" s="1"/>
  <c r="AT65" i="34" s="1"/>
  <c r="AS68" i="34" s="1"/>
  <c r="H14" i="8"/>
  <c r="H9" i="8"/>
  <c r="C79" i="25"/>
  <c r="C24" i="25"/>
  <c r="C24" i="11"/>
  <c r="C18" i="11"/>
  <c r="M168" i="25"/>
  <c r="N168" i="25" s="1"/>
  <c r="C156" i="25" s="1"/>
  <c r="C16" i="11"/>
  <c r="C19" i="11"/>
  <c r="C23" i="11"/>
  <c r="C99" i="25"/>
  <c r="H17" i="8"/>
  <c r="H11" i="8"/>
  <c r="C90" i="25"/>
  <c r="L237" i="25"/>
  <c r="M209" i="25" s="1"/>
  <c r="H8" i="8"/>
  <c r="H24" i="8"/>
  <c r="C236" i="25"/>
  <c r="C235" i="25"/>
  <c r="C224" i="25"/>
  <c r="C229" i="25"/>
  <c r="C226" i="25"/>
  <c r="C233" i="25"/>
  <c r="C217" i="25"/>
  <c r="C228" i="25"/>
  <c r="C213" i="25"/>
  <c r="H4" i="8"/>
  <c r="H13" i="8"/>
  <c r="H12" i="8"/>
  <c r="H23" i="8"/>
  <c r="C100" i="25"/>
  <c r="H22" i="8"/>
  <c r="H16" i="8"/>
  <c r="H25" i="8"/>
  <c r="C234" i="25"/>
  <c r="C219" i="25"/>
  <c r="C222" i="25"/>
  <c r="C227" i="25"/>
  <c r="C84" i="25"/>
  <c r="C113" i="25"/>
  <c r="L169" i="25"/>
  <c r="M169" i="25" s="1"/>
  <c r="N169" i="25" s="1"/>
  <c r="L101" i="25"/>
  <c r="M101" i="25" s="1"/>
  <c r="N101" i="25" s="1"/>
  <c r="C88" i="25"/>
  <c r="C78" i="25"/>
  <c r="C93" i="25"/>
  <c r="C82" i="25"/>
  <c r="L135" i="25"/>
  <c r="M107" i="25" s="1"/>
  <c r="C91" i="25"/>
  <c r="C77" i="25"/>
  <c r="C86" i="25"/>
  <c r="C76" i="25"/>
  <c r="L203" i="25"/>
  <c r="M203" i="25" s="1"/>
  <c r="N203" i="25" s="1"/>
  <c r="C97" i="25"/>
  <c r="C215" i="25"/>
  <c r="C231" i="25"/>
  <c r="H20" i="8"/>
  <c r="C221" i="25"/>
  <c r="C94" i="25"/>
  <c r="C92" i="25"/>
  <c r="C85" i="25"/>
  <c r="C98" i="25"/>
  <c r="C95" i="25"/>
  <c r="L67" i="25"/>
  <c r="M67" i="25" s="1"/>
  <c r="N67" i="25" s="1"/>
  <c r="C80" i="25"/>
  <c r="C89" i="25"/>
  <c r="C83" i="25"/>
  <c r="C81" i="25"/>
  <c r="C96" i="25"/>
  <c r="C87" i="25"/>
  <c r="C192" i="25"/>
  <c r="C230" i="25"/>
  <c r="C232" i="25"/>
  <c r="C214" i="25"/>
  <c r="H19" i="8"/>
  <c r="C218" i="25"/>
  <c r="C212" i="25"/>
  <c r="H28" i="8"/>
  <c r="H27" i="8"/>
  <c r="C216" i="25"/>
  <c r="C220" i="25"/>
  <c r="C223" i="25"/>
  <c r="C225" i="25"/>
  <c r="BO15" i="2"/>
  <c r="BO13" i="2" s="1"/>
  <c r="BN14" i="2"/>
  <c r="C201" i="25"/>
  <c r="H18" i="8"/>
  <c r="H26" i="8"/>
  <c r="H10" i="8"/>
  <c r="H5" i="8"/>
  <c r="C184" i="25"/>
  <c r="C193" i="25"/>
  <c r="C197" i="25"/>
  <c r="C181" i="25"/>
  <c r="C198" i="25"/>
  <c r="C191" i="25"/>
  <c r="C183" i="25"/>
  <c r="C182" i="25"/>
  <c r="C112" i="25"/>
  <c r="C190" i="25"/>
  <c r="C185" i="25"/>
  <c r="C189" i="25"/>
  <c r="C200" i="25"/>
  <c r="C29" i="25"/>
  <c r="C10" i="25"/>
  <c r="C46" i="25"/>
  <c r="C32" i="25"/>
  <c r="C18" i="25"/>
  <c r="C43" i="25"/>
  <c r="C11" i="25"/>
  <c r="C60" i="25"/>
  <c r="C199" i="25"/>
  <c r="C129" i="25"/>
  <c r="C57" i="25"/>
  <c r="O60" i="25"/>
  <c r="P60" i="25" s="1"/>
  <c r="BI34" i="2"/>
  <c r="O58" i="25"/>
  <c r="P58" i="25" s="1"/>
  <c r="BI32" i="2"/>
  <c r="O44" i="25"/>
  <c r="P44" i="25" s="1"/>
  <c r="BI18" i="2"/>
  <c r="C116" i="25"/>
  <c r="C48" i="25"/>
  <c r="C50" i="25"/>
  <c r="O45" i="25"/>
  <c r="P45" i="25" s="1"/>
  <c r="BI19" i="2"/>
  <c r="C59" i="25"/>
  <c r="P8" i="25"/>
  <c r="C30" i="25"/>
  <c r="C14" i="25"/>
  <c r="C19" i="25"/>
  <c r="C9" i="25"/>
  <c r="C13" i="25"/>
  <c r="C8" i="25"/>
  <c r="C28" i="25"/>
  <c r="C17" i="25"/>
  <c r="C23" i="25"/>
  <c r="C12" i="25"/>
  <c r="C21" i="25"/>
  <c r="C15" i="25"/>
  <c r="C31" i="25"/>
  <c r="C27" i="25"/>
  <c r="C25" i="25"/>
  <c r="C22" i="25"/>
  <c r="C16" i="25"/>
  <c r="C54" i="25"/>
  <c r="C45" i="25"/>
  <c r="C52" i="25"/>
  <c r="C179" i="25"/>
  <c r="C187" i="25"/>
  <c r="C180" i="25"/>
  <c r="C186" i="25"/>
  <c r="C188" i="25"/>
  <c r="C202" i="25"/>
  <c r="C194" i="25"/>
  <c r="C195" i="25"/>
  <c r="C178" i="25"/>
  <c r="C196" i="25"/>
  <c r="C120" i="25"/>
  <c r="C128" i="25"/>
  <c r="C130" i="25"/>
  <c r="C117" i="25"/>
  <c r="C127" i="25"/>
  <c r="C115" i="25"/>
  <c r="C131" i="25"/>
  <c r="C132" i="25"/>
  <c r="C118" i="25"/>
  <c r="C134" i="25"/>
  <c r="C123" i="25"/>
  <c r="C124" i="25"/>
  <c r="C110" i="25"/>
  <c r="C119" i="25"/>
  <c r="C126" i="25"/>
  <c r="O63" i="25"/>
  <c r="P63" i="25" s="1"/>
  <c r="BI37" i="2"/>
  <c r="C56" i="25"/>
  <c r="C47" i="25"/>
  <c r="C20" i="25"/>
  <c r="C122" i="25"/>
  <c r="C125" i="25"/>
  <c r="O66" i="25"/>
  <c r="P66" i="25" s="1"/>
  <c r="AU67" i="34" s="1"/>
  <c r="AT70" i="34" s="1"/>
  <c r="BI40" i="2"/>
  <c r="C61" i="25"/>
  <c r="C133" i="25"/>
  <c r="O54" i="25"/>
  <c r="P54" i="25" s="1"/>
  <c r="BI28" i="2"/>
  <c r="C114" i="25"/>
  <c r="C66" i="25"/>
  <c r="C42" i="25"/>
  <c r="C63" i="25"/>
  <c r="C65" i="25"/>
  <c r="C62" i="25"/>
  <c r="C64" i="25"/>
  <c r="C55" i="25"/>
  <c r="C44" i="25"/>
  <c r="C111" i="25"/>
  <c r="C49" i="25"/>
  <c r="O52" i="25"/>
  <c r="P52" i="25" s="1"/>
  <c r="BI26" i="2"/>
  <c r="C51" i="25"/>
  <c r="C53" i="25"/>
  <c r="C26" i="25"/>
  <c r="C121" i="25"/>
  <c r="AT56" i="34" l="1"/>
  <c r="AU40" i="34"/>
  <c r="AT43" i="34" s="1"/>
  <c r="AU18" i="34"/>
  <c r="AT23" i="34" s="1"/>
  <c r="AU48" i="34"/>
  <c r="AT55" i="34" s="1"/>
  <c r="AU60" i="34"/>
  <c r="AT62" i="34" s="1"/>
  <c r="AU28" i="34"/>
  <c r="AT33" i="34" s="1"/>
  <c r="AU39" i="34"/>
  <c r="AT42" i="34" s="1"/>
  <c r="AU38" i="34"/>
  <c r="AT41" i="34" s="1"/>
  <c r="AU19" i="34"/>
  <c r="AT24" i="34" s="1"/>
  <c r="AU17" i="34"/>
  <c r="AT22" i="34" s="1"/>
  <c r="AU47" i="34"/>
  <c r="AT54" i="34" s="1"/>
  <c r="AU27" i="34"/>
  <c r="AT32" i="34" s="1"/>
  <c r="AU50" i="34"/>
  <c r="AT57" i="34" s="1"/>
  <c r="AU29" i="34"/>
  <c r="AT34" i="34" s="1"/>
  <c r="AU45" i="34"/>
  <c r="AT52" i="34" s="1"/>
  <c r="AU30" i="34"/>
  <c r="AT35" i="34" s="1"/>
  <c r="AU51" i="34"/>
  <c r="AT58" i="34" s="1"/>
  <c r="AU31" i="34"/>
  <c r="AT36" i="34" s="1"/>
  <c r="BI38" i="2"/>
  <c r="AU46" i="34"/>
  <c r="AT53" i="34" s="1"/>
  <c r="AU20" i="34"/>
  <c r="AT25" i="34" s="1"/>
  <c r="AU61" i="34"/>
  <c r="AT63" i="34" s="1"/>
  <c r="AT71" i="34"/>
  <c r="AS72" i="34" s="1"/>
  <c r="AT16" i="34"/>
  <c r="AS21" i="34" s="1"/>
  <c r="O85" i="25"/>
  <c r="P85" i="25" s="1"/>
  <c r="O83" i="25"/>
  <c r="P83" i="25" s="1"/>
  <c r="O82" i="25"/>
  <c r="P82" i="25" s="1"/>
  <c r="O90" i="25"/>
  <c r="P90" i="25" s="1"/>
  <c r="O80" i="25"/>
  <c r="P80" i="25" s="1"/>
  <c r="O87" i="25"/>
  <c r="P87" i="25" s="1"/>
  <c r="O96" i="25"/>
  <c r="P96" i="25" s="1"/>
  <c r="BJ17" i="2"/>
  <c r="O99" i="25"/>
  <c r="P99" i="25" s="1"/>
  <c r="AV66" i="34" s="1"/>
  <c r="AU69" i="34" s="1"/>
  <c r="BJ35" i="2"/>
  <c r="O67" i="25"/>
  <c r="P67" i="25" s="1"/>
  <c r="AU65" i="34" s="1"/>
  <c r="AT68" i="34" s="1"/>
  <c r="BJ33" i="2"/>
  <c r="BJ31" i="2"/>
  <c r="O81" i="25"/>
  <c r="P81" i="25" s="1"/>
  <c r="D18" i="25"/>
  <c r="BJ22" i="2"/>
  <c r="O95" i="25"/>
  <c r="P95" i="25" s="1"/>
  <c r="BJ20" i="2"/>
  <c r="BJ24" i="2"/>
  <c r="O84" i="25"/>
  <c r="P84" i="25" s="1"/>
  <c r="BJ39" i="2"/>
  <c r="BJ36" i="2"/>
  <c r="O91" i="25"/>
  <c r="P91" i="25" s="1"/>
  <c r="BJ25" i="2"/>
  <c r="BJ21" i="2"/>
  <c r="BJ27" i="2"/>
  <c r="C155" i="25"/>
  <c r="C144" i="25"/>
  <c r="C151" i="25"/>
  <c r="O77" i="25"/>
  <c r="P77" i="25" s="1"/>
  <c r="C162" i="25"/>
  <c r="C152" i="25"/>
  <c r="C148" i="25"/>
  <c r="C158" i="25"/>
  <c r="M175" i="25"/>
  <c r="C147" i="25"/>
  <c r="C164" i="25"/>
  <c r="C146" i="25"/>
  <c r="C163" i="25"/>
  <c r="C150" i="25"/>
  <c r="C168" i="25"/>
  <c r="C167" i="25"/>
  <c r="C160" i="25"/>
  <c r="C161" i="25"/>
  <c r="C166" i="25"/>
  <c r="C159" i="25"/>
  <c r="C165" i="25"/>
  <c r="C153" i="25"/>
  <c r="C149" i="25"/>
  <c r="C145" i="25"/>
  <c r="C157" i="25"/>
  <c r="O98" i="25"/>
  <c r="P98" i="25" s="1"/>
  <c r="BJ23" i="2"/>
  <c r="BJ30" i="2"/>
  <c r="M237" i="25"/>
  <c r="N237" i="25" s="1"/>
  <c r="BI41" i="2"/>
  <c r="M135" i="25"/>
  <c r="N135" i="25" s="1"/>
  <c r="O93" i="25"/>
  <c r="P93" i="25" s="1"/>
  <c r="AV49" i="34" s="1"/>
  <c r="AU56" i="34" s="1"/>
  <c r="AI60" i="7"/>
  <c r="AI61" i="7"/>
  <c r="M141" i="25"/>
  <c r="AH61" i="7"/>
  <c r="BJ29" i="2"/>
  <c r="O89" i="25"/>
  <c r="P89" i="25" s="1"/>
  <c r="AH60" i="7"/>
  <c r="AH59" i="7"/>
  <c r="AI59" i="7"/>
  <c r="BO14" i="2"/>
  <c r="BP15" i="2"/>
  <c r="BP13" i="2" s="1"/>
  <c r="D29" i="25"/>
  <c r="D11" i="25"/>
  <c r="D20" i="25"/>
  <c r="O78" i="25"/>
  <c r="P78" i="25" s="1"/>
  <c r="AV18" i="34" s="1"/>
  <c r="AU23" i="34" s="1"/>
  <c r="BJ18" i="2"/>
  <c r="O100" i="25"/>
  <c r="P100" i="25" s="1"/>
  <c r="AV67" i="34" s="1"/>
  <c r="AU70" i="34" s="1"/>
  <c r="BJ40" i="2"/>
  <c r="D24" i="25"/>
  <c r="BK30" i="2"/>
  <c r="O86" i="25"/>
  <c r="P86" i="25" s="1"/>
  <c r="BJ26" i="2"/>
  <c r="O42" i="25"/>
  <c r="P42" i="25" s="1"/>
  <c r="AU16" i="34" s="1"/>
  <c r="BI16" i="2"/>
  <c r="D23" i="25"/>
  <c r="D15" i="25"/>
  <c r="D8" i="25"/>
  <c r="D13" i="25"/>
  <c r="D28" i="25"/>
  <c r="D17" i="25"/>
  <c r="D12" i="25"/>
  <c r="D14" i="25"/>
  <c r="D30" i="25"/>
  <c r="D25" i="25"/>
  <c r="D21" i="25"/>
  <c r="D9" i="25"/>
  <c r="D19" i="25"/>
  <c r="D27" i="25"/>
  <c r="D31" i="25"/>
  <c r="D16" i="25"/>
  <c r="D22" i="25"/>
  <c r="O79" i="25"/>
  <c r="P79" i="25" s="1"/>
  <c r="BJ19" i="2"/>
  <c r="D26" i="25"/>
  <c r="O97" i="25"/>
  <c r="P97" i="25" s="1"/>
  <c r="AV61" i="34" s="1"/>
  <c r="BJ37" i="2"/>
  <c r="O88" i="25"/>
  <c r="P88" i="25" s="1"/>
  <c r="BJ28" i="2"/>
  <c r="D10" i="25"/>
  <c r="O94" i="25"/>
  <c r="P94" i="25" s="1"/>
  <c r="BJ34" i="2"/>
  <c r="O92" i="25"/>
  <c r="P92" i="25" s="1"/>
  <c r="BJ32" i="2"/>
  <c r="D32" i="25"/>
  <c r="AV40" i="34" l="1"/>
  <c r="AU43" i="34" s="1"/>
  <c r="AV19" i="34"/>
  <c r="AU24" i="34" s="1"/>
  <c r="AV48" i="34"/>
  <c r="AU55" i="34" s="1"/>
  <c r="AV38" i="34"/>
  <c r="AU41" i="34" s="1"/>
  <c r="AV17" i="34"/>
  <c r="AU22" i="34" s="1"/>
  <c r="AV60" i="34"/>
  <c r="AU62" i="34" s="1"/>
  <c r="AV28" i="34"/>
  <c r="AU33" i="34" s="1"/>
  <c r="AV27" i="34"/>
  <c r="AU32" i="34" s="1"/>
  <c r="AV39" i="34"/>
  <c r="AU42" i="34" s="1"/>
  <c r="AV50" i="34"/>
  <c r="AU57" i="34" s="1"/>
  <c r="AV20" i="34"/>
  <c r="AU25" i="34" s="1"/>
  <c r="AU63" i="34"/>
  <c r="AV30" i="34"/>
  <c r="AU35" i="34" s="1"/>
  <c r="AV31" i="34"/>
  <c r="AU36" i="34" s="1"/>
  <c r="AV47" i="34"/>
  <c r="AU54" i="34" s="1"/>
  <c r="AV46" i="34"/>
  <c r="AU53" i="34" s="1"/>
  <c r="BJ38" i="2"/>
  <c r="AV45" i="34"/>
  <c r="AU52" i="34" s="1"/>
  <c r="AV51" i="34"/>
  <c r="AU58" i="34" s="1"/>
  <c r="AV29" i="34"/>
  <c r="AU34" i="34" s="1"/>
  <c r="AT21" i="34"/>
  <c r="AU71" i="34"/>
  <c r="AT72" i="34" s="1"/>
  <c r="O117" i="25"/>
  <c r="P117" i="25" s="1"/>
  <c r="O124" i="25"/>
  <c r="P124" i="25" s="1"/>
  <c r="BK39" i="2"/>
  <c r="BK23" i="2"/>
  <c r="BK27" i="2"/>
  <c r="O130" i="25"/>
  <c r="P130" i="25" s="1"/>
  <c r="O164" i="25" s="1"/>
  <c r="P164" i="25" s="1"/>
  <c r="BK21" i="2"/>
  <c r="O116" i="25"/>
  <c r="P116" i="25" s="1"/>
  <c r="O129" i="25"/>
  <c r="P129" i="25" s="1"/>
  <c r="BK25" i="2"/>
  <c r="O119" i="25"/>
  <c r="P119" i="25" s="1"/>
  <c r="O114" i="25"/>
  <c r="P114" i="25" s="1"/>
  <c r="BK20" i="2"/>
  <c r="BK31" i="2"/>
  <c r="BK33" i="2"/>
  <c r="O101" i="25"/>
  <c r="P101" i="25" s="1"/>
  <c r="AV65" i="34" s="1"/>
  <c r="AU68" i="34" s="1"/>
  <c r="O133" i="25"/>
  <c r="P133" i="25" s="1"/>
  <c r="AW66" i="34" s="1"/>
  <c r="AV69" i="34" s="1"/>
  <c r="BK36" i="2"/>
  <c r="O121" i="25"/>
  <c r="P121" i="25" s="1"/>
  <c r="BK17" i="2"/>
  <c r="D52" i="25"/>
  <c r="BK24" i="2"/>
  <c r="BK35" i="2"/>
  <c r="O115" i="25"/>
  <c r="P115" i="25" s="1"/>
  <c r="BK22" i="2"/>
  <c r="O118" i="25"/>
  <c r="P118" i="25" s="1"/>
  <c r="O125" i="25"/>
  <c r="P125" i="25" s="1"/>
  <c r="BP14" i="2"/>
  <c r="BQ15" i="2"/>
  <c r="BQ13" i="2" s="1"/>
  <c r="O111" i="25"/>
  <c r="P111" i="25" s="1"/>
  <c r="BJ41" i="2"/>
  <c r="O132" i="25"/>
  <c r="P132" i="25" s="1"/>
  <c r="O127" i="25"/>
  <c r="P127" i="25" s="1"/>
  <c r="AC53" i="7"/>
  <c r="AC54" i="7"/>
  <c r="AC52" i="7"/>
  <c r="O123" i="25"/>
  <c r="P123" i="25" s="1"/>
  <c r="BK29" i="2"/>
  <c r="D60" i="25"/>
  <c r="D54" i="25"/>
  <c r="D44" i="25"/>
  <c r="D58" i="25"/>
  <c r="D66" i="25"/>
  <c r="D45" i="25"/>
  <c r="D63" i="25"/>
  <c r="O128" i="25"/>
  <c r="P128" i="25" s="1"/>
  <c r="BK34" i="2"/>
  <c r="O122" i="25"/>
  <c r="P122" i="25" s="1"/>
  <c r="BK28" i="2"/>
  <c r="O131" i="25"/>
  <c r="P131" i="25" s="1"/>
  <c r="BK37" i="2"/>
  <c r="O113" i="25"/>
  <c r="P113" i="25" s="1"/>
  <c r="BK19" i="2"/>
  <c r="O126" i="25"/>
  <c r="P126" i="25" s="1"/>
  <c r="BK32" i="2"/>
  <c r="O120" i="25"/>
  <c r="P120" i="25" s="1"/>
  <c r="BK26" i="2"/>
  <c r="O76" i="25"/>
  <c r="P76" i="25" s="1"/>
  <c r="AV16" i="34" s="1"/>
  <c r="AU21" i="34" s="1"/>
  <c r="D64" i="25"/>
  <c r="BJ16" i="2"/>
  <c r="D42" i="25"/>
  <c r="D48" i="25"/>
  <c r="D65" i="25"/>
  <c r="D53" i="25"/>
  <c r="D47" i="25"/>
  <c r="D62" i="25"/>
  <c r="D55" i="25"/>
  <c r="D57" i="25"/>
  <c r="D49" i="25"/>
  <c r="D61" i="25"/>
  <c r="D43" i="25"/>
  <c r="D59" i="25"/>
  <c r="D51" i="25"/>
  <c r="D46" i="25"/>
  <c r="D56" i="25"/>
  <c r="D50" i="25"/>
  <c r="O112" i="25"/>
  <c r="P112" i="25" s="1"/>
  <c r="BK18" i="2"/>
  <c r="O134" i="25"/>
  <c r="P134" i="25" s="1"/>
  <c r="AW67" i="34" s="1"/>
  <c r="AV70" i="34" s="1"/>
  <c r="BK40" i="2"/>
  <c r="AW49" i="34" l="1"/>
  <c r="AV56" i="34" s="1"/>
  <c r="AW38" i="34"/>
  <c r="AV41" i="34" s="1"/>
  <c r="AW48" i="34"/>
  <c r="AV55" i="34" s="1"/>
  <c r="AW61" i="34"/>
  <c r="AV63" i="34" s="1"/>
  <c r="AW17" i="34"/>
  <c r="AV22" i="34" s="1"/>
  <c r="AW18" i="34"/>
  <c r="AV23" i="34" s="1"/>
  <c r="AW19" i="34"/>
  <c r="AV24" i="34" s="1"/>
  <c r="AW30" i="34"/>
  <c r="AV35" i="34" s="1"/>
  <c r="AW40" i="34"/>
  <c r="AV43" i="34" s="1"/>
  <c r="AW39" i="34"/>
  <c r="AV42" i="34" s="1"/>
  <c r="AW20" i="34"/>
  <c r="AV25" i="34" s="1"/>
  <c r="AW28" i="34"/>
  <c r="AV33" i="34" s="1"/>
  <c r="AW27" i="34"/>
  <c r="AV32" i="34" s="1"/>
  <c r="BK38" i="2"/>
  <c r="BL36" i="2"/>
  <c r="AW60" i="34"/>
  <c r="AV62" i="34" s="1"/>
  <c r="AW46" i="34"/>
  <c r="AV53" i="34" s="1"/>
  <c r="AW47" i="34"/>
  <c r="AV54" i="34" s="1"/>
  <c r="AW51" i="34"/>
  <c r="AV58" i="34" s="1"/>
  <c r="AW29" i="34"/>
  <c r="AV34" i="34" s="1"/>
  <c r="AW50" i="34"/>
  <c r="AV57" i="34" s="1"/>
  <c r="AW45" i="34"/>
  <c r="AV52" i="34" s="1"/>
  <c r="AW31" i="34"/>
  <c r="AV36" i="34" s="1"/>
  <c r="O151" i="25"/>
  <c r="P151" i="25" s="1"/>
  <c r="O185" i="25" s="1"/>
  <c r="P185" i="25" s="1"/>
  <c r="BL23" i="2"/>
  <c r="AV71" i="34"/>
  <c r="AU72" i="34" s="1"/>
  <c r="BL30" i="2"/>
  <c r="O158" i="25"/>
  <c r="P158" i="25" s="1"/>
  <c r="O192" i="25" s="1"/>
  <c r="P192" i="25" s="1"/>
  <c r="BL20" i="2"/>
  <c r="O148" i="25"/>
  <c r="P148" i="25" s="1"/>
  <c r="O135" i="25"/>
  <c r="P135" i="25" s="1"/>
  <c r="AW65" i="34" s="1"/>
  <c r="AV68" i="34" s="1"/>
  <c r="BL25" i="2"/>
  <c r="O153" i="25"/>
  <c r="P153" i="25" s="1"/>
  <c r="O163" i="25"/>
  <c r="P163" i="25" s="1"/>
  <c r="BK41" i="2"/>
  <c r="BL35" i="2"/>
  <c r="BL22" i="2"/>
  <c r="O150" i="25"/>
  <c r="P150" i="25" s="1"/>
  <c r="O161" i="25"/>
  <c r="P161" i="25" s="1"/>
  <c r="AX49" i="34" s="1"/>
  <c r="O166" i="25"/>
  <c r="P166" i="25" s="1"/>
  <c r="O152" i="25"/>
  <c r="P152" i="25" s="1"/>
  <c r="O149" i="25"/>
  <c r="P149" i="25" s="1"/>
  <c r="BL21" i="2"/>
  <c r="BL27" i="2"/>
  <c r="O155" i="25"/>
  <c r="P155" i="25" s="1"/>
  <c r="O167" i="25"/>
  <c r="P167" i="25" s="1"/>
  <c r="AX66" i="34" s="1"/>
  <c r="AW69" i="34" s="1"/>
  <c r="BL39" i="2"/>
  <c r="D88" i="25"/>
  <c r="BL17" i="2"/>
  <c r="O159" i="25"/>
  <c r="P159" i="25" s="1"/>
  <c r="BL24" i="2"/>
  <c r="O198" i="25"/>
  <c r="P198" i="25" s="1"/>
  <c r="BL31" i="2"/>
  <c r="BR15" i="2"/>
  <c r="BR13" i="2" s="1"/>
  <c r="BQ14" i="2"/>
  <c r="O145" i="25"/>
  <c r="P145" i="25" s="1"/>
  <c r="BL33" i="2"/>
  <c r="O157" i="25"/>
  <c r="P157" i="25" s="1"/>
  <c r="BL29" i="2"/>
  <c r="D100" i="25"/>
  <c r="D78" i="25"/>
  <c r="D92" i="25"/>
  <c r="O110" i="25"/>
  <c r="P110" i="25" s="1"/>
  <c r="AW16" i="34" s="1"/>
  <c r="AV21" i="34" s="1"/>
  <c r="D76" i="25"/>
  <c r="BK16" i="2"/>
  <c r="D98" i="25"/>
  <c r="D89" i="25"/>
  <c r="D87" i="25"/>
  <c r="D81" i="25"/>
  <c r="D96" i="25"/>
  <c r="D99" i="25"/>
  <c r="D82" i="25"/>
  <c r="D91" i="25"/>
  <c r="D85" i="25"/>
  <c r="D77" i="25"/>
  <c r="D93" i="25"/>
  <c r="D80" i="25"/>
  <c r="D84" i="25"/>
  <c r="D83" i="25"/>
  <c r="D90" i="25"/>
  <c r="D95" i="25"/>
  <c r="O156" i="25"/>
  <c r="P156" i="25" s="1"/>
  <c r="BL28" i="2"/>
  <c r="D94" i="25"/>
  <c r="O160" i="25"/>
  <c r="P160" i="25" s="1"/>
  <c r="BL32" i="2"/>
  <c r="O162" i="25"/>
  <c r="P162" i="25" s="1"/>
  <c r="BL34" i="2"/>
  <c r="O154" i="25"/>
  <c r="P154" i="25" s="1"/>
  <c r="BL26" i="2"/>
  <c r="D79" i="25"/>
  <c r="D97" i="25"/>
  <c r="O147" i="25"/>
  <c r="P147" i="25" s="1"/>
  <c r="AX19" i="34" s="1"/>
  <c r="BL19" i="2"/>
  <c r="O146" i="25"/>
  <c r="P146" i="25" s="1"/>
  <c r="BL18" i="2"/>
  <c r="O168" i="25"/>
  <c r="P168" i="25" s="1"/>
  <c r="AX67" i="34" s="1"/>
  <c r="AW70" i="34" s="1"/>
  <c r="BL40" i="2"/>
  <c r="D86" i="25"/>
  <c r="O165" i="25"/>
  <c r="P165" i="25" s="1"/>
  <c r="BL37" i="2"/>
  <c r="AW56" i="34" l="1"/>
  <c r="AX39" i="34"/>
  <c r="AW42" i="34" s="1"/>
  <c r="AX48" i="34"/>
  <c r="AW55" i="34" s="1"/>
  <c r="AX18" i="34"/>
  <c r="AW23" i="34" s="1"/>
  <c r="AX17" i="34"/>
  <c r="AW22" i="34" s="1"/>
  <c r="O169" i="25"/>
  <c r="P169" i="25" s="1"/>
  <c r="AX71" i="34" s="1"/>
  <c r="BL38" i="2"/>
  <c r="AW24" i="34"/>
  <c r="AX38" i="34"/>
  <c r="AW41" i="34" s="1"/>
  <c r="BM23" i="2"/>
  <c r="BM36" i="2"/>
  <c r="AX40" i="34"/>
  <c r="AW43" i="34" s="1"/>
  <c r="AX46" i="34"/>
  <c r="AW53" i="34" s="1"/>
  <c r="AX61" i="34"/>
  <c r="AW63" i="34" s="1"/>
  <c r="AX50" i="34"/>
  <c r="AW57" i="34" s="1"/>
  <c r="AX27" i="34"/>
  <c r="AW32" i="34" s="1"/>
  <c r="AX51" i="34"/>
  <c r="AW58" i="34" s="1"/>
  <c r="AX20" i="34"/>
  <c r="AW25" i="34" s="1"/>
  <c r="AX30" i="34"/>
  <c r="AW35" i="34" s="1"/>
  <c r="AX31" i="34"/>
  <c r="AW36" i="34" s="1"/>
  <c r="AX45" i="34"/>
  <c r="AW52" i="34" s="1"/>
  <c r="AX65" i="34"/>
  <c r="AW68" i="34" s="1"/>
  <c r="AX29" i="34"/>
  <c r="AW34" i="34" s="1"/>
  <c r="AX47" i="34"/>
  <c r="AW54" i="34" s="1"/>
  <c r="AX60" i="34"/>
  <c r="AW62" i="34" s="1"/>
  <c r="BM25" i="2"/>
  <c r="AW71" i="34"/>
  <c r="AV72" i="34" s="1"/>
  <c r="BM30" i="2"/>
  <c r="O182" i="25"/>
  <c r="P182" i="25" s="1"/>
  <c r="AY20" i="34" s="1"/>
  <c r="BM20" i="2"/>
  <c r="BL41" i="2"/>
  <c r="O197" i="25"/>
  <c r="P197" i="25" s="1"/>
  <c r="BM24" i="2"/>
  <c r="O187" i="25"/>
  <c r="P187" i="25" s="1"/>
  <c r="BM35" i="2"/>
  <c r="O193" i="25"/>
  <c r="P193" i="25" s="1"/>
  <c r="BM33" i="2"/>
  <c r="O195" i="25"/>
  <c r="P195" i="25" s="1"/>
  <c r="AY49" i="34" s="1"/>
  <c r="AX56" i="34" s="1"/>
  <c r="BM31" i="2"/>
  <c r="O232" i="25"/>
  <c r="P232" i="25" s="1"/>
  <c r="O200" i="25"/>
  <c r="P200" i="25" s="1"/>
  <c r="BM38" i="2"/>
  <c r="O186" i="25"/>
  <c r="P186" i="25" s="1"/>
  <c r="AX28" i="34"/>
  <c r="AW33" i="34" s="1"/>
  <c r="BM22" i="2"/>
  <c r="O184" i="25"/>
  <c r="P184" i="25" s="1"/>
  <c r="O189" i="25"/>
  <c r="P189" i="25" s="1"/>
  <c r="AY39" i="34" s="1"/>
  <c r="BM27" i="2"/>
  <c r="O183" i="25"/>
  <c r="P183" i="25" s="1"/>
  <c r="BM21" i="2"/>
  <c r="D120" i="25"/>
  <c r="O201" i="25"/>
  <c r="P201" i="25" s="1"/>
  <c r="AY66" i="34" s="1"/>
  <c r="AX69" i="34" s="1"/>
  <c r="BM39" i="2"/>
  <c r="BM17" i="2"/>
  <c r="O179" i="25"/>
  <c r="P179" i="25" s="1"/>
  <c r="AY17" i="34" s="1"/>
  <c r="BS15" i="2"/>
  <c r="BS13" i="2" s="1"/>
  <c r="BR14" i="2"/>
  <c r="O191" i="25"/>
  <c r="P191" i="25" s="1"/>
  <c r="BM29" i="2"/>
  <c r="D134" i="25"/>
  <c r="D126" i="25"/>
  <c r="D128" i="25"/>
  <c r="D112" i="25"/>
  <c r="D131" i="25"/>
  <c r="D122" i="25"/>
  <c r="D113" i="25"/>
  <c r="O180" i="25"/>
  <c r="P180" i="25" s="1"/>
  <c r="AY18" i="34" s="1"/>
  <c r="AX23" i="34" s="1"/>
  <c r="BM18" i="2"/>
  <c r="O190" i="25"/>
  <c r="P190" i="25" s="1"/>
  <c r="BM28" i="2"/>
  <c r="O188" i="25"/>
  <c r="P188" i="25" s="1"/>
  <c r="BM26" i="2"/>
  <c r="O196" i="25"/>
  <c r="P196" i="25" s="1"/>
  <c r="BM34" i="2"/>
  <c r="O199" i="25"/>
  <c r="P199" i="25" s="1"/>
  <c r="BM37" i="2"/>
  <c r="O202" i="25"/>
  <c r="P202" i="25" s="1"/>
  <c r="AY67" i="34" s="1"/>
  <c r="AX70" i="34" s="1"/>
  <c r="BM40" i="2"/>
  <c r="O226" i="25"/>
  <c r="P226" i="25" s="1"/>
  <c r="O194" i="25"/>
  <c r="P194" i="25" s="1"/>
  <c r="BM32" i="2"/>
  <c r="O144" i="25"/>
  <c r="P144" i="25" s="1"/>
  <c r="AX16" i="34" s="1"/>
  <c r="AW21" i="34" s="1"/>
  <c r="BL16" i="2"/>
  <c r="D110" i="25"/>
  <c r="D132" i="25"/>
  <c r="D116" i="25"/>
  <c r="D133" i="25"/>
  <c r="D123" i="25"/>
  <c r="D130" i="25"/>
  <c r="D121" i="25"/>
  <c r="D115" i="25"/>
  <c r="D114" i="25"/>
  <c r="D119" i="25"/>
  <c r="D125" i="25"/>
  <c r="D111" i="25"/>
  <c r="D118" i="25"/>
  <c r="D117" i="25"/>
  <c r="D129" i="25"/>
  <c r="D127" i="25"/>
  <c r="D124" i="25"/>
  <c r="BM41" i="2"/>
  <c r="O203" i="25"/>
  <c r="P203" i="25" s="1"/>
  <c r="O181" i="25"/>
  <c r="P181" i="25" s="1"/>
  <c r="BM19" i="2"/>
  <c r="O219" i="25"/>
  <c r="P219" i="25" s="1"/>
  <c r="O216" i="25"/>
  <c r="P216" i="25" s="1"/>
  <c r="AX25" i="34" l="1"/>
  <c r="AX42" i="34"/>
  <c r="AY38" i="34"/>
  <c r="AX41" i="34" s="1"/>
  <c r="AX22" i="34"/>
  <c r="BN23" i="2"/>
  <c r="BN36" i="2"/>
  <c r="AY40" i="34"/>
  <c r="AX43" i="34" s="1"/>
  <c r="AY48" i="34"/>
  <c r="AX55" i="34" s="1"/>
  <c r="AY19" i="34"/>
  <c r="AX24" i="34" s="1"/>
  <c r="BN30" i="2"/>
  <c r="AY61" i="34"/>
  <c r="AX63" i="34" s="1"/>
  <c r="AY51" i="34"/>
  <c r="AX58" i="34" s="1"/>
  <c r="AY27" i="34"/>
  <c r="AX32" i="34" s="1"/>
  <c r="AZ20" i="34"/>
  <c r="AY25" i="34" s="1"/>
  <c r="AY65" i="34"/>
  <c r="AX68" i="34" s="1"/>
  <c r="AY47" i="34"/>
  <c r="AX54" i="34" s="1"/>
  <c r="AY45" i="34"/>
  <c r="AX52" i="34" s="1"/>
  <c r="AY30" i="34"/>
  <c r="AX35" i="34" s="1"/>
  <c r="AY60" i="34"/>
  <c r="AX62" i="34" s="1"/>
  <c r="AY50" i="34"/>
  <c r="AX57" i="34" s="1"/>
  <c r="AY31" i="34"/>
  <c r="AX36" i="34" s="1"/>
  <c r="AY29" i="34"/>
  <c r="AX34" i="34" s="1"/>
  <c r="AY46" i="34"/>
  <c r="AX53" i="34" s="1"/>
  <c r="BN20" i="2"/>
  <c r="AW72" i="34"/>
  <c r="AY71" i="34"/>
  <c r="AX72" i="34" s="1"/>
  <c r="BN35" i="2"/>
  <c r="O231" i="25"/>
  <c r="P231" i="25" s="1"/>
  <c r="O221" i="25"/>
  <c r="P221" i="25" s="1"/>
  <c r="O255" i="25" s="1"/>
  <c r="P255" i="25" s="1"/>
  <c r="BN25" i="2"/>
  <c r="BN31" i="2"/>
  <c r="O227" i="25"/>
  <c r="P227" i="25" s="1"/>
  <c r="O229" i="25"/>
  <c r="P229" i="25" s="1"/>
  <c r="AZ49" i="34" s="1"/>
  <c r="AY56" i="34" s="1"/>
  <c r="O220" i="25"/>
  <c r="P220" i="25" s="1"/>
  <c r="BN38" i="2"/>
  <c r="O234" i="25"/>
  <c r="P234" i="25" s="1"/>
  <c r="BN33" i="2"/>
  <c r="O266" i="25"/>
  <c r="P266" i="25" s="1"/>
  <c r="BN24" i="2"/>
  <c r="AY28" i="34"/>
  <c r="AX33" i="34" s="1"/>
  <c r="O218" i="25"/>
  <c r="P218" i="25" s="1"/>
  <c r="BN22" i="2"/>
  <c r="O250" i="25"/>
  <c r="P250" i="25" s="1"/>
  <c r="O253" i="25"/>
  <c r="P253" i="25" s="1"/>
  <c r="O260" i="25"/>
  <c r="P260" i="25" s="1"/>
  <c r="BN17" i="2"/>
  <c r="BN39" i="2"/>
  <c r="O235" i="25"/>
  <c r="P235" i="25" s="1"/>
  <c r="AZ66" i="34" s="1"/>
  <c r="AY69" i="34" s="1"/>
  <c r="D160" i="25"/>
  <c r="O223" i="25"/>
  <c r="P223" i="25" s="1"/>
  <c r="AZ39" i="34" s="1"/>
  <c r="AY42" i="34" s="1"/>
  <c r="BN27" i="2"/>
  <c r="O217" i="25"/>
  <c r="P217" i="25" s="1"/>
  <c r="BN21" i="2"/>
  <c r="O213" i="25"/>
  <c r="P213" i="25" s="1"/>
  <c r="AZ17" i="34" s="1"/>
  <c r="AY22" i="34" s="1"/>
  <c r="BT15" i="2"/>
  <c r="BT13" i="2" s="1"/>
  <c r="BS14" i="2"/>
  <c r="O225" i="25"/>
  <c r="P225" i="25" s="1"/>
  <c r="BN29" i="2"/>
  <c r="D165" i="25"/>
  <c r="D168" i="25"/>
  <c r="D154" i="25"/>
  <c r="D162" i="25"/>
  <c r="D147" i="25"/>
  <c r="BO20" i="2"/>
  <c r="O178" i="25"/>
  <c r="P178" i="25" s="1"/>
  <c r="AY16" i="34" s="1"/>
  <c r="AX21" i="34" s="1"/>
  <c r="D144" i="25"/>
  <c r="BM16" i="2"/>
  <c r="D166" i="25"/>
  <c r="D157" i="25"/>
  <c r="D167" i="25"/>
  <c r="D150" i="25"/>
  <c r="D155" i="25"/>
  <c r="D149" i="25"/>
  <c r="D164" i="25"/>
  <c r="D145" i="25"/>
  <c r="D151" i="25"/>
  <c r="D152" i="25"/>
  <c r="D148" i="25"/>
  <c r="D158" i="25"/>
  <c r="D163" i="25"/>
  <c r="D161" i="25"/>
  <c r="D159" i="25"/>
  <c r="D153" i="25"/>
  <c r="D156" i="25"/>
  <c r="O236" i="25"/>
  <c r="P236" i="25" s="1"/>
  <c r="AZ67" i="34" s="1"/>
  <c r="AY70" i="34" s="1"/>
  <c r="BN40" i="2"/>
  <c r="O224" i="25"/>
  <c r="P224" i="25" s="1"/>
  <c r="AZ40" i="34" s="1"/>
  <c r="AY43" i="34" s="1"/>
  <c r="BN28" i="2"/>
  <c r="O228" i="25"/>
  <c r="P228" i="25" s="1"/>
  <c r="BN32" i="2"/>
  <c r="D146" i="25"/>
  <c r="O215" i="25"/>
  <c r="P215" i="25" s="1"/>
  <c r="AZ19" i="34" s="1"/>
  <c r="BN19" i="2"/>
  <c r="O233" i="25"/>
  <c r="P233" i="25" s="1"/>
  <c r="BN37" i="2"/>
  <c r="O230" i="25"/>
  <c r="P230" i="25" s="1"/>
  <c r="BN34" i="2"/>
  <c r="O222" i="25"/>
  <c r="P222" i="25" s="1"/>
  <c r="BN26" i="2"/>
  <c r="O237" i="25"/>
  <c r="P237" i="25" s="1"/>
  <c r="BN41" i="2"/>
  <c r="BO30" i="2"/>
  <c r="O214" i="25"/>
  <c r="P214" i="25" s="1"/>
  <c r="AZ18" i="34" s="1"/>
  <c r="AY23" i="34" s="1"/>
  <c r="BN18" i="2"/>
  <c r="AY24" i="34" l="1"/>
  <c r="AZ27" i="34"/>
  <c r="AY32" i="34" s="1"/>
  <c r="AZ38" i="34"/>
  <c r="AY41" i="34" s="1"/>
  <c r="AZ61" i="34"/>
  <c r="AY63" i="34" s="1"/>
  <c r="AZ48" i="34"/>
  <c r="AY55" i="34" s="1"/>
  <c r="BO25" i="2"/>
  <c r="AZ60" i="34"/>
  <c r="AY62" i="34" s="1"/>
  <c r="AZ65" i="34"/>
  <c r="AY68" i="34" s="1"/>
  <c r="BO36" i="2"/>
  <c r="AZ31" i="34"/>
  <c r="AY36" i="34" s="1"/>
  <c r="BA20" i="34"/>
  <c r="AZ25" i="34" s="1"/>
  <c r="AZ47" i="34"/>
  <c r="AY54" i="34" s="1"/>
  <c r="AZ51" i="34"/>
  <c r="AY58" i="34" s="1"/>
  <c r="AZ29" i="34"/>
  <c r="AY34" i="34" s="1"/>
  <c r="AZ46" i="34"/>
  <c r="AY53" i="34" s="1"/>
  <c r="BO23" i="2"/>
  <c r="AZ50" i="34"/>
  <c r="AY57" i="34" s="1"/>
  <c r="AZ45" i="34"/>
  <c r="AY52" i="34" s="1"/>
  <c r="AZ30" i="34"/>
  <c r="AY35" i="34" s="1"/>
  <c r="BO35" i="2"/>
  <c r="O265" i="25"/>
  <c r="P265" i="25" s="1"/>
  <c r="BP35" i="2" s="1"/>
  <c r="AZ71" i="34"/>
  <c r="AY72" i="34" s="1"/>
  <c r="BO31" i="2"/>
  <c r="O261" i="25"/>
  <c r="P261" i="25" s="1"/>
  <c r="BO33" i="2"/>
  <c r="O263" i="25"/>
  <c r="P263" i="25" s="1"/>
  <c r="BA49" i="34" s="1"/>
  <c r="AZ56" i="34" s="1"/>
  <c r="BO24" i="2"/>
  <c r="BP20" i="2"/>
  <c r="O268" i="25"/>
  <c r="P268" i="25" s="1"/>
  <c r="O302" i="25" s="1"/>
  <c r="P302" i="25" s="1"/>
  <c r="O254" i="25"/>
  <c r="P254" i="25" s="1"/>
  <c r="BO38" i="2"/>
  <c r="O300" i="25"/>
  <c r="P300" i="25" s="1"/>
  <c r="O299" i="25"/>
  <c r="P299" i="25" s="1"/>
  <c r="BB51" i="34" s="1"/>
  <c r="O287" i="25"/>
  <c r="P287" i="25" s="1"/>
  <c r="O294" i="25"/>
  <c r="P294" i="25" s="1"/>
  <c r="O284" i="25"/>
  <c r="P284" i="25" s="1"/>
  <c r="O289" i="25"/>
  <c r="P289" i="25" s="1"/>
  <c r="O323" i="25" s="1"/>
  <c r="P323" i="25" s="1"/>
  <c r="AZ28" i="34"/>
  <c r="AY33" i="34" s="1"/>
  <c r="BO22" i="2"/>
  <c r="O252" i="25"/>
  <c r="P252" i="25" s="1"/>
  <c r="O264" i="25"/>
  <c r="P264" i="25" s="1"/>
  <c r="O248" i="25"/>
  <c r="P248" i="25" s="1"/>
  <c r="O247" i="25"/>
  <c r="P247" i="25" s="1"/>
  <c r="BA17" i="34" s="1"/>
  <c r="AZ22" i="34" s="1"/>
  <c r="O262" i="25"/>
  <c r="P262" i="25" s="1"/>
  <c r="BA48" i="34" s="1"/>
  <c r="AZ55" i="34" s="1"/>
  <c r="O257" i="25"/>
  <c r="P257" i="25" s="1"/>
  <c r="BA39" i="34" s="1"/>
  <c r="AZ42" i="34" s="1"/>
  <c r="BO27" i="2"/>
  <c r="O270" i="25"/>
  <c r="P270" i="25" s="1"/>
  <c r="BA67" i="34" s="1"/>
  <c r="AZ70" i="34" s="1"/>
  <c r="D196" i="25"/>
  <c r="O251" i="25"/>
  <c r="P251" i="25" s="1"/>
  <c r="BA27" i="34" s="1"/>
  <c r="AZ32" i="34" s="1"/>
  <c r="BO21" i="2"/>
  <c r="O249" i="25"/>
  <c r="P249" i="25" s="1"/>
  <c r="O256" i="25"/>
  <c r="P256" i="25" s="1"/>
  <c r="BP23" i="2" s="1"/>
  <c r="O267" i="25"/>
  <c r="P267" i="25" s="1"/>
  <c r="O258" i="25"/>
  <c r="P258" i="25" s="1"/>
  <c r="O269" i="25"/>
  <c r="P269" i="25" s="1"/>
  <c r="BA66" i="34" s="1"/>
  <c r="AZ69" i="34" s="1"/>
  <c r="BO39" i="2"/>
  <c r="BO17" i="2"/>
  <c r="BT14" i="2"/>
  <c r="BU15" i="2"/>
  <c r="BU13" i="2" s="1"/>
  <c r="BO41" i="2"/>
  <c r="O271" i="25"/>
  <c r="P271" i="25" s="1"/>
  <c r="BO29" i="2"/>
  <c r="O259" i="25"/>
  <c r="P259" i="25" s="1"/>
  <c r="D199" i="25"/>
  <c r="D181" i="25"/>
  <c r="D194" i="25"/>
  <c r="BO32" i="2"/>
  <c r="D180" i="25"/>
  <c r="D188" i="25"/>
  <c r="BO26" i="2"/>
  <c r="D190" i="25"/>
  <c r="D202" i="25"/>
  <c r="BO18" i="2"/>
  <c r="BO19" i="2"/>
  <c r="BO40" i="2"/>
  <c r="BO37" i="2"/>
  <c r="O212" i="25"/>
  <c r="P212" i="25" s="1"/>
  <c r="AZ16" i="34" s="1"/>
  <c r="AY21" i="34" s="1"/>
  <c r="D178" i="25"/>
  <c r="BN16" i="2"/>
  <c r="D200" i="25"/>
  <c r="D198" i="25"/>
  <c r="D183" i="25"/>
  <c r="D189" i="25"/>
  <c r="D184" i="25"/>
  <c r="D201" i="25"/>
  <c r="D191" i="25"/>
  <c r="D187" i="25"/>
  <c r="D195" i="25"/>
  <c r="D186" i="25"/>
  <c r="D192" i="25"/>
  <c r="D193" i="25"/>
  <c r="D185" i="25"/>
  <c r="D197" i="25"/>
  <c r="D179" i="25"/>
  <c r="D182" i="25"/>
  <c r="BO34" i="2"/>
  <c r="BO28" i="2"/>
  <c r="BA65" i="34" l="1"/>
  <c r="AZ68" i="34" s="1"/>
  <c r="BA40" i="34"/>
  <c r="AZ43" i="34" s="1"/>
  <c r="BA61" i="34"/>
  <c r="AZ63" i="34" s="1"/>
  <c r="BA45" i="34"/>
  <c r="AZ52" i="34" s="1"/>
  <c r="BA19" i="34"/>
  <c r="AZ24" i="34" s="1"/>
  <c r="BB20" i="34"/>
  <c r="BA25" i="34" s="1"/>
  <c r="BP25" i="2"/>
  <c r="BP30" i="2"/>
  <c r="BA18" i="34"/>
  <c r="AZ23" i="34" s="1"/>
  <c r="BP36" i="2"/>
  <c r="BA51" i="34"/>
  <c r="AZ58" i="34" s="1"/>
  <c r="BA31" i="34"/>
  <c r="AZ36" i="34" s="1"/>
  <c r="BA50" i="34"/>
  <c r="AZ57" i="34" s="1"/>
  <c r="BA47" i="34"/>
  <c r="AZ54" i="34" s="1"/>
  <c r="BA38" i="34"/>
  <c r="AZ41" i="34" s="1"/>
  <c r="BA46" i="34"/>
  <c r="AZ53" i="34" s="1"/>
  <c r="BP24" i="2"/>
  <c r="BA30" i="34"/>
  <c r="AZ35" i="34" s="1"/>
  <c r="BA60" i="34"/>
  <c r="AZ62" i="34" s="1"/>
  <c r="BA29" i="34"/>
  <c r="AZ34" i="34" s="1"/>
  <c r="BP38" i="2"/>
  <c r="BP31" i="2"/>
  <c r="O296" i="25"/>
  <c r="P296" i="25" s="1"/>
  <c r="BB48" i="34" s="1"/>
  <c r="BA55" i="34" s="1"/>
  <c r="O298" i="25"/>
  <c r="P298" i="25" s="1"/>
  <c r="O295" i="25"/>
  <c r="P295" i="25" s="1"/>
  <c r="O329" i="25" s="1"/>
  <c r="P329" i="25" s="1"/>
  <c r="BA71" i="34"/>
  <c r="AZ72" i="34" s="1"/>
  <c r="BP33" i="2"/>
  <c r="O297" i="25"/>
  <c r="P297" i="25" s="1"/>
  <c r="BB49" i="34" s="1"/>
  <c r="BA56" i="34" s="1"/>
  <c r="O328" i="25"/>
  <c r="P328" i="25" s="1"/>
  <c r="O333" i="25"/>
  <c r="P333" i="25" s="1"/>
  <c r="BQ35" i="2"/>
  <c r="O318" i="25"/>
  <c r="P318" i="25" s="1"/>
  <c r="O352" i="25" s="1"/>
  <c r="P352" i="25" s="1"/>
  <c r="O321" i="25"/>
  <c r="P321" i="25" s="1"/>
  <c r="BQ20" i="2"/>
  <c r="O288" i="25"/>
  <c r="P288" i="25" s="1"/>
  <c r="O334" i="25"/>
  <c r="P334" i="25" s="1"/>
  <c r="O282" i="25"/>
  <c r="P282" i="25" s="1"/>
  <c r="O292" i="25"/>
  <c r="P292" i="25" s="1"/>
  <c r="BB31" i="34" s="1"/>
  <c r="O301" i="25"/>
  <c r="P301" i="25" s="1"/>
  <c r="O304" i="25"/>
  <c r="P304" i="25" s="1"/>
  <c r="BB67" i="34" s="1"/>
  <c r="BA70" i="34" s="1"/>
  <c r="BP40" i="2"/>
  <c r="O283" i="25"/>
  <c r="P283" i="25" s="1"/>
  <c r="BP19" i="2"/>
  <c r="BP18" i="2"/>
  <c r="BP28" i="2"/>
  <c r="O336" i="25"/>
  <c r="P336" i="25" s="1"/>
  <c r="BP34" i="2"/>
  <c r="BP37" i="2"/>
  <c r="BA28" i="34"/>
  <c r="AZ33" i="34" s="1"/>
  <c r="BP22" i="2"/>
  <c r="O286" i="25"/>
  <c r="P286" i="25" s="1"/>
  <c r="O290" i="25"/>
  <c r="P290" i="25" s="1"/>
  <c r="BB29" i="34" s="1"/>
  <c r="O281" i="25"/>
  <c r="P281" i="25" s="1"/>
  <c r="BB17" i="34" s="1"/>
  <c r="BA22" i="34" s="1"/>
  <c r="BP32" i="2"/>
  <c r="BP26" i="2"/>
  <c r="BP21" i="2"/>
  <c r="O285" i="25"/>
  <c r="P285" i="25" s="1"/>
  <c r="BP39" i="2"/>
  <c r="O303" i="25"/>
  <c r="P303" i="25" s="1"/>
  <c r="BB66" i="34" s="1"/>
  <c r="BA69" i="34" s="1"/>
  <c r="BP27" i="2"/>
  <c r="O291" i="25"/>
  <c r="P291" i="25" s="1"/>
  <c r="BB39" i="34" s="1"/>
  <c r="BA42" i="34" s="1"/>
  <c r="BP17" i="2"/>
  <c r="BU14" i="2"/>
  <c r="BV15" i="2"/>
  <c r="BV13" i="2" s="1"/>
  <c r="O357" i="25"/>
  <c r="P357" i="25" s="1"/>
  <c r="BP29" i="2"/>
  <c r="O293" i="25"/>
  <c r="P293" i="25" s="1"/>
  <c r="BP41" i="2"/>
  <c r="O305" i="25"/>
  <c r="P305" i="25" s="1"/>
  <c r="BQ38" i="2" s="1"/>
  <c r="D215" i="25"/>
  <c r="O246" i="25"/>
  <c r="P246" i="25" s="1"/>
  <c r="BA16" i="34" s="1"/>
  <c r="AZ21" i="34" s="1"/>
  <c r="D230" i="25"/>
  <c r="D214" i="25"/>
  <c r="D222" i="25"/>
  <c r="D224" i="25"/>
  <c r="D228" i="25"/>
  <c r="D236" i="25"/>
  <c r="D233" i="25"/>
  <c r="D225" i="25"/>
  <c r="D232" i="25"/>
  <c r="D218" i="25"/>
  <c r="D235" i="25"/>
  <c r="D217" i="25"/>
  <c r="D223" i="25"/>
  <c r="D219" i="25"/>
  <c r="D220" i="25"/>
  <c r="D221" i="25"/>
  <c r="D231" i="25"/>
  <c r="D226" i="25"/>
  <c r="D229" i="25"/>
  <c r="D227" i="25"/>
  <c r="D213" i="25"/>
  <c r="D234" i="25"/>
  <c r="D216" i="25"/>
  <c r="BO16" i="2"/>
  <c r="D212" i="25"/>
  <c r="BQ34" i="2" l="1"/>
  <c r="BB45" i="34"/>
  <c r="BA52" i="34" s="1"/>
  <c r="BA58" i="34"/>
  <c r="BB27" i="34"/>
  <c r="BA32" i="34" s="1"/>
  <c r="BB18" i="34"/>
  <c r="BA23" i="34" s="1"/>
  <c r="BB65" i="34"/>
  <c r="BA68" i="34" s="1"/>
  <c r="BQ23" i="2"/>
  <c r="BQ30" i="2"/>
  <c r="BB19" i="34"/>
  <c r="BA24" i="34" s="1"/>
  <c r="BB61" i="34"/>
  <c r="BA63" i="34" s="1"/>
  <c r="BC20" i="34"/>
  <c r="BB25" i="34" s="1"/>
  <c r="BA34" i="34"/>
  <c r="BB60" i="34"/>
  <c r="BA62" i="34" s="1"/>
  <c r="BB46" i="34"/>
  <c r="BA53" i="34" s="1"/>
  <c r="BA36" i="34"/>
  <c r="BB30" i="34"/>
  <c r="BA35" i="34" s="1"/>
  <c r="BB50" i="34"/>
  <c r="BA57" i="34" s="1"/>
  <c r="BB38" i="34"/>
  <c r="BA41" i="34" s="1"/>
  <c r="BB40" i="34"/>
  <c r="BA43" i="34" s="1"/>
  <c r="BQ25" i="2"/>
  <c r="BQ36" i="2"/>
  <c r="BC51" i="34"/>
  <c r="BB58" i="34" s="1"/>
  <c r="BQ32" i="2"/>
  <c r="O330" i="25"/>
  <c r="P330" i="25" s="1"/>
  <c r="BC48" i="34" s="1"/>
  <c r="BB55" i="34" s="1"/>
  <c r="O332" i="25"/>
  <c r="P332" i="25" s="1"/>
  <c r="BC47" i="34" s="1"/>
  <c r="BR35" i="2"/>
  <c r="BB47" i="34"/>
  <c r="BA54" i="34" s="1"/>
  <c r="BQ31" i="2"/>
  <c r="O367" i="25"/>
  <c r="P367" i="25" s="1"/>
  <c r="BR20" i="2"/>
  <c r="O362" i="25"/>
  <c r="P362" i="25" s="1"/>
  <c r="BB71" i="34"/>
  <c r="BA72" i="34" s="1"/>
  <c r="O331" i="25"/>
  <c r="P331" i="25" s="1"/>
  <c r="O316" i="25"/>
  <c r="P316" i="25" s="1"/>
  <c r="BQ40" i="2"/>
  <c r="BQ33" i="2"/>
  <c r="O363" i="25"/>
  <c r="P363" i="25" s="1"/>
  <c r="BQ24" i="2"/>
  <c r="O322" i="25"/>
  <c r="P322" i="25" s="1"/>
  <c r="BQ28" i="2"/>
  <c r="O355" i="25"/>
  <c r="P355" i="25" s="1"/>
  <c r="BD20" i="34" s="1"/>
  <c r="O317" i="25"/>
  <c r="P317" i="25" s="1"/>
  <c r="O338" i="25"/>
  <c r="P338" i="25" s="1"/>
  <c r="BC67" i="34" s="1"/>
  <c r="BB70" i="34" s="1"/>
  <c r="O326" i="25"/>
  <c r="P326" i="25" s="1"/>
  <c r="BQ18" i="2"/>
  <c r="O324" i="25"/>
  <c r="P324" i="25" s="1"/>
  <c r="BR23" i="2" s="1"/>
  <c r="O368" i="25"/>
  <c r="P368" i="25" s="1"/>
  <c r="BQ37" i="2"/>
  <c r="BQ26" i="2"/>
  <c r="O335" i="25"/>
  <c r="P335" i="25" s="1"/>
  <c r="BQ19" i="2"/>
  <c r="O370" i="25"/>
  <c r="P370" i="25" s="1"/>
  <c r="BQ17" i="2"/>
  <c r="BB28" i="34"/>
  <c r="BA33" i="34" s="1"/>
  <c r="BQ22" i="2"/>
  <c r="O320" i="25"/>
  <c r="P320" i="25" s="1"/>
  <c r="O315" i="25"/>
  <c r="P315" i="25" s="1"/>
  <c r="BR17" i="2" s="1"/>
  <c r="BQ27" i="2"/>
  <c r="O325" i="25"/>
  <c r="P325" i="25" s="1"/>
  <c r="BC39" i="34" s="1"/>
  <c r="BB42" i="34" s="1"/>
  <c r="BQ21" i="2"/>
  <c r="O319" i="25"/>
  <c r="P319" i="25" s="1"/>
  <c r="BQ39" i="2"/>
  <c r="O337" i="25"/>
  <c r="P337" i="25" s="1"/>
  <c r="BC66" i="34" s="1"/>
  <c r="BB69" i="34" s="1"/>
  <c r="BV14" i="2"/>
  <c r="BW15" i="2"/>
  <c r="BW13" i="2" s="1"/>
  <c r="O391" i="25"/>
  <c r="P391" i="25" s="1"/>
  <c r="O386" i="25"/>
  <c r="P386" i="25" s="1"/>
  <c r="BQ41" i="2"/>
  <c r="O339" i="25"/>
  <c r="P339" i="25" s="1"/>
  <c r="BC65" i="34" s="1"/>
  <c r="BQ29" i="2"/>
  <c r="O327" i="25"/>
  <c r="P327" i="25" s="1"/>
  <c r="BP16" i="2"/>
  <c r="O280" i="25"/>
  <c r="P280" i="25" s="1"/>
  <c r="BB16" i="34" s="1"/>
  <c r="BA21" i="34" s="1"/>
  <c r="D259" i="25"/>
  <c r="D246" i="25"/>
  <c r="D269" i="25"/>
  <c r="D251" i="25"/>
  <c r="D252" i="25"/>
  <c r="D257" i="25"/>
  <c r="D266" i="25"/>
  <c r="D268" i="25"/>
  <c r="D263" i="25"/>
  <c r="D247" i="25"/>
  <c r="D254" i="25"/>
  <c r="D265" i="25"/>
  <c r="D260" i="25"/>
  <c r="D255" i="25"/>
  <c r="D250" i="25"/>
  <c r="D261" i="25"/>
  <c r="D253" i="25"/>
  <c r="D262" i="25"/>
  <c r="D258" i="25"/>
  <c r="D256" i="25"/>
  <c r="D248" i="25"/>
  <c r="D267" i="25"/>
  <c r="D264" i="25"/>
  <c r="D249" i="25"/>
  <c r="D270" i="25"/>
  <c r="BS35" i="2" l="1"/>
  <c r="BR32" i="2"/>
  <c r="BC25" i="34"/>
  <c r="BR31" i="2"/>
  <c r="BB68" i="34"/>
  <c r="BS20" i="2"/>
  <c r="BC45" i="34"/>
  <c r="BB52" i="34" s="1"/>
  <c r="BC61" i="34"/>
  <c r="BB63" i="34" s="1"/>
  <c r="BC27" i="34"/>
  <c r="BB32" i="34" s="1"/>
  <c r="BR36" i="2"/>
  <c r="BC49" i="34"/>
  <c r="BB56" i="34" s="1"/>
  <c r="BR30" i="2"/>
  <c r="BR38" i="2"/>
  <c r="BC60" i="34"/>
  <c r="BB62" i="34" s="1"/>
  <c r="BD51" i="34"/>
  <c r="BC58" i="34" s="1"/>
  <c r="BC50" i="34"/>
  <c r="BB57" i="34" s="1"/>
  <c r="BC38" i="34"/>
  <c r="BB41" i="34" s="1"/>
  <c r="BC19" i="34"/>
  <c r="BB24" i="34" s="1"/>
  <c r="BC30" i="34"/>
  <c r="BB35" i="34" s="1"/>
  <c r="BC46" i="34"/>
  <c r="BB53" i="34" s="1"/>
  <c r="BC40" i="34"/>
  <c r="BB43" i="34" s="1"/>
  <c r="BR25" i="2"/>
  <c r="BC31" i="34"/>
  <c r="BB36" i="34" s="1"/>
  <c r="BC18" i="34"/>
  <c r="BB23" i="34" s="1"/>
  <c r="BC29" i="34"/>
  <c r="BB34" i="34" s="1"/>
  <c r="BR18" i="2"/>
  <c r="O364" i="25"/>
  <c r="P364" i="25" s="1"/>
  <c r="BD48" i="34" s="1"/>
  <c r="BC55" i="34" s="1"/>
  <c r="O366" i="25"/>
  <c r="P366" i="25" s="1"/>
  <c r="BR34" i="2"/>
  <c r="O401" i="25"/>
  <c r="P401" i="25" s="1"/>
  <c r="BB54" i="34"/>
  <c r="O365" i="25"/>
  <c r="P365" i="25" s="1"/>
  <c r="BD49" i="34" s="1"/>
  <c r="BR33" i="2"/>
  <c r="O396" i="25"/>
  <c r="P396" i="25" s="1"/>
  <c r="BC71" i="34"/>
  <c r="BB72" i="34" s="1"/>
  <c r="O350" i="25"/>
  <c r="P350" i="25" s="1"/>
  <c r="BR40" i="2"/>
  <c r="O397" i="25"/>
  <c r="P397" i="25" s="1"/>
  <c r="BR26" i="2"/>
  <c r="BR19" i="2"/>
  <c r="O351" i="25"/>
  <c r="P351" i="25" s="1"/>
  <c r="O358" i="25"/>
  <c r="P358" i="25" s="1"/>
  <c r="BD29" i="34" s="1"/>
  <c r="O372" i="25"/>
  <c r="P372" i="25" s="1"/>
  <c r="BD67" i="34" s="1"/>
  <c r="BC70" i="34" s="1"/>
  <c r="O356" i="25"/>
  <c r="P356" i="25" s="1"/>
  <c r="BR24" i="2"/>
  <c r="BR28" i="2"/>
  <c r="O360" i="25"/>
  <c r="P360" i="25" s="1"/>
  <c r="O389" i="25"/>
  <c r="P389" i="25" s="1"/>
  <c r="O402" i="25"/>
  <c r="P402" i="25" s="1"/>
  <c r="O369" i="25"/>
  <c r="P369" i="25" s="1"/>
  <c r="O404" i="25"/>
  <c r="P404" i="25" s="1"/>
  <c r="BR37" i="2"/>
  <c r="BC28" i="34"/>
  <c r="BB33" i="34" s="1"/>
  <c r="BR22" i="2"/>
  <c r="O354" i="25"/>
  <c r="P354" i="25" s="1"/>
  <c r="BC17" i="34"/>
  <c r="BB22" i="34" s="1"/>
  <c r="O349" i="25"/>
  <c r="P349" i="25" s="1"/>
  <c r="O314" i="25"/>
  <c r="P314" i="25" s="1"/>
  <c r="BC16" i="34" s="1"/>
  <c r="BB21" i="34" s="1"/>
  <c r="BR27" i="2"/>
  <c r="O359" i="25"/>
  <c r="P359" i="25" s="1"/>
  <c r="BD39" i="34" s="1"/>
  <c r="BC42" i="34" s="1"/>
  <c r="BR21" i="2"/>
  <c r="O353" i="25"/>
  <c r="P353" i="25" s="1"/>
  <c r="O371" i="25"/>
  <c r="P371" i="25" s="1"/>
  <c r="BD66" i="34" s="1"/>
  <c r="BC69" i="34" s="1"/>
  <c r="BR39" i="2"/>
  <c r="BX15" i="2"/>
  <c r="BX13" i="2" s="1"/>
  <c r="BW14" i="2"/>
  <c r="BT20" i="2"/>
  <c r="O420" i="25"/>
  <c r="P420" i="25" s="1"/>
  <c r="O425" i="25"/>
  <c r="P425" i="25" s="1"/>
  <c r="BS34" i="2"/>
  <c r="BS32" i="2"/>
  <c r="BR29" i="2"/>
  <c r="O361" i="25"/>
  <c r="P361" i="25" s="1"/>
  <c r="BR41" i="2"/>
  <c r="O373" i="25"/>
  <c r="P373" i="25" s="1"/>
  <c r="BD65" i="34" s="1"/>
  <c r="BC68" i="34" s="1"/>
  <c r="D293" i="25"/>
  <c r="BQ16" i="2"/>
  <c r="D280" i="25"/>
  <c r="D303" i="25"/>
  <c r="D291" i="25"/>
  <c r="D285" i="25"/>
  <c r="D300" i="25"/>
  <c r="D286" i="25"/>
  <c r="D299" i="25"/>
  <c r="D281" i="25"/>
  <c r="D294" i="25"/>
  <c r="D284" i="25"/>
  <c r="D295" i="25"/>
  <c r="D287" i="25"/>
  <c r="D302" i="25"/>
  <c r="D297" i="25"/>
  <c r="D288" i="25"/>
  <c r="D289" i="25"/>
  <c r="D292" i="25"/>
  <c r="D283" i="25"/>
  <c r="D301" i="25"/>
  <c r="D304" i="25"/>
  <c r="D296" i="25"/>
  <c r="D290" i="25"/>
  <c r="D282" i="25"/>
  <c r="D298" i="25"/>
  <c r="BC34" i="34" l="1"/>
  <c r="BD45" i="34"/>
  <c r="BC52" i="34" s="1"/>
  <c r="O398" i="25"/>
  <c r="P398" i="25" s="1"/>
  <c r="O432" i="25" s="1"/>
  <c r="P432" i="25" s="1"/>
  <c r="BF48" i="34" s="1"/>
  <c r="BC56" i="34"/>
  <c r="BD27" i="34"/>
  <c r="BC32" i="34" s="1"/>
  <c r="BD61" i="34"/>
  <c r="BC63" i="34" s="1"/>
  <c r="BD60" i="34"/>
  <c r="BC62" i="34" s="1"/>
  <c r="BD19" i="34"/>
  <c r="BC24" i="34" s="1"/>
  <c r="BD50" i="34"/>
  <c r="BC57" i="34" s="1"/>
  <c r="BS24" i="2"/>
  <c r="BD47" i="34"/>
  <c r="BC54" i="34" s="1"/>
  <c r="O400" i="25"/>
  <c r="P400" i="25" s="1"/>
  <c r="BE47" i="34" s="1"/>
  <c r="BS38" i="2"/>
  <c r="BD40" i="34"/>
  <c r="BC43" i="34" s="1"/>
  <c r="BS25" i="2"/>
  <c r="BD31" i="34"/>
  <c r="BC36" i="34" s="1"/>
  <c r="BD18" i="34"/>
  <c r="BC23" i="34" s="1"/>
  <c r="BS30" i="2"/>
  <c r="BE51" i="34"/>
  <c r="BD58" i="34" s="1"/>
  <c r="BE20" i="34"/>
  <c r="BD25" i="34" s="1"/>
  <c r="BS36" i="2"/>
  <c r="BD38" i="34"/>
  <c r="BC41" i="34" s="1"/>
  <c r="BS31" i="2"/>
  <c r="BS23" i="2"/>
  <c r="BD46" i="34"/>
  <c r="BC53" i="34" s="1"/>
  <c r="O430" i="25"/>
  <c r="P430" i="25" s="1"/>
  <c r="O464" i="25" s="1"/>
  <c r="P464" i="25" s="1"/>
  <c r="O399" i="25"/>
  <c r="P399" i="25" s="1"/>
  <c r="BE49" i="34" s="1"/>
  <c r="BD56" i="34" s="1"/>
  <c r="O435" i="25"/>
  <c r="P435" i="25" s="1"/>
  <c r="BT35" i="2"/>
  <c r="BS33" i="2"/>
  <c r="O385" i="25"/>
  <c r="P385" i="25" s="1"/>
  <c r="BS19" i="2"/>
  <c r="O431" i="25"/>
  <c r="P431" i="25" s="1"/>
  <c r="O384" i="25"/>
  <c r="P384" i="25" s="1"/>
  <c r="BS18" i="2"/>
  <c r="BD71" i="34"/>
  <c r="BC72" i="34" s="1"/>
  <c r="O392" i="25"/>
  <c r="P392" i="25" s="1"/>
  <c r="BT23" i="2" s="1"/>
  <c r="O406" i="25"/>
  <c r="P406" i="25" s="1"/>
  <c r="BE67" i="34" s="1"/>
  <c r="BD70" i="34" s="1"/>
  <c r="BS40" i="2"/>
  <c r="BS26" i="2"/>
  <c r="BS28" i="2"/>
  <c r="D337" i="25"/>
  <c r="D329" i="25"/>
  <c r="D317" i="25"/>
  <c r="D321" i="25"/>
  <c r="D332" i="25"/>
  <c r="D318" i="25"/>
  <c r="D326" i="25"/>
  <c r="D333" i="25"/>
  <c r="D336" i="25"/>
  <c r="D334" i="25"/>
  <c r="D325" i="25"/>
  <c r="D327" i="25"/>
  <c r="D338" i="25"/>
  <c r="D324" i="25"/>
  <c r="D315" i="25"/>
  <c r="D328" i="25"/>
  <c r="D320" i="25"/>
  <c r="D314" i="25"/>
  <c r="D316" i="25"/>
  <c r="D330" i="25"/>
  <c r="D331" i="25"/>
  <c r="D323" i="25"/>
  <c r="D322" i="25"/>
  <c r="D319" i="25"/>
  <c r="D335" i="25"/>
  <c r="BR16" i="2"/>
  <c r="BD30" i="34"/>
  <c r="BC35" i="34" s="1"/>
  <c r="O390" i="25"/>
  <c r="P390" i="25" s="1"/>
  <c r="O438" i="25"/>
  <c r="P438" i="25" s="1"/>
  <c r="O394" i="25"/>
  <c r="P394" i="25" s="1"/>
  <c r="O423" i="25"/>
  <c r="P423" i="25" s="1"/>
  <c r="O403" i="25"/>
  <c r="P403" i="25" s="1"/>
  <c r="BE61" i="34" s="1"/>
  <c r="BS37" i="2"/>
  <c r="O436" i="25"/>
  <c r="P436" i="25" s="1"/>
  <c r="BD28" i="34"/>
  <c r="BC33" i="34" s="1"/>
  <c r="BS22" i="2"/>
  <c r="O388" i="25"/>
  <c r="P388" i="25" s="1"/>
  <c r="BD17" i="34"/>
  <c r="BC22" i="34" s="1"/>
  <c r="BS17" i="2"/>
  <c r="O383" i="25"/>
  <c r="P383" i="25" s="1"/>
  <c r="BS21" i="2"/>
  <c r="O387" i="25"/>
  <c r="P387" i="25" s="1"/>
  <c r="BS39" i="2"/>
  <c r="O405" i="25"/>
  <c r="P405" i="25" s="1"/>
  <c r="BE66" i="34" s="1"/>
  <c r="BD69" i="34" s="1"/>
  <c r="BS27" i="2"/>
  <c r="O393" i="25"/>
  <c r="P393" i="25" s="1"/>
  <c r="BE39" i="34" s="1"/>
  <c r="BD42" i="34" s="1"/>
  <c r="O348" i="25"/>
  <c r="P348" i="25" s="1"/>
  <c r="BD16" i="34" s="1"/>
  <c r="BC21" i="34" s="1"/>
  <c r="BX14" i="2"/>
  <c r="BY15" i="2"/>
  <c r="BY13" i="2" s="1"/>
  <c r="O459" i="25"/>
  <c r="P459" i="25" s="1"/>
  <c r="O454" i="25"/>
  <c r="P454" i="25" s="1"/>
  <c r="BU35" i="2"/>
  <c r="BT32" i="2"/>
  <c r="BS41" i="2"/>
  <c r="O407" i="25"/>
  <c r="P407" i="25" s="1"/>
  <c r="BE65" i="34" s="1"/>
  <c r="BD68" i="34" s="1"/>
  <c r="O395" i="25"/>
  <c r="P395" i="25" s="1"/>
  <c r="BE45" i="34" s="1"/>
  <c r="BS29" i="2"/>
  <c r="BD63" i="34" l="1"/>
  <c r="BT34" i="2"/>
  <c r="BE48" i="34"/>
  <c r="BD55" i="34" s="1"/>
  <c r="BD52" i="34"/>
  <c r="BT31" i="2"/>
  <c r="BE27" i="34"/>
  <c r="BD32" i="34" s="1"/>
  <c r="O434" i="25"/>
  <c r="P434" i="25" s="1"/>
  <c r="BU31" i="2" s="1"/>
  <c r="BD54" i="34"/>
  <c r="BT30" i="2"/>
  <c r="BE46" i="34"/>
  <c r="BD53" i="34" s="1"/>
  <c r="BE60" i="34"/>
  <c r="BD62" i="34" s="1"/>
  <c r="BE38" i="34"/>
  <c r="BD41" i="34" s="1"/>
  <c r="BF20" i="34"/>
  <c r="BE25" i="34" s="1"/>
  <c r="BE40" i="34"/>
  <c r="BD43" i="34" s="1"/>
  <c r="BE31" i="34"/>
  <c r="BD36" i="34" s="1"/>
  <c r="BT25" i="2"/>
  <c r="BF51" i="34"/>
  <c r="BE58" i="34" s="1"/>
  <c r="BE50" i="34"/>
  <c r="BD57" i="34" s="1"/>
  <c r="BE19" i="34"/>
  <c r="BD24" i="34" s="1"/>
  <c r="BE29" i="34"/>
  <c r="BD34" i="34" s="1"/>
  <c r="BU20" i="2"/>
  <c r="BT36" i="2"/>
  <c r="BT38" i="2"/>
  <c r="BE18" i="34"/>
  <c r="BD23" i="34" s="1"/>
  <c r="O433" i="25"/>
  <c r="P433" i="25" s="1"/>
  <c r="BU33" i="2" s="1"/>
  <c r="BT33" i="2"/>
  <c r="O469" i="25"/>
  <c r="P469" i="25" s="1"/>
  <c r="BV35" i="2" s="1"/>
  <c r="O419" i="25"/>
  <c r="P419" i="25" s="1"/>
  <c r="BT19" i="2"/>
  <c r="O440" i="25"/>
  <c r="P440" i="25" s="1"/>
  <c r="BF67" i="34" s="1"/>
  <c r="BE70" i="34" s="1"/>
  <c r="BT40" i="2"/>
  <c r="O465" i="25"/>
  <c r="P465" i="25" s="1"/>
  <c r="O499" i="25" s="1"/>
  <c r="P499" i="25" s="1"/>
  <c r="O418" i="25"/>
  <c r="P418" i="25" s="1"/>
  <c r="O428" i="25"/>
  <c r="P428" i="25" s="1"/>
  <c r="BT18" i="2"/>
  <c r="D365" i="25"/>
  <c r="O426" i="25"/>
  <c r="P426" i="25" s="1"/>
  <c r="BF29" i="34" s="1"/>
  <c r="BT26" i="2"/>
  <c r="BE71" i="34"/>
  <c r="BD72" i="34" s="1"/>
  <c r="D358" i="25"/>
  <c r="D356" i="25"/>
  <c r="D351" i="25"/>
  <c r="D354" i="25"/>
  <c r="O472" i="25"/>
  <c r="P472" i="25" s="1"/>
  <c r="BT37" i="2"/>
  <c r="D361" i="25"/>
  <c r="BT28" i="2"/>
  <c r="D362" i="25"/>
  <c r="D360" i="25"/>
  <c r="D366" i="25"/>
  <c r="D371" i="25"/>
  <c r="D353" i="25"/>
  <c r="D355" i="25"/>
  <c r="D350" i="25"/>
  <c r="D369" i="25"/>
  <c r="D352" i="25"/>
  <c r="D348" i="25"/>
  <c r="D364" i="25"/>
  <c r="D372" i="25"/>
  <c r="D363" i="25"/>
  <c r="D349" i="25"/>
  <c r="D367" i="25"/>
  <c r="D359" i="25"/>
  <c r="D368" i="25"/>
  <c r="D370" i="25"/>
  <c r="D357" i="25"/>
  <c r="O457" i="25"/>
  <c r="P457" i="25" s="1"/>
  <c r="BE30" i="34"/>
  <c r="BD35" i="34" s="1"/>
  <c r="O424" i="25"/>
  <c r="P424" i="25" s="1"/>
  <c r="BT24" i="2"/>
  <c r="O437" i="25"/>
  <c r="P437" i="25" s="1"/>
  <c r="O470" i="25"/>
  <c r="P470" i="25" s="1"/>
  <c r="BE28" i="34"/>
  <c r="BD33" i="34" s="1"/>
  <c r="O422" i="25"/>
  <c r="P422" i="25" s="1"/>
  <c r="BT22" i="2"/>
  <c r="BE17" i="34"/>
  <c r="BD22" i="34" s="1"/>
  <c r="BT17" i="2"/>
  <c r="O417" i="25"/>
  <c r="P417" i="25" s="1"/>
  <c r="O421" i="25"/>
  <c r="P421" i="25" s="1"/>
  <c r="BT21" i="2"/>
  <c r="O382" i="25"/>
  <c r="P382" i="25" s="1"/>
  <c r="BE16" i="34" s="1"/>
  <c r="BD21" i="34" s="1"/>
  <c r="BS16" i="2"/>
  <c r="BT39" i="2"/>
  <c r="O439" i="25"/>
  <c r="P439" i="25" s="1"/>
  <c r="BF66" i="34" s="1"/>
  <c r="BE69" i="34" s="1"/>
  <c r="BT27" i="2"/>
  <c r="O427" i="25"/>
  <c r="P427" i="25" s="1"/>
  <c r="BF39" i="34" s="1"/>
  <c r="BE42" i="34" s="1"/>
  <c r="BY14" i="2"/>
  <c r="BZ15" i="2"/>
  <c r="BV30" i="2"/>
  <c r="O498" i="25"/>
  <c r="P498" i="25" s="1"/>
  <c r="BV20" i="2"/>
  <c r="O488" i="25"/>
  <c r="P488" i="25" s="1"/>
  <c r="O493" i="25"/>
  <c r="P493" i="25" s="1"/>
  <c r="BU32" i="2"/>
  <c r="O466" i="25"/>
  <c r="P466" i="25" s="1"/>
  <c r="BG48" i="34" s="1"/>
  <c r="BF55" i="34" s="1"/>
  <c r="BT41" i="2"/>
  <c r="O441" i="25"/>
  <c r="P441" i="25" s="1"/>
  <c r="BF65" i="34" s="1"/>
  <c r="BE68" i="34" s="1"/>
  <c r="BT29" i="2"/>
  <c r="O429" i="25"/>
  <c r="P429" i="25" s="1"/>
  <c r="BF45" i="34" s="1"/>
  <c r="BE52" i="34" s="1"/>
  <c r="O467" i="25" l="1"/>
  <c r="P467" i="25" s="1"/>
  <c r="BE55" i="34"/>
  <c r="O468" i="25"/>
  <c r="P468" i="25" s="1"/>
  <c r="BV31" i="2" s="1"/>
  <c r="BU34" i="2"/>
  <c r="BF61" i="34"/>
  <c r="BE63" i="34" s="1"/>
  <c r="BF47" i="34"/>
  <c r="BE54" i="34" s="1"/>
  <c r="BE34" i="34"/>
  <c r="BF27" i="34"/>
  <c r="BE32" i="34" s="1"/>
  <c r="BG49" i="34"/>
  <c r="BG46" i="34"/>
  <c r="BU36" i="2"/>
  <c r="BU38" i="2"/>
  <c r="BG47" i="34"/>
  <c r="BF49" i="34"/>
  <c r="BE56" i="34" s="1"/>
  <c r="BU30" i="2"/>
  <c r="BF60" i="34"/>
  <c r="BE62" i="34" s="1"/>
  <c r="BF40" i="34"/>
  <c r="BE43" i="34" s="1"/>
  <c r="BF31" i="34"/>
  <c r="BE36" i="34" s="1"/>
  <c r="BU25" i="2"/>
  <c r="BU23" i="2"/>
  <c r="BF19" i="34"/>
  <c r="BE24" i="34" s="1"/>
  <c r="BF50" i="34"/>
  <c r="BE57" i="34" s="1"/>
  <c r="BF46" i="34"/>
  <c r="BE53" i="34" s="1"/>
  <c r="BF38" i="34"/>
  <c r="BE41" i="34" s="1"/>
  <c r="BF18" i="34"/>
  <c r="BE23" i="34" s="1"/>
  <c r="BG51" i="34"/>
  <c r="BF58" i="34" s="1"/>
  <c r="BG20" i="34"/>
  <c r="BF25" i="34" s="1"/>
  <c r="O501" i="25"/>
  <c r="P501" i="25" s="1"/>
  <c r="BH46" i="34" s="1"/>
  <c r="O474" i="25"/>
  <c r="P474" i="25" s="1"/>
  <c r="BG67" i="34" s="1"/>
  <c r="BF70" i="34" s="1"/>
  <c r="BU19" i="2"/>
  <c r="O453" i="25"/>
  <c r="P453" i="25" s="1"/>
  <c r="O487" i="25" s="1"/>
  <c r="P487" i="25" s="1"/>
  <c r="BU40" i="2"/>
  <c r="O503" i="25"/>
  <c r="P503" i="25" s="1"/>
  <c r="BU26" i="2"/>
  <c r="BV33" i="2"/>
  <c r="O460" i="25"/>
  <c r="P460" i="25" s="1"/>
  <c r="BV23" i="2" s="1"/>
  <c r="O452" i="25"/>
  <c r="P452" i="25" s="1"/>
  <c r="BU18" i="2"/>
  <c r="O462" i="25"/>
  <c r="P462" i="25" s="1"/>
  <c r="BU28" i="2"/>
  <c r="BF71" i="34"/>
  <c r="BE72" i="34" s="1"/>
  <c r="BU37" i="2"/>
  <c r="O506" i="25"/>
  <c r="P506" i="25" s="1"/>
  <c r="D396" i="25"/>
  <c r="D406" i="25"/>
  <c r="D405" i="25"/>
  <c r="D391" i="25"/>
  <c r="O471" i="25"/>
  <c r="P471" i="25" s="1"/>
  <c r="BV34" i="2" s="1"/>
  <c r="O491" i="25"/>
  <c r="P491" i="25" s="1"/>
  <c r="BW20" i="2" s="1"/>
  <c r="BF30" i="34"/>
  <c r="BE35" i="34" s="1"/>
  <c r="BU24" i="2"/>
  <c r="O458" i="25"/>
  <c r="P458" i="25" s="1"/>
  <c r="D387" i="25"/>
  <c r="D395" i="25"/>
  <c r="D386" i="25"/>
  <c r="D403" i="25"/>
  <c r="D393" i="25"/>
  <c r="D384" i="25"/>
  <c r="D401" i="25"/>
  <c r="D400" i="25"/>
  <c r="D383" i="25"/>
  <c r="D389" i="25"/>
  <c r="D385" i="25"/>
  <c r="D398" i="25"/>
  <c r="D404" i="25"/>
  <c r="D402" i="25"/>
  <c r="D390" i="25"/>
  <c r="D397" i="25"/>
  <c r="D388" i="25"/>
  <c r="D392" i="25"/>
  <c r="D399" i="25"/>
  <c r="D394" i="25"/>
  <c r="D382" i="25"/>
  <c r="O504" i="25"/>
  <c r="P504" i="25" s="1"/>
  <c r="BF28" i="34"/>
  <c r="BE33" i="34" s="1"/>
  <c r="BU22" i="2"/>
  <c r="O456" i="25"/>
  <c r="P456" i="25" s="1"/>
  <c r="BF17" i="34"/>
  <c r="BE22" i="34" s="1"/>
  <c r="BU17" i="2"/>
  <c r="O451" i="25"/>
  <c r="P451" i="25" s="1"/>
  <c r="BU27" i="2"/>
  <c r="O461" i="25"/>
  <c r="P461" i="25" s="1"/>
  <c r="BG39" i="34" s="1"/>
  <c r="BF42" i="34" s="1"/>
  <c r="O455" i="25"/>
  <c r="P455" i="25" s="1"/>
  <c r="BU21" i="2"/>
  <c r="O473" i="25"/>
  <c r="P473" i="25" s="1"/>
  <c r="BG66" i="34" s="1"/>
  <c r="BF69" i="34" s="1"/>
  <c r="BU39" i="2"/>
  <c r="O416" i="25"/>
  <c r="P416" i="25" s="1"/>
  <c r="BF16" i="34" s="1"/>
  <c r="BE21" i="34" s="1"/>
  <c r="BT16" i="2"/>
  <c r="CA15" i="2"/>
  <c r="CA13" i="2" s="1"/>
  <c r="BZ13" i="2"/>
  <c r="BZ14" i="2"/>
  <c r="O522" i="25"/>
  <c r="P522" i="25" s="1"/>
  <c r="O533" i="25"/>
  <c r="P533" i="25" s="1"/>
  <c r="O527" i="25"/>
  <c r="P527" i="25" s="1"/>
  <c r="O532" i="25"/>
  <c r="P532" i="25" s="1"/>
  <c r="O502" i="25"/>
  <c r="P502" i="25" s="1"/>
  <c r="BH47" i="34" s="1"/>
  <c r="BV32" i="2"/>
  <c r="O500" i="25"/>
  <c r="P500" i="25" s="1"/>
  <c r="O463" i="25"/>
  <c r="P463" i="25" s="1"/>
  <c r="BG45" i="34" s="1"/>
  <c r="BF52" i="34" s="1"/>
  <c r="BU41" i="2"/>
  <c r="O475" i="25"/>
  <c r="P475" i="25" s="1"/>
  <c r="BG65" i="34" s="1"/>
  <c r="BF68" i="34" s="1"/>
  <c r="BU29" i="2"/>
  <c r="BW33" i="2" l="1"/>
  <c r="BV19" i="2"/>
  <c r="BV40" i="2"/>
  <c r="BF54" i="34"/>
  <c r="BW30" i="2"/>
  <c r="BG27" i="34"/>
  <c r="BF32" i="34" s="1"/>
  <c r="BG54" i="34"/>
  <c r="O494" i="25"/>
  <c r="P494" i="25" s="1"/>
  <c r="BW23" i="2" s="1"/>
  <c r="O535" i="25"/>
  <c r="P535" i="25" s="1"/>
  <c r="O569" i="25" s="1"/>
  <c r="P569" i="25" s="1"/>
  <c r="O508" i="25"/>
  <c r="P508" i="25" s="1"/>
  <c r="BH67" i="34" s="1"/>
  <c r="BG70" i="34" s="1"/>
  <c r="BG61" i="34"/>
  <c r="BF63" i="34" s="1"/>
  <c r="BH48" i="34"/>
  <c r="BG55" i="34" s="1"/>
  <c r="BG53" i="34"/>
  <c r="BI46" i="34"/>
  <c r="BH53" i="34" s="1"/>
  <c r="BG60" i="34"/>
  <c r="BF62" i="34" s="1"/>
  <c r="BV36" i="2"/>
  <c r="BG18" i="34"/>
  <c r="BF23" i="34" s="1"/>
  <c r="BH51" i="34"/>
  <c r="BG58" i="34" s="1"/>
  <c r="BV38" i="2"/>
  <c r="BG38" i="34"/>
  <c r="BF41" i="34" s="1"/>
  <c r="BH49" i="34"/>
  <c r="BG56" i="34" s="1"/>
  <c r="BG50" i="34"/>
  <c r="BF57" i="34" s="1"/>
  <c r="BF53" i="34"/>
  <c r="BH29" i="34"/>
  <c r="BG40" i="34"/>
  <c r="BF43" i="34" s="1"/>
  <c r="BG31" i="34"/>
  <c r="BF36" i="34" s="1"/>
  <c r="BV25" i="2"/>
  <c r="BG19" i="34"/>
  <c r="BF24" i="34" s="1"/>
  <c r="BF56" i="34"/>
  <c r="BW31" i="2"/>
  <c r="BG29" i="34"/>
  <c r="BF34" i="34" s="1"/>
  <c r="BH20" i="34"/>
  <c r="BG25" i="34" s="1"/>
  <c r="O537" i="25"/>
  <c r="P537" i="25" s="1"/>
  <c r="BV26" i="2"/>
  <c r="BW35" i="2"/>
  <c r="O486" i="25"/>
  <c r="P486" i="25" s="1"/>
  <c r="BV18" i="2"/>
  <c r="O496" i="25"/>
  <c r="P496" i="25" s="1"/>
  <c r="BW28" i="2" s="1"/>
  <c r="BV28" i="2"/>
  <c r="O505" i="25"/>
  <c r="P505" i="25" s="1"/>
  <c r="BH61" i="34" s="1"/>
  <c r="BV37" i="2"/>
  <c r="O525" i="25"/>
  <c r="P525" i="25" s="1"/>
  <c r="O540" i="25"/>
  <c r="P540" i="25" s="1"/>
  <c r="BG71" i="34"/>
  <c r="BF72" i="34" s="1"/>
  <c r="D438" i="25"/>
  <c r="BG30" i="34"/>
  <c r="BF35" i="34" s="1"/>
  <c r="BV24" i="2"/>
  <c r="O492" i="25"/>
  <c r="P492" i="25" s="1"/>
  <c r="D416" i="25"/>
  <c r="D419" i="25"/>
  <c r="D439" i="25"/>
  <c r="D429" i="25"/>
  <c r="D433" i="25"/>
  <c r="O538" i="25"/>
  <c r="P538" i="25" s="1"/>
  <c r="BI49" i="34" s="1"/>
  <c r="D440" i="25"/>
  <c r="D424" i="25"/>
  <c r="D432" i="25"/>
  <c r="D420" i="25"/>
  <c r="D426" i="25"/>
  <c r="D434" i="25"/>
  <c r="D417" i="25"/>
  <c r="D435" i="25"/>
  <c r="D425" i="25"/>
  <c r="D428" i="25"/>
  <c r="D418" i="25"/>
  <c r="D431" i="25"/>
  <c r="D430" i="25"/>
  <c r="D427" i="25"/>
  <c r="D437" i="25"/>
  <c r="D422" i="25"/>
  <c r="D421" i="25"/>
  <c r="D436" i="25"/>
  <c r="D423" i="25"/>
  <c r="BG28" i="34"/>
  <c r="BF33" i="34" s="1"/>
  <c r="BV22" i="2"/>
  <c r="O490" i="25"/>
  <c r="P490" i="25" s="1"/>
  <c r="BH19" i="34" s="1"/>
  <c r="BG17" i="34"/>
  <c r="BF22" i="34" s="1"/>
  <c r="O485" i="25"/>
  <c r="P485" i="25" s="1"/>
  <c r="BV17" i="2"/>
  <c r="O507" i="25"/>
  <c r="P507" i="25" s="1"/>
  <c r="BH66" i="34" s="1"/>
  <c r="BG69" i="34" s="1"/>
  <c r="BV39" i="2"/>
  <c r="BU16" i="2"/>
  <c r="O450" i="25"/>
  <c r="P450" i="25" s="1"/>
  <c r="BG16" i="34" s="1"/>
  <c r="BF21" i="34" s="1"/>
  <c r="BV27" i="2"/>
  <c r="O495" i="25"/>
  <c r="P495" i="25" s="1"/>
  <c r="BH39" i="34" s="1"/>
  <c r="BG42" i="34" s="1"/>
  <c r="BV21" i="2"/>
  <c r="O489" i="25"/>
  <c r="P489" i="25" s="1"/>
  <c r="CA14" i="2"/>
  <c r="CB15" i="2"/>
  <c r="CB13" i="2" s="1"/>
  <c r="BX33" i="2"/>
  <c r="BM21" i="33" s="1"/>
  <c r="BX30" i="2"/>
  <c r="BM18" i="33" s="1"/>
  <c r="O566" i="25"/>
  <c r="P566" i="25" s="1"/>
  <c r="O571" i="25"/>
  <c r="P571" i="25" s="1"/>
  <c r="O567" i="25"/>
  <c r="P567" i="25" s="1"/>
  <c r="BX20" i="2"/>
  <c r="BM8" i="33" s="1"/>
  <c r="O556" i="25"/>
  <c r="P556" i="25" s="1"/>
  <c r="O561" i="25"/>
  <c r="P561" i="25" s="1"/>
  <c r="BW32" i="2"/>
  <c r="O534" i="25"/>
  <c r="P534" i="25" s="1"/>
  <c r="BI48" i="34" s="1"/>
  <c r="O521" i="25"/>
  <c r="P521" i="25" s="1"/>
  <c r="O536" i="25"/>
  <c r="P536" i="25" s="1"/>
  <c r="O497" i="25"/>
  <c r="P497" i="25" s="1"/>
  <c r="BH45" i="34" s="1"/>
  <c r="BG52" i="34" s="1"/>
  <c r="BV41" i="2"/>
  <c r="O509" i="25"/>
  <c r="P509" i="25" s="1"/>
  <c r="BH65" i="34" s="1"/>
  <c r="BG68" i="34" s="1"/>
  <c r="BV29" i="2"/>
  <c r="BH56" i="34" l="1"/>
  <c r="O542" i="25"/>
  <c r="P542" i="25" s="1"/>
  <c r="BI67" i="34" s="1"/>
  <c r="BH70" i="34" s="1"/>
  <c r="BW40" i="2"/>
  <c r="BX35" i="2"/>
  <c r="BM22" i="33" s="1"/>
  <c r="BM55" i="33" s="1"/>
  <c r="BG63" i="34"/>
  <c r="O528" i="25"/>
  <c r="P528" i="25" s="1"/>
  <c r="BX23" i="2" s="1"/>
  <c r="BM11" i="33" s="1"/>
  <c r="BM44" i="33" s="1"/>
  <c r="BW19" i="2"/>
  <c r="BH27" i="34"/>
  <c r="BG32" i="34" s="1"/>
  <c r="BH55" i="34"/>
  <c r="BG34" i="34"/>
  <c r="BW34" i="2"/>
  <c r="BG24" i="34"/>
  <c r="BI51" i="34"/>
  <c r="BH58" i="34" s="1"/>
  <c r="BJ46" i="34"/>
  <c r="BI53" i="34" s="1"/>
  <c r="BW26" i="2"/>
  <c r="BW36" i="2"/>
  <c r="BH40" i="34"/>
  <c r="BG43" i="34" s="1"/>
  <c r="BH31" i="34"/>
  <c r="BG36" i="34" s="1"/>
  <c r="BW25" i="2"/>
  <c r="BH38" i="34"/>
  <c r="BG41" i="34" s="1"/>
  <c r="BH60" i="34"/>
  <c r="BG62" i="34" s="1"/>
  <c r="BW38" i="2"/>
  <c r="BH18" i="34"/>
  <c r="BG23" i="34" s="1"/>
  <c r="BI47" i="34"/>
  <c r="BH54" i="34" s="1"/>
  <c r="BX31" i="2"/>
  <c r="BM19" i="33" s="1"/>
  <c r="BM52" i="33" s="1"/>
  <c r="BH50" i="34"/>
  <c r="BG57" i="34" s="1"/>
  <c r="BI20" i="34"/>
  <c r="BH25" i="34" s="1"/>
  <c r="BW18" i="2"/>
  <c r="BW37" i="2"/>
  <c r="O520" i="25"/>
  <c r="P520" i="25" s="1"/>
  <c r="O554" i="25" s="1"/>
  <c r="P554" i="25" s="1"/>
  <c r="O559" i="25"/>
  <c r="P559" i="25" s="1"/>
  <c r="BY20" i="2" s="1"/>
  <c r="BN8" i="33" s="1"/>
  <c r="BN41" i="33" s="1"/>
  <c r="O530" i="25"/>
  <c r="P530" i="25" s="1"/>
  <c r="O539" i="25"/>
  <c r="P539" i="25" s="1"/>
  <c r="BI61" i="34" s="1"/>
  <c r="BH63" i="34" s="1"/>
  <c r="O574" i="25"/>
  <c r="P574" i="25" s="1"/>
  <c r="BJ51" i="34" s="1"/>
  <c r="D470" i="25"/>
  <c r="BH71" i="34"/>
  <c r="BG72" i="34" s="1"/>
  <c r="D459" i="25"/>
  <c r="D466" i="25"/>
  <c r="D468" i="25"/>
  <c r="D454" i="25"/>
  <c r="BH30" i="34"/>
  <c r="BG35" i="34" s="1"/>
  <c r="BW24" i="2"/>
  <c r="O526" i="25"/>
  <c r="P526" i="25" s="1"/>
  <c r="D472" i="25"/>
  <c r="D463" i="25"/>
  <c r="D451" i="25"/>
  <c r="D457" i="25"/>
  <c r="D452" i="25"/>
  <c r="D455" i="25"/>
  <c r="D461" i="25"/>
  <c r="O572" i="25"/>
  <c r="P572" i="25" s="1"/>
  <c r="BJ49" i="34" s="1"/>
  <c r="BI56" i="34" s="1"/>
  <c r="BH28" i="34"/>
  <c r="BG33" i="34" s="1"/>
  <c r="BW22" i="2"/>
  <c r="O524" i="25"/>
  <c r="P524" i="25" s="1"/>
  <c r="BI19" i="34" s="1"/>
  <c r="BH24" i="34" s="1"/>
  <c r="BH17" i="34"/>
  <c r="BG22" i="34" s="1"/>
  <c r="BW17" i="2"/>
  <c r="O519" i="25"/>
  <c r="P519" i="25" s="1"/>
  <c r="D460" i="25"/>
  <c r="D467" i="25"/>
  <c r="D471" i="25"/>
  <c r="D465" i="25"/>
  <c r="D469" i="25"/>
  <c r="D458" i="25"/>
  <c r="D474" i="25"/>
  <c r="D462" i="25"/>
  <c r="D453" i="25"/>
  <c r="D450" i="25"/>
  <c r="D473" i="25"/>
  <c r="D456" i="25"/>
  <c r="D464" i="25"/>
  <c r="BW21" i="2"/>
  <c r="O523" i="25"/>
  <c r="P523" i="25" s="1"/>
  <c r="O484" i="25"/>
  <c r="P484" i="25" s="1"/>
  <c r="BH16" i="34" s="1"/>
  <c r="BG21" i="34" s="1"/>
  <c r="BV16" i="2"/>
  <c r="BW39" i="2"/>
  <c r="O541" i="25"/>
  <c r="P541" i="25" s="1"/>
  <c r="BI66" i="34" s="1"/>
  <c r="BH69" i="34" s="1"/>
  <c r="BW27" i="2"/>
  <c r="O529" i="25"/>
  <c r="P529" i="25" s="1"/>
  <c r="BI39" i="34" s="1"/>
  <c r="BH42" i="34" s="1"/>
  <c r="CB14" i="2"/>
  <c r="CC15" i="2"/>
  <c r="CC14" i="2" s="1"/>
  <c r="BM41" i="33"/>
  <c r="BM54" i="33"/>
  <c r="BM51" i="33"/>
  <c r="O595" i="25"/>
  <c r="P595" i="25" s="1"/>
  <c r="O601" i="25"/>
  <c r="P601" i="25" s="1"/>
  <c r="BY30" i="2"/>
  <c r="O600" i="25"/>
  <c r="P600" i="25" s="1"/>
  <c r="O590" i="25"/>
  <c r="P590" i="25" s="1"/>
  <c r="O605" i="25"/>
  <c r="P605" i="25" s="1"/>
  <c r="O603" i="25"/>
  <c r="P603" i="25" s="1"/>
  <c r="O570" i="25"/>
  <c r="P570" i="25" s="1"/>
  <c r="BY31" i="2" s="1"/>
  <c r="BX40" i="2"/>
  <c r="BM28" i="33" s="1"/>
  <c r="O576" i="25"/>
  <c r="P576" i="25" s="1"/>
  <c r="BJ67" i="34" s="1"/>
  <c r="BI70" i="34" s="1"/>
  <c r="O555" i="25"/>
  <c r="P555" i="25" s="1"/>
  <c r="BX32" i="2"/>
  <c r="BM20" i="33" s="1"/>
  <c r="O568" i="25"/>
  <c r="P568" i="25" s="1"/>
  <c r="BJ48" i="34" s="1"/>
  <c r="BI55" i="34" s="1"/>
  <c r="BW41" i="2"/>
  <c r="O543" i="25"/>
  <c r="P543" i="25" s="1"/>
  <c r="BI65" i="34" s="1"/>
  <c r="BH68" i="34" s="1"/>
  <c r="O531" i="25"/>
  <c r="P531" i="25" s="1"/>
  <c r="BI45" i="34" s="1"/>
  <c r="BH52" i="34" s="1"/>
  <c r="BW29" i="2"/>
  <c r="BX37" i="2" l="1"/>
  <c r="BM25" i="33" s="1"/>
  <c r="O562" i="25"/>
  <c r="P562" i="25" s="1"/>
  <c r="BY35" i="2"/>
  <c r="BX19" i="2"/>
  <c r="BM7" i="33" s="1"/>
  <c r="BM40" i="33" s="1"/>
  <c r="BI29" i="34"/>
  <c r="BH34" i="34" s="1"/>
  <c r="BY33" i="2"/>
  <c r="BN21" i="33" s="1"/>
  <c r="BN54" i="33" s="1"/>
  <c r="BI27" i="34"/>
  <c r="BH32" i="34" s="1"/>
  <c r="BX18" i="2"/>
  <c r="BM6" i="33" s="1"/>
  <c r="BM39" i="33" s="1"/>
  <c r="BI58" i="34"/>
  <c r="BX34" i="2"/>
  <c r="BM23" i="33" s="1"/>
  <c r="BM56" i="33" s="1"/>
  <c r="BI60" i="34"/>
  <c r="BH62" i="34" s="1"/>
  <c r="BI40" i="34"/>
  <c r="BH43" i="34" s="1"/>
  <c r="BX25" i="2"/>
  <c r="BM13" i="33" s="1"/>
  <c r="BM46" i="33" s="1"/>
  <c r="BI31" i="34"/>
  <c r="BH36" i="34" s="1"/>
  <c r="BI38" i="34"/>
  <c r="BH41" i="34" s="1"/>
  <c r="BX38" i="2"/>
  <c r="BM26" i="33" s="1"/>
  <c r="BM59" i="33" s="1"/>
  <c r="BJ29" i="34"/>
  <c r="BI34" i="34" s="1"/>
  <c r="BI50" i="34"/>
  <c r="BH57" i="34" s="1"/>
  <c r="BX26" i="2"/>
  <c r="BM14" i="33" s="1"/>
  <c r="BM47" i="33" s="1"/>
  <c r="BI18" i="34"/>
  <c r="BH23" i="34" s="1"/>
  <c r="BJ20" i="34"/>
  <c r="BI25" i="34" s="1"/>
  <c r="BY23" i="2"/>
  <c r="BN11" i="33" s="1"/>
  <c r="BN44" i="33" s="1"/>
  <c r="BK46" i="34"/>
  <c r="BJ53" i="34" s="1"/>
  <c r="BX36" i="2"/>
  <c r="BM24" i="33" s="1"/>
  <c r="BM57" i="33" s="1"/>
  <c r="BJ47" i="34"/>
  <c r="BI54" i="34" s="1"/>
  <c r="O593" i="25"/>
  <c r="P593" i="25" s="1"/>
  <c r="BK20" i="34" s="1"/>
  <c r="O608" i="25"/>
  <c r="P608" i="25" s="1"/>
  <c r="O642" i="25" s="1"/>
  <c r="P642" i="25" s="1"/>
  <c r="O564" i="25"/>
  <c r="P564" i="25" s="1"/>
  <c r="BY28" i="2" s="1"/>
  <c r="BN16" i="33" s="1"/>
  <c r="BX28" i="2"/>
  <c r="BM16" i="33" s="1"/>
  <c r="BM49" i="33" s="1"/>
  <c r="O573" i="25"/>
  <c r="P573" i="25" s="1"/>
  <c r="BJ61" i="34" s="1"/>
  <c r="BI63" i="34" s="1"/>
  <c r="BI71" i="34"/>
  <c r="BH72" i="34" s="1"/>
  <c r="BI30" i="34"/>
  <c r="BH35" i="34" s="1"/>
  <c r="BX24" i="2"/>
  <c r="BM12" i="33" s="1"/>
  <c r="BM45" i="33" s="1"/>
  <c r="O560" i="25"/>
  <c r="P560" i="25" s="1"/>
  <c r="D487" i="25"/>
  <c r="D500" i="25"/>
  <c r="D491" i="25"/>
  <c r="D490" i="25"/>
  <c r="D488" i="25"/>
  <c r="D496" i="25"/>
  <c r="D507" i="25"/>
  <c r="D485" i="25"/>
  <c r="D504" i="25"/>
  <c r="D506" i="25"/>
  <c r="D498" i="25"/>
  <c r="O606" i="25"/>
  <c r="P606" i="25" s="1"/>
  <c r="BK49" i="34" s="1"/>
  <c r="BJ56" i="34" s="1"/>
  <c r="BI28" i="34"/>
  <c r="BH33" i="34" s="1"/>
  <c r="O558" i="25"/>
  <c r="P558" i="25" s="1"/>
  <c r="BJ19" i="34" s="1"/>
  <c r="BI24" i="34" s="1"/>
  <c r="BX22" i="2"/>
  <c r="BM10" i="33" s="1"/>
  <c r="BM43" i="33" s="1"/>
  <c r="BI17" i="34"/>
  <c r="BH22" i="34" s="1"/>
  <c r="BX17" i="2"/>
  <c r="BM5" i="33" s="1"/>
  <c r="BM38" i="33" s="1"/>
  <c r="O553" i="25"/>
  <c r="P553" i="25" s="1"/>
  <c r="D484" i="25"/>
  <c r="D495" i="25"/>
  <c r="D502" i="25"/>
  <c r="D499" i="25"/>
  <c r="D494" i="25"/>
  <c r="D492" i="25"/>
  <c r="D505" i="25"/>
  <c r="D489" i="25"/>
  <c r="D508" i="25"/>
  <c r="D486" i="25"/>
  <c r="D503" i="25"/>
  <c r="D497" i="25"/>
  <c r="D501" i="25"/>
  <c r="D493" i="25"/>
  <c r="O563" i="25"/>
  <c r="P563" i="25" s="1"/>
  <c r="BJ39" i="34" s="1"/>
  <c r="BI42" i="34" s="1"/>
  <c r="BX27" i="2"/>
  <c r="BM15" i="33" s="1"/>
  <c r="BM48" i="33" s="1"/>
  <c r="O557" i="25"/>
  <c r="P557" i="25" s="1"/>
  <c r="BJ27" i="34" s="1"/>
  <c r="BX21" i="2"/>
  <c r="BM9" i="33" s="1"/>
  <c r="BM42" i="33" s="1"/>
  <c r="BX39" i="2"/>
  <c r="BM27" i="33" s="1"/>
  <c r="BM60" i="33" s="1"/>
  <c r="O575" i="25"/>
  <c r="P575" i="25" s="1"/>
  <c r="BJ66" i="34" s="1"/>
  <c r="BI69" i="34" s="1"/>
  <c r="O518" i="25"/>
  <c r="P518" i="25" s="1"/>
  <c r="BI16" i="34" s="1"/>
  <c r="BH21" i="34" s="1"/>
  <c r="BW16" i="2"/>
  <c r="CD15" i="2"/>
  <c r="CC13" i="2"/>
  <c r="O629" i="25"/>
  <c r="P629" i="25" s="1"/>
  <c r="BZ30" i="2"/>
  <c r="BO18" i="33" s="1"/>
  <c r="O634" i="25"/>
  <c r="P634" i="25" s="1"/>
  <c r="BZ33" i="2"/>
  <c r="BO21" i="33" s="1"/>
  <c r="BO54" i="33" s="1"/>
  <c r="O637" i="25"/>
  <c r="P637" i="25" s="1"/>
  <c r="BZ20" i="2"/>
  <c r="BO8" i="33" s="1"/>
  <c r="BO41" i="33" s="1"/>
  <c r="O624" i="25"/>
  <c r="P624" i="25" s="1"/>
  <c r="BL20" i="34" s="1"/>
  <c r="O635" i="25"/>
  <c r="P635" i="25" s="1"/>
  <c r="BZ35" i="2"/>
  <c r="BO22" i="33" s="1"/>
  <c r="O639" i="25"/>
  <c r="P639" i="25" s="1"/>
  <c r="BM53" i="33"/>
  <c r="BM61" i="33"/>
  <c r="BM58" i="33"/>
  <c r="BN22" i="33"/>
  <c r="O589" i="25"/>
  <c r="P589" i="25" s="1"/>
  <c r="O588" i="25"/>
  <c r="P588" i="25" s="1"/>
  <c r="O596" i="25"/>
  <c r="P596" i="25" s="1"/>
  <c r="BZ23" i="2" s="1"/>
  <c r="BO11" i="33" s="1"/>
  <c r="BN19" i="33"/>
  <c r="BN18" i="33"/>
  <c r="BY32" i="2"/>
  <c r="O602" i="25"/>
  <c r="P602" i="25" s="1"/>
  <c r="BK48" i="34" s="1"/>
  <c r="BJ55" i="34" s="1"/>
  <c r="BY40" i="2"/>
  <c r="BN28" i="33" s="1"/>
  <c r="BN61" i="33" s="1"/>
  <c r="O610" i="25"/>
  <c r="P610" i="25" s="1"/>
  <c r="BK67" i="34" s="1"/>
  <c r="BJ70" i="34" s="1"/>
  <c r="BY34" i="2"/>
  <c r="BN23" i="33" s="1"/>
  <c r="O604" i="25"/>
  <c r="P604" i="25" s="1"/>
  <c r="BK47" i="34" s="1"/>
  <c r="BX41" i="2"/>
  <c r="O577" i="25"/>
  <c r="P577" i="25" s="1"/>
  <c r="BJ65" i="34" s="1"/>
  <c r="BI68" i="34" s="1"/>
  <c r="BX29" i="2"/>
  <c r="BM17" i="33" s="1"/>
  <c r="O565" i="25"/>
  <c r="P565" i="25" s="1"/>
  <c r="BJ45" i="34" s="1"/>
  <c r="BI52" i="34" s="1"/>
  <c r="BO44" i="33" l="1"/>
  <c r="O607" i="25"/>
  <c r="P607" i="25" s="1"/>
  <c r="BN56" i="33"/>
  <c r="BY37" i="2"/>
  <c r="BN25" i="33" s="1"/>
  <c r="BN58" i="33" s="1"/>
  <c r="O627" i="25"/>
  <c r="P627" i="25" s="1"/>
  <c r="BI32" i="34"/>
  <c r="BY19" i="2"/>
  <c r="BN7" i="33" s="1"/>
  <c r="BN40" i="33" s="1"/>
  <c r="BK61" i="34"/>
  <c r="BJ63" i="34" s="1"/>
  <c r="BL51" i="34"/>
  <c r="BJ54" i="34"/>
  <c r="BY18" i="2"/>
  <c r="BN6" i="33" s="1"/>
  <c r="BJ25" i="34"/>
  <c r="BK25" i="34"/>
  <c r="BJ60" i="34"/>
  <c r="BI62" i="34" s="1"/>
  <c r="BY38" i="2"/>
  <c r="BN26" i="33" s="1"/>
  <c r="BN59" i="33" s="1"/>
  <c r="BJ50" i="34"/>
  <c r="BI57" i="34" s="1"/>
  <c r="BJ18" i="34"/>
  <c r="BI23" i="34" s="1"/>
  <c r="BL46" i="34"/>
  <c r="BK53" i="34" s="1"/>
  <c r="BY36" i="2"/>
  <c r="BN24" i="33" s="1"/>
  <c r="BN57" i="33" s="1"/>
  <c r="BK29" i="34"/>
  <c r="BJ34" i="34" s="1"/>
  <c r="BK50" i="34"/>
  <c r="BY26" i="2"/>
  <c r="BN14" i="33" s="1"/>
  <c r="BN47" i="33" s="1"/>
  <c r="BZ31" i="2"/>
  <c r="BO19" i="33" s="1"/>
  <c r="BO52" i="33" s="1"/>
  <c r="BJ40" i="34"/>
  <c r="BI43" i="34" s="1"/>
  <c r="BJ31" i="34"/>
  <c r="BI36" i="34" s="1"/>
  <c r="BY25" i="2"/>
  <c r="BN13" i="33" s="1"/>
  <c r="BN46" i="33" s="1"/>
  <c r="BK51" i="34"/>
  <c r="BJ58" i="34" s="1"/>
  <c r="BJ38" i="34"/>
  <c r="BI41" i="34" s="1"/>
  <c r="BN49" i="33"/>
  <c r="O598" i="25"/>
  <c r="P598" i="25" s="1"/>
  <c r="O632" i="25" s="1"/>
  <c r="P632" i="25" s="1"/>
  <c r="BL40" i="34" s="1"/>
  <c r="BJ71" i="34"/>
  <c r="BI72" i="34" s="1"/>
  <c r="D531" i="25"/>
  <c r="D525" i="25"/>
  <c r="D520" i="25"/>
  <c r="D541" i="25"/>
  <c r="BJ30" i="34"/>
  <c r="BI35" i="34" s="1"/>
  <c r="BY24" i="2"/>
  <c r="BN12" i="33" s="1"/>
  <c r="BN45" i="33" s="1"/>
  <c r="O594" i="25"/>
  <c r="P594" i="25" s="1"/>
  <c r="O640" i="25"/>
  <c r="P640" i="25" s="1"/>
  <c r="BL49" i="34" s="1"/>
  <c r="BK56" i="34" s="1"/>
  <c r="D523" i="25"/>
  <c r="D542" i="25"/>
  <c r="BJ28" i="34"/>
  <c r="BI33" i="34" s="1"/>
  <c r="BY22" i="2"/>
  <c r="BN10" i="33" s="1"/>
  <c r="BN43" i="33" s="1"/>
  <c r="O592" i="25"/>
  <c r="P592" i="25" s="1"/>
  <c r="BK19" i="34" s="1"/>
  <c r="BJ24" i="34" s="1"/>
  <c r="D534" i="25"/>
  <c r="D529" i="25"/>
  <c r="D521" i="25"/>
  <c r="D522" i="25"/>
  <c r="D532" i="25"/>
  <c r="D528" i="25"/>
  <c r="D519" i="25"/>
  <c r="D527" i="25"/>
  <c r="D533" i="25"/>
  <c r="D537" i="25"/>
  <c r="D526" i="25"/>
  <c r="D524" i="25"/>
  <c r="D535" i="25"/>
  <c r="D538" i="25"/>
  <c r="D536" i="25"/>
  <c r="D518" i="25"/>
  <c r="D540" i="25"/>
  <c r="D539" i="25"/>
  <c r="D530" i="25"/>
  <c r="BJ17" i="34"/>
  <c r="BI22" i="34" s="1"/>
  <c r="BY17" i="2"/>
  <c r="BN5" i="33" s="1"/>
  <c r="BN38" i="33" s="1"/>
  <c r="O587" i="25"/>
  <c r="P587" i="25" s="1"/>
  <c r="BX16" i="2"/>
  <c r="BM4" i="33" s="1"/>
  <c r="BM37" i="33" s="1"/>
  <c r="O552" i="25"/>
  <c r="P552" i="25" s="1"/>
  <c r="BJ16" i="34" s="1"/>
  <c r="BI21" i="34" s="1"/>
  <c r="O597" i="25"/>
  <c r="P597" i="25" s="1"/>
  <c r="BK39" i="34" s="1"/>
  <c r="BJ42" i="34" s="1"/>
  <c r="BY27" i="2"/>
  <c r="BN15" i="33" s="1"/>
  <c r="BN48" i="33" s="1"/>
  <c r="BY39" i="2"/>
  <c r="BN27" i="33" s="1"/>
  <c r="BN60" i="33" s="1"/>
  <c r="O609" i="25"/>
  <c r="P609" i="25" s="1"/>
  <c r="BK66" i="34" s="1"/>
  <c r="BJ69" i="34" s="1"/>
  <c r="BY21" i="2"/>
  <c r="BN9" i="33" s="1"/>
  <c r="BN42" i="33" s="1"/>
  <c r="O591" i="25"/>
  <c r="P591" i="25" s="1"/>
  <c r="BK27" i="34" s="1"/>
  <c r="BJ32" i="34" s="1"/>
  <c r="CD13" i="2"/>
  <c r="CD14" i="2"/>
  <c r="CE15" i="2"/>
  <c r="O669" i="25"/>
  <c r="P669" i="25" s="1"/>
  <c r="CA20" i="2"/>
  <c r="BP8" i="33" s="1"/>
  <c r="BP41" i="33" s="1"/>
  <c r="O658" i="25"/>
  <c r="P658" i="25" s="1"/>
  <c r="O661" i="25"/>
  <c r="P661" i="25" s="1"/>
  <c r="CA30" i="2"/>
  <c r="BP18" i="33" s="1"/>
  <c r="BP51" i="33" s="1"/>
  <c r="O668" i="25"/>
  <c r="P668" i="25" s="1"/>
  <c r="O663" i="25"/>
  <c r="P663" i="25" s="1"/>
  <c r="CA35" i="2"/>
  <c r="BP22" i="33" s="1"/>
  <c r="BP55" i="33" s="1"/>
  <c r="O673" i="25"/>
  <c r="P673" i="25" s="1"/>
  <c r="CA33" i="2"/>
  <c r="BP21" i="33" s="1"/>
  <c r="BP54" i="33" s="1"/>
  <c r="O671" i="25"/>
  <c r="P671" i="25" s="1"/>
  <c r="O676" i="25"/>
  <c r="P676" i="25" s="1"/>
  <c r="BZ37" i="2"/>
  <c r="BO25" i="33" s="1"/>
  <c r="BO58" i="33" s="1"/>
  <c r="O641" i="25"/>
  <c r="P641" i="25" s="1"/>
  <c r="BZ40" i="2"/>
  <c r="BO28" i="33" s="1"/>
  <c r="BO61" i="33" s="1"/>
  <c r="O644" i="25"/>
  <c r="P644" i="25" s="1"/>
  <c r="BL67" i="34" s="1"/>
  <c r="BK70" i="34" s="1"/>
  <c r="BZ18" i="2"/>
  <c r="BO6" i="33" s="1"/>
  <c r="O622" i="25"/>
  <c r="P622" i="25" s="1"/>
  <c r="BZ19" i="2"/>
  <c r="BO7" i="33" s="1"/>
  <c r="O623" i="25"/>
  <c r="P623" i="25" s="1"/>
  <c r="BZ34" i="2"/>
  <c r="BO23" i="33" s="1"/>
  <c r="BO56" i="33" s="1"/>
  <c r="O638" i="25"/>
  <c r="P638" i="25" s="1"/>
  <c r="BL50" i="34" s="1"/>
  <c r="BK57" i="34" s="1"/>
  <c r="BZ32" i="2"/>
  <c r="BO20" i="33" s="1"/>
  <c r="O636" i="25"/>
  <c r="P636" i="25" s="1"/>
  <c r="BL48" i="34" s="1"/>
  <c r="BK55" i="34" s="1"/>
  <c r="O630" i="25"/>
  <c r="P630" i="25" s="1"/>
  <c r="CA23" i="2" s="1"/>
  <c r="BP11" i="33" s="1"/>
  <c r="BP44" i="33" s="1"/>
  <c r="BM50" i="33"/>
  <c r="BN51" i="33"/>
  <c r="BN52" i="33"/>
  <c r="BN55" i="33"/>
  <c r="BO51" i="33"/>
  <c r="BO55" i="33"/>
  <c r="BN20" i="33"/>
  <c r="O599" i="25"/>
  <c r="P599" i="25" s="1"/>
  <c r="BK45" i="34" s="1"/>
  <c r="BJ52" i="34" s="1"/>
  <c r="BY41" i="2"/>
  <c r="O611" i="25"/>
  <c r="P611" i="25" s="1"/>
  <c r="BZ38" i="2" s="1"/>
  <c r="BO26" i="33" s="1"/>
  <c r="BM30" i="33"/>
  <c r="BM63" i="33" s="1"/>
  <c r="BY29" i="2"/>
  <c r="BN17" i="33" s="1"/>
  <c r="BN50" i="33" s="1"/>
  <c r="BZ28" i="2" l="1"/>
  <c r="BO16" i="33" s="1"/>
  <c r="BO49" i="33" s="1"/>
  <c r="BO40" i="33"/>
  <c r="BO59" i="33"/>
  <c r="BJ57" i="34"/>
  <c r="BL61" i="34"/>
  <c r="BK63" i="34" s="1"/>
  <c r="BZ26" i="2"/>
  <c r="BO14" i="33" s="1"/>
  <c r="BO47" i="33" s="1"/>
  <c r="BK40" i="34"/>
  <c r="BJ43" i="34" s="1"/>
  <c r="BZ25" i="2"/>
  <c r="BO13" i="33" s="1"/>
  <c r="BO46" i="33" s="1"/>
  <c r="BK31" i="34"/>
  <c r="BJ36" i="34" s="1"/>
  <c r="BL31" i="34"/>
  <c r="BL29" i="34"/>
  <c r="BK34" i="34" s="1"/>
  <c r="BK38" i="34"/>
  <c r="BJ41" i="34" s="1"/>
  <c r="CA25" i="2"/>
  <c r="BP13" i="33" s="1"/>
  <c r="CA31" i="2"/>
  <c r="BP19" i="33" s="1"/>
  <c r="BP52" i="33" s="1"/>
  <c r="BZ36" i="2"/>
  <c r="BO24" i="33" s="1"/>
  <c r="BO57" i="33" s="1"/>
  <c r="BK58" i="34"/>
  <c r="BM51" i="34"/>
  <c r="BL58" i="34" s="1"/>
  <c r="BM46" i="34"/>
  <c r="BL53" i="34" s="1"/>
  <c r="BM20" i="34"/>
  <c r="BL25" i="34" s="1"/>
  <c r="BK60" i="34"/>
  <c r="BJ62" i="34" s="1"/>
  <c r="BL47" i="34"/>
  <c r="BK54" i="34" s="1"/>
  <c r="BK65" i="34"/>
  <c r="BJ68" i="34" s="1"/>
  <c r="BK18" i="34"/>
  <c r="BJ23" i="34" s="1"/>
  <c r="BK71" i="34"/>
  <c r="BJ72" i="34" s="1"/>
  <c r="BK30" i="34"/>
  <c r="BJ35" i="34" s="1"/>
  <c r="O628" i="25"/>
  <c r="P628" i="25" s="1"/>
  <c r="BZ24" i="2"/>
  <c r="BO12" i="33" s="1"/>
  <c r="BO45" i="33" s="1"/>
  <c r="D556" i="25"/>
  <c r="D561" i="25"/>
  <c r="D560" i="25"/>
  <c r="D554" i="25"/>
  <c r="D576" i="25"/>
  <c r="O674" i="25"/>
  <c r="P674" i="25" s="1"/>
  <c r="BM49" i="34" s="1"/>
  <c r="BL56" i="34" s="1"/>
  <c r="D569" i="25"/>
  <c r="D575" i="25"/>
  <c r="D559" i="25"/>
  <c r="D563" i="25"/>
  <c r="D567" i="25"/>
  <c r="BK28" i="34"/>
  <c r="BJ33" i="34" s="1"/>
  <c r="O626" i="25"/>
  <c r="P626" i="25" s="1"/>
  <c r="BL19" i="34" s="1"/>
  <c r="BK24" i="34" s="1"/>
  <c r="BZ22" i="2"/>
  <c r="BO10" i="33" s="1"/>
  <c r="BO43" i="33" s="1"/>
  <c r="D552" i="25"/>
  <c r="D562" i="25"/>
  <c r="D566" i="25"/>
  <c r="D553" i="25"/>
  <c r="D565" i="25"/>
  <c r="D557" i="25"/>
  <c r="D555" i="25"/>
  <c r="D558" i="25"/>
  <c r="D568" i="25"/>
  <c r="D570" i="25"/>
  <c r="D572" i="25"/>
  <c r="D574" i="25"/>
  <c r="D571" i="25"/>
  <c r="D564" i="25"/>
  <c r="D573" i="25"/>
  <c r="BK17" i="34"/>
  <c r="BJ22" i="34" s="1"/>
  <c r="BZ17" i="2"/>
  <c r="BO5" i="33" s="1"/>
  <c r="BO38" i="33" s="1"/>
  <c r="O621" i="25"/>
  <c r="P621" i="25" s="1"/>
  <c r="BZ21" i="2"/>
  <c r="BO9" i="33" s="1"/>
  <c r="BO42" i="33" s="1"/>
  <c r="O625" i="25"/>
  <c r="P625" i="25" s="1"/>
  <c r="O586" i="25"/>
  <c r="P586" i="25" s="1"/>
  <c r="BK16" i="34" s="1"/>
  <c r="BJ21" i="34" s="1"/>
  <c r="BY16" i="2"/>
  <c r="BN4" i="33" s="1"/>
  <c r="BN37" i="33" s="1"/>
  <c r="BZ39" i="2"/>
  <c r="BO27" i="33" s="1"/>
  <c r="BO60" i="33" s="1"/>
  <c r="O643" i="25"/>
  <c r="P643" i="25" s="1"/>
  <c r="BL66" i="34" s="1"/>
  <c r="BK69" i="34" s="1"/>
  <c r="BZ27" i="2"/>
  <c r="BO15" i="33" s="1"/>
  <c r="BO48" i="33" s="1"/>
  <c r="O631" i="25"/>
  <c r="P631" i="25" s="1"/>
  <c r="BL39" i="34" s="1"/>
  <c r="BK42" i="34" s="1"/>
  <c r="CE13" i="2"/>
  <c r="CE14" i="2"/>
  <c r="CF15" i="2"/>
  <c r="O697" i="25"/>
  <c r="P697" i="25" s="1"/>
  <c r="O695" i="25"/>
  <c r="P695" i="25" s="1"/>
  <c r="O703" i="25"/>
  <c r="P703" i="25" s="1"/>
  <c r="O710" i="25"/>
  <c r="P710" i="25" s="1"/>
  <c r="O705" i="25"/>
  <c r="P705" i="25" s="1"/>
  <c r="CB35" i="2"/>
  <c r="BQ22" i="33" s="1"/>
  <c r="BQ55" i="33" s="1"/>
  <c r="O707" i="25"/>
  <c r="P707" i="25" s="1"/>
  <c r="CB30" i="2"/>
  <c r="O702" i="25"/>
  <c r="P702" i="25" s="1"/>
  <c r="BN46" i="34" s="1"/>
  <c r="CB20" i="2"/>
  <c r="BQ8" i="33" s="1"/>
  <c r="BQ41" i="33" s="1"/>
  <c r="O692" i="25"/>
  <c r="P692" i="25" s="1"/>
  <c r="CA32" i="2"/>
  <c r="BP20" i="33" s="1"/>
  <c r="BP53" i="33" s="1"/>
  <c r="O670" i="25"/>
  <c r="P670" i="25" s="1"/>
  <c r="BM48" i="34" s="1"/>
  <c r="BL55" i="34" s="1"/>
  <c r="CA34" i="2"/>
  <c r="BP23" i="33" s="1"/>
  <c r="BP56" i="33" s="1"/>
  <c r="O672" i="25"/>
  <c r="P672" i="25" s="1"/>
  <c r="CB31" i="2" s="1"/>
  <c r="BQ19" i="33" s="1"/>
  <c r="O656" i="25"/>
  <c r="P656" i="25" s="1"/>
  <c r="CA37" i="2"/>
  <c r="BP25" i="33" s="1"/>
  <c r="BP58" i="33" s="1"/>
  <c r="O675" i="25"/>
  <c r="P675" i="25" s="1"/>
  <c r="O664" i="25"/>
  <c r="P664" i="25" s="1"/>
  <c r="CA28" i="2"/>
  <c r="BP16" i="33" s="1"/>
  <c r="BP49" i="33" s="1"/>
  <c r="O666" i="25"/>
  <c r="P666" i="25" s="1"/>
  <c r="BM40" i="34" s="1"/>
  <c r="BL43" i="34" s="1"/>
  <c r="CA19" i="2"/>
  <c r="BP7" i="33" s="1"/>
  <c r="BP40" i="33" s="1"/>
  <c r="O657" i="25"/>
  <c r="P657" i="25" s="1"/>
  <c r="CA40" i="2"/>
  <c r="BP28" i="33" s="1"/>
  <c r="BP61" i="33" s="1"/>
  <c r="O678" i="25"/>
  <c r="P678" i="25" s="1"/>
  <c r="BM67" i="34" s="1"/>
  <c r="BL70" i="34" s="1"/>
  <c r="O633" i="25"/>
  <c r="P633" i="25" s="1"/>
  <c r="BL45" i="34" s="1"/>
  <c r="BK52" i="34" s="1"/>
  <c r="BZ41" i="2"/>
  <c r="O645" i="25"/>
  <c r="P645" i="25" s="1"/>
  <c r="F94" i="33"/>
  <c r="BN53" i="33"/>
  <c r="BN39" i="33"/>
  <c r="BO39" i="33"/>
  <c r="BO53" i="33"/>
  <c r="BM31" i="33"/>
  <c r="BN30" i="33"/>
  <c r="BN63" i="33" s="1"/>
  <c r="D586" i="25"/>
  <c r="BZ29" i="2"/>
  <c r="BL27" i="34" l="1"/>
  <c r="BK32" i="34" s="1"/>
  <c r="BK43" i="34"/>
  <c r="BM53" i="34"/>
  <c r="BN51" i="34"/>
  <c r="BM58" i="34" s="1"/>
  <c r="CA18" i="2"/>
  <c r="BP6" i="33" s="1"/>
  <c r="BP39" i="33" s="1"/>
  <c r="CB33" i="2"/>
  <c r="BQ21" i="33" s="1"/>
  <c r="BQ54" i="33" s="1"/>
  <c r="BN20" i="34"/>
  <c r="BM25" i="34" s="1"/>
  <c r="BP46" i="33"/>
  <c r="CB25" i="2"/>
  <c r="BQ13" i="33" s="1"/>
  <c r="BQ46" i="33" s="1"/>
  <c r="BL60" i="34"/>
  <c r="BK62" i="34" s="1"/>
  <c r="BL38" i="34"/>
  <c r="BK41" i="34" s="1"/>
  <c r="BM31" i="34"/>
  <c r="BL36" i="34" s="1"/>
  <c r="BK36" i="34"/>
  <c r="BL65" i="34"/>
  <c r="BK68" i="34" s="1"/>
  <c r="CA38" i="2"/>
  <c r="BP26" i="33" s="1"/>
  <c r="BP59" i="33" s="1"/>
  <c r="BM61" i="34"/>
  <c r="BL63" i="34" s="1"/>
  <c r="BM50" i="34"/>
  <c r="BL57" i="34" s="1"/>
  <c r="BM47" i="34"/>
  <c r="BL54" i="34" s="1"/>
  <c r="BL18" i="34"/>
  <c r="BK23" i="34" s="1"/>
  <c r="CB23" i="2"/>
  <c r="BQ11" i="33" s="1"/>
  <c r="BQ44" i="33" s="1"/>
  <c r="CA26" i="2"/>
  <c r="BP14" i="33" s="1"/>
  <c r="BP47" i="33" s="1"/>
  <c r="CA36" i="2"/>
  <c r="BP24" i="33" s="1"/>
  <c r="BP57" i="33" s="1"/>
  <c r="BM29" i="34"/>
  <c r="BL34" i="34" s="1"/>
  <c r="BL71" i="34"/>
  <c r="BK72" i="34" s="1"/>
  <c r="D593" i="25"/>
  <c r="D598" i="25"/>
  <c r="D596" i="25"/>
  <c r="D589" i="25"/>
  <c r="D594" i="25"/>
  <c r="BL30" i="34"/>
  <c r="BK35" i="34" s="1"/>
  <c r="CA24" i="2"/>
  <c r="BP12" i="33" s="1"/>
  <c r="BP45" i="33" s="1"/>
  <c r="O662" i="25"/>
  <c r="P662" i="25" s="1"/>
  <c r="O708" i="25"/>
  <c r="P708" i="25" s="1"/>
  <c r="BN49" i="34" s="1"/>
  <c r="BM56" i="34" s="1"/>
  <c r="D599" i="25"/>
  <c r="D600" i="25"/>
  <c r="D603" i="25"/>
  <c r="D592" i="25"/>
  <c r="D607" i="25"/>
  <c r="D595" i="25"/>
  <c r="D601" i="25"/>
  <c r="D610" i="25"/>
  <c r="D597" i="25"/>
  <c r="D608" i="25"/>
  <c r="D604" i="25"/>
  <c r="D590" i="25"/>
  <c r="D587" i="25"/>
  <c r="D605" i="25"/>
  <c r="D588" i="25"/>
  <c r="D602" i="25"/>
  <c r="D609" i="25"/>
  <c r="D591" i="25"/>
  <c r="D606" i="25"/>
  <c r="BL28" i="34"/>
  <c r="BK33" i="34" s="1"/>
  <c r="CA22" i="2"/>
  <c r="BP10" i="33" s="1"/>
  <c r="BP43" i="33" s="1"/>
  <c r="O660" i="25"/>
  <c r="P660" i="25" s="1"/>
  <c r="BM19" i="34" s="1"/>
  <c r="BL24" i="34" s="1"/>
  <c r="BL17" i="34"/>
  <c r="BK22" i="34" s="1"/>
  <c r="CA17" i="2"/>
  <c r="BP5" i="33" s="1"/>
  <c r="BP38" i="33" s="1"/>
  <c r="O655" i="25"/>
  <c r="P655" i="25" s="1"/>
  <c r="CA27" i="2"/>
  <c r="BP15" i="33" s="1"/>
  <c r="BP48" i="33" s="1"/>
  <c r="O665" i="25"/>
  <c r="P665" i="25" s="1"/>
  <c r="BM39" i="34" s="1"/>
  <c r="BL42" i="34" s="1"/>
  <c r="CA21" i="2"/>
  <c r="BP9" i="33" s="1"/>
  <c r="BP42" i="33" s="1"/>
  <c r="O659" i="25"/>
  <c r="P659" i="25" s="1"/>
  <c r="CA39" i="2"/>
  <c r="BP27" i="33" s="1"/>
  <c r="BP60" i="33" s="1"/>
  <c r="O677" i="25"/>
  <c r="P677" i="25" s="1"/>
  <c r="BM66" i="34" s="1"/>
  <c r="BL69" i="34" s="1"/>
  <c r="BZ16" i="2"/>
  <c r="BO4" i="33" s="1"/>
  <c r="BO37" i="33" s="1"/>
  <c r="O620" i="25"/>
  <c r="P620" i="25" s="1"/>
  <c r="D630" i="25" s="1"/>
  <c r="CF13" i="2"/>
  <c r="CG15" i="2"/>
  <c r="CF14" i="2"/>
  <c r="CC30" i="2"/>
  <c r="BR18" i="33" s="1"/>
  <c r="O736" i="25"/>
  <c r="P736" i="25" s="1"/>
  <c r="CC33" i="2"/>
  <c r="BR21" i="33" s="1"/>
  <c r="O739" i="25"/>
  <c r="P739" i="25" s="1"/>
  <c r="O737" i="25"/>
  <c r="P737" i="25" s="1"/>
  <c r="O731" i="25"/>
  <c r="P731" i="25" s="1"/>
  <c r="CC20" i="2"/>
  <c r="O726" i="25"/>
  <c r="P726" i="25" s="1"/>
  <c r="CC35" i="2"/>
  <c r="BR22" i="33" s="1"/>
  <c r="BR55" i="33" s="1"/>
  <c r="O741" i="25"/>
  <c r="P741" i="25" s="1"/>
  <c r="O744" i="25"/>
  <c r="P744" i="25" s="1"/>
  <c r="O729" i="25"/>
  <c r="P729" i="25" s="1"/>
  <c r="O691" i="25"/>
  <c r="P691" i="25" s="1"/>
  <c r="O698" i="25"/>
  <c r="P698" i="25" s="1"/>
  <c r="CC23" i="2" s="1"/>
  <c r="BR11" i="33" s="1"/>
  <c r="CB37" i="2"/>
  <c r="BQ25" i="33" s="1"/>
  <c r="BQ58" i="33" s="1"/>
  <c r="O709" i="25"/>
  <c r="P709" i="25" s="1"/>
  <c r="CB34" i="2"/>
  <c r="BQ23" i="33" s="1"/>
  <c r="BQ56" i="33" s="1"/>
  <c r="O706" i="25"/>
  <c r="P706" i="25" s="1"/>
  <c r="CB40" i="2"/>
  <c r="BQ28" i="33" s="1"/>
  <c r="BQ61" i="33" s="1"/>
  <c r="O712" i="25"/>
  <c r="P712" i="25" s="1"/>
  <c r="BN67" i="34" s="1"/>
  <c r="BM70" i="34" s="1"/>
  <c r="CB28" i="2"/>
  <c r="BQ16" i="33" s="1"/>
  <c r="BQ49" i="33" s="1"/>
  <c r="O700" i="25"/>
  <c r="P700" i="25" s="1"/>
  <c r="BN40" i="34" s="1"/>
  <c r="BM43" i="34" s="1"/>
  <c r="O690" i="25"/>
  <c r="P690" i="25" s="1"/>
  <c r="CB32" i="2"/>
  <c r="BQ20" i="33" s="1"/>
  <c r="BQ53" i="33" s="1"/>
  <c r="O704" i="25"/>
  <c r="P704" i="25" s="1"/>
  <c r="BN48" i="34" s="1"/>
  <c r="BM55" i="34" s="1"/>
  <c r="BQ18" i="33"/>
  <c r="BQ51" i="33" s="1"/>
  <c r="BQ52" i="33"/>
  <c r="CA41" i="2"/>
  <c r="BP30" i="33" s="1"/>
  <c r="O679" i="25"/>
  <c r="P679" i="25" s="1"/>
  <c r="O667" i="25"/>
  <c r="P667" i="25" s="1"/>
  <c r="BM45" i="34" s="1"/>
  <c r="BL52" i="34" s="1"/>
  <c r="BO30" i="33"/>
  <c r="CA29" i="2"/>
  <c r="BO17" i="33"/>
  <c r="BO50" i="33" s="1"/>
  <c r="BN31" i="33"/>
  <c r="BR54" i="33" l="1"/>
  <c r="BR44" i="33"/>
  <c r="BM27" i="34"/>
  <c r="BL32" i="34" s="1"/>
  <c r="BO51" i="34"/>
  <c r="BN58" i="34" s="1"/>
  <c r="CB19" i="2"/>
  <c r="BQ7" i="33" s="1"/>
  <c r="BQ40" i="33" s="1"/>
  <c r="CB18" i="2"/>
  <c r="BQ6" i="33" s="1"/>
  <c r="BQ39" i="33" s="1"/>
  <c r="BN50" i="34"/>
  <c r="BM57" i="34" s="1"/>
  <c r="CC31" i="2"/>
  <c r="BR19" i="33" s="1"/>
  <c r="BR52" i="33" s="1"/>
  <c r="BN47" i="34"/>
  <c r="BM54" i="34" s="1"/>
  <c r="BM38" i="34"/>
  <c r="BL41" i="34" s="1"/>
  <c r="CB26" i="2"/>
  <c r="BQ14" i="33" s="1"/>
  <c r="BQ47" i="33" s="1"/>
  <c r="CC25" i="2"/>
  <c r="BR13" i="33" s="1"/>
  <c r="BR46" i="33" s="1"/>
  <c r="CB36" i="2"/>
  <c r="BQ24" i="33" s="1"/>
  <c r="BQ57" i="33" s="1"/>
  <c r="BM18" i="34"/>
  <c r="BL23" i="34" s="1"/>
  <c r="CB38" i="2"/>
  <c r="BQ26" i="33" s="1"/>
  <c r="BQ59" i="33" s="1"/>
  <c r="BM65" i="34"/>
  <c r="BL68" i="34" s="1"/>
  <c r="BN61" i="34"/>
  <c r="BM63" i="34" s="1"/>
  <c r="BO20" i="34"/>
  <c r="BN25" i="34" s="1"/>
  <c r="BO46" i="34"/>
  <c r="BN53" i="34" s="1"/>
  <c r="BM60" i="34"/>
  <c r="BL62" i="34" s="1"/>
  <c r="BN31" i="34"/>
  <c r="BM36" i="34" s="1"/>
  <c r="BN29" i="34"/>
  <c r="BM34" i="34" s="1"/>
  <c r="BM71" i="34"/>
  <c r="BL72" i="34" s="1"/>
  <c r="BM30" i="34"/>
  <c r="BL35" i="34" s="1"/>
  <c r="CB24" i="2"/>
  <c r="BQ12" i="33" s="1"/>
  <c r="BQ45" i="33" s="1"/>
  <c r="O696" i="25"/>
  <c r="P696" i="25" s="1"/>
  <c r="D635" i="25"/>
  <c r="D631" i="25"/>
  <c r="O742" i="25"/>
  <c r="P742" i="25" s="1"/>
  <c r="BO49" i="34" s="1"/>
  <c r="BN56" i="34" s="1"/>
  <c r="BM28" i="34"/>
  <c r="BL33" i="34" s="1"/>
  <c r="CB22" i="2"/>
  <c r="BQ10" i="33" s="1"/>
  <c r="BQ43" i="33" s="1"/>
  <c r="O694" i="25"/>
  <c r="P694" i="25" s="1"/>
  <c r="BN19" i="34" s="1"/>
  <c r="BM24" i="34" s="1"/>
  <c r="BM17" i="34"/>
  <c r="BL22" i="34" s="1"/>
  <c r="CB17" i="2"/>
  <c r="BQ5" i="33" s="1"/>
  <c r="BQ38" i="33" s="1"/>
  <c r="O689" i="25"/>
  <c r="P689" i="25" s="1"/>
  <c r="D638" i="25"/>
  <c r="BL16" i="34"/>
  <c r="BK21" i="34" s="1"/>
  <c r="D639" i="25"/>
  <c r="D620" i="25"/>
  <c r="D621" i="25"/>
  <c r="D640" i="25"/>
  <c r="D629" i="25"/>
  <c r="D634" i="25"/>
  <c r="D632" i="25"/>
  <c r="D644" i="25"/>
  <c r="D637" i="25"/>
  <c r="D633" i="25"/>
  <c r="D622" i="25"/>
  <c r="D627" i="25"/>
  <c r="D643" i="25"/>
  <c r="D626" i="25"/>
  <c r="D628" i="25"/>
  <c r="D625" i="25"/>
  <c r="D642" i="25"/>
  <c r="D641" i="25"/>
  <c r="D624" i="25"/>
  <c r="D636" i="25"/>
  <c r="D623" i="25"/>
  <c r="CA16" i="2"/>
  <c r="BP4" i="33" s="1"/>
  <c r="BP37" i="33" s="1"/>
  <c r="O654" i="25"/>
  <c r="P654" i="25" s="1"/>
  <c r="D676" i="25" s="1"/>
  <c r="CB27" i="2"/>
  <c r="BQ15" i="33" s="1"/>
  <c r="BQ48" i="33" s="1"/>
  <c r="O699" i="25"/>
  <c r="P699" i="25" s="1"/>
  <c r="BN39" i="34" s="1"/>
  <c r="BM42" i="34" s="1"/>
  <c r="O693" i="25"/>
  <c r="P693" i="25" s="1"/>
  <c r="CC18" i="2" s="1"/>
  <c r="BR6" i="33" s="1"/>
  <c r="BR39" i="33" s="1"/>
  <c r="CB21" i="2"/>
  <c r="BQ9" i="33" s="1"/>
  <c r="BQ42" i="33" s="1"/>
  <c r="O711" i="25"/>
  <c r="P711" i="25" s="1"/>
  <c r="BN66" i="34" s="1"/>
  <c r="BM69" i="34" s="1"/>
  <c r="CB39" i="2"/>
  <c r="BQ27" i="33" s="1"/>
  <c r="BQ60" i="33" s="1"/>
  <c r="CG13" i="2"/>
  <c r="CG14" i="2"/>
  <c r="CH15" i="2"/>
  <c r="O778" i="25"/>
  <c r="P778" i="25" s="1"/>
  <c r="CD20" i="2"/>
  <c r="BS8" i="33" s="1"/>
  <c r="O760" i="25"/>
  <c r="P760" i="25" s="1"/>
  <c r="O771" i="25"/>
  <c r="P771" i="25" s="1"/>
  <c r="CD30" i="2"/>
  <c r="BS18" i="33" s="1"/>
  <c r="BS51" i="33" s="1"/>
  <c r="O770" i="25"/>
  <c r="P770" i="25" s="1"/>
  <c r="O763" i="25"/>
  <c r="P763" i="25" s="1"/>
  <c r="CD35" i="2"/>
  <c r="BS22" i="33" s="1"/>
  <c r="BS55" i="33" s="1"/>
  <c r="O775" i="25"/>
  <c r="P775" i="25" s="1"/>
  <c r="O765" i="25"/>
  <c r="P765" i="25" s="1"/>
  <c r="O773" i="25"/>
  <c r="P773" i="25" s="1"/>
  <c r="BR8" i="33"/>
  <c r="BR41" i="33" s="1"/>
  <c r="O724" i="25"/>
  <c r="P724" i="25" s="1"/>
  <c r="CC40" i="2"/>
  <c r="BR28" i="33" s="1"/>
  <c r="BR61" i="33" s="1"/>
  <c r="O746" i="25"/>
  <c r="P746" i="25" s="1"/>
  <c r="BO67" i="34" s="1"/>
  <c r="BN70" i="34" s="1"/>
  <c r="CC34" i="2"/>
  <c r="BR23" i="33" s="1"/>
  <c r="BR56" i="33" s="1"/>
  <c r="O740" i="25"/>
  <c r="P740" i="25" s="1"/>
  <c r="O732" i="25"/>
  <c r="P732" i="25" s="1"/>
  <c r="BO29" i="34" s="1"/>
  <c r="CC32" i="2"/>
  <c r="BR20" i="33" s="1"/>
  <c r="BR53" i="33" s="1"/>
  <c r="O738" i="25"/>
  <c r="P738" i="25" s="1"/>
  <c r="BO48" i="34" s="1"/>
  <c r="BN55" i="34" s="1"/>
  <c r="CC28" i="2"/>
  <c r="BR16" i="33" s="1"/>
  <c r="BR49" i="33" s="1"/>
  <c r="O734" i="25"/>
  <c r="P734" i="25" s="1"/>
  <c r="BO40" i="34" s="1"/>
  <c r="BN43" i="34" s="1"/>
  <c r="CC37" i="2"/>
  <c r="BR25" i="33" s="1"/>
  <c r="BR58" i="33" s="1"/>
  <c r="O743" i="25"/>
  <c r="P743" i="25" s="1"/>
  <c r="CC19" i="2"/>
  <c r="O725" i="25"/>
  <c r="P725" i="25" s="1"/>
  <c r="BR51" i="33"/>
  <c r="CB29" i="2"/>
  <c r="BQ17" i="33" s="1"/>
  <c r="O701" i="25"/>
  <c r="P701" i="25" s="1"/>
  <c r="BN45" i="34" s="1"/>
  <c r="BM52" i="34" s="1"/>
  <c r="CB41" i="2"/>
  <c r="BQ30" i="33" s="1"/>
  <c r="BQ31" i="33" s="1"/>
  <c r="O713" i="25"/>
  <c r="P713" i="25" s="1"/>
  <c r="BP31" i="33"/>
  <c r="BO31" i="33"/>
  <c r="BO63" i="33"/>
  <c r="BP63" i="33"/>
  <c r="BP17" i="33"/>
  <c r="BP50" i="33" s="1"/>
  <c r="BN34" i="34" l="1"/>
  <c r="CD33" i="2"/>
  <c r="BS21" i="33" s="1"/>
  <c r="BS54" i="33" s="1"/>
  <c r="BO61" i="34"/>
  <c r="BN63" i="34" s="1"/>
  <c r="BN27" i="34"/>
  <c r="BM32" i="34" s="1"/>
  <c r="BO50" i="34"/>
  <c r="BN57" i="34" s="1"/>
  <c r="CC26" i="2"/>
  <c r="BR14" i="33" s="1"/>
  <c r="BR47" i="33" s="1"/>
  <c r="BP51" i="34"/>
  <c r="BO58" i="34" s="1"/>
  <c r="BP46" i="34"/>
  <c r="BO53" i="34" s="1"/>
  <c r="BP20" i="34"/>
  <c r="BO25" i="34" s="1"/>
  <c r="BO31" i="34"/>
  <c r="BN36" i="34" s="1"/>
  <c r="CC36" i="2"/>
  <c r="BR24" i="33" s="1"/>
  <c r="BR57" i="33" s="1"/>
  <c r="BO47" i="34"/>
  <c r="BN54" i="34" s="1"/>
  <c r="BN38" i="34"/>
  <c r="BM41" i="34" s="1"/>
  <c r="BN60" i="34"/>
  <c r="BM62" i="34" s="1"/>
  <c r="BN18" i="34"/>
  <c r="BM23" i="34" s="1"/>
  <c r="BN65" i="34"/>
  <c r="BM68" i="34" s="1"/>
  <c r="CC38" i="2"/>
  <c r="BR26" i="33" s="1"/>
  <c r="BR59" i="33" s="1"/>
  <c r="CD25" i="2"/>
  <c r="BS13" i="33" s="1"/>
  <c r="BS46" i="33" s="1"/>
  <c r="CD23" i="2"/>
  <c r="BS11" i="33" s="1"/>
  <c r="BS44" i="33" s="1"/>
  <c r="CD31" i="2"/>
  <c r="BS19" i="33" s="1"/>
  <c r="BS52" i="33" s="1"/>
  <c r="BN71" i="34"/>
  <c r="BM72" i="34" s="1"/>
  <c r="BN30" i="34"/>
  <c r="BM35" i="34" s="1"/>
  <c r="CC24" i="2"/>
  <c r="BR12" i="33" s="1"/>
  <c r="BR45" i="33" s="1"/>
  <c r="O730" i="25"/>
  <c r="P730" i="25" s="1"/>
  <c r="O776" i="25"/>
  <c r="P776" i="25" s="1"/>
  <c r="BP49" i="34" s="1"/>
  <c r="BO56" i="34" s="1"/>
  <c r="BN28" i="34"/>
  <c r="BM33" i="34" s="1"/>
  <c r="CC22" i="2"/>
  <c r="BR10" i="33" s="1"/>
  <c r="BR43" i="33" s="1"/>
  <c r="O728" i="25"/>
  <c r="P728" i="25" s="1"/>
  <c r="BO19" i="34" s="1"/>
  <c r="BN24" i="34" s="1"/>
  <c r="BN17" i="34"/>
  <c r="BM22" i="34" s="1"/>
  <c r="CC17" i="2"/>
  <c r="BR5" i="33" s="1"/>
  <c r="BR38" i="33" s="1"/>
  <c r="O723" i="25"/>
  <c r="P723" i="25" s="1"/>
  <c r="D667" i="25"/>
  <c r="BM16" i="34"/>
  <c r="BL21" i="34" s="1"/>
  <c r="D663" i="25"/>
  <c r="D669" i="25"/>
  <c r="D657" i="25"/>
  <c r="D672" i="25"/>
  <c r="D654" i="25"/>
  <c r="D656" i="25"/>
  <c r="D655" i="25"/>
  <c r="D678" i="25"/>
  <c r="D664" i="25"/>
  <c r="D670" i="25"/>
  <c r="D665" i="25"/>
  <c r="D661" i="25"/>
  <c r="D668" i="25"/>
  <c r="D675" i="25"/>
  <c r="D671" i="25"/>
  <c r="D666" i="25"/>
  <c r="D660" i="25"/>
  <c r="D662" i="25"/>
  <c r="D673" i="25"/>
  <c r="D658" i="25"/>
  <c r="D677" i="25"/>
  <c r="D674" i="25"/>
  <c r="D659" i="25"/>
  <c r="O727" i="25"/>
  <c r="P727" i="25" s="1"/>
  <c r="CD18" i="2" s="1"/>
  <c r="BS6" i="33" s="1"/>
  <c r="BS39" i="33" s="1"/>
  <c r="CC21" i="2"/>
  <c r="BR9" i="33" s="1"/>
  <c r="BR42" i="33" s="1"/>
  <c r="CC39" i="2"/>
  <c r="BR27" i="33" s="1"/>
  <c r="BR60" i="33" s="1"/>
  <c r="O745" i="25"/>
  <c r="P745" i="25" s="1"/>
  <c r="BO66" i="34" s="1"/>
  <c r="BN69" i="34" s="1"/>
  <c r="CB16" i="2"/>
  <c r="BQ4" i="33" s="1"/>
  <c r="BQ37" i="33" s="1"/>
  <c r="O688" i="25"/>
  <c r="P688" i="25" s="1"/>
  <c r="BN16" i="34" s="1"/>
  <c r="CC27" i="2"/>
  <c r="BR15" i="33" s="1"/>
  <c r="BR48" i="33" s="1"/>
  <c r="O733" i="25"/>
  <c r="P733" i="25" s="1"/>
  <c r="BO39" i="34" s="1"/>
  <c r="BN42" i="34" s="1"/>
  <c r="CH13" i="2"/>
  <c r="CI15" i="2"/>
  <c r="CH14" i="2"/>
  <c r="O799" i="25"/>
  <c r="P799" i="25" s="1"/>
  <c r="O797" i="25"/>
  <c r="P797" i="25" s="1"/>
  <c r="O805" i="25"/>
  <c r="P805" i="25" s="1"/>
  <c r="O812" i="25"/>
  <c r="P812" i="25" s="1"/>
  <c r="O807" i="25"/>
  <c r="P807" i="25" s="1"/>
  <c r="CE35" i="2"/>
  <c r="BT22" i="33" s="1"/>
  <c r="BT55" i="33" s="1"/>
  <c r="O809" i="25"/>
  <c r="P809" i="25" s="1"/>
  <c r="CE30" i="2"/>
  <c r="BT18" i="33" s="1"/>
  <c r="BT51" i="33" s="1"/>
  <c r="O804" i="25"/>
  <c r="P804" i="25" s="1"/>
  <c r="BQ46" i="34" s="1"/>
  <c r="BP53" i="34" s="1"/>
  <c r="CE20" i="2"/>
  <c r="BT8" i="33" s="1"/>
  <c r="BT41" i="33" s="1"/>
  <c r="O794" i="25"/>
  <c r="P794" i="25" s="1"/>
  <c r="CD37" i="2"/>
  <c r="BS25" i="33" s="1"/>
  <c r="BS58" i="33" s="1"/>
  <c r="O777" i="25"/>
  <c r="P777" i="25" s="1"/>
  <c r="CD28" i="2"/>
  <c r="BS16" i="33" s="1"/>
  <c r="BS49" i="33" s="1"/>
  <c r="O768" i="25"/>
  <c r="P768" i="25" s="1"/>
  <c r="BP40" i="34" s="1"/>
  <c r="BO43" i="34" s="1"/>
  <c r="O766" i="25"/>
  <c r="P766" i="25" s="1"/>
  <c r="CE23" i="2" s="1"/>
  <c r="BT11" i="33" s="1"/>
  <c r="BT44" i="33" s="1"/>
  <c r="CD40" i="2"/>
  <c r="BS28" i="33" s="1"/>
  <c r="BS61" i="33" s="1"/>
  <c r="O780" i="25"/>
  <c r="P780" i="25" s="1"/>
  <c r="BP67" i="34" s="1"/>
  <c r="BO70" i="34" s="1"/>
  <c r="O759" i="25"/>
  <c r="P759" i="25" s="1"/>
  <c r="CD32" i="2"/>
  <c r="BS20" i="33" s="1"/>
  <c r="BS53" i="33" s="1"/>
  <c r="O772" i="25"/>
  <c r="P772" i="25" s="1"/>
  <c r="BP48" i="34" s="1"/>
  <c r="BO55" i="34" s="1"/>
  <c r="CD34" i="2"/>
  <c r="BS23" i="33" s="1"/>
  <c r="BS56" i="33" s="1"/>
  <c r="O774" i="25"/>
  <c r="P774" i="25" s="1"/>
  <c r="O758" i="25"/>
  <c r="P758" i="25" s="1"/>
  <c r="BS41" i="33"/>
  <c r="O735" i="25"/>
  <c r="P735" i="25" s="1"/>
  <c r="BO45" i="34" s="1"/>
  <c r="BN52" i="34" s="1"/>
  <c r="CC41" i="2"/>
  <c r="BR30" i="33" s="1"/>
  <c r="O747" i="25"/>
  <c r="P747" i="25" s="1"/>
  <c r="BR7" i="33"/>
  <c r="BR40" i="33" s="1"/>
  <c r="BQ63" i="33"/>
  <c r="D699" i="25"/>
  <c r="CC29" i="2"/>
  <c r="BQ50" i="33"/>
  <c r="CD19" i="2" l="1"/>
  <c r="BS7" i="33" s="1"/>
  <c r="BO27" i="34"/>
  <c r="BN32" i="34" s="1"/>
  <c r="BQ51" i="34"/>
  <c r="BP58" i="34" s="1"/>
  <c r="BP50" i="34"/>
  <c r="BO57" i="34" s="1"/>
  <c r="BQ20" i="34"/>
  <c r="BP25" i="34" s="1"/>
  <c r="CE33" i="2"/>
  <c r="BT21" i="33" s="1"/>
  <c r="BT54" i="33" s="1"/>
  <c r="BP31" i="34"/>
  <c r="BO36" i="34" s="1"/>
  <c r="BO65" i="34"/>
  <c r="BN68" i="34" s="1"/>
  <c r="CD38" i="2"/>
  <c r="BS26" i="33" s="1"/>
  <c r="BS59" i="33" s="1"/>
  <c r="BP61" i="34"/>
  <c r="BO63" i="34" s="1"/>
  <c r="CD36" i="2"/>
  <c r="BS24" i="33" s="1"/>
  <c r="BS57" i="33" s="1"/>
  <c r="CD26" i="2"/>
  <c r="BS14" i="33" s="1"/>
  <c r="BS47" i="33" s="1"/>
  <c r="CE31" i="2"/>
  <c r="BT19" i="33" s="1"/>
  <c r="BT52" i="33" s="1"/>
  <c r="CE25" i="2"/>
  <c r="BT13" i="33" s="1"/>
  <c r="BT46" i="33" s="1"/>
  <c r="BP47" i="34"/>
  <c r="BO54" i="34" s="1"/>
  <c r="BO18" i="34"/>
  <c r="BN23" i="34" s="1"/>
  <c r="BO60" i="34"/>
  <c r="BN62" i="34" s="1"/>
  <c r="BO38" i="34"/>
  <c r="BN41" i="34" s="1"/>
  <c r="BP29" i="34"/>
  <c r="BO34" i="34" s="1"/>
  <c r="D707" i="25"/>
  <c r="D705" i="25"/>
  <c r="D702" i="25"/>
  <c r="D689" i="25"/>
  <c r="D701" i="25"/>
  <c r="D696" i="25"/>
  <c r="D690" i="25"/>
  <c r="D708" i="25"/>
  <c r="BO71" i="34"/>
  <c r="BN72" i="34" s="1"/>
  <c r="BO30" i="34"/>
  <c r="BN35" i="34" s="1"/>
  <c r="CD24" i="2"/>
  <c r="BS12" i="33" s="1"/>
  <c r="BS45" i="33" s="1"/>
  <c r="O764" i="25"/>
  <c r="P764" i="25" s="1"/>
  <c r="D697" i="25"/>
  <c r="D698" i="25"/>
  <c r="D712" i="25"/>
  <c r="D694" i="25"/>
  <c r="D691" i="25"/>
  <c r="D693" i="25"/>
  <c r="D695" i="25"/>
  <c r="D706" i="25"/>
  <c r="D703" i="25"/>
  <c r="D710" i="25"/>
  <c r="D709" i="25"/>
  <c r="D711" i="25"/>
  <c r="D700" i="25"/>
  <c r="D692" i="25"/>
  <c r="D704" i="25"/>
  <c r="O810" i="25"/>
  <c r="P810" i="25" s="1"/>
  <c r="BQ49" i="34" s="1"/>
  <c r="BP56" i="34" s="1"/>
  <c r="D688" i="25"/>
  <c r="BM21" i="34"/>
  <c r="BO28" i="34"/>
  <c r="BN33" i="34" s="1"/>
  <c r="O762" i="25"/>
  <c r="P762" i="25" s="1"/>
  <c r="BP19" i="34" s="1"/>
  <c r="BO24" i="34" s="1"/>
  <c r="CD22" i="2"/>
  <c r="BS10" i="33" s="1"/>
  <c r="BS43" i="33" s="1"/>
  <c r="BO17" i="34"/>
  <c r="BN22" i="34" s="1"/>
  <c r="O757" i="25"/>
  <c r="P757" i="25" s="1"/>
  <c r="CD17" i="2"/>
  <c r="BS5" i="33" s="1"/>
  <c r="BS38" i="33" s="1"/>
  <c r="O779" i="25"/>
  <c r="P779" i="25" s="1"/>
  <c r="BP66" i="34" s="1"/>
  <c r="BO69" i="34" s="1"/>
  <c r="CD39" i="2"/>
  <c r="BS27" i="33" s="1"/>
  <c r="BS60" i="33" s="1"/>
  <c r="CD21" i="2"/>
  <c r="BS9" i="33" s="1"/>
  <c r="BS42" i="33" s="1"/>
  <c r="O761" i="25"/>
  <c r="P761" i="25" s="1"/>
  <c r="BP27" i="34" s="1"/>
  <c r="BO32" i="34" s="1"/>
  <c r="CD27" i="2"/>
  <c r="BS15" i="33" s="1"/>
  <c r="BS48" i="33" s="1"/>
  <c r="O767" i="25"/>
  <c r="P767" i="25" s="1"/>
  <c r="BP39" i="34" s="1"/>
  <c r="BO42" i="34" s="1"/>
  <c r="O722" i="25"/>
  <c r="P722" i="25" s="1"/>
  <c r="BO16" i="34" s="1"/>
  <c r="BN21" i="34" s="1"/>
  <c r="CC16" i="2"/>
  <c r="BR4" i="33" s="1"/>
  <c r="BR37" i="33" s="1"/>
  <c r="CI13" i="2"/>
  <c r="CJ15" i="2"/>
  <c r="CI14" i="2"/>
  <c r="CF20" i="2"/>
  <c r="BU8" i="33" s="1"/>
  <c r="BU41" i="33" s="1"/>
  <c r="O828" i="25"/>
  <c r="P828" i="25" s="1"/>
  <c r="CF35" i="2"/>
  <c r="BU22" i="33" s="1"/>
  <c r="BU55" i="33" s="1"/>
  <c r="O843" i="25"/>
  <c r="P843" i="25" s="1"/>
  <c r="O846" i="25"/>
  <c r="P846" i="25" s="1"/>
  <c r="O831" i="25"/>
  <c r="P831" i="25" s="1"/>
  <c r="CF30" i="2"/>
  <c r="BU18" i="33" s="1"/>
  <c r="BU51" i="33" s="1"/>
  <c r="O838" i="25"/>
  <c r="P838" i="25" s="1"/>
  <c r="CF33" i="2"/>
  <c r="BU21" i="33" s="1"/>
  <c r="O841" i="25"/>
  <c r="P841" i="25" s="1"/>
  <c r="O839" i="25"/>
  <c r="P839" i="25" s="1"/>
  <c r="O833" i="25"/>
  <c r="P833" i="25" s="1"/>
  <c r="CE18" i="2"/>
  <c r="BT6" i="33" s="1"/>
  <c r="BT39" i="33" s="1"/>
  <c r="O792" i="25"/>
  <c r="P792" i="25" s="1"/>
  <c r="CE32" i="2"/>
  <c r="BT20" i="33" s="1"/>
  <c r="BT53" i="33" s="1"/>
  <c r="O806" i="25"/>
  <c r="P806" i="25" s="1"/>
  <c r="BQ48" i="34" s="1"/>
  <c r="BP55" i="34" s="1"/>
  <c r="CE19" i="2"/>
  <c r="BT7" i="33" s="1"/>
  <c r="BT40" i="33" s="1"/>
  <c r="O793" i="25"/>
  <c r="P793" i="25" s="1"/>
  <c r="O800" i="25"/>
  <c r="P800" i="25" s="1"/>
  <c r="BQ29" i="34" s="1"/>
  <c r="CE37" i="2"/>
  <c r="BT25" i="33" s="1"/>
  <c r="BT58" i="33" s="1"/>
  <c r="O811" i="25"/>
  <c r="P811" i="25" s="1"/>
  <c r="CE34" i="2"/>
  <c r="BT23" i="33" s="1"/>
  <c r="BT56" i="33" s="1"/>
  <c r="O808" i="25"/>
  <c r="P808" i="25" s="1"/>
  <c r="CE40" i="2"/>
  <c r="BT28" i="33" s="1"/>
  <c r="BT61" i="33" s="1"/>
  <c r="O814" i="25"/>
  <c r="P814" i="25" s="1"/>
  <c r="BQ67" i="34" s="1"/>
  <c r="BP70" i="34" s="1"/>
  <c r="CE28" i="2"/>
  <c r="BT16" i="33" s="1"/>
  <c r="BT49" i="33" s="1"/>
  <c r="O802" i="25"/>
  <c r="P802" i="25" s="1"/>
  <c r="BQ40" i="34" s="1"/>
  <c r="BP43" i="34" s="1"/>
  <c r="CD41" i="2"/>
  <c r="BS30" i="33" s="1"/>
  <c r="BS63" i="33" s="1"/>
  <c r="O781" i="25"/>
  <c r="P781" i="25" s="1"/>
  <c r="O769" i="25"/>
  <c r="P769" i="25" s="1"/>
  <c r="BP45" i="34" s="1"/>
  <c r="BO52" i="34" s="1"/>
  <c r="BS40" i="33"/>
  <c r="CD29" i="2"/>
  <c r="BR31" i="33"/>
  <c r="BR63" i="33"/>
  <c r="BR17" i="33"/>
  <c r="BR50" i="33" s="1"/>
  <c r="BU54" i="33" l="1"/>
  <c r="BP34" i="34"/>
  <c r="BR51" i="34"/>
  <c r="BQ58" i="34" s="1"/>
  <c r="BQ50" i="34"/>
  <c r="BP57" i="34" s="1"/>
  <c r="BP65" i="34"/>
  <c r="BO68" i="34" s="1"/>
  <c r="CE38" i="2"/>
  <c r="BT26" i="33" s="1"/>
  <c r="BT59" i="33" s="1"/>
  <c r="BQ61" i="34"/>
  <c r="BP63" i="34" s="1"/>
  <c r="BR46" i="34"/>
  <c r="BQ53" i="34" s="1"/>
  <c r="BR20" i="34"/>
  <c r="BQ25" i="34" s="1"/>
  <c r="BQ47" i="34"/>
  <c r="BP54" i="34" s="1"/>
  <c r="CF31" i="2"/>
  <c r="BU19" i="33" s="1"/>
  <c r="BU52" i="33" s="1"/>
  <c r="CE36" i="2"/>
  <c r="BT24" i="33" s="1"/>
  <c r="BT57" i="33" s="1"/>
  <c r="BP18" i="34"/>
  <c r="BO23" i="34" s="1"/>
  <c r="CE26" i="2"/>
  <c r="BT14" i="33" s="1"/>
  <c r="BT47" i="33" s="1"/>
  <c r="CF25" i="2"/>
  <c r="BU13" i="33" s="1"/>
  <c r="BU46" i="33" s="1"/>
  <c r="CF23" i="2"/>
  <c r="BU11" i="33" s="1"/>
  <c r="BU44" i="33" s="1"/>
  <c r="BP60" i="34"/>
  <c r="BO62" i="34" s="1"/>
  <c r="BQ31" i="34"/>
  <c r="BP36" i="34" s="1"/>
  <c r="BP38" i="34"/>
  <c r="BO41" i="34" s="1"/>
  <c r="BP71" i="34"/>
  <c r="BO72" i="34" s="1"/>
  <c r="D732" i="25"/>
  <c r="D730" i="25"/>
  <c r="D744" i="25"/>
  <c r="D726" i="25"/>
  <c r="D740" i="25"/>
  <c r="D737" i="25"/>
  <c r="D746" i="25"/>
  <c r="D741" i="25"/>
  <c r="D736" i="25"/>
  <c r="D725" i="25"/>
  <c r="D731" i="25"/>
  <c r="D727" i="25"/>
  <c r="BP30" i="34"/>
  <c r="BO35" i="34" s="1"/>
  <c r="CE24" i="2"/>
  <c r="BT12" i="33" s="1"/>
  <c r="BT45" i="33" s="1"/>
  <c r="O798" i="25"/>
  <c r="P798" i="25" s="1"/>
  <c r="O844" i="25"/>
  <c r="P844" i="25" s="1"/>
  <c r="BR49" i="34" s="1"/>
  <c r="BQ56" i="34" s="1"/>
  <c r="D742" i="25"/>
  <c r="D728" i="25"/>
  <c r="D735" i="25"/>
  <c r="D738" i="25"/>
  <c r="D745" i="25"/>
  <c r="D723" i="25"/>
  <c r="D724" i="25"/>
  <c r="D734" i="25"/>
  <c r="D739" i="25"/>
  <c r="D729" i="25"/>
  <c r="D722" i="25"/>
  <c r="D733" i="25"/>
  <c r="BP28" i="34"/>
  <c r="BO33" i="34" s="1"/>
  <c r="CE22" i="2"/>
  <c r="BT10" i="33" s="1"/>
  <c r="BT43" i="33" s="1"/>
  <c r="O796" i="25"/>
  <c r="P796" i="25" s="1"/>
  <c r="BQ19" i="34" s="1"/>
  <c r="BP24" i="34" s="1"/>
  <c r="BP17" i="34"/>
  <c r="BO22" i="34" s="1"/>
  <c r="O791" i="25"/>
  <c r="P791" i="25" s="1"/>
  <c r="CE17" i="2"/>
  <c r="BT5" i="33" s="1"/>
  <c r="BT38" i="33" s="1"/>
  <c r="CD16" i="2"/>
  <c r="BS4" i="33" s="1"/>
  <c r="BS37" i="33" s="1"/>
  <c r="O756" i="25"/>
  <c r="P756" i="25" s="1"/>
  <c r="BP16" i="34" s="1"/>
  <c r="BO21" i="34" s="1"/>
  <c r="D743" i="25"/>
  <c r="O795" i="25"/>
  <c r="P795" i="25" s="1"/>
  <c r="BQ27" i="34" s="1"/>
  <c r="BP32" i="34" s="1"/>
  <c r="CE21" i="2"/>
  <c r="BT9" i="33" s="1"/>
  <c r="BT42" i="33" s="1"/>
  <c r="O813" i="25"/>
  <c r="P813" i="25" s="1"/>
  <c r="BQ66" i="34" s="1"/>
  <c r="BP69" i="34" s="1"/>
  <c r="CE39" i="2"/>
  <c r="BT27" i="33" s="1"/>
  <c r="BT60" i="33" s="1"/>
  <c r="CE27" i="2"/>
  <c r="BT15" i="33" s="1"/>
  <c r="BT48" i="33" s="1"/>
  <c r="O801" i="25"/>
  <c r="P801" i="25" s="1"/>
  <c r="BQ39" i="34" s="1"/>
  <c r="BP42" i="34" s="1"/>
  <c r="CJ13" i="2"/>
  <c r="CK15" i="2"/>
  <c r="CJ14" i="2"/>
  <c r="O873" i="25"/>
  <c r="P873" i="25" s="1"/>
  <c r="CG30" i="2"/>
  <c r="BV18" i="33" s="1"/>
  <c r="BV51" i="33" s="1"/>
  <c r="O872" i="25"/>
  <c r="P872" i="25" s="1"/>
  <c r="O880" i="25"/>
  <c r="P880" i="25" s="1"/>
  <c r="CG20" i="2"/>
  <c r="BV8" i="33" s="1"/>
  <c r="BV41" i="33" s="1"/>
  <c r="O862" i="25"/>
  <c r="P862" i="25" s="1"/>
  <c r="O867" i="25"/>
  <c r="P867" i="25" s="1"/>
  <c r="CG33" i="2"/>
  <c r="O875" i="25"/>
  <c r="P875" i="25" s="1"/>
  <c r="O865" i="25"/>
  <c r="P865" i="25" s="1"/>
  <c r="CG35" i="2"/>
  <c r="BV22" i="33" s="1"/>
  <c r="BV55" i="33" s="1"/>
  <c r="O877" i="25"/>
  <c r="P877" i="25" s="1"/>
  <c r="BS51" i="34" s="1"/>
  <c r="CF28" i="2"/>
  <c r="O836" i="25"/>
  <c r="P836" i="25" s="1"/>
  <c r="BR40" i="34" s="1"/>
  <c r="BQ43" i="34" s="1"/>
  <c r="CF37" i="2"/>
  <c r="BU25" i="33" s="1"/>
  <c r="BU58" i="33" s="1"/>
  <c r="O845" i="25"/>
  <c r="P845" i="25" s="1"/>
  <c r="CF19" i="2"/>
  <c r="BU7" i="33" s="1"/>
  <c r="BU40" i="33" s="1"/>
  <c r="O827" i="25"/>
  <c r="P827" i="25" s="1"/>
  <c r="O826" i="25"/>
  <c r="P826" i="25" s="1"/>
  <c r="CF40" i="2"/>
  <c r="BU28" i="33" s="1"/>
  <c r="BU61" i="33" s="1"/>
  <c r="O848" i="25"/>
  <c r="P848" i="25" s="1"/>
  <c r="BR67" i="34" s="1"/>
  <c r="BQ70" i="34" s="1"/>
  <c r="CF34" i="2"/>
  <c r="O842" i="25"/>
  <c r="P842" i="25" s="1"/>
  <c r="O834" i="25"/>
  <c r="P834" i="25" s="1"/>
  <c r="CF32" i="2"/>
  <c r="BU20" i="33" s="1"/>
  <c r="BU53" i="33" s="1"/>
  <c r="O840" i="25"/>
  <c r="P840" i="25" s="1"/>
  <c r="BR48" i="34" s="1"/>
  <c r="BQ55" i="34" s="1"/>
  <c r="O803" i="25"/>
  <c r="P803" i="25" s="1"/>
  <c r="BQ45" i="34" s="1"/>
  <c r="BP52" i="34" s="1"/>
  <c r="CE41" i="2"/>
  <c r="BT30" i="33" s="1"/>
  <c r="O815" i="25"/>
  <c r="P815" i="25" s="1"/>
  <c r="BS31" i="33"/>
  <c r="CE29" i="2"/>
  <c r="BS17" i="33"/>
  <c r="BS50" i="33" s="1"/>
  <c r="BR58" i="34" l="1"/>
  <c r="BR50" i="34"/>
  <c r="BQ57" i="34" s="1"/>
  <c r="CF18" i="2"/>
  <c r="BU6" i="33" s="1"/>
  <c r="BU39" i="33" s="1"/>
  <c r="BR61" i="34"/>
  <c r="BQ63" i="34" s="1"/>
  <c r="BS20" i="34"/>
  <c r="BR25" i="34" s="1"/>
  <c r="BQ60" i="34"/>
  <c r="BP62" i="34" s="1"/>
  <c r="BQ38" i="34"/>
  <c r="BP41" i="34" s="1"/>
  <c r="BR47" i="34"/>
  <c r="BQ54" i="34" s="1"/>
  <c r="BQ65" i="34"/>
  <c r="BP68" i="34" s="1"/>
  <c r="CF38" i="2"/>
  <c r="BU26" i="33" s="1"/>
  <c r="BU59" i="33" s="1"/>
  <c r="BQ18" i="34"/>
  <c r="BP23" i="34" s="1"/>
  <c r="BS46" i="34"/>
  <c r="BR53" i="34" s="1"/>
  <c r="BR29" i="34"/>
  <c r="BQ34" i="34" s="1"/>
  <c r="CF26" i="2"/>
  <c r="BU14" i="33" s="1"/>
  <c r="BU47" i="33" s="1"/>
  <c r="CG23" i="2"/>
  <c r="BV11" i="33" s="1"/>
  <c r="BV44" i="33" s="1"/>
  <c r="CG25" i="2"/>
  <c r="BV13" i="33" s="1"/>
  <c r="BV46" i="33" s="1"/>
  <c r="CG31" i="2"/>
  <c r="BV19" i="33" s="1"/>
  <c r="BV52" i="33" s="1"/>
  <c r="CF36" i="2"/>
  <c r="BU24" i="33" s="1"/>
  <c r="BU57" i="33" s="1"/>
  <c r="BR31" i="34"/>
  <c r="BQ36" i="34" s="1"/>
  <c r="BQ71" i="34"/>
  <c r="BP72" i="34" s="1"/>
  <c r="BQ30" i="34"/>
  <c r="BP35" i="34" s="1"/>
  <c r="CF24" i="2"/>
  <c r="BU12" i="33" s="1"/>
  <c r="BU45" i="33" s="1"/>
  <c r="O832" i="25"/>
  <c r="P832" i="25" s="1"/>
  <c r="D771" i="25"/>
  <c r="O878" i="25"/>
  <c r="P878" i="25" s="1"/>
  <c r="BS49" i="34" s="1"/>
  <c r="BR56" i="34" s="1"/>
  <c r="D761" i="25"/>
  <c r="D775" i="25"/>
  <c r="D757" i="25"/>
  <c r="D766" i="25"/>
  <c r="D776" i="25"/>
  <c r="D765" i="25"/>
  <c r="D762" i="25"/>
  <c r="D760" i="25"/>
  <c r="D759" i="25"/>
  <c r="D777" i="25"/>
  <c r="D772" i="25"/>
  <c r="D778" i="25"/>
  <c r="D758" i="25"/>
  <c r="D768" i="25"/>
  <c r="D770" i="25"/>
  <c r="D774" i="25"/>
  <c r="D773" i="25"/>
  <c r="D767" i="25"/>
  <c r="D763" i="25"/>
  <c r="D779" i="25"/>
  <c r="D756" i="25"/>
  <c r="D769" i="25"/>
  <c r="D780" i="25"/>
  <c r="D764" i="25"/>
  <c r="BQ28" i="34"/>
  <c r="BP33" i="34" s="1"/>
  <c r="CF22" i="2"/>
  <c r="BU10" i="33" s="1"/>
  <c r="BU43" i="33" s="1"/>
  <c r="O830" i="25"/>
  <c r="P830" i="25" s="1"/>
  <c r="BR19" i="34" s="1"/>
  <c r="BQ24" i="34" s="1"/>
  <c r="BQ17" i="34"/>
  <c r="BP22" i="34" s="1"/>
  <c r="CF17" i="2"/>
  <c r="BU5" i="33" s="1"/>
  <c r="BU38" i="33" s="1"/>
  <c r="O825" i="25"/>
  <c r="P825" i="25" s="1"/>
  <c r="CE16" i="2"/>
  <c r="BT4" i="33" s="1"/>
  <c r="BT37" i="33" s="1"/>
  <c r="O790" i="25"/>
  <c r="P790" i="25" s="1"/>
  <c r="BQ16" i="34" s="1"/>
  <c r="BP21" i="34" s="1"/>
  <c r="O829" i="25"/>
  <c r="P829" i="25" s="1"/>
  <c r="CF21" i="2"/>
  <c r="BU9" i="33" s="1"/>
  <c r="BU42" i="33" s="1"/>
  <c r="CF27" i="2"/>
  <c r="BU15" i="33" s="1"/>
  <c r="BU48" i="33" s="1"/>
  <c r="O835" i="25"/>
  <c r="P835" i="25" s="1"/>
  <c r="BR39" i="34" s="1"/>
  <c r="BQ42" i="34" s="1"/>
  <c r="O847" i="25"/>
  <c r="P847" i="25" s="1"/>
  <c r="BR66" i="34" s="1"/>
  <c r="BQ69" i="34" s="1"/>
  <c r="CF39" i="2"/>
  <c r="BU27" i="33" s="1"/>
  <c r="BU60" i="33" s="1"/>
  <c r="CK13" i="2"/>
  <c r="CK14" i="2"/>
  <c r="CL15" i="2"/>
  <c r="CH35" i="2"/>
  <c r="BW22" i="33" s="1"/>
  <c r="BW55" i="33" s="1"/>
  <c r="O911" i="25"/>
  <c r="P911" i="25" s="1"/>
  <c r="O901" i="25"/>
  <c r="P901" i="25" s="1"/>
  <c r="O914" i="25"/>
  <c r="P914" i="25" s="1"/>
  <c r="CH30" i="2"/>
  <c r="BW18" i="33" s="1"/>
  <c r="BW51" i="33" s="1"/>
  <c r="O906" i="25"/>
  <c r="P906" i="25" s="1"/>
  <c r="O899" i="25"/>
  <c r="P899" i="25" s="1"/>
  <c r="O909" i="25"/>
  <c r="P909" i="25" s="1"/>
  <c r="CH20" i="2"/>
  <c r="O896" i="25"/>
  <c r="P896" i="25" s="1"/>
  <c r="O907" i="25"/>
  <c r="P907" i="25" s="1"/>
  <c r="CG34" i="2"/>
  <c r="BV23" i="33" s="1"/>
  <c r="O876" i="25"/>
  <c r="P876" i="25" s="1"/>
  <c r="CH31" i="2" s="1"/>
  <c r="BW19" i="33" s="1"/>
  <c r="CG37" i="2"/>
  <c r="BV25" i="33" s="1"/>
  <c r="BV58" i="33" s="1"/>
  <c r="O879" i="25"/>
  <c r="P879" i="25" s="1"/>
  <c r="CG28" i="2"/>
  <c r="BV16" i="33" s="1"/>
  <c r="O870" i="25"/>
  <c r="P870" i="25" s="1"/>
  <c r="BS40" i="34" s="1"/>
  <c r="BR43" i="34" s="1"/>
  <c r="CG32" i="2"/>
  <c r="BV20" i="33" s="1"/>
  <c r="BV53" i="33" s="1"/>
  <c r="O874" i="25"/>
  <c r="P874" i="25" s="1"/>
  <c r="BS48" i="34" s="1"/>
  <c r="BR55" i="34" s="1"/>
  <c r="O868" i="25"/>
  <c r="P868" i="25" s="1"/>
  <c r="BS29" i="34" s="1"/>
  <c r="CG40" i="2"/>
  <c r="O882" i="25"/>
  <c r="P882" i="25" s="1"/>
  <c r="BS67" i="34" s="1"/>
  <c r="BR70" i="34" s="1"/>
  <c r="O861" i="25"/>
  <c r="P861" i="25" s="1"/>
  <c r="BV21" i="33"/>
  <c r="BV54" i="33" s="1"/>
  <c r="CG18" i="2"/>
  <c r="BV6" i="33" s="1"/>
  <c r="BV39" i="33" s="1"/>
  <c r="O860" i="25"/>
  <c r="P860" i="25" s="1"/>
  <c r="BU23" i="33"/>
  <c r="BU56" i="33" s="1"/>
  <c r="BU16" i="33"/>
  <c r="BU49" i="33" s="1"/>
  <c r="CF29" i="2"/>
  <c r="BU17" i="33" s="1"/>
  <c r="O837" i="25"/>
  <c r="P837" i="25" s="1"/>
  <c r="BR45" i="34" s="1"/>
  <c r="BQ52" i="34" s="1"/>
  <c r="CF41" i="2"/>
  <c r="O849" i="25"/>
  <c r="P849" i="25" s="1"/>
  <c r="BT31" i="33"/>
  <c r="BT63" i="33"/>
  <c r="BT17" i="33"/>
  <c r="BT50" i="33" s="1"/>
  <c r="BT20" i="34" l="1"/>
  <c r="BS25" i="34" s="1"/>
  <c r="BW52" i="33"/>
  <c r="BR34" i="34"/>
  <c r="CH33" i="2"/>
  <c r="BW21" i="33" s="1"/>
  <c r="BR27" i="34"/>
  <c r="BQ32" i="34" s="1"/>
  <c r="BS50" i="34"/>
  <c r="BR57" i="34" s="1"/>
  <c r="CG19" i="2"/>
  <c r="BV7" i="33" s="1"/>
  <c r="BV40" i="33" s="1"/>
  <c r="CH25" i="2"/>
  <c r="BW13" i="33" s="1"/>
  <c r="BW46" i="33" s="1"/>
  <c r="CG26" i="2"/>
  <c r="BV14" i="33" s="1"/>
  <c r="BV47" i="33" s="1"/>
  <c r="CH23" i="2"/>
  <c r="BW11" i="33" s="1"/>
  <c r="BW44" i="33" s="1"/>
  <c r="BR60" i="34"/>
  <c r="BQ62" i="34" s="1"/>
  <c r="CG38" i="2"/>
  <c r="BV26" i="33" s="1"/>
  <c r="BV59" i="33" s="1"/>
  <c r="BR65" i="34"/>
  <c r="BQ68" i="34" s="1"/>
  <c r="BS61" i="34"/>
  <c r="BR63" i="34" s="1"/>
  <c r="BT46" i="34"/>
  <c r="BS53" i="34" s="1"/>
  <c r="BS47" i="34"/>
  <c r="BR54" i="34" s="1"/>
  <c r="BR18" i="34"/>
  <c r="BQ23" i="34" s="1"/>
  <c r="BR38" i="34"/>
  <c r="BQ41" i="34" s="1"/>
  <c r="BT51" i="34"/>
  <c r="BS58" i="34" s="1"/>
  <c r="CG36" i="2"/>
  <c r="BV24" i="33" s="1"/>
  <c r="BV57" i="33" s="1"/>
  <c r="BS31" i="34"/>
  <c r="BR36" i="34" s="1"/>
  <c r="BR71" i="34"/>
  <c r="BQ72" i="34" s="1"/>
  <c r="BR30" i="34"/>
  <c r="BQ35" i="34" s="1"/>
  <c r="CG24" i="2"/>
  <c r="BV12" i="33" s="1"/>
  <c r="BV45" i="33" s="1"/>
  <c r="O866" i="25"/>
  <c r="P866" i="25" s="1"/>
  <c r="D812" i="25"/>
  <c r="O912" i="25"/>
  <c r="P912" i="25" s="1"/>
  <c r="BT49" i="34" s="1"/>
  <c r="BS56" i="34" s="1"/>
  <c r="D793" i="25"/>
  <c r="D801" i="25"/>
  <c r="D792" i="25"/>
  <c r="D802" i="25"/>
  <c r="D809" i="25"/>
  <c r="D794" i="25"/>
  <c r="D803" i="25"/>
  <c r="D799" i="25"/>
  <c r="D795" i="25"/>
  <c r="D798" i="25"/>
  <c r="D805" i="25"/>
  <c r="D813" i="25"/>
  <c r="D814" i="25"/>
  <c r="D790" i="25"/>
  <c r="D791" i="25"/>
  <c r="D808" i="25"/>
  <c r="D811" i="25"/>
  <c r="D800" i="25"/>
  <c r="D804" i="25"/>
  <c r="D806" i="25"/>
  <c r="D797" i="25"/>
  <c r="D807" i="25"/>
  <c r="D796" i="25"/>
  <c r="D810" i="25"/>
  <c r="BR28" i="34"/>
  <c r="BQ33" i="34" s="1"/>
  <c r="CG22" i="2"/>
  <c r="BV10" i="33" s="1"/>
  <c r="BV43" i="33" s="1"/>
  <c r="O864" i="25"/>
  <c r="P864" i="25" s="1"/>
  <c r="BS19" i="34" s="1"/>
  <c r="BR24" i="34" s="1"/>
  <c r="BR17" i="34"/>
  <c r="BQ22" i="34" s="1"/>
  <c r="O859" i="25"/>
  <c r="P859" i="25" s="1"/>
  <c r="CG17" i="2"/>
  <c r="BV5" i="33" s="1"/>
  <c r="BV38" i="33" s="1"/>
  <c r="CG39" i="2"/>
  <c r="BV27" i="33" s="1"/>
  <c r="BV60" i="33" s="1"/>
  <c r="O881" i="25"/>
  <c r="P881" i="25" s="1"/>
  <c r="BS66" i="34" s="1"/>
  <c r="BR69" i="34" s="1"/>
  <c r="CF16" i="2"/>
  <c r="BU4" i="33" s="1"/>
  <c r="BU37" i="33" s="1"/>
  <c r="O824" i="25"/>
  <c r="P824" i="25" s="1"/>
  <c r="D825" i="25" s="1"/>
  <c r="CG27" i="2"/>
  <c r="BV15" i="33" s="1"/>
  <c r="BV48" i="33" s="1"/>
  <c r="O869" i="25"/>
  <c r="P869" i="25" s="1"/>
  <c r="BS39" i="34" s="1"/>
  <c r="BR42" i="34" s="1"/>
  <c r="O863" i="25"/>
  <c r="P863" i="25" s="1"/>
  <c r="CG21" i="2"/>
  <c r="BV9" i="33" s="1"/>
  <c r="BV42" i="33" s="1"/>
  <c r="CM15" i="2"/>
  <c r="CL13" i="2"/>
  <c r="CL14" i="2"/>
  <c r="O943" i="25"/>
  <c r="P943" i="25" s="1"/>
  <c r="O948" i="25"/>
  <c r="P948" i="25" s="1"/>
  <c r="O941" i="25"/>
  <c r="P941" i="25" s="1"/>
  <c r="CI20" i="2"/>
  <c r="BX8" i="33" s="1"/>
  <c r="O930" i="25"/>
  <c r="P930" i="25" s="1"/>
  <c r="O933" i="25"/>
  <c r="P933" i="25" s="1"/>
  <c r="CI30" i="2"/>
  <c r="BX18" i="33" s="1"/>
  <c r="BX51" i="33" s="1"/>
  <c r="O940" i="25"/>
  <c r="P940" i="25" s="1"/>
  <c r="O935" i="25"/>
  <c r="P935" i="25" s="1"/>
  <c r="CI35" i="2"/>
  <c r="BX22" i="33" s="1"/>
  <c r="BX55" i="33" s="1"/>
  <c r="O945" i="25"/>
  <c r="P945" i="25" s="1"/>
  <c r="BW8" i="33"/>
  <c r="BW41" i="33" s="1"/>
  <c r="CH32" i="2"/>
  <c r="BW20" i="33" s="1"/>
  <c r="BW53" i="33" s="1"/>
  <c r="O908" i="25"/>
  <c r="P908" i="25" s="1"/>
  <c r="BT48" i="34" s="1"/>
  <c r="BS55" i="34" s="1"/>
  <c r="CH19" i="2"/>
  <c r="BW7" i="33" s="1"/>
  <c r="O895" i="25"/>
  <c r="P895" i="25" s="1"/>
  <c r="O902" i="25"/>
  <c r="P902" i="25" s="1"/>
  <c r="CI23" i="2" s="1"/>
  <c r="BX11" i="33" s="1"/>
  <c r="CH37" i="2"/>
  <c r="BW25" i="33" s="1"/>
  <c r="BW58" i="33" s="1"/>
  <c r="O913" i="25"/>
  <c r="P913" i="25" s="1"/>
  <c r="CH18" i="2"/>
  <c r="O894" i="25"/>
  <c r="P894" i="25" s="1"/>
  <c r="CH40" i="2"/>
  <c r="O916" i="25"/>
  <c r="P916" i="25" s="1"/>
  <c r="BT67" i="34" s="1"/>
  <c r="BS70" i="34" s="1"/>
  <c r="CH28" i="2"/>
  <c r="BW16" i="33" s="1"/>
  <c r="BW49" i="33" s="1"/>
  <c r="O904" i="25"/>
  <c r="P904" i="25" s="1"/>
  <c r="BT40" i="34" s="1"/>
  <c r="BS43" i="34" s="1"/>
  <c r="CH34" i="2"/>
  <c r="BW23" i="33" s="1"/>
  <c r="BW56" i="33" s="1"/>
  <c r="O910" i="25"/>
  <c r="P910" i="25" s="1"/>
  <c r="BT50" i="34" s="1"/>
  <c r="BS57" i="34" s="1"/>
  <c r="BW54" i="33"/>
  <c r="BV28" i="33"/>
  <c r="BV61" i="33" s="1"/>
  <c r="CG41" i="2"/>
  <c r="BV30" i="33" s="1"/>
  <c r="O883" i="25"/>
  <c r="P883" i="25" s="1"/>
  <c r="CG29" i="2"/>
  <c r="O871" i="25"/>
  <c r="P871" i="25" s="1"/>
  <c r="BS45" i="34" s="1"/>
  <c r="BR52" i="34" s="1"/>
  <c r="BV56" i="33"/>
  <c r="BV49" i="33"/>
  <c r="BU30" i="33"/>
  <c r="BU31" i="33" s="1"/>
  <c r="BU50" i="33"/>
  <c r="BX44" i="33" l="1"/>
  <c r="BU46" i="34"/>
  <c r="BT53" i="34" s="1"/>
  <c r="BS27" i="34"/>
  <c r="BR32" i="34" s="1"/>
  <c r="CI33" i="2"/>
  <c r="BX21" i="33" s="1"/>
  <c r="BX54" i="33" s="1"/>
  <c r="BW40" i="33"/>
  <c r="BU51" i="34"/>
  <c r="BT58" i="34" s="1"/>
  <c r="BU20" i="34"/>
  <c r="BT25" i="34" s="1"/>
  <c r="CI25" i="2"/>
  <c r="BX13" i="33" s="1"/>
  <c r="BX46" i="33" s="1"/>
  <c r="CH26" i="2"/>
  <c r="BW14" i="33" s="1"/>
  <c r="BW47" i="33" s="1"/>
  <c r="CH36" i="2"/>
  <c r="BW24" i="33" s="1"/>
  <c r="BW57" i="33" s="1"/>
  <c r="BS38" i="34"/>
  <c r="BR41" i="34" s="1"/>
  <c r="BT47" i="34"/>
  <c r="BS54" i="34" s="1"/>
  <c r="BS65" i="34"/>
  <c r="BR68" i="34" s="1"/>
  <c r="CH38" i="2"/>
  <c r="BW26" i="33" s="1"/>
  <c r="BW59" i="33" s="1"/>
  <c r="BT61" i="34"/>
  <c r="BS63" i="34" s="1"/>
  <c r="CI31" i="2"/>
  <c r="BX19" i="33" s="1"/>
  <c r="BX52" i="33" s="1"/>
  <c r="BS60" i="34"/>
  <c r="BR62" i="34" s="1"/>
  <c r="BT31" i="34"/>
  <c r="BS36" i="34" s="1"/>
  <c r="BT29" i="34"/>
  <c r="BS34" i="34" s="1"/>
  <c r="BS18" i="34"/>
  <c r="BR23" i="34" s="1"/>
  <c r="BS71" i="34"/>
  <c r="BR72" i="34" s="1"/>
  <c r="D847" i="25"/>
  <c r="BS30" i="34"/>
  <c r="BR35" i="34" s="1"/>
  <c r="CH24" i="2"/>
  <c r="BW12" i="33" s="1"/>
  <c r="BW45" i="33" s="1"/>
  <c r="O900" i="25"/>
  <c r="P900" i="25" s="1"/>
  <c r="O946" i="25"/>
  <c r="P946" i="25" s="1"/>
  <c r="BU49" i="34" s="1"/>
  <c r="BT56" i="34" s="1"/>
  <c r="BS28" i="34"/>
  <c r="BR33" i="34" s="1"/>
  <c r="CH22" i="2"/>
  <c r="BW10" i="33" s="1"/>
  <c r="BW43" i="33" s="1"/>
  <c r="O898" i="25"/>
  <c r="P898" i="25" s="1"/>
  <c r="BT19" i="34" s="1"/>
  <c r="BS24" i="34" s="1"/>
  <c r="BS17" i="34"/>
  <c r="BR22" i="34" s="1"/>
  <c r="CH17" i="2"/>
  <c r="BW5" i="33" s="1"/>
  <c r="BW38" i="33" s="1"/>
  <c r="O893" i="25"/>
  <c r="P893" i="25" s="1"/>
  <c r="D830" i="25"/>
  <c r="BR16" i="34"/>
  <c r="BQ21" i="34" s="1"/>
  <c r="D837" i="25"/>
  <c r="D845" i="25"/>
  <c r="D831" i="25"/>
  <c r="D848" i="25"/>
  <c r="D843" i="25"/>
  <c r="D833" i="25"/>
  <c r="D824" i="25"/>
  <c r="D844" i="25"/>
  <c r="D841" i="25"/>
  <c r="D827" i="25"/>
  <c r="D834" i="25"/>
  <c r="D835" i="25"/>
  <c r="D836" i="25"/>
  <c r="D842" i="25"/>
  <c r="D829" i="25"/>
  <c r="D828" i="25"/>
  <c r="D832" i="25"/>
  <c r="D839" i="25"/>
  <c r="D838" i="25"/>
  <c r="D840" i="25"/>
  <c r="D846" i="25"/>
  <c r="D826" i="25"/>
  <c r="CH21" i="2"/>
  <c r="BW9" i="33" s="1"/>
  <c r="BW42" i="33" s="1"/>
  <c r="O897" i="25"/>
  <c r="P897" i="25" s="1"/>
  <c r="CH39" i="2"/>
  <c r="BW27" i="33" s="1"/>
  <c r="BW60" i="33" s="1"/>
  <c r="O915" i="25"/>
  <c r="P915" i="25" s="1"/>
  <c r="BT66" i="34" s="1"/>
  <c r="BS69" i="34" s="1"/>
  <c r="CG16" i="2"/>
  <c r="BV4" i="33" s="1"/>
  <c r="BV37" i="33" s="1"/>
  <c r="O858" i="25"/>
  <c r="P858" i="25" s="1"/>
  <c r="BS16" i="34" s="1"/>
  <c r="CH27" i="2"/>
  <c r="BW15" i="33" s="1"/>
  <c r="BW48" i="33" s="1"/>
  <c r="O903" i="25"/>
  <c r="P903" i="25" s="1"/>
  <c r="BT39" i="34" s="1"/>
  <c r="BS42" i="34" s="1"/>
  <c r="CM13" i="2"/>
  <c r="CM14" i="2"/>
  <c r="CN15" i="2"/>
  <c r="CJ35" i="2"/>
  <c r="BY22" i="33" s="1"/>
  <c r="BY55" i="33" s="1"/>
  <c r="O979" i="25"/>
  <c r="P979" i="25" s="1"/>
  <c r="CJ30" i="2"/>
  <c r="BY18" i="33" s="1"/>
  <c r="BY51" i="33" s="1"/>
  <c r="O974" i="25"/>
  <c r="P974" i="25" s="1"/>
  <c r="CJ20" i="2"/>
  <c r="BY8" i="33" s="1"/>
  <c r="BY41" i="33" s="1"/>
  <c r="O964" i="25"/>
  <c r="P964" i="25" s="1"/>
  <c r="CJ33" i="2"/>
  <c r="BY21" i="33" s="1"/>
  <c r="O977" i="25"/>
  <c r="P977" i="25" s="1"/>
  <c r="O969" i="25"/>
  <c r="P969" i="25" s="1"/>
  <c r="O967" i="25"/>
  <c r="P967" i="25" s="1"/>
  <c r="O975" i="25"/>
  <c r="P975" i="25" s="1"/>
  <c r="O982" i="25"/>
  <c r="P982" i="25" s="1"/>
  <c r="CI34" i="2"/>
  <c r="BX23" i="33" s="1"/>
  <c r="BX56" i="33" s="1"/>
  <c r="O944" i="25"/>
  <c r="P944" i="25" s="1"/>
  <c r="BU47" i="34" s="1"/>
  <c r="CI40" i="2"/>
  <c r="BX28" i="33" s="1"/>
  <c r="O950" i="25"/>
  <c r="P950" i="25" s="1"/>
  <c r="BU67" i="34" s="1"/>
  <c r="BT70" i="34" s="1"/>
  <c r="CI18" i="2"/>
  <c r="BX6" i="33" s="1"/>
  <c r="O928" i="25"/>
  <c r="P928" i="25" s="1"/>
  <c r="CI37" i="2"/>
  <c r="BX25" i="33" s="1"/>
  <c r="BX58" i="33" s="1"/>
  <c r="O947" i="25"/>
  <c r="P947" i="25" s="1"/>
  <c r="BU61" i="34" s="1"/>
  <c r="BT63" i="34" s="1"/>
  <c r="O929" i="25"/>
  <c r="P929" i="25" s="1"/>
  <c r="CI28" i="2"/>
  <c r="BX16" i="33" s="1"/>
  <c r="BX49" i="33" s="1"/>
  <c r="O938" i="25"/>
  <c r="P938" i="25" s="1"/>
  <c r="BU40" i="34" s="1"/>
  <c r="BT43" i="34" s="1"/>
  <c r="O936" i="25"/>
  <c r="P936" i="25" s="1"/>
  <c r="CJ23" i="2" s="1"/>
  <c r="CI32" i="2"/>
  <c r="BX20" i="33" s="1"/>
  <c r="BX53" i="33" s="1"/>
  <c r="O942" i="25"/>
  <c r="P942" i="25" s="1"/>
  <c r="BU48" i="34" s="1"/>
  <c r="BT55" i="34" s="1"/>
  <c r="BX41" i="33"/>
  <c r="BV17" i="33"/>
  <c r="BV50" i="33" s="1"/>
  <c r="BW6" i="33"/>
  <c r="BW39" i="33" s="1"/>
  <c r="CH41" i="2"/>
  <c r="BW30" i="33" s="1"/>
  <c r="BW63" i="33" s="1"/>
  <c r="O917" i="25"/>
  <c r="P917" i="25" s="1"/>
  <c r="BW28" i="33"/>
  <c r="BW61" i="33" s="1"/>
  <c r="CH29" i="2"/>
  <c r="BW17" i="33" s="1"/>
  <c r="O905" i="25"/>
  <c r="P905" i="25" s="1"/>
  <c r="BT45" i="34" s="1"/>
  <c r="BS52" i="34" s="1"/>
  <c r="BV63" i="33"/>
  <c r="BV31" i="33"/>
  <c r="BU63" i="33"/>
  <c r="CI26" i="2" l="1"/>
  <c r="BX14" i="33" s="1"/>
  <c r="BX47" i="33" s="1"/>
  <c r="CI19" i="2"/>
  <c r="BX7" i="33" s="1"/>
  <c r="BX40" i="33" s="1"/>
  <c r="BT27" i="34"/>
  <c r="BS32" i="34" s="1"/>
  <c r="BY54" i="33"/>
  <c r="BT54" i="34"/>
  <c r="CJ31" i="2"/>
  <c r="BU50" i="34"/>
  <c r="BT57" i="34" s="1"/>
  <c r="BV20" i="34"/>
  <c r="BU25" i="34" s="1"/>
  <c r="BV51" i="34"/>
  <c r="BU58" i="34" s="1"/>
  <c r="CI36" i="2"/>
  <c r="BX24" i="33" s="1"/>
  <c r="BX57" i="33" s="1"/>
  <c r="BU29" i="34"/>
  <c r="BT34" i="34" s="1"/>
  <c r="CJ25" i="2"/>
  <c r="BY13" i="33" s="1"/>
  <c r="BY46" i="33" s="1"/>
  <c r="BT60" i="34"/>
  <c r="BS62" i="34" s="1"/>
  <c r="BT38" i="34"/>
  <c r="BS41" i="34" s="1"/>
  <c r="BU31" i="34"/>
  <c r="BT36" i="34" s="1"/>
  <c r="CI38" i="2"/>
  <c r="BX26" i="33" s="1"/>
  <c r="BX59" i="33" s="1"/>
  <c r="BT65" i="34"/>
  <c r="BS68" i="34" s="1"/>
  <c r="BV46" i="34"/>
  <c r="BU53" i="34" s="1"/>
  <c r="BT18" i="34"/>
  <c r="BS23" i="34" s="1"/>
  <c r="D877" i="25"/>
  <c r="D862" i="25"/>
  <c r="D860" i="25"/>
  <c r="D881" i="25"/>
  <c r="D874" i="25"/>
  <c r="D865" i="25"/>
  <c r="D879" i="25"/>
  <c r="D868" i="25"/>
  <c r="D871" i="25"/>
  <c r="D869" i="25"/>
  <c r="D878" i="25"/>
  <c r="D882" i="25"/>
  <c r="D864" i="25"/>
  <c r="D870" i="25"/>
  <c r="D861" i="25"/>
  <c r="D875" i="25"/>
  <c r="D859" i="25"/>
  <c r="D880" i="25"/>
  <c r="D876" i="25"/>
  <c r="D866" i="25"/>
  <c r="D867" i="25"/>
  <c r="D872" i="25"/>
  <c r="D863" i="25"/>
  <c r="BT71" i="34"/>
  <c r="BS72" i="34" s="1"/>
  <c r="BT30" i="34"/>
  <c r="BS35" i="34" s="1"/>
  <c r="CI24" i="2"/>
  <c r="BX12" i="33" s="1"/>
  <c r="BX45" i="33" s="1"/>
  <c r="O934" i="25"/>
  <c r="P934" i="25" s="1"/>
  <c r="O980" i="25"/>
  <c r="P980" i="25" s="1"/>
  <c r="BV49" i="34" s="1"/>
  <c r="BU56" i="34" s="1"/>
  <c r="D858" i="25"/>
  <c r="BR21" i="34"/>
  <c r="BT28" i="34"/>
  <c r="BS33" i="34" s="1"/>
  <c r="CI22" i="2"/>
  <c r="BX10" i="33" s="1"/>
  <c r="BX43" i="33" s="1"/>
  <c r="O932" i="25"/>
  <c r="P932" i="25" s="1"/>
  <c r="BU19" i="34" s="1"/>
  <c r="BT24" i="34" s="1"/>
  <c r="BT17" i="34"/>
  <c r="BS22" i="34" s="1"/>
  <c r="CI17" i="2"/>
  <c r="BX5" i="33" s="1"/>
  <c r="BX38" i="33" s="1"/>
  <c r="O927" i="25"/>
  <c r="P927" i="25" s="1"/>
  <c r="D873" i="25"/>
  <c r="O949" i="25"/>
  <c r="P949" i="25" s="1"/>
  <c r="BU66" i="34" s="1"/>
  <c r="BT69" i="34" s="1"/>
  <c r="CI39" i="2"/>
  <c r="BX27" i="33" s="1"/>
  <c r="BX60" i="33" s="1"/>
  <c r="CH16" i="2"/>
  <c r="BW4" i="33" s="1"/>
  <c r="BW37" i="33" s="1"/>
  <c r="O892" i="25"/>
  <c r="P892" i="25" s="1"/>
  <c r="BT16" i="34" s="1"/>
  <c r="BS21" i="34" s="1"/>
  <c r="O1003" i="25"/>
  <c r="P1003" i="25" s="1"/>
  <c r="O1016" i="25"/>
  <c r="P1016" i="25" s="1"/>
  <c r="O1001" i="25"/>
  <c r="P1001" i="25" s="1"/>
  <c r="O1011" i="25"/>
  <c r="P1011" i="25" s="1"/>
  <c r="O998" i="25"/>
  <c r="P998" i="25" s="1"/>
  <c r="O1013" i="25"/>
  <c r="P1013" i="25" s="1"/>
  <c r="BW51" i="34" s="1"/>
  <c r="CI27" i="2"/>
  <c r="BX15" i="33" s="1"/>
  <c r="BX48" i="33" s="1"/>
  <c r="O937" i="25"/>
  <c r="P937" i="25" s="1"/>
  <c r="BU39" i="34" s="1"/>
  <c r="BT42" i="34" s="1"/>
  <c r="O1009" i="25"/>
  <c r="P1009" i="25" s="1"/>
  <c r="O1008" i="25"/>
  <c r="P1008" i="25" s="1"/>
  <c r="O939" i="25"/>
  <c r="P939" i="25" s="1"/>
  <c r="BU45" i="34" s="1"/>
  <c r="BT52" i="34" s="1"/>
  <c r="O931" i="25"/>
  <c r="P931" i="25" s="1"/>
  <c r="BU27" i="34" s="1"/>
  <c r="BT32" i="34" s="1"/>
  <c r="CI21" i="2"/>
  <c r="BX9" i="33" s="1"/>
  <c r="BX42" i="33" s="1"/>
  <c r="CN13" i="2"/>
  <c r="CO15" i="2"/>
  <c r="CN14" i="2"/>
  <c r="CK30" i="2"/>
  <c r="CK20" i="2"/>
  <c r="BZ8" i="33" s="1"/>
  <c r="BZ41" i="33" s="1"/>
  <c r="CK35" i="2"/>
  <c r="BZ22" i="33" s="1"/>
  <c r="BZ55" i="33" s="1"/>
  <c r="BY11" i="33"/>
  <c r="BY44" i="33" s="1"/>
  <c r="O970" i="25"/>
  <c r="P970" i="25" s="1"/>
  <c r="CJ28" i="2"/>
  <c r="BY16" i="33" s="1"/>
  <c r="BY49" i="33" s="1"/>
  <c r="O972" i="25"/>
  <c r="P972" i="25" s="1"/>
  <c r="BV40" i="34" s="1"/>
  <c r="BU43" i="34" s="1"/>
  <c r="CJ37" i="2"/>
  <c r="BY25" i="33" s="1"/>
  <c r="BY58" i="33" s="1"/>
  <c r="O981" i="25"/>
  <c r="P981" i="25" s="1"/>
  <c r="CJ40" i="2"/>
  <c r="BY28" i="33" s="1"/>
  <c r="BY61" i="33" s="1"/>
  <c r="O984" i="25"/>
  <c r="P984" i="25" s="1"/>
  <c r="BV67" i="34" s="1"/>
  <c r="BU70" i="34" s="1"/>
  <c r="BY19" i="33"/>
  <c r="BY52" i="33" s="1"/>
  <c r="CJ32" i="2"/>
  <c r="BY20" i="33" s="1"/>
  <c r="BY53" i="33" s="1"/>
  <c r="O976" i="25"/>
  <c r="P976" i="25" s="1"/>
  <c r="BV48" i="34" s="1"/>
  <c r="BU55" i="34" s="1"/>
  <c r="O963" i="25"/>
  <c r="P963" i="25" s="1"/>
  <c r="O962" i="25"/>
  <c r="P962" i="25" s="1"/>
  <c r="CJ34" i="2"/>
  <c r="BY23" i="33" s="1"/>
  <c r="BY56" i="33" s="1"/>
  <c r="O978" i="25"/>
  <c r="P978" i="25" s="1"/>
  <c r="CI41" i="2"/>
  <c r="O951" i="25"/>
  <c r="P951" i="25" s="1"/>
  <c r="BX39" i="33"/>
  <c r="BX61" i="33"/>
  <c r="BW50" i="33"/>
  <c r="CI29" i="2"/>
  <c r="BW31" i="33"/>
  <c r="CJ19" i="2" l="1"/>
  <c r="BY7" i="33" s="1"/>
  <c r="BY40" i="33" s="1"/>
  <c r="D916" i="25"/>
  <c r="CJ18" i="2"/>
  <c r="BV61" i="34"/>
  <c r="BU63" i="34" s="1"/>
  <c r="BV50" i="34"/>
  <c r="BU57" i="34" s="1"/>
  <c r="CJ26" i="2"/>
  <c r="CK33" i="2"/>
  <c r="BZ21" i="33" s="1"/>
  <c r="BZ54" i="33" s="1"/>
  <c r="BV58" i="34"/>
  <c r="CK25" i="2"/>
  <c r="BZ13" i="33" s="1"/>
  <c r="BZ46" i="33" s="1"/>
  <c r="BW46" i="34"/>
  <c r="BV53" i="34" s="1"/>
  <c r="BU18" i="34"/>
  <c r="BT23" i="34" s="1"/>
  <c r="CJ38" i="2"/>
  <c r="BY26" i="33" s="1"/>
  <c r="BY59" i="33" s="1"/>
  <c r="BU65" i="34"/>
  <c r="BT68" i="34" s="1"/>
  <c r="CJ36" i="2"/>
  <c r="BY24" i="33" s="1"/>
  <c r="BY57" i="33" s="1"/>
  <c r="BV29" i="34"/>
  <c r="BU34" i="34" s="1"/>
  <c r="BV31" i="34"/>
  <c r="BU36" i="34" s="1"/>
  <c r="CK23" i="2"/>
  <c r="BZ11" i="33" s="1"/>
  <c r="CK31" i="2"/>
  <c r="BZ19" i="33" s="1"/>
  <c r="BZ52" i="33" s="1"/>
  <c r="BW20" i="34"/>
  <c r="BV25" i="34" s="1"/>
  <c r="BU60" i="34"/>
  <c r="BT62" i="34" s="1"/>
  <c r="BV47" i="34"/>
  <c r="BU54" i="34" s="1"/>
  <c r="BU38" i="34"/>
  <c r="BT41" i="34" s="1"/>
  <c r="D892" i="25"/>
  <c r="D914" i="25"/>
  <c r="D896" i="25"/>
  <c r="BU71" i="34"/>
  <c r="BT72" i="34" s="1"/>
  <c r="BU30" i="34"/>
  <c r="BT35" i="34" s="1"/>
  <c r="CJ24" i="2"/>
  <c r="BY12" i="33" s="1"/>
  <c r="BY45" i="33" s="1"/>
  <c r="O968" i="25"/>
  <c r="P968" i="25" s="1"/>
  <c r="CL30" i="2"/>
  <c r="CA18" i="33" s="1"/>
  <c r="O1014" i="25"/>
  <c r="P1014" i="25" s="1"/>
  <c r="BW49" i="34" s="1"/>
  <c r="BV56" i="34" s="1"/>
  <c r="D912" i="25"/>
  <c r="D905" i="25"/>
  <c r="D893" i="25"/>
  <c r="D904" i="25"/>
  <c r="D897" i="25"/>
  <c r="D895" i="25"/>
  <c r="D900" i="25"/>
  <c r="D911" i="25"/>
  <c r="D898" i="25"/>
  <c r="D902" i="25"/>
  <c r="D903" i="25"/>
  <c r="D901" i="25"/>
  <c r="D906" i="25"/>
  <c r="D907" i="25"/>
  <c r="D913" i="25"/>
  <c r="D899" i="25"/>
  <c r="D908" i="25"/>
  <c r="D909" i="25"/>
  <c r="D915" i="25"/>
  <c r="D894" i="25"/>
  <c r="D910" i="25"/>
  <c r="BU28" i="34"/>
  <c r="BT33" i="34" s="1"/>
  <c r="O966" i="25"/>
  <c r="P966" i="25" s="1"/>
  <c r="BV19" i="34" s="1"/>
  <c r="BU24" i="34" s="1"/>
  <c r="CJ22" i="2"/>
  <c r="BY10" i="33" s="1"/>
  <c r="BY43" i="33" s="1"/>
  <c r="CL35" i="2"/>
  <c r="CA22" i="33" s="1"/>
  <c r="CA55" i="33" s="1"/>
  <c r="O1047" i="25"/>
  <c r="P1047" i="25" s="1"/>
  <c r="O1050" i="25"/>
  <c r="P1050" i="25" s="1"/>
  <c r="O1045" i="25"/>
  <c r="P1045" i="25" s="1"/>
  <c r="BU17" i="34"/>
  <c r="BT22" i="34" s="1"/>
  <c r="O961" i="25"/>
  <c r="P961" i="25" s="1"/>
  <c r="CJ17" i="2"/>
  <c r="BY5" i="33" s="1"/>
  <c r="BY38" i="33" s="1"/>
  <c r="CJ29" i="2"/>
  <c r="BY17" i="33" s="1"/>
  <c r="O1035" i="25"/>
  <c r="P1035" i="25" s="1"/>
  <c r="O1043" i="25"/>
  <c r="P1043" i="25" s="1"/>
  <c r="CL20" i="2"/>
  <c r="CA8" i="33" s="1"/>
  <c r="CA41" i="33" s="1"/>
  <c r="O1037" i="25"/>
  <c r="P1037" i="25" s="1"/>
  <c r="O1032" i="25"/>
  <c r="P1032" i="25" s="1"/>
  <c r="BX20" i="34" s="1"/>
  <c r="O1015" i="25"/>
  <c r="P1015" i="25" s="1"/>
  <c r="O1004" i="25"/>
  <c r="P1004" i="25" s="1"/>
  <c r="O996" i="25"/>
  <c r="P996" i="25" s="1"/>
  <c r="O1018" i="25"/>
  <c r="P1018" i="25" s="1"/>
  <c r="BW67" i="34" s="1"/>
  <c r="BV70" i="34" s="1"/>
  <c r="O1006" i="25"/>
  <c r="P1006" i="25" s="1"/>
  <c r="BW40" i="34" s="1"/>
  <c r="BV43" i="34" s="1"/>
  <c r="O973" i="25"/>
  <c r="P973" i="25" s="1"/>
  <c r="BV45" i="34" s="1"/>
  <c r="BU52" i="34" s="1"/>
  <c r="CI16" i="2"/>
  <c r="BX4" i="33" s="1"/>
  <c r="BX37" i="33" s="1"/>
  <c r="O926" i="25"/>
  <c r="P926" i="25" s="1"/>
  <c r="BU16" i="34" s="1"/>
  <c r="BT21" i="34" s="1"/>
  <c r="O983" i="25"/>
  <c r="P983" i="25" s="1"/>
  <c r="BV66" i="34" s="1"/>
  <c r="BU69" i="34" s="1"/>
  <c r="CJ39" i="2"/>
  <c r="BY27" i="33" s="1"/>
  <c r="BY60" i="33" s="1"/>
  <c r="O1012" i="25"/>
  <c r="P1012" i="25" s="1"/>
  <c r="O997" i="25"/>
  <c r="P997" i="25" s="1"/>
  <c r="O1010" i="25"/>
  <c r="P1010" i="25" s="1"/>
  <c r="BW48" i="34" s="1"/>
  <c r="BV55" i="34" s="1"/>
  <c r="O1042" i="25"/>
  <c r="P1042" i="25" s="1"/>
  <c r="BX46" i="34" s="1"/>
  <c r="BW53" i="34" s="1"/>
  <c r="O965" i="25"/>
  <c r="P965" i="25" s="1"/>
  <c r="BV27" i="34" s="1"/>
  <c r="BU32" i="34" s="1"/>
  <c r="CJ21" i="2"/>
  <c r="BY9" i="33" s="1"/>
  <c r="BY42" i="33" s="1"/>
  <c r="CJ27" i="2"/>
  <c r="BY15" i="33" s="1"/>
  <c r="BY48" i="33" s="1"/>
  <c r="O971" i="25"/>
  <c r="P971" i="25" s="1"/>
  <c r="BV39" i="34" s="1"/>
  <c r="BU42" i="34" s="1"/>
  <c r="CO13" i="2"/>
  <c r="CP15" i="2"/>
  <c r="CO14" i="2"/>
  <c r="BZ18" i="33"/>
  <c r="CK40" i="2"/>
  <c r="CK28" i="2"/>
  <c r="BZ16" i="33" s="1"/>
  <c r="BZ49" i="33" s="1"/>
  <c r="CK34" i="2"/>
  <c r="CK19" i="2"/>
  <c r="BZ7" i="33" s="1"/>
  <c r="BZ40" i="33" s="1"/>
  <c r="CK32" i="2"/>
  <c r="CK37" i="2"/>
  <c r="BZ25" i="33" s="1"/>
  <c r="BZ58" i="33" s="1"/>
  <c r="BZ44" i="33"/>
  <c r="BY14" i="33"/>
  <c r="BY47" i="33" s="1"/>
  <c r="BY6" i="33"/>
  <c r="BY39" i="33" s="1"/>
  <c r="CK18" i="2"/>
  <c r="BZ6" i="33" s="1"/>
  <c r="CJ41" i="2"/>
  <c r="O985" i="25"/>
  <c r="P985" i="25" s="1"/>
  <c r="BX30" i="33"/>
  <c r="BX31" i="33" s="1"/>
  <c r="BX17" i="33"/>
  <c r="BX50" i="33" s="1"/>
  <c r="BW25" i="34" l="1"/>
  <c r="CK26" i="2"/>
  <c r="BZ14" i="33" s="1"/>
  <c r="BW61" i="34"/>
  <c r="BV63" i="34" s="1"/>
  <c r="BV65" i="34"/>
  <c r="BU68" i="34" s="1"/>
  <c r="CK38" i="2"/>
  <c r="BZ26" i="33" s="1"/>
  <c r="BZ59" i="33" s="1"/>
  <c r="BW50" i="34"/>
  <c r="BV57" i="34" s="1"/>
  <c r="CL33" i="2"/>
  <c r="CA21" i="33" s="1"/>
  <c r="CA54" i="33" s="1"/>
  <c r="BV18" i="34"/>
  <c r="BU23" i="34" s="1"/>
  <c r="CL25" i="2"/>
  <c r="CA13" i="33" s="1"/>
  <c r="CA46" i="33" s="1"/>
  <c r="BV60" i="34"/>
  <c r="BU62" i="34" s="1"/>
  <c r="BW47" i="34"/>
  <c r="BV54" i="34" s="1"/>
  <c r="BW29" i="34"/>
  <c r="BV34" i="34" s="1"/>
  <c r="CL31" i="2"/>
  <c r="CA19" i="33" s="1"/>
  <c r="CA52" i="33" s="1"/>
  <c r="BV38" i="34"/>
  <c r="BU41" i="34" s="1"/>
  <c r="BX51" i="34"/>
  <c r="BW58" i="34" s="1"/>
  <c r="CK36" i="2"/>
  <c r="BZ24" i="33" s="1"/>
  <c r="BZ57" i="33" s="1"/>
  <c r="CL23" i="2"/>
  <c r="CA11" i="33" s="1"/>
  <c r="CA44" i="33" s="1"/>
  <c r="BW31" i="34"/>
  <c r="BV36" i="34" s="1"/>
  <c r="BV71" i="34"/>
  <c r="BU72" i="34" s="1"/>
  <c r="O1069" i="25"/>
  <c r="P1069" i="25" s="1"/>
  <c r="BV30" i="34"/>
  <c r="BU35" i="34" s="1"/>
  <c r="O1002" i="25"/>
  <c r="P1002" i="25" s="1"/>
  <c r="CK24" i="2"/>
  <c r="BZ12" i="33" s="1"/>
  <c r="BZ45" i="33" s="1"/>
  <c r="O1048" i="25"/>
  <c r="P1048" i="25" s="1"/>
  <c r="BX49" i="34" s="1"/>
  <c r="BW56" i="34" s="1"/>
  <c r="O1081" i="25"/>
  <c r="P1081" i="25" s="1"/>
  <c r="CL34" i="2"/>
  <c r="CA23" i="33" s="1"/>
  <c r="CL37" i="2"/>
  <c r="CA25" i="33" s="1"/>
  <c r="CA58" i="33" s="1"/>
  <c r="O1052" i="25"/>
  <c r="P1052" i="25" s="1"/>
  <c r="BX67" i="34" s="1"/>
  <c r="BW70" i="34" s="1"/>
  <c r="O1066" i="25"/>
  <c r="P1066" i="25" s="1"/>
  <c r="O1031" i="25"/>
  <c r="P1031" i="25" s="1"/>
  <c r="CL40" i="2"/>
  <c r="CA28" i="33" s="1"/>
  <c r="CM20" i="2"/>
  <c r="CB8" i="33" s="1"/>
  <c r="CB41" i="33" s="1"/>
  <c r="CM35" i="2"/>
  <c r="CB22" i="33" s="1"/>
  <c r="CB55" i="33" s="1"/>
  <c r="O1077" i="25"/>
  <c r="P1077" i="25" s="1"/>
  <c r="BV28" i="34"/>
  <c r="BU33" i="34" s="1"/>
  <c r="CK22" i="2"/>
  <c r="BZ10" i="33" s="1"/>
  <c r="BZ43" i="33" s="1"/>
  <c r="O1000" i="25"/>
  <c r="P1000" i="25" s="1"/>
  <c r="BW19" i="34" s="1"/>
  <c r="BV24" i="34" s="1"/>
  <c r="O1044" i="25"/>
  <c r="P1044" i="25" s="1"/>
  <c r="BX48" i="34" s="1"/>
  <c r="BW55" i="34" s="1"/>
  <c r="O1084" i="25"/>
  <c r="P1084" i="25" s="1"/>
  <c r="CL32" i="2"/>
  <c r="CA20" i="33" s="1"/>
  <c r="O1040" i="25"/>
  <c r="P1040" i="25" s="1"/>
  <c r="BX40" i="34" s="1"/>
  <c r="BW43" i="34" s="1"/>
  <c r="CL28" i="2"/>
  <c r="CA16" i="33" s="1"/>
  <c r="CA49" i="33" s="1"/>
  <c r="O1049" i="25"/>
  <c r="P1049" i="25" s="1"/>
  <c r="O1079" i="25"/>
  <c r="P1079" i="25" s="1"/>
  <c r="BV17" i="34"/>
  <c r="BU22" i="34" s="1"/>
  <c r="CK17" i="2"/>
  <c r="BZ5" i="33" s="1"/>
  <c r="BZ38" i="33" s="1"/>
  <c r="O995" i="25"/>
  <c r="P995" i="25" s="1"/>
  <c r="O1030" i="25"/>
  <c r="P1030" i="25" s="1"/>
  <c r="O1071" i="25"/>
  <c r="P1071" i="25" s="1"/>
  <c r="O1046" i="25"/>
  <c r="P1046" i="25" s="1"/>
  <c r="CM30" i="2"/>
  <c r="CB18" i="33" s="1"/>
  <c r="CB51" i="33" s="1"/>
  <c r="O1038" i="25"/>
  <c r="P1038" i="25" s="1"/>
  <c r="O1076" i="25"/>
  <c r="P1076" i="25" s="1"/>
  <c r="O1005" i="25"/>
  <c r="P1005" i="25" s="1"/>
  <c r="BW39" i="34" s="1"/>
  <c r="BV42" i="34" s="1"/>
  <c r="CK27" i="2"/>
  <c r="BZ15" i="33" s="1"/>
  <c r="BZ48" i="33" s="1"/>
  <c r="O999" i="25"/>
  <c r="P999" i="25" s="1"/>
  <c r="BW27" i="34" s="1"/>
  <c r="BV32" i="34" s="1"/>
  <c r="CK21" i="2"/>
  <c r="BZ9" i="33" s="1"/>
  <c r="BZ42" i="33" s="1"/>
  <c r="D942" i="25"/>
  <c r="D932" i="25"/>
  <c r="D945" i="25"/>
  <c r="D928" i="25"/>
  <c r="D933" i="25"/>
  <c r="D943" i="25"/>
  <c r="D929" i="25"/>
  <c r="D930" i="25"/>
  <c r="CJ16" i="2"/>
  <c r="BY4" i="33" s="1"/>
  <c r="BY37" i="33" s="1"/>
  <c r="D939" i="25"/>
  <c r="D926" i="25"/>
  <c r="D931" i="25"/>
  <c r="D934" i="25"/>
  <c r="D944" i="25"/>
  <c r="D936" i="25"/>
  <c r="D940" i="25"/>
  <c r="D935" i="25"/>
  <c r="D950" i="25"/>
  <c r="O960" i="25"/>
  <c r="P960" i="25" s="1"/>
  <c r="BV16" i="34" s="1"/>
  <c r="BU21" i="34" s="1"/>
  <c r="D937" i="25"/>
  <c r="D946" i="25"/>
  <c r="D948" i="25"/>
  <c r="D941" i="25"/>
  <c r="D938" i="25"/>
  <c r="D947" i="25"/>
  <c r="D949" i="25"/>
  <c r="D927" i="25"/>
  <c r="O1007" i="25"/>
  <c r="P1007" i="25" s="1"/>
  <c r="BW45" i="34" s="1"/>
  <c r="BV52" i="34" s="1"/>
  <c r="CK29" i="2"/>
  <c r="BZ17" i="33" s="1"/>
  <c r="BZ50" i="33" s="1"/>
  <c r="O1019" i="25"/>
  <c r="P1019" i="25" s="1"/>
  <c r="O1017" i="25"/>
  <c r="P1017" i="25" s="1"/>
  <c r="BW66" i="34" s="1"/>
  <c r="BV69" i="34" s="1"/>
  <c r="CK39" i="2"/>
  <c r="BZ27" i="33" s="1"/>
  <c r="BZ60" i="33" s="1"/>
  <c r="CP14" i="2"/>
  <c r="CQ15" i="2"/>
  <c r="CR15" i="2" s="1"/>
  <c r="CP13" i="2"/>
  <c r="O1103" i="25"/>
  <c r="P1103" i="25" s="1"/>
  <c r="BZ51" i="33"/>
  <c r="CA51" i="33"/>
  <c r="BX63" i="33"/>
  <c r="BZ23" i="33"/>
  <c r="BZ56" i="33" s="1"/>
  <c r="BZ20" i="33"/>
  <c r="CK41" i="2"/>
  <c r="BZ30" i="33" s="1"/>
  <c r="BZ28" i="33"/>
  <c r="BZ47" i="33"/>
  <c r="BZ39" i="33"/>
  <c r="BY30" i="33"/>
  <c r="BY63" i="33" s="1"/>
  <c r="BY50" i="33"/>
  <c r="BY20" i="34" l="1"/>
  <c r="BX25" i="34" s="1"/>
  <c r="BX61" i="34"/>
  <c r="BW63" i="34" s="1"/>
  <c r="BY46" i="34"/>
  <c r="BX53" i="34" s="1"/>
  <c r="BX50" i="34"/>
  <c r="BW57" i="34" s="1"/>
  <c r="CM33" i="2"/>
  <c r="CB21" i="33" s="1"/>
  <c r="CB54" i="33" s="1"/>
  <c r="BW18" i="34"/>
  <c r="BV23" i="34" s="1"/>
  <c r="CL26" i="2"/>
  <c r="CA14" i="33" s="1"/>
  <c r="CA47" i="33" s="1"/>
  <c r="CL36" i="2"/>
  <c r="CA24" i="33" s="1"/>
  <c r="CA57" i="33" s="1"/>
  <c r="BX47" i="34"/>
  <c r="BW54" i="34" s="1"/>
  <c r="BW65" i="34"/>
  <c r="BV68" i="34" s="1"/>
  <c r="CL38" i="2"/>
  <c r="CA26" i="33" s="1"/>
  <c r="CA59" i="33" s="1"/>
  <c r="CL18" i="2"/>
  <c r="CA6" i="33" s="1"/>
  <c r="CA39" i="33" s="1"/>
  <c r="CL19" i="2"/>
  <c r="CA7" i="33" s="1"/>
  <c r="CA40" i="33" s="1"/>
  <c r="CM31" i="2"/>
  <c r="CB19" i="33" s="1"/>
  <c r="CB52" i="33" s="1"/>
  <c r="BX29" i="34"/>
  <c r="BW34" i="34" s="1"/>
  <c r="CM25" i="2"/>
  <c r="CB13" i="33" s="1"/>
  <c r="CB46" i="33" s="1"/>
  <c r="CM23" i="2"/>
  <c r="CB11" i="33" s="1"/>
  <c r="CB44" i="33" s="1"/>
  <c r="BY51" i="34"/>
  <c r="BX58" i="34" s="1"/>
  <c r="BW60" i="34"/>
  <c r="BV62" i="34" s="1"/>
  <c r="BW38" i="34"/>
  <c r="BV41" i="34" s="1"/>
  <c r="BX31" i="34"/>
  <c r="BW36" i="34" s="1"/>
  <c r="CN20" i="2"/>
  <c r="CC8" i="33" s="1"/>
  <c r="CC41" i="33" s="1"/>
  <c r="CM34" i="2"/>
  <c r="CB23" i="33" s="1"/>
  <c r="CB56" i="33" s="1"/>
  <c r="O1100" i="25"/>
  <c r="P1100" i="25" s="1"/>
  <c r="BZ20" i="34" s="1"/>
  <c r="BY25" i="34" s="1"/>
  <c r="O1083" i="25"/>
  <c r="P1083" i="25" s="1"/>
  <c r="BW71" i="34"/>
  <c r="BV72" i="34" s="1"/>
  <c r="CM28" i="2"/>
  <c r="CB16" i="33" s="1"/>
  <c r="CB49" i="33" s="1"/>
  <c r="O1115" i="25"/>
  <c r="P1115" i="25" s="1"/>
  <c r="CN35" i="2"/>
  <c r="CC22" i="33" s="1"/>
  <c r="CC55" i="33" s="1"/>
  <c r="BW30" i="34"/>
  <c r="BV35" i="34" s="1"/>
  <c r="O1036" i="25"/>
  <c r="P1036" i="25" s="1"/>
  <c r="CL24" i="2"/>
  <c r="CA12" i="33" s="1"/>
  <c r="CA45" i="33" s="1"/>
  <c r="O1082" i="25"/>
  <c r="P1082" i="25" s="1"/>
  <c r="BY49" i="34" s="1"/>
  <c r="BX56" i="34" s="1"/>
  <c r="O1053" i="25"/>
  <c r="P1053" i="25" s="1"/>
  <c r="CL41" i="2"/>
  <c r="CA30" i="33" s="1"/>
  <c r="CA31" i="33" s="1"/>
  <c r="O1078" i="25"/>
  <c r="P1078" i="25" s="1"/>
  <c r="BY48" i="34" s="1"/>
  <c r="BX55" i="34" s="1"/>
  <c r="O1111" i="25"/>
  <c r="P1111" i="25" s="1"/>
  <c r="CM32" i="2"/>
  <c r="CB20" i="33" s="1"/>
  <c r="CB53" i="33" s="1"/>
  <c r="CM37" i="2"/>
  <c r="CB25" i="33" s="1"/>
  <c r="CB58" i="33" s="1"/>
  <c r="O1086" i="25"/>
  <c r="P1086" i="25" s="1"/>
  <c r="BY67" i="34" s="1"/>
  <c r="BX70" i="34" s="1"/>
  <c r="CM40" i="2"/>
  <c r="CB28" i="33" s="1"/>
  <c r="CB61" i="33" s="1"/>
  <c r="O1105" i="25"/>
  <c r="P1105" i="25" s="1"/>
  <c r="O1118" i="25"/>
  <c r="P1118" i="25" s="1"/>
  <c r="O1065" i="25"/>
  <c r="P1065" i="25" s="1"/>
  <c r="BW28" i="34"/>
  <c r="BV33" i="34" s="1"/>
  <c r="O1034" i="25"/>
  <c r="P1034" i="25" s="1"/>
  <c r="BX19" i="34" s="1"/>
  <c r="BW24" i="34" s="1"/>
  <c r="CL22" i="2"/>
  <c r="CA10" i="33" s="1"/>
  <c r="CA43" i="33" s="1"/>
  <c r="O1072" i="25"/>
  <c r="P1072" i="25" s="1"/>
  <c r="BY29" i="34" s="1"/>
  <c r="O1113" i="25"/>
  <c r="P1113" i="25" s="1"/>
  <c r="CN33" i="2"/>
  <c r="CC21" i="33" s="1"/>
  <c r="CC54" i="33" s="1"/>
  <c r="O1074" i="25"/>
  <c r="P1074" i="25" s="1"/>
  <c r="BY40" i="34" s="1"/>
  <c r="BX43" i="34" s="1"/>
  <c r="O1064" i="25"/>
  <c r="P1064" i="25" s="1"/>
  <c r="O1080" i="25"/>
  <c r="P1080" i="25" s="1"/>
  <c r="BY50" i="34" s="1"/>
  <c r="BW17" i="34"/>
  <c r="BV22" i="34" s="1"/>
  <c r="CL17" i="2"/>
  <c r="CA5" i="33" s="1"/>
  <c r="CA38" i="33" s="1"/>
  <c r="O1029" i="25"/>
  <c r="P1029" i="25" s="1"/>
  <c r="O1110" i="25"/>
  <c r="P1110" i="25" s="1"/>
  <c r="BZ46" i="34" s="1"/>
  <c r="CN30" i="2"/>
  <c r="CC18" i="33" s="1"/>
  <c r="CC51" i="33" s="1"/>
  <c r="CL21" i="2"/>
  <c r="CA9" i="33" s="1"/>
  <c r="CA42" i="33" s="1"/>
  <c r="O1033" i="25"/>
  <c r="P1033" i="25" s="1"/>
  <c r="CL29" i="2"/>
  <c r="CA17" i="33" s="1"/>
  <c r="CA50" i="33" s="1"/>
  <c r="O1041" i="25"/>
  <c r="P1041" i="25" s="1"/>
  <c r="BX45" i="34" s="1"/>
  <c r="BW52" i="34" s="1"/>
  <c r="O1051" i="25"/>
  <c r="P1051" i="25" s="1"/>
  <c r="BX66" i="34" s="1"/>
  <c r="BW69" i="34" s="1"/>
  <c r="CL39" i="2"/>
  <c r="CA27" i="33" s="1"/>
  <c r="CA60" i="33" s="1"/>
  <c r="O994" i="25"/>
  <c r="P994" i="25" s="1"/>
  <c r="BW16" i="34" s="1"/>
  <c r="BV21" i="34" s="1"/>
  <c r="D962" i="25"/>
  <c r="D966" i="25"/>
  <c r="D968" i="25"/>
  <c r="D978" i="25"/>
  <c r="D961" i="25"/>
  <c r="D980" i="25"/>
  <c r="D984" i="25"/>
  <c r="D969" i="25"/>
  <c r="D963" i="25"/>
  <c r="D970" i="25"/>
  <c r="D977" i="25"/>
  <c r="CK16" i="2"/>
  <c r="BZ4" i="33" s="1"/>
  <c r="BZ37" i="33" s="1"/>
  <c r="D971" i="25"/>
  <c r="D965" i="25"/>
  <c r="D979" i="25"/>
  <c r="D964" i="25"/>
  <c r="D975" i="25"/>
  <c r="D974" i="25"/>
  <c r="D982" i="25"/>
  <c r="D981" i="25"/>
  <c r="D967" i="25"/>
  <c r="D960" i="25"/>
  <c r="D983" i="25"/>
  <c r="D972" i="25"/>
  <c r="D973" i="25"/>
  <c r="D976" i="25"/>
  <c r="CL27" i="2"/>
  <c r="CA15" i="33" s="1"/>
  <c r="CA48" i="33" s="1"/>
  <c r="O1039" i="25"/>
  <c r="P1039" i="25" s="1"/>
  <c r="BX39" i="34" s="1"/>
  <c r="BW42" i="34" s="1"/>
  <c r="CR13" i="2"/>
  <c r="CS15" i="2"/>
  <c r="CR14" i="2"/>
  <c r="CQ14" i="2"/>
  <c r="CQ13" i="2"/>
  <c r="O1137" i="25"/>
  <c r="P1137" i="25" s="1"/>
  <c r="CA56" i="33"/>
  <c r="BZ61" i="33"/>
  <c r="CA61" i="33"/>
  <c r="BZ53" i="33"/>
  <c r="CA53" i="33"/>
  <c r="BZ63" i="33"/>
  <c r="BZ31" i="33"/>
  <c r="BY31" i="33"/>
  <c r="BY53" i="34" l="1"/>
  <c r="CO20" i="2"/>
  <c r="CD8" i="33" s="1"/>
  <c r="CD41" i="33" s="1"/>
  <c r="BX57" i="34"/>
  <c r="O1134" i="25"/>
  <c r="P1134" i="25" s="1"/>
  <c r="CA20" i="34" s="1"/>
  <c r="BZ25" i="34" s="1"/>
  <c r="BX27" i="34"/>
  <c r="BW32" i="34" s="1"/>
  <c r="BX34" i="34"/>
  <c r="CN25" i="2"/>
  <c r="CC13" i="33" s="1"/>
  <c r="CC46" i="33" s="1"/>
  <c r="CM26" i="2"/>
  <c r="CB14" i="33" s="1"/>
  <c r="CB47" i="33" s="1"/>
  <c r="CM19" i="2"/>
  <c r="CB7" i="33" s="1"/>
  <c r="CB40" i="33" s="1"/>
  <c r="CM36" i="2"/>
  <c r="CB24" i="33" s="1"/>
  <c r="CB57" i="33" s="1"/>
  <c r="CN31" i="2"/>
  <c r="CC19" i="33" s="1"/>
  <c r="CC52" i="33" s="1"/>
  <c r="BY31" i="34"/>
  <c r="BX36" i="34" s="1"/>
  <c r="CN23" i="2"/>
  <c r="CC11" i="33" s="1"/>
  <c r="CC44" i="33" s="1"/>
  <c r="BX60" i="34"/>
  <c r="BW62" i="34" s="1"/>
  <c r="BY61" i="34"/>
  <c r="BX63" i="34" s="1"/>
  <c r="BX38" i="34"/>
  <c r="BW41" i="34" s="1"/>
  <c r="BX18" i="34"/>
  <c r="BW23" i="34" s="1"/>
  <c r="CM18" i="2"/>
  <c r="CB6" i="33" s="1"/>
  <c r="CB39" i="33" s="1"/>
  <c r="CM38" i="2"/>
  <c r="CB26" i="33" s="1"/>
  <c r="CB59" i="33" s="1"/>
  <c r="BX65" i="34"/>
  <c r="BW68" i="34" s="1"/>
  <c r="BZ51" i="34"/>
  <c r="BY58" i="34" s="1"/>
  <c r="BY47" i="34"/>
  <c r="BX54" i="34" s="1"/>
  <c r="O1117" i="25"/>
  <c r="P1117" i="25" s="1"/>
  <c r="O1151" i="25" s="1"/>
  <c r="P1151" i="25" s="1"/>
  <c r="CN37" i="2"/>
  <c r="CC25" i="33" s="1"/>
  <c r="CC58" i="33" s="1"/>
  <c r="CA63" i="33"/>
  <c r="CN32" i="2"/>
  <c r="CC20" i="33" s="1"/>
  <c r="CC53" i="33" s="1"/>
  <c r="O1149" i="25"/>
  <c r="P1149" i="25" s="1"/>
  <c r="CO35" i="2"/>
  <c r="CD22" i="33" s="1"/>
  <c r="CD55" i="33" s="1"/>
  <c r="BX71" i="34"/>
  <c r="BW72" i="34" s="1"/>
  <c r="BX30" i="34"/>
  <c r="BW35" i="34" s="1"/>
  <c r="O1070" i="25"/>
  <c r="P1070" i="25" s="1"/>
  <c r="CM24" i="2"/>
  <c r="CB12" i="33" s="1"/>
  <c r="CB45" i="33" s="1"/>
  <c r="O1112" i="25"/>
  <c r="P1112" i="25" s="1"/>
  <c r="BZ48" i="34" s="1"/>
  <c r="BY55" i="34" s="1"/>
  <c r="O1116" i="25"/>
  <c r="P1116" i="25" s="1"/>
  <c r="CO33" i="2" s="1"/>
  <c r="CD21" i="33" s="1"/>
  <c r="CD54" i="33" s="1"/>
  <c r="O1087" i="25"/>
  <c r="P1087" i="25" s="1"/>
  <c r="CM41" i="2"/>
  <c r="CB30" i="33" s="1"/>
  <c r="O1120" i="25"/>
  <c r="P1120" i="25" s="1"/>
  <c r="BZ67" i="34" s="1"/>
  <c r="BY70" i="34" s="1"/>
  <c r="O1145" i="25"/>
  <c r="P1145" i="25" s="1"/>
  <c r="O1108" i="25"/>
  <c r="P1108" i="25" s="1"/>
  <c r="BZ40" i="34" s="1"/>
  <c r="BY43" i="34" s="1"/>
  <c r="O1139" i="25"/>
  <c r="P1139" i="25" s="1"/>
  <c r="O1098" i="25"/>
  <c r="P1098" i="25" s="1"/>
  <c r="O1152" i="25"/>
  <c r="P1152" i="25" s="1"/>
  <c r="O1147" i="25"/>
  <c r="P1147" i="25" s="1"/>
  <c r="O1114" i="25"/>
  <c r="P1114" i="25" s="1"/>
  <c r="CN40" i="2"/>
  <c r="CC28" i="33" s="1"/>
  <c r="CC61" i="33" s="1"/>
  <c r="CN34" i="2"/>
  <c r="CC23" i="33" s="1"/>
  <c r="CC56" i="33" s="1"/>
  <c r="CN28" i="2"/>
  <c r="CC16" i="33" s="1"/>
  <c r="CC49" i="33" s="1"/>
  <c r="O1106" i="25"/>
  <c r="P1106" i="25" s="1"/>
  <c r="O1099" i="25"/>
  <c r="P1099" i="25" s="1"/>
  <c r="CO30" i="2"/>
  <c r="CD18" i="33" s="1"/>
  <c r="CD51" i="33" s="1"/>
  <c r="BX28" i="34"/>
  <c r="BW33" i="34" s="1"/>
  <c r="O1068" i="25"/>
  <c r="P1068" i="25" s="1"/>
  <c r="BY19" i="34" s="1"/>
  <c r="BX24" i="34" s="1"/>
  <c r="CM22" i="2"/>
  <c r="CB10" i="33" s="1"/>
  <c r="CB43" i="33" s="1"/>
  <c r="O1144" i="25"/>
  <c r="P1144" i="25" s="1"/>
  <c r="BX17" i="34"/>
  <c r="BW22" i="34" s="1"/>
  <c r="CM17" i="2"/>
  <c r="CB5" i="33" s="1"/>
  <c r="CB38" i="33" s="1"/>
  <c r="O1063" i="25"/>
  <c r="P1063" i="25" s="1"/>
  <c r="D999" i="25"/>
  <c r="D1005" i="25"/>
  <c r="D1017" i="25"/>
  <c r="D1007" i="25"/>
  <c r="CM27" i="2"/>
  <c r="CB15" i="33" s="1"/>
  <c r="CB48" i="33" s="1"/>
  <c r="O1073" i="25"/>
  <c r="P1073" i="25" s="1"/>
  <c r="BY39" i="34" s="1"/>
  <c r="BX42" i="34" s="1"/>
  <c r="CM29" i="2"/>
  <c r="CB17" i="33" s="1"/>
  <c r="CB50" i="33" s="1"/>
  <c r="O1075" i="25"/>
  <c r="P1075" i="25" s="1"/>
  <c r="BY45" i="34" s="1"/>
  <c r="BX52" i="34" s="1"/>
  <c r="CM21" i="2"/>
  <c r="CB9" i="33" s="1"/>
  <c r="CB42" i="33" s="1"/>
  <c r="O1067" i="25"/>
  <c r="P1067" i="25" s="1"/>
  <c r="O1085" i="25"/>
  <c r="P1085" i="25" s="1"/>
  <c r="BY66" i="34" s="1"/>
  <c r="BX69" i="34" s="1"/>
  <c r="CM39" i="2"/>
  <c r="CB27" i="33" s="1"/>
  <c r="CB60" i="33" s="1"/>
  <c r="CL16" i="2"/>
  <c r="CA4" i="33" s="1"/>
  <c r="CA37" i="33" s="1"/>
  <c r="D1006" i="25"/>
  <c r="D1010" i="25"/>
  <c r="D1008" i="25"/>
  <c r="D1003" i="25"/>
  <c r="D1016" i="25"/>
  <c r="D1001" i="25"/>
  <c r="D1002" i="25"/>
  <c r="D994" i="25"/>
  <c r="O1028" i="25"/>
  <c r="P1028" i="25" s="1"/>
  <c r="BX16" i="34" s="1"/>
  <c r="BW21" i="34" s="1"/>
  <c r="D995" i="25"/>
  <c r="D1015" i="25"/>
  <c r="D996" i="25"/>
  <c r="D1009" i="25"/>
  <c r="D1012" i="25"/>
  <c r="D1018" i="25"/>
  <c r="D997" i="25"/>
  <c r="D1013" i="25"/>
  <c r="D998" i="25"/>
  <c r="D1014" i="25"/>
  <c r="D1000" i="25"/>
  <c r="D1004" i="25"/>
  <c r="D1011" i="25"/>
  <c r="CT15" i="2"/>
  <c r="CS13" i="2"/>
  <c r="CS14" i="2"/>
  <c r="O1171" i="25"/>
  <c r="P1171" i="25" s="1"/>
  <c r="CO40" i="2"/>
  <c r="CD28" i="33" s="1"/>
  <c r="O1168" i="25" l="1"/>
  <c r="P1168" i="25" s="1"/>
  <c r="CP20" i="2"/>
  <c r="CE8" i="33" s="1"/>
  <c r="CE41" i="33" s="1"/>
  <c r="CO37" i="2"/>
  <c r="CD25" i="33" s="1"/>
  <c r="CD58" i="33" s="1"/>
  <c r="BY27" i="34"/>
  <c r="BX32" i="34" s="1"/>
  <c r="BZ50" i="34"/>
  <c r="BY57" i="34" s="1"/>
  <c r="CB20" i="34"/>
  <c r="CA25" i="34" s="1"/>
  <c r="CO25" i="2"/>
  <c r="CD13" i="33" s="1"/>
  <c r="CD46" i="33" s="1"/>
  <c r="CA46" i="34"/>
  <c r="BZ53" i="34" s="1"/>
  <c r="CN19" i="2"/>
  <c r="CC7" i="33" s="1"/>
  <c r="CC40" i="33" s="1"/>
  <c r="BZ29" i="34"/>
  <c r="BY34" i="34" s="1"/>
  <c r="CO23" i="2"/>
  <c r="CD11" i="33" s="1"/>
  <c r="CD44" i="33" s="1"/>
  <c r="CN38" i="2"/>
  <c r="CC26" i="33" s="1"/>
  <c r="CC59" i="33" s="1"/>
  <c r="BY65" i="34"/>
  <c r="BX68" i="34" s="1"/>
  <c r="CA51" i="34"/>
  <c r="BZ58" i="34" s="1"/>
  <c r="BZ49" i="34"/>
  <c r="BY56" i="34" s="1"/>
  <c r="BZ31" i="34"/>
  <c r="BY36" i="34" s="1"/>
  <c r="CN36" i="2"/>
  <c r="CC24" i="33" s="1"/>
  <c r="CC57" i="33" s="1"/>
  <c r="CO31" i="2"/>
  <c r="CD19" i="33" s="1"/>
  <c r="CD52" i="33" s="1"/>
  <c r="BY18" i="34"/>
  <c r="BX23" i="34" s="1"/>
  <c r="CN18" i="2"/>
  <c r="CC6" i="33" s="1"/>
  <c r="CC39" i="33" s="1"/>
  <c r="CN26" i="2"/>
  <c r="CC14" i="33" s="1"/>
  <c r="CC47" i="33" s="1"/>
  <c r="BY60" i="34"/>
  <c r="BX62" i="34" s="1"/>
  <c r="BZ61" i="34"/>
  <c r="BY63" i="34" s="1"/>
  <c r="BY38" i="34"/>
  <c r="BX41" i="34" s="1"/>
  <c r="BZ47" i="34"/>
  <c r="BY54" i="34" s="1"/>
  <c r="O1179" i="25"/>
  <c r="P1179" i="25" s="1"/>
  <c r="O1213" i="25" s="1"/>
  <c r="P1213" i="25" s="1"/>
  <c r="O1183" i="25"/>
  <c r="P1183" i="25" s="1"/>
  <c r="CP35" i="2"/>
  <c r="CE22" i="33" s="1"/>
  <c r="CE55" i="33" s="1"/>
  <c r="BY71" i="34"/>
  <c r="BX72" i="34" s="1"/>
  <c r="O1146" i="25"/>
  <c r="P1146" i="25" s="1"/>
  <c r="CA48" i="34" s="1"/>
  <c r="BZ55" i="34" s="1"/>
  <c r="CO32" i="2"/>
  <c r="CD20" i="33" s="1"/>
  <c r="CD53" i="33" s="1"/>
  <c r="BY30" i="34"/>
  <c r="BX35" i="34" s="1"/>
  <c r="CN24" i="2"/>
  <c r="CC12" i="33" s="1"/>
  <c r="CC45" i="33" s="1"/>
  <c r="O1104" i="25"/>
  <c r="P1104" i="25" s="1"/>
  <c r="CO28" i="2"/>
  <c r="CD16" i="33" s="1"/>
  <c r="CD49" i="33" s="1"/>
  <c r="O1121" i="25"/>
  <c r="P1121" i="25" s="1"/>
  <c r="O1132" i="25"/>
  <c r="P1132" i="25" s="1"/>
  <c r="CN41" i="2"/>
  <c r="CC30" i="33" s="1"/>
  <c r="CC31" i="33" s="1"/>
  <c r="CD61" i="33"/>
  <c r="O1142" i="25"/>
  <c r="P1142" i="25" s="1"/>
  <c r="CA40" i="34" s="1"/>
  <c r="BZ43" i="34" s="1"/>
  <c r="O1173" i="25"/>
  <c r="P1173" i="25" s="1"/>
  <c r="O1150" i="25"/>
  <c r="P1150" i="25" s="1"/>
  <c r="CA49" i="34" s="1"/>
  <c r="O1186" i="25"/>
  <c r="P1186" i="25" s="1"/>
  <c r="CQ35" i="2" s="1"/>
  <c r="CF22" i="33" s="1"/>
  <c r="O1154" i="25"/>
  <c r="P1154" i="25" s="1"/>
  <c r="CA67" i="34" s="1"/>
  <c r="BZ70" i="34" s="1"/>
  <c r="O1178" i="25"/>
  <c r="P1178" i="25" s="1"/>
  <c r="O1181" i="25"/>
  <c r="P1181" i="25" s="1"/>
  <c r="O1148" i="25"/>
  <c r="P1148" i="25" s="1"/>
  <c r="CA50" i="34" s="1"/>
  <c r="BZ57" i="34" s="1"/>
  <c r="CO34" i="2"/>
  <c r="CD23" i="33" s="1"/>
  <c r="CD56" i="33" s="1"/>
  <c r="O1140" i="25"/>
  <c r="P1140" i="25" s="1"/>
  <c r="CP30" i="2"/>
  <c r="CE18" i="33" s="1"/>
  <c r="CE51" i="33" s="1"/>
  <c r="O1133" i="25"/>
  <c r="P1133" i="25" s="1"/>
  <c r="BY28" i="34"/>
  <c r="BX33" i="34" s="1"/>
  <c r="CN22" i="2"/>
  <c r="CC10" i="33" s="1"/>
  <c r="CC43" i="33" s="1"/>
  <c r="O1102" i="25"/>
  <c r="P1102" i="25" s="1"/>
  <c r="BZ19" i="34" s="1"/>
  <c r="BY24" i="34" s="1"/>
  <c r="BY17" i="34"/>
  <c r="BX22" i="34" s="1"/>
  <c r="O1097" i="25"/>
  <c r="P1097" i="25" s="1"/>
  <c r="CN17" i="2"/>
  <c r="CC5" i="33" s="1"/>
  <c r="CC38" i="33" s="1"/>
  <c r="D1039" i="25"/>
  <c r="O1185" i="25"/>
  <c r="P1185" i="25" s="1"/>
  <c r="D1051" i="25"/>
  <c r="D1033" i="25"/>
  <c r="D1041" i="25"/>
  <c r="D1032" i="25"/>
  <c r="D1052" i="25"/>
  <c r="D1049" i="25"/>
  <c r="D1028" i="25"/>
  <c r="D1044" i="25"/>
  <c r="D1038" i="25"/>
  <c r="D1030" i="25"/>
  <c r="D1045" i="25"/>
  <c r="D1046" i="25"/>
  <c r="D1048" i="25"/>
  <c r="D1043" i="25"/>
  <c r="D1040" i="25"/>
  <c r="D1042" i="25"/>
  <c r="CM16" i="2"/>
  <c r="CB4" i="33" s="1"/>
  <c r="CB37" i="33" s="1"/>
  <c r="D1037" i="25"/>
  <c r="D1050" i="25"/>
  <c r="D1029" i="25"/>
  <c r="D1036" i="25"/>
  <c r="D1047" i="25"/>
  <c r="D1034" i="25"/>
  <c r="D1035" i="25"/>
  <c r="O1062" i="25"/>
  <c r="P1062" i="25" s="1"/>
  <c r="BY16" i="34" s="1"/>
  <c r="BX21" i="34" s="1"/>
  <c r="D1031" i="25"/>
  <c r="O1101" i="25"/>
  <c r="P1101" i="25" s="1"/>
  <c r="BZ27" i="34" s="1"/>
  <c r="CN21" i="2"/>
  <c r="CC9" i="33" s="1"/>
  <c r="CC42" i="33" s="1"/>
  <c r="CN29" i="2"/>
  <c r="CC17" i="33" s="1"/>
  <c r="CC50" i="33" s="1"/>
  <c r="O1109" i="25"/>
  <c r="P1109" i="25" s="1"/>
  <c r="BZ45" i="34" s="1"/>
  <c r="BY52" i="34" s="1"/>
  <c r="CN27" i="2"/>
  <c r="CC15" i="33" s="1"/>
  <c r="CC48" i="33" s="1"/>
  <c r="O1107" i="25"/>
  <c r="P1107" i="25" s="1"/>
  <c r="BZ39" i="34" s="1"/>
  <c r="BY42" i="34" s="1"/>
  <c r="CN39" i="2"/>
  <c r="CC27" i="33" s="1"/>
  <c r="CC60" i="33" s="1"/>
  <c r="O1119" i="25"/>
  <c r="P1119" i="25" s="1"/>
  <c r="BZ66" i="34" s="1"/>
  <c r="BY69" i="34" s="1"/>
  <c r="CT13" i="2"/>
  <c r="CU15" i="2"/>
  <c r="CV15" i="2" s="1"/>
  <c r="CT14" i="2"/>
  <c r="O1205" i="25"/>
  <c r="P1205" i="25" s="1"/>
  <c r="CQ20" i="2"/>
  <c r="CF8" i="33" s="1"/>
  <c r="CF41" i="33" s="1"/>
  <c r="O1202" i="25"/>
  <c r="P1202" i="25" s="1"/>
  <c r="CP37" i="2"/>
  <c r="CB31" i="33"/>
  <c r="CB63" i="33"/>
  <c r="BY32" i="34" l="1"/>
  <c r="O1180" i="25"/>
  <c r="P1180" i="25" s="1"/>
  <c r="O1214" i="25" s="1"/>
  <c r="P1214" i="25" s="1"/>
  <c r="BZ56" i="34"/>
  <c r="CO19" i="2"/>
  <c r="CD7" i="33" s="1"/>
  <c r="CD40" i="33" s="1"/>
  <c r="CC20" i="34"/>
  <c r="CB25" i="34" s="1"/>
  <c r="CB46" i="34"/>
  <c r="CA53" i="34" s="1"/>
  <c r="CO36" i="2"/>
  <c r="CD24" i="33" s="1"/>
  <c r="CD57" i="33" s="1"/>
  <c r="CB51" i="34"/>
  <c r="CA58" i="34" s="1"/>
  <c r="BZ18" i="34"/>
  <c r="BY23" i="34" s="1"/>
  <c r="CO26" i="2"/>
  <c r="CD14" i="33" s="1"/>
  <c r="CD47" i="33" s="1"/>
  <c r="BZ60" i="34"/>
  <c r="BY62" i="34" s="1"/>
  <c r="BZ65" i="34"/>
  <c r="BY68" i="34" s="1"/>
  <c r="CO38" i="2"/>
  <c r="CD26" i="33" s="1"/>
  <c r="CD59" i="33" s="1"/>
  <c r="CA29" i="34"/>
  <c r="BZ34" i="34" s="1"/>
  <c r="CP23" i="2"/>
  <c r="CE11" i="33" s="1"/>
  <c r="CE44" i="33" s="1"/>
  <c r="CP25" i="2"/>
  <c r="CE13" i="33" s="1"/>
  <c r="CE46" i="33" s="1"/>
  <c r="CP33" i="2"/>
  <c r="CE21" i="33" s="1"/>
  <c r="CE54" i="33" s="1"/>
  <c r="CA31" i="34"/>
  <c r="BZ36" i="34" s="1"/>
  <c r="CA47" i="34"/>
  <c r="BZ54" i="34" s="1"/>
  <c r="CA61" i="34"/>
  <c r="BZ63" i="34" s="1"/>
  <c r="CO18" i="2"/>
  <c r="CD6" i="33" s="1"/>
  <c r="CD39" i="33" s="1"/>
  <c r="CP31" i="2"/>
  <c r="CE19" i="33" s="1"/>
  <c r="CE52" i="33" s="1"/>
  <c r="BZ38" i="34"/>
  <c r="BY41" i="34" s="1"/>
  <c r="CF55" i="33"/>
  <c r="CP32" i="2"/>
  <c r="CE20" i="33" s="1"/>
  <c r="CE53" i="33" s="1"/>
  <c r="O1217" i="25"/>
  <c r="P1217" i="25" s="1"/>
  <c r="O1207" i="25"/>
  <c r="P1207" i="25" s="1"/>
  <c r="O1166" i="25"/>
  <c r="P1166" i="25" s="1"/>
  <c r="BZ71" i="34"/>
  <c r="BY72" i="34" s="1"/>
  <c r="CP40" i="2"/>
  <c r="CE28" i="33" s="1"/>
  <c r="CE61" i="33" s="1"/>
  <c r="O1155" i="25"/>
  <c r="P1155" i="25" s="1"/>
  <c r="CO41" i="2"/>
  <c r="CD30" i="33" s="1"/>
  <c r="CD63" i="33" s="1"/>
  <c r="O1188" i="25"/>
  <c r="P1188" i="25" s="1"/>
  <c r="CB67" i="34" s="1"/>
  <c r="CA70" i="34" s="1"/>
  <c r="CP28" i="2"/>
  <c r="CE16" i="33" s="1"/>
  <c r="CE49" i="33" s="1"/>
  <c r="O1212" i="25"/>
  <c r="P1212" i="25" s="1"/>
  <c r="CQ30" i="2"/>
  <c r="CF18" i="33" s="1"/>
  <c r="CF51" i="33" s="1"/>
  <c r="BZ30" i="34"/>
  <c r="BY35" i="34" s="1"/>
  <c r="O1138" i="25"/>
  <c r="P1138" i="25" s="1"/>
  <c r="CO24" i="2"/>
  <c r="CD12" i="33" s="1"/>
  <c r="CD45" i="33" s="1"/>
  <c r="O1176" i="25"/>
  <c r="P1176" i="25" s="1"/>
  <c r="CB40" i="34" s="1"/>
  <c r="CA43" i="34" s="1"/>
  <c r="O1184" i="25"/>
  <c r="P1184" i="25" s="1"/>
  <c r="CB49" i="34" s="1"/>
  <c r="CA56" i="34" s="1"/>
  <c r="O1220" i="25"/>
  <c r="P1220" i="25" s="1"/>
  <c r="O1215" i="25"/>
  <c r="P1215" i="25" s="1"/>
  <c r="O1182" i="25"/>
  <c r="P1182" i="25" s="1"/>
  <c r="CB47" i="34" s="1"/>
  <c r="CP34" i="2"/>
  <c r="CE23" i="33" s="1"/>
  <c r="CE56" i="33" s="1"/>
  <c r="O1174" i="25"/>
  <c r="P1174" i="25" s="1"/>
  <c r="O1219" i="25"/>
  <c r="P1219" i="25" s="1"/>
  <c r="O1167" i="25"/>
  <c r="P1167" i="25" s="1"/>
  <c r="BZ28" i="34"/>
  <c r="BY33" i="34" s="1"/>
  <c r="CO22" i="2"/>
  <c r="CD10" i="33" s="1"/>
  <c r="CD43" i="33" s="1"/>
  <c r="O1136" i="25"/>
  <c r="P1136" i="25" s="1"/>
  <c r="CA19" i="34" s="1"/>
  <c r="BZ24" i="34" s="1"/>
  <c r="BZ17" i="34"/>
  <c r="BY22" i="34" s="1"/>
  <c r="CO17" i="2"/>
  <c r="CD5" i="33" s="1"/>
  <c r="CD38" i="33" s="1"/>
  <c r="O1131" i="25"/>
  <c r="P1131" i="25" s="1"/>
  <c r="CO39" i="2"/>
  <c r="CD27" i="33" s="1"/>
  <c r="CD60" i="33" s="1"/>
  <c r="O1153" i="25"/>
  <c r="P1153" i="25" s="1"/>
  <c r="CA66" i="34" s="1"/>
  <c r="BZ69" i="34" s="1"/>
  <c r="O1141" i="25"/>
  <c r="P1141" i="25" s="1"/>
  <c r="CA39" i="34" s="1"/>
  <c r="BZ42" i="34" s="1"/>
  <c r="CO27" i="2"/>
  <c r="CD15" i="33" s="1"/>
  <c r="CD48" i="33" s="1"/>
  <c r="CO29" i="2"/>
  <c r="CD17" i="33" s="1"/>
  <c r="CD50" i="33" s="1"/>
  <c r="O1143" i="25"/>
  <c r="P1143" i="25" s="1"/>
  <c r="CA45" i="34" s="1"/>
  <c r="BZ52" i="34" s="1"/>
  <c r="O1096" i="25"/>
  <c r="P1096" i="25" s="1"/>
  <c r="D1072" i="25"/>
  <c r="D1074" i="25"/>
  <c r="D1084" i="25"/>
  <c r="D1077" i="25"/>
  <c r="D1068" i="25"/>
  <c r="D1083" i="25"/>
  <c r="D1066" i="25"/>
  <c r="D1064" i="25"/>
  <c r="D1062" i="25"/>
  <c r="D1086" i="25"/>
  <c r="D1063" i="25"/>
  <c r="D1081" i="25"/>
  <c r="D1079" i="25"/>
  <c r="D1078" i="25"/>
  <c r="D1070" i="25"/>
  <c r="D1080" i="25"/>
  <c r="D1065" i="25"/>
  <c r="D1082" i="25"/>
  <c r="D1076" i="25"/>
  <c r="CN16" i="2"/>
  <c r="CC4" i="33" s="1"/>
  <c r="CC37" i="33" s="1"/>
  <c r="D1069" i="25"/>
  <c r="D1071" i="25"/>
  <c r="CO21" i="2"/>
  <c r="CD9" i="33" s="1"/>
  <c r="CD42" i="33" s="1"/>
  <c r="O1135" i="25"/>
  <c r="P1135" i="25" s="1"/>
  <c r="D1085" i="25"/>
  <c r="D1073" i="25"/>
  <c r="D1075" i="25"/>
  <c r="D1067" i="25"/>
  <c r="CV13" i="2"/>
  <c r="CW15" i="2"/>
  <c r="CV14" i="2"/>
  <c r="CU13" i="2"/>
  <c r="CU14" i="2"/>
  <c r="CR20" i="2"/>
  <c r="CG8" i="33" s="1"/>
  <c r="O1236" i="25"/>
  <c r="P1236" i="25" s="1"/>
  <c r="O1239" i="25"/>
  <c r="P1239" i="25" s="1"/>
  <c r="O1247" i="25"/>
  <c r="P1247" i="25" s="1"/>
  <c r="CQ32" i="2"/>
  <c r="CF20" i="33" s="1"/>
  <c r="CE25" i="33"/>
  <c r="CC63" i="33"/>
  <c r="CB48" i="34" l="1"/>
  <c r="CA55" i="34" s="1"/>
  <c r="CA27" i="34"/>
  <c r="BZ32" i="34" s="1"/>
  <c r="CQ37" i="2"/>
  <c r="CF25" i="33" s="1"/>
  <c r="CF58" i="33" s="1"/>
  <c r="CC48" i="34"/>
  <c r="CB55" i="34" s="1"/>
  <c r="CA54" i="34"/>
  <c r="CD20" i="34"/>
  <c r="CC25" i="34" s="1"/>
  <c r="CQ33" i="2"/>
  <c r="CF21" i="33" s="1"/>
  <c r="CF54" i="33" s="1"/>
  <c r="CP19" i="2"/>
  <c r="CE7" i="33" s="1"/>
  <c r="CE40" i="33" s="1"/>
  <c r="CP26" i="2"/>
  <c r="CE14" i="33" s="1"/>
  <c r="CE47" i="33" s="1"/>
  <c r="CB50" i="34"/>
  <c r="CA57" i="34" s="1"/>
  <c r="CQ31" i="2"/>
  <c r="CF19" i="33" s="1"/>
  <c r="CF52" i="33" s="1"/>
  <c r="CP36" i="2"/>
  <c r="CE24" i="33" s="1"/>
  <c r="CE57" i="33" s="1"/>
  <c r="CC51" i="34"/>
  <c r="CB58" i="34" s="1"/>
  <c r="CA18" i="34"/>
  <c r="BZ23" i="34" s="1"/>
  <c r="CB29" i="34"/>
  <c r="CA34" i="34" s="1"/>
  <c r="CQ23" i="2"/>
  <c r="CF11" i="33" s="1"/>
  <c r="CF44" i="33" s="1"/>
  <c r="CP18" i="2"/>
  <c r="CE6" i="33" s="1"/>
  <c r="CE39" i="33" s="1"/>
  <c r="CB31" i="34"/>
  <c r="CA36" i="34" s="1"/>
  <c r="CA38" i="34"/>
  <c r="BZ41" i="34" s="1"/>
  <c r="CB61" i="34"/>
  <c r="CA63" i="34" s="1"/>
  <c r="CA60" i="34"/>
  <c r="BZ62" i="34" s="1"/>
  <c r="CC46" i="34"/>
  <c r="CB53" i="34" s="1"/>
  <c r="O1189" i="25"/>
  <c r="P1189" i="25" s="1"/>
  <c r="CB71" i="34" s="1"/>
  <c r="CA65" i="34"/>
  <c r="BZ68" i="34" s="1"/>
  <c r="CP38" i="2"/>
  <c r="CE26" i="33" s="1"/>
  <c r="CE59" i="33" s="1"/>
  <c r="CQ25" i="2"/>
  <c r="CF13" i="33" s="1"/>
  <c r="CF46" i="33" s="1"/>
  <c r="O1251" i="25"/>
  <c r="P1251" i="25" s="1"/>
  <c r="O1285" i="25" s="1"/>
  <c r="P1285" i="25" s="1"/>
  <c r="CR35" i="2"/>
  <c r="CG22" i="33" s="1"/>
  <c r="O1241" i="25"/>
  <c r="P1241" i="25" s="1"/>
  <c r="O1275" i="25" s="1"/>
  <c r="P1275" i="25" s="1"/>
  <c r="O1249" i="25"/>
  <c r="P1249" i="25" s="1"/>
  <c r="O1283" i="25" s="1"/>
  <c r="P1283" i="25" s="1"/>
  <c r="CR30" i="2"/>
  <c r="CG18" i="33" s="1"/>
  <c r="CF53" i="33"/>
  <c r="O1200" i="25"/>
  <c r="P1200" i="25" s="1"/>
  <c r="CP41" i="2"/>
  <c r="CE30" i="33" s="1"/>
  <c r="CE31" i="33" s="1"/>
  <c r="O1246" i="25"/>
  <c r="P1246" i="25" s="1"/>
  <c r="CA71" i="34"/>
  <c r="BZ72" i="34" s="1"/>
  <c r="O1222" i="25"/>
  <c r="P1222" i="25" s="1"/>
  <c r="CC67" i="34" s="1"/>
  <c r="CB70" i="34" s="1"/>
  <c r="O1210" i="25"/>
  <c r="P1210" i="25" s="1"/>
  <c r="CC40" i="34" s="1"/>
  <c r="CB43" i="34" s="1"/>
  <c r="CQ40" i="2"/>
  <c r="CF28" i="33" s="1"/>
  <c r="CF61" i="33" s="1"/>
  <c r="CQ28" i="2"/>
  <c r="CF16" i="33" s="1"/>
  <c r="CF49" i="33" s="1"/>
  <c r="CA30" i="34"/>
  <c r="BZ35" i="34" s="1"/>
  <c r="O1172" i="25"/>
  <c r="P1172" i="25" s="1"/>
  <c r="CP24" i="2"/>
  <c r="CE12" i="33" s="1"/>
  <c r="CE45" i="33" s="1"/>
  <c r="O1254" i="25"/>
  <c r="P1254" i="25" s="1"/>
  <c r="CS35" i="2" s="1"/>
  <c r="CH22" i="33" s="1"/>
  <c r="O1216" i="25"/>
  <c r="P1216" i="25" s="1"/>
  <c r="CQ34" i="2"/>
  <c r="CF23" i="33" s="1"/>
  <c r="CF56" i="33" s="1"/>
  <c r="O1218" i="25"/>
  <c r="P1218" i="25" s="1"/>
  <c r="CR33" i="2" s="1"/>
  <c r="CG21" i="33" s="1"/>
  <c r="CG54" i="33" s="1"/>
  <c r="O1253" i="25"/>
  <c r="P1253" i="25" s="1"/>
  <c r="O1208" i="25"/>
  <c r="P1208" i="25" s="1"/>
  <c r="O1201" i="25"/>
  <c r="P1201" i="25" s="1"/>
  <c r="CA28" i="34"/>
  <c r="BZ33" i="34" s="1"/>
  <c r="CP22" i="2"/>
  <c r="CE10" i="33" s="1"/>
  <c r="CE43" i="33" s="1"/>
  <c r="O1170" i="25"/>
  <c r="P1170" i="25" s="1"/>
  <c r="CB19" i="34" s="1"/>
  <c r="CA24" i="34" s="1"/>
  <c r="CA17" i="34"/>
  <c r="BZ22" i="34" s="1"/>
  <c r="O1165" i="25"/>
  <c r="P1165" i="25" s="1"/>
  <c r="CP17" i="2"/>
  <c r="CE5" i="33" s="1"/>
  <c r="CE38" i="33" s="1"/>
  <c r="D1101" i="25"/>
  <c r="BZ16" i="34"/>
  <c r="BY21" i="34" s="1"/>
  <c r="D1119" i="25"/>
  <c r="D1109" i="25"/>
  <c r="D1107" i="25"/>
  <c r="CP29" i="2"/>
  <c r="CE17" i="33" s="1"/>
  <c r="CE50" i="33" s="1"/>
  <c r="O1177" i="25"/>
  <c r="P1177" i="25" s="1"/>
  <c r="CB45" i="34" s="1"/>
  <c r="CA52" i="34" s="1"/>
  <c r="O1187" i="25"/>
  <c r="P1187" i="25" s="1"/>
  <c r="CB66" i="34" s="1"/>
  <c r="CA69" i="34" s="1"/>
  <c r="CP39" i="2"/>
  <c r="CE27" i="33" s="1"/>
  <c r="CE60" i="33" s="1"/>
  <c r="CP27" i="2"/>
  <c r="CE15" i="33" s="1"/>
  <c r="CE48" i="33" s="1"/>
  <c r="O1175" i="25"/>
  <c r="P1175" i="25" s="1"/>
  <c r="CB39" i="34" s="1"/>
  <c r="CA42" i="34" s="1"/>
  <c r="CP21" i="2"/>
  <c r="CE9" i="33" s="1"/>
  <c r="CE42" i="33" s="1"/>
  <c r="O1169" i="25"/>
  <c r="P1169" i="25" s="1"/>
  <c r="CB27" i="34" s="1"/>
  <c r="CA32" i="34" s="1"/>
  <c r="O1130" i="25"/>
  <c r="P1130" i="25" s="1"/>
  <c r="CA16" i="34" s="1"/>
  <c r="BZ21" i="34" s="1"/>
  <c r="CO16" i="2"/>
  <c r="CD4" i="33" s="1"/>
  <c r="CD37" i="33" s="1"/>
  <c r="D1105" i="25"/>
  <c r="D1096" i="25"/>
  <c r="D1102" i="25"/>
  <c r="D1115" i="25"/>
  <c r="D1104" i="25"/>
  <c r="D1113" i="25"/>
  <c r="D1111" i="25"/>
  <c r="D1118" i="25"/>
  <c r="D1112" i="25"/>
  <c r="D1098" i="25"/>
  <c r="D1103" i="25"/>
  <c r="D1114" i="25"/>
  <c r="D1106" i="25"/>
  <c r="D1110" i="25"/>
  <c r="D1117" i="25"/>
  <c r="D1099" i="25"/>
  <c r="D1120" i="25"/>
  <c r="D1116" i="25"/>
  <c r="D1108" i="25"/>
  <c r="D1100" i="25"/>
  <c r="D1097" i="25"/>
  <c r="O1248" i="25"/>
  <c r="P1248" i="25" s="1"/>
  <c r="CD48" i="34" s="1"/>
  <c r="CC55" i="34" s="1"/>
  <c r="CW13" i="2"/>
  <c r="CX15" i="2"/>
  <c r="CW14" i="2"/>
  <c r="CD31" i="33"/>
  <c r="O1273" i="25"/>
  <c r="P1273" i="25" s="1"/>
  <c r="O1281" i="25"/>
  <c r="P1281" i="25" s="1"/>
  <c r="CS20" i="2"/>
  <c r="CH8" i="33" s="1"/>
  <c r="O1270" i="25"/>
  <c r="P1270" i="25" s="1"/>
  <c r="CG51" i="33"/>
  <c r="CG41" i="33"/>
  <c r="CG55" i="33"/>
  <c r="CR32" i="2"/>
  <c r="CG20" i="33" s="1"/>
  <c r="CE58" i="33"/>
  <c r="O1223" i="25" l="1"/>
  <c r="P1223" i="25" s="1"/>
  <c r="CC65" i="34" s="1"/>
  <c r="CQ41" i="2"/>
  <c r="CF30" i="33" s="1"/>
  <c r="CE20" i="34"/>
  <c r="CD25" i="34" s="1"/>
  <c r="O1256" i="25"/>
  <c r="P1256" i="25" s="1"/>
  <c r="CD67" i="34" s="1"/>
  <c r="CC70" i="34" s="1"/>
  <c r="CD46" i="34"/>
  <c r="CC53" i="34" s="1"/>
  <c r="CQ26" i="2"/>
  <c r="CF14" i="33" s="1"/>
  <c r="CF47" i="33" s="1"/>
  <c r="CR37" i="2"/>
  <c r="CG25" i="33" s="1"/>
  <c r="CG58" i="33" s="1"/>
  <c r="CR38" i="2"/>
  <c r="CG26" i="33" s="1"/>
  <c r="CR25" i="2"/>
  <c r="CG13" i="33" s="1"/>
  <c r="CG46" i="33" s="1"/>
  <c r="CB65" i="34"/>
  <c r="CA68" i="34" s="1"/>
  <c r="CQ38" i="2"/>
  <c r="CF26" i="33" s="1"/>
  <c r="CF59" i="33" s="1"/>
  <c r="CC49" i="34"/>
  <c r="CB56" i="34" s="1"/>
  <c r="CQ36" i="2"/>
  <c r="CF24" i="33" s="1"/>
  <c r="CF57" i="33" s="1"/>
  <c r="CC50" i="34"/>
  <c r="CB57" i="34" s="1"/>
  <c r="CC47" i="34"/>
  <c r="CB54" i="34" s="1"/>
  <c r="CR31" i="2"/>
  <c r="CG19" i="33" s="1"/>
  <c r="CG52" i="33" s="1"/>
  <c r="CB18" i="34"/>
  <c r="CA23" i="34" s="1"/>
  <c r="CC61" i="34"/>
  <c r="CB63" i="34" s="1"/>
  <c r="CQ19" i="2"/>
  <c r="CF7" i="33" s="1"/>
  <c r="CF40" i="33" s="1"/>
  <c r="CC29" i="34"/>
  <c r="CB34" i="34" s="1"/>
  <c r="CR23" i="2"/>
  <c r="CG11" i="33" s="1"/>
  <c r="CG44" i="33" s="1"/>
  <c r="CB60" i="34"/>
  <c r="CA62" i="34" s="1"/>
  <c r="CQ18" i="2"/>
  <c r="CF6" i="33" s="1"/>
  <c r="CF39" i="33" s="1"/>
  <c r="CD61" i="34"/>
  <c r="CD51" i="34"/>
  <c r="CC58" i="34" s="1"/>
  <c r="CB38" i="34"/>
  <c r="CA41" i="34" s="1"/>
  <c r="CC31" i="34"/>
  <c r="CB36" i="34" s="1"/>
  <c r="O1234" i="25"/>
  <c r="P1234" i="25" s="1"/>
  <c r="O1268" i="25" s="1"/>
  <c r="P1268" i="25" s="1"/>
  <c r="O1244" i="25"/>
  <c r="P1244" i="25" s="1"/>
  <c r="CS28" i="2" s="1"/>
  <c r="CH16" i="33" s="1"/>
  <c r="CR40" i="2"/>
  <c r="CG28" i="33" s="1"/>
  <c r="CG61" i="33" s="1"/>
  <c r="O1280" i="25"/>
  <c r="P1280" i="25" s="1"/>
  <c r="CE46" i="34" s="1"/>
  <c r="CR28" i="2"/>
  <c r="CG16" i="33" s="1"/>
  <c r="CG49" i="33" s="1"/>
  <c r="CS30" i="2"/>
  <c r="CH18" i="33" s="1"/>
  <c r="CH51" i="33" s="1"/>
  <c r="CA72" i="34"/>
  <c r="CC71" i="34"/>
  <c r="CB72" i="34" s="1"/>
  <c r="O1288" i="25"/>
  <c r="P1288" i="25" s="1"/>
  <c r="CE51" i="34" s="1"/>
  <c r="O1250" i="25"/>
  <c r="P1250" i="25" s="1"/>
  <c r="CR34" i="2"/>
  <c r="CG23" i="33" s="1"/>
  <c r="CG56" i="33" s="1"/>
  <c r="CB30" i="34"/>
  <c r="CA35" i="34" s="1"/>
  <c r="O1206" i="25"/>
  <c r="P1206" i="25" s="1"/>
  <c r="CQ24" i="2"/>
  <c r="CF12" i="33" s="1"/>
  <c r="CF45" i="33" s="1"/>
  <c r="O1242" i="25"/>
  <c r="P1242" i="25" s="1"/>
  <c r="CS37" i="2"/>
  <c r="CH25" i="33" s="1"/>
  <c r="O1252" i="25"/>
  <c r="P1252" i="25" s="1"/>
  <c r="CS33" i="2" s="1"/>
  <c r="CH21" i="33" s="1"/>
  <c r="CH54" i="33" s="1"/>
  <c r="O1287" i="25"/>
  <c r="P1287" i="25" s="1"/>
  <c r="O1235" i="25"/>
  <c r="P1235" i="25" s="1"/>
  <c r="CB28" i="34"/>
  <c r="CA33" i="34" s="1"/>
  <c r="CQ22" i="2"/>
  <c r="CF10" i="33" s="1"/>
  <c r="CF43" i="33" s="1"/>
  <c r="O1204" i="25"/>
  <c r="P1204" i="25" s="1"/>
  <c r="CR19" i="2" s="1"/>
  <c r="CG7" i="33" s="1"/>
  <c r="CB17" i="34"/>
  <c r="CA22" i="34" s="1"/>
  <c r="CQ17" i="2"/>
  <c r="CF5" i="33" s="1"/>
  <c r="CF38" i="33" s="1"/>
  <c r="O1199" i="25"/>
  <c r="P1199" i="25" s="1"/>
  <c r="O1282" i="25"/>
  <c r="P1282" i="25" s="1"/>
  <c r="CE48" i="34" s="1"/>
  <c r="CD55" i="34" s="1"/>
  <c r="CS32" i="2"/>
  <c r="CH20" i="33" s="1"/>
  <c r="CH53" i="33" s="1"/>
  <c r="D1143" i="25"/>
  <c r="D1135" i="25"/>
  <c r="D1141" i="25"/>
  <c r="D1153" i="25"/>
  <c r="CQ21" i="2"/>
  <c r="CF9" i="33" s="1"/>
  <c r="CF42" i="33" s="1"/>
  <c r="O1203" i="25"/>
  <c r="P1203" i="25" s="1"/>
  <c r="CC27" i="34" s="1"/>
  <c r="CB32" i="34" s="1"/>
  <c r="CQ27" i="2"/>
  <c r="CF15" i="33" s="1"/>
  <c r="CF48" i="33" s="1"/>
  <c r="O1209" i="25"/>
  <c r="P1209" i="25" s="1"/>
  <c r="CC39" i="34" s="1"/>
  <c r="CB42" i="34" s="1"/>
  <c r="CQ29" i="2"/>
  <c r="CF17" i="33" s="1"/>
  <c r="CF50" i="33" s="1"/>
  <c r="O1211" i="25"/>
  <c r="P1211" i="25" s="1"/>
  <c r="CC45" i="34" s="1"/>
  <c r="CB52" i="34" s="1"/>
  <c r="CP16" i="2"/>
  <c r="CE4" i="33" s="1"/>
  <c r="CE37" i="33" s="1"/>
  <c r="O1164" i="25"/>
  <c r="P1164" i="25" s="1"/>
  <c r="CB16" i="34" s="1"/>
  <c r="CA21" i="34" s="1"/>
  <c r="D1151" i="25"/>
  <c r="D1152" i="25"/>
  <c r="D1130" i="25"/>
  <c r="D1145" i="25"/>
  <c r="D1147" i="25"/>
  <c r="D1134" i="25"/>
  <c r="D1133" i="25"/>
  <c r="D1148" i="25"/>
  <c r="D1136" i="25"/>
  <c r="D1146" i="25"/>
  <c r="D1131" i="25"/>
  <c r="D1150" i="25"/>
  <c r="D1138" i="25"/>
  <c r="D1154" i="25"/>
  <c r="D1144" i="25"/>
  <c r="D1149" i="25"/>
  <c r="D1132" i="25"/>
  <c r="D1140" i="25"/>
  <c r="D1137" i="25"/>
  <c r="D1142" i="25"/>
  <c r="D1139" i="25"/>
  <c r="O1221" i="25"/>
  <c r="P1221" i="25" s="1"/>
  <c r="CC66" i="34" s="1"/>
  <c r="CB69" i="34" s="1"/>
  <c r="CQ39" i="2"/>
  <c r="CF27" i="33" s="1"/>
  <c r="CF60" i="33" s="1"/>
  <c r="D1187" i="25"/>
  <c r="CX13" i="2"/>
  <c r="CY15" i="2"/>
  <c r="CX14" i="2"/>
  <c r="CT25" i="2"/>
  <c r="CI13" i="33" s="1"/>
  <c r="O1309" i="25"/>
  <c r="P1309" i="25" s="1"/>
  <c r="O1307" i="25"/>
  <c r="P1307" i="25" s="1"/>
  <c r="CT35" i="2"/>
  <c r="CI22" i="33" s="1"/>
  <c r="CI55" i="33" s="1"/>
  <c r="O1319" i="25"/>
  <c r="P1319" i="25" s="1"/>
  <c r="CT20" i="2"/>
  <c r="CI8" i="33" s="1"/>
  <c r="CI41" i="33" s="1"/>
  <c r="O1304" i="25"/>
  <c r="P1304" i="25" s="1"/>
  <c r="CF20" i="34" s="1"/>
  <c r="CE25" i="34" s="1"/>
  <c r="O1315" i="25"/>
  <c r="P1315" i="25" s="1"/>
  <c r="O1317" i="25"/>
  <c r="P1317" i="25" s="1"/>
  <c r="CH55" i="33"/>
  <c r="CH41" i="33"/>
  <c r="CS40" i="2"/>
  <c r="CH28" i="33" s="1"/>
  <c r="CG53" i="33"/>
  <c r="CR41" i="2"/>
  <c r="CG30" i="33" s="1"/>
  <c r="CG63" i="33" s="1"/>
  <c r="O1257" i="25"/>
  <c r="P1257" i="25" s="1"/>
  <c r="CD65" i="34" s="1"/>
  <c r="CC68" i="34" s="1"/>
  <c r="CF31" i="33"/>
  <c r="CF63" i="33"/>
  <c r="CE63" i="33"/>
  <c r="O1278" i="25" l="1"/>
  <c r="P1278" i="25" s="1"/>
  <c r="CE40" i="34" s="1"/>
  <c r="CG40" i="33"/>
  <c r="O1290" i="25"/>
  <c r="P1290" i="25" s="1"/>
  <c r="CE67" i="34" s="1"/>
  <c r="CD70" i="34" s="1"/>
  <c r="CD53" i="34"/>
  <c r="CD58" i="34"/>
  <c r="CC63" i="34"/>
  <c r="CG59" i="33"/>
  <c r="CC19" i="34"/>
  <c r="CB24" i="34" s="1"/>
  <c r="CR36" i="2"/>
  <c r="CG24" i="33" s="1"/>
  <c r="CG57" i="33" s="1"/>
  <c r="CS38" i="2"/>
  <c r="CH26" i="33" s="1"/>
  <c r="CH59" i="33" s="1"/>
  <c r="CR26" i="2"/>
  <c r="CG14" i="33" s="1"/>
  <c r="CG47" i="33" s="1"/>
  <c r="CD40" i="34"/>
  <c r="CC43" i="34" s="1"/>
  <c r="CS25" i="2"/>
  <c r="CH13" i="33" s="1"/>
  <c r="CH46" i="33" s="1"/>
  <c r="CD31" i="34"/>
  <c r="CC36" i="34" s="1"/>
  <c r="CC60" i="34"/>
  <c r="CB62" i="34" s="1"/>
  <c r="CD29" i="34"/>
  <c r="CC34" i="34" s="1"/>
  <c r="CS23" i="2"/>
  <c r="CH11" i="33" s="1"/>
  <c r="CC18" i="34"/>
  <c r="CB23" i="34" s="1"/>
  <c r="CE31" i="34"/>
  <c r="CE61" i="34"/>
  <c r="CD63" i="34" s="1"/>
  <c r="CD50" i="34"/>
  <c r="CC57" i="34" s="1"/>
  <c r="CD47" i="34"/>
  <c r="CC54" i="34" s="1"/>
  <c r="CS31" i="2"/>
  <c r="CH19" i="33" s="1"/>
  <c r="CH52" i="33" s="1"/>
  <c r="CR18" i="2"/>
  <c r="CG6" i="33" s="1"/>
  <c r="CG39" i="33" s="1"/>
  <c r="CD49" i="34"/>
  <c r="CC56" i="34" s="1"/>
  <c r="CC38" i="34"/>
  <c r="CB41" i="34" s="1"/>
  <c r="CB68" i="34"/>
  <c r="CH61" i="33"/>
  <c r="O1314" i="25"/>
  <c r="P1314" i="25" s="1"/>
  <c r="CF46" i="34" s="1"/>
  <c r="CE53" i="34" s="1"/>
  <c r="CT30" i="2"/>
  <c r="CI18" i="33" s="1"/>
  <c r="CI51" i="33" s="1"/>
  <c r="O1322" i="25"/>
  <c r="P1322" i="25" s="1"/>
  <c r="CH49" i="33"/>
  <c r="O1284" i="25"/>
  <c r="P1284" i="25" s="1"/>
  <c r="O1318" i="25" s="1"/>
  <c r="P1318" i="25" s="1"/>
  <c r="CF50" i="34" s="1"/>
  <c r="CS34" i="2"/>
  <c r="CH23" i="33" s="1"/>
  <c r="CH56" i="33" s="1"/>
  <c r="CD71" i="34"/>
  <c r="CC72" i="34" s="1"/>
  <c r="O1276" i="25"/>
  <c r="P1276" i="25" s="1"/>
  <c r="O1302" i="25"/>
  <c r="P1302" i="25" s="1"/>
  <c r="CC30" i="34"/>
  <c r="CB35" i="34" s="1"/>
  <c r="O1240" i="25"/>
  <c r="P1240" i="25" s="1"/>
  <c r="CR24" i="2"/>
  <c r="CG12" i="33" s="1"/>
  <c r="CG45" i="33" s="1"/>
  <c r="CT37" i="2"/>
  <c r="CI25" i="33" s="1"/>
  <c r="CI58" i="33" s="1"/>
  <c r="O1286" i="25"/>
  <c r="P1286" i="25" s="1"/>
  <c r="O1321" i="25"/>
  <c r="P1321" i="25" s="1"/>
  <c r="O1269" i="25"/>
  <c r="P1269" i="25" s="1"/>
  <c r="CC28" i="34"/>
  <c r="CB33" i="34" s="1"/>
  <c r="CR22" i="2"/>
  <c r="CG10" i="33" s="1"/>
  <c r="CG43" i="33" s="1"/>
  <c r="O1238" i="25"/>
  <c r="P1238" i="25" s="1"/>
  <c r="CS19" i="2" s="1"/>
  <c r="CH7" i="33" s="1"/>
  <c r="CH40" i="33" s="1"/>
  <c r="O1316" i="25"/>
  <c r="P1316" i="25" s="1"/>
  <c r="CF48" i="34" s="1"/>
  <c r="CE55" i="34" s="1"/>
  <c r="CT32" i="2"/>
  <c r="CI20" i="33" s="1"/>
  <c r="CI53" i="33" s="1"/>
  <c r="CC17" i="34"/>
  <c r="CB22" i="34" s="1"/>
  <c r="O1233" i="25"/>
  <c r="P1233" i="25" s="1"/>
  <c r="CR17" i="2"/>
  <c r="CG5" i="33" s="1"/>
  <c r="CG38" i="33" s="1"/>
  <c r="D1169" i="25"/>
  <c r="D1177" i="25"/>
  <c r="D1175" i="25"/>
  <c r="CR39" i="2"/>
  <c r="CG27" i="33" s="1"/>
  <c r="CG60" i="33" s="1"/>
  <c r="O1255" i="25"/>
  <c r="P1255" i="25" s="1"/>
  <c r="CD66" i="34" s="1"/>
  <c r="CC69" i="34" s="1"/>
  <c r="CT28" i="2"/>
  <c r="CI16" i="33" s="1"/>
  <c r="CI49" i="33" s="1"/>
  <c r="CR29" i="2"/>
  <c r="CG17" i="33" s="1"/>
  <c r="CG50" i="33" s="1"/>
  <c r="O1245" i="25"/>
  <c r="P1245" i="25" s="1"/>
  <c r="CD45" i="34" s="1"/>
  <c r="CC52" i="34" s="1"/>
  <c r="CR27" i="2"/>
  <c r="CG15" i="33" s="1"/>
  <c r="CG48" i="33" s="1"/>
  <c r="O1243" i="25"/>
  <c r="P1243" i="25" s="1"/>
  <c r="CD39" i="34" s="1"/>
  <c r="CC42" i="34" s="1"/>
  <c r="CR21" i="2"/>
  <c r="CG9" i="33" s="1"/>
  <c r="CG42" i="33" s="1"/>
  <c r="O1237" i="25"/>
  <c r="P1237" i="25" s="1"/>
  <c r="CD18" i="34" s="1"/>
  <c r="CQ16" i="2"/>
  <c r="CF4" i="33" s="1"/>
  <c r="CF37" i="33" s="1"/>
  <c r="O1198" i="25"/>
  <c r="P1198" i="25" s="1"/>
  <c r="CC16" i="34" s="1"/>
  <c r="CB21" i="34" s="1"/>
  <c r="D1186" i="25"/>
  <c r="D1164" i="25"/>
  <c r="D1182" i="25"/>
  <c r="D1176" i="25"/>
  <c r="D1172" i="25"/>
  <c r="D1188" i="25"/>
  <c r="D1168" i="25"/>
  <c r="D1180" i="25"/>
  <c r="D1184" i="25"/>
  <c r="D1166" i="25"/>
  <c r="D1183" i="25"/>
  <c r="D1173" i="25"/>
  <c r="D1179" i="25"/>
  <c r="D1167" i="25"/>
  <c r="D1165" i="25"/>
  <c r="D1181" i="25"/>
  <c r="D1171" i="25"/>
  <c r="D1174" i="25"/>
  <c r="D1178" i="25"/>
  <c r="D1170" i="25"/>
  <c r="D1185" i="25"/>
  <c r="O1312" i="25"/>
  <c r="P1312" i="25" s="1"/>
  <c r="CF40" i="34" s="1"/>
  <c r="CE43" i="34" s="1"/>
  <c r="CY13" i="2"/>
  <c r="CZ15" i="2"/>
  <c r="CY14" i="2"/>
  <c r="O1351" i="25"/>
  <c r="P1351" i="25" s="1"/>
  <c r="CU20" i="2"/>
  <c r="CJ8" i="33" s="1"/>
  <c r="CJ41" i="33" s="1"/>
  <c r="O1338" i="25"/>
  <c r="P1338" i="25" s="1"/>
  <c r="CU35" i="2"/>
  <c r="CJ22" i="33" s="1"/>
  <c r="CJ55" i="33" s="1"/>
  <c r="O1353" i="25"/>
  <c r="P1353" i="25" s="1"/>
  <c r="O1341" i="25"/>
  <c r="P1341" i="25" s="1"/>
  <c r="O1343" i="25"/>
  <c r="P1343" i="25" s="1"/>
  <c r="O1349" i="25"/>
  <c r="P1349" i="25" s="1"/>
  <c r="CT40" i="2"/>
  <c r="CI28" i="33" s="1"/>
  <c r="CI61" i="33" s="1"/>
  <c r="O1324" i="25"/>
  <c r="P1324" i="25" s="1"/>
  <c r="CF67" i="34" s="1"/>
  <c r="CE70" i="34" s="1"/>
  <c r="CG31" i="33"/>
  <c r="CH44" i="33"/>
  <c r="CH58" i="33"/>
  <c r="CS41" i="2"/>
  <c r="O1291" i="25"/>
  <c r="P1291" i="25" s="1"/>
  <c r="CT38" i="2" s="1"/>
  <c r="CI26" i="33" s="1"/>
  <c r="O1348" i="25" l="1"/>
  <c r="P1348" i="25" s="1"/>
  <c r="CI59" i="33"/>
  <c r="CU30" i="2"/>
  <c r="CC23" i="34"/>
  <c r="CG46" i="34"/>
  <c r="CF53" i="34" s="1"/>
  <c r="CU25" i="2"/>
  <c r="CJ13" i="33" s="1"/>
  <c r="CJ46" i="33" s="1"/>
  <c r="CD36" i="34"/>
  <c r="CU31" i="2"/>
  <c r="CJ19" i="33" s="1"/>
  <c r="CD19" i="34"/>
  <c r="CC24" i="34" s="1"/>
  <c r="CD43" i="34"/>
  <c r="CS36" i="2"/>
  <c r="CH24" i="33" s="1"/>
  <c r="CH57" i="33" s="1"/>
  <c r="CT23" i="2"/>
  <c r="CI11" i="33" s="1"/>
  <c r="CI44" i="33" s="1"/>
  <c r="CE29" i="34"/>
  <c r="CD34" i="34" s="1"/>
  <c r="CE50" i="34"/>
  <c r="CD57" i="34" s="1"/>
  <c r="CE47" i="34"/>
  <c r="CD54" i="34" s="1"/>
  <c r="CT31" i="2"/>
  <c r="CI19" i="33" s="1"/>
  <c r="CI52" i="33" s="1"/>
  <c r="CD60" i="34"/>
  <c r="CC62" i="34" s="1"/>
  <c r="CD38" i="34"/>
  <c r="CC41" i="34" s="1"/>
  <c r="CF31" i="34"/>
  <c r="CE36" i="34" s="1"/>
  <c r="CF61" i="34"/>
  <c r="CE63" i="34" s="1"/>
  <c r="CI46" i="33"/>
  <c r="CF51" i="34"/>
  <c r="CE58" i="34" s="1"/>
  <c r="CG20" i="34"/>
  <c r="CF25" i="34" s="1"/>
  <c r="CD27" i="34"/>
  <c r="CC32" i="34" s="1"/>
  <c r="CS18" i="2"/>
  <c r="CH6" i="33" s="1"/>
  <c r="CH39" i="33" s="1"/>
  <c r="CT33" i="2"/>
  <c r="CI21" i="33" s="1"/>
  <c r="CI54" i="33" s="1"/>
  <c r="CE49" i="34"/>
  <c r="CD56" i="34" s="1"/>
  <c r="CS26" i="2"/>
  <c r="CH14" i="33" s="1"/>
  <c r="CH47" i="33" s="1"/>
  <c r="CE65" i="34"/>
  <c r="CD68" i="34" s="1"/>
  <c r="CF47" i="34"/>
  <c r="CE54" i="34" s="1"/>
  <c r="O1356" i="25"/>
  <c r="P1356" i="25" s="1"/>
  <c r="O1390" i="25" s="1"/>
  <c r="P1390" i="25" s="1"/>
  <c r="CT34" i="2"/>
  <c r="CI23" i="33" s="1"/>
  <c r="CI56" i="33" s="1"/>
  <c r="CU32" i="2"/>
  <c r="CJ20" i="33" s="1"/>
  <c r="CJ53" i="33" s="1"/>
  <c r="O1336" i="25"/>
  <c r="P1336" i="25" s="1"/>
  <c r="CE71" i="34"/>
  <c r="CD72" i="34" s="1"/>
  <c r="O1310" i="25"/>
  <c r="P1310" i="25" s="1"/>
  <c r="CD30" i="34"/>
  <c r="CC35" i="34" s="1"/>
  <c r="CS24" i="2"/>
  <c r="CH12" i="33" s="1"/>
  <c r="CH45" i="33" s="1"/>
  <c r="O1274" i="25"/>
  <c r="P1274" i="25" s="1"/>
  <c r="O1355" i="25"/>
  <c r="P1355" i="25" s="1"/>
  <c r="CU37" i="2"/>
  <c r="CJ25" i="33" s="1"/>
  <c r="CJ58" i="33" s="1"/>
  <c r="O1320" i="25"/>
  <c r="P1320" i="25" s="1"/>
  <c r="O1350" i="25"/>
  <c r="P1350" i="25" s="1"/>
  <c r="CG48" i="34" s="1"/>
  <c r="CF55" i="34" s="1"/>
  <c r="O1303" i="25"/>
  <c r="P1303" i="25" s="1"/>
  <c r="CD28" i="34"/>
  <c r="CC33" i="34" s="1"/>
  <c r="CS22" i="2"/>
  <c r="CH10" i="33" s="1"/>
  <c r="CH43" i="33" s="1"/>
  <c r="O1272" i="25"/>
  <c r="P1272" i="25" s="1"/>
  <c r="CT19" i="2" s="1"/>
  <c r="CI7" i="33" s="1"/>
  <c r="CI40" i="33" s="1"/>
  <c r="CD17" i="34"/>
  <c r="CC22" i="34" s="1"/>
  <c r="CS17" i="2"/>
  <c r="CH5" i="33" s="1"/>
  <c r="CH38" i="33" s="1"/>
  <c r="O1267" i="25"/>
  <c r="P1267" i="25" s="1"/>
  <c r="D1211" i="25"/>
  <c r="D1203" i="25"/>
  <c r="D1221" i="25"/>
  <c r="D1209" i="25"/>
  <c r="CS39" i="2"/>
  <c r="CH27" i="33" s="1"/>
  <c r="CH60" i="33" s="1"/>
  <c r="O1289" i="25"/>
  <c r="P1289" i="25" s="1"/>
  <c r="CE66" i="34" s="1"/>
  <c r="CD69" i="34" s="1"/>
  <c r="CU28" i="2"/>
  <c r="CJ16" i="33" s="1"/>
  <c r="CJ49" i="33" s="1"/>
  <c r="O1358" i="25"/>
  <c r="P1358" i="25" s="1"/>
  <c r="CG67" i="34" s="1"/>
  <c r="CF70" i="34" s="1"/>
  <c r="O1346" i="25"/>
  <c r="P1346" i="25" s="1"/>
  <c r="CG40" i="34" s="1"/>
  <c r="CF43" i="34" s="1"/>
  <c r="CR16" i="2"/>
  <c r="CG4" i="33" s="1"/>
  <c r="CG37" i="33" s="1"/>
  <c r="O1232" i="25"/>
  <c r="P1232" i="25" s="1"/>
  <c r="CD16" i="34" s="1"/>
  <c r="CC21" i="34" s="1"/>
  <c r="D1205" i="25"/>
  <c r="D1220" i="25"/>
  <c r="D1212" i="25"/>
  <c r="D1218" i="25"/>
  <c r="D1219" i="25"/>
  <c r="D1210" i="25"/>
  <c r="D1217" i="25"/>
  <c r="D1213" i="25"/>
  <c r="D1222" i="25"/>
  <c r="D1198" i="25"/>
  <c r="D1204" i="25"/>
  <c r="D1206" i="25"/>
  <c r="D1214" i="25"/>
  <c r="D1207" i="25"/>
  <c r="D1199" i="25"/>
  <c r="D1200" i="25"/>
  <c r="D1202" i="25"/>
  <c r="D1201" i="25"/>
  <c r="D1215" i="25"/>
  <c r="D1216" i="25"/>
  <c r="D1208" i="25"/>
  <c r="O1271" i="25"/>
  <c r="P1271" i="25" s="1"/>
  <c r="CS21" i="2"/>
  <c r="CH9" i="33" s="1"/>
  <c r="CH42" i="33" s="1"/>
  <c r="O1277" i="25"/>
  <c r="P1277" i="25" s="1"/>
  <c r="CE39" i="34" s="1"/>
  <c r="CD42" i="34" s="1"/>
  <c r="CS27" i="2"/>
  <c r="CH15" i="33" s="1"/>
  <c r="CH48" i="33" s="1"/>
  <c r="O1279" i="25"/>
  <c r="P1279" i="25" s="1"/>
  <c r="CE45" i="34" s="1"/>
  <c r="CD52" i="34" s="1"/>
  <c r="CS29" i="2"/>
  <c r="CH17" i="33" s="1"/>
  <c r="CH50" i="33" s="1"/>
  <c r="CZ13" i="2"/>
  <c r="DA15" i="2"/>
  <c r="CZ14" i="2"/>
  <c r="O1377" i="25"/>
  <c r="P1377" i="25" s="1"/>
  <c r="O1387" i="25"/>
  <c r="P1387" i="25" s="1"/>
  <c r="O1385" i="25"/>
  <c r="P1385" i="25" s="1"/>
  <c r="CV30" i="2"/>
  <c r="CK18" i="33" s="1"/>
  <c r="O1382" i="25"/>
  <c r="P1382" i="25" s="1"/>
  <c r="O1383" i="25"/>
  <c r="P1383" i="25" s="1"/>
  <c r="O1375" i="25"/>
  <c r="P1375" i="25" s="1"/>
  <c r="CV20" i="2"/>
  <c r="O1372" i="25"/>
  <c r="P1372" i="25" s="1"/>
  <c r="CU34" i="2"/>
  <c r="CJ23" i="33" s="1"/>
  <c r="O1352" i="25"/>
  <c r="P1352" i="25" s="1"/>
  <c r="CG50" i="34" s="1"/>
  <c r="CF57" i="34" s="1"/>
  <c r="CJ18" i="33"/>
  <c r="CJ51" i="33" s="1"/>
  <c r="CU40" i="2"/>
  <c r="CT41" i="2"/>
  <c r="CI30" i="33" s="1"/>
  <c r="O1325" i="25"/>
  <c r="P1325" i="25" s="1"/>
  <c r="CF65" i="34" s="1"/>
  <c r="CE68" i="34" s="1"/>
  <c r="CH30" i="33"/>
  <c r="CE57" i="34" l="1"/>
  <c r="CV37" i="2"/>
  <c r="CK25" i="33" s="1"/>
  <c r="CK58" i="33" s="1"/>
  <c r="CV35" i="2"/>
  <c r="CV25" i="2"/>
  <c r="CK13" i="33" s="1"/>
  <c r="CK46" i="33" s="1"/>
  <c r="CV31" i="2"/>
  <c r="CK19" i="33" s="1"/>
  <c r="CK52" i="33" s="1"/>
  <c r="CE19" i="34"/>
  <c r="CD24" i="34" s="1"/>
  <c r="CU38" i="2"/>
  <c r="CJ26" i="33" s="1"/>
  <c r="CJ59" i="33" s="1"/>
  <c r="CG47" i="34"/>
  <c r="CF54" i="34" s="1"/>
  <c r="CJ52" i="33"/>
  <c r="CT36" i="2"/>
  <c r="CI24" i="33" s="1"/>
  <c r="CI57" i="33" s="1"/>
  <c r="CG61" i="34"/>
  <c r="CF63" i="34" s="1"/>
  <c r="CF29" i="34"/>
  <c r="CE34" i="34" s="1"/>
  <c r="CU23" i="2"/>
  <c r="CJ11" i="33" s="1"/>
  <c r="CJ44" i="33" s="1"/>
  <c r="CE27" i="34"/>
  <c r="CD32" i="34" s="1"/>
  <c r="CE18" i="34"/>
  <c r="CD23" i="34" s="1"/>
  <c r="CT18" i="2"/>
  <c r="CI6" i="33" s="1"/>
  <c r="CI39" i="33" s="1"/>
  <c r="CF49" i="34"/>
  <c r="CE56" i="34" s="1"/>
  <c r="CU33" i="2"/>
  <c r="CJ21" i="33" s="1"/>
  <c r="CJ54" i="33" s="1"/>
  <c r="CT26" i="2"/>
  <c r="CI14" i="33" s="1"/>
  <c r="CI47" i="33" s="1"/>
  <c r="CG51" i="34"/>
  <c r="CF58" i="34" s="1"/>
  <c r="CE38" i="34"/>
  <c r="CD41" i="34" s="1"/>
  <c r="CE60" i="34"/>
  <c r="CD62" i="34" s="1"/>
  <c r="CG31" i="34"/>
  <c r="CF36" i="34" s="1"/>
  <c r="O1370" i="25"/>
  <c r="P1370" i="25" s="1"/>
  <c r="O1404" i="25" s="1"/>
  <c r="P1404" i="25" s="1"/>
  <c r="CJ56" i="33"/>
  <c r="CH46" i="34"/>
  <c r="CG53" i="34" s="1"/>
  <c r="CH51" i="34"/>
  <c r="CH20" i="34"/>
  <c r="CG25" i="34" s="1"/>
  <c r="O1344" i="25"/>
  <c r="P1344" i="25" s="1"/>
  <c r="O1378" i="25" s="1"/>
  <c r="P1378" i="25" s="1"/>
  <c r="CH29" i="34" s="1"/>
  <c r="CF71" i="34"/>
  <c r="CE72" i="34" s="1"/>
  <c r="O1384" i="25"/>
  <c r="P1384" i="25" s="1"/>
  <c r="CW32" i="2" s="1"/>
  <c r="CL20" i="33" s="1"/>
  <c r="CV32" i="2"/>
  <c r="CK20" i="33" s="1"/>
  <c r="CK53" i="33" s="1"/>
  <c r="CV28" i="2"/>
  <c r="CK16" i="33" s="1"/>
  <c r="CK49" i="33" s="1"/>
  <c r="O1389" i="25"/>
  <c r="P1389" i="25" s="1"/>
  <c r="O1423" i="25" s="1"/>
  <c r="P1423" i="25" s="1"/>
  <c r="CE30" i="34"/>
  <c r="CD35" i="34" s="1"/>
  <c r="CT24" i="2"/>
  <c r="CI12" i="33" s="1"/>
  <c r="CI45" i="33" s="1"/>
  <c r="O1308" i="25"/>
  <c r="P1308" i="25" s="1"/>
  <c r="O1380" i="25"/>
  <c r="P1380" i="25" s="1"/>
  <c r="CW28" i="2" s="1"/>
  <c r="CL16" i="33" s="1"/>
  <c r="O1354" i="25"/>
  <c r="P1354" i="25" s="1"/>
  <c r="CV40" i="2"/>
  <c r="CK28" i="33" s="1"/>
  <c r="O1392" i="25"/>
  <c r="P1392" i="25" s="1"/>
  <c r="O1337" i="25"/>
  <c r="P1337" i="25" s="1"/>
  <c r="CE28" i="34"/>
  <c r="CD33" i="34" s="1"/>
  <c r="CT22" i="2"/>
  <c r="CI10" i="33" s="1"/>
  <c r="CI43" i="33" s="1"/>
  <c r="O1306" i="25"/>
  <c r="P1306" i="25" s="1"/>
  <c r="CF19" i="34" s="1"/>
  <c r="CE17" i="34"/>
  <c r="CD22" i="34" s="1"/>
  <c r="CT17" i="2"/>
  <c r="CI5" i="33" s="1"/>
  <c r="CI38" i="33" s="1"/>
  <c r="O1301" i="25"/>
  <c r="P1301" i="25" s="1"/>
  <c r="CS16" i="2"/>
  <c r="CH4" i="33" s="1"/>
  <c r="CH37" i="33" s="1"/>
  <c r="O1266" i="25"/>
  <c r="P1266" i="25" s="1"/>
  <c r="CE16" i="34" s="1"/>
  <c r="CD21" i="34" s="1"/>
  <c r="D1256" i="25"/>
  <c r="D1244" i="25"/>
  <c r="D1251" i="25"/>
  <c r="D1252" i="25"/>
  <c r="D1238" i="25"/>
  <c r="D1250" i="25"/>
  <c r="D1240" i="25"/>
  <c r="D1232" i="25"/>
  <c r="D1236" i="25"/>
  <c r="D1234" i="25"/>
  <c r="D1253" i="25"/>
  <c r="D1239" i="25"/>
  <c r="D1248" i="25"/>
  <c r="D1247" i="25"/>
  <c r="D1249" i="25"/>
  <c r="D1235" i="25"/>
  <c r="D1254" i="25"/>
  <c r="D1246" i="25"/>
  <c r="D1233" i="25"/>
  <c r="D1241" i="25"/>
  <c r="D1242" i="25"/>
  <c r="CT29" i="2"/>
  <c r="CI17" i="33" s="1"/>
  <c r="CI50" i="33" s="1"/>
  <c r="O1313" i="25"/>
  <c r="P1313" i="25" s="1"/>
  <c r="CF45" i="34" s="1"/>
  <c r="CE52" i="34" s="1"/>
  <c r="D1279" i="25"/>
  <c r="O1311" i="25"/>
  <c r="P1311" i="25" s="1"/>
  <c r="CF39" i="34" s="1"/>
  <c r="CE42" i="34" s="1"/>
  <c r="CT27" i="2"/>
  <c r="CI15" i="33" s="1"/>
  <c r="CI48" i="33" s="1"/>
  <c r="CT21" i="2"/>
  <c r="CI9" i="33" s="1"/>
  <c r="CI42" i="33" s="1"/>
  <c r="O1305" i="25"/>
  <c r="P1305" i="25" s="1"/>
  <c r="CT39" i="2"/>
  <c r="CI27" i="33" s="1"/>
  <c r="CI60" i="33" s="1"/>
  <c r="O1323" i="25"/>
  <c r="P1323" i="25" s="1"/>
  <c r="CF66" i="34" s="1"/>
  <c r="CE69" i="34" s="1"/>
  <c r="D1255" i="25"/>
  <c r="D1245" i="25"/>
  <c r="D1243" i="25"/>
  <c r="D1237" i="25"/>
  <c r="DA13" i="2"/>
  <c r="DB15" i="2"/>
  <c r="DA14" i="2"/>
  <c r="CW20" i="2"/>
  <c r="CI6" i="9" s="1"/>
  <c r="CH50" i="9" s="1"/>
  <c r="O1406" i="25"/>
  <c r="P1406" i="25" s="1"/>
  <c r="O1417" i="25"/>
  <c r="P1417" i="25" s="1"/>
  <c r="CW30" i="2"/>
  <c r="CL18" i="33" s="1"/>
  <c r="CL51" i="33" s="1"/>
  <c r="O1416" i="25"/>
  <c r="P1416" i="25" s="1"/>
  <c r="CW25" i="2"/>
  <c r="CL13" i="33" s="1"/>
  <c r="O1411" i="25"/>
  <c r="P1411" i="25" s="1"/>
  <c r="O1424" i="25"/>
  <c r="P1424" i="25" s="1"/>
  <c r="O1409" i="25"/>
  <c r="P1409" i="25" s="1"/>
  <c r="O1419" i="25"/>
  <c r="P1419" i="25" s="1"/>
  <c r="CW35" i="2"/>
  <c r="CL22" i="33" s="1"/>
  <c r="O1421" i="25"/>
  <c r="P1421" i="25" s="1"/>
  <c r="O1386" i="25"/>
  <c r="P1386" i="25" s="1"/>
  <c r="CH47" i="34" s="1"/>
  <c r="CG54" i="34" s="1"/>
  <c r="CK8" i="33"/>
  <c r="CK41" i="33" s="1"/>
  <c r="CK22" i="33"/>
  <c r="CK55" i="33" s="1"/>
  <c r="CK51" i="33"/>
  <c r="CV34" i="2"/>
  <c r="CU41" i="2"/>
  <c r="O1359" i="25"/>
  <c r="P1359" i="25" s="1"/>
  <c r="CV38" i="2" s="1"/>
  <c r="CK26" i="33" s="1"/>
  <c r="CK59" i="33" s="1"/>
  <c r="CJ28" i="33"/>
  <c r="CI31" i="33"/>
  <c r="CI63" i="33"/>
  <c r="CH31" i="33"/>
  <c r="CH63" i="33"/>
  <c r="CE24" i="34" l="1"/>
  <c r="CW23" i="2"/>
  <c r="CI9" i="9" s="1"/>
  <c r="CH65" i="9" s="1"/>
  <c r="CG58" i="34"/>
  <c r="CL46" i="33"/>
  <c r="CI51" i="34"/>
  <c r="CH58" i="34" s="1"/>
  <c r="CU36" i="2"/>
  <c r="CJ24" i="33" s="1"/>
  <c r="CJ57" i="33" s="1"/>
  <c r="CH31" i="34"/>
  <c r="CG36" i="34" s="1"/>
  <c r="CU26" i="2"/>
  <c r="CJ14" i="33" s="1"/>
  <c r="CJ47" i="33" s="1"/>
  <c r="CW31" i="2"/>
  <c r="CL19" i="33" s="1"/>
  <c r="CL52" i="33" s="1"/>
  <c r="CF27" i="34"/>
  <c r="CE32" i="34" s="1"/>
  <c r="CU18" i="2"/>
  <c r="CJ6" i="33" s="1"/>
  <c r="CJ39" i="33" s="1"/>
  <c r="CF18" i="34"/>
  <c r="CE23" i="34" s="1"/>
  <c r="CF60" i="34"/>
  <c r="CE62" i="34" s="1"/>
  <c r="CF38" i="34"/>
  <c r="CE41" i="34" s="1"/>
  <c r="CI46" i="34"/>
  <c r="CH53" i="34" s="1"/>
  <c r="CI20" i="34"/>
  <c r="CH25" i="34" s="1"/>
  <c r="CU19" i="2"/>
  <c r="CJ7" i="33" s="1"/>
  <c r="CJ40" i="33" s="1"/>
  <c r="CG65" i="34"/>
  <c r="CF68" i="34" s="1"/>
  <c r="CV33" i="2"/>
  <c r="CK21" i="33" s="1"/>
  <c r="CK54" i="33" s="1"/>
  <c r="CG49" i="34"/>
  <c r="CF56" i="34" s="1"/>
  <c r="CG29" i="34"/>
  <c r="CF34" i="34" s="1"/>
  <c r="CV23" i="2"/>
  <c r="CK11" i="33" s="1"/>
  <c r="CK44" i="33" s="1"/>
  <c r="CW37" i="2"/>
  <c r="CL25" i="33" s="1"/>
  <c r="CL58" i="33" s="1"/>
  <c r="O1414" i="25"/>
  <c r="P1414" i="25" s="1"/>
  <c r="CI40" i="34" s="1"/>
  <c r="CH40" i="34"/>
  <c r="CG43" i="34" s="1"/>
  <c r="CH61" i="34"/>
  <c r="CG63" i="34" s="1"/>
  <c r="CH50" i="34"/>
  <c r="CG57" i="34" s="1"/>
  <c r="CH67" i="34"/>
  <c r="CG70" i="34" s="1"/>
  <c r="CH48" i="34"/>
  <c r="CG55" i="34" s="1"/>
  <c r="CL53" i="33"/>
  <c r="CW40" i="2"/>
  <c r="CI26" i="9" s="1"/>
  <c r="CH150" i="9" s="1"/>
  <c r="CI151" i="9" s="1"/>
  <c r="O1418" i="25"/>
  <c r="P1418" i="25" s="1"/>
  <c r="CI48" i="34" s="1"/>
  <c r="CG71" i="34"/>
  <c r="CF72" i="34" s="1"/>
  <c r="CL49" i="33"/>
  <c r="CF30" i="34"/>
  <c r="CE35" i="34" s="1"/>
  <c r="CU24" i="2"/>
  <c r="CJ12" i="33" s="1"/>
  <c r="CJ45" i="33" s="1"/>
  <c r="O1342" i="25"/>
  <c r="P1342" i="25" s="1"/>
  <c r="O1412" i="25"/>
  <c r="P1412" i="25" s="1"/>
  <c r="O1388" i="25"/>
  <c r="P1388" i="25" s="1"/>
  <c r="D1277" i="25"/>
  <c r="D1271" i="25"/>
  <c r="O1426" i="25"/>
  <c r="P1426" i="25" s="1"/>
  <c r="CI67" i="34" s="1"/>
  <c r="D1289" i="25"/>
  <c r="O1371" i="25"/>
  <c r="P1371" i="25" s="1"/>
  <c r="CF28" i="34"/>
  <c r="CE33" i="34" s="1"/>
  <c r="CU22" i="2"/>
  <c r="CJ10" i="33" s="1"/>
  <c r="CJ43" i="33" s="1"/>
  <c r="O1340" i="25"/>
  <c r="P1340" i="25" s="1"/>
  <c r="CG19" i="34" s="1"/>
  <c r="CF24" i="34" s="1"/>
  <c r="CL8" i="33"/>
  <c r="CL41" i="33" s="1"/>
  <c r="CF17" i="34"/>
  <c r="CE22" i="34" s="1"/>
  <c r="CU17" i="2"/>
  <c r="CJ5" i="33" s="1"/>
  <c r="CJ38" i="33" s="1"/>
  <c r="O1335" i="25"/>
  <c r="P1335" i="25" s="1"/>
  <c r="O1357" i="25"/>
  <c r="P1357" i="25" s="1"/>
  <c r="CG66" i="34" s="1"/>
  <c r="CF69" i="34" s="1"/>
  <c r="CU39" i="2"/>
  <c r="CJ27" i="33" s="1"/>
  <c r="CJ60" i="33" s="1"/>
  <c r="CU21" i="2"/>
  <c r="CJ9" i="33" s="1"/>
  <c r="CJ42" i="33" s="1"/>
  <c r="O1339" i="25"/>
  <c r="P1339" i="25" s="1"/>
  <c r="O1347" i="25"/>
  <c r="P1347" i="25" s="1"/>
  <c r="CG45" i="34" s="1"/>
  <c r="CF52" i="34" s="1"/>
  <c r="CU29" i="2"/>
  <c r="CJ17" i="33" s="1"/>
  <c r="CJ50" i="33" s="1"/>
  <c r="CT16" i="2"/>
  <c r="CI4" i="33" s="1"/>
  <c r="CI37" i="33" s="1"/>
  <c r="O1300" i="25"/>
  <c r="P1300" i="25" s="1"/>
  <c r="CF16" i="34" s="1"/>
  <c r="CE21" i="34" s="1"/>
  <c r="D1272" i="25"/>
  <c r="D1276" i="25"/>
  <c r="D1275" i="25"/>
  <c r="D1270" i="25"/>
  <c r="D1278" i="25"/>
  <c r="D1267" i="25"/>
  <c r="D1285" i="25"/>
  <c r="D1287" i="25"/>
  <c r="D1281" i="25"/>
  <c r="D1266" i="25"/>
  <c r="D1273" i="25"/>
  <c r="D1284" i="25"/>
  <c r="D1269" i="25"/>
  <c r="D1283" i="25"/>
  <c r="D1282" i="25"/>
  <c r="D1290" i="25"/>
  <c r="D1268" i="25"/>
  <c r="D1286" i="25"/>
  <c r="D1274" i="25"/>
  <c r="D1288" i="25"/>
  <c r="D1280" i="25"/>
  <c r="O1345" i="25"/>
  <c r="P1345" i="25" s="1"/>
  <c r="CG39" i="34" s="1"/>
  <c r="CF42" i="34" s="1"/>
  <c r="CU27" i="2"/>
  <c r="CJ15" i="33" s="1"/>
  <c r="CJ48" i="33" s="1"/>
  <c r="DB13" i="2"/>
  <c r="DC15" i="2"/>
  <c r="DD15" i="2" s="1"/>
  <c r="DB14" i="2"/>
  <c r="O1453" i="25"/>
  <c r="P1453" i="25" s="1"/>
  <c r="O1457" i="25"/>
  <c r="P1457" i="25" s="1"/>
  <c r="CX23" i="2"/>
  <c r="CM11" i="33" s="1"/>
  <c r="O1443" i="25"/>
  <c r="P1443" i="25" s="1"/>
  <c r="O1438" i="25"/>
  <c r="P1438" i="25" s="1"/>
  <c r="CX25" i="2"/>
  <c r="CM13" i="33" s="1"/>
  <c r="CM46" i="33" s="1"/>
  <c r="O1445" i="25"/>
  <c r="P1445" i="25" s="1"/>
  <c r="O1451" i="25"/>
  <c r="P1451" i="25" s="1"/>
  <c r="CX20" i="2"/>
  <c r="CM8" i="33" s="1"/>
  <c r="O1440" i="25"/>
  <c r="P1440" i="25" s="1"/>
  <c r="CX35" i="2"/>
  <c r="CM22" i="33" s="1"/>
  <c r="CM55" i="33" s="1"/>
  <c r="O1455" i="25"/>
  <c r="P1455" i="25" s="1"/>
  <c r="O1458" i="25"/>
  <c r="P1458" i="25" s="1"/>
  <c r="CX30" i="2"/>
  <c r="CM18" i="33" s="1"/>
  <c r="CM51" i="33" s="1"/>
  <c r="O1450" i="25"/>
  <c r="P1450" i="25" s="1"/>
  <c r="CL11" i="33"/>
  <c r="CI11" i="9"/>
  <c r="CH75" i="9" s="1"/>
  <c r="CH76" i="9" s="1"/>
  <c r="CH51" i="9"/>
  <c r="CI51" i="9"/>
  <c r="CH151" i="9"/>
  <c r="CH66" i="9"/>
  <c r="CI66" i="9"/>
  <c r="CI21" i="9"/>
  <c r="CH120" i="9" s="1"/>
  <c r="CI18" i="9"/>
  <c r="CH110" i="9" s="1"/>
  <c r="CI16" i="9"/>
  <c r="CH100" i="9" s="1"/>
  <c r="CI14" i="9"/>
  <c r="CH90" i="9" s="1"/>
  <c r="O1420" i="25"/>
  <c r="P1420" i="25" s="1"/>
  <c r="CI50" i="34" s="1"/>
  <c r="CH57" i="34" s="1"/>
  <c r="CL55" i="33"/>
  <c r="CW34" i="2"/>
  <c r="CV41" i="2"/>
  <c r="CK30" i="33" s="1"/>
  <c r="O1393" i="25"/>
  <c r="P1393" i="25" s="1"/>
  <c r="CJ61" i="33"/>
  <c r="CK61" i="33"/>
  <c r="CK23" i="33"/>
  <c r="CK56" i="33" s="1"/>
  <c r="CJ30" i="33"/>
  <c r="D1311" i="25" l="1"/>
  <c r="O1448" i="25"/>
  <c r="P1448" i="25" s="1"/>
  <c r="CL44" i="33"/>
  <c r="CX28" i="2"/>
  <c r="CM16" i="33" s="1"/>
  <c r="CM49" i="33" s="1"/>
  <c r="CJ40" i="34"/>
  <c r="CI43" i="34" s="1"/>
  <c r="CI17" i="9"/>
  <c r="CH105" i="9" s="1"/>
  <c r="CH106" i="9" s="1"/>
  <c r="CX37" i="2"/>
  <c r="CM25" i="33" s="1"/>
  <c r="CM58" i="33" s="1"/>
  <c r="CJ20" i="34"/>
  <c r="CI25" i="34" s="1"/>
  <c r="CV19" i="2"/>
  <c r="CK7" i="33" s="1"/>
  <c r="CK40" i="33" s="1"/>
  <c r="CI31" i="34"/>
  <c r="CH36" i="34" s="1"/>
  <c r="CX31" i="2"/>
  <c r="CM19" i="33" s="1"/>
  <c r="CM52" i="33" s="1"/>
  <c r="CG60" i="34"/>
  <c r="CF62" i="34" s="1"/>
  <c r="CG38" i="34"/>
  <c r="CF41" i="34" s="1"/>
  <c r="CI61" i="34"/>
  <c r="CH63" i="34" s="1"/>
  <c r="CI29" i="34"/>
  <c r="CH34" i="34" s="1"/>
  <c r="CI47" i="34"/>
  <c r="CH54" i="34" s="1"/>
  <c r="CW38" i="2"/>
  <c r="CH65" i="34"/>
  <c r="CG68" i="34" s="1"/>
  <c r="CJ31" i="34"/>
  <c r="CV36" i="2"/>
  <c r="CK24" i="33" s="1"/>
  <c r="CK57" i="33" s="1"/>
  <c r="CJ46" i="34"/>
  <c r="CI53" i="34" s="1"/>
  <c r="CJ51" i="34"/>
  <c r="CI58" i="34" s="1"/>
  <c r="CG27" i="34"/>
  <c r="CF32" i="34" s="1"/>
  <c r="CG18" i="34"/>
  <c r="CF23" i="34" s="1"/>
  <c r="CV18" i="2"/>
  <c r="CK6" i="33" s="1"/>
  <c r="CK39" i="33" s="1"/>
  <c r="CH49" i="34"/>
  <c r="CG56" i="34" s="1"/>
  <c r="CW33" i="2"/>
  <c r="CV26" i="2"/>
  <c r="CK14" i="33" s="1"/>
  <c r="CK47" i="33" s="1"/>
  <c r="CG34" i="34"/>
  <c r="CI23" i="9"/>
  <c r="CH135" i="9" s="1"/>
  <c r="CH136" i="9" s="1"/>
  <c r="O1452" i="25"/>
  <c r="P1452" i="25" s="1"/>
  <c r="CJ48" i="34" s="1"/>
  <c r="CI55" i="34" s="1"/>
  <c r="CH70" i="34"/>
  <c r="CL28" i="33"/>
  <c r="CL61" i="33" s="1"/>
  <c r="CH55" i="34"/>
  <c r="CH43" i="34"/>
  <c r="CX32" i="2"/>
  <c r="CM20" i="33" s="1"/>
  <c r="CM53" i="33" s="1"/>
  <c r="CH71" i="34"/>
  <c r="CG72" i="34" s="1"/>
  <c r="CG30" i="34"/>
  <c r="CF35" i="34" s="1"/>
  <c r="CV24" i="2"/>
  <c r="CK12" i="33" s="1"/>
  <c r="CK45" i="33" s="1"/>
  <c r="O1376" i="25"/>
  <c r="P1376" i="25" s="1"/>
  <c r="O1446" i="25"/>
  <c r="P1446" i="25" s="1"/>
  <c r="CM41" i="33"/>
  <c r="O1422" i="25"/>
  <c r="P1422" i="25" s="1"/>
  <c r="O1460" i="25"/>
  <c r="P1460" i="25" s="1"/>
  <c r="CJ67" i="34" s="1"/>
  <c r="CI70" i="34" s="1"/>
  <c r="CX40" i="2"/>
  <c r="CM28" i="33" s="1"/>
  <c r="O1405" i="25"/>
  <c r="P1405" i="25" s="1"/>
  <c r="CG28" i="34"/>
  <c r="CF33" i="34" s="1"/>
  <c r="CV22" i="2"/>
  <c r="CK10" i="33" s="1"/>
  <c r="CK43" i="33" s="1"/>
  <c r="O1374" i="25"/>
  <c r="P1374" i="25" s="1"/>
  <c r="CH19" i="34" s="1"/>
  <c r="CG24" i="34" s="1"/>
  <c r="CG17" i="34"/>
  <c r="CF22" i="34" s="1"/>
  <c r="O1369" i="25"/>
  <c r="P1369" i="25" s="1"/>
  <c r="CV17" i="2"/>
  <c r="CK5" i="33" s="1"/>
  <c r="CK38" i="33" s="1"/>
  <c r="D1323" i="25"/>
  <c r="D1313" i="25"/>
  <c r="D1305" i="25"/>
  <c r="CU16" i="2"/>
  <c r="CJ4" i="33" s="1"/>
  <c r="CJ37" i="33" s="1"/>
  <c r="O1334" i="25"/>
  <c r="P1334" i="25" s="1"/>
  <c r="CG16" i="34" s="1"/>
  <c r="CF21" i="34" s="1"/>
  <c r="D1322" i="25"/>
  <c r="D1317" i="25"/>
  <c r="D1300" i="25"/>
  <c r="D1303" i="25"/>
  <c r="D1319" i="25"/>
  <c r="D1324" i="25"/>
  <c r="D1314" i="25"/>
  <c r="D1310" i="25"/>
  <c r="D1312" i="25"/>
  <c r="D1308" i="25"/>
  <c r="D1321" i="25"/>
  <c r="D1304" i="25"/>
  <c r="D1301" i="25"/>
  <c r="D1318" i="25"/>
  <c r="D1315" i="25"/>
  <c r="D1316" i="25"/>
  <c r="D1307" i="25"/>
  <c r="D1309" i="25"/>
  <c r="D1306" i="25"/>
  <c r="D1302" i="25"/>
  <c r="D1320" i="25"/>
  <c r="O1373" i="25"/>
  <c r="P1373" i="25" s="1"/>
  <c r="CV21" i="2"/>
  <c r="CK9" i="33" s="1"/>
  <c r="CK42" i="33" s="1"/>
  <c r="O1379" i="25"/>
  <c r="P1379" i="25" s="1"/>
  <c r="CV27" i="2"/>
  <c r="CK15" i="33" s="1"/>
  <c r="CK48" i="33" s="1"/>
  <c r="CV29" i="2"/>
  <c r="CK17" i="33" s="1"/>
  <c r="CK50" i="33" s="1"/>
  <c r="O1381" i="25"/>
  <c r="P1381" i="25" s="1"/>
  <c r="CV39" i="2"/>
  <c r="CK27" i="33" s="1"/>
  <c r="CK60" i="33" s="1"/>
  <c r="O1391" i="25"/>
  <c r="P1391" i="25" s="1"/>
  <c r="CW36" i="2" s="1"/>
  <c r="DD13" i="2"/>
  <c r="DE15" i="2"/>
  <c r="DF15" i="2" s="1"/>
  <c r="DG15" i="2" s="1"/>
  <c r="DD14" i="2"/>
  <c r="DC13" i="2"/>
  <c r="DC14" i="2"/>
  <c r="CY28" i="2"/>
  <c r="CN16" i="33" s="1"/>
  <c r="CN49" i="33" s="1"/>
  <c r="O1482" i="25"/>
  <c r="P1482" i="25" s="1"/>
  <c r="CY30" i="2"/>
  <c r="CN18" i="33" s="1"/>
  <c r="CN51" i="33" s="1"/>
  <c r="O1484" i="25"/>
  <c r="P1484" i="25" s="1"/>
  <c r="O1492" i="25"/>
  <c r="P1492" i="25" s="1"/>
  <c r="CY35" i="2"/>
  <c r="CN22" i="33" s="1"/>
  <c r="CN55" i="33" s="1"/>
  <c r="O1489" i="25"/>
  <c r="P1489" i="25" s="1"/>
  <c r="CY20" i="2"/>
  <c r="CN8" i="33" s="1"/>
  <c r="CN41" i="33" s="1"/>
  <c r="O1474" i="25"/>
  <c r="P1474" i="25" s="1"/>
  <c r="O1472" i="25"/>
  <c r="P1472" i="25" s="1"/>
  <c r="CY37" i="2"/>
  <c r="CN25" i="33" s="1"/>
  <c r="O1491" i="25"/>
  <c r="P1491" i="25" s="1"/>
  <c r="O1485" i="25"/>
  <c r="P1485" i="25" s="1"/>
  <c r="CY25" i="2"/>
  <c r="O1479" i="25"/>
  <c r="P1479" i="25" s="1"/>
  <c r="CK31" i="34" s="1"/>
  <c r="CY23" i="2"/>
  <c r="O1477" i="25"/>
  <c r="P1477" i="25" s="1"/>
  <c r="O1487" i="25"/>
  <c r="P1487" i="25" s="1"/>
  <c r="CM44" i="33"/>
  <c r="CI106" i="9"/>
  <c r="O1454" i="25"/>
  <c r="P1454" i="25" s="1"/>
  <c r="CJ50" i="34" s="1"/>
  <c r="CI57" i="34" s="1"/>
  <c r="CI76" i="9"/>
  <c r="CH91" i="9"/>
  <c r="CI91" i="9"/>
  <c r="CH121" i="9"/>
  <c r="CI121" i="9"/>
  <c r="CH111" i="9"/>
  <c r="CI111" i="9"/>
  <c r="CH101" i="9"/>
  <c r="CI101" i="9"/>
  <c r="CX34" i="2"/>
  <c r="CK31" i="33"/>
  <c r="CW41" i="2"/>
  <c r="CL30" i="33" s="1"/>
  <c r="CL31" i="33" s="1"/>
  <c r="O1427" i="25"/>
  <c r="P1427" i="25" s="1"/>
  <c r="CI20" i="9"/>
  <c r="CJ125" i="9" s="1"/>
  <c r="CL23" i="33"/>
  <c r="CL56" i="33" s="1"/>
  <c r="CK63" i="33"/>
  <c r="CJ31" i="33"/>
  <c r="CJ63" i="33"/>
  <c r="D1339" i="25" l="1"/>
  <c r="DG13" i="2"/>
  <c r="DH15" i="2"/>
  <c r="DG14" i="2"/>
  <c r="CN58" i="33"/>
  <c r="CJ36" i="34"/>
  <c r="CI136" i="9"/>
  <c r="CM61" i="33"/>
  <c r="CI36" i="34"/>
  <c r="CY31" i="2"/>
  <c r="CN19" i="33" s="1"/>
  <c r="CN52" i="33" s="1"/>
  <c r="CK20" i="34"/>
  <c r="CJ25" i="34" s="1"/>
  <c r="CK40" i="34"/>
  <c r="CJ43" i="34" s="1"/>
  <c r="CX38" i="2"/>
  <c r="CM26" i="33" s="1"/>
  <c r="CI65" i="34"/>
  <c r="CH68" i="34" s="1"/>
  <c r="CK51" i="34"/>
  <c r="CJ58" i="34" s="1"/>
  <c r="CK46" i="34"/>
  <c r="CJ53" i="34" s="1"/>
  <c r="CW18" i="2"/>
  <c r="CH18" i="34"/>
  <c r="CG23" i="34" s="1"/>
  <c r="CH60" i="34"/>
  <c r="CG62" i="34" s="1"/>
  <c r="CI19" i="9"/>
  <c r="CH115" i="9" s="1"/>
  <c r="CL21" i="33"/>
  <c r="CL54" i="33" s="1"/>
  <c r="CH38" i="34"/>
  <c r="CG41" i="34" s="1"/>
  <c r="CW26" i="2"/>
  <c r="CW19" i="2"/>
  <c r="CL7" i="33" s="1"/>
  <c r="CL40" i="33" s="1"/>
  <c r="CX33" i="2"/>
  <c r="CM21" i="33" s="1"/>
  <c r="CI49" i="34"/>
  <c r="CH56" i="34" s="1"/>
  <c r="CJ47" i="34"/>
  <c r="CI54" i="34" s="1"/>
  <c r="CL26" i="33"/>
  <c r="CL59" i="33" s="1"/>
  <c r="CI24" i="9"/>
  <c r="CH140" i="9" s="1"/>
  <c r="CJ29" i="34"/>
  <c r="CI34" i="34" s="1"/>
  <c r="CJ61" i="34"/>
  <c r="CI63" i="34" s="1"/>
  <c r="CY32" i="2"/>
  <c r="CN20" i="33" s="1"/>
  <c r="CN53" i="33" s="1"/>
  <c r="O1486" i="25"/>
  <c r="P1486" i="25" s="1"/>
  <c r="CK48" i="34" s="1"/>
  <c r="CJ55" i="34" s="1"/>
  <c r="CH45" i="34"/>
  <c r="CG52" i="34" s="1"/>
  <c r="CH66" i="34"/>
  <c r="CG69" i="34" s="1"/>
  <c r="CH27" i="34"/>
  <c r="CG32" i="34" s="1"/>
  <c r="CH39" i="34"/>
  <c r="CG42" i="34" s="1"/>
  <c r="CY40" i="2"/>
  <c r="CN28" i="33" s="1"/>
  <c r="CN61" i="33" s="1"/>
  <c r="CI71" i="34"/>
  <c r="CH72" i="34" s="1"/>
  <c r="O1480" i="25"/>
  <c r="P1480" i="25" s="1"/>
  <c r="CK29" i="34" s="1"/>
  <c r="CH30" i="34"/>
  <c r="CG35" i="34" s="1"/>
  <c r="CW24" i="2"/>
  <c r="O1410" i="25"/>
  <c r="P1410" i="25" s="1"/>
  <c r="O1456" i="25"/>
  <c r="P1456" i="25" s="1"/>
  <c r="CI22" i="9"/>
  <c r="CH130" i="9" s="1"/>
  <c r="CL24" i="33"/>
  <c r="CL57" i="33" s="1"/>
  <c r="O1494" i="25"/>
  <c r="P1494" i="25" s="1"/>
  <c r="CK67" i="34" s="1"/>
  <c r="CJ70" i="34" s="1"/>
  <c r="O1439" i="25"/>
  <c r="P1439" i="25" s="1"/>
  <c r="CH28" i="34"/>
  <c r="CG33" i="34" s="1"/>
  <c r="CW22" i="2"/>
  <c r="O1408" i="25"/>
  <c r="P1408" i="25" s="1"/>
  <c r="CI19" i="34" s="1"/>
  <c r="CH24" i="34" s="1"/>
  <c r="D1345" i="25"/>
  <c r="D1347" i="25"/>
  <c r="D1357" i="25"/>
  <c r="CH17" i="34"/>
  <c r="CG22" i="34" s="1"/>
  <c r="CW17" i="2"/>
  <c r="O1403" i="25"/>
  <c r="P1403" i="25" s="1"/>
  <c r="CW39" i="2"/>
  <c r="O1425" i="25"/>
  <c r="P1425" i="25" s="1"/>
  <c r="CI66" i="34" s="1"/>
  <c r="CW29" i="2"/>
  <c r="O1415" i="25"/>
  <c r="P1415" i="25" s="1"/>
  <c r="CV16" i="2"/>
  <c r="CK4" i="33" s="1"/>
  <c r="CK37" i="33" s="1"/>
  <c r="O1368" i="25"/>
  <c r="P1368" i="25" s="1"/>
  <c r="D1351" i="25"/>
  <c r="D1352" i="25"/>
  <c r="D1337" i="25"/>
  <c r="D1350" i="25"/>
  <c r="D1348" i="25"/>
  <c r="D1355" i="25"/>
  <c r="D1340" i="25"/>
  <c r="D1356" i="25"/>
  <c r="D1358" i="25"/>
  <c r="D1338" i="25"/>
  <c r="D1343" i="25"/>
  <c r="D1353" i="25"/>
  <c r="D1341" i="25"/>
  <c r="D1354" i="25"/>
  <c r="D1342" i="25"/>
  <c r="D1336" i="25"/>
  <c r="D1344" i="25"/>
  <c r="D1349" i="25"/>
  <c r="D1335" i="25"/>
  <c r="D1334" i="25"/>
  <c r="D1346" i="25"/>
  <c r="O1413" i="25"/>
  <c r="P1413" i="25" s="1"/>
  <c r="CI39" i="34" s="1"/>
  <c r="CW27" i="2"/>
  <c r="D1379" i="25"/>
  <c r="CW21" i="2"/>
  <c r="O1407" i="25"/>
  <c r="P1407" i="25" s="1"/>
  <c r="DF13" i="2"/>
  <c r="DF14" i="2"/>
  <c r="DE13" i="2"/>
  <c r="DE14" i="2"/>
  <c r="CZ23" i="2"/>
  <c r="CO11" i="33" s="1"/>
  <c r="O1511" i="25"/>
  <c r="P1511" i="25" s="1"/>
  <c r="O1519" i="25"/>
  <c r="P1519" i="25" s="1"/>
  <c r="O1506" i="25"/>
  <c r="P1506" i="25" s="1"/>
  <c r="CZ20" i="2"/>
  <c r="CO8" i="33" s="1"/>
  <c r="CO41" i="33" s="1"/>
  <c r="O1508" i="25"/>
  <c r="P1508" i="25" s="1"/>
  <c r="CL20" i="34" s="1"/>
  <c r="CZ30" i="2"/>
  <c r="CO18" i="33" s="1"/>
  <c r="CO51" i="33" s="1"/>
  <c r="O1518" i="25"/>
  <c r="P1518" i="25" s="1"/>
  <c r="O1521" i="25"/>
  <c r="P1521" i="25" s="1"/>
  <c r="CZ25" i="2"/>
  <c r="O1513" i="25"/>
  <c r="P1513" i="25" s="1"/>
  <c r="CZ32" i="2"/>
  <c r="CO20" i="33" s="1"/>
  <c r="CZ37" i="2"/>
  <c r="CO25" i="33" s="1"/>
  <c r="CO58" i="33" s="1"/>
  <c r="O1525" i="25"/>
  <c r="P1525" i="25" s="1"/>
  <c r="CZ35" i="2"/>
  <c r="CO22" i="33" s="1"/>
  <c r="CO55" i="33" s="1"/>
  <c r="O1523" i="25"/>
  <c r="P1523" i="25" s="1"/>
  <c r="O1526" i="25"/>
  <c r="P1526" i="25" s="1"/>
  <c r="CZ28" i="2"/>
  <c r="O1516" i="25"/>
  <c r="P1516" i="25" s="1"/>
  <c r="CJ126" i="9"/>
  <c r="CK126" i="9"/>
  <c r="O1488" i="25"/>
  <c r="P1488" i="25" s="1"/>
  <c r="CK50" i="34" s="1"/>
  <c r="CJ57" i="34" s="1"/>
  <c r="CN13" i="33"/>
  <c r="CN46" i="33" s="1"/>
  <c r="CN11" i="33"/>
  <c r="CN44" i="33" s="1"/>
  <c r="CY34" i="2"/>
  <c r="CX41" i="2"/>
  <c r="CM30" i="33" s="1"/>
  <c r="CM63" i="33" s="1"/>
  <c r="O1461" i="25"/>
  <c r="P1461" i="25" s="1"/>
  <c r="CM23" i="33"/>
  <c r="CM56" i="33" s="1"/>
  <c r="CI27" i="9"/>
  <c r="CL63" i="33"/>
  <c r="CK25" i="34" l="1"/>
  <c r="CM54" i="33"/>
  <c r="CI5" i="9"/>
  <c r="CH45" i="9" s="1"/>
  <c r="CH46" i="9" s="1"/>
  <c r="DH13" i="2"/>
  <c r="DI15" i="2"/>
  <c r="DH14" i="2"/>
  <c r="CJ34" i="34"/>
  <c r="CL46" i="34"/>
  <c r="CK53" i="34" s="1"/>
  <c r="CL31" i="34"/>
  <c r="CK36" i="34" s="1"/>
  <c r="CL40" i="34"/>
  <c r="CK43" i="34" s="1"/>
  <c r="CL51" i="34"/>
  <c r="CK58" i="34" s="1"/>
  <c r="CZ31" i="2"/>
  <c r="CO19" i="33" s="1"/>
  <c r="CO52" i="33" s="1"/>
  <c r="CX19" i="2"/>
  <c r="CM7" i="33" s="1"/>
  <c r="CM40" i="33" s="1"/>
  <c r="CI60" i="34"/>
  <c r="CH62" i="34" s="1"/>
  <c r="CH116" i="9"/>
  <c r="CI116" i="9"/>
  <c r="CI27" i="34"/>
  <c r="CH32" i="34" s="1"/>
  <c r="CI18" i="34"/>
  <c r="CH23" i="34" s="1"/>
  <c r="CX18" i="2"/>
  <c r="CM6" i="33" s="1"/>
  <c r="CI45" i="34"/>
  <c r="CH52" i="34" s="1"/>
  <c r="CX26" i="2"/>
  <c r="CM14" i="33" s="1"/>
  <c r="CI38" i="34"/>
  <c r="CH41" i="34" s="1"/>
  <c r="CK61" i="34"/>
  <c r="CJ63" i="34" s="1"/>
  <c r="CL14" i="33"/>
  <c r="CL47" i="33" s="1"/>
  <c r="CI12" i="9"/>
  <c r="CH80" i="9" s="1"/>
  <c r="CJ65" i="34"/>
  <c r="CI68" i="34" s="1"/>
  <c r="CY38" i="2"/>
  <c r="CN26" i="33" s="1"/>
  <c r="CN59" i="33" s="1"/>
  <c r="CY33" i="2"/>
  <c r="CN21" i="33" s="1"/>
  <c r="CN54" i="33" s="1"/>
  <c r="CJ49" i="34"/>
  <c r="CI56" i="34" s="1"/>
  <c r="CI141" i="9"/>
  <c r="CH141" i="9"/>
  <c r="CX36" i="2"/>
  <c r="CM24" i="33" s="1"/>
  <c r="CM57" i="33" s="1"/>
  <c r="CL6" i="33"/>
  <c r="CL39" i="33" s="1"/>
  <c r="CI4" i="9"/>
  <c r="CH40" i="9" s="1"/>
  <c r="CK47" i="34"/>
  <c r="CJ54" i="34" s="1"/>
  <c r="CM59" i="33"/>
  <c r="O1520" i="25"/>
  <c r="P1520" i="25" s="1"/>
  <c r="CL48" i="34" s="1"/>
  <c r="CK55" i="34" s="1"/>
  <c r="CO53" i="33"/>
  <c r="CZ40" i="2"/>
  <c r="CH69" i="34"/>
  <c r="CH42" i="34"/>
  <c r="CH16" i="34"/>
  <c r="CG21" i="34" s="1"/>
  <c r="O1514" i="25"/>
  <c r="P1514" i="25" s="1"/>
  <c r="CL29" i="34" s="1"/>
  <c r="CK34" i="34" s="1"/>
  <c r="CJ71" i="34"/>
  <c r="CI72" i="34" s="1"/>
  <c r="O1528" i="25"/>
  <c r="P1528" i="25" s="1"/>
  <c r="CL67" i="34" s="1"/>
  <c r="CK70" i="34" s="1"/>
  <c r="CI30" i="34"/>
  <c r="CH35" i="34" s="1"/>
  <c r="CX24" i="2"/>
  <c r="CM12" i="33" s="1"/>
  <c r="O1444" i="25"/>
  <c r="P1444" i="25" s="1"/>
  <c r="CI10" i="9"/>
  <c r="CH70" i="9" s="1"/>
  <c r="CL12" i="33"/>
  <c r="CL45" i="33" s="1"/>
  <c r="CI131" i="9"/>
  <c r="CH131" i="9"/>
  <c r="O1490" i="25"/>
  <c r="P1490" i="25" s="1"/>
  <c r="CI46" i="9"/>
  <c r="O1473" i="25"/>
  <c r="P1473" i="25" s="1"/>
  <c r="CI28" i="34"/>
  <c r="CH33" i="34" s="1"/>
  <c r="CX22" i="2"/>
  <c r="CM10" i="33" s="1"/>
  <c r="O1442" i="25"/>
  <c r="P1442" i="25" s="1"/>
  <c r="CY19" i="2" s="1"/>
  <c r="CN7" i="33" s="1"/>
  <c r="CI8" i="9"/>
  <c r="CH60" i="9" s="1"/>
  <c r="CL10" i="33"/>
  <c r="CL43" i="33" s="1"/>
  <c r="D1373" i="25"/>
  <c r="CI17" i="34"/>
  <c r="CH22" i="34" s="1"/>
  <c r="CX17" i="2"/>
  <c r="CM5" i="33" s="1"/>
  <c r="O1437" i="25"/>
  <c r="P1437" i="25" s="1"/>
  <c r="CL5" i="33"/>
  <c r="CL38" i="33" s="1"/>
  <c r="CI3" i="9"/>
  <c r="CH35" i="9" s="1"/>
  <c r="D1391" i="25"/>
  <c r="D1381" i="25"/>
  <c r="CX21" i="2"/>
  <c r="CM9" i="33" s="1"/>
  <c r="O1441" i="25"/>
  <c r="P1441" i="25" s="1"/>
  <c r="CI13" i="9"/>
  <c r="CH85" i="9" s="1"/>
  <c r="CL15" i="33"/>
  <c r="CL48" i="33" s="1"/>
  <c r="O1402" i="25"/>
  <c r="P1402" i="25" s="1"/>
  <c r="CI16" i="34" s="1"/>
  <c r="CW16" i="2"/>
  <c r="D1376" i="25"/>
  <c r="D1368" i="25"/>
  <c r="D1387" i="25"/>
  <c r="D1372" i="25"/>
  <c r="D1390" i="25"/>
  <c r="D1383" i="25"/>
  <c r="D1378" i="25"/>
  <c r="D1371" i="25"/>
  <c r="D1384" i="25"/>
  <c r="D1380" i="25"/>
  <c r="D1385" i="25"/>
  <c r="D1392" i="25"/>
  <c r="D1382" i="25"/>
  <c r="D1386" i="25"/>
  <c r="D1370" i="25"/>
  <c r="D1377" i="25"/>
  <c r="D1369" i="25"/>
  <c r="D1389" i="25"/>
  <c r="D1388" i="25"/>
  <c r="D1375" i="25"/>
  <c r="D1374" i="25"/>
  <c r="CX29" i="2"/>
  <c r="CM17" i="33" s="1"/>
  <c r="O1449" i="25"/>
  <c r="P1449" i="25" s="1"/>
  <c r="O1459" i="25"/>
  <c r="P1459" i="25" s="1"/>
  <c r="CJ66" i="34" s="1"/>
  <c r="CI69" i="34" s="1"/>
  <c r="CX39" i="2"/>
  <c r="CM27" i="33" s="1"/>
  <c r="CI7" i="9"/>
  <c r="CH55" i="9" s="1"/>
  <c r="CL9" i="33"/>
  <c r="CL42" i="33" s="1"/>
  <c r="CX27" i="2"/>
  <c r="CM15" i="33" s="1"/>
  <c r="O1447" i="25"/>
  <c r="P1447" i="25" s="1"/>
  <c r="CJ39" i="34" s="1"/>
  <c r="CI42" i="34" s="1"/>
  <c r="CL17" i="33"/>
  <c r="CL50" i="33" s="1"/>
  <c r="CI15" i="9"/>
  <c r="CH95" i="9" s="1"/>
  <c r="CI25" i="9"/>
  <c r="CH145" i="9" s="1"/>
  <c r="CL27" i="33"/>
  <c r="CL60" i="33" s="1"/>
  <c r="DA28" i="2"/>
  <c r="CP16" i="33" s="1"/>
  <c r="O1550" i="25"/>
  <c r="P1550" i="25" s="1"/>
  <c r="DA35" i="2"/>
  <c r="CP22" i="33" s="1"/>
  <c r="CP55" i="33" s="1"/>
  <c r="O1557" i="25"/>
  <c r="P1557" i="25" s="1"/>
  <c r="DA37" i="2"/>
  <c r="CP25" i="33" s="1"/>
  <c r="CP58" i="33" s="1"/>
  <c r="O1559" i="25"/>
  <c r="P1559" i="25" s="1"/>
  <c r="DA25" i="2"/>
  <c r="CP13" i="33" s="1"/>
  <c r="O1547" i="25"/>
  <c r="P1547" i="25" s="1"/>
  <c r="CM31" i="34" s="1"/>
  <c r="CL36" i="34" s="1"/>
  <c r="O1540" i="25"/>
  <c r="P1540" i="25" s="1"/>
  <c r="O1553" i="25"/>
  <c r="P1553" i="25" s="1"/>
  <c r="O1560" i="25"/>
  <c r="P1560" i="25" s="1"/>
  <c r="O1555" i="25"/>
  <c r="P1555" i="25" s="1"/>
  <c r="DA30" i="2"/>
  <c r="CP18" i="33" s="1"/>
  <c r="CP51" i="33" s="1"/>
  <c r="O1552" i="25"/>
  <c r="P1552" i="25" s="1"/>
  <c r="DA20" i="2"/>
  <c r="CP8" i="33" s="1"/>
  <c r="CP41" i="33" s="1"/>
  <c r="O1542" i="25"/>
  <c r="P1542" i="25" s="1"/>
  <c r="DA23" i="2"/>
  <c r="CP11" i="33" s="1"/>
  <c r="CP44" i="33" s="1"/>
  <c r="O1545" i="25"/>
  <c r="P1545" i="25" s="1"/>
  <c r="CZ34" i="2"/>
  <c r="O1522" i="25"/>
  <c r="P1522" i="25" s="1"/>
  <c r="CL50" i="34" s="1"/>
  <c r="CK57" i="34" s="1"/>
  <c r="CO16" i="33"/>
  <c r="CO49" i="33" s="1"/>
  <c r="CO13" i="33"/>
  <c r="CO28" i="33"/>
  <c r="CO61" i="33" s="1"/>
  <c r="CO44" i="33"/>
  <c r="CY41" i="2"/>
  <c r="O1495" i="25"/>
  <c r="P1495" i="25" s="1"/>
  <c r="CM31" i="33"/>
  <c r="CN23" i="33"/>
  <c r="CN56" i="33" s="1"/>
  <c r="DA32" i="2" l="1"/>
  <c r="CP20" i="33" s="1"/>
  <c r="CP53" i="33" s="1"/>
  <c r="DI13" i="2"/>
  <c r="DJ15" i="2"/>
  <c r="DI14" i="2"/>
  <c r="O1554" i="25"/>
  <c r="P1554" i="25" s="1"/>
  <c r="CM48" i="34" s="1"/>
  <c r="CL55" i="34" s="1"/>
  <c r="CN40" i="33"/>
  <c r="CM20" i="34"/>
  <c r="CL25" i="34" s="1"/>
  <c r="CM40" i="34"/>
  <c r="CL43" i="34" s="1"/>
  <c r="CK65" i="34"/>
  <c r="CJ68" i="34" s="1"/>
  <c r="CZ38" i="2"/>
  <c r="CO26" i="33" s="1"/>
  <c r="CO59" i="33" s="1"/>
  <c r="CJ45" i="34"/>
  <c r="CI52" i="34" s="1"/>
  <c r="CJ38" i="34"/>
  <c r="CI41" i="34" s="1"/>
  <c r="CY26" i="2"/>
  <c r="CN14" i="33" s="1"/>
  <c r="CN47" i="33" s="1"/>
  <c r="CJ19" i="34"/>
  <c r="CI24" i="34" s="1"/>
  <c r="CH41" i="9"/>
  <c r="CI41" i="9"/>
  <c r="CM39" i="33"/>
  <c r="CK49" i="34"/>
  <c r="CJ56" i="34" s="1"/>
  <c r="CZ33" i="2"/>
  <c r="CO21" i="33" s="1"/>
  <c r="CO54" i="33" s="1"/>
  <c r="CI81" i="9"/>
  <c r="CH81" i="9"/>
  <c r="DA31" i="2"/>
  <c r="CP19" i="33" s="1"/>
  <c r="CP52" i="33" s="1"/>
  <c r="CY36" i="2"/>
  <c r="CN24" i="33" s="1"/>
  <c r="CN57" i="33" s="1"/>
  <c r="CM47" i="33"/>
  <c r="CL47" i="34"/>
  <c r="CK54" i="34" s="1"/>
  <c r="CM46" i="34"/>
  <c r="CL53" i="34" s="1"/>
  <c r="CM51" i="34"/>
  <c r="CL58" i="34" s="1"/>
  <c r="CJ27" i="34"/>
  <c r="CI32" i="34" s="1"/>
  <c r="CJ18" i="34"/>
  <c r="CI23" i="34" s="1"/>
  <c r="CY18" i="2"/>
  <c r="CN6" i="33" s="1"/>
  <c r="CN39" i="33" s="1"/>
  <c r="CJ60" i="34"/>
  <c r="CI62" i="34" s="1"/>
  <c r="CL61" i="34"/>
  <c r="CK63" i="34" s="1"/>
  <c r="O1548" i="25"/>
  <c r="P1548" i="25" s="1"/>
  <c r="CH21" i="34"/>
  <c r="O1562" i="25"/>
  <c r="P1562" i="25" s="1"/>
  <c r="CM67" i="34" s="1"/>
  <c r="CL70" i="34" s="1"/>
  <c r="DA40" i="2"/>
  <c r="CP28" i="33" s="1"/>
  <c r="CK71" i="34"/>
  <c r="CJ72" i="34" s="1"/>
  <c r="CM45" i="33"/>
  <c r="CI71" i="9"/>
  <c r="CH71" i="9"/>
  <c r="CJ30" i="34"/>
  <c r="CI35" i="34" s="1"/>
  <c r="CY24" i="2"/>
  <c r="O1478" i="25"/>
  <c r="P1478" i="25" s="1"/>
  <c r="O1524" i="25"/>
  <c r="P1524" i="25" s="1"/>
  <c r="CM43" i="33"/>
  <c r="O1507" i="25"/>
  <c r="P1507" i="25" s="1"/>
  <c r="CH61" i="9"/>
  <c r="CI61" i="9"/>
  <c r="CJ28" i="34"/>
  <c r="CI33" i="34" s="1"/>
  <c r="CY22" i="2"/>
  <c r="CN10" i="33" s="1"/>
  <c r="CN43" i="33" s="1"/>
  <c r="O1476" i="25"/>
  <c r="P1476" i="25" s="1"/>
  <c r="CZ19" i="2" s="1"/>
  <c r="CO7" i="33" s="1"/>
  <c r="CO40" i="33" s="1"/>
  <c r="CM48" i="33"/>
  <c r="CM38" i="33"/>
  <c r="CJ17" i="34"/>
  <c r="CI22" i="34" s="1"/>
  <c r="CY17" i="2"/>
  <c r="CN5" i="33" s="1"/>
  <c r="CN38" i="33" s="1"/>
  <c r="O1471" i="25"/>
  <c r="P1471" i="25" s="1"/>
  <c r="CH36" i="9"/>
  <c r="CI36" i="9"/>
  <c r="D1413" i="25"/>
  <c r="CM50" i="33"/>
  <c r="D1407" i="25"/>
  <c r="CX16" i="2"/>
  <c r="O1436" i="25"/>
  <c r="P1436" i="25" s="1"/>
  <c r="CJ16" i="34" s="1"/>
  <c r="CI21" i="34" s="1"/>
  <c r="D1422" i="25"/>
  <c r="D1424" i="25"/>
  <c r="D1412" i="25"/>
  <c r="D1421" i="25"/>
  <c r="D1418" i="25"/>
  <c r="D1404" i="25"/>
  <c r="D1409" i="25"/>
  <c r="D1408" i="25"/>
  <c r="D1417" i="25"/>
  <c r="D1426" i="25"/>
  <c r="D1423" i="25"/>
  <c r="D1411" i="25"/>
  <c r="D1410" i="25"/>
  <c r="D1402" i="25"/>
  <c r="D1420" i="25"/>
  <c r="D1419" i="25"/>
  <c r="D1403" i="25"/>
  <c r="D1414" i="25"/>
  <c r="D1406" i="25"/>
  <c r="D1405" i="25"/>
  <c r="D1416" i="25"/>
  <c r="CH146" i="9"/>
  <c r="CI146" i="9"/>
  <c r="O1481" i="25"/>
  <c r="P1481" i="25" s="1"/>
  <c r="CK39" i="34" s="1"/>
  <c r="CJ42" i="34" s="1"/>
  <c r="CY27" i="2"/>
  <c r="CN15" i="33" s="1"/>
  <c r="CN48" i="33" s="1"/>
  <c r="CI56" i="9"/>
  <c r="CH56" i="9"/>
  <c r="CY21" i="2"/>
  <c r="CN9" i="33" s="1"/>
  <c r="CN42" i="33" s="1"/>
  <c r="O1475" i="25"/>
  <c r="P1475" i="25" s="1"/>
  <c r="CY39" i="2"/>
  <c r="CN27" i="33" s="1"/>
  <c r="CN60" i="33" s="1"/>
  <c r="O1493" i="25"/>
  <c r="P1493" i="25" s="1"/>
  <c r="CK66" i="34" s="1"/>
  <c r="CJ69" i="34" s="1"/>
  <c r="CI96" i="9"/>
  <c r="CH96" i="9"/>
  <c r="D1425" i="25"/>
  <c r="D1415" i="25"/>
  <c r="CM42" i="33"/>
  <c r="CM60" i="33"/>
  <c r="CY29" i="2"/>
  <c r="CN17" i="33" s="1"/>
  <c r="CN50" i="33" s="1"/>
  <c r="O1483" i="25"/>
  <c r="P1483" i="25" s="1"/>
  <c r="CL4" i="33"/>
  <c r="CL37" i="33" s="1"/>
  <c r="CI2" i="9"/>
  <c r="CH30" i="9" s="1"/>
  <c r="CH86" i="9"/>
  <c r="CI86" i="9"/>
  <c r="DB23" i="2"/>
  <c r="CQ11" i="33" s="1"/>
  <c r="CQ44" i="33" s="1"/>
  <c r="O1579" i="25"/>
  <c r="P1579" i="25" s="1"/>
  <c r="DB30" i="2"/>
  <c r="CQ18" i="33" s="1"/>
  <c r="CQ51" i="33" s="1"/>
  <c r="O1586" i="25"/>
  <c r="P1586" i="25" s="1"/>
  <c r="O1587" i="25"/>
  <c r="P1587" i="25" s="1"/>
  <c r="O1574" i="25"/>
  <c r="P1574" i="25" s="1"/>
  <c r="DB25" i="2"/>
  <c r="CQ13" i="33" s="1"/>
  <c r="CQ46" i="33" s="1"/>
  <c r="O1581" i="25"/>
  <c r="P1581" i="25" s="1"/>
  <c r="DB37" i="2"/>
  <c r="CQ25" i="33" s="1"/>
  <c r="CQ58" i="33" s="1"/>
  <c r="O1593" i="25"/>
  <c r="P1593" i="25" s="1"/>
  <c r="DB28" i="2"/>
  <c r="CQ16" i="33" s="1"/>
  <c r="CQ49" i="33" s="1"/>
  <c r="O1584" i="25"/>
  <c r="P1584" i="25" s="1"/>
  <c r="DB20" i="2"/>
  <c r="CQ8" i="33" s="1"/>
  <c r="CQ41" i="33" s="1"/>
  <c r="O1576" i="25"/>
  <c r="P1576" i="25" s="1"/>
  <c r="O1589" i="25"/>
  <c r="P1589" i="25" s="1"/>
  <c r="O1594" i="25"/>
  <c r="P1594" i="25" s="1"/>
  <c r="DB32" i="2"/>
  <c r="O1588" i="25"/>
  <c r="P1588" i="25" s="1"/>
  <c r="DB35" i="2"/>
  <c r="CQ22" i="33" s="1"/>
  <c r="CQ55" i="33" s="1"/>
  <c r="O1591" i="25"/>
  <c r="P1591" i="25" s="1"/>
  <c r="CN51" i="34" s="1"/>
  <c r="CP46" i="33"/>
  <c r="O1556" i="25"/>
  <c r="P1556" i="25" s="1"/>
  <c r="CM50" i="34" s="1"/>
  <c r="CL57" i="34" s="1"/>
  <c r="CO46" i="33"/>
  <c r="CP49" i="33"/>
  <c r="DA34" i="2"/>
  <c r="CO23" i="33"/>
  <c r="CO56" i="33" s="1"/>
  <c r="CZ41" i="2"/>
  <c r="CO30" i="33" s="1"/>
  <c r="O1529" i="25"/>
  <c r="P1529" i="25" s="1"/>
  <c r="CN30" i="33"/>
  <c r="DK15" i="2" l="1"/>
  <c r="DJ14" i="2"/>
  <c r="DJ13" i="2"/>
  <c r="CM58" i="34"/>
  <c r="DB40" i="2"/>
  <c r="CQ28" i="33" s="1"/>
  <c r="CQ61" i="33" s="1"/>
  <c r="CN20" i="34"/>
  <c r="CM25" i="34" s="1"/>
  <c r="CK19" i="34"/>
  <c r="CJ24" i="34" s="1"/>
  <c r="CN40" i="34"/>
  <c r="CM43" i="34" s="1"/>
  <c r="CN46" i="34"/>
  <c r="CM53" i="34" s="1"/>
  <c r="CK27" i="34"/>
  <c r="CJ32" i="34" s="1"/>
  <c r="CK18" i="34"/>
  <c r="CJ23" i="34" s="1"/>
  <c r="CZ18" i="2"/>
  <c r="CO6" i="33" s="1"/>
  <c r="CO39" i="33" s="1"/>
  <c r="CK60" i="34"/>
  <c r="CJ62" i="34" s="1"/>
  <c r="CN48" i="34"/>
  <c r="CM55" i="34" s="1"/>
  <c r="CN31" i="34"/>
  <c r="CM36" i="34" s="1"/>
  <c r="CK45" i="34"/>
  <c r="CJ52" i="34" s="1"/>
  <c r="CZ26" i="2"/>
  <c r="CO14" i="33" s="1"/>
  <c r="CO47" i="33" s="1"/>
  <c r="CK38" i="34"/>
  <c r="CJ41" i="34" s="1"/>
  <c r="CL49" i="34"/>
  <c r="CK56" i="34" s="1"/>
  <c r="DA33" i="2"/>
  <c r="CP21" i="33" s="1"/>
  <c r="CP54" i="33" s="1"/>
  <c r="CM29" i="34"/>
  <c r="CL34" i="34" s="1"/>
  <c r="CM61" i="34"/>
  <c r="CL63" i="34" s="1"/>
  <c r="CL65" i="34"/>
  <c r="CK68" i="34" s="1"/>
  <c r="DA38" i="2"/>
  <c r="CP26" i="33" s="1"/>
  <c r="CP59" i="33" s="1"/>
  <c r="DB31" i="2"/>
  <c r="CZ36" i="2"/>
  <c r="CO24" i="33" s="1"/>
  <c r="CO57" i="33" s="1"/>
  <c r="CM47" i="34"/>
  <c r="CL54" i="34" s="1"/>
  <c r="O1596" i="25"/>
  <c r="P1596" i="25" s="1"/>
  <c r="CN67" i="34" s="1"/>
  <c r="CM70" i="34" s="1"/>
  <c r="O1582" i="25"/>
  <c r="P1582" i="25" s="1"/>
  <c r="CN29" i="34" s="1"/>
  <c r="CL71" i="34"/>
  <c r="CK72" i="34" s="1"/>
  <c r="CN12" i="33"/>
  <c r="CN45" i="33" s="1"/>
  <c r="CK30" i="34"/>
  <c r="CJ35" i="34" s="1"/>
  <c r="CZ24" i="2"/>
  <c r="O1512" i="25"/>
  <c r="P1512" i="25" s="1"/>
  <c r="D1449" i="25"/>
  <c r="O1558" i="25"/>
  <c r="P1558" i="25" s="1"/>
  <c r="O1541" i="25"/>
  <c r="P1541" i="25" s="1"/>
  <c r="D1441" i="25"/>
  <c r="D1459" i="25"/>
  <c r="D1447" i="25"/>
  <c r="CK28" i="34"/>
  <c r="CJ33" i="34" s="1"/>
  <c r="CZ22" i="2"/>
  <c r="O1510" i="25"/>
  <c r="P1510" i="25" s="1"/>
  <c r="DA19" i="2" s="1"/>
  <c r="CK17" i="34"/>
  <c r="CJ22" i="34" s="1"/>
  <c r="CZ17" i="2"/>
  <c r="CO5" i="33" s="1"/>
  <c r="CO38" i="33" s="1"/>
  <c r="O1505" i="25"/>
  <c r="P1505" i="25" s="1"/>
  <c r="O1515" i="25"/>
  <c r="P1515" i="25" s="1"/>
  <c r="CL39" i="34" s="1"/>
  <c r="CK42" i="34" s="1"/>
  <c r="CZ27" i="2"/>
  <c r="CO15" i="33" s="1"/>
  <c r="CO48" i="33" s="1"/>
  <c r="CZ39" i="2"/>
  <c r="CO27" i="33" s="1"/>
  <c r="CO60" i="33" s="1"/>
  <c r="O1527" i="25"/>
  <c r="P1527" i="25" s="1"/>
  <c r="CL66" i="34" s="1"/>
  <c r="CK69" i="34" s="1"/>
  <c r="O1509" i="25"/>
  <c r="P1509" i="25" s="1"/>
  <c r="CZ21" i="2"/>
  <c r="CO9" i="33" s="1"/>
  <c r="CO42" i="33" s="1"/>
  <c r="O1470" i="25"/>
  <c r="P1470" i="25" s="1"/>
  <c r="CK16" i="34" s="1"/>
  <c r="CJ21" i="34" s="1"/>
  <c r="CY16" i="2"/>
  <c r="D1446" i="25"/>
  <c r="D1444" i="25"/>
  <c r="D1456" i="25"/>
  <c r="D1455" i="25"/>
  <c r="D1458" i="25"/>
  <c r="D1440" i="25"/>
  <c r="D1453" i="25"/>
  <c r="D1451" i="25"/>
  <c r="D1457" i="25"/>
  <c r="D1442" i="25"/>
  <c r="D1452" i="25"/>
  <c r="D1450" i="25"/>
  <c r="D1448" i="25"/>
  <c r="D1439" i="25"/>
  <c r="D1460" i="25"/>
  <c r="D1438" i="25"/>
  <c r="D1436" i="25"/>
  <c r="D1437" i="25"/>
  <c r="D1445" i="25"/>
  <c r="D1454" i="25"/>
  <c r="D1443" i="25"/>
  <c r="O1517" i="25"/>
  <c r="P1517" i="25" s="1"/>
  <c r="CZ29" i="2"/>
  <c r="CO17" i="33" s="1"/>
  <c r="CO50" i="33" s="1"/>
  <c r="CM4" i="33"/>
  <c r="CM37" i="33" s="1"/>
  <c r="CI31" i="9"/>
  <c r="CH31" i="9"/>
  <c r="DC32" i="2"/>
  <c r="CR20" i="33" s="1"/>
  <c r="O1622" i="25"/>
  <c r="P1622" i="25" s="1"/>
  <c r="DC20" i="2"/>
  <c r="CR8" i="33" s="1"/>
  <c r="CR41" i="33" s="1"/>
  <c r="O1610" i="25"/>
  <c r="P1610" i="25" s="1"/>
  <c r="DC28" i="2"/>
  <c r="O1618" i="25"/>
  <c r="P1618" i="25" s="1"/>
  <c r="DC25" i="2"/>
  <c r="CR13" i="33" s="1"/>
  <c r="CR46" i="33" s="1"/>
  <c r="O1615" i="25"/>
  <c r="P1615" i="25" s="1"/>
  <c r="O1621" i="25"/>
  <c r="P1621" i="25" s="1"/>
  <c r="DC35" i="2"/>
  <c r="CR22" i="33" s="1"/>
  <c r="CR55" i="33" s="1"/>
  <c r="O1625" i="25"/>
  <c r="P1625" i="25" s="1"/>
  <c r="O1628" i="25"/>
  <c r="P1628" i="25" s="1"/>
  <c r="O1623" i="25"/>
  <c r="P1623" i="25" s="1"/>
  <c r="DC40" i="2"/>
  <c r="CR28" i="33" s="1"/>
  <c r="CR61" i="33" s="1"/>
  <c r="O1630" i="25"/>
  <c r="P1630" i="25" s="1"/>
  <c r="CO67" i="34" s="1"/>
  <c r="CN70" i="34" s="1"/>
  <c r="DC37" i="2"/>
  <c r="O1627" i="25"/>
  <c r="P1627" i="25" s="1"/>
  <c r="O1608" i="25"/>
  <c r="P1608" i="25" s="1"/>
  <c r="DC30" i="2"/>
  <c r="CR18" i="33" s="1"/>
  <c r="CR51" i="33" s="1"/>
  <c r="O1620" i="25"/>
  <c r="P1620" i="25" s="1"/>
  <c r="DC23" i="2"/>
  <c r="CR11" i="33" s="1"/>
  <c r="CR44" i="33" s="1"/>
  <c r="O1613" i="25"/>
  <c r="P1613" i="25" s="1"/>
  <c r="CQ20" i="33"/>
  <c r="CQ53" i="33" s="1"/>
  <c r="O1590" i="25"/>
  <c r="P1590" i="25" s="1"/>
  <c r="CN50" i="34" s="1"/>
  <c r="CM57" i="34" s="1"/>
  <c r="CP61" i="33"/>
  <c r="DB34" i="2"/>
  <c r="DA41" i="2"/>
  <c r="CP30" i="33" s="1"/>
  <c r="CP63" i="33" s="1"/>
  <c r="O1563" i="25"/>
  <c r="P1563" i="25" s="1"/>
  <c r="CP23" i="33"/>
  <c r="CP56" i="33" s="1"/>
  <c r="CO63" i="33"/>
  <c r="CO31" i="33"/>
  <c r="CN63" i="33"/>
  <c r="CN31" i="33"/>
  <c r="DK13" i="2" l="1"/>
  <c r="DL15" i="2"/>
  <c r="DK14" i="2"/>
  <c r="CQ19" i="33"/>
  <c r="CQ52" i="33" s="1"/>
  <c r="CM34" i="34"/>
  <c r="CO46" i="34"/>
  <c r="CN53" i="34" s="1"/>
  <c r="DC31" i="2"/>
  <c r="CR19" i="33" s="1"/>
  <c r="CR52" i="33" s="1"/>
  <c r="CO31" i="34"/>
  <c r="CN36" i="34" s="1"/>
  <c r="CO51" i="34"/>
  <c r="CN58" i="34" s="1"/>
  <c r="CO61" i="34"/>
  <c r="CL27" i="34"/>
  <c r="CK32" i="34" s="1"/>
  <c r="CL18" i="34"/>
  <c r="CK23" i="34" s="1"/>
  <c r="DA18" i="2"/>
  <c r="CP6" i="33" s="1"/>
  <c r="CP39" i="33" s="1"/>
  <c r="CL19" i="34"/>
  <c r="CK24" i="34" s="1"/>
  <c r="CN61" i="34"/>
  <c r="CM63" i="34" s="1"/>
  <c r="CO40" i="34"/>
  <c r="CN43" i="34" s="1"/>
  <c r="CO48" i="34"/>
  <c r="CN55" i="34" s="1"/>
  <c r="CM49" i="34"/>
  <c r="CL56" i="34" s="1"/>
  <c r="DB33" i="2"/>
  <c r="CN47" i="34"/>
  <c r="CM54" i="34" s="1"/>
  <c r="CM65" i="34"/>
  <c r="CL68" i="34" s="1"/>
  <c r="DB38" i="2"/>
  <c r="DA36" i="2"/>
  <c r="CP24" i="33" s="1"/>
  <c r="CP57" i="33" s="1"/>
  <c r="CO20" i="34"/>
  <c r="CN25" i="34" s="1"/>
  <c r="CL45" i="34"/>
  <c r="CK52" i="34" s="1"/>
  <c r="CL38" i="34"/>
  <c r="CK41" i="34" s="1"/>
  <c r="DA26" i="2"/>
  <c r="CP14" i="33" s="1"/>
  <c r="CP47" i="33" s="1"/>
  <c r="CL60" i="34"/>
  <c r="CK62" i="34" s="1"/>
  <c r="O1616" i="25"/>
  <c r="P1616" i="25" s="1"/>
  <c r="CP7" i="33"/>
  <c r="CP40" i="33" s="1"/>
  <c r="CM71" i="34"/>
  <c r="CL72" i="34" s="1"/>
  <c r="CO12" i="33"/>
  <c r="CO45" i="33" s="1"/>
  <c r="CL30" i="34"/>
  <c r="CK35" i="34" s="1"/>
  <c r="DA24" i="2"/>
  <c r="O1546" i="25"/>
  <c r="P1546" i="25" s="1"/>
  <c r="CO10" i="33"/>
  <c r="CO43" i="33" s="1"/>
  <c r="O1592" i="25"/>
  <c r="P1592" i="25" s="1"/>
  <c r="O1575" i="25"/>
  <c r="P1575" i="25" s="1"/>
  <c r="CL28" i="34"/>
  <c r="CK33" i="34" s="1"/>
  <c r="O1544" i="25"/>
  <c r="P1544" i="25" s="1"/>
  <c r="CM19" i="34" s="1"/>
  <c r="DA22" i="2"/>
  <c r="CP10" i="33" s="1"/>
  <c r="CL17" i="34"/>
  <c r="CK22" i="34" s="1"/>
  <c r="DA17" i="2"/>
  <c r="CP5" i="33" s="1"/>
  <c r="CP38" i="33" s="1"/>
  <c r="O1539" i="25"/>
  <c r="P1539" i="25" s="1"/>
  <c r="D1481" i="25"/>
  <c r="D1483" i="25"/>
  <c r="D1475" i="25"/>
  <c r="D1493" i="25"/>
  <c r="CN4" i="33"/>
  <c r="CN37" i="33" s="1"/>
  <c r="DA39" i="2"/>
  <c r="CP27" i="33" s="1"/>
  <c r="CP60" i="33" s="1"/>
  <c r="O1561" i="25"/>
  <c r="P1561" i="25" s="1"/>
  <c r="CM66" i="34" s="1"/>
  <c r="CL69" i="34" s="1"/>
  <c r="O1551" i="25"/>
  <c r="P1551" i="25" s="1"/>
  <c r="DA29" i="2"/>
  <c r="CP17" i="33" s="1"/>
  <c r="CP50" i="33" s="1"/>
  <c r="CZ16" i="2"/>
  <c r="O1504" i="25"/>
  <c r="P1504" i="25" s="1"/>
  <c r="CL16" i="34" s="1"/>
  <c r="CK21" i="34" s="1"/>
  <c r="D1480" i="25"/>
  <c r="D1479" i="25"/>
  <c r="D1494" i="25"/>
  <c r="D1485" i="25"/>
  <c r="D1476" i="25"/>
  <c r="D1482" i="25"/>
  <c r="D1484" i="25"/>
  <c r="D1488" i="25"/>
  <c r="D1474" i="25"/>
  <c r="D1491" i="25"/>
  <c r="D1472" i="25"/>
  <c r="D1471" i="25"/>
  <c r="D1492" i="25"/>
  <c r="D1477" i="25"/>
  <c r="D1470" i="25"/>
  <c r="D1490" i="25"/>
  <c r="D1487" i="25"/>
  <c r="D1486" i="25"/>
  <c r="D1473" i="25"/>
  <c r="D1489" i="25"/>
  <c r="D1478" i="25"/>
  <c r="O1543" i="25"/>
  <c r="P1543" i="25" s="1"/>
  <c r="DA21" i="2"/>
  <c r="CP9" i="33" s="1"/>
  <c r="CP42" i="33" s="1"/>
  <c r="D1509" i="25"/>
  <c r="DA27" i="2"/>
  <c r="CP15" i="33" s="1"/>
  <c r="CP48" i="33" s="1"/>
  <c r="O1549" i="25"/>
  <c r="P1549" i="25" s="1"/>
  <c r="CM39" i="34" s="1"/>
  <c r="CL42" i="34" s="1"/>
  <c r="DD23" i="2"/>
  <c r="CS11" i="33" s="1"/>
  <c r="O1647" i="25"/>
  <c r="P1647" i="25" s="1"/>
  <c r="O1650" i="25"/>
  <c r="P1650" i="25" s="1"/>
  <c r="DD37" i="2"/>
  <c r="CS25" i="33" s="1"/>
  <c r="O1661" i="25"/>
  <c r="P1661" i="25" s="1"/>
  <c r="O1657" i="25"/>
  <c r="P1657" i="25" s="1"/>
  <c r="O1655" i="25"/>
  <c r="P1655" i="25" s="1"/>
  <c r="DD28" i="2"/>
  <c r="O1652" i="25"/>
  <c r="P1652" i="25" s="1"/>
  <c r="DD32" i="2"/>
  <c r="CS20" i="33" s="1"/>
  <c r="O1656" i="25"/>
  <c r="P1656" i="25" s="1"/>
  <c r="DD30" i="2"/>
  <c r="O1654" i="25"/>
  <c r="P1654" i="25" s="1"/>
  <c r="O1642" i="25"/>
  <c r="P1642" i="25" s="1"/>
  <c r="DD40" i="2"/>
  <c r="O1664" i="25"/>
  <c r="P1664" i="25" s="1"/>
  <c r="CP67" i="34" s="1"/>
  <c r="CO70" i="34" s="1"/>
  <c r="O1662" i="25"/>
  <c r="P1662" i="25" s="1"/>
  <c r="DD35" i="2"/>
  <c r="CS22" i="33" s="1"/>
  <c r="O1659" i="25"/>
  <c r="P1659" i="25" s="1"/>
  <c r="DD25" i="2"/>
  <c r="CS13" i="33" s="1"/>
  <c r="O1649" i="25"/>
  <c r="P1649" i="25" s="1"/>
  <c r="CP31" i="34" s="1"/>
  <c r="CO36" i="34" s="1"/>
  <c r="DD20" i="2"/>
  <c r="O1644" i="25"/>
  <c r="P1644" i="25" s="1"/>
  <c r="CR16" i="33"/>
  <c r="CR49" i="33" s="1"/>
  <c r="CR25" i="33"/>
  <c r="CR58" i="33" s="1"/>
  <c r="DC34" i="2"/>
  <c r="CR23" i="33" s="1"/>
  <c r="O1624" i="25"/>
  <c r="P1624" i="25" s="1"/>
  <c r="CO50" i="34" s="1"/>
  <c r="CN57" i="34" s="1"/>
  <c r="CR53" i="33"/>
  <c r="DB41" i="2"/>
  <c r="O1597" i="25"/>
  <c r="P1597" i="25" s="1"/>
  <c r="CQ23" i="33"/>
  <c r="CQ56" i="33" s="1"/>
  <c r="CP31" i="33"/>
  <c r="DL13" i="2" l="1"/>
  <c r="DM15" i="2"/>
  <c r="DL14" i="2"/>
  <c r="D50" i="2"/>
  <c r="CN63" i="34"/>
  <c r="CP46" i="34"/>
  <c r="CO53" i="34" s="1"/>
  <c r="CL24" i="34"/>
  <c r="CP29" i="34"/>
  <c r="CP48" i="34"/>
  <c r="CO55" i="34" s="1"/>
  <c r="CP61" i="34"/>
  <c r="CO63" i="34" s="1"/>
  <c r="DB19" i="2"/>
  <c r="CP20" i="34"/>
  <c r="CO25" i="34" s="1"/>
  <c r="CP51" i="34"/>
  <c r="CO58" i="34" s="1"/>
  <c r="CP40" i="34"/>
  <c r="CO43" i="34" s="1"/>
  <c r="CM27" i="34"/>
  <c r="CL32" i="34" s="1"/>
  <c r="CM18" i="34"/>
  <c r="CL23" i="34" s="1"/>
  <c r="DB18" i="2"/>
  <c r="DB36" i="2"/>
  <c r="CQ26" i="33"/>
  <c r="CQ59" i="33" s="1"/>
  <c r="CN65" i="34"/>
  <c r="CM68" i="34" s="1"/>
  <c r="DC38" i="2"/>
  <c r="CM45" i="34"/>
  <c r="CL52" i="34" s="1"/>
  <c r="CM38" i="34"/>
  <c r="CL41" i="34" s="1"/>
  <c r="DB26" i="2"/>
  <c r="CM60" i="34"/>
  <c r="CL62" i="34" s="1"/>
  <c r="CO29" i="34"/>
  <c r="CN34" i="34" s="1"/>
  <c r="DD31" i="2"/>
  <c r="CS19" i="33" s="1"/>
  <c r="CS52" i="33" s="1"/>
  <c r="CN49" i="34"/>
  <c r="CM56" i="34" s="1"/>
  <c r="DC33" i="2"/>
  <c r="CQ21" i="33"/>
  <c r="CQ54" i="33" s="1"/>
  <c r="CO47" i="34"/>
  <c r="CN54" i="34" s="1"/>
  <c r="CS16" i="33"/>
  <c r="CS49" i="33" s="1"/>
  <c r="CN71" i="34"/>
  <c r="CM72" i="34" s="1"/>
  <c r="CM30" i="34"/>
  <c r="CL35" i="34" s="1"/>
  <c r="DB24" i="2"/>
  <c r="O1580" i="25"/>
  <c r="P1580" i="25" s="1"/>
  <c r="CP12" i="33"/>
  <c r="CP45" i="33" s="1"/>
  <c r="CP43" i="33"/>
  <c r="O1626" i="25"/>
  <c r="P1626" i="25" s="1"/>
  <c r="D1515" i="25"/>
  <c r="O1609" i="25"/>
  <c r="P1609" i="25" s="1"/>
  <c r="CM28" i="34"/>
  <c r="CL33" i="34" s="1"/>
  <c r="DB22" i="2"/>
  <c r="O1578" i="25"/>
  <c r="P1578" i="25" s="1"/>
  <c r="DC19" i="2" s="1"/>
  <c r="CR7" i="33" s="1"/>
  <c r="CM17" i="34"/>
  <c r="CL22" i="34" s="1"/>
  <c r="DB17" i="2"/>
  <c r="CQ5" i="33" s="1"/>
  <c r="CQ38" i="33" s="1"/>
  <c r="O1573" i="25"/>
  <c r="P1573" i="25" s="1"/>
  <c r="D1517" i="25"/>
  <c r="DB27" i="2"/>
  <c r="CQ15" i="33" s="1"/>
  <c r="CQ48" i="33" s="1"/>
  <c r="O1583" i="25"/>
  <c r="P1583" i="25" s="1"/>
  <c r="CN39" i="34" s="1"/>
  <c r="CM42" i="34" s="1"/>
  <c r="DA16" i="2"/>
  <c r="O1538" i="25"/>
  <c r="P1538" i="25" s="1"/>
  <c r="D1524" i="25"/>
  <c r="D1523" i="25"/>
  <c r="D1504" i="25"/>
  <c r="D1521" i="25"/>
  <c r="D1520" i="25"/>
  <c r="D1518" i="25"/>
  <c r="D1525" i="25"/>
  <c r="D1522" i="25"/>
  <c r="D1519" i="25"/>
  <c r="D1513" i="25"/>
  <c r="D1526" i="25"/>
  <c r="D1506" i="25"/>
  <c r="D1507" i="25"/>
  <c r="D1510" i="25"/>
  <c r="D1516" i="25"/>
  <c r="D1508" i="25"/>
  <c r="D1512" i="25"/>
  <c r="D1514" i="25"/>
  <c r="D1505" i="25"/>
  <c r="D1528" i="25"/>
  <c r="D1511" i="25"/>
  <c r="DB21" i="2"/>
  <c r="CQ9" i="33" s="1"/>
  <c r="CQ42" i="33" s="1"/>
  <c r="O1577" i="25"/>
  <c r="P1577" i="25" s="1"/>
  <c r="CO4" i="33"/>
  <c r="CO37" i="33" s="1"/>
  <c r="DB29" i="2"/>
  <c r="O1585" i="25"/>
  <c r="P1585" i="25" s="1"/>
  <c r="D1527" i="25"/>
  <c r="O1658" i="25"/>
  <c r="P1658" i="25" s="1"/>
  <c r="CP50" i="34" s="1"/>
  <c r="CO57" i="34" s="1"/>
  <c r="DB39" i="2"/>
  <c r="CQ27" i="33" s="1"/>
  <c r="CQ60" i="33" s="1"/>
  <c r="O1595" i="25"/>
  <c r="P1595" i="25" s="1"/>
  <c r="CN66" i="34" s="1"/>
  <c r="CM69" i="34" s="1"/>
  <c r="DE25" i="2"/>
  <c r="CT13" i="33" s="1"/>
  <c r="CT46" i="33" s="1"/>
  <c r="O1683" i="25"/>
  <c r="P1683" i="25" s="1"/>
  <c r="DE35" i="2"/>
  <c r="CT22" i="33" s="1"/>
  <c r="CT55" i="33" s="1"/>
  <c r="O1693" i="25"/>
  <c r="P1693" i="25" s="1"/>
  <c r="DE40" i="2"/>
  <c r="O1698" i="25"/>
  <c r="P1698" i="25" s="1"/>
  <c r="CQ67" i="34" s="1"/>
  <c r="CP70" i="34" s="1"/>
  <c r="DE30" i="2"/>
  <c r="CT18" i="33" s="1"/>
  <c r="O1688" i="25"/>
  <c r="P1688" i="25" s="1"/>
  <c r="O1689" i="25"/>
  <c r="P1689" i="25" s="1"/>
  <c r="DE37" i="2"/>
  <c r="O1695" i="25"/>
  <c r="P1695" i="25" s="1"/>
  <c r="DE23" i="2"/>
  <c r="CT11" i="33" s="1"/>
  <c r="CT44" i="33" s="1"/>
  <c r="O1681" i="25"/>
  <c r="P1681" i="25" s="1"/>
  <c r="DE20" i="2"/>
  <c r="CT8" i="33" s="1"/>
  <c r="O1678" i="25"/>
  <c r="P1678" i="25" s="1"/>
  <c r="O1696" i="25"/>
  <c r="P1696" i="25" s="1"/>
  <c r="O1676" i="25"/>
  <c r="P1676" i="25" s="1"/>
  <c r="DE32" i="2"/>
  <c r="CT20" i="33" s="1"/>
  <c r="CT53" i="33" s="1"/>
  <c r="O1690" i="25"/>
  <c r="P1690" i="25" s="1"/>
  <c r="DE28" i="2"/>
  <c r="CT16" i="33" s="1"/>
  <c r="O1686" i="25"/>
  <c r="P1686" i="25" s="1"/>
  <c r="CQ40" i="34" s="1"/>
  <c r="O1691" i="25"/>
  <c r="P1691" i="25" s="1"/>
  <c r="O1684" i="25"/>
  <c r="P1684" i="25" s="1"/>
  <c r="CS53" i="33"/>
  <c r="CS46" i="33"/>
  <c r="CS44" i="33"/>
  <c r="CS55" i="33"/>
  <c r="CS18" i="33"/>
  <c r="CS28" i="33"/>
  <c r="CS8" i="33"/>
  <c r="CS58" i="33"/>
  <c r="DD34" i="2"/>
  <c r="DC41" i="2"/>
  <c r="CR30" i="33" s="1"/>
  <c r="O1631" i="25"/>
  <c r="P1631" i="25" s="1"/>
  <c r="CR56" i="33"/>
  <c r="CQ30" i="33"/>
  <c r="G40" i="17" l="1"/>
  <c r="G11" i="17" s="1"/>
  <c r="P4" i="7"/>
  <c r="H29" i="17"/>
  <c r="G30" i="17" s="1"/>
  <c r="DQ29" i="9" a="1"/>
  <c r="G35" i="17"/>
  <c r="F6" i="17" s="1"/>
  <c r="DM13" i="2"/>
  <c r="DM14" i="2"/>
  <c r="CP43" i="34"/>
  <c r="CQ24" i="33"/>
  <c r="CQ57" i="33" s="1"/>
  <c r="CQ20" i="34"/>
  <c r="CP25" i="34" s="1"/>
  <c r="CQ48" i="34"/>
  <c r="CP55" i="34" s="1"/>
  <c r="CQ61" i="34"/>
  <c r="CP63" i="34" s="1"/>
  <c r="DE31" i="2"/>
  <c r="CT19" i="33" s="1"/>
  <c r="CT52" i="33" s="1"/>
  <c r="CQ51" i="34"/>
  <c r="CP58" i="34" s="1"/>
  <c r="CQ7" i="33"/>
  <c r="CQ40" i="33" s="1"/>
  <c r="CN19" i="34"/>
  <c r="CM24" i="34" s="1"/>
  <c r="CQ14" i="33"/>
  <c r="CQ47" i="33" s="1"/>
  <c r="G42" i="17"/>
  <c r="CQ29" i="34"/>
  <c r="CP34" i="34" s="1"/>
  <c r="CQ31" i="34"/>
  <c r="CP36" i="34" s="1"/>
  <c r="CO49" i="34"/>
  <c r="CN56" i="34" s="1"/>
  <c r="DD33" i="2"/>
  <c r="CO34" i="34"/>
  <c r="CP47" i="34"/>
  <c r="CO54" i="34" s="1"/>
  <c r="CN27" i="34"/>
  <c r="CM32" i="34" s="1"/>
  <c r="CN18" i="34"/>
  <c r="CM23" i="34" s="1"/>
  <c r="DC18" i="2"/>
  <c r="DC36" i="2"/>
  <c r="CR24" i="33" s="1"/>
  <c r="CR57" i="33" s="1"/>
  <c r="CR21" i="33"/>
  <c r="CR54" i="33" s="1"/>
  <c r="DD38" i="2"/>
  <c r="CO65" i="34"/>
  <c r="CN68" i="34" s="1"/>
  <c r="CQ46" i="34"/>
  <c r="CP53" i="34" s="1"/>
  <c r="CN45" i="34"/>
  <c r="CM52" i="34" s="1"/>
  <c r="CN38" i="34"/>
  <c r="CM41" i="34" s="1"/>
  <c r="DC26" i="2"/>
  <c r="CN60" i="34"/>
  <c r="CM62" i="34" s="1"/>
  <c r="CR26" i="33"/>
  <c r="CR59" i="33" s="1"/>
  <c r="CQ6" i="33"/>
  <c r="CQ39" i="33" s="1"/>
  <c r="G34" i="17"/>
  <c r="CT49" i="33"/>
  <c r="G55" i="17"/>
  <c r="F26" i="17" s="1"/>
  <c r="G33" i="17"/>
  <c r="G4" i="17" s="1"/>
  <c r="G37" i="17"/>
  <c r="G8" i="17" s="1"/>
  <c r="P59" i="7"/>
  <c r="CO71" i="34"/>
  <c r="CN72" i="34" s="1"/>
  <c r="CN30" i="34"/>
  <c r="CM35" i="34" s="1"/>
  <c r="O1614" i="25"/>
  <c r="P1614" i="25" s="1"/>
  <c r="DC24" i="2"/>
  <c r="CQ12" i="33"/>
  <c r="CQ45" i="33" s="1"/>
  <c r="CQ10" i="33"/>
  <c r="CQ43" i="33" s="1"/>
  <c r="CQ17" i="33"/>
  <c r="CQ50" i="33" s="1"/>
  <c r="O1660" i="25"/>
  <c r="P1660" i="25" s="1"/>
  <c r="DE34" i="2"/>
  <c r="CT23" i="33" s="1"/>
  <c r="O1643" i="25"/>
  <c r="P1643" i="25" s="1"/>
  <c r="CN28" i="34"/>
  <c r="CM33" i="34" s="1"/>
  <c r="DC22" i="2"/>
  <c r="CR10" i="33" s="1"/>
  <c r="O1612" i="25"/>
  <c r="P1612" i="25" s="1"/>
  <c r="CO19" i="34" s="1"/>
  <c r="CN17" i="34"/>
  <c r="CM22" i="34" s="1"/>
  <c r="O1607" i="25"/>
  <c r="P1607" i="25" s="1"/>
  <c r="DC17" i="2"/>
  <c r="CR5" i="33" s="1"/>
  <c r="CR38" i="33" s="1"/>
  <c r="D1551" i="25"/>
  <c r="CM16" i="34"/>
  <c r="CL21" i="34" s="1"/>
  <c r="D1549" i="25"/>
  <c r="D1543" i="25"/>
  <c r="D1561" i="25"/>
  <c r="O1730" i="25"/>
  <c r="P1730" i="25" s="1"/>
  <c r="O1692" i="25"/>
  <c r="P1692" i="25" s="1"/>
  <c r="CQ50" i="34" s="1"/>
  <c r="CP57" i="34" s="1"/>
  <c r="O1712" i="25"/>
  <c r="P1712" i="25" s="1"/>
  <c r="O1723" i="25"/>
  <c r="P1723" i="25" s="1"/>
  <c r="O1727" i="25"/>
  <c r="P1727" i="25" s="1"/>
  <c r="CR51" i="34" s="1"/>
  <c r="O1619" i="25"/>
  <c r="P1619" i="25" s="1"/>
  <c r="DC29" i="2"/>
  <c r="CR17" i="33" s="1"/>
  <c r="O1725" i="25"/>
  <c r="P1725" i="25" s="1"/>
  <c r="O1720" i="25"/>
  <c r="P1720" i="25" s="1"/>
  <c r="O1710" i="25"/>
  <c r="P1710" i="25" s="1"/>
  <c r="O1715" i="25"/>
  <c r="P1715" i="25" s="1"/>
  <c r="O1732" i="25"/>
  <c r="P1732" i="25" s="1"/>
  <c r="CR67" i="34" s="1"/>
  <c r="CQ70" i="34" s="1"/>
  <c r="O1717" i="25"/>
  <c r="P1717" i="25" s="1"/>
  <c r="CR31" i="34" s="1"/>
  <c r="DC21" i="2"/>
  <c r="CR9" i="33" s="1"/>
  <c r="CR42" i="33" s="1"/>
  <c r="O1611" i="25"/>
  <c r="P1611" i="25" s="1"/>
  <c r="O1718" i="25"/>
  <c r="P1718" i="25" s="1"/>
  <c r="O1724" i="25"/>
  <c r="P1724" i="25" s="1"/>
  <c r="CR48" i="34" s="1"/>
  <c r="O1729" i="25"/>
  <c r="P1729" i="25" s="1"/>
  <c r="O1722" i="25"/>
  <c r="P1722" i="25" s="1"/>
  <c r="CP4" i="33"/>
  <c r="CP37" i="33" s="1"/>
  <c r="DC39" i="2"/>
  <c r="CR27" i="33" s="1"/>
  <c r="CR60" i="33" s="1"/>
  <c r="O1629" i="25"/>
  <c r="P1629" i="25" s="1"/>
  <c r="CO66" i="34" s="1"/>
  <c r="CN69" i="34" s="1"/>
  <c r="DB16" i="2"/>
  <c r="O1572" i="25"/>
  <c r="P1572" i="25" s="1"/>
  <c r="CN16" i="34" s="1"/>
  <c r="D1545" i="25"/>
  <c r="D1538" i="25"/>
  <c r="D1554" i="25"/>
  <c r="D1546" i="25"/>
  <c r="D1553" i="25"/>
  <c r="D1556" i="25"/>
  <c r="D1548" i="25"/>
  <c r="D1562" i="25"/>
  <c r="D1540" i="25"/>
  <c r="D1544" i="25"/>
  <c r="D1557" i="25"/>
  <c r="D1550" i="25"/>
  <c r="D1560" i="25"/>
  <c r="D1547" i="25"/>
  <c r="D1539" i="25"/>
  <c r="D1542" i="25"/>
  <c r="D1541" i="25"/>
  <c r="D1558" i="25"/>
  <c r="D1552" i="25"/>
  <c r="D1555" i="25"/>
  <c r="D1559" i="25"/>
  <c r="DC27" i="2"/>
  <c r="CR15" i="33" s="1"/>
  <c r="CR48" i="33" s="1"/>
  <c r="O1617" i="25"/>
  <c r="P1617" i="25" s="1"/>
  <c r="CO39" i="34" s="1"/>
  <c r="CN42" i="34" s="1"/>
  <c r="D1583" i="25"/>
  <c r="DF37" i="2"/>
  <c r="DF35" i="2"/>
  <c r="DF32" i="2"/>
  <c r="DF20" i="2"/>
  <c r="DF30" i="2"/>
  <c r="DF28" i="2"/>
  <c r="CU16" i="33" s="1"/>
  <c r="CU49" i="33" s="1"/>
  <c r="DF23" i="2"/>
  <c r="DF40" i="2"/>
  <c r="DF25" i="2"/>
  <c r="CU13" i="33" s="1"/>
  <c r="CU46" i="33" s="1"/>
  <c r="DF31" i="2"/>
  <c r="CR63" i="33"/>
  <c r="CT25" i="33"/>
  <c r="CT58" i="33" s="1"/>
  <c r="CT28" i="33"/>
  <c r="CS61" i="33"/>
  <c r="CS41" i="33"/>
  <c r="CT41" i="33"/>
  <c r="CS51" i="33"/>
  <c r="CT51" i="33"/>
  <c r="DD41" i="2"/>
  <c r="P60" i="7" s="1"/>
  <c r="O1665" i="25"/>
  <c r="P1665" i="25" s="1"/>
  <c r="CS23" i="33"/>
  <c r="CR31" i="33"/>
  <c r="CQ63" i="33"/>
  <c r="CQ31" i="33"/>
  <c r="CQ55" i="34" l="1"/>
  <c r="CN24" i="34"/>
  <c r="H40" i="17"/>
  <c r="H11" i="17" s="1"/>
  <c r="G6" i="17"/>
  <c r="EC37" i="9"/>
  <c r="DZ143" i="9"/>
  <c r="DY155" i="9"/>
  <c r="DU156" i="9"/>
  <c r="DW139" i="9"/>
  <c r="EC123" i="9"/>
  <c r="EC144" i="9"/>
  <c r="DV128" i="9"/>
  <c r="EA157" i="9"/>
  <c r="DY159" i="9"/>
  <c r="DY157" i="9"/>
  <c r="DV101" i="9"/>
  <c r="EB88" i="9"/>
  <c r="DR51" i="9"/>
  <c r="DU160" i="9"/>
  <c r="DW128" i="9"/>
  <c r="DR68" i="9"/>
  <c r="DV34" i="9"/>
  <c r="DS110" i="9"/>
  <c r="DS160" i="9"/>
  <c r="DS152" i="9"/>
  <c r="DZ131" i="9"/>
  <c r="DT125" i="9"/>
  <c r="EC82" i="9"/>
  <c r="DT51" i="9"/>
  <c r="DW131" i="9"/>
  <c r="DZ142" i="9"/>
  <c r="DS98" i="9"/>
  <c r="EC148" i="9"/>
  <c r="DY92" i="9"/>
  <c r="DS53" i="9"/>
  <c r="DZ105" i="9"/>
  <c r="DW122" i="9"/>
  <c r="DQ107" i="9"/>
  <c r="DX131" i="9"/>
  <c r="DT159" i="9"/>
  <c r="DV160" i="9"/>
  <c r="DV35" i="9"/>
  <c r="EB82" i="9"/>
  <c r="DX39" i="9"/>
  <c r="DQ143" i="9"/>
  <c r="EC50" i="9"/>
  <c r="DY160" i="9"/>
  <c r="DU81" i="9"/>
  <c r="EB157" i="9"/>
  <c r="DQ71" i="9"/>
  <c r="DR141" i="9"/>
  <c r="EA69" i="9"/>
  <c r="EA58" i="9"/>
  <c r="EC103" i="9"/>
  <c r="DW127" i="9"/>
  <c r="DX92" i="9"/>
  <c r="DY125" i="9"/>
  <c r="DR139" i="9"/>
  <c r="DT77" i="9"/>
  <c r="DV157" i="9"/>
  <c r="DR148" i="9"/>
  <c r="DQ109" i="9"/>
  <c r="DW136" i="9"/>
  <c r="DT146" i="9"/>
  <c r="DU147" i="9"/>
  <c r="DX158" i="9"/>
  <c r="DX104" i="9"/>
  <c r="DU115" i="9"/>
  <c r="DU135" i="9"/>
  <c r="DY48" i="9"/>
  <c r="DV134" i="9"/>
  <c r="DT108" i="9"/>
  <c r="EC65" i="9"/>
  <c r="DV76" i="9"/>
  <c r="DS134" i="9"/>
  <c r="EB152" i="9"/>
  <c r="DR161" i="9"/>
  <c r="EB117" i="9"/>
  <c r="EB136" i="9"/>
  <c r="DX146" i="9"/>
  <c r="DX114" i="9"/>
  <c r="EA114" i="9"/>
  <c r="EC160" i="9"/>
  <c r="DX102" i="9"/>
  <c r="DT128" i="9"/>
  <c r="DY72" i="9"/>
  <c r="DT78" i="9"/>
  <c r="DW126" i="9"/>
  <c r="DW98" i="9"/>
  <c r="DR30" i="9"/>
  <c r="DZ56" i="9"/>
  <c r="DU151" i="9"/>
  <c r="DY143" i="9"/>
  <c r="DQ136" i="9"/>
  <c r="DU44" i="9"/>
  <c r="EB160" i="9"/>
  <c r="DV74" i="9"/>
  <c r="DX78" i="9"/>
  <c r="DZ145" i="9"/>
  <c r="DX53" i="9"/>
  <c r="DY147" i="9"/>
  <c r="DR153" i="9"/>
  <c r="DS155" i="9"/>
  <c r="DR110" i="9"/>
  <c r="DT68" i="9"/>
  <c r="DT120" i="9"/>
  <c r="DS146" i="9"/>
  <c r="EC98" i="9"/>
  <c r="DX121" i="9"/>
  <c r="DU134" i="9"/>
  <c r="DX58" i="9"/>
  <c r="DQ33" i="9"/>
  <c r="DY142" i="9"/>
  <c r="DR147" i="9"/>
  <c r="DX160" i="9"/>
  <c r="DZ162" i="9"/>
  <c r="DR119" i="9"/>
  <c r="DS43" i="9"/>
  <c r="DS122" i="9"/>
  <c r="DT40" i="9"/>
  <c r="EA103" i="9"/>
  <c r="EB66" i="9"/>
  <c r="EA105" i="9"/>
  <c r="DX152" i="9"/>
  <c r="DS79" i="9"/>
  <c r="DZ101" i="9"/>
  <c r="DR149" i="9"/>
  <c r="DQ36" i="9"/>
  <c r="DQ149" i="9"/>
  <c r="DS150" i="9"/>
  <c r="EA156" i="9"/>
  <c r="DW158" i="9"/>
  <c r="EC102" i="9"/>
  <c r="DQ140" i="9"/>
  <c r="EB104" i="9"/>
  <c r="DY149" i="9"/>
  <c r="DY106" i="9"/>
  <c r="DU153" i="9"/>
  <c r="DX47" i="9"/>
  <c r="DX57" i="9"/>
  <c r="DQ155" i="9"/>
  <c r="DX141" i="9"/>
  <c r="DR140" i="9"/>
  <c r="DW107" i="9"/>
  <c r="DW48" i="9"/>
  <c r="DQ99" i="9"/>
  <c r="DW130" i="9"/>
  <c r="EB75" i="9"/>
  <c r="DT72" i="9"/>
  <c r="DR67" i="9"/>
  <c r="DZ146" i="9"/>
  <c r="DW112" i="9"/>
  <c r="DT49" i="9"/>
  <c r="DQ111" i="9"/>
  <c r="EC105" i="9"/>
  <c r="DX145" i="9"/>
  <c r="DX71" i="9"/>
  <c r="DV63" i="9"/>
  <c r="EA140" i="9"/>
  <c r="DR155" i="9"/>
  <c r="DZ140" i="9"/>
  <c r="DY70" i="9"/>
  <c r="DX129" i="9"/>
  <c r="DW50" i="9"/>
  <c r="DW144" i="9"/>
  <c r="DS154" i="9"/>
  <c r="DS92" i="9"/>
  <c r="EB148" i="9"/>
  <c r="DY57" i="9"/>
  <c r="EA47" i="9"/>
  <c r="EA133" i="9"/>
  <c r="DV156" i="9"/>
  <c r="EC104" i="9"/>
  <c r="DW103" i="9"/>
  <c r="DX156" i="9"/>
  <c r="DW124" i="9"/>
  <c r="EC47" i="9"/>
  <c r="EA137" i="9"/>
  <c r="DR86" i="9"/>
  <c r="EC120" i="9"/>
  <c r="DY115" i="9"/>
  <c r="DT79" i="9"/>
  <c r="DU159" i="9"/>
  <c r="DZ116" i="9"/>
  <c r="DZ75" i="9"/>
  <c r="DY97" i="9"/>
  <c r="DQ119" i="9"/>
  <c r="EA148" i="9"/>
  <c r="DR108" i="9"/>
  <c r="DR85" i="9"/>
  <c r="DV131" i="9"/>
  <c r="DZ35" i="9"/>
  <c r="DT82" i="9"/>
  <c r="DU89" i="9"/>
  <c r="DU112" i="9"/>
  <c r="DU158" i="9"/>
  <c r="DT133" i="9"/>
  <c r="DY46" i="9"/>
  <c r="DX132" i="9"/>
  <c r="DV130" i="9"/>
  <c r="DS66" i="9"/>
  <c r="DT87" i="9"/>
  <c r="DS145" i="9"/>
  <c r="DR74" i="9"/>
  <c r="DZ151" i="9"/>
  <c r="DQ127" i="9"/>
  <c r="DR128" i="9"/>
  <c r="EC147" i="9"/>
  <c r="DU70" i="9"/>
  <c r="EB137" i="9"/>
  <c r="DV95" i="9"/>
  <c r="DU111" i="9"/>
  <c r="EC143" i="9"/>
  <c r="DY56" i="9"/>
  <c r="DR157" i="9"/>
  <c r="DT47" i="9"/>
  <c r="DZ45" i="9"/>
  <c r="DQ93" i="9"/>
  <c r="DT138" i="9"/>
  <c r="DU97" i="9"/>
  <c r="DW74" i="9"/>
  <c r="DY124" i="9"/>
  <c r="DY133" i="9"/>
  <c r="EA130" i="9"/>
  <c r="EC41" i="9"/>
  <c r="EB30" i="9"/>
  <c r="DR150" i="9"/>
  <c r="EC136" i="9"/>
  <c r="DX123" i="9"/>
  <c r="EA42" i="9"/>
  <c r="EB143" i="9"/>
  <c r="DY79" i="9"/>
  <c r="DT110" i="9"/>
  <c r="EA118" i="9"/>
  <c r="DU117" i="9"/>
  <c r="EA81" i="9"/>
  <c r="DX103" i="9"/>
  <c r="DT132" i="9"/>
  <c r="DR134" i="9"/>
  <c r="DZ66" i="9"/>
  <c r="DR78" i="9"/>
  <c r="DR46" i="9"/>
  <c r="EA147" i="9"/>
  <c r="DV149" i="9"/>
  <c r="DZ77" i="9"/>
  <c r="EC138" i="9"/>
  <c r="DZ127" i="9"/>
  <c r="DT113" i="9"/>
  <c r="DT112" i="9"/>
  <c r="DQ146" i="9"/>
  <c r="DT157" i="9"/>
  <c r="EA98" i="9"/>
  <c r="DV138" i="9"/>
  <c r="DT155" i="9"/>
  <c r="DZ72" i="9"/>
  <c r="DZ155" i="9"/>
  <c r="DR98" i="9"/>
  <c r="DZ95" i="9"/>
  <c r="EC59" i="9"/>
  <c r="DR109" i="9"/>
  <c r="EB144" i="9"/>
  <c r="DT95" i="9"/>
  <c r="EA56" i="9"/>
  <c r="DU161" i="9"/>
  <c r="DR126" i="9"/>
  <c r="DZ130" i="9"/>
  <c r="DW140" i="9"/>
  <c r="DV142" i="9"/>
  <c r="DY154" i="9"/>
  <c r="DT97" i="9"/>
  <c r="EA75" i="9"/>
  <c r="DV65" i="9"/>
  <c r="EC46" i="9"/>
  <c r="DX127" i="9"/>
  <c r="DV106" i="9"/>
  <c r="DQ101" i="9"/>
  <c r="EA97" i="9"/>
  <c r="DY103" i="9"/>
  <c r="DZ132" i="9"/>
  <c r="DW82" i="9"/>
  <c r="DX48" i="9"/>
  <c r="DQ129" i="9"/>
  <c r="EA154" i="9"/>
  <c r="DQ154" i="9"/>
  <c r="DY146" i="9"/>
  <c r="DW105" i="9"/>
  <c r="DY85" i="9"/>
  <c r="DX155" i="9"/>
  <c r="EA123" i="9"/>
  <c r="DU142" i="9"/>
  <c r="DU67" i="9"/>
  <c r="EB51" i="9"/>
  <c r="DT80" i="9"/>
  <c r="DZ61" i="9"/>
  <c r="DZ29" i="9"/>
  <c r="DQ120" i="9"/>
  <c r="DQ67" i="9"/>
  <c r="DS94" i="9"/>
  <c r="DV154" i="9"/>
  <c r="DQ123" i="9"/>
  <c r="DT134" i="9"/>
  <c r="DW66" i="9"/>
  <c r="DT149" i="9"/>
  <c r="DV29" i="9"/>
  <c r="DU36" i="9"/>
  <c r="EA131" i="9"/>
  <c r="DR83" i="9"/>
  <c r="DX63" i="9"/>
  <c r="DU78" i="9"/>
  <c r="DW51" i="9"/>
  <c r="DW61" i="9"/>
  <c r="DQ122" i="9"/>
  <c r="DQ40" i="9"/>
  <c r="DT76" i="9"/>
  <c r="DY84" i="9"/>
  <c r="DU125" i="9"/>
  <c r="EB138" i="9"/>
  <c r="DQ148" i="9"/>
  <c r="DZ159" i="9"/>
  <c r="EA115" i="9"/>
  <c r="DW31" i="9"/>
  <c r="DZ156" i="9"/>
  <c r="DX84" i="9"/>
  <c r="DZ152" i="9"/>
  <c r="DW108" i="9"/>
  <c r="DX74" i="9"/>
  <c r="DZ38" i="9"/>
  <c r="DU53" i="9"/>
  <c r="DT90" i="9"/>
  <c r="EB106" i="9"/>
  <c r="DV119" i="9"/>
  <c r="DZ139" i="9"/>
  <c r="DY158" i="9"/>
  <c r="DR133" i="9"/>
  <c r="DR82" i="9"/>
  <c r="DY38" i="9"/>
  <c r="DT152" i="9"/>
  <c r="DV125" i="9"/>
  <c r="EC107" i="9"/>
  <c r="DS37" i="9"/>
  <c r="DR58" i="9"/>
  <c r="DU71" i="9"/>
  <c r="DR130" i="9"/>
  <c r="DZ148" i="9"/>
  <c r="EC131" i="9"/>
  <c r="DQ157" i="9"/>
  <c r="EA159" i="9"/>
  <c r="DZ134" i="9"/>
  <c r="DW41" i="9"/>
  <c r="EB48" i="9"/>
  <c r="DX143" i="9"/>
  <c r="EA84" i="9"/>
  <c r="DZ119" i="9"/>
  <c r="EB141" i="9"/>
  <c r="DS137" i="9"/>
  <c r="EC132" i="9"/>
  <c r="DQ126" i="9"/>
  <c r="DY59" i="9"/>
  <c r="DZ102" i="9"/>
  <c r="DX115" i="9"/>
  <c r="DR132" i="9"/>
  <c r="DT141" i="9"/>
  <c r="DT71" i="9"/>
  <c r="DY58" i="9"/>
  <c r="DY64" i="9"/>
  <c r="DW145" i="9"/>
  <c r="DR39" i="9"/>
  <c r="DU40" i="9"/>
  <c r="DY31" i="9"/>
  <c r="DQ70" i="9"/>
  <c r="DW116" i="9"/>
  <c r="DR94" i="9"/>
  <c r="DX91" i="9"/>
  <c r="EA128" i="9"/>
  <c r="DV111" i="9"/>
  <c r="EC58" i="9"/>
  <c r="DT57" i="9"/>
  <c r="EC44" i="9"/>
  <c r="DT136" i="9"/>
  <c r="DR84" i="9"/>
  <c r="DU87" i="9"/>
  <c r="DS117" i="9"/>
  <c r="DW101" i="9"/>
  <c r="EB64" i="9"/>
  <c r="DX80" i="9"/>
  <c r="EA67" i="9"/>
  <c r="EB76" i="9"/>
  <c r="DS41" i="9"/>
  <c r="DX44" i="9"/>
  <c r="DW32" i="9"/>
  <c r="DS80" i="9"/>
  <c r="DV89" i="9"/>
  <c r="DW87" i="9"/>
  <c r="DZ62" i="9"/>
  <c r="DX122" i="9"/>
  <c r="EB140" i="9"/>
  <c r="DW83" i="9"/>
  <c r="DU85" i="9"/>
  <c r="EC152" i="9"/>
  <c r="EA141" i="9"/>
  <c r="DY105" i="9"/>
  <c r="DT35" i="9"/>
  <c r="DQ108" i="9"/>
  <c r="EA31" i="9"/>
  <c r="DU33" i="9"/>
  <c r="DT99" i="9"/>
  <c r="DW119" i="9"/>
  <c r="DV162" i="9"/>
  <c r="DR89" i="9"/>
  <c r="DR71" i="9"/>
  <c r="DR35" i="9"/>
  <c r="EA79" i="9"/>
  <c r="EC122" i="9"/>
  <c r="DR72" i="9"/>
  <c r="DR34" i="9"/>
  <c r="DW54" i="9"/>
  <c r="EC83" i="9"/>
  <c r="DS83" i="9"/>
  <c r="EA44" i="9"/>
  <c r="DQ159" i="9"/>
  <c r="DU35" i="9"/>
  <c r="EA101" i="9"/>
  <c r="DV96" i="9"/>
  <c r="EC113" i="9"/>
  <c r="EA119" i="9"/>
  <c r="DY37" i="9"/>
  <c r="DT119" i="9"/>
  <c r="DW100" i="9"/>
  <c r="DS103" i="9"/>
  <c r="DW35" i="9"/>
  <c r="DY90" i="9"/>
  <c r="EC91" i="9"/>
  <c r="EC36" i="9"/>
  <c r="DY44" i="9"/>
  <c r="DV67" i="9"/>
  <c r="DT34" i="9"/>
  <c r="DQ66" i="9"/>
  <c r="DT162" i="9"/>
  <c r="DY91" i="9"/>
  <c r="EA72" i="9"/>
  <c r="DW86" i="9"/>
  <c r="EA66" i="9"/>
  <c r="EC38" i="9"/>
  <c r="DX35" i="9"/>
  <c r="DY49" i="9"/>
  <c r="DY137" i="9"/>
  <c r="DS75" i="9"/>
  <c r="DX109" i="9"/>
  <c r="DR103" i="9"/>
  <c r="EC89" i="9"/>
  <c r="DT91" i="9"/>
  <c r="EB85" i="9"/>
  <c r="DV107" i="9"/>
  <c r="DQ38" i="9"/>
  <c r="DT31" i="9"/>
  <c r="DW63" i="9"/>
  <c r="DQ82" i="9"/>
  <c r="DW141" i="9"/>
  <c r="EC95" i="9"/>
  <c r="DW84" i="9"/>
  <c r="DU60" i="9"/>
  <c r="DY148" i="9"/>
  <c r="DS89" i="9"/>
  <c r="DY121" i="9"/>
  <c r="DT145" i="9"/>
  <c r="EB96" i="9"/>
  <c r="DS32" i="9"/>
  <c r="DY54" i="9"/>
  <c r="DW78" i="9"/>
  <c r="DS124" i="9"/>
  <c r="DR117" i="9"/>
  <c r="DV116" i="9"/>
  <c r="DY123" i="9"/>
  <c r="EA83" i="9"/>
  <c r="DQ41" i="9"/>
  <c r="DV44" i="9"/>
  <c r="DU86" i="9"/>
  <c r="DU39" i="9"/>
  <c r="EA149" i="9"/>
  <c r="EC77" i="9"/>
  <c r="DZ100" i="9"/>
  <c r="DX119" i="9"/>
  <c r="DV97" i="9"/>
  <c r="DU31" i="9"/>
  <c r="DW133" i="9"/>
  <c r="DW146" i="9"/>
  <c r="EC116" i="9"/>
  <c r="DS156" i="9"/>
  <c r="EB155" i="9"/>
  <c r="EB92" i="9"/>
  <c r="DV69" i="9"/>
  <c r="DU120" i="9"/>
  <c r="EA45" i="9"/>
  <c r="DT44" i="9"/>
  <c r="DZ34" i="9"/>
  <c r="DY138" i="9"/>
  <c r="DY61" i="9"/>
  <c r="DS59" i="9"/>
  <c r="EC39" i="9"/>
  <c r="EA64" i="9"/>
  <c r="DV88" i="9"/>
  <c r="DZ89" i="9"/>
  <c r="DS82" i="9"/>
  <c r="DU108" i="9"/>
  <c r="DQ50" i="9"/>
  <c r="EC114" i="9"/>
  <c r="EA29" i="9"/>
  <c r="DR63" i="9"/>
  <c r="DR92" i="9"/>
  <c r="DS104" i="9"/>
  <c r="EA162" i="9"/>
  <c r="DZ160" i="9"/>
  <c r="DZ74" i="9"/>
  <c r="DT151" i="9"/>
  <c r="DS70" i="9"/>
  <c r="DY126" i="9"/>
  <c r="DV158" i="9"/>
  <c r="DS147" i="9"/>
  <c r="DV145" i="9"/>
  <c r="DU145" i="9"/>
  <c r="DR154" i="9"/>
  <c r="EC145" i="9"/>
  <c r="DU47" i="9"/>
  <c r="EB94" i="9"/>
  <c r="DV150" i="9"/>
  <c r="DS144" i="9"/>
  <c r="DV136" i="9"/>
  <c r="DQ114" i="9"/>
  <c r="DW97" i="9"/>
  <c r="EC151" i="9"/>
  <c r="DR65" i="9"/>
  <c r="DT148" i="9"/>
  <c r="DR76" i="9"/>
  <c r="DV99" i="9"/>
  <c r="EB134" i="9"/>
  <c r="DZ120" i="9"/>
  <c r="DS109" i="9"/>
  <c r="DZ111" i="9"/>
  <c r="EC78" i="9"/>
  <c r="DW159" i="9"/>
  <c r="DR156" i="9"/>
  <c r="DS55" i="9"/>
  <c r="DW137" i="9"/>
  <c r="DV40" i="9"/>
  <c r="EB120" i="9"/>
  <c r="EA132" i="9"/>
  <c r="EA113" i="9"/>
  <c r="DU88" i="9"/>
  <c r="DQ158" i="9"/>
  <c r="DR112" i="9"/>
  <c r="DZ76" i="9"/>
  <c r="DY87" i="9"/>
  <c r="EA38" i="9"/>
  <c r="DZ91" i="9"/>
  <c r="EA99" i="9"/>
  <c r="DW80" i="9"/>
  <c r="DW34" i="9"/>
  <c r="DY130" i="9"/>
  <c r="EC76" i="9"/>
  <c r="DZ43" i="9"/>
  <c r="EA139" i="9"/>
  <c r="DS105" i="9"/>
  <c r="DY96" i="9"/>
  <c r="EA145" i="9"/>
  <c r="EC81" i="9"/>
  <c r="DR31" i="9"/>
  <c r="DS58" i="9"/>
  <c r="EA87" i="9"/>
  <c r="DX75" i="9"/>
  <c r="DZ125" i="9"/>
  <c r="DY113" i="9"/>
  <c r="DR73" i="9"/>
  <c r="DQ32" i="9"/>
  <c r="DU121" i="9"/>
  <c r="DX38" i="9"/>
  <c r="DS116" i="9"/>
  <c r="DQ78" i="9"/>
  <c r="DV133" i="9"/>
  <c r="DT109" i="9"/>
  <c r="EA109" i="9"/>
  <c r="DU50" i="9"/>
  <c r="DR151" i="9"/>
  <c r="DX137" i="9"/>
  <c r="DU103" i="9"/>
  <c r="EA89" i="9"/>
  <c r="DU154" i="9"/>
  <c r="DR114" i="9"/>
  <c r="EA55" i="9"/>
  <c r="DQ121" i="9"/>
  <c r="DX113" i="9"/>
  <c r="DV147" i="9"/>
  <c r="EA120" i="9"/>
  <c r="DZ118" i="9"/>
  <c r="DU140" i="9"/>
  <c r="DZ46" i="9"/>
  <c r="EB59" i="9"/>
  <c r="DU141" i="9"/>
  <c r="DU138" i="9"/>
  <c r="DQ55" i="9"/>
  <c r="DV135" i="9"/>
  <c r="DT124" i="9"/>
  <c r="DQ130" i="9"/>
  <c r="DW89" i="9"/>
  <c r="DY119" i="9"/>
  <c r="DX151" i="9"/>
  <c r="DU91" i="9"/>
  <c r="DW138" i="9"/>
  <c r="DS129" i="9"/>
  <c r="DW94" i="9"/>
  <c r="EC90" i="9"/>
  <c r="DU136" i="9"/>
  <c r="EA86" i="9"/>
  <c r="DU79" i="9"/>
  <c r="DX49" i="9"/>
  <c r="DQ60" i="9"/>
  <c r="EC80" i="9"/>
  <c r="DU123" i="9"/>
  <c r="DV49" i="9"/>
  <c r="EA39" i="9"/>
  <c r="DV132" i="9"/>
  <c r="DT59" i="9"/>
  <c r="DX29" i="9"/>
  <c r="DW160" i="9"/>
  <c r="EC130" i="9"/>
  <c r="DU149" i="9"/>
  <c r="DQ47" i="9"/>
  <c r="DT58" i="9"/>
  <c r="EA41" i="9"/>
  <c r="EA150" i="9"/>
  <c r="DS60" i="9"/>
  <c r="DW58" i="9"/>
  <c r="DT92" i="9"/>
  <c r="DW132" i="9"/>
  <c r="DY67" i="9"/>
  <c r="DZ50" i="9"/>
  <c r="DV146" i="9"/>
  <c r="EC142" i="9"/>
  <c r="DR122" i="9"/>
  <c r="DV105" i="9"/>
  <c r="EC153" i="9"/>
  <c r="DU46" i="9"/>
  <c r="DS56" i="9"/>
  <c r="EC156" i="9"/>
  <c r="DU54" i="9"/>
  <c r="EB72" i="9"/>
  <c r="DY111" i="9"/>
  <c r="EB67" i="9"/>
  <c r="EA151" i="9"/>
  <c r="EC126" i="9"/>
  <c r="DT130" i="9"/>
  <c r="EB86" i="9"/>
  <c r="DY51" i="9"/>
  <c r="DS90" i="9"/>
  <c r="EC79" i="9"/>
  <c r="EC111" i="9"/>
  <c r="DX124" i="9"/>
  <c r="DZ149" i="9"/>
  <c r="DT81" i="9"/>
  <c r="DR145" i="9"/>
  <c r="EB132" i="9"/>
  <c r="EA142" i="9"/>
  <c r="DZ135" i="9"/>
  <c r="EA50" i="9"/>
  <c r="EA129" i="9"/>
  <c r="EB29" i="9"/>
  <c r="EB73" i="9"/>
  <c r="DS30" i="9"/>
  <c r="DQ145" i="9"/>
  <c r="DZ42" i="9"/>
  <c r="DQ94" i="9"/>
  <c r="EC43" i="9"/>
  <c r="DZ93" i="9"/>
  <c r="EB83" i="9"/>
  <c r="EB58" i="9"/>
  <c r="DU48" i="9"/>
  <c r="DZ147" i="9"/>
  <c r="EB135" i="9"/>
  <c r="DT153" i="9"/>
  <c r="DR49" i="9"/>
  <c r="DY71" i="9"/>
  <c r="DR101" i="9"/>
  <c r="DR115" i="9"/>
  <c r="DZ121" i="9"/>
  <c r="DQ102" i="9"/>
  <c r="DT89" i="9"/>
  <c r="EB63" i="9"/>
  <c r="EB127" i="9"/>
  <c r="DZ117" i="9"/>
  <c r="EC32" i="9"/>
  <c r="DQ51" i="9"/>
  <c r="EC149" i="9"/>
  <c r="DU69" i="9"/>
  <c r="EC119" i="9"/>
  <c r="EA43" i="9"/>
  <c r="EC45" i="9"/>
  <c r="EC40" i="9"/>
  <c r="DY55" i="9"/>
  <c r="DW120" i="9"/>
  <c r="DU93" i="9"/>
  <c r="EB34" i="9"/>
  <c r="DU84" i="9"/>
  <c r="DW123" i="9"/>
  <c r="DV45" i="9"/>
  <c r="DT64" i="9"/>
  <c r="DR79" i="9"/>
  <c r="DV31" i="9"/>
  <c r="DR40" i="9"/>
  <c r="DR106" i="9"/>
  <c r="DT56" i="9"/>
  <c r="EC61" i="9"/>
  <c r="EC96" i="9"/>
  <c r="DZ128" i="9"/>
  <c r="EA57" i="9"/>
  <c r="DX62" i="9"/>
  <c r="DS42" i="9"/>
  <c r="DX30" i="9"/>
  <c r="EC72" i="9"/>
  <c r="DU101" i="9"/>
  <c r="DZ85" i="9"/>
  <c r="DS108" i="9"/>
  <c r="DY86" i="9"/>
  <c r="DU65" i="9"/>
  <c r="DU132" i="9"/>
  <c r="DV56" i="9"/>
  <c r="DY136" i="9"/>
  <c r="DU72" i="9"/>
  <c r="DR111" i="9"/>
  <c r="DV38" i="9"/>
  <c r="EC73" i="9"/>
  <c r="DV77" i="9"/>
  <c r="DS50" i="9"/>
  <c r="DX90" i="9"/>
  <c r="EB54" i="9"/>
  <c r="DU82" i="9"/>
  <c r="EC62" i="9"/>
  <c r="DU118" i="9"/>
  <c r="DZ63" i="9"/>
  <c r="DZ41" i="9"/>
  <c r="EB108" i="9"/>
  <c r="DR37" i="9"/>
  <c r="DQ48" i="9"/>
  <c r="DV42" i="9"/>
  <c r="DZ49" i="9"/>
  <c r="DV48" i="9"/>
  <c r="DX55" i="9"/>
  <c r="DW85" i="9"/>
  <c r="DX72" i="9"/>
  <c r="DW161" i="9"/>
  <c r="DV87" i="9"/>
  <c r="DZ92" i="9"/>
  <c r="DS112" i="9"/>
  <c r="EB68" i="9"/>
  <c r="EB65" i="9"/>
  <c r="DV73" i="9"/>
  <c r="DV52" i="9"/>
  <c r="DR158" i="9"/>
  <c r="DQ142" i="9"/>
  <c r="DW115" i="9"/>
  <c r="DS36" i="9"/>
  <c r="EB133" i="9"/>
  <c r="DQ106" i="9"/>
  <c r="DX64" i="9"/>
  <c r="DV81" i="9"/>
  <c r="DQ144" i="9"/>
  <c r="DW65" i="9"/>
  <c r="DQ57" i="9"/>
  <c r="DS57" i="9"/>
  <c r="DZ90" i="9"/>
  <c r="EC67" i="9"/>
  <c r="DZ81" i="9"/>
  <c r="DV41" i="9"/>
  <c r="DX59" i="9"/>
  <c r="DX134" i="9"/>
  <c r="EB101" i="9"/>
  <c r="DU126" i="9"/>
  <c r="DV108" i="9"/>
  <c r="DU76" i="9"/>
  <c r="DV98" i="9"/>
  <c r="DZ68" i="9"/>
  <c r="DY99" i="9"/>
  <c r="DV30" i="9"/>
  <c r="DZ161" i="9"/>
  <c r="EC54" i="9"/>
  <c r="DQ85" i="9"/>
  <c r="DS140" i="9"/>
  <c r="DX116" i="9"/>
  <c r="DQ89" i="9"/>
  <c r="DU43" i="9"/>
  <c r="EB95" i="9"/>
  <c r="DQ31" i="9"/>
  <c r="DQ113" i="9"/>
  <c r="DS120" i="9"/>
  <c r="EB111" i="9"/>
  <c r="DT70" i="9"/>
  <c r="DX54" i="9"/>
  <c r="DS67" i="9"/>
  <c r="EA80" i="9"/>
  <c r="DQ95" i="9"/>
  <c r="EA85" i="9"/>
  <c r="EB80" i="9"/>
  <c r="DW30" i="9"/>
  <c r="DY132" i="9"/>
  <c r="DT33" i="9"/>
  <c r="EC108" i="9"/>
  <c r="DR69" i="9"/>
  <c r="DY69" i="9"/>
  <c r="DV71" i="9"/>
  <c r="EA102" i="9"/>
  <c r="EA73" i="9"/>
  <c r="DR95" i="9"/>
  <c r="DQ59" i="9"/>
  <c r="DZ88" i="9"/>
  <c r="EA125" i="9"/>
  <c r="EB129" i="9"/>
  <c r="DU127" i="9"/>
  <c r="EC87" i="9"/>
  <c r="EA138" i="9"/>
  <c r="DW153" i="9"/>
  <c r="DY29" i="9"/>
  <c r="DZ98" i="9"/>
  <c r="DZ124" i="9"/>
  <c r="DZ109" i="9"/>
  <c r="DU162" i="9"/>
  <c r="DX142" i="9"/>
  <c r="EC101" i="9"/>
  <c r="EC35" i="9"/>
  <c r="DY122" i="9"/>
  <c r="DZ84" i="9"/>
  <c r="DX45" i="9"/>
  <c r="EB114" i="9"/>
  <c r="DY153" i="9"/>
  <c r="DU131" i="9"/>
  <c r="DX112" i="9"/>
  <c r="DQ56" i="9"/>
  <c r="DU152" i="9"/>
  <c r="DS99" i="9"/>
  <c r="DU51" i="9"/>
  <c r="DR142" i="9"/>
  <c r="DS138" i="9"/>
  <c r="DW162" i="9"/>
  <c r="DX128" i="9"/>
  <c r="DT158" i="9"/>
  <c r="EC55" i="9"/>
  <c r="EB153" i="9"/>
  <c r="DQ29" i="9"/>
  <c r="DR104" i="9"/>
  <c r="DT144" i="9"/>
  <c r="DW46" i="9"/>
  <c r="EC139" i="9"/>
  <c r="EC121" i="9"/>
  <c r="EB93" i="9"/>
  <c r="DZ123" i="9"/>
  <c r="DR131" i="9"/>
  <c r="DW142" i="9"/>
  <c r="DV123" i="9"/>
  <c r="DT137" i="9"/>
  <c r="DT115" i="9"/>
  <c r="DX99" i="9"/>
  <c r="DT85" i="9"/>
  <c r="DS125" i="9"/>
  <c r="EB78" i="9"/>
  <c r="EC100" i="9"/>
  <c r="DW44" i="9"/>
  <c r="EB147" i="9"/>
  <c r="EB139" i="9"/>
  <c r="EB81" i="9"/>
  <c r="DU144" i="9"/>
  <c r="DQ132" i="9"/>
  <c r="DU137" i="9"/>
  <c r="DT102" i="9"/>
  <c r="DS93" i="9"/>
  <c r="DY117" i="9"/>
  <c r="DR43" i="9"/>
  <c r="DT88" i="9"/>
  <c r="EB55" i="9"/>
  <c r="EA34" i="9"/>
  <c r="DS111" i="9"/>
  <c r="DT103" i="9"/>
  <c r="EA135" i="9"/>
  <c r="DY110" i="9"/>
  <c r="DR48" i="9"/>
  <c r="DX162" i="9"/>
  <c r="DQ150" i="9"/>
  <c r="EB50" i="9"/>
  <c r="DV155" i="9"/>
  <c r="DV161" i="9"/>
  <c r="DT150" i="9"/>
  <c r="DX154" i="9"/>
  <c r="DV43" i="9"/>
  <c r="EC106" i="9"/>
  <c r="DW57" i="9"/>
  <c r="EC137" i="9"/>
  <c r="DR127" i="9"/>
  <c r="DR90" i="9"/>
  <c r="DR105" i="9"/>
  <c r="DQ100" i="9"/>
  <c r="DX133" i="9"/>
  <c r="EC162" i="9"/>
  <c r="DY66" i="9"/>
  <c r="DX118" i="9"/>
  <c r="DX107" i="9"/>
  <c r="DW91" i="9"/>
  <c r="DV86" i="9"/>
  <c r="DU74" i="9"/>
  <c r="EB125" i="9"/>
  <c r="DZ57" i="9"/>
  <c r="DU109" i="9"/>
  <c r="DV140" i="9"/>
  <c r="DU38" i="9"/>
  <c r="EB150" i="9"/>
  <c r="DT50" i="9"/>
  <c r="EA153" i="9"/>
  <c r="DZ33" i="9"/>
  <c r="DX159" i="9"/>
  <c r="DU45" i="9"/>
  <c r="DV66" i="9"/>
  <c r="EB130" i="9"/>
  <c r="DQ156" i="9"/>
  <c r="DS45" i="9"/>
  <c r="DS51" i="9"/>
  <c r="EC56" i="9"/>
  <c r="DQ83" i="9"/>
  <c r="DW53" i="9"/>
  <c r="EA71" i="9"/>
  <c r="DZ133" i="9"/>
  <c r="DV32" i="9"/>
  <c r="DS139" i="9"/>
  <c r="DR123" i="9"/>
  <c r="DW77" i="9"/>
  <c r="DU143" i="9"/>
  <c r="DW149" i="9"/>
  <c r="DR54" i="9"/>
  <c r="DV46" i="9"/>
  <c r="DZ113" i="9"/>
  <c r="DT30" i="9"/>
  <c r="DS141" i="9"/>
  <c r="DX111" i="9"/>
  <c r="EC128" i="9"/>
  <c r="EB87" i="9"/>
  <c r="DZ78" i="9"/>
  <c r="DW38" i="9"/>
  <c r="DX150" i="9"/>
  <c r="DU96" i="9"/>
  <c r="DT65" i="9"/>
  <c r="DW56" i="9"/>
  <c r="DQ128" i="9"/>
  <c r="DQ137" i="9"/>
  <c r="DU119" i="9"/>
  <c r="DY109" i="9"/>
  <c r="DW150" i="9"/>
  <c r="DV143" i="9"/>
  <c r="DW49" i="9"/>
  <c r="DR146" i="9"/>
  <c r="DY118" i="9"/>
  <c r="EB105" i="9"/>
  <c r="DQ125" i="9"/>
  <c r="EB98" i="9"/>
  <c r="DU77" i="9"/>
  <c r="DY116" i="9"/>
  <c r="EA32" i="9"/>
  <c r="DW134" i="9"/>
  <c r="DV120" i="9"/>
  <c r="DU61" i="9"/>
  <c r="DS119" i="9"/>
  <c r="DZ83" i="9"/>
  <c r="DQ75" i="9"/>
  <c r="DZ104" i="9"/>
  <c r="DU29" i="9"/>
  <c r="DU128" i="9"/>
  <c r="DZ94" i="9"/>
  <c r="DZ67" i="9"/>
  <c r="DW157" i="9"/>
  <c r="EB142" i="9"/>
  <c r="DQ153" i="9"/>
  <c r="DX100" i="9"/>
  <c r="EB38" i="9"/>
  <c r="DT54" i="9"/>
  <c r="DW75" i="9"/>
  <c r="EC127" i="9"/>
  <c r="EC141" i="9"/>
  <c r="DQ88" i="9"/>
  <c r="DQ131" i="9"/>
  <c r="DW69" i="9"/>
  <c r="DX66" i="9"/>
  <c r="DS159" i="9"/>
  <c r="DW106" i="9"/>
  <c r="EB161" i="9"/>
  <c r="DT140" i="9"/>
  <c r="EA91" i="9"/>
  <c r="DX101" i="9"/>
  <c r="EB158" i="9"/>
  <c r="DZ69" i="9"/>
  <c r="DS142" i="9"/>
  <c r="DV91" i="9"/>
  <c r="EB44" i="9"/>
  <c r="DQ44" i="9"/>
  <c r="DQ34" i="9"/>
  <c r="DR96" i="9"/>
  <c r="DQ152" i="9"/>
  <c r="EC74" i="9"/>
  <c r="DQ90" i="9"/>
  <c r="DX97" i="9"/>
  <c r="DX117" i="9"/>
  <c r="DY83" i="9"/>
  <c r="DT69" i="9"/>
  <c r="DY141" i="9"/>
  <c r="EC112" i="9"/>
  <c r="EC70" i="9"/>
  <c r="DW154" i="9"/>
  <c r="DZ150" i="9"/>
  <c r="DS101" i="9"/>
  <c r="DX138" i="9"/>
  <c r="DV159" i="9"/>
  <c r="DW113" i="9"/>
  <c r="DW43" i="9"/>
  <c r="DQ77" i="9"/>
  <c r="EC129" i="9"/>
  <c r="DQ115" i="9"/>
  <c r="EC34" i="9"/>
  <c r="EC88" i="9"/>
  <c r="DZ158" i="9"/>
  <c r="DZ87" i="9"/>
  <c r="DT83" i="9"/>
  <c r="DY78" i="9"/>
  <c r="DZ126" i="9"/>
  <c r="EC53" i="9"/>
  <c r="DT111" i="9"/>
  <c r="DR80" i="9"/>
  <c r="DS88" i="9"/>
  <c r="EC69" i="9"/>
  <c r="DT66" i="9"/>
  <c r="DS76" i="9"/>
  <c r="DR93" i="9"/>
  <c r="DT106" i="9"/>
  <c r="DZ54" i="9"/>
  <c r="DY35" i="9"/>
  <c r="DV141" i="9"/>
  <c r="DV110" i="9"/>
  <c r="EB39" i="9"/>
  <c r="DW152" i="9"/>
  <c r="DZ96" i="9"/>
  <c r="DX76" i="9"/>
  <c r="DR160" i="9"/>
  <c r="DS136" i="9"/>
  <c r="DY62" i="9"/>
  <c r="DY53" i="9"/>
  <c r="EA107" i="9"/>
  <c r="DS95" i="9"/>
  <c r="DY104" i="9"/>
  <c r="DW151" i="9"/>
  <c r="DR60" i="9"/>
  <c r="DV60" i="9"/>
  <c r="DX69" i="9"/>
  <c r="DU100" i="9"/>
  <c r="DY88" i="9"/>
  <c r="EB62" i="9"/>
  <c r="DZ48" i="9"/>
  <c r="DW45" i="9"/>
  <c r="DY39" i="9"/>
  <c r="DR61" i="9"/>
  <c r="DQ61" i="9"/>
  <c r="DQ30" i="9"/>
  <c r="DY75" i="9"/>
  <c r="DR100" i="9"/>
  <c r="DY93" i="9"/>
  <c r="DV37" i="9"/>
  <c r="EB35" i="9"/>
  <c r="EA33" i="9"/>
  <c r="DX56" i="9"/>
  <c r="DZ60" i="9"/>
  <c r="EB33" i="9"/>
  <c r="DQ138" i="9"/>
  <c r="DX96" i="9"/>
  <c r="EB49" i="9"/>
  <c r="EB77" i="9"/>
  <c r="DX68" i="9"/>
  <c r="DW39" i="9"/>
  <c r="EC29" i="9"/>
  <c r="DW117" i="9"/>
  <c r="DZ47" i="9"/>
  <c r="DX32" i="9"/>
  <c r="DV79" i="9"/>
  <c r="DU98" i="9"/>
  <c r="DV39" i="9"/>
  <c r="DX60" i="9"/>
  <c r="DR47" i="9"/>
  <c r="DZ59" i="9"/>
  <c r="DZ108" i="9"/>
  <c r="DY76" i="9"/>
  <c r="DQ42" i="9"/>
  <c r="DZ64" i="9"/>
  <c r="DQ86" i="9"/>
  <c r="DT154" i="9"/>
  <c r="DU62" i="9"/>
  <c r="DQ116" i="9"/>
  <c r="EB146" i="9"/>
  <c r="DU113" i="9"/>
  <c r="EB110" i="9"/>
  <c r="DT29" i="9"/>
  <c r="EA54" i="9"/>
  <c r="DR41" i="9"/>
  <c r="DW96" i="9"/>
  <c r="DX86" i="9"/>
  <c r="EA65" i="9"/>
  <c r="DQ43" i="9"/>
  <c r="EA70" i="9"/>
  <c r="DV117" i="9"/>
  <c r="DQ69" i="9"/>
  <c r="DW99" i="9"/>
  <c r="EB42" i="9"/>
  <c r="DY63" i="9"/>
  <c r="DZ99" i="9"/>
  <c r="DX41" i="9"/>
  <c r="DW72" i="9"/>
  <c r="DS49" i="9"/>
  <c r="DX43" i="9"/>
  <c r="EC75" i="9"/>
  <c r="EB89" i="9"/>
  <c r="DQ118" i="9"/>
  <c r="DS33" i="9"/>
  <c r="DV75" i="9"/>
  <c r="DS96" i="9"/>
  <c r="EA40" i="9"/>
  <c r="DY101" i="9"/>
  <c r="DX52" i="9"/>
  <c r="DR66" i="9"/>
  <c r="EA143" i="9"/>
  <c r="DR137" i="9"/>
  <c r="EA144" i="9"/>
  <c r="EB149" i="9"/>
  <c r="DU110" i="9"/>
  <c r="DV94" i="9"/>
  <c r="DU114" i="9"/>
  <c r="DU63" i="9"/>
  <c r="EC118" i="9"/>
  <c r="DT105" i="9"/>
  <c r="DV112" i="9"/>
  <c r="DT121" i="9"/>
  <c r="EB122" i="9"/>
  <c r="EC109" i="9"/>
  <c r="DZ138" i="9"/>
  <c r="DY152" i="9"/>
  <c r="EB126" i="9"/>
  <c r="DX65" i="9"/>
  <c r="DX98" i="9"/>
  <c r="DY52" i="9"/>
  <c r="DQ117" i="9"/>
  <c r="DX34" i="9"/>
  <c r="EB32" i="9"/>
  <c r="DS149" i="9"/>
  <c r="DW47" i="9"/>
  <c r="DT41" i="9"/>
  <c r="DV58" i="9"/>
  <c r="DT122" i="9"/>
  <c r="DV113" i="9"/>
  <c r="EA96" i="9"/>
  <c r="DS121" i="9"/>
  <c r="DT32" i="9"/>
  <c r="DX126" i="9"/>
  <c r="DX157" i="9"/>
  <c r="DQ54" i="9"/>
  <c r="DS113" i="9"/>
  <c r="EA152" i="9"/>
  <c r="DS44" i="9"/>
  <c r="DW148" i="9"/>
  <c r="DQ64" i="9"/>
  <c r="DZ80" i="9"/>
  <c r="DR87" i="9"/>
  <c r="DY131" i="9"/>
  <c r="DX130" i="9"/>
  <c r="DT123" i="9"/>
  <c r="EB74" i="9"/>
  <c r="EC92" i="9"/>
  <c r="DX125" i="9"/>
  <c r="EB151" i="9"/>
  <c r="EC52" i="9"/>
  <c r="DW111" i="9"/>
  <c r="DX88" i="9"/>
  <c r="EA146" i="9"/>
  <c r="DT147" i="9"/>
  <c r="DS143" i="9"/>
  <c r="DU52" i="9"/>
  <c r="DS135" i="9"/>
  <c r="DX140" i="9"/>
  <c r="DS114" i="9"/>
  <c r="DR99" i="9"/>
  <c r="DY156" i="9"/>
  <c r="EB97" i="9"/>
  <c r="DY65" i="9"/>
  <c r="DS131" i="9"/>
  <c r="DY36" i="9"/>
  <c r="DW135" i="9"/>
  <c r="DR143" i="9"/>
  <c r="EB128" i="9"/>
  <c r="DW88" i="9"/>
  <c r="EB56" i="9"/>
  <c r="DS148" i="9"/>
  <c r="EB53" i="9"/>
  <c r="DR152" i="9"/>
  <c r="EB69" i="9"/>
  <c r="DS61" i="9"/>
  <c r="EB90" i="9"/>
  <c r="DQ160" i="9"/>
  <c r="DZ122" i="9"/>
  <c r="DS54" i="9"/>
  <c r="DY114" i="9"/>
  <c r="EB116" i="9"/>
  <c r="DY140" i="9"/>
  <c r="EB47" i="9"/>
  <c r="EC33" i="9"/>
  <c r="DY145" i="9"/>
  <c r="DU107" i="9"/>
  <c r="EA122" i="9"/>
  <c r="DQ139" i="9"/>
  <c r="DU139" i="9"/>
  <c r="EC159" i="9"/>
  <c r="DQ73" i="9"/>
  <c r="DU148" i="9"/>
  <c r="EA134" i="9"/>
  <c r="DQ134" i="9"/>
  <c r="DU42" i="9"/>
  <c r="EA100" i="9"/>
  <c r="EC140" i="9"/>
  <c r="DR121" i="9"/>
  <c r="DV64" i="9"/>
  <c r="DQ45" i="9"/>
  <c r="DQ147" i="9"/>
  <c r="DZ31" i="9"/>
  <c r="DQ161" i="9"/>
  <c r="DT55" i="9"/>
  <c r="DX161" i="9"/>
  <c r="DR88" i="9"/>
  <c r="DW60" i="9"/>
  <c r="DS34" i="9"/>
  <c r="DR138" i="9"/>
  <c r="DS158" i="9"/>
  <c r="DS151" i="9"/>
  <c r="EB37" i="9"/>
  <c r="EB84" i="9"/>
  <c r="DU124" i="9"/>
  <c r="DT131" i="9"/>
  <c r="DR59" i="9"/>
  <c r="DY161" i="9"/>
  <c r="EC30" i="9"/>
  <c r="DQ81" i="9"/>
  <c r="DS85" i="9"/>
  <c r="EC86" i="9"/>
  <c r="EA108" i="9"/>
  <c r="DX83" i="9"/>
  <c r="DR129" i="9"/>
  <c r="EB112" i="9"/>
  <c r="EB45" i="9"/>
  <c r="DY74" i="9"/>
  <c r="DS107" i="9"/>
  <c r="DZ55" i="9"/>
  <c r="DR32" i="9"/>
  <c r="DU150" i="9"/>
  <c r="EA68" i="9"/>
  <c r="DV61" i="9"/>
  <c r="DZ51" i="9"/>
  <c r="DX153" i="9"/>
  <c r="EA35" i="9"/>
  <c r="DR42" i="9"/>
  <c r="DW36" i="9"/>
  <c r="DR136" i="9"/>
  <c r="DU64" i="9"/>
  <c r="EA112" i="9"/>
  <c r="DV47" i="9"/>
  <c r="EA48" i="9"/>
  <c r="DX95" i="9"/>
  <c r="DR81" i="9"/>
  <c r="EA92" i="9"/>
  <c r="DT53" i="9"/>
  <c r="DY135" i="9"/>
  <c r="EB79" i="9"/>
  <c r="DV55" i="9"/>
  <c r="DX110" i="9"/>
  <c r="EA52" i="9"/>
  <c r="DY43" i="9"/>
  <c r="DS65" i="9"/>
  <c r="DT39" i="9"/>
  <c r="DY41" i="9"/>
  <c r="DZ70" i="9"/>
  <c r="DS52" i="9"/>
  <c r="DX139" i="9"/>
  <c r="DV72" i="9"/>
  <c r="DT36" i="9"/>
  <c r="DZ107" i="9"/>
  <c r="DX82" i="9"/>
  <c r="DU41" i="9"/>
  <c r="DV83" i="9"/>
  <c r="DQ80" i="9"/>
  <c r="DZ40" i="9"/>
  <c r="DZ103" i="9"/>
  <c r="DY68" i="9"/>
  <c r="EB124" i="9"/>
  <c r="DV54" i="9"/>
  <c r="DW64" i="9"/>
  <c r="EA110" i="9"/>
  <c r="EB115" i="9"/>
  <c r="DS47" i="9"/>
  <c r="DZ73" i="9"/>
  <c r="DU80" i="9"/>
  <c r="DX85" i="9"/>
  <c r="DS128" i="9"/>
  <c r="DR53" i="9"/>
  <c r="DZ71" i="9"/>
  <c r="DR97" i="9"/>
  <c r="EB113" i="9"/>
  <c r="DX42" i="9"/>
  <c r="DV68" i="9"/>
  <c r="EC146" i="9"/>
  <c r="DX87" i="9"/>
  <c r="DT42" i="9"/>
  <c r="EA49" i="9"/>
  <c r="DY89" i="9"/>
  <c r="DY33" i="9"/>
  <c r="DY139" i="9"/>
  <c r="EA121" i="9"/>
  <c r="DW71" i="9"/>
  <c r="EA46" i="9"/>
  <c r="DU104" i="9"/>
  <c r="EA94" i="9"/>
  <c r="EC64" i="9"/>
  <c r="EC85" i="9"/>
  <c r="DZ129" i="9"/>
  <c r="DV118" i="9"/>
  <c r="DT62" i="9"/>
  <c r="EC66" i="9"/>
  <c r="EC71" i="9"/>
  <c r="DQ87" i="9"/>
  <c r="DQ104" i="9"/>
  <c r="DS69" i="9"/>
  <c r="EC42" i="9"/>
  <c r="DT116" i="9"/>
  <c r="DY162" i="9"/>
  <c r="EB36" i="9"/>
  <c r="DZ36" i="9"/>
  <c r="DS127" i="9"/>
  <c r="DR125" i="9"/>
  <c r="DV100" i="9"/>
  <c r="DT104" i="9"/>
  <c r="EC68" i="9"/>
  <c r="DT142" i="9"/>
  <c r="DT61" i="9"/>
  <c r="DU157" i="9"/>
  <c r="DU34" i="9"/>
  <c r="DY40" i="9"/>
  <c r="EC110" i="9"/>
  <c r="DV151" i="9"/>
  <c r="DY151" i="9"/>
  <c r="EA106" i="9"/>
  <c r="DX40" i="9"/>
  <c r="DS46" i="9"/>
  <c r="DS126" i="9"/>
  <c r="DY47" i="9"/>
  <c r="DQ110" i="9"/>
  <c r="DT118" i="9"/>
  <c r="DW76" i="9"/>
  <c r="DU59" i="9"/>
  <c r="DT48" i="9"/>
  <c r="DU83" i="9"/>
  <c r="DZ114" i="9"/>
  <c r="DY34" i="9"/>
  <c r="DU32" i="9"/>
  <c r="DY80" i="9"/>
  <c r="DR118" i="9"/>
  <c r="DX70" i="9"/>
  <c r="DY127" i="9"/>
  <c r="DS77" i="9"/>
  <c r="EC154" i="9"/>
  <c r="DX46" i="9"/>
  <c r="DZ39" i="9"/>
  <c r="DV115" i="9"/>
  <c r="DT129" i="9"/>
  <c r="DR77" i="9"/>
  <c r="DR124" i="9"/>
  <c r="DT156" i="9"/>
  <c r="DY100" i="9"/>
  <c r="EA53" i="9"/>
  <c r="DW81" i="9"/>
  <c r="EA104" i="9"/>
  <c r="DQ91" i="9"/>
  <c r="DT160" i="9"/>
  <c r="DY94" i="9"/>
  <c r="EC93" i="9"/>
  <c r="DZ97" i="9"/>
  <c r="EA30" i="9"/>
  <c r="DX108" i="9"/>
  <c r="DU106" i="9"/>
  <c r="DV36" i="9"/>
  <c r="EA124" i="9"/>
  <c r="DU102" i="9"/>
  <c r="DX148" i="9"/>
  <c r="DU68" i="9"/>
  <c r="DQ46" i="9"/>
  <c r="DQ79" i="9"/>
  <c r="DX61" i="9"/>
  <c r="DY82" i="9"/>
  <c r="DS100" i="9"/>
  <c r="DR102" i="9"/>
  <c r="DQ76" i="9"/>
  <c r="DX147" i="9"/>
  <c r="DV57" i="9"/>
  <c r="DY81" i="9"/>
  <c r="DW109" i="9"/>
  <c r="DR45" i="9"/>
  <c r="DX93" i="9"/>
  <c r="DU56" i="9"/>
  <c r="EB71" i="9"/>
  <c r="DV78" i="9"/>
  <c r="DT127" i="9"/>
  <c r="DX106" i="9"/>
  <c r="DS39" i="9"/>
  <c r="DU57" i="9"/>
  <c r="DU129" i="9"/>
  <c r="DZ86" i="9"/>
  <c r="DT86" i="9"/>
  <c r="DU92" i="9"/>
  <c r="DS73" i="9"/>
  <c r="DW92" i="9"/>
  <c r="DQ52" i="9"/>
  <c r="DQ74" i="9"/>
  <c r="DV144" i="9"/>
  <c r="EA77" i="9"/>
  <c r="DQ97" i="9"/>
  <c r="DR64" i="9"/>
  <c r="DW79" i="9"/>
  <c r="EA63" i="9"/>
  <c r="EB107" i="9"/>
  <c r="DY107" i="9"/>
  <c r="EB52" i="9"/>
  <c r="EA93" i="9"/>
  <c r="EB99" i="9"/>
  <c r="EC60" i="9"/>
  <c r="DQ141" i="9"/>
  <c r="EA161" i="9"/>
  <c r="DX135" i="9"/>
  <c r="DT73" i="9"/>
  <c r="DW104" i="9"/>
  <c r="DX31" i="9"/>
  <c r="DS86" i="9"/>
  <c r="DR75" i="9"/>
  <c r="DV82" i="9"/>
  <c r="DW55" i="9"/>
  <c r="DQ39" i="9"/>
  <c r="DY102" i="9"/>
  <c r="EB123" i="9"/>
  <c r="DX50" i="9"/>
  <c r="EB145" i="9"/>
  <c r="DX94" i="9"/>
  <c r="DT46" i="9"/>
  <c r="DX51" i="9"/>
  <c r="DV59" i="9"/>
  <c r="DW90" i="9"/>
  <c r="DR116" i="9"/>
  <c r="DV92" i="9"/>
  <c r="DY77" i="9"/>
  <c r="EA36" i="9"/>
  <c r="EA136" i="9"/>
  <c r="DX36" i="9"/>
  <c r="DW68" i="9"/>
  <c r="DT98" i="9"/>
  <c r="DQ162" i="9"/>
  <c r="DQ112" i="9"/>
  <c r="DW155" i="9"/>
  <c r="EB121" i="9"/>
  <c r="DV84" i="9"/>
  <c r="DZ154" i="9"/>
  <c r="EB118" i="9"/>
  <c r="DV129" i="9"/>
  <c r="EB43" i="9"/>
  <c r="EC31" i="9"/>
  <c r="EC134" i="9"/>
  <c r="DR144" i="9"/>
  <c r="DV103" i="9"/>
  <c r="DV137" i="9"/>
  <c r="DU58" i="9"/>
  <c r="DS74" i="9"/>
  <c r="DV70" i="9"/>
  <c r="EA160" i="9"/>
  <c r="DX105" i="9"/>
  <c r="DT143" i="9"/>
  <c r="EB100" i="9"/>
  <c r="EB40" i="9"/>
  <c r="DW125" i="9"/>
  <c r="DQ135" i="9"/>
  <c r="DR44" i="9"/>
  <c r="DW73" i="9"/>
  <c r="DS81" i="9"/>
  <c r="EB156" i="9"/>
  <c r="EB131" i="9"/>
  <c r="DU130" i="9"/>
  <c r="DS153" i="9"/>
  <c r="EB46" i="9"/>
  <c r="DY144" i="9"/>
  <c r="DT75" i="9"/>
  <c r="DR57" i="9"/>
  <c r="DV152" i="9"/>
  <c r="DV124" i="9"/>
  <c r="EA116" i="9"/>
  <c r="DX67" i="9"/>
  <c r="DZ30" i="9"/>
  <c r="DV104" i="9"/>
  <c r="DV126" i="9"/>
  <c r="DY129" i="9"/>
  <c r="DQ63" i="9"/>
  <c r="DY98" i="9"/>
  <c r="DZ106" i="9"/>
  <c r="DT45" i="9"/>
  <c r="DR36" i="9"/>
  <c r="DR107" i="9"/>
  <c r="EB162" i="9"/>
  <c r="DY95" i="9"/>
  <c r="DZ110" i="9"/>
  <c r="DS40" i="9"/>
  <c r="DU55" i="9"/>
  <c r="DW118" i="9"/>
  <c r="DV53" i="9"/>
  <c r="DW156" i="9"/>
  <c r="DS38" i="9"/>
  <c r="EA37" i="9"/>
  <c r="DR52" i="9"/>
  <c r="DT38" i="9"/>
  <c r="DW110" i="9"/>
  <c r="DV139" i="9"/>
  <c r="EB119" i="9"/>
  <c r="DQ62" i="9"/>
  <c r="DX89" i="9"/>
  <c r="DW42" i="9"/>
  <c r="DX37" i="9"/>
  <c r="DZ37" i="9"/>
  <c r="DT63" i="9"/>
  <c r="EB154" i="9"/>
  <c r="DY120" i="9"/>
  <c r="EC133" i="9"/>
  <c r="DQ84" i="9"/>
  <c r="EC124" i="9"/>
  <c r="DS35" i="9"/>
  <c r="EC115" i="9"/>
  <c r="EC63" i="9"/>
  <c r="DT84" i="9"/>
  <c r="DU133" i="9"/>
  <c r="EC150" i="9"/>
  <c r="DS63" i="9"/>
  <c r="EC49" i="9"/>
  <c r="DZ65" i="9"/>
  <c r="DY32" i="9"/>
  <c r="EB57" i="9"/>
  <c r="DV90" i="9"/>
  <c r="DT100" i="9"/>
  <c r="DR120" i="9"/>
  <c r="DZ53" i="9"/>
  <c r="EB159" i="9"/>
  <c r="DT107" i="9"/>
  <c r="DR162" i="9"/>
  <c r="EB70" i="9"/>
  <c r="DU94" i="9"/>
  <c r="EB41" i="9"/>
  <c r="DS48" i="9"/>
  <c r="DY128" i="9"/>
  <c r="DT74" i="9"/>
  <c r="DX77" i="9"/>
  <c r="EB91" i="9"/>
  <c r="DQ35" i="9"/>
  <c r="DR159" i="9"/>
  <c r="DU73" i="9"/>
  <c r="DU122" i="9"/>
  <c r="DV109" i="9"/>
  <c r="DQ105" i="9"/>
  <c r="DX144" i="9"/>
  <c r="DQ68" i="9"/>
  <c r="DT37" i="9"/>
  <c r="EA127" i="9"/>
  <c r="DW40" i="9"/>
  <c r="EC161" i="9"/>
  <c r="DR33" i="9"/>
  <c r="DU99" i="9"/>
  <c r="DR91" i="9"/>
  <c r="DY73" i="9"/>
  <c r="DY108" i="9"/>
  <c r="DZ58" i="9"/>
  <c r="DU116" i="9"/>
  <c r="DQ65" i="9"/>
  <c r="DS31" i="9"/>
  <c r="DS84" i="9"/>
  <c r="DU105" i="9"/>
  <c r="DR62" i="9"/>
  <c r="DS87" i="9"/>
  <c r="DR50" i="9"/>
  <c r="DX136" i="9"/>
  <c r="DY45" i="9"/>
  <c r="EA76" i="9"/>
  <c r="DU30" i="9"/>
  <c r="DW95" i="9"/>
  <c r="DV80" i="9"/>
  <c r="DW102" i="9"/>
  <c r="EA117" i="9"/>
  <c r="DU90" i="9"/>
  <c r="DT93" i="9"/>
  <c r="DY30" i="9"/>
  <c r="EA60" i="9"/>
  <c r="EA74" i="9"/>
  <c r="EA95" i="9"/>
  <c r="EC157" i="9"/>
  <c r="DR135" i="9"/>
  <c r="DV85" i="9"/>
  <c r="EC117" i="9"/>
  <c r="DT117" i="9"/>
  <c r="DX81" i="9"/>
  <c r="DQ124" i="9"/>
  <c r="DU155" i="9"/>
  <c r="DZ144" i="9"/>
  <c r="DX149" i="9"/>
  <c r="DR56" i="9"/>
  <c r="DW37" i="9"/>
  <c r="DS161" i="9"/>
  <c r="DV148" i="9"/>
  <c r="DU95" i="9"/>
  <c r="EB103" i="9"/>
  <c r="DX79" i="9"/>
  <c r="EB102" i="9"/>
  <c r="DY134" i="9"/>
  <c r="DV153" i="9"/>
  <c r="DQ92" i="9"/>
  <c r="EA88" i="9"/>
  <c r="DQ103" i="9"/>
  <c r="DW114" i="9"/>
  <c r="DR113" i="9"/>
  <c r="DT135" i="9"/>
  <c r="EA111" i="9"/>
  <c r="EA78" i="9"/>
  <c r="EC155" i="9"/>
  <c r="DT126" i="9"/>
  <c r="DQ133" i="9"/>
  <c r="DQ58" i="9"/>
  <c r="DV62" i="9"/>
  <c r="DS157" i="9"/>
  <c r="DZ141" i="9"/>
  <c r="DV127" i="9"/>
  <c r="DQ96" i="9"/>
  <c r="DS123" i="9"/>
  <c r="EA61" i="9"/>
  <c r="DZ137" i="9"/>
  <c r="DS106" i="9"/>
  <c r="DS115" i="9"/>
  <c r="DW59" i="9"/>
  <c r="EC97" i="9"/>
  <c r="DT161" i="9"/>
  <c r="DZ136" i="9"/>
  <c r="DS130" i="9"/>
  <c r="DS133" i="9"/>
  <c r="DZ153" i="9"/>
  <c r="DV122" i="9"/>
  <c r="DY150" i="9"/>
  <c r="DZ157" i="9"/>
  <c r="DW29" i="9"/>
  <c r="DY112" i="9"/>
  <c r="EC84" i="9"/>
  <c r="DZ115" i="9"/>
  <c r="EA155" i="9"/>
  <c r="DS102" i="9"/>
  <c r="DY60" i="9"/>
  <c r="DW67" i="9"/>
  <c r="EC99" i="9"/>
  <c r="DS97" i="9"/>
  <c r="DX33" i="9"/>
  <c r="DT101" i="9"/>
  <c r="EC135" i="9"/>
  <c r="EB60" i="9"/>
  <c r="DW147" i="9"/>
  <c r="DW52" i="9"/>
  <c r="DU66" i="9"/>
  <c r="DV114" i="9"/>
  <c r="DZ52" i="9"/>
  <c r="DZ112" i="9"/>
  <c r="DS162" i="9"/>
  <c r="DZ32" i="9"/>
  <c r="DR29" i="9"/>
  <c r="DS64" i="9"/>
  <c r="DY50" i="9"/>
  <c r="DT139" i="9"/>
  <c r="DT67" i="9"/>
  <c r="DQ53" i="9"/>
  <c r="DU49" i="9"/>
  <c r="EA51" i="9"/>
  <c r="DV51" i="9"/>
  <c r="DR55" i="9"/>
  <c r="EA59" i="9"/>
  <c r="EB61" i="9"/>
  <c r="DW121" i="9"/>
  <c r="DZ44" i="9"/>
  <c r="DW143" i="9"/>
  <c r="EC158" i="9"/>
  <c r="DW33" i="9"/>
  <c r="EA90" i="9"/>
  <c r="DR38" i="9"/>
  <c r="DS62" i="9"/>
  <c r="DV33" i="9"/>
  <c r="DV93" i="9"/>
  <c r="DW93" i="9"/>
  <c r="EC57" i="9"/>
  <c r="DY42" i="9"/>
  <c r="DT52" i="9"/>
  <c r="DS132" i="9"/>
  <c r="EC94" i="9"/>
  <c r="DU146" i="9"/>
  <c r="DW62" i="9"/>
  <c r="EA62" i="9"/>
  <c r="EC51" i="9"/>
  <c r="EB31" i="9"/>
  <c r="DS71" i="9"/>
  <c r="DT94" i="9"/>
  <c r="DS91" i="9"/>
  <c r="EA82" i="9"/>
  <c r="DV121" i="9"/>
  <c r="DS78" i="9"/>
  <c r="DU37" i="9"/>
  <c r="DQ72" i="9"/>
  <c r="DS72" i="9"/>
  <c r="DQ151" i="9"/>
  <c r="DV50" i="9"/>
  <c r="DV102" i="9"/>
  <c r="DS29" i="9"/>
  <c r="DZ82" i="9"/>
  <c r="EB109" i="9"/>
  <c r="DQ49" i="9"/>
  <c r="DT60" i="9"/>
  <c r="DX120" i="9"/>
  <c r="EA158" i="9"/>
  <c r="DQ37" i="9"/>
  <c r="EA126" i="9"/>
  <c r="DX73" i="9"/>
  <c r="DU75" i="9"/>
  <c r="DW129" i="9"/>
  <c r="DT114" i="9"/>
  <c r="DT43" i="9"/>
  <c r="DT96" i="9"/>
  <c r="DR70" i="9"/>
  <c r="DS118" i="9"/>
  <c r="DZ79" i="9"/>
  <c r="DW70" i="9"/>
  <c r="EC48" i="9"/>
  <c r="EC125" i="9"/>
  <c r="DQ98" i="9"/>
  <c r="DS68" i="9"/>
  <c r="F11" i="17"/>
  <c r="G31" i="17"/>
  <c r="G2" i="17" s="1"/>
  <c r="H30" i="17"/>
  <c r="G44" i="17"/>
  <c r="G39" i="17"/>
  <c r="G46" i="17"/>
  <c r="G48" i="17"/>
  <c r="G41" i="17"/>
  <c r="G53" i="17"/>
  <c r="G51" i="17"/>
  <c r="G36" i="17"/>
  <c r="G50" i="17"/>
  <c r="G47" i="17"/>
  <c r="G54" i="17"/>
  <c r="G49" i="17"/>
  <c r="G38" i="17"/>
  <c r="CQ36" i="34"/>
  <c r="CQ58" i="34"/>
  <c r="G43" i="17"/>
  <c r="G14" i="17" s="1"/>
  <c r="G52" i="17"/>
  <c r="O61" i="7"/>
  <c r="S61" i="7" s="1"/>
  <c r="O47" i="7"/>
  <c r="S47" i="7" s="1"/>
  <c r="O29" i="7"/>
  <c r="S29" i="7" s="1"/>
  <c r="P20" i="7"/>
  <c r="O67" i="7"/>
  <c r="S67" i="7" s="1"/>
  <c r="P17" i="7"/>
  <c r="O15" i="7"/>
  <c r="S15" i="7" s="1"/>
  <c r="P47" i="7"/>
  <c r="O34" i="7"/>
  <c r="S34" i="7" s="1"/>
  <c r="P31" i="7"/>
  <c r="P33" i="7"/>
  <c r="P18" i="7"/>
  <c r="O40" i="7"/>
  <c r="S40" i="7" s="1"/>
  <c r="P35" i="7"/>
  <c r="O42" i="7"/>
  <c r="S42" i="7" s="1"/>
  <c r="O46" i="7"/>
  <c r="S46" i="7" s="1"/>
  <c r="P50" i="7"/>
  <c r="O64" i="7"/>
  <c r="S64" i="7" s="1"/>
  <c r="O28" i="7"/>
  <c r="S28" i="7" s="1"/>
  <c r="O8" i="7"/>
  <c r="S8" i="7" s="1"/>
  <c r="O53" i="7"/>
  <c r="S53" i="7" s="1"/>
  <c r="P48" i="7"/>
  <c r="O14" i="7"/>
  <c r="S14" i="7" s="1"/>
  <c r="P30" i="7"/>
  <c r="P22" i="7"/>
  <c r="O56" i="7"/>
  <c r="S56" i="7" s="1"/>
  <c r="P24" i="7"/>
  <c r="P10" i="7"/>
  <c r="P23" i="7"/>
  <c r="O33" i="7"/>
  <c r="S33" i="7" s="1"/>
  <c r="P43" i="7"/>
  <c r="O44" i="7"/>
  <c r="S44" i="7" s="1"/>
  <c r="O55" i="7"/>
  <c r="S55" i="7" s="1"/>
  <c r="O31" i="7"/>
  <c r="S31" i="7" s="1"/>
  <c r="O19" i="7"/>
  <c r="S19" i="7" s="1"/>
  <c r="O17" i="7"/>
  <c r="S17" i="7" s="1"/>
  <c r="O69" i="7"/>
  <c r="S69" i="7" s="1"/>
  <c r="P37" i="7"/>
  <c r="O25" i="7"/>
  <c r="S25" i="7" s="1"/>
  <c r="O41" i="7"/>
  <c r="S41" i="7" s="1"/>
  <c r="O10" i="7"/>
  <c r="S10" i="7" s="1"/>
  <c r="O60" i="7"/>
  <c r="S60" i="7" s="1"/>
  <c r="O49" i="7"/>
  <c r="S49" i="7" s="1"/>
  <c r="P42" i="7"/>
  <c r="P44" i="7"/>
  <c r="P8" i="7"/>
  <c r="P45" i="7"/>
  <c r="O18" i="7"/>
  <c r="S18" i="7" s="1"/>
  <c r="O58" i="7"/>
  <c r="S58" i="7" s="1"/>
  <c r="O43" i="7"/>
  <c r="S43" i="7" s="1"/>
  <c r="O30" i="7"/>
  <c r="S30" i="7" s="1"/>
  <c r="P36" i="7"/>
  <c r="O23" i="7"/>
  <c r="S23" i="7" s="1"/>
  <c r="O63" i="7"/>
  <c r="S63" i="7" s="1"/>
  <c r="P32" i="7"/>
  <c r="P15" i="7"/>
  <c r="O35" i="7"/>
  <c r="S35" i="7" s="1"/>
  <c r="O48" i="7"/>
  <c r="S48" i="7" s="1"/>
  <c r="O66" i="7"/>
  <c r="S66" i="7" s="1"/>
  <c r="O45" i="7"/>
  <c r="S45" i="7" s="1"/>
  <c r="O11" i="7"/>
  <c r="S11" i="7" s="1"/>
  <c r="P26" i="7"/>
  <c r="P39" i="7"/>
  <c r="O20" i="7"/>
  <c r="S20" i="7" s="1"/>
  <c r="P40" i="7"/>
  <c r="P13" i="7"/>
  <c r="P16" i="7"/>
  <c r="O52" i="7"/>
  <c r="S52" i="7" s="1"/>
  <c r="O24" i="7"/>
  <c r="S24" i="7" s="1"/>
  <c r="O57" i="7"/>
  <c r="S57" i="7" s="1"/>
  <c r="O51" i="7"/>
  <c r="S51" i="7" s="1"/>
  <c r="P34" i="7"/>
  <c r="O68" i="7"/>
  <c r="S68" i="7" s="1"/>
  <c r="O59" i="7"/>
  <c r="S59" i="7" s="1"/>
  <c r="O39" i="7"/>
  <c r="S39" i="7" s="1"/>
  <c r="P21" i="7"/>
  <c r="P14" i="7"/>
  <c r="O38" i="7"/>
  <c r="S38" i="7" s="1"/>
  <c r="O62" i="7"/>
  <c r="S62" i="7" s="1"/>
  <c r="P11" i="7"/>
  <c r="P52" i="7"/>
  <c r="P46" i="7"/>
  <c r="P38" i="7"/>
  <c r="O54" i="7"/>
  <c r="S54" i="7" s="1"/>
  <c r="O50" i="7"/>
  <c r="S50" i="7" s="1"/>
  <c r="O16" i="7"/>
  <c r="S16" i="7" s="1"/>
  <c r="P29" i="7"/>
  <c r="P54" i="7"/>
  <c r="P51" i="7"/>
  <c r="P25" i="7"/>
  <c r="P41" i="7"/>
  <c r="O32" i="7"/>
  <c r="S32" i="7" s="1"/>
  <c r="P9" i="7"/>
  <c r="O22" i="7"/>
  <c r="S22" i="7" s="1"/>
  <c r="P49" i="7"/>
  <c r="P19" i="7"/>
  <c r="O13" i="7"/>
  <c r="S13" i="7" s="1"/>
  <c r="O65" i="7"/>
  <c r="S65" i="7" s="1"/>
  <c r="O27" i="7"/>
  <c r="S27" i="7" s="1"/>
  <c r="O12" i="7"/>
  <c r="S12" i="7" s="1"/>
  <c r="P28" i="7"/>
  <c r="O26" i="7"/>
  <c r="S26" i="7" s="1"/>
  <c r="P12" i="7"/>
  <c r="O37" i="7"/>
  <c r="S37" i="7" s="1"/>
  <c r="P27" i="7"/>
  <c r="O21" i="7"/>
  <c r="S21" i="7" s="1"/>
  <c r="O36" i="7"/>
  <c r="S36" i="7" s="1"/>
  <c r="P53" i="7"/>
  <c r="O9" i="7"/>
  <c r="S9" i="7" s="1"/>
  <c r="P55" i="7"/>
  <c r="P56" i="7"/>
  <c r="P57" i="7"/>
  <c r="P58" i="7"/>
  <c r="Q59" i="7" s="1"/>
  <c r="U59" i="7" s="1"/>
  <c r="G45" i="17"/>
  <c r="G26" i="17"/>
  <c r="H52" i="17"/>
  <c r="H23" i="17" s="1"/>
  <c r="CR40" i="33"/>
  <c r="CR46" i="34"/>
  <c r="CQ53" i="34" s="1"/>
  <c r="CR61" i="34"/>
  <c r="CQ63" i="34" s="1"/>
  <c r="CR40" i="34"/>
  <c r="CQ43" i="34" s="1"/>
  <c r="CO45" i="34"/>
  <c r="CN52" i="34" s="1"/>
  <c r="DD26" i="2"/>
  <c r="CO38" i="34"/>
  <c r="CN41" i="34" s="1"/>
  <c r="G13" i="17"/>
  <c r="F13" i="17"/>
  <c r="CP65" i="34"/>
  <c r="CO68" i="34" s="1"/>
  <c r="DE38" i="2"/>
  <c r="CP49" i="34"/>
  <c r="CO56" i="34" s="1"/>
  <c r="DE33" i="2"/>
  <c r="DD19" i="2"/>
  <c r="CS7" i="33" s="1"/>
  <c r="CS40" i="33" s="1"/>
  <c r="DD36" i="2"/>
  <c r="CS24" i="33" s="1"/>
  <c r="CS57" i="33" s="1"/>
  <c r="F5" i="17"/>
  <c r="G5" i="17"/>
  <c r="CS26" i="33"/>
  <c r="CS59" i="33" s="1"/>
  <c r="CR6" i="33"/>
  <c r="CR39" i="33" s="1"/>
  <c r="CQ47" i="34"/>
  <c r="CP54" i="34" s="1"/>
  <c r="CO27" i="34"/>
  <c r="CN32" i="34" s="1"/>
  <c r="DD18" i="2"/>
  <c r="CO18" i="34"/>
  <c r="CN23" i="34" s="1"/>
  <c r="CR29" i="34"/>
  <c r="CQ34" i="34" s="1"/>
  <c r="CR20" i="34"/>
  <c r="CQ25" i="34" s="1"/>
  <c r="CO60" i="34"/>
  <c r="CN62" i="34" s="1"/>
  <c r="CR14" i="33"/>
  <c r="CR47" i="33" s="1"/>
  <c r="H42" i="17"/>
  <c r="H13" i="17" s="1"/>
  <c r="CS21" i="33"/>
  <c r="CS54" i="33" s="1"/>
  <c r="T59" i="7"/>
  <c r="F4" i="17"/>
  <c r="F8" i="17"/>
  <c r="H45" i="17"/>
  <c r="H43" i="17"/>
  <c r="H55" i="17"/>
  <c r="H26" i="17" s="1"/>
  <c r="G32" i="17"/>
  <c r="H37" i="17"/>
  <c r="H8" i="17" s="1"/>
  <c r="T60" i="7"/>
  <c r="Q60" i="7"/>
  <c r="U60" i="7" s="1"/>
  <c r="CR50" i="33"/>
  <c r="CR43" i="33"/>
  <c r="CP71" i="34"/>
  <c r="CO72" i="34" s="1"/>
  <c r="CR12" i="33"/>
  <c r="CR45" i="33" s="1"/>
  <c r="CO30" i="34"/>
  <c r="CN35" i="34" s="1"/>
  <c r="O1648" i="25"/>
  <c r="P1648" i="25" s="1"/>
  <c r="DD24" i="2"/>
  <c r="O1694" i="25"/>
  <c r="P1694" i="25" s="1"/>
  <c r="O1751" i="25"/>
  <c r="P1751" i="25" s="1"/>
  <c r="DG25" i="2"/>
  <c r="CV13" i="33" s="1"/>
  <c r="CV46" i="33" s="1"/>
  <c r="O1758" i="25"/>
  <c r="P1758" i="25" s="1"/>
  <c r="DG32" i="2"/>
  <c r="CV20" i="33" s="1"/>
  <c r="DG37" i="2"/>
  <c r="CV25" i="33" s="1"/>
  <c r="O1757" i="25"/>
  <c r="P1757" i="25" s="1"/>
  <c r="O1761" i="25"/>
  <c r="P1761" i="25" s="1"/>
  <c r="DG28" i="2"/>
  <c r="CV16" i="33" s="1"/>
  <c r="CV49" i="33" s="1"/>
  <c r="DG30" i="2"/>
  <c r="CV18" i="33" s="1"/>
  <c r="DG35" i="2"/>
  <c r="CV22" i="33" s="1"/>
  <c r="DG23" i="2"/>
  <c r="CV11" i="33" s="1"/>
  <c r="O1756" i="25"/>
  <c r="P1756" i="25" s="1"/>
  <c r="O1764" i="25"/>
  <c r="P1764" i="25" s="1"/>
  <c r="CM21" i="34"/>
  <c r="O1754" i="25"/>
  <c r="P1754" i="25" s="1"/>
  <c r="O1677" i="25"/>
  <c r="P1677" i="25" s="1"/>
  <c r="CO28" i="34"/>
  <c r="CN33" i="34" s="1"/>
  <c r="O1646" i="25"/>
  <c r="P1646" i="25" s="1"/>
  <c r="CP19" i="34" s="1"/>
  <c r="CO24" i="34" s="1"/>
  <c r="DD22" i="2"/>
  <c r="CS10" i="33" s="1"/>
  <c r="CS43" i="33" s="1"/>
  <c r="DG20" i="2"/>
  <c r="CV8" i="33" s="1"/>
  <c r="CO17" i="34"/>
  <c r="CN22" i="34" s="1"/>
  <c r="O1641" i="25"/>
  <c r="P1641" i="25" s="1"/>
  <c r="DD17" i="2"/>
  <c r="CS5" i="33" s="1"/>
  <c r="CS38" i="33" s="1"/>
  <c r="O1746" i="25"/>
  <c r="P1746" i="25" s="1"/>
  <c r="D1595" i="25"/>
  <c r="DD29" i="2"/>
  <c r="CS17" i="33" s="1"/>
  <c r="CS50" i="33" s="1"/>
  <c r="O1653" i="25"/>
  <c r="P1653" i="25" s="1"/>
  <c r="O1766" i="25"/>
  <c r="P1766" i="25" s="1"/>
  <c r="CS67" i="34" s="1"/>
  <c r="CR70" i="34" s="1"/>
  <c r="O1752" i="25"/>
  <c r="P1752" i="25" s="1"/>
  <c r="O1744" i="25"/>
  <c r="P1744" i="25" s="1"/>
  <c r="DD27" i="2"/>
  <c r="CS15" i="33" s="1"/>
  <c r="CS48" i="33" s="1"/>
  <c r="O1651" i="25"/>
  <c r="P1651" i="25" s="1"/>
  <c r="CP39" i="34" s="1"/>
  <c r="CO42" i="34" s="1"/>
  <c r="O1606" i="25"/>
  <c r="P1606" i="25" s="1"/>
  <c r="CO16" i="34" s="1"/>
  <c r="CN21" i="34" s="1"/>
  <c r="DC16" i="2"/>
  <c r="D1594" i="25"/>
  <c r="D1593" i="25"/>
  <c r="D1582" i="25"/>
  <c r="D1591" i="25"/>
  <c r="D1590" i="25"/>
  <c r="D1576" i="25"/>
  <c r="D1586" i="25"/>
  <c r="D1574" i="25"/>
  <c r="D1575" i="25"/>
  <c r="D1578" i="25"/>
  <c r="D1580" i="25"/>
  <c r="D1584" i="25"/>
  <c r="D1572" i="25"/>
  <c r="D1581" i="25"/>
  <c r="D1573" i="25"/>
  <c r="D1589" i="25"/>
  <c r="D1588" i="25"/>
  <c r="D1579" i="25"/>
  <c r="D1596" i="25"/>
  <c r="D1587" i="25"/>
  <c r="D1592" i="25"/>
  <c r="O1663" i="25"/>
  <c r="P1663" i="25" s="1"/>
  <c r="CP66" i="34" s="1"/>
  <c r="CO69" i="34" s="1"/>
  <c r="DD39" i="2"/>
  <c r="CS27" i="33" s="1"/>
  <c r="CS60" i="33" s="1"/>
  <c r="D1577" i="25"/>
  <c r="O1726" i="25"/>
  <c r="P1726" i="25" s="1"/>
  <c r="CR50" i="34" s="1"/>
  <c r="CQ57" i="34" s="1"/>
  <c r="DF34" i="2"/>
  <c r="O1759" i="25"/>
  <c r="P1759" i="25" s="1"/>
  <c r="DG40" i="2"/>
  <c r="CV28" i="33" s="1"/>
  <c r="CQ4" i="33"/>
  <c r="CQ37" i="33" s="1"/>
  <c r="DD21" i="2"/>
  <c r="CS9" i="33" s="1"/>
  <c r="CS42" i="33" s="1"/>
  <c r="O1645" i="25"/>
  <c r="P1645" i="25" s="1"/>
  <c r="D1585" i="25"/>
  <c r="O1749" i="25"/>
  <c r="P1749" i="25" s="1"/>
  <c r="O1763" i="25"/>
  <c r="P1763" i="25" s="1"/>
  <c r="CS61" i="34" s="1"/>
  <c r="CU28" i="33"/>
  <c r="CU25" i="33"/>
  <c r="CU22" i="33"/>
  <c r="CU19" i="33"/>
  <c r="CU8" i="33"/>
  <c r="CU20" i="33"/>
  <c r="CU11" i="33"/>
  <c r="CU18" i="33"/>
  <c r="CT61" i="33"/>
  <c r="DE41" i="2"/>
  <c r="P61" i="7" s="1"/>
  <c r="O1699" i="25"/>
  <c r="P1699" i="25" s="1"/>
  <c r="CS56" i="33"/>
  <c r="CT56" i="33"/>
  <c r="CS30" i="33"/>
  <c r="H16" i="17" l="1"/>
  <c r="T57" i="7"/>
  <c r="Q57" i="7"/>
  <c r="U57" i="7" s="1"/>
  <c r="T53" i="7"/>
  <c r="Q53" i="7"/>
  <c r="U53" i="7" s="1"/>
  <c r="Q19" i="7"/>
  <c r="U19" i="7" s="1"/>
  <c r="T19" i="7"/>
  <c r="T54" i="7"/>
  <c r="Q54" i="7"/>
  <c r="U54" i="7" s="1"/>
  <c r="T11" i="7"/>
  <c r="Q11" i="7"/>
  <c r="U11" i="7" s="1"/>
  <c r="Q21" i="7"/>
  <c r="U21" i="7" s="1"/>
  <c r="T21" i="7"/>
  <c r="T34" i="7"/>
  <c r="Q34" i="7"/>
  <c r="U34" i="7" s="1"/>
  <c r="Q15" i="7"/>
  <c r="U15" i="7" s="1"/>
  <c r="T15" i="7"/>
  <c r="T36" i="7"/>
  <c r="Q36" i="7"/>
  <c r="U36" i="7" s="1"/>
  <c r="T42" i="7"/>
  <c r="Q42" i="7"/>
  <c r="U42" i="7" s="1"/>
  <c r="T10" i="7"/>
  <c r="Q10" i="7"/>
  <c r="U10" i="7" s="1"/>
  <c r="Q30" i="7"/>
  <c r="U30" i="7" s="1"/>
  <c r="T30" i="7"/>
  <c r="Q18" i="7"/>
  <c r="U18" i="7" s="1"/>
  <c r="T18" i="7"/>
  <c r="Q47" i="7"/>
  <c r="U47" i="7" s="1"/>
  <c r="T47" i="7"/>
  <c r="Q20" i="7"/>
  <c r="U20" i="7" s="1"/>
  <c r="T20" i="7"/>
  <c r="G23" i="17"/>
  <c r="F23" i="17"/>
  <c r="G18" i="17"/>
  <c r="F18" i="17"/>
  <c r="F24" i="17"/>
  <c r="G24" i="17"/>
  <c r="G10" i="17"/>
  <c r="F10" i="17"/>
  <c r="T56" i="7"/>
  <c r="Q56" i="7"/>
  <c r="U56" i="7" s="1"/>
  <c r="T12" i="7"/>
  <c r="Q12" i="7"/>
  <c r="U12" i="7" s="1"/>
  <c r="T49" i="7"/>
  <c r="Q49" i="7"/>
  <c r="U49" i="7" s="1"/>
  <c r="T41" i="7"/>
  <c r="Q41" i="7"/>
  <c r="U41" i="7" s="1"/>
  <c r="Q29" i="7"/>
  <c r="U29" i="7" s="1"/>
  <c r="T29" i="7"/>
  <c r="Q38" i="7"/>
  <c r="U38" i="7" s="1"/>
  <c r="T38" i="7"/>
  <c r="T16" i="7"/>
  <c r="Q16" i="7"/>
  <c r="U16" i="7" s="1"/>
  <c r="Q39" i="7"/>
  <c r="U39" i="7" s="1"/>
  <c r="T39" i="7"/>
  <c r="T32" i="7"/>
  <c r="Q32" i="7"/>
  <c r="U32" i="7" s="1"/>
  <c r="Q45" i="7"/>
  <c r="U45" i="7" s="1"/>
  <c r="T45" i="7"/>
  <c r="T43" i="7"/>
  <c r="Q43" i="7"/>
  <c r="U43" i="7" s="1"/>
  <c r="T24" i="7"/>
  <c r="Q24" i="7"/>
  <c r="U24" i="7" s="1"/>
  <c r="T33" i="7"/>
  <c r="Q33" i="7"/>
  <c r="U33" i="7" s="1"/>
  <c r="G9" i="17"/>
  <c r="F9" i="17"/>
  <c r="G21" i="17"/>
  <c r="F21" i="17"/>
  <c r="F12" i="17"/>
  <c r="G12" i="17"/>
  <c r="G15" i="17"/>
  <c r="F15" i="17"/>
  <c r="CR63" i="34"/>
  <c r="H14" i="17"/>
  <c r="F16" i="17"/>
  <c r="G16" i="17"/>
  <c r="Q55" i="7"/>
  <c r="U55" i="7" s="1"/>
  <c r="T55" i="7"/>
  <c r="T25" i="7"/>
  <c r="Q25" i="7"/>
  <c r="U25" i="7" s="1"/>
  <c r="Q46" i="7"/>
  <c r="U46" i="7" s="1"/>
  <c r="T46" i="7"/>
  <c r="Q13" i="7"/>
  <c r="U13" i="7" s="1"/>
  <c r="T13" i="7"/>
  <c r="T26" i="7"/>
  <c r="Q26" i="7"/>
  <c r="U26" i="7" s="1"/>
  <c r="Q8" i="7"/>
  <c r="U8" i="7" s="1"/>
  <c r="T8" i="7"/>
  <c r="T37" i="7"/>
  <c r="Q37" i="7"/>
  <c r="U37" i="7" s="1"/>
  <c r="T48" i="7"/>
  <c r="Q48" i="7"/>
  <c r="U48" i="7" s="1"/>
  <c r="Q35" i="7"/>
  <c r="U35" i="7" s="1"/>
  <c r="T35" i="7"/>
  <c r="T31" i="7"/>
  <c r="Q31" i="7"/>
  <c r="U31" i="7" s="1"/>
  <c r="Q17" i="7"/>
  <c r="U17" i="7" s="1"/>
  <c r="T17" i="7"/>
  <c r="G20" i="17"/>
  <c r="F20" i="17"/>
  <c r="F7" i="17"/>
  <c r="G7" i="17"/>
  <c r="G19" i="17"/>
  <c r="F19" i="17"/>
  <c r="I30" i="17"/>
  <c r="H31" i="17"/>
  <c r="H2" i="17" s="1"/>
  <c r="H46" i="17"/>
  <c r="H17" i="17" s="1"/>
  <c r="H51" i="17"/>
  <c r="H22" i="17" s="1"/>
  <c r="H41" i="17"/>
  <c r="H12" i="17" s="1"/>
  <c r="H44" i="17"/>
  <c r="H15" i="17" s="1"/>
  <c r="H36" i="17"/>
  <c r="H7" i="17" s="1"/>
  <c r="H39" i="17"/>
  <c r="H10" i="17" s="1"/>
  <c r="H53" i="17"/>
  <c r="H24" i="17" s="1"/>
  <c r="H48" i="17"/>
  <c r="H19" i="17" s="1"/>
  <c r="H47" i="17"/>
  <c r="H18" i="17" s="1"/>
  <c r="H50" i="17"/>
  <c r="H21" i="17" s="1"/>
  <c r="H54" i="17"/>
  <c r="H25" i="17" s="1"/>
  <c r="H35" i="17"/>
  <c r="H6" i="17" s="1"/>
  <c r="H49" i="17"/>
  <c r="H20" i="17" s="1"/>
  <c r="H38" i="17"/>
  <c r="H9" i="17" s="1"/>
  <c r="H33" i="17"/>
  <c r="H4" i="17" s="1"/>
  <c r="F14" i="17"/>
  <c r="H34" i="17"/>
  <c r="H5" i="17" s="1"/>
  <c r="Q58" i="7"/>
  <c r="U58" i="7" s="1"/>
  <c r="T58" i="7"/>
  <c r="T27" i="7"/>
  <c r="Q27" i="7"/>
  <c r="U27" i="7" s="1"/>
  <c r="T28" i="7"/>
  <c r="Q28" i="7"/>
  <c r="U28" i="7" s="1"/>
  <c r="Q9" i="7"/>
  <c r="U9" i="7" s="1"/>
  <c r="T9" i="7"/>
  <c r="Q51" i="7"/>
  <c r="U51" i="7" s="1"/>
  <c r="T51" i="7"/>
  <c r="Q52" i="7"/>
  <c r="U52" i="7" s="1"/>
  <c r="T52" i="7"/>
  <c r="Q14" i="7"/>
  <c r="U14" i="7" s="1"/>
  <c r="T14" i="7"/>
  <c r="T40" i="7"/>
  <c r="Q40" i="7"/>
  <c r="U40" i="7" s="1"/>
  <c r="T44" i="7"/>
  <c r="Q44" i="7"/>
  <c r="U44" i="7" s="1"/>
  <c r="Q23" i="7"/>
  <c r="U23" i="7" s="1"/>
  <c r="T23" i="7"/>
  <c r="Q22" i="7"/>
  <c r="U22" i="7" s="1"/>
  <c r="T22" i="7"/>
  <c r="T50" i="7"/>
  <c r="Q50" i="7"/>
  <c r="U50" i="7" s="1"/>
  <c r="G25" i="17"/>
  <c r="F25" i="17"/>
  <c r="G22" i="17"/>
  <c r="F22" i="17"/>
  <c r="F17" i="17"/>
  <c r="G17" i="17"/>
  <c r="I35" i="17"/>
  <c r="I6" i="17" s="1"/>
  <c r="CS29" i="34"/>
  <c r="CR34" i="34" s="1"/>
  <c r="CS40" i="34"/>
  <c r="CR43" i="34" s="1"/>
  <c r="DE19" i="2"/>
  <c r="CT7" i="33" s="1"/>
  <c r="CT40" i="33" s="1"/>
  <c r="CP60" i="34"/>
  <c r="CO62" i="34" s="1"/>
  <c r="CT26" i="33"/>
  <c r="CT59" i="33" s="1"/>
  <c r="DG31" i="2"/>
  <c r="CV19" i="33" s="1"/>
  <c r="CS46" i="34"/>
  <c r="CR53" i="34" s="1"/>
  <c r="CS31" i="34"/>
  <c r="CR36" i="34" s="1"/>
  <c r="CT21" i="33"/>
  <c r="CT54" i="33" s="1"/>
  <c r="CS14" i="33"/>
  <c r="CS47" i="33" s="1"/>
  <c r="I42" i="17"/>
  <c r="I13" i="17" s="1"/>
  <c r="CP27" i="34"/>
  <c r="CO32" i="34" s="1"/>
  <c r="CP18" i="34"/>
  <c r="CO23" i="34" s="1"/>
  <c r="DE18" i="2"/>
  <c r="DF33" i="2"/>
  <c r="CQ49" i="34"/>
  <c r="CP56" i="34" s="1"/>
  <c r="CR47" i="34"/>
  <c r="CQ54" i="34" s="1"/>
  <c r="CQ65" i="34"/>
  <c r="CP68" i="34" s="1"/>
  <c r="DF38" i="2"/>
  <c r="CP45" i="34"/>
  <c r="CO52" i="34" s="1"/>
  <c r="CP38" i="34"/>
  <c r="CO41" i="34" s="1"/>
  <c r="DE26" i="2"/>
  <c r="CS20" i="34"/>
  <c r="CR25" i="34" s="1"/>
  <c r="CS51" i="34"/>
  <c r="CR58" i="34" s="1"/>
  <c r="CS48" i="34"/>
  <c r="CR55" i="34" s="1"/>
  <c r="DE36" i="2"/>
  <c r="CS6" i="33"/>
  <c r="CS39" i="33" s="1"/>
  <c r="H32" i="17"/>
  <c r="H3" i="17" s="1"/>
  <c r="I33" i="17"/>
  <c r="I4" i="17" s="1"/>
  <c r="F3" i="17"/>
  <c r="G3" i="17"/>
  <c r="I55" i="17"/>
  <c r="I26" i="17" s="1"/>
  <c r="I45" i="17"/>
  <c r="I16" i="17" s="1"/>
  <c r="I38" i="17"/>
  <c r="I9" i="17" s="1"/>
  <c r="I40" i="17"/>
  <c r="I11" i="17" s="1"/>
  <c r="CU23" i="33"/>
  <c r="CU56" i="33" s="1"/>
  <c r="T61" i="7"/>
  <c r="Q61" i="7"/>
  <c r="U61" i="7" s="1"/>
  <c r="DH30" i="2"/>
  <c r="CW18" i="33" s="1"/>
  <c r="CW51" i="33" s="1"/>
  <c r="CQ71" i="34"/>
  <c r="CP72" i="34" s="1"/>
  <c r="O1795" i="25"/>
  <c r="P1795" i="25" s="1"/>
  <c r="DH35" i="2"/>
  <c r="CW22" i="33" s="1"/>
  <c r="CW55" i="33" s="1"/>
  <c r="CP30" i="34"/>
  <c r="CO35" i="34" s="1"/>
  <c r="DE24" i="2"/>
  <c r="O1682" i="25"/>
  <c r="P1682" i="25" s="1"/>
  <c r="CS12" i="33"/>
  <c r="CS45" i="33" s="1"/>
  <c r="CV58" i="33"/>
  <c r="O1785" i="25"/>
  <c r="P1785" i="25" s="1"/>
  <c r="DH25" i="2"/>
  <c r="CW13" i="33" s="1"/>
  <c r="CW46" i="33" s="1"/>
  <c r="O1728" i="25"/>
  <c r="P1728" i="25" s="1"/>
  <c r="DH32" i="2"/>
  <c r="CW20" i="33" s="1"/>
  <c r="CW53" i="33" s="1"/>
  <c r="O1800" i="25"/>
  <c r="P1800" i="25" s="1"/>
  <c r="DI40" i="2" s="1"/>
  <c r="O1792" i="25"/>
  <c r="P1792" i="25" s="1"/>
  <c r="O1790" i="25"/>
  <c r="P1790" i="25" s="1"/>
  <c r="O1791" i="25"/>
  <c r="P1791" i="25" s="1"/>
  <c r="CV61" i="33"/>
  <c r="O1798" i="25"/>
  <c r="P1798" i="25" s="1"/>
  <c r="DH40" i="2"/>
  <c r="CW28" i="33" s="1"/>
  <c r="CW61" i="33" s="1"/>
  <c r="O1788" i="25"/>
  <c r="P1788" i="25" s="1"/>
  <c r="DH28" i="2"/>
  <c r="CW16" i="33" s="1"/>
  <c r="CW49" i="33" s="1"/>
  <c r="D1611" i="25"/>
  <c r="O1786" i="25"/>
  <c r="P1786" i="25" s="1"/>
  <c r="D1629" i="25"/>
  <c r="O1711" i="25"/>
  <c r="P1711" i="25" s="1"/>
  <c r="CP28" i="34"/>
  <c r="CO33" i="34" s="1"/>
  <c r="DE22" i="2"/>
  <c r="CT10" i="33" s="1"/>
  <c r="CT43" i="33" s="1"/>
  <c r="O1680" i="25"/>
  <c r="P1680" i="25" s="1"/>
  <c r="DF19" i="2" s="1"/>
  <c r="CU7" i="33" s="1"/>
  <c r="CU40" i="33" s="1"/>
  <c r="CP17" i="34"/>
  <c r="CO22" i="34" s="1"/>
  <c r="O1675" i="25"/>
  <c r="P1675" i="25" s="1"/>
  <c r="DE17" i="2"/>
  <c r="CT5" i="33" s="1"/>
  <c r="CT38" i="33" s="1"/>
  <c r="O1780" i="25"/>
  <c r="P1780" i="25" s="1"/>
  <c r="DH20" i="2"/>
  <c r="CW8" i="33" s="1"/>
  <c r="CW41" i="33" s="1"/>
  <c r="DH23" i="2"/>
  <c r="CW11" i="33" s="1"/>
  <c r="D1619" i="25"/>
  <c r="D1617" i="25"/>
  <c r="DH37" i="2"/>
  <c r="O1778" i="25"/>
  <c r="P1778" i="25" s="1"/>
  <c r="CR4" i="33"/>
  <c r="CR37" i="33" s="1"/>
  <c r="DE27" i="2"/>
  <c r="CT15" i="33" s="1"/>
  <c r="CT48" i="33" s="1"/>
  <c r="O1685" i="25"/>
  <c r="P1685" i="25" s="1"/>
  <c r="CQ39" i="34" s="1"/>
  <c r="CP42" i="34" s="1"/>
  <c r="DE29" i="2"/>
  <c r="CT17" i="33" s="1"/>
  <c r="CT50" i="33" s="1"/>
  <c r="O1687" i="25"/>
  <c r="P1687" i="25" s="1"/>
  <c r="O1733" i="25"/>
  <c r="P1733" i="25" s="1"/>
  <c r="O1783" i="25"/>
  <c r="P1783" i="25" s="1"/>
  <c r="DG34" i="2"/>
  <c r="CV23" i="33" s="1"/>
  <c r="O1760" i="25"/>
  <c r="P1760" i="25" s="1"/>
  <c r="CS50" i="34" s="1"/>
  <c r="CR57" i="34" s="1"/>
  <c r="O1697" i="25"/>
  <c r="P1697" i="25" s="1"/>
  <c r="CQ66" i="34" s="1"/>
  <c r="CP69" i="34" s="1"/>
  <c r="DE39" i="2"/>
  <c r="CT27" i="33" s="1"/>
  <c r="CT60" i="33" s="1"/>
  <c r="DD16" i="2"/>
  <c r="I32" i="17" s="1"/>
  <c r="I3" i="17" s="1"/>
  <c r="O1640" i="25"/>
  <c r="P1640" i="25" s="1"/>
  <c r="CP16" i="34" s="1"/>
  <c r="CO21" i="34" s="1"/>
  <c r="D1607" i="25"/>
  <c r="D1612" i="25"/>
  <c r="D1610" i="25"/>
  <c r="D1618" i="25"/>
  <c r="D1614" i="25"/>
  <c r="D1616" i="25"/>
  <c r="D1613" i="25"/>
  <c r="D1622" i="25"/>
  <c r="D1626" i="25"/>
  <c r="D1624" i="25"/>
  <c r="D1606" i="25"/>
  <c r="D1609" i="25"/>
  <c r="D1623" i="25"/>
  <c r="D1627" i="25"/>
  <c r="D1630" i="25"/>
  <c r="D1625" i="25"/>
  <c r="D1628" i="25"/>
  <c r="D1615" i="25"/>
  <c r="D1620" i="25"/>
  <c r="D1621" i="25"/>
  <c r="D1608" i="25"/>
  <c r="O1679" i="25"/>
  <c r="P1679" i="25" s="1"/>
  <c r="DE21" i="2"/>
  <c r="CT9" i="33" s="1"/>
  <c r="CT42" i="33" s="1"/>
  <c r="O1797" i="25"/>
  <c r="P1797" i="25" s="1"/>
  <c r="O1793" i="25"/>
  <c r="P1793" i="25" s="1"/>
  <c r="CU58" i="33"/>
  <c r="CU61" i="33"/>
  <c r="CU44" i="33"/>
  <c r="CV44" i="33"/>
  <c r="CU41" i="33"/>
  <c r="CV41" i="33"/>
  <c r="CU51" i="33"/>
  <c r="CV51" i="33"/>
  <c r="CU52" i="33"/>
  <c r="CV52" i="33"/>
  <c r="CU55" i="33"/>
  <c r="CV55" i="33"/>
  <c r="CU53" i="33"/>
  <c r="CV53" i="33"/>
  <c r="DF41" i="2"/>
  <c r="CT30" i="33"/>
  <c r="CT63" i="33" s="1"/>
  <c r="CS63" i="33"/>
  <c r="CS31" i="33"/>
  <c r="D1645" i="25" l="1"/>
  <c r="I31" i="17"/>
  <c r="I2" i="17" s="1"/>
  <c r="J30" i="17"/>
  <c r="I48" i="17"/>
  <c r="I19" i="17" s="1"/>
  <c r="I53" i="17"/>
  <c r="I24" i="17" s="1"/>
  <c r="I46" i="17"/>
  <c r="I17" i="17" s="1"/>
  <c r="I51" i="17"/>
  <c r="I22" i="17" s="1"/>
  <c r="I36" i="17"/>
  <c r="I7" i="17" s="1"/>
  <c r="I44" i="17"/>
  <c r="I15" i="17" s="1"/>
  <c r="I39" i="17"/>
  <c r="I10" i="17" s="1"/>
  <c r="I41" i="17"/>
  <c r="I12" i="17" s="1"/>
  <c r="I47" i="17"/>
  <c r="I18" i="17" s="1"/>
  <c r="I50" i="17"/>
  <c r="I21" i="17" s="1"/>
  <c r="I54" i="17"/>
  <c r="I25" i="17" s="1"/>
  <c r="I49" i="17"/>
  <c r="I20" i="17" s="1"/>
  <c r="I52" i="17"/>
  <c r="I23" i="17" s="1"/>
  <c r="I43" i="17"/>
  <c r="I14" i="17" s="1"/>
  <c r="I37" i="17"/>
  <c r="I8" i="17" s="1"/>
  <c r="I34" i="17"/>
  <c r="I5" i="17" s="1"/>
  <c r="CV56" i="33"/>
  <c r="CT24" i="33"/>
  <c r="CT57" i="33" s="1"/>
  <c r="CQ45" i="34"/>
  <c r="CP52" i="34" s="1"/>
  <c r="DF26" i="2"/>
  <c r="CQ38" i="34"/>
  <c r="CP41" i="34" s="1"/>
  <c r="CQ19" i="34"/>
  <c r="CP24" i="34" s="1"/>
  <c r="DH31" i="2"/>
  <c r="CW19" i="33" s="1"/>
  <c r="CW52" i="33" s="1"/>
  <c r="CR49" i="34"/>
  <c r="CQ56" i="34" s="1"/>
  <c r="DG33" i="2"/>
  <c r="DI25" i="2"/>
  <c r="CU26" i="33"/>
  <c r="CU59" i="33" s="1"/>
  <c r="CU21" i="33"/>
  <c r="CU54" i="33" s="1"/>
  <c r="CS47" i="34"/>
  <c r="CR54" i="34" s="1"/>
  <c r="CQ27" i="34"/>
  <c r="CP32" i="34" s="1"/>
  <c r="CQ18" i="34"/>
  <c r="CP23" i="34" s="1"/>
  <c r="DF18" i="2"/>
  <c r="DF36" i="2"/>
  <c r="CU24" i="33" s="1"/>
  <c r="CU57" i="33" s="1"/>
  <c r="CT14" i="33"/>
  <c r="CT47" i="33" s="1"/>
  <c r="CT6" i="33"/>
  <c r="CT39" i="33" s="1"/>
  <c r="J34" i="17"/>
  <c r="J5" i="17" s="1"/>
  <c r="CQ60" i="34"/>
  <c r="CP62" i="34" s="1"/>
  <c r="CR65" i="34"/>
  <c r="CQ68" i="34" s="1"/>
  <c r="DG38" i="2"/>
  <c r="CT51" i="34"/>
  <c r="CS58" i="34" s="1"/>
  <c r="CW25" i="33"/>
  <c r="CW58" i="33" s="1"/>
  <c r="J45" i="17"/>
  <c r="J16" i="17" s="1"/>
  <c r="J38" i="17"/>
  <c r="J9" i="17" s="1"/>
  <c r="P62" i="7"/>
  <c r="Q62" i="7" s="1"/>
  <c r="U62" i="7" s="1"/>
  <c r="J37" i="17"/>
  <c r="J8" i="17" s="1"/>
  <c r="J55" i="17"/>
  <c r="J26" i="17" s="1"/>
  <c r="J33" i="17"/>
  <c r="J4" i="17" s="1"/>
  <c r="DI35" i="2"/>
  <c r="CX22" i="33" s="1"/>
  <c r="CX55" i="33" s="1"/>
  <c r="O1829" i="25"/>
  <c r="P1829" i="25" s="1"/>
  <c r="O1863" i="25" s="1"/>
  <c r="P1863" i="25" s="1"/>
  <c r="CR71" i="34"/>
  <c r="CQ72" i="34" s="1"/>
  <c r="CQ30" i="34"/>
  <c r="CP35" i="34" s="1"/>
  <c r="O1716" i="25"/>
  <c r="P1716" i="25" s="1"/>
  <c r="DF24" i="2"/>
  <c r="CT12" i="33"/>
  <c r="CT45" i="33" s="1"/>
  <c r="O1820" i="25"/>
  <c r="P1820" i="25" s="1"/>
  <c r="O1854" i="25" s="1"/>
  <c r="P1854" i="25" s="1"/>
  <c r="CT40" i="34"/>
  <c r="CS43" i="34" s="1"/>
  <c r="O1822" i="25"/>
  <c r="P1822" i="25" s="1"/>
  <c r="O1856" i="25" s="1"/>
  <c r="P1856" i="25" s="1"/>
  <c r="O1825" i="25"/>
  <c r="P1825" i="25" s="1"/>
  <c r="O1859" i="25" s="1"/>
  <c r="P1859" i="25" s="1"/>
  <c r="O1827" i="25"/>
  <c r="P1827" i="25" s="1"/>
  <c r="O1861" i="25" s="1"/>
  <c r="P1861" i="25" s="1"/>
  <c r="O1812" i="25"/>
  <c r="P1812" i="25" s="1"/>
  <c r="O1846" i="25" s="1"/>
  <c r="P1846" i="25" s="1"/>
  <c r="CT20" i="34"/>
  <c r="CS25" i="34" s="1"/>
  <c r="O1814" i="25"/>
  <c r="P1814" i="25" s="1"/>
  <c r="O1848" i="25" s="1"/>
  <c r="P1848" i="25" s="1"/>
  <c r="O1832" i="25"/>
  <c r="P1832" i="25" s="1"/>
  <c r="O1866" i="25" s="1"/>
  <c r="P1866" i="25" s="1"/>
  <c r="CT46" i="34"/>
  <c r="CS53" i="34" s="1"/>
  <c r="O1824" i="25"/>
  <c r="P1824" i="25" s="1"/>
  <c r="O1858" i="25" s="1"/>
  <c r="P1858" i="25" s="1"/>
  <c r="CT48" i="34"/>
  <c r="CS55" i="34" s="1"/>
  <c r="O1826" i="25"/>
  <c r="P1826" i="25" s="1"/>
  <c r="O1860" i="25" s="1"/>
  <c r="P1860" i="25" s="1"/>
  <c r="CT31" i="34"/>
  <c r="O1819" i="25"/>
  <c r="P1819" i="25" s="1"/>
  <c r="O1853" i="25" s="1"/>
  <c r="P1853" i="25" s="1"/>
  <c r="CT61" i="34"/>
  <c r="CS63" i="34" s="1"/>
  <c r="O1831" i="25"/>
  <c r="P1831" i="25" s="1"/>
  <c r="O1865" i="25" s="1"/>
  <c r="P1865" i="25" s="1"/>
  <c r="CT29" i="34"/>
  <c r="CS34" i="34" s="1"/>
  <c r="O1817" i="25"/>
  <c r="P1817" i="25" s="1"/>
  <c r="O1851" i="25" s="1"/>
  <c r="P1851" i="25" s="1"/>
  <c r="CT67" i="34"/>
  <c r="CS70" i="34" s="1"/>
  <c r="O1834" i="25"/>
  <c r="P1834" i="25" s="1"/>
  <c r="O1868" i="25" s="1"/>
  <c r="P1868" i="25" s="1"/>
  <c r="DI32" i="2"/>
  <c r="CX20" i="33" s="1"/>
  <c r="CX53" i="33" s="1"/>
  <c r="O1762" i="25"/>
  <c r="P1762" i="25" s="1"/>
  <c r="DI20" i="2"/>
  <c r="CX8" i="33" s="1"/>
  <c r="CX41" i="33" s="1"/>
  <c r="DI30" i="2"/>
  <c r="CX18" i="33" s="1"/>
  <c r="CX51" i="33" s="1"/>
  <c r="DI28" i="2"/>
  <c r="CX16" i="33" s="1"/>
  <c r="CX49" i="33" s="1"/>
  <c r="O1745" i="25"/>
  <c r="P1745" i="25" s="1"/>
  <c r="CQ28" i="34"/>
  <c r="CP33" i="34" s="1"/>
  <c r="DF22" i="2"/>
  <c r="CU10" i="33" s="1"/>
  <c r="CU43" i="33" s="1"/>
  <c r="O1714" i="25"/>
  <c r="P1714" i="25" s="1"/>
  <c r="DG19" i="2" s="1"/>
  <c r="CV7" i="33" s="1"/>
  <c r="CV40" i="33" s="1"/>
  <c r="O1767" i="25"/>
  <c r="P1767" i="25" s="1"/>
  <c r="CQ17" i="34"/>
  <c r="CP22" i="34" s="1"/>
  <c r="DF17" i="2"/>
  <c r="CU5" i="33" s="1"/>
  <c r="CU38" i="33" s="1"/>
  <c r="O1709" i="25"/>
  <c r="P1709" i="25" s="1"/>
  <c r="D1663" i="25"/>
  <c r="CX28" i="33"/>
  <c r="CX61" i="33" s="1"/>
  <c r="DG41" i="2"/>
  <c r="CV30" i="33" s="1"/>
  <c r="CX13" i="33"/>
  <c r="CX46" i="33" s="1"/>
  <c r="O1713" i="25"/>
  <c r="P1713" i="25" s="1"/>
  <c r="DF21" i="2"/>
  <c r="CU9" i="33" s="1"/>
  <c r="CU42" i="33" s="1"/>
  <c r="CS4" i="33"/>
  <c r="CS37" i="33" s="1"/>
  <c r="O1731" i="25"/>
  <c r="P1731" i="25" s="1"/>
  <c r="CR66" i="34" s="1"/>
  <c r="CQ69" i="34" s="1"/>
  <c r="DF39" i="2"/>
  <c r="CU27" i="33" s="1"/>
  <c r="CU60" i="33" s="1"/>
  <c r="DI23" i="2"/>
  <c r="DI37" i="2"/>
  <c r="O1721" i="25"/>
  <c r="P1721" i="25" s="1"/>
  <c r="DF29" i="2"/>
  <c r="CU17" i="33" s="1"/>
  <c r="CU50" i="33" s="1"/>
  <c r="O1719" i="25"/>
  <c r="P1719" i="25" s="1"/>
  <c r="CR39" i="34" s="1"/>
  <c r="CQ42" i="34" s="1"/>
  <c r="DF27" i="2"/>
  <c r="CU15" i="33" s="1"/>
  <c r="CU48" i="33" s="1"/>
  <c r="D1640" i="25"/>
  <c r="D1644" i="25"/>
  <c r="D1655" i="25"/>
  <c r="D1641" i="25"/>
  <c r="D1654" i="25"/>
  <c r="D1652" i="25"/>
  <c r="D1642" i="25"/>
  <c r="D1664" i="25"/>
  <c r="D1657" i="25"/>
  <c r="D1648" i="25"/>
  <c r="D1660" i="25"/>
  <c r="D1643" i="25"/>
  <c r="D1649" i="25"/>
  <c r="D1646" i="25"/>
  <c r="D1656" i="25"/>
  <c r="D1662" i="25"/>
  <c r="D1661" i="25"/>
  <c r="D1659" i="25"/>
  <c r="O1674" i="25"/>
  <c r="P1674" i="25" s="1"/>
  <c r="CQ16" i="34" s="1"/>
  <c r="CP21" i="34" s="1"/>
  <c r="DE16" i="2"/>
  <c r="D1658" i="25"/>
  <c r="D1650" i="25"/>
  <c r="D1647" i="25"/>
  <c r="DH34" i="2"/>
  <c r="O1794" i="25"/>
  <c r="P1794" i="25" s="1"/>
  <c r="DI31" i="2" s="1"/>
  <c r="CX19" i="33" s="1"/>
  <c r="D1653" i="25"/>
  <c r="D1651" i="25"/>
  <c r="CW44" i="33"/>
  <c r="CT31" i="33"/>
  <c r="CU30" i="33"/>
  <c r="CX52" i="33" l="1"/>
  <c r="J31" i="17"/>
  <c r="J2" i="17" s="1"/>
  <c r="K30" i="17"/>
  <c r="J39" i="17"/>
  <c r="J10" i="17" s="1"/>
  <c r="J48" i="17"/>
  <c r="J19" i="17" s="1"/>
  <c r="J47" i="17"/>
  <c r="J18" i="17" s="1"/>
  <c r="J36" i="17"/>
  <c r="J7" i="17" s="1"/>
  <c r="J44" i="17"/>
  <c r="J15" i="17" s="1"/>
  <c r="J51" i="17"/>
  <c r="J22" i="17" s="1"/>
  <c r="J53" i="17"/>
  <c r="J24" i="17" s="1"/>
  <c r="J46" i="17"/>
  <c r="J17" i="17" s="1"/>
  <c r="J41" i="17"/>
  <c r="J12" i="17" s="1"/>
  <c r="J50" i="17"/>
  <c r="J21" i="17" s="1"/>
  <c r="J54" i="17"/>
  <c r="J25" i="17" s="1"/>
  <c r="J49" i="17"/>
  <c r="J20" i="17" s="1"/>
  <c r="J35" i="17"/>
  <c r="J6" i="17" s="1"/>
  <c r="J43" i="17"/>
  <c r="J14" i="17" s="1"/>
  <c r="J42" i="17"/>
  <c r="J13" i="17" s="1"/>
  <c r="J40" i="17"/>
  <c r="J11" i="17" s="1"/>
  <c r="J52" i="17"/>
  <c r="J23" i="17" s="1"/>
  <c r="CR19" i="34"/>
  <c r="CQ24" i="34" s="1"/>
  <c r="CR60" i="34"/>
  <c r="CQ62" i="34" s="1"/>
  <c r="CT47" i="34"/>
  <c r="CS54" i="34" s="1"/>
  <c r="CV26" i="33"/>
  <c r="CV59" i="33" s="1"/>
  <c r="CU6" i="33"/>
  <c r="CU39" i="33" s="1"/>
  <c r="CR45" i="34"/>
  <c r="CQ52" i="34" s="1"/>
  <c r="DG26" i="2"/>
  <c r="CR38" i="34"/>
  <c r="CQ41" i="34" s="1"/>
  <c r="CR27" i="34"/>
  <c r="CQ32" i="34" s="1"/>
  <c r="CR18" i="34"/>
  <c r="CQ23" i="34" s="1"/>
  <c r="DG18" i="2"/>
  <c r="CV21" i="33"/>
  <c r="CV54" i="33" s="1"/>
  <c r="CS65" i="34"/>
  <c r="CR68" i="34" s="1"/>
  <c r="DH38" i="2"/>
  <c r="DG36" i="2"/>
  <c r="CV24" i="33" s="1"/>
  <c r="CV57" i="33" s="1"/>
  <c r="CU14" i="33"/>
  <c r="CU47" i="33" s="1"/>
  <c r="CS49" i="34"/>
  <c r="CR56" i="34" s="1"/>
  <c r="DH33" i="2"/>
  <c r="T62" i="7"/>
  <c r="K55" i="17"/>
  <c r="K26" i="17" s="1"/>
  <c r="K43" i="17"/>
  <c r="K14" i="17" s="1"/>
  <c r="J32" i="17"/>
  <c r="J3" i="17" s="1"/>
  <c r="K37" i="17"/>
  <c r="K8" i="17" s="1"/>
  <c r="P63" i="7"/>
  <c r="DJ35" i="2"/>
  <c r="CY22" i="33" s="1"/>
  <c r="CY55" i="33" s="1"/>
  <c r="CU51" i="34"/>
  <c r="CT58" i="34" s="1"/>
  <c r="CW23" i="33"/>
  <c r="CW56" i="33" s="1"/>
  <c r="DK23" i="2"/>
  <c r="CZ11" i="33" s="1"/>
  <c r="O1885" i="25"/>
  <c r="P1885" i="25" s="1"/>
  <c r="O1919" i="25" s="1"/>
  <c r="P1919" i="25" s="1"/>
  <c r="DK25" i="2"/>
  <c r="CZ13" i="33" s="1"/>
  <c r="O1887" i="25"/>
  <c r="P1887" i="25" s="1"/>
  <c r="O1921" i="25" s="1"/>
  <c r="P1921" i="25" s="1"/>
  <c r="DK30" i="2"/>
  <c r="CZ18" i="33" s="1"/>
  <c r="O1892" i="25"/>
  <c r="P1892" i="25" s="1"/>
  <c r="O1926" i="25" s="1"/>
  <c r="P1926" i="25" s="1"/>
  <c r="DK20" i="2"/>
  <c r="CZ8" i="33" s="1"/>
  <c r="O1882" i="25"/>
  <c r="P1882" i="25" s="1"/>
  <c r="O1916" i="25" s="1"/>
  <c r="P1916" i="25" s="1"/>
  <c r="O1895" i="25"/>
  <c r="P1895" i="25" s="1"/>
  <c r="O1929" i="25" s="1"/>
  <c r="P1929" i="25" s="1"/>
  <c r="DK28" i="2"/>
  <c r="CZ16" i="33" s="1"/>
  <c r="O1890" i="25"/>
  <c r="P1890" i="25" s="1"/>
  <c r="O1924" i="25" s="1"/>
  <c r="P1924" i="25" s="1"/>
  <c r="DK40" i="2"/>
  <c r="CZ28" i="33" s="1"/>
  <c r="O1902" i="25"/>
  <c r="P1902" i="25" s="1"/>
  <c r="O1936" i="25" s="1"/>
  <c r="P1936" i="25" s="1"/>
  <c r="DK37" i="2"/>
  <c r="CZ25" i="33" s="1"/>
  <c r="O1899" i="25"/>
  <c r="P1899" i="25" s="1"/>
  <c r="O1933" i="25" s="1"/>
  <c r="P1933" i="25" s="1"/>
  <c r="DK32" i="2"/>
  <c r="CZ20" i="33" s="1"/>
  <c r="O1894" i="25"/>
  <c r="P1894" i="25" s="1"/>
  <c r="O1928" i="25" s="1"/>
  <c r="P1928" i="25" s="1"/>
  <c r="O1900" i="25"/>
  <c r="P1900" i="25" s="1"/>
  <c r="O1934" i="25" s="1"/>
  <c r="P1934" i="25" s="1"/>
  <c r="O1880" i="25"/>
  <c r="P1880" i="25" s="1"/>
  <c r="O1914" i="25" s="1"/>
  <c r="P1914" i="25" s="1"/>
  <c r="O1893" i="25"/>
  <c r="P1893" i="25" s="1"/>
  <c r="O1927" i="25" s="1"/>
  <c r="P1927" i="25" s="1"/>
  <c r="O1888" i="25"/>
  <c r="P1888" i="25" s="1"/>
  <c r="O1922" i="25" s="1"/>
  <c r="P1922" i="25" s="1"/>
  <c r="DK35" i="2"/>
  <c r="CZ22" i="33" s="1"/>
  <c r="O1897" i="25"/>
  <c r="P1897" i="25" s="1"/>
  <c r="O1931" i="25" s="1"/>
  <c r="P1931" i="25" s="1"/>
  <c r="CV51" i="34"/>
  <c r="CV29" i="34"/>
  <c r="CV31" i="34"/>
  <c r="CV46" i="34"/>
  <c r="CV20" i="34"/>
  <c r="CV40" i="34"/>
  <c r="CV67" i="34"/>
  <c r="CV61" i="34"/>
  <c r="CV48" i="34"/>
  <c r="CS71" i="34"/>
  <c r="CR72" i="34" s="1"/>
  <c r="CU12" i="33"/>
  <c r="CU45" i="33" s="1"/>
  <c r="CR30" i="34"/>
  <c r="CQ35" i="34" s="1"/>
  <c r="DG24" i="2"/>
  <c r="O1750" i="25"/>
  <c r="P1750" i="25" s="1"/>
  <c r="CU61" i="34"/>
  <c r="DJ37" i="2"/>
  <c r="CY25" i="33" s="1"/>
  <c r="CU48" i="34"/>
  <c r="DJ32" i="2"/>
  <c r="CY20" i="33" s="1"/>
  <c r="CY53" i="33" s="1"/>
  <c r="CU67" i="34"/>
  <c r="DJ40" i="2"/>
  <c r="CU29" i="34"/>
  <c r="DJ23" i="2"/>
  <c r="CY11" i="33" s="1"/>
  <c r="CU31" i="34"/>
  <c r="DJ25" i="2"/>
  <c r="CU46" i="34"/>
  <c r="DJ30" i="2"/>
  <c r="CU20" i="34"/>
  <c r="DJ20" i="2"/>
  <c r="CU40" i="34"/>
  <c r="DJ28" i="2"/>
  <c r="CS36" i="34"/>
  <c r="CT50" i="34"/>
  <c r="CS57" i="34" s="1"/>
  <c r="O1828" i="25"/>
  <c r="P1828" i="25" s="1"/>
  <c r="O1862" i="25" s="1"/>
  <c r="P1862" i="25" s="1"/>
  <c r="CV47" i="34" s="1"/>
  <c r="O1796" i="25"/>
  <c r="P1796" i="25" s="1"/>
  <c r="DH41" i="2"/>
  <c r="O1801" i="25"/>
  <c r="P1801" i="25" s="1"/>
  <c r="O1779" i="25"/>
  <c r="P1779" i="25" s="1"/>
  <c r="O1813" i="25" s="1"/>
  <c r="P1813" i="25" s="1"/>
  <c r="O1847" i="25" s="1"/>
  <c r="P1847" i="25" s="1"/>
  <c r="CR28" i="34"/>
  <c r="CQ33" i="34" s="1"/>
  <c r="DG22" i="2"/>
  <c r="CV10" i="33" s="1"/>
  <c r="CV43" i="33" s="1"/>
  <c r="O1748" i="25"/>
  <c r="P1748" i="25" s="1"/>
  <c r="DH19" i="2" s="1"/>
  <c r="CW7" i="33" s="1"/>
  <c r="CW40" i="33" s="1"/>
  <c r="CR17" i="34"/>
  <c r="CQ22" i="34" s="1"/>
  <c r="DG17" i="2"/>
  <c r="CV5" i="33" s="1"/>
  <c r="CV38" i="33" s="1"/>
  <c r="O1743" i="25"/>
  <c r="P1743" i="25" s="1"/>
  <c r="CT4" i="33"/>
  <c r="CT37" i="33" s="1"/>
  <c r="CX25" i="33"/>
  <c r="CX58" i="33" s="1"/>
  <c r="DG21" i="2"/>
  <c r="CV9" i="33" s="1"/>
  <c r="CV42" i="33" s="1"/>
  <c r="O1747" i="25"/>
  <c r="P1747" i="25" s="1"/>
  <c r="DI34" i="2"/>
  <c r="O1708" i="25"/>
  <c r="P1708" i="25" s="1"/>
  <c r="CR16" i="34" s="1"/>
  <c r="CQ21" i="34" s="1"/>
  <c r="D1690" i="25"/>
  <c r="D1695" i="25"/>
  <c r="D1675" i="25"/>
  <c r="D1691" i="25"/>
  <c r="D1680" i="25"/>
  <c r="D1698" i="25"/>
  <c r="D1692" i="25"/>
  <c r="D1696" i="25"/>
  <c r="D1689" i="25"/>
  <c r="D1686" i="25"/>
  <c r="D1681" i="25"/>
  <c r="D1683" i="25"/>
  <c r="D1684" i="25"/>
  <c r="D1678" i="25"/>
  <c r="D1688" i="25"/>
  <c r="D1676" i="25"/>
  <c r="D1677" i="25"/>
  <c r="D1694" i="25"/>
  <c r="DF16" i="2"/>
  <c r="D1674" i="25"/>
  <c r="D1693" i="25"/>
  <c r="D1682" i="25"/>
  <c r="D1679" i="25"/>
  <c r="O1753" i="25"/>
  <c r="P1753" i="25" s="1"/>
  <c r="CS39" i="34" s="1"/>
  <c r="CR42" i="34" s="1"/>
  <c r="DG27" i="2"/>
  <c r="CV15" i="33" s="1"/>
  <c r="CV48" i="33" s="1"/>
  <c r="O1755" i="25"/>
  <c r="P1755" i="25" s="1"/>
  <c r="DG29" i="2"/>
  <c r="CV17" i="33" s="1"/>
  <c r="CV50" i="33" s="1"/>
  <c r="CX11" i="33"/>
  <c r="CX44" i="33" s="1"/>
  <c r="O1765" i="25"/>
  <c r="P1765" i="25" s="1"/>
  <c r="CS66" i="34" s="1"/>
  <c r="CR69" i="34" s="1"/>
  <c r="DG39" i="2"/>
  <c r="CV27" i="33" s="1"/>
  <c r="CV60" i="33" s="1"/>
  <c r="D1685" i="25"/>
  <c r="D1687" i="25"/>
  <c r="D1697" i="25"/>
  <c r="CU63" i="33"/>
  <c r="CV31" i="33"/>
  <c r="CV63" i="33"/>
  <c r="CU31" i="33"/>
  <c r="K31" i="17" l="1"/>
  <c r="K2" i="17" s="1"/>
  <c r="L30" i="17"/>
  <c r="K36" i="17"/>
  <c r="K7" i="17" s="1"/>
  <c r="K51" i="17"/>
  <c r="K22" i="17" s="1"/>
  <c r="K46" i="17"/>
  <c r="K17" i="17" s="1"/>
  <c r="K39" i="17"/>
  <c r="K10" i="17" s="1"/>
  <c r="K48" i="17"/>
  <c r="K19" i="17" s="1"/>
  <c r="K47" i="17"/>
  <c r="K18" i="17" s="1"/>
  <c r="K53" i="17"/>
  <c r="K24" i="17" s="1"/>
  <c r="K41" i="17"/>
  <c r="K12" i="17" s="1"/>
  <c r="K44" i="17"/>
  <c r="K15" i="17" s="1"/>
  <c r="K50" i="17"/>
  <c r="K21" i="17" s="1"/>
  <c r="K54" i="17"/>
  <c r="K25" i="17" s="1"/>
  <c r="K49" i="17"/>
  <c r="K20" i="17" s="1"/>
  <c r="K35" i="17"/>
  <c r="K6" i="17" s="1"/>
  <c r="K52" i="17"/>
  <c r="K23" i="17" s="1"/>
  <c r="K33" i="17"/>
  <c r="K4" i="17" s="1"/>
  <c r="K45" i="17"/>
  <c r="K16" i="17" s="1"/>
  <c r="K42" i="17"/>
  <c r="K13" i="17" s="1"/>
  <c r="K34" i="17"/>
  <c r="K5" i="17" s="1"/>
  <c r="L40" i="17"/>
  <c r="L11" i="17" s="1"/>
  <c r="K38" i="17"/>
  <c r="K9" i="17" s="1"/>
  <c r="K40" i="17"/>
  <c r="K11" i="17" s="1"/>
  <c r="CS19" i="34"/>
  <c r="CR24" i="34" s="1"/>
  <c r="CS45" i="34"/>
  <c r="CR52" i="34" s="1"/>
  <c r="CS38" i="34"/>
  <c r="CR41" i="34" s="1"/>
  <c r="DH26" i="2"/>
  <c r="CS27" i="34"/>
  <c r="CR32" i="34" s="1"/>
  <c r="CS18" i="34"/>
  <c r="CR23" i="34" s="1"/>
  <c r="DH18" i="2"/>
  <c r="CU47" i="34"/>
  <c r="CU54" i="34" s="1"/>
  <c r="DH36" i="2"/>
  <c r="CW24" i="33" s="1"/>
  <c r="CW57" i="33" s="1"/>
  <c r="DI38" i="2"/>
  <c r="CT65" i="34"/>
  <c r="CS68" i="34" s="1"/>
  <c r="O1830" i="25"/>
  <c r="P1830" i="25" s="1"/>
  <c r="DI33" i="2"/>
  <c r="CT49" i="34"/>
  <c r="CS56" i="34" s="1"/>
  <c r="DK31" i="2"/>
  <c r="CZ19" i="33" s="1"/>
  <c r="CW21" i="33"/>
  <c r="CW54" i="33" s="1"/>
  <c r="CS60" i="34"/>
  <c r="CR62" i="34" s="1"/>
  <c r="DJ31" i="2"/>
  <c r="CY19" i="33" s="1"/>
  <c r="CY52" i="33" s="1"/>
  <c r="L52" i="17"/>
  <c r="L23" i="17" s="1"/>
  <c r="CW26" i="33"/>
  <c r="CW59" i="33" s="1"/>
  <c r="CV6" i="33"/>
  <c r="CV39" i="33" s="1"/>
  <c r="L34" i="17"/>
  <c r="L5" i="17" s="1"/>
  <c r="CV14" i="33"/>
  <c r="CV47" i="33" s="1"/>
  <c r="L42" i="17"/>
  <c r="L13" i="17" s="1"/>
  <c r="CX51" i="34"/>
  <c r="CX58" i="34" s="1"/>
  <c r="DM35" i="2"/>
  <c r="DB22" i="33" s="1"/>
  <c r="CX61" i="34"/>
  <c r="CX63" i="34" s="1"/>
  <c r="DM37" i="2"/>
  <c r="DB25" i="33" s="1"/>
  <c r="CX40" i="34"/>
  <c r="CX43" i="34" s="1"/>
  <c r="DM28" i="2"/>
  <c r="DB16" i="33" s="1"/>
  <c r="CX20" i="34"/>
  <c r="CX25" i="34" s="1"/>
  <c r="DM20" i="2"/>
  <c r="DB8" i="33" s="1"/>
  <c r="CX31" i="34"/>
  <c r="CX36" i="34" s="1"/>
  <c r="DM25" i="2"/>
  <c r="DB13" i="33" s="1"/>
  <c r="L55" i="17"/>
  <c r="L26" i="17" s="1"/>
  <c r="L43" i="17"/>
  <c r="L14" i="17" s="1"/>
  <c r="CX48" i="34"/>
  <c r="CX55" i="34" s="1"/>
  <c r="DM32" i="2"/>
  <c r="DB20" i="33" s="1"/>
  <c r="CX67" i="34"/>
  <c r="CX70" i="34" s="1"/>
  <c r="DM40" i="2"/>
  <c r="DB28" i="33" s="1"/>
  <c r="CX46" i="34"/>
  <c r="CX53" i="34" s="1"/>
  <c r="DM30" i="2"/>
  <c r="DB18" i="33" s="1"/>
  <c r="CX29" i="34"/>
  <c r="CX34" i="34" s="1"/>
  <c r="DM23" i="2"/>
  <c r="DB11" i="33" s="1"/>
  <c r="L38" i="17"/>
  <c r="L9" i="17" s="1"/>
  <c r="L45" i="17"/>
  <c r="L16" i="17" s="1"/>
  <c r="T63" i="7"/>
  <c r="Q63" i="7"/>
  <c r="U63" i="7" s="1"/>
  <c r="P64" i="7"/>
  <c r="T64" i="7" s="1"/>
  <c r="L33" i="17"/>
  <c r="L4" i="17" s="1"/>
  <c r="K32" i="17"/>
  <c r="K3" i="17" s="1"/>
  <c r="CZ55" i="33"/>
  <c r="CW51" i="34"/>
  <c r="DL35" i="2"/>
  <c r="DA22" i="33" s="1"/>
  <c r="DA55" i="33" s="1"/>
  <c r="CW61" i="34"/>
  <c r="DL37" i="2"/>
  <c r="DA25" i="33" s="1"/>
  <c r="DA58" i="33" s="1"/>
  <c r="CW40" i="34"/>
  <c r="DL28" i="2"/>
  <c r="DA16" i="33" s="1"/>
  <c r="DA49" i="33" s="1"/>
  <c r="CW20" i="34"/>
  <c r="DL20" i="2"/>
  <c r="DA8" i="33" s="1"/>
  <c r="DA41" i="33" s="1"/>
  <c r="CW31" i="34"/>
  <c r="DL25" i="2"/>
  <c r="DA13" i="33" s="1"/>
  <c r="DA46" i="33" s="1"/>
  <c r="CW48" i="34"/>
  <c r="DL32" i="2"/>
  <c r="DA20" i="33" s="1"/>
  <c r="DA53" i="33" s="1"/>
  <c r="CW67" i="34"/>
  <c r="DL40" i="2"/>
  <c r="DA28" i="33" s="1"/>
  <c r="DA61" i="33" s="1"/>
  <c r="CW46" i="34"/>
  <c r="DL30" i="2"/>
  <c r="DA18" i="33" s="1"/>
  <c r="DA51" i="33" s="1"/>
  <c r="CW29" i="34"/>
  <c r="DL23" i="2"/>
  <c r="DA11" i="33" s="1"/>
  <c r="DA44" i="33" s="1"/>
  <c r="DK34" i="2"/>
  <c r="CZ23" i="33" s="1"/>
  <c r="O1896" i="25"/>
  <c r="P1896" i="25" s="1"/>
  <c r="O1930" i="25" s="1"/>
  <c r="P1930" i="25" s="1"/>
  <c r="CX47" i="34" s="1"/>
  <c r="CX54" i="34" s="1"/>
  <c r="O1881" i="25"/>
  <c r="P1881" i="25" s="1"/>
  <c r="O1915" i="25" s="1"/>
  <c r="P1915" i="25" s="1"/>
  <c r="CU58" i="34"/>
  <c r="CU63" i="34"/>
  <c r="CU36" i="34"/>
  <c r="CU70" i="34"/>
  <c r="CU55" i="34"/>
  <c r="CZ53" i="33"/>
  <c r="CZ58" i="33"/>
  <c r="CZ44" i="33"/>
  <c r="CV50" i="34"/>
  <c r="CT55" i="34"/>
  <c r="CV12" i="33"/>
  <c r="CV45" i="33" s="1"/>
  <c r="CS30" i="34"/>
  <c r="CR35" i="34" s="1"/>
  <c r="O1784" i="25"/>
  <c r="P1784" i="25" s="1"/>
  <c r="DH24" i="2"/>
  <c r="CT63" i="34"/>
  <c r="CT70" i="34"/>
  <c r="CY16" i="33"/>
  <c r="CY49" i="33" s="1"/>
  <c r="CY8" i="33"/>
  <c r="CY41" i="33" s="1"/>
  <c r="CY13" i="33"/>
  <c r="CY46" i="33" s="1"/>
  <c r="CY28" i="33"/>
  <c r="CY61" i="33" s="1"/>
  <c r="CY18" i="33"/>
  <c r="CY51" i="33" s="1"/>
  <c r="CY44" i="33"/>
  <c r="CY58" i="33"/>
  <c r="CT36" i="34"/>
  <c r="CU50" i="34"/>
  <c r="DJ34" i="2"/>
  <c r="CY23" i="33" s="1"/>
  <c r="CU43" i="34"/>
  <c r="CT43" i="34"/>
  <c r="CU25" i="34"/>
  <c r="CT25" i="34"/>
  <c r="CU53" i="34"/>
  <c r="CT53" i="34"/>
  <c r="CU34" i="34"/>
  <c r="CT34" i="34"/>
  <c r="CT71" i="34"/>
  <c r="CS72" i="34" s="1"/>
  <c r="O1835" i="25"/>
  <c r="P1835" i="25" s="1"/>
  <c r="CW30" i="33"/>
  <c r="CW63" i="33" s="1"/>
  <c r="DI41" i="2"/>
  <c r="CX30" i="33" s="1"/>
  <c r="CS28" i="34"/>
  <c r="CR33" i="34" s="1"/>
  <c r="DH22" i="2"/>
  <c r="O1782" i="25"/>
  <c r="P1782" i="25" s="1"/>
  <c r="O1816" i="25" s="1"/>
  <c r="P1816" i="25" s="1"/>
  <c r="O1850" i="25" s="1"/>
  <c r="P1850" i="25" s="1"/>
  <c r="DK19" i="2" s="1"/>
  <c r="CZ7" i="33" s="1"/>
  <c r="CS17" i="34"/>
  <c r="CR22" i="34" s="1"/>
  <c r="DH17" i="2"/>
  <c r="CW5" i="33" s="1"/>
  <c r="CW38" i="33" s="1"/>
  <c r="O1777" i="25"/>
  <c r="P1777" i="25" s="1"/>
  <c r="O1811" i="25" s="1"/>
  <c r="P1811" i="25" s="1"/>
  <c r="O1845" i="25" s="1"/>
  <c r="P1845" i="25" s="1"/>
  <c r="D1731" i="25"/>
  <c r="D1719" i="25"/>
  <c r="D1721" i="25"/>
  <c r="O1789" i="25"/>
  <c r="P1789" i="25" s="1"/>
  <c r="DH29" i="2"/>
  <c r="CW17" i="33" s="1"/>
  <c r="CW50" i="33" s="1"/>
  <c r="O1781" i="25"/>
  <c r="P1781" i="25" s="1"/>
  <c r="DH21" i="2"/>
  <c r="CW9" i="33" s="1"/>
  <c r="CW42" i="33" s="1"/>
  <c r="DH39" i="2"/>
  <c r="CW27" i="33" s="1"/>
  <c r="CW60" i="33" s="1"/>
  <c r="O1799" i="25"/>
  <c r="P1799" i="25" s="1"/>
  <c r="CT60" i="34" s="1"/>
  <c r="CX23" i="33"/>
  <c r="CX56" i="33" s="1"/>
  <c r="DH27" i="2"/>
  <c r="CW15" i="33" s="1"/>
  <c r="CW48" i="33" s="1"/>
  <c r="O1787" i="25"/>
  <c r="P1787" i="25" s="1"/>
  <c r="CU4" i="33"/>
  <c r="O1742" i="25"/>
  <c r="P1742" i="25" s="1"/>
  <c r="CS16" i="34" s="1"/>
  <c r="CR21" i="34" s="1"/>
  <c r="D1712" i="25"/>
  <c r="D1727" i="25"/>
  <c r="D1720" i="25"/>
  <c r="D1711" i="25"/>
  <c r="D1730" i="25"/>
  <c r="D1716" i="25"/>
  <c r="D1708" i="25"/>
  <c r="D1728" i="25"/>
  <c r="D1722" i="25"/>
  <c r="D1717" i="25"/>
  <c r="D1724" i="25"/>
  <c r="D1723" i="25"/>
  <c r="D1714" i="25"/>
  <c r="DG16" i="2"/>
  <c r="L32" i="17" s="1"/>
  <c r="L3" i="17" s="1"/>
  <c r="D1715" i="25"/>
  <c r="D1732" i="25"/>
  <c r="D1718" i="25"/>
  <c r="D1729" i="25"/>
  <c r="D1710" i="25"/>
  <c r="D1709" i="25"/>
  <c r="D1725" i="25"/>
  <c r="D1726" i="25"/>
  <c r="D1713" i="25"/>
  <c r="M30" i="17" l="1"/>
  <c r="L31" i="17"/>
  <c r="L53" i="17"/>
  <c r="L24" i="17" s="1"/>
  <c r="L36" i="17"/>
  <c r="L7" i="17" s="1"/>
  <c r="L51" i="17"/>
  <c r="L22" i="17" s="1"/>
  <c r="L46" i="17"/>
  <c r="L17" i="17" s="1"/>
  <c r="L41" i="17"/>
  <c r="L12" i="17" s="1"/>
  <c r="L39" i="17"/>
  <c r="L10" i="17" s="1"/>
  <c r="L44" i="17"/>
  <c r="L15" i="17" s="1"/>
  <c r="L48" i="17"/>
  <c r="L19" i="17" s="1"/>
  <c r="L47" i="17"/>
  <c r="L18" i="17" s="1"/>
  <c r="L50" i="17"/>
  <c r="L21" i="17" s="1"/>
  <c r="L35" i="17"/>
  <c r="L6" i="17" s="1"/>
  <c r="L49" i="17"/>
  <c r="L20" i="17" s="1"/>
  <c r="L54" i="17"/>
  <c r="L25" i="17" s="1"/>
  <c r="CW53" i="34"/>
  <c r="L37" i="17"/>
  <c r="L8" i="17" s="1"/>
  <c r="CW70" i="34"/>
  <c r="CT54" i="34"/>
  <c r="CW36" i="34"/>
  <c r="CW43" i="34"/>
  <c r="CW58" i="34"/>
  <c r="Q28" i="8"/>
  <c r="AD84" i="8" s="1"/>
  <c r="DI18" i="2"/>
  <c r="CT18" i="34"/>
  <c r="CS23" i="34" s="1"/>
  <c r="DI19" i="2"/>
  <c r="DI36" i="2"/>
  <c r="CX24" i="33" s="1"/>
  <c r="CX57" i="33" s="1"/>
  <c r="DJ19" i="2"/>
  <c r="CY7" i="33" s="1"/>
  <c r="CV19" i="34"/>
  <c r="CX21" i="33"/>
  <c r="CX54" i="33" s="1"/>
  <c r="CT19" i="34"/>
  <c r="CS24" i="34" s="1"/>
  <c r="CU19" i="34"/>
  <c r="DL31" i="2"/>
  <c r="O1864" i="25"/>
  <c r="P1864" i="25" s="1"/>
  <c r="CU49" i="34"/>
  <c r="CT56" i="34" s="1"/>
  <c r="DJ33" i="2"/>
  <c r="CW14" i="33"/>
  <c r="CW47" i="33" s="1"/>
  <c r="DI26" i="2"/>
  <c r="CT38" i="34"/>
  <c r="CS41" i="34" s="1"/>
  <c r="O1869" i="25"/>
  <c r="P1869" i="25" s="1"/>
  <c r="CV71" i="34" s="1"/>
  <c r="DJ38" i="2"/>
  <c r="CU65" i="34"/>
  <c r="CT68" i="34" s="1"/>
  <c r="CW47" i="34"/>
  <c r="CW54" i="34" s="1"/>
  <c r="DM31" i="2"/>
  <c r="DB19" i="33" s="1"/>
  <c r="CW6" i="33"/>
  <c r="CW39" i="33" s="1"/>
  <c r="M34" i="17"/>
  <c r="M5" i="17" s="1"/>
  <c r="CX26" i="33"/>
  <c r="CX59" i="33" s="1"/>
  <c r="Q64" i="7"/>
  <c r="U64" i="7" s="1"/>
  <c r="Q22" i="8"/>
  <c r="AD72" i="8" s="1"/>
  <c r="CW34" i="34"/>
  <c r="CW55" i="34"/>
  <c r="CW25" i="34"/>
  <c r="CW63" i="34"/>
  <c r="Q15" i="8"/>
  <c r="AD58" i="8" s="1"/>
  <c r="DB51" i="33"/>
  <c r="P83" i="33" s="1"/>
  <c r="DB61" i="33"/>
  <c r="DB46" i="33"/>
  <c r="P78" i="33" s="1"/>
  <c r="DB49" i="33"/>
  <c r="DB55" i="33"/>
  <c r="P87" i="33" s="1"/>
  <c r="DB44" i="33"/>
  <c r="F76" i="33" s="1"/>
  <c r="DB53" i="33"/>
  <c r="F85" i="33" s="1"/>
  <c r="DB41" i="33"/>
  <c r="P73" i="33" s="1"/>
  <c r="DB58" i="33"/>
  <c r="P90" i="33" s="1"/>
  <c r="M55" i="17"/>
  <c r="M26" i="17" s="1"/>
  <c r="M45" i="17"/>
  <c r="M16" i="17" s="1"/>
  <c r="CX50" i="34"/>
  <c r="CX57" i="34" s="1"/>
  <c r="DM34" i="2"/>
  <c r="DB23" i="33" s="1"/>
  <c r="M40" i="17"/>
  <c r="M11" i="17" s="1"/>
  <c r="M33" i="17"/>
  <c r="M4" i="17" s="1"/>
  <c r="M43" i="17"/>
  <c r="M14" i="17" s="1"/>
  <c r="P65" i="7"/>
  <c r="Q8" i="8"/>
  <c r="AD44" i="8" s="1"/>
  <c r="Q17" i="8"/>
  <c r="AD62" i="8" s="1"/>
  <c r="CV25" i="34"/>
  <c r="Q19" i="8"/>
  <c r="AD66" i="8" s="1"/>
  <c r="Q27" i="8"/>
  <c r="AD82" i="8" s="1"/>
  <c r="CV63" i="34"/>
  <c r="Q24" i="8"/>
  <c r="AD76" i="8" s="1"/>
  <c r="Q9" i="8"/>
  <c r="AD46" i="8" s="1"/>
  <c r="CV58" i="34"/>
  <c r="CV55" i="34"/>
  <c r="CV53" i="34"/>
  <c r="CV34" i="34"/>
  <c r="CV43" i="34"/>
  <c r="CV36" i="34"/>
  <c r="CW50" i="34"/>
  <c r="DL34" i="2"/>
  <c r="DA23" i="33" s="1"/>
  <c r="DA56" i="33" s="1"/>
  <c r="CV70" i="34"/>
  <c r="DK17" i="2"/>
  <c r="CZ5" i="33" s="1"/>
  <c r="O1879" i="25"/>
  <c r="P1879" i="25" s="1"/>
  <c r="O1913" i="25" s="1"/>
  <c r="P1913" i="25" s="1"/>
  <c r="O1903" i="25"/>
  <c r="P1903" i="25" s="1"/>
  <c r="DK22" i="2"/>
  <c r="CZ10" i="33" s="1"/>
  <c r="O1884" i="25"/>
  <c r="P1884" i="25" s="1"/>
  <c r="O1918" i="25" s="1"/>
  <c r="P1918" i="25" s="1"/>
  <c r="DM19" i="2" s="1"/>
  <c r="CU57" i="34"/>
  <c r="CZ40" i="33"/>
  <c r="CZ46" i="33"/>
  <c r="CZ56" i="33"/>
  <c r="CZ41" i="33"/>
  <c r="CZ51" i="33"/>
  <c r="CZ52" i="33"/>
  <c r="CZ49" i="33"/>
  <c r="CZ61" i="33"/>
  <c r="CV28" i="34"/>
  <c r="CV17" i="34"/>
  <c r="CW31" i="33"/>
  <c r="CT30" i="34"/>
  <c r="CS35" i="34" s="1"/>
  <c r="O1818" i="25"/>
  <c r="P1818" i="25" s="1"/>
  <c r="O1852" i="25" s="1"/>
  <c r="P1852" i="25" s="1"/>
  <c r="DI24" i="2"/>
  <c r="CW12" i="33"/>
  <c r="CW45" i="33" s="1"/>
  <c r="CX31" i="33"/>
  <c r="CT57" i="34"/>
  <c r="CY56" i="33"/>
  <c r="CU17" i="34"/>
  <c r="DJ17" i="2"/>
  <c r="CY5" i="33" s="1"/>
  <c r="CW10" i="33"/>
  <c r="CW43" i="33" s="1"/>
  <c r="CU71" i="34"/>
  <c r="DJ41" i="2"/>
  <c r="P66" i="7" s="1"/>
  <c r="CU28" i="34"/>
  <c r="DJ22" i="2"/>
  <c r="CY10" i="33" s="1"/>
  <c r="CT39" i="34"/>
  <c r="CS42" i="34" s="1"/>
  <c r="O1821" i="25"/>
  <c r="P1821" i="25" s="1"/>
  <c r="O1855" i="25" s="1"/>
  <c r="P1855" i="25" s="1"/>
  <c r="CT27" i="34"/>
  <c r="CS32" i="34" s="1"/>
  <c r="O1815" i="25"/>
  <c r="P1815" i="25" s="1"/>
  <c r="CT45" i="34"/>
  <c r="CS52" i="34" s="1"/>
  <c r="O1823" i="25"/>
  <c r="P1823" i="25" s="1"/>
  <c r="CT66" i="34"/>
  <c r="CS69" i="34" s="1"/>
  <c r="O1833" i="25"/>
  <c r="P1833" i="25" s="1"/>
  <c r="CX63" i="33"/>
  <c r="CS62" i="34"/>
  <c r="CT28" i="34"/>
  <c r="DI22" i="2"/>
  <c r="CT17" i="34"/>
  <c r="DI17" i="2"/>
  <c r="D1755" i="25"/>
  <c r="DI27" i="2"/>
  <c r="DI39" i="2"/>
  <c r="CV4" i="33"/>
  <c r="CV37" i="33" s="1"/>
  <c r="DI21" i="2"/>
  <c r="CU37" i="33"/>
  <c r="O1776" i="25"/>
  <c r="P1776" i="25" s="1"/>
  <c r="D1754" i="25"/>
  <c r="D1761" i="25"/>
  <c r="D1752" i="25"/>
  <c r="D1743" i="25"/>
  <c r="D1742" i="25"/>
  <c r="D1757" i="25"/>
  <c r="D1762" i="25"/>
  <c r="D1759" i="25"/>
  <c r="D1764" i="25"/>
  <c r="D1751" i="25"/>
  <c r="D1756" i="25"/>
  <c r="D1748" i="25"/>
  <c r="D1750" i="25"/>
  <c r="D1758" i="25"/>
  <c r="D1745" i="25"/>
  <c r="D1766" i="25"/>
  <c r="D1746" i="25"/>
  <c r="D1763" i="25"/>
  <c r="DH16" i="2"/>
  <c r="D1749" i="25"/>
  <c r="D1744" i="25"/>
  <c r="D1760" i="25"/>
  <c r="D1753" i="25"/>
  <c r="D1765" i="25"/>
  <c r="D1747" i="25"/>
  <c r="DI29" i="2"/>
  <c r="CT24" i="34" l="1"/>
  <c r="CV54" i="34"/>
  <c r="CU24" i="34"/>
  <c r="CX7" i="33"/>
  <c r="CX40" i="33" s="1"/>
  <c r="F73" i="33"/>
  <c r="DK41" i="2"/>
  <c r="CZ30" i="33" s="1"/>
  <c r="L2" i="17"/>
  <c r="F79" i="17"/>
  <c r="CW57" i="34"/>
  <c r="M31" i="17"/>
  <c r="N30" i="17"/>
  <c r="M46" i="17"/>
  <c r="M17" i="17" s="1"/>
  <c r="M48" i="17"/>
  <c r="M19" i="17" s="1"/>
  <c r="M44" i="17"/>
  <c r="M15" i="17" s="1"/>
  <c r="M53" i="17"/>
  <c r="M24" i="17" s="1"/>
  <c r="M41" i="17"/>
  <c r="M12" i="17" s="1"/>
  <c r="M36" i="17"/>
  <c r="M7" i="17" s="1"/>
  <c r="M39" i="17"/>
  <c r="M10" i="17" s="1"/>
  <c r="M51" i="17"/>
  <c r="M22" i="17" s="1"/>
  <c r="M47" i="17"/>
  <c r="M18" i="17" s="1"/>
  <c r="M50" i="17"/>
  <c r="M21" i="17" s="1"/>
  <c r="M49" i="17"/>
  <c r="M20" i="17" s="1"/>
  <c r="M54" i="17"/>
  <c r="M25" i="17" s="1"/>
  <c r="M35" i="17"/>
  <c r="M6" i="17" s="1"/>
  <c r="M52" i="17"/>
  <c r="M23" i="17" s="1"/>
  <c r="M37" i="17"/>
  <c r="M8" i="17" s="1"/>
  <c r="M42" i="17"/>
  <c r="M13" i="17" s="1"/>
  <c r="M38" i="17"/>
  <c r="M9" i="17" s="1"/>
  <c r="F93" i="33"/>
  <c r="P76" i="33"/>
  <c r="P85" i="33"/>
  <c r="F78" i="33"/>
  <c r="Q10" i="8"/>
  <c r="AD48" i="8" s="1"/>
  <c r="DB7" i="33"/>
  <c r="Q7" i="8"/>
  <c r="AD42" i="8" s="1"/>
  <c r="O1867" i="25"/>
  <c r="P1867" i="25" s="1"/>
  <c r="CV66" i="34" s="1"/>
  <c r="CU60" i="34"/>
  <c r="CT62" i="34" s="1"/>
  <c r="DJ36" i="2"/>
  <c r="O1849" i="25"/>
  <c r="P1849" i="25" s="1"/>
  <c r="O1883" i="25" s="1"/>
  <c r="P1883" i="25" s="1"/>
  <c r="CU18" i="34"/>
  <c r="CT23" i="34" s="1"/>
  <c r="DJ18" i="2"/>
  <c r="CX19" i="34"/>
  <c r="CX24" i="34" s="1"/>
  <c r="CY26" i="33"/>
  <c r="CY59" i="33" s="1"/>
  <c r="CV49" i="34"/>
  <c r="CU56" i="34" s="1"/>
  <c r="DK33" i="2"/>
  <c r="CZ21" i="33" s="1"/>
  <c r="O1898" i="25"/>
  <c r="P1898" i="25" s="1"/>
  <c r="O1937" i="25"/>
  <c r="P1937" i="25" s="1"/>
  <c r="CX71" i="34" s="1"/>
  <c r="CX72" i="34" s="1"/>
  <c r="DL38" i="2"/>
  <c r="CW65" i="34"/>
  <c r="DK38" i="2"/>
  <c r="CV65" i="34"/>
  <c r="CU68" i="34" s="1"/>
  <c r="DA19" i="33"/>
  <c r="O1857" i="25"/>
  <c r="P1857" i="25" s="1"/>
  <c r="O1891" i="25" s="1"/>
  <c r="P1891" i="25" s="1"/>
  <c r="CU38" i="34"/>
  <c r="CT41" i="34" s="1"/>
  <c r="DJ26" i="2"/>
  <c r="DL19" i="2"/>
  <c r="DA7" i="33" s="1"/>
  <c r="DA40" i="33" s="1"/>
  <c r="CY21" i="33"/>
  <c r="CY54" i="33" s="1"/>
  <c r="CW19" i="34"/>
  <c r="CX14" i="33"/>
  <c r="CX47" i="33" s="1"/>
  <c r="CX6" i="33"/>
  <c r="CX39" i="33" s="1"/>
  <c r="F90" i="33"/>
  <c r="F83" i="33"/>
  <c r="F81" i="33"/>
  <c r="F87" i="33"/>
  <c r="DB56" i="33"/>
  <c r="F88" i="33" s="1"/>
  <c r="CX28" i="34"/>
  <c r="CX33" i="34" s="1"/>
  <c r="DM22" i="2"/>
  <c r="DB10" i="33" s="1"/>
  <c r="CX17" i="34"/>
  <c r="CX22" i="34" s="1"/>
  <c r="DM17" i="2"/>
  <c r="DB5" i="33" s="1"/>
  <c r="N43" i="17"/>
  <c r="N14" i="17" s="1"/>
  <c r="M32" i="17"/>
  <c r="M3" i="17" s="1"/>
  <c r="N38" i="17"/>
  <c r="N9" i="17" s="1"/>
  <c r="Q65" i="7"/>
  <c r="U65" i="7" s="1"/>
  <c r="T65" i="7"/>
  <c r="Q6" i="8"/>
  <c r="AD40" i="8" s="1"/>
  <c r="CU22" i="34"/>
  <c r="CU33" i="34"/>
  <c r="T66" i="7"/>
  <c r="Q66" i="7"/>
  <c r="U66" i="7" s="1"/>
  <c r="CW28" i="34"/>
  <c r="DL22" i="2"/>
  <c r="DA10" i="33" s="1"/>
  <c r="DA43" i="33" s="1"/>
  <c r="CW17" i="34"/>
  <c r="DL17" i="2"/>
  <c r="DA5" i="33" s="1"/>
  <c r="DA38" i="33" s="1"/>
  <c r="CV57" i="34"/>
  <c r="CW71" i="34"/>
  <c r="DL41" i="2"/>
  <c r="DA30" i="33" s="1"/>
  <c r="P93" i="33"/>
  <c r="DK21" i="2"/>
  <c r="CZ9" i="33" s="1"/>
  <c r="DK24" i="2"/>
  <c r="CZ12" i="33" s="1"/>
  <c r="O1886" i="25"/>
  <c r="P1886" i="25" s="1"/>
  <c r="O1920" i="25" s="1"/>
  <c r="P1920" i="25" s="1"/>
  <c r="DK29" i="2"/>
  <c r="DK27" i="2"/>
  <c r="CZ15" i="33" s="1"/>
  <c r="O1889" i="25"/>
  <c r="P1889" i="25" s="1"/>
  <c r="O1923" i="25" s="1"/>
  <c r="P1923" i="25" s="1"/>
  <c r="P81" i="33"/>
  <c r="CZ43" i="33"/>
  <c r="CZ38" i="33"/>
  <c r="CV27" i="34"/>
  <c r="CV39" i="34"/>
  <c r="CV30" i="34"/>
  <c r="CT72" i="34"/>
  <c r="CU72" i="34"/>
  <c r="CX12" i="33"/>
  <c r="CX45" i="33" s="1"/>
  <c r="DJ24" i="2"/>
  <c r="CU30" i="34"/>
  <c r="CY30" i="33"/>
  <c r="CY40" i="33"/>
  <c r="CU66" i="34"/>
  <c r="DJ39" i="2"/>
  <c r="CU27" i="34"/>
  <c r="DJ21" i="2"/>
  <c r="CY9" i="33" s="1"/>
  <c r="CU45" i="34"/>
  <c r="DJ29" i="2"/>
  <c r="CU39" i="34"/>
  <c r="DJ27" i="2"/>
  <c r="CT16" i="34"/>
  <c r="CS21" i="34" s="1"/>
  <c r="O1810" i="25"/>
  <c r="P1810" i="25" s="1"/>
  <c r="CS33" i="34"/>
  <c r="CT33" i="34"/>
  <c r="CS22" i="34"/>
  <c r="CT22" i="34"/>
  <c r="CX10" i="33"/>
  <c r="CX43" i="33" s="1"/>
  <c r="D1789" i="25"/>
  <c r="CX5" i="33"/>
  <c r="CX38" i="33" s="1"/>
  <c r="D1781" i="25"/>
  <c r="D1799" i="25"/>
  <c r="CW4" i="33"/>
  <c r="CW37" i="33" s="1"/>
  <c r="CX17" i="33"/>
  <c r="CX50" i="33" s="1"/>
  <c r="CX15" i="33"/>
  <c r="CX48" i="33" s="1"/>
  <c r="CX9" i="33"/>
  <c r="CX42" i="33" s="1"/>
  <c r="CX27" i="33"/>
  <c r="CX60" i="33" s="1"/>
  <c r="D1791" i="25"/>
  <c r="D1788" i="25"/>
  <c r="D1797" i="25"/>
  <c r="D1785" i="25"/>
  <c r="D1782" i="25"/>
  <c r="D1786" i="25"/>
  <c r="D1795" i="25"/>
  <c r="D1779" i="25"/>
  <c r="D1790" i="25"/>
  <c r="D1778" i="25"/>
  <c r="D1800" i="25"/>
  <c r="D1798" i="25"/>
  <c r="DI16" i="2"/>
  <c r="D1792" i="25"/>
  <c r="D1784" i="25"/>
  <c r="D1796" i="25"/>
  <c r="D1776" i="25"/>
  <c r="D1777" i="25"/>
  <c r="D1780" i="25"/>
  <c r="D1793" i="25"/>
  <c r="D1783" i="25"/>
  <c r="D1794" i="25"/>
  <c r="D1787" i="25"/>
  <c r="DM41" i="2" l="1"/>
  <c r="DB30" i="33" s="1"/>
  <c r="CV45" i="34"/>
  <c r="O1901" i="25"/>
  <c r="P1901" i="25" s="1"/>
  <c r="DK39" i="2"/>
  <c r="CZ27" i="33" s="1"/>
  <c r="N31" i="17"/>
  <c r="O30" i="17"/>
  <c r="N41" i="17"/>
  <c r="N12" i="17" s="1"/>
  <c r="N46" i="17"/>
  <c r="N17" i="17" s="1"/>
  <c r="N51" i="17"/>
  <c r="N22" i="17" s="1"/>
  <c r="N36" i="17"/>
  <c r="N7" i="17" s="1"/>
  <c r="N47" i="17"/>
  <c r="N18" i="17" s="1"/>
  <c r="N44" i="17"/>
  <c r="N15" i="17" s="1"/>
  <c r="N39" i="17"/>
  <c r="N10" i="17" s="1"/>
  <c r="N53" i="17"/>
  <c r="N24" i="17" s="1"/>
  <c r="N48" i="17"/>
  <c r="N19" i="17" s="1"/>
  <c r="N50" i="17"/>
  <c r="N21" i="17" s="1"/>
  <c r="N52" i="17"/>
  <c r="N23" i="17" s="1"/>
  <c r="N49" i="17"/>
  <c r="N20" i="17" s="1"/>
  <c r="N54" i="17"/>
  <c r="N25" i="17" s="1"/>
  <c r="N33" i="17"/>
  <c r="N4" i="17" s="1"/>
  <c r="N40" i="17"/>
  <c r="N11" i="17" s="1"/>
  <c r="N55" i="17"/>
  <c r="N26" i="17" s="1"/>
  <c r="N34" i="17"/>
  <c r="N5" i="17" s="1"/>
  <c r="G79" i="17"/>
  <c r="M2" i="17"/>
  <c r="N35" i="17"/>
  <c r="N6" i="17" s="1"/>
  <c r="CZ31" i="33"/>
  <c r="P67" i="7"/>
  <c r="T67" i="7" s="1"/>
  <c r="N37" i="17"/>
  <c r="N8" i="17" s="1"/>
  <c r="O45" i="17"/>
  <c r="O16" i="17" s="1"/>
  <c r="O55" i="17"/>
  <c r="O26" i="17" s="1"/>
  <c r="N42" i="17"/>
  <c r="N13" i="17" s="1"/>
  <c r="N45" i="17"/>
  <c r="N16" i="17" s="1"/>
  <c r="P88" i="33"/>
  <c r="CW24" i="34"/>
  <c r="CV24" i="34"/>
  <c r="CW72" i="34"/>
  <c r="CW22" i="34"/>
  <c r="DB40" i="33"/>
  <c r="F72" i="33" s="1"/>
  <c r="O1935" i="25"/>
  <c r="P1935" i="25" s="1"/>
  <c r="CW60" i="34"/>
  <c r="DL36" i="2"/>
  <c r="CX65" i="34"/>
  <c r="CX68" i="34" s="1"/>
  <c r="DM38" i="2"/>
  <c r="CY6" i="33"/>
  <c r="CY39" i="33" s="1"/>
  <c r="O34" i="17"/>
  <c r="O5" i="17" s="1"/>
  <c r="CV38" i="34"/>
  <c r="CU41" i="34" s="1"/>
  <c r="DK26" i="2"/>
  <c r="CZ26" i="33"/>
  <c r="CZ59" i="33" s="1"/>
  <c r="CV60" i="34"/>
  <c r="CU62" i="34" s="1"/>
  <c r="DK36" i="2"/>
  <c r="O1925" i="25"/>
  <c r="P1925" i="25" s="1"/>
  <c r="CX45" i="34" s="1"/>
  <c r="CX52" i="34" s="1"/>
  <c r="CW38" i="34"/>
  <c r="DL26" i="2"/>
  <c r="O1917" i="25"/>
  <c r="P1917" i="25" s="1"/>
  <c r="CX27" i="34" s="1"/>
  <c r="CX32" i="34" s="1"/>
  <c r="DL18" i="2"/>
  <c r="CW18" i="34"/>
  <c r="CW68" i="34"/>
  <c r="CV68" i="34"/>
  <c r="O1932" i="25"/>
  <c r="P1932" i="25" s="1"/>
  <c r="CW49" i="34"/>
  <c r="CV56" i="34" s="1"/>
  <c r="DL33" i="2"/>
  <c r="DK18" i="2"/>
  <c r="CV18" i="34"/>
  <c r="CU23" i="34" s="1"/>
  <c r="O42" i="17"/>
  <c r="O13" i="17" s="1"/>
  <c r="CY14" i="33"/>
  <c r="CY47" i="33" s="1"/>
  <c r="DA52" i="33"/>
  <c r="DB52" i="33"/>
  <c r="P84" i="33" s="1"/>
  <c r="DA26" i="33"/>
  <c r="CZ54" i="33"/>
  <c r="CY24" i="33"/>
  <c r="CY57" i="33" s="1"/>
  <c r="O52" i="17"/>
  <c r="O23" i="17" s="1"/>
  <c r="P69" i="7"/>
  <c r="E46" i="7" s="1"/>
  <c r="Q21" i="8"/>
  <c r="AD70" i="8" s="1"/>
  <c r="CW33" i="34"/>
  <c r="DB31" i="33"/>
  <c r="DB63" i="33"/>
  <c r="DB38" i="33"/>
  <c r="DB43" i="33"/>
  <c r="CX39" i="34"/>
  <c r="CX42" i="34" s="1"/>
  <c r="DM27" i="2"/>
  <c r="DB15" i="33" s="1"/>
  <c r="CX30" i="34"/>
  <c r="CX35" i="34" s="1"/>
  <c r="DM24" i="2"/>
  <c r="DB12" i="33" s="1"/>
  <c r="CX66" i="34"/>
  <c r="CX69" i="34" s="1"/>
  <c r="DM39" i="2"/>
  <c r="P68" i="7"/>
  <c r="Q68" i="7" s="1"/>
  <c r="U68" i="7" s="1"/>
  <c r="N32" i="17"/>
  <c r="N3" i="17" s="1"/>
  <c r="DM29" i="2"/>
  <c r="DB17" i="33" s="1"/>
  <c r="CU32" i="34"/>
  <c r="Q14" i="8"/>
  <c r="AD56" i="8" s="1"/>
  <c r="CV22" i="34"/>
  <c r="CU42" i="34"/>
  <c r="CV72" i="34"/>
  <c r="DA31" i="33"/>
  <c r="DA63" i="33"/>
  <c r="CW45" i="34"/>
  <c r="DL29" i="2"/>
  <c r="CW27" i="34"/>
  <c r="DL21" i="2"/>
  <c r="DA9" i="33" s="1"/>
  <c r="DA42" i="33" s="1"/>
  <c r="CW39" i="34"/>
  <c r="DL27" i="2"/>
  <c r="CW30" i="34"/>
  <c r="DL24" i="2"/>
  <c r="DA12" i="33" s="1"/>
  <c r="DA45" i="33" s="1"/>
  <c r="CW66" i="34"/>
  <c r="DL39" i="2"/>
  <c r="CV33" i="34"/>
  <c r="CZ17" i="33"/>
  <c r="CU69" i="34"/>
  <c r="CT32" i="34"/>
  <c r="CZ63" i="33"/>
  <c r="CZ42" i="33"/>
  <c r="DJ16" i="2"/>
  <c r="CY4" i="33" s="1"/>
  <c r="O1844" i="25"/>
  <c r="P1844" i="25" s="1"/>
  <c r="CY12" i="33"/>
  <c r="CY45" i="33" s="1"/>
  <c r="CU35" i="34"/>
  <c r="CT35" i="34"/>
  <c r="CT69" i="34"/>
  <c r="CY15" i="33"/>
  <c r="CY48" i="33" s="1"/>
  <c r="CY27" i="33"/>
  <c r="CY60" i="33" s="1"/>
  <c r="CY31" i="33"/>
  <c r="CY63" i="33"/>
  <c r="CY38" i="33"/>
  <c r="CY17" i="33"/>
  <c r="CY50" i="33" s="1"/>
  <c r="CY42" i="33"/>
  <c r="CY43" i="33"/>
  <c r="CT42" i="34"/>
  <c r="CU52" i="34"/>
  <c r="CT52" i="34"/>
  <c r="D1833" i="25"/>
  <c r="CU16" i="34"/>
  <c r="D1815" i="25"/>
  <c r="D1810" i="25"/>
  <c r="D1829" i="25"/>
  <c r="D1819" i="25"/>
  <c r="D1822" i="25"/>
  <c r="D1825" i="25"/>
  <c r="D1834" i="25"/>
  <c r="D1824" i="25"/>
  <c r="D1818" i="25"/>
  <c r="D1826" i="25"/>
  <c r="D1820" i="25"/>
  <c r="D1817" i="25"/>
  <c r="D1814" i="25"/>
  <c r="D1831" i="25"/>
  <c r="D1832" i="25"/>
  <c r="D1827" i="25"/>
  <c r="D1812" i="25"/>
  <c r="D1828" i="25"/>
  <c r="D1830" i="25"/>
  <c r="D1813" i="25"/>
  <c r="D1816" i="25"/>
  <c r="D1811" i="25"/>
  <c r="D1821" i="25"/>
  <c r="D1823" i="25"/>
  <c r="CX4" i="33"/>
  <c r="CX37" i="33" s="1"/>
  <c r="DB27" i="33" l="1"/>
  <c r="Q67" i="7"/>
  <c r="U67" i="7" s="1"/>
  <c r="DM21" i="2"/>
  <c r="DB9" i="33" s="1"/>
  <c r="O31" i="17"/>
  <c r="P30" i="17"/>
  <c r="O51" i="17"/>
  <c r="O22" i="17" s="1"/>
  <c r="O44" i="17"/>
  <c r="O15" i="17" s="1"/>
  <c r="O41" i="17"/>
  <c r="O12" i="17" s="1"/>
  <c r="O46" i="17"/>
  <c r="O17" i="17" s="1"/>
  <c r="O53" i="17"/>
  <c r="O24" i="17" s="1"/>
  <c r="O39" i="17"/>
  <c r="O10" i="17" s="1"/>
  <c r="O36" i="17"/>
  <c r="O7" i="17" s="1"/>
  <c r="O47" i="17"/>
  <c r="O18" i="17" s="1"/>
  <c r="O48" i="17"/>
  <c r="O19" i="17" s="1"/>
  <c r="O50" i="17"/>
  <c r="O21" i="17" s="1"/>
  <c r="O33" i="17"/>
  <c r="O4" i="17" s="1"/>
  <c r="O54" i="17"/>
  <c r="O25" i="17" s="1"/>
  <c r="O49" i="17"/>
  <c r="O20" i="17" s="1"/>
  <c r="O35" i="17"/>
  <c r="O6" i="17" s="1"/>
  <c r="O38" i="17"/>
  <c r="O9" i="17" s="1"/>
  <c r="O37" i="17"/>
  <c r="O8" i="17" s="1"/>
  <c r="N2" i="17"/>
  <c r="H79" i="17"/>
  <c r="O43" i="17"/>
  <c r="O14" i="17" s="1"/>
  <c r="O40" i="17"/>
  <c r="O11" i="17" s="1"/>
  <c r="Q4" i="8"/>
  <c r="AD36" i="8" s="1"/>
  <c r="CW69" i="34"/>
  <c r="CW42" i="34"/>
  <c r="P72" i="33"/>
  <c r="CV41" i="34"/>
  <c r="DA59" i="33"/>
  <c r="DA21" i="33"/>
  <c r="DA54" i="33" s="1"/>
  <c r="DA14" i="33"/>
  <c r="CV23" i="34"/>
  <c r="DA24" i="33"/>
  <c r="F84" i="33"/>
  <c r="CZ6" i="33"/>
  <c r="CZ39" i="33" s="1"/>
  <c r="P34" i="17"/>
  <c r="P5" i="17" s="1"/>
  <c r="CX49" i="34"/>
  <c r="DM33" i="2"/>
  <c r="DA6" i="33"/>
  <c r="CX38" i="34"/>
  <c r="DM26" i="2"/>
  <c r="CV62" i="34"/>
  <c r="CX18" i="34"/>
  <c r="CX23" i="34" s="1"/>
  <c r="DM18" i="2"/>
  <c r="CZ24" i="33"/>
  <c r="CZ57" i="33" s="1"/>
  <c r="CZ14" i="33"/>
  <c r="CZ47" i="33" s="1"/>
  <c r="P42" i="17"/>
  <c r="P13" i="17" s="1"/>
  <c r="DB26" i="33"/>
  <c r="DB59" i="33" s="1"/>
  <c r="P91" i="33" s="1"/>
  <c r="Q12" i="8"/>
  <c r="AD52" i="8" s="1"/>
  <c r="DM36" i="2"/>
  <c r="CX60" i="34"/>
  <c r="CX62" i="34" s="1"/>
  <c r="F75" i="33"/>
  <c r="Q69" i="7"/>
  <c r="U69" i="7" s="1"/>
  <c r="T69" i="7"/>
  <c r="CW32" i="34"/>
  <c r="F70" i="33"/>
  <c r="CW52" i="34"/>
  <c r="CW35" i="34"/>
  <c r="DB42" i="33"/>
  <c r="E74" i="33" s="1"/>
  <c r="DB45" i="33"/>
  <c r="O32" i="17"/>
  <c r="O3" i="17" s="1"/>
  <c r="T68" i="7"/>
  <c r="E47" i="7"/>
  <c r="E48" i="7" s="1"/>
  <c r="H75" i="33"/>
  <c r="Q26" i="8"/>
  <c r="AD80" i="8" s="1"/>
  <c r="CV42" i="34"/>
  <c r="CV32" i="34"/>
  <c r="Q18" i="8"/>
  <c r="AD64" i="8" s="1"/>
  <c r="DA27" i="33"/>
  <c r="DA60" i="33" s="1"/>
  <c r="Q20" i="8"/>
  <c r="AD68" i="8" s="1"/>
  <c r="DA15" i="33"/>
  <c r="DA48" i="33" s="1"/>
  <c r="Q13" i="8"/>
  <c r="AD54" i="8" s="1"/>
  <c r="DA17" i="33"/>
  <c r="DA50" i="33" s="1"/>
  <c r="CV69" i="34"/>
  <c r="CV52" i="34"/>
  <c r="CV35" i="34"/>
  <c r="DK16" i="2"/>
  <c r="CZ4" i="33" s="1"/>
  <c r="CZ37" i="33" s="1"/>
  <c r="O1878" i="25"/>
  <c r="P1878" i="25" s="1"/>
  <c r="O1912" i="25" s="1"/>
  <c r="P1912" i="25" s="1"/>
  <c r="CZ45" i="33"/>
  <c r="CZ60" i="33"/>
  <c r="CZ50" i="33"/>
  <c r="CZ48" i="33"/>
  <c r="CV16" i="34"/>
  <c r="D1844" i="25"/>
  <c r="D1863" i="25"/>
  <c r="D1851" i="25"/>
  <c r="D1861" i="25"/>
  <c r="D1860" i="25"/>
  <c r="D1854" i="25"/>
  <c r="D1853" i="25"/>
  <c r="D1856" i="25"/>
  <c r="D1866" i="25"/>
  <c r="D1858" i="25"/>
  <c r="D1868" i="25"/>
  <c r="D1846" i="25"/>
  <c r="D1848" i="25"/>
  <c r="D1865" i="25"/>
  <c r="D1859" i="25"/>
  <c r="D1864" i="25"/>
  <c r="D1847" i="25"/>
  <c r="D1862" i="25"/>
  <c r="D1850" i="25"/>
  <c r="D1845" i="25"/>
  <c r="D1857" i="25"/>
  <c r="D1849" i="25"/>
  <c r="D1855" i="25"/>
  <c r="D1852" i="25"/>
  <c r="D1867" i="25"/>
  <c r="P70" i="33"/>
  <c r="H70" i="33"/>
  <c r="I70" i="33"/>
  <c r="E70" i="33"/>
  <c r="T75" i="33"/>
  <c r="T70" i="33"/>
  <c r="E75" i="33"/>
  <c r="P75" i="33"/>
  <c r="I75" i="33"/>
  <c r="CY37" i="33"/>
  <c r="I88" i="33"/>
  <c r="G78" i="33"/>
  <c r="G86" i="33"/>
  <c r="H83" i="33"/>
  <c r="T93" i="33"/>
  <c r="O85" i="33"/>
  <c r="G82" i="33"/>
  <c r="I73" i="33"/>
  <c r="G84" i="33"/>
  <c r="G74" i="33"/>
  <c r="E81" i="33"/>
  <c r="I87" i="33"/>
  <c r="O89" i="33"/>
  <c r="O73" i="33"/>
  <c r="E94" i="33"/>
  <c r="H78" i="33"/>
  <c r="E95" i="33"/>
  <c r="G92" i="33"/>
  <c r="P95" i="33"/>
  <c r="O70" i="33"/>
  <c r="G89" i="33"/>
  <c r="G94" i="33"/>
  <c r="G90" i="33"/>
  <c r="G71" i="33"/>
  <c r="T85" i="33"/>
  <c r="I72" i="33"/>
  <c r="O88" i="33"/>
  <c r="H93" i="33"/>
  <c r="I95" i="33"/>
  <c r="G73" i="33"/>
  <c r="H94" i="33"/>
  <c r="H72" i="33"/>
  <c r="H87" i="33"/>
  <c r="O81" i="33"/>
  <c r="E78" i="33"/>
  <c r="T84" i="33"/>
  <c r="O77" i="33"/>
  <c r="O83" i="33"/>
  <c r="G75" i="33"/>
  <c r="H81" i="33"/>
  <c r="I84" i="33"/>
  <c r="E85" i="33"/>
  <c r="O80" i="33"/>
  <c r="O91" i="33"/>
  <c r="G76" i="33"/>
  <c r="H73" i="33"/>
  <c r="I83" i="33"/>
  <c r="T83" i="33"/>
  <c r="T90" i="33"/>
  <c r="E84" i="33"/>
  <c r="O92" i="33"/>
  <c r="E93" i="33"/>
  <c r="F95" i="33"/>
  <c r="I81" i="33"/>
  <c r="G80" i="33"/>
  <c r="E73" i="33"/>
  <c r="G88" i="33"/>
  <c r="O71" i="33"/>
  <c r="T76" i="33"/>
  <c r="O95" i="33"/>
  <c r="O84" i="33"/>
  <c r="T87" i="33"/>
  <c r="G77" i="33"/>
  <c r="O74" i="33"/>
  <c r="O72" i="33"/>
  <c r="G87" i="33"/>
  <c r="G81" i="33"/>
  <c r="H85" i="33"/>
  <c r="I76" i="33"/>
  <c r="O93" i="33"/>
  <c r="O69" i="33"/>
  <c r="T81" i="33"/>
  <c r="G91" i="33"/>
  <c r="H88" i="33"/>
  <c r="E90" i="33"/>
  <c r="T78" i="33"/>
  <c r="O78" i="33"/>
  <c r="O79" i="33"/>
  <c r="E87" i="33"/>
  <c r="G79" i="33"/>
  <c r="I78" i="33"/>
  <c r="H95" i="33"/>
  <c r="G69" i="33"/>
  <c r="T72" i="33"/>
  <c r="O75" i="33"/>
  <c r="O76" i="33"/>
  <c r="I93" i="33"/>
  <c r="T88" i="33"/>
  <c r="H84" i="33"/>
  <c r="O86" i="33"/>
  <c r="G93" i="33"/>
  <c r="O87" i="33"/>
  <c r="I94" i="33"/>
  <c r="E76" i="33"/>
  <c r="E83" i="33"/>
  <c r="H76" i="33"/>
  <c r="O82" i="33"/>
  <c r="G72" i="33"/>
  <c r="I85" i="33"/>
  <c r="I90" i="33"/>
  <c r="G85" i="33"/>
  <c r="H90" i="33"/>
  <c r="T73" i="33"/>
  <c r="O90" i="33"/>
  <c r="G83" i="33"/>
  <c r="E88" i="33"/>
  <c r="G95" i="33"/>
  <c r="G70" i="33"/>
  <c r="E72" i="33"/>
  <c r="E32" i="33"/>
  <c r="V8" i="7" s="1"/>
  <c r="V9" i="7" s="1"/>
  <c r="V10" i="7" s="1"/>
  <c r="V11" i="7" s="1"/>
  <c r="V12" i="7" s="1"/>
  <c r="V13" i="7" s="1"/>
  <c r="V14" i="7" s="1"/>
  <c r="V15" i="7" s="1"/>
  <c r="V16" i="7" s="1"/>
  <c r="V17" i="7" s="1"/>
  <c r="V18" i="7" s="1"/>
  <c r="V19" i="7" s="1"/>
  <c r="V20" i="7" s="1"/>
  <c r="V21" i="7" s="1"/>
  <c r="V22" i="7" s="1"/>
  <c r="V23" i="7" s="1"/>
  <c r="V24" i="7" s="1"/>
  <c r="V25" i="7" s="1"/>
  <c r="V26" i="7" s="1"/>
  <c r="V27" i="7" s="1"/>
  <c r="V28" i="7" s="1"/>
  <c r="V29" i="7" s="1"/>
  <c r="V30" i="7" s="1"/>
  <c r="V31" i="7" s="1"/>
  <c r="V32" i="7" s="1"/>
  <c r="V33" i="7" s="1"/>
  <c r="V34" i="7" s="1"/>
  <c r="V35" i="7" s="1"/>
  <c r="V36" i="7" s="1"/>
  <c r="V37" i="7" s="1"/>
  <c r="V38" i="7" s="1"/>
  <c r="V39" i="7" s="1"/>
  <c r="V40" i="7" s="1"/>
  <c r="V41" i="7" s="1"/>
  <c r="V42" i="7" s="1"/>
  <c r="V43" i="7" s="1"/>
  <c r="V44" i="7" s="1"/>
  <c r="V45" i="7" s="1"/>
  <c r="V46" i="7" s="1"/>
  <c r="V47" i="7" s="1"/>
  <c r="V48" i="7" s="1"/>
  <c r="V49" i="7" s="1"/>
  <c r="V50" i="7" s="1"/>
  <c r="V51" i="7" s="1"/>
  <c r="V52" i="7" s="1"/>
  <c r="V53" i="7" s="1"/>
  <c r="V54" i="7" s="1"/>
  <c r="V55" i="7" s="1"/>
  <c r="V56" i="7" s="1"/>
  <c r="V57" i="7" s="1"/>
  <c r="V58" i="7" s="1"/>
  <c r="V59" i="7" s="1"/>
  <c r="V60" i="7" s="1"/>
  <c r="V61" i="7" s="1"/>
  <c r="V62" i="7" s="1"/>
  <c r="V63" i="7" s="1"/>
  <c r="V64" i="7" s="1"/>
  <c r="V65" i="7" s="1"/>
  <c r="V66" i="7" s="1"/>
  <c r="V67" i="7" s="1"/>
  <c r="V68" i="7" s="1"/>
  <c r="V69" i="7" s="1"/>
  <c r="G33" i="33"/>
  <c r="H33" i="33" s="1"/>
  <c r="I33" i="33" s="1"/>
  <c r="G34" i="33"/>
  <c r="H34" i="33" s="1"/>
  <c r="I34" i="33" s="1"/>
  <c r="CU21" i="34"/>
  <c r="CT21" i="34"/>
  <c r="K73" i="33" l="1"/>
  <c r="DA39" i="33"/>
  <c r="I91" i="33"/>
  <c r="H91" i="33"/>
  <c r="E91" i="33"/>
  <c r="J75" i="33"/>
  <c r="T91" i="33"/>
  <c r="Q30" i="17"/>
  <c r="P31" i="17"/>
  <c r="P48" i="17"/>
  <c r="P19" i="17" s="1"/>
  <c r="P51" i="17"/>
  <c r="P22" i="17" s="1"/>
  <c r="P39" i="17"/>
  <c r="P10" i="17" s="1"/>
  <c r="P44" i="17"/>
  <c r="P15" i="17" s="1"/>
  <c r="P46" i="17"/>
  <c r="P17" i="17" s="1"/>
  <c r="P36" i="17"/>
  <c r="P7" i="17" s="1"/>
  <c r="P41" i="17"/>
  <c r="P12" i="17" s="1"/>
  <c r="P53" i="17"/>
  <c r="P24" i="17" s="1"/>
  <c r="P50" i="17"/>
  <c r="P21" i="17" s="1"/>
  <c r="P35" i="17"/>
  <c r="P6" i="17" s="1"/>
  <c r="P47" i="17"/>
  <c r="P18" i="17" s="1"/>
  <c r="P38" i="17"/>
  <c r="P9" i="17" s="1"/>
  <c r="P33" i="17"/>
  <c r="P4" i="17" s="1"/>
  <c r="P43" i="17"/>
  <c r="P14" i="17" s="1"/>
  <c r="P45" i="17"/>
  <c r="P16" i="17" s="1"/>
  <c r="P55" i="17"/>
  <c r="P26" i="17" s="1"/>
  <c r="P54" i="17"/>
  <c r="P25" i="17" s="1"/>
  <c r="P40" i="17"/>
  <c r="P11" i="17" s="1"/>
  <c r="P49" i="17"/>
  <c r="P20" i="17" s="1"/>
  <c r="P37" i="17"/>
  <c r="P8" i="17" s="1"/>
  <c r="P52" i="17"/>
  <c r="P23" i="17" s="1"/>
  <c r="I79" i="17"/>
  <c r="F74" i="17"/>
  <c r="O2" i="17"/>
  <c r="P74" i="33"/>
  <c r="F74" i="33"/>
  <c r="K74" i="33" s="1"/>
  <c r="Q74" i="33" s="1"/>
  <c r="T74" i="33"/>
  <c r="H74" i="33"/>
  <c r="I74" i="33"/>
  <c r="DA57" i="33"/>
  <c r="CW62" i="34"/>
  <c r="DB14" i="33"/>
  <c r="DB47" i="33" s="1"/>
  <c r="P79" i="33" s="1"/>
  <c r="Q5" i="8"/>
  <c r="AD38" i="8" s="1"/>
  <c r="DB21" i="33"/>
  <c r="DB54" i="33" s="1"/>
  <c r="Q11" i="8"/>
  <c r="AD50" i="8" s="1"/>
  <c r="DA47" i="33"/>
  <c r="CX41" i="34"/>
  <c r="CW41" i="34"/>
  <c r="CX56" i="34"/>
  <c r="CW56" i="34"/>
  <c r="CW23" i="34"/>
  <c r="DB24" i="33"/>
  <c r="DB57" i="33" s="1"/>
  <c r="Q25" i="8"/>
  <c r="AD78" i="8" s="1"/>
  <c r="DB6" i="33"/>
  <c r="DB39" i="33" s="1"/>
  <c r="Q23" i="8"/>
  <c r="AD74" i="8" s="1"/>
  <c r="F91" i="33"/>
  <c r="P77" i="33"/>
  <c r="DB48" i="33"/>
  <c r="F80" i="33" s="1"/>
  <c r="DB60" i="33"/>
  <c r="T92" i="33" s="1"/>
  <c r="DB50" i="33"/>
  <c r="T82" i="33" s="1"/>
  <c r="CX16" i="34"/>
  <c r="CX21" i="34" s="1"/>
  <c r="DM16" i="2"/>
  <c r="P32" i="17"/>
  <c r="P3" i="17" s="1"/>
  <c r="D1912" i="25"/>
  <c r="D1922" i="25"/>
  <c r="D1929" i="25"/>
  <c r="D1927" i="25"/>
  <c r="D1916" i="25"/>
  <c r="D1914" i="25"/>
  <c r="D1926" i="25"/>
  <c r="D1934" i="25"/>
  <c r="D1921" i="25"/>
  <c r="D1928" i="25"/>
  <c r="D1919" i="25"/>
  <c r="D1933" i="25"/>
  <c r="D1936" i="25"/>
  <c r="D1931" i="25"/>
  <c r="D1924" i="25"/>
  <c r="D1915" i="25"/>
  <c r="D1930" i="25"/>
  <c r="D1932" i="25"/>
  <c r="D1918" i="25"/>
  <c r="D1913" i="25"/>
  <c r="D1923" i="25"/>
  <c r="D1917" i="25"/>
  <c r="D1920" i="25"/>
  <c r="D1935" i="25"/>
  <c r="D1925" i="25"/>
  <c r="K88" i="33"/>
  <c r="Q88" i="33" s="1"/>
  <c r="R88" i="33" s="1"/>
  <c r="I77" i="33"/>
  <c r="T77" i="33"/>
  <c r="E77" i="33"/>
  <c r="F77" i="33"/>
  <c r="H77" i="33"/>
  <c r="J77" i="33" s="1"/>
  <c r="CW16" i="34"/>
  <c r="DL16" i="2"/>
  <c r="J83" i="33"/>
  <c r="D1878" i="25"/>
  <c r="D1893" i="25"/>
  <c r="D1897" i="25"/>
  <c r="D1902" i="25"/>
  <c r="D1900" i="25"/>
  <c r="D1887" i="25"/>
  <c r="D1899" i="25"/>
  <c r="D1888" i="25"/>
  <c r="D1895" i="25"/>
  <c r="D1882" i="25"/>
  <c r="D1890" i="25"/>
  <c r="D1880" i="25"/>
  <c r="D1892" i="25"/>
  <c r="D1894" i="25"/>
  <c r="D1885" i="25"/>
  <c r="D1881" i="25"/>
  <c r="D1896" i="25"/>
  <c r="D1898" i="25"/>
  <c r="D1884" i="25"/>
  <c r="D1879" i="25"/>
  <c r="D1901" i="25"/>
  <c r="D1883" i="25"/>
  <c r="D1891" i="25"/>
  <c r="D1889" i="25"/>
  <c r="D1886" i="25"/>
  <c r="J85" i="33"/>
  <c r="J70" i="33"/>
  <c r="K72" i="33"/>
  <c r="Q72" i="33" s="1"/>
  <c r="R72" i="33" s="1"/>
  <c r="J84" i="33"/>
  <c r="K84" i="33"/>
  <c r="Q84" i="33" s="1"/>
  <c r="R84" i="33" s="1"/>
  <c r="K78" i="33"/>
  <c r="Q78" i="33" s="1"/>
  <c r="R78" i="33" s="1"/>
  <c r="J94" i="33"/>
  <c r="J74" i="33"/>
  <c r="J95" i="33"/>
  <c r="K76" i="33"/>
  <c r="Q76" i="33" s="1"/>
  <c r="R76" i="33" s="1"/>
  <c r="K87" i="33"/>
  <c r="Q87" i="33" s="1"/>
  <c r="R87" i="33" s="1"/>
  <c r="K90" i="33"/>
  <c r="Q90" i="33" s="1"/>
  <c r="R90" i="33" s="1"/>
  <c r="K75" i="33"/>
  <c r="Q75" i="33" s="1"/>
  <c r="R75" i="33" s="1"/>
  <c r="J90" i="33"/>
  <c r="J76" i="33"/>
  <c r="J73" i="33"/>
  <c r="L73" i="33" s="1"/>
  <c r="K70" i="33"/>
  <c r="Q70" i="33" s="1"/>
  <c r="R70" i="33" s="1"/>
  <c r="J81" i="33"/>
  <c r="J88" i="33"/>
  <c r="K85" i="33"/>
  <c r="J93" i="33"/>
  <c r="K95" i="33"/>
  <c r="Q95" i="33" s="1"/>
  <c r="R95" i="33" s="1"/>
  <c r="K94" i="33"/>
  <c r="K81" i="33"/>
  <c r="Q81" i="33" s="1"/>
  <c r="R81" i="33" s="1"/>
  <c r="K83" i="33"/>
  <c r="Q83" i="33" s="1"/>
  <c r="R83" i="33" s="1"/>
  <c r="K93" i="33"/>
  <c r="Q93" i="33" s="1"/>
  <c r="R93" i="33" s="1"/>
  <c r="J91" i="33"/>
  <c r="J87" i="33"/>
  <c r="J78" i="33"/>
  <c r="Q73" i="33"/>
  <c r="R73" i="33" s="1"/>
  <c r="J72" i="33"/>
  <c r="P80" i="33" l="1"/>
  <c r="H80" i="33"/>
  <c r="J80" i="33" s="1"/>
  <c r="K91" i="33"/>
  <c r="Q91" i="33" s="1"/>
  <c r="R91" i="33" s="1"/>
  <c r="I92" i="33"/>
  <c r="E80" i="33"/>
  <c r="K80" i="33" s="1"/>
  <c r="Q80" i="33" s="1"/>
  <c r="R80" i="33" s="1"/>
  <c r="T80" i="33"/>
  <c r="DB4" i="33"/>
  <c r="P39" i="2"/>
  <c r="CW21" i="34"/>
  <c r="J79" i="17"/>
  <c r="G74" i="17"/>
  <c r="P2" i="17"/>
  <c r="E92" i="33"/>
  <c r="R74" i="33"/>
  <c r="I80" i="33"/>
  <c r="Q53" i="17"/>
  <c r="Q24" i="17" s="1"/>
  <c r="R30" i="17"/>
  <c r="Q36" i="17"/>
  <c r="Q7" i="17" s="1"/>
  <c r="Q31" i="17"/>
  <c r="Q48" i="17"/>
  <c r="Q19" i="17" s="1"/>
  <c r="Q46" i="17"/>
  <c r="Q17" i="17" s="1"/>
  <c r="Q41" i="17"/>
  <c r="Q12" i="17" s="1"/>
  <c r="Q51" i="17"/>
  <c r="Q22" i="17" s="1"/>
  <c r="Q39" i="17"/>
  <c r="Q10" i="17" s="1"/>
  <c r="Q44" i="17"/>
  <c r="Q15" i="17" s="1"/>
  <c r="Q50" i="17"/>
  <c r="Q21" i="17" s="1"/>
  <c r="Q47" i="17"/>
  <c r="Q18" i="17" s="1"/>
  <c r="Q33" i="17"/>
  <c r="Q4" i="17" s="1"/>
  <c r="Q35" i="17"/>
  <c r="Q6" i="17" s="1"/>
  <c r="Q38" i="17"/>
  <c r="Q9" i="17" s="1"/>
  <c r="Q54" i="17"/>
  <c r="Q25" i="17" s="1"/>
  <c r="Q43" i="17"/>
  <c r="Q14" i="17" s="1"/>
  <c r="Q42" i="17"/>
  <c r="Q13" i="17" s="1"/>
  <c r="Q45" i="17"/>
  <c r="Q16" i="17" s="1"/>
  <c r="Q55" i="17"/>
  <c r="Q26" i="17" s="1"/>
  <c r="Q40" i="17"/>
  <c r="Q11" i="17" s="1"/>
  <c r="Q49" i="17"/>
  <c r="Q20" i="17" s="1"/>
  <c r="Q34" i="17"/>
  <c r="Q5" i="17" s="1"/>
  <c r="Q37" i="17"/>
  <c r="Q8" i="17" s="1"/>
  <c r="Q52" i="17"/>
  <c r="Q23" i="17" s="1"/>
  <c r="L88" i="33"/>
  <c r="H82" i="33"/>
  <c r="J82" i="33" s="1"/>
  <c r="P82" i="33"/>
  <c r="F89" i="33"/>
  <c r="F82" i="33"/>
  <c r="E82" i="33"/>
  <c r="I82" i="33"/>
  <c r="P86" i="33"/>
  <c r="I86" i="33"/>
  <c r="F86" i="33"/>
  <c r="H86" i="33"/>
  <c r="J86" i="33" s="1"/>
  <c r="E86" i="33"/>
  <c r="T86" i="33"/>
  <c r="I79" i="33"/>
  <c r="H79" i="33"/>
  <c r="J79" i="33" s="1"/>
  <c r="T79" i="33"/>
  <c r="E79" i="33"/>
  <c r="E89" i="33"/>
  <c r="P89" i="33"/>
  <c r="H89" i="33"/>
  <c r="J89" i="33" s="1"/>
  <c r="I89" i="33"/>
  <c r="T89" i="33"/>
  <c r="F71" i="33"/>
  <c r="P71" i="33"/>
  <c r="H71" i="33"/>
  <c r="J71" i="33" s="1"/>
  <c r="T71" i="33"/>
  <c r="I71" i="33"/>
  <c r="E71" i="33"/>
  <c r="F79" i="33"/>
  <c r="F92" i="33"/>
  <c r="H92" i="33"/>
  <c r="J92" i="33" s="1"/>
  <c r="P92" i="33"/>
  <c r="DA4" i="33"/>
  <c r="DA37" i="33" s="1"/>
  <c r="Q32" i="17"/>
  <c r="Q3" i="17" s="1"/>
  <c r="P34" i="2"/>
  <c r="P32" i="2"/>
  <c r="P40" i="2"/>
  <c r="K77" i="33"/>
  <c r="Q77" i="33" s="1"/>
  <c r="R77" i="33" s="1"/>
  <c r="P23" i="2"/>
  <c r="P36" i="2"/>
  <c r="P25" i="2"/>
  <c r="P37" i="2"/>
  <c r="P19" i="2"/>
  <c r="P26" i="2"/>
  <c r="P33" i="2"/>
  <c r="P17" i="2"/>
  <c r="P30" i="2"/>
  <c r="P28" i="2"/>
  <c r="P18" i="2"/>
  <c r="P27" i="2"/>
  <c r="P22" i="2"/>
  <c r="P24" i="2"/>
  <c r="P21" i="2"/>
  <c r="P38" i="2"/>
  <c r="P29" i="2"/>
  <c r="P31" i="2"/>
  <c r="P16" i="2"/>
  <c r="P35" i="2"/>
  <c r="Q16" i="8"/>
  <c r="R32" i="17"/>
  <c r="P20" i="2"/>
  <c r="CV21" i="34"/>
  <c r="L91" i="33"/>
  <c r="L87" i="33"/>
  <c r="L78" i="33"/>
  <c r="L72" i="33"/>
  <c r="L94" i="33"/>
  <c r="L84" i="33"/>
  <c r="L75" i="33"/>
  <c r="L83" i="33"/>
  <c r="L70" i="33"/>
  <c r="L90" i="33"/>
  <c r="L74" i="33"/>
  <c r="L95" i="33"/>
  <c r="L76" i="33"/>
  <c r="L81" i="33"/>
  <c r="L93" i="33"/>
  <c r="Q85" i="33"/>
  <c r="R85" i="33" s="1"/>
  <c r="L85" i="33"/>
  <c r="K92" i="33" l="1"/>
  <c r="Q92" i="33" s="1"/>
  <c r="R92" i="33" s="1"/>
  <c r="Q2" i="17"/>
  <c r="K79" i="17"/>
  <c r="H74" i="17"/>
  <c r="R36" i="17"/>
  <c r="R53" i="17"/>
  <c r="R44" i="17"/>
  <c r="R31" i="17"/>
  <c r="R39" i="17"/>
  <c r="R41" i="17"/>
  <c r="R51" i="17"/>
  <c r="R46" i="17"/>
  <c r="R47" i="17"/>
  <c r="R48" i="17"/>
  <c r="R50" i="17"/>
  <c r="R35" i="17"/>
  <c r="R38" i="17"/>
  <c r="R33" i="17"/>
  <c r="R43" i="17"/>
  <c r="R54" i="17"/>
  <c r="R37" i="17"/>
  <c r="R45" i="17"/>
  <c r="R55" i="17"/>
  <c r="R40" i="17"/>
  <c r="R49" i="17"/>
  <c r="R52" i="17"/>
  <c r="R34" i="17"/>
  <c r="R42" i="17"/>
  <c r="K89" i="33"/>
  <c r="Q89" i="33" s="1"/>
  <c r="R89" i="33" s="1"/>
  <c r="K82" i="33"/>
  <c r="Q82" i="33" s="1"/>
  <c r="R82" i="33" s="1"/>
  <c r="L80" i="33"/>
  <c r="K86" i="33"/>
  <c r="Q86" i="33" s="1"/>
  <c r="R86" i="33" s="1"/>
  <c r="K71" i="33"/>
  <c r="K79" i="33"/>
  <c r="B66" i="2"/>
  <c r="U32" i="17"/>
  <c r="Q1" i="8"/>
  <c r="Q2" i="8"/>
  <c r="T32" i="17"/>
  <c r="R3" i="17"/>
  <c r="T3" i="17" s="1"/>
  <c r="C66" i="2"/>
  <c r="DB37" i="33"/>
  <c r="D72" i="2"/>
  <c r="D58" i="2"/>
  <c r="D59" i="2"/>
  <c r="C67" i="2"/>
  <c r="C57" i="2"/>
  <c r="B68" i="2"/>
  <c r="B57" i="2"/>
  <c r="D68" i="2"/>
  <c r="L77" i="33"/>
  <c r="C53" i="2"/>
  <c r="AD60" i="7" s="1"/>
  <c r="AD60" i="8"/>
  <c r="C73" i="2"/>
  <c r="C62" i="2"/>
  <c r="C56" i="2"/>
  <c r="B60" i="2"/>
  <c r="B64" i="2"/>
  <c r="B53" i="2"/>
  <c r="AC60" i="7" s="1"/>
  <c r="D73" i="2"/>
  <c r="B59" i="2"/>
  <c r="D70" i="2"/>
  <c r="D56" i="2"/>
  <c r="D52" i="2"/>
  <c r="AE59" i="7" s="1"/>
  <c r="B52" i="2"/>
  <c r="AC59" i="7" s="1"/>
  <c r="B62" i="2"/>
  <c r="B73" i="2"/>
  <c r="D67" i="2"/>
  <c r="C60" i="2"/>
  <c r="C52" i="2"/>
  <c r="D76" i="2"/>
  <c r="AO59" i="7" s="1"/>
  <c r="C70" i="2"/>
  <c r="B54" i="2"/>
  <c r="AC61" i="7" s="1"/>
  <c r="B56" i="2"/>
  <c r="C55" i="2"/>
  <c r="D75" i="2"/>
  <c r="AO60" i="7" s="1"/>
  <c r="D62" i="2"/>
  <c r="B75" i="2"/>
  <c r="AM60" i="7" s="1"/>
  <c r="C64" i="2"/>
  <c r="B72" i="2"/>
  <c r="D55" i="2"/>
  <c r="D57" i="2"/>
  <c r="D60" i="2"/>
  <c r="B65" i="2"/>
  <c r="B55" i="2"/>
  <c r="B74" i="2"/>
  <c r="AM61" i="7" s="1"/>
  <c r="C71" i="2"/>
  <c r="C65" i="2"/>
  <c r="B69" i="2"/>
  <c r="B70" i="2"/>
  <c r="B63" i="2"/>
  <c r="D71" i="2"/>
  <c r="C63" i="2"/>
  <c r="C61" i="2"/>
  <c r="C74" i="2"/>
  <c r="AN61" i="7" s="1"/>
  <c r="C59" i="2"/>
  <c r="D66" i="2"/>
  <c r="D61" i="2"/>
  <c r="D74" i="2"/>
  <c r="AO61" i="7" s="1"/>
  <c r="B61" i="2"/>
  <c r="C76" i="2"/>
  <c r="AN59" i="7" s="1"/>
  <c r="B67" i="2"/>
  <c r="D63" i="2"/>
  <c r="C54" i="2"/>
  <c r="AD61" i="7" s="1"/>
  <c r="C69" i="2"/>
  <c r="D65" i="2"/>
  <c r="D53" i="2"/>
  <c r="AE60" i="7" s="1"/>
  <c r="D69" i="2"/>
  <c r="C58" i="2"/>
  <c r="C72" i="2"/>
  <c r="D64" i="2"/>
  <c r="C75" i="2"/>
  <c r="E75" i="2" s="1"/>
  <c r="D54" i="2"/>
  <c r="AE61" i="7" s="1"/>
  <c r="B76" i="2"/>
  <c r="AM59" i="7" s="1"/>
  <c r="B71" i="2"/>
  <c r="C68" i="2"/>
  <c r="B58" i="2"/>
  <c r="L92" i="33"/>
  <c r="E58" i="2" l="1"/>
  <c r="A49" i="17"/>
  <c r="A51" i="17"/>
  <c r="A36" i="17"/>
  <c r="A34" i="17"/>
  <c r="A50" i="17"/>
  <c r="A37" i="17"/>
  <c r="U3" i="17"/>
  <c r="U42" i="17"/>
  <c r="T42" i="17"/>
  <c r="R13" i="17"/>
  <c r="U40" i="17"/>
  <c r="T40" i="17"/>
  <c r="R11" i="17"/>
  <c r="R25" i="17"/>
  <c r="U54" i="17"/>
  <c r="T54" i="17"/>
  <c r="R6" i="17"/>
  <c r="T35" i="17"/>
  <c r="U35" i="17"/>
  <c r="R17" i="17"/>
  <c r="T46" i="17"/>
  <c r="U46" i="17"/>
  <c r="R2" i="17"/>
  <c r="I74" i="17"/>
  <c r="L79" i="17"/>
  <c r="A46" i="17"/>
  <c r="A43" i="17"/>
  <c r="A39" i="17"/>
  <c r="A38" i="17"/>
  <c r="A47" i="17"/>
  <c r="A40" i="17"/>
  <c r="A41" i="17"/>
  <c r="A52" i="17"/>
  <c r="U34" i="17"/>
  <c r="T34" i="17"/>
  <c r="R5" i="17"/>
  <c r="U55" i="17"/>
  <c r="R26" i="17"/>
  <c r="T55" i="17"/>
  <c r="U43" i="17"/>
  <c r="T43" i="17"/>
  <c r="R14" i="17"/>
  <c r="R21" i="17"/>
  <c r="U50" i="17"/>
  <c r="T50" i="17"/>
  <c r="T51" i="17"/>
  <c r="U51" i="17"/>
  <c r="R22" i="17"/>
  <c r="R15" i="17"/>
  <c r="T44" i="17"/>
  <c r="U44" i="17"/>
  <c r="E59" i="2"/>
  <c r="A54" i="17"/>
  <c r="A44" i="17"/>
  <c r="A48" i="17"/>
  <c r="A53" i="17"/>
  <c r="A32" i="17"/>
  <c r="R23" i="17"/>
  <c r="T52" i="17"/>
  <c r="U52" i="17"/>
  <c r="T45" i="17"/>
  <c r="U45" i="17"/>
  <c r="R16" i="17"/>
  <c r="R4" i="17"/>
  <c r="U33" i="17"/>
  <c r="T33" i="17"/>
  <c r="T48" i="17"/>
  <c r="U48" i="17"/>
  <c r="R19" i="17"/>
  <c r="U41" i="17"/>
  <c r="R12" i="17"/>
  <c r="T41" i="17"/>
  <c r="R24" i="17"/>
  <c r="U53" i="17"/>
  <c r="T53" i="17"/>
  <c r="A55" i="17"/>
  <c r="A35" i="17"/>
  <c r="A42" i="17"/>
  <c r="A33" i="17"/>
  <c r="A45" i="17"/>
  <c r="U49" i="17"/>
  <c r="T49" i="17"/>
  <c r="R20" i="17"/>
  <c r="T37" i="17"/>
  <c r="U37" i="17"/>
  <c r="R8" i="17"/>
  <c r="R9" i="17"/>
  <c r="U38" i="17"/>
  <c r="T38" i="17"/>
  <c r="T47" i="17"/>
  <c r="R18" i="17"/>
  <c r="U47" i="17"/>
  <c r="R10" i="17"/>
  <c r="T39" i="17"/>
  <c r="U39" i="17"/>
  <c r="U36" i="17"/>
  <c r="T36" i="17"/>
  <c r="R7" i="17"/>
  <c r="L89" i="33"/>
  <c r="L82" i="33"/>
  <c r="L86" i="33"/>
  <c r="E56" i="2"/>
  <c r="Q79" i="33"/>
  <c r="R79" i="33" s="1"/>
  <c r="L79" i="33"/>
  <c r="Q71" i="33"/>
  <c r="R71" i="33" s="1"/>
  <c r="L71" i="33"/>
  <c r="E72" i="2"/>
  <c r="E57" i="2"/>
  <c r="E66" i="2"/>
  <c r="E61" i="2"/>
  <c r="E68" i="2"/>
  <c r="E67" i="2"/>
  <c r="T69" i="33"/>
  <c r="P69" i="33"/>
  <c r="E69" i="33"/>
  <c r="I69" i="33"/>
  <c r="F69" i="33"/>
  <c r="H69" i="33"/>
  <c r="J69" i="33" s="1"/>
  <c r="E60" i="2"/>
  <c r="E62" i="2"/>
  <c r="E70" i="2"/>
  <c r="E63" i="2"/>
  <c r="E73" i="2"/>
  <c r="E54" i="2"/>
  <c r="E55" i="2"/>
  <c r="E76" i="2"/>
  <c r="E52" i="2"/>
  <c r="AN60" i="7"/>
  <c r="E65" i="2"/>
  <c r="AD59" i="7"/>
  <c r="E71" i="2"/>
  <c r="E64" i="2"/>
  <c r="E74" i="2"/>
  <c r="E53" i="2"/>
  <c r="E69" i="2"/>
  <c r="A15" i="17" l="1"/>
  <c r="A9" i="17"/>
  <c r="A20" i="17"/>
  <c r="A8" i="17"/>
  <c r="A12" i="17"/>
  <c r="B39" i="17"/>
  <c r="C53" i="17"/>
  <c r="C41" i="17"/>
  <c r="B46" i="17"/>
  <c r="T6" i="17"/>
  <c r="U6" i="17"/>
  <c r="T11" i="17"/>
  <c r="U11" i="17"/>
  <c r="B42" i="17"/>
  <c r="B33" i="17"/>
  <c r="B51" i="17"/>
  <c r="T14" i="17"/>
  <c r="U14" i="17"/>
  <c r="A14" i="17"/>
  <c r="U26" i="17"/>
  <c r="T26" i="17"/>
  <c r="A26" i="17"/>
  <c r="C46" i="17"/>
  <c r="C37" i="17"/>
  <c r="C32" i="17"/>
  <c r="C33" i="17"/>
  <c r="B37" i="17"/>
  <c r="B41" i="17"/>
  <c r="C48" i="17"/>
  <c r="U4" i="17"/>
  <c r="T4" i="17"/>
  <c r="C52" i="17"/>
  <c r="U22" i="17"/>
  <c r="T22" i="17"/>
  <c r="A22" i="17"/>
  <c r="C50" i="17"/>
  <c r="C43" i="17"/>
  <c r="T5" i="17"/>
  <c r="U5" i="17"/>
  <c r="T17" i="17"/>
  <c r="U17" i="17"/>
  <c r="B54" i="17"/>
  <c r="B40" i="17"/>
  <c r="C42" i="17"/>
  <c r="U7" i="17"/>
  <c r="T7" i="17"/>
  <c r="B47" i="17"/>
  <c r="U8" i="17"/>
  <c r="T8" i="17"/>
  <c r="B49" i="17"/>
  <c r="C45" i="17"/>
  <c r="U23" i="17"/>
  <c r="T23" i="17"/>
  <c r="B44" i="17"/>
  <c r="C34" i="17"/>
  <c r="B35" i="17"/>
  <c r="T25" i="17"/>
  <c r="U25" i="17"/>
  <c r="T13" i="17"/>
  <c r="U13" i="17"/>
  <c r="A4" i="17"/>
  <c r="A16" i="17"/>
  <c r="A6" i="17"/>
  <c r="A21" i="17"/>
  <c r="A23" i="17"/>
  <c r="B36" i="17"/>
  <c r="U10" i="17"/>
  <c r="T10" i="17"/>
  <c r="A10" i="17"/>
  <c r="B38" i="17"/>
  <c r="C49" i="17"/>
  <c r="U24" i="17"/>
  <c r="T24" i="17"/>
  <c r="A24" i="17"/>
  <c r="U19" i="17"/>
  <c r="T19" i="17"/>
  <c r="B45" i="17"/>
  <c r="T15" i="17"/>
  <c r="U15" i="17"/>
  <c r="B50" i="17"/>
  <c r="B43" i="17"/>
  <c r="C55" i="17"/>
  <c r="A17" i="17"/>
  <c r="A5" i="17"/>
  <c r="A25" i="17"/>
  <c r="A7" i="17"/>
  <c r="C36" i="17"/>
  <c r="C47" i="17"/>
  <c r="C38" i="17"/>
  <c r="A3" i="17"/>
  <c r="A11" i="17"/>
  <c r="A19" i="17"/>
  <c r="A18" i="17"/>
  <c r="A13" i="17"/>
  <c r="C39" i="17"/>
  <c r="U18" i="17"/>
  <c r="T18" i="17"/>
  <c r="U9" i="17"/>
  <c r="T9" i="17"/>
  <c r="U20" i="17"/>
  <c r="T20" i="17"/>
  <c r="B53" i="17"/>
  <c r="U12" i="17"/>
  <c r="T12" i="17"/>
  <c r="B48" i="17"/>
  <c r="T16" i="17"/>
  <c r="U16" i="17"/>
  <c r="B52" i="17"/>
  <c r="C44" i="17"/>
  <c r="C51" i="17"/>
  <c r="T21" i="17"/>
  <c r="U21" i="17"/>
  <c r="B55" i="17"/>
  <c r="B34" i="17"/>
  <c r="C35" i="17"/>
  <c r="C54" i="17"/>
  <c r="C40" i="17"/>
  <c r="B32" i="17"/>
  <c r="K69" i="33"/>
  <c r="B12" i="17" l="1"/>
  <c r="C18" i="17"/>
  <c r="C6" i="17"/>
  <c r="C26" i="17"/>
  <c r="C16" i="17"/>
  <c r="B9" i="17"/>
  <c r="C19" i="17"/>
  <c r="C10" i="17"/>
  <c r="B13" i="17"/>
  <c r="C5" i="17"/>
  <c r="C25" i="17"/>
  <c r="B7" i="17"/>
  <c r="B5" i="17"/>
  <c r="B22" i="17"/>
  <c r="C3" i="17"/>
  <c r="C4" i="17"/>
  <c r="C14" i="17"/>
  <c r="B6" i="17"/>
  <c r="C21" i="17"/>
  <c r="C20" i="17"/>
  <c r="B19" i="17"/>
  <c r="C24" i="17"/>
  <c r="B10" i="17"/>
  <c r="C13" i="17"/>
  <c r="C23" i="17"/>
  <c r="C8" i="17"/>
  <c r="B17" i="17"/>
  <c r="B11" i="17"/>
  <c r="B21" i="17"/>
  <c r="C12" i="17"/>
  <c r="C15" i="17"/>
  <c r="B4" i="17"/>
  <c r="B3" i="17"/>
  <c r="F59" i="17"/>
  <c r="F75" i="17" s="1"/>
  <c r="I60" i="17"/>
  <c r="I61" i="17"/>
  <c r="I59" i="17"/>
  <c r="H60" i="17"/>
  <c r="F61" i="17"/>
  <c r="F77" i="17" s="1"/>
  <c r="G60" i="17"/>
  <c r="E61" i="17"/>
  <c r="F60" i="17"/>
  <c r="F76" i="17" s="1"/>
  <c r="G61" i="17"/>
  <c r="G77" i="17" s="1"/>
  <c r="H61" i="17"/>
  <c r="E60" i="17"/>
  <c r="G59" i="17"/>
  <c r="G75" i="17" s="1"/>
  <c r="E59" i="17"/>
  <c r="H59" i="17"/>
  <c r="B16" i="17"/>
  <c r="C9" i="17"/>
  <c r="B15" i="17"/>
  <c r="B20" i="17"/>
  <c r="B18" i="17"/>
  <c r="B24" i="17"/>
  <c r="B25" i="17"/>
  <c r="B23" i="17"/>
  <c r="B8" i="17"/>
  <c r="C7" i="17"/>
  <c r="C17" i="17"/>
  <c r="C22" i="17"/>
  <c r="L66" i="17"/>
  <c r="L65" i="17"/>
  <c r="G64" i="17"/>
  <c r="J64" i="17"/>
  <c r="I66" i="17"/>
  <c r="G65" i="17"/>
  <c r="I64" i="17"/>
  <c r="I65" i="17"/>
  <c r="H66" i="17"/>
  <c r="H64" i="17"/>
  <c r="J65" i="17"/>
  <c r="F65" i="17"/>
  <c r="F81" i="17" s="1"/>
  <c r="L64" i="17"/>
  <c r="F64" i="17"/>
  <c r="F80" i="17" s="1"/>
  <c r="E66" i="17"/>
  <c r="G66" i="17"/>
  <c r="K64" i="17"/>
  <c r="H65" i="17"/>
  <c r="F66" i="17"/>
  <c r="F82" i="17" s="1"/>
  <c r="J66" i="17"/>
  <c r="K65" i="17"/>
  <c r="E65" i="17"/>
  <c r="E64" i="17"/>
  <c r="K66" i="17"/>
  <c r="B26" i="17"/>
  <c r="B14" i="17"/>
  <c r="C11" i="17"/>
  <c r="Q69" i="33"/>
  <c r="R69" i="33" s="1"/>
  <c r="L69" i="33"/>
  <c r="H81" i="17" l="1"/>
  <c r="G81" i="17"/>
  <c r="K81" i="17"/>
  <c r="L81" i="17"/>
  <c r="C81" i="17" s="1"/>
  <c r="H82" i="17"/>
  <c r="I82" i="17"/>
  <c r="L82" i="17"/>
  <c r="C82" i="17" s="1"/>
  <c r="E82" i="17" s="1"/>
  <c r="K82" i="17"/>
  <c r="J82" i="17"/>
  <c r="G82" i="17"/>
  <c r="H77" i="17"/>
  <c r="I77" i="17"/>
  <c r="C77" i="17" s="1"/>
  <c r="E77" i="17" s="1"/>
  <c r="H76" i="17"/>
  <c r="K80" i="17"/>
  <c r="I75" i="17"/>
  <c r="C75" i="17" s="1"/>
  <c r="E75" i="17" s="1"/>
  <c r="J80" i="17"/>
  <c r="H80" i="17"/>
  <c r="E81" i="17"/>
  <c r="L80" i="17"/>
  <c r="C80" i="17" s="1"/>
  <c r="E80" i="17" s="1"/>
  <c r="I81" i="17"/>
  <c r="H75" i="17"/>
  <c r="G76" i="17"/>
  <c r="J81" i="17"/>
  <c r="I80" i="17"/>
  <c r="G80" i="17"/>
  <c r="I76" i="17"/>
  <c r="C76" i="17" s="1"/>
  <c r="E76" i="17" s="1"/>
  <c r="M75" i="33"/>
  <c r="M83" i="33"/>
  <c r="M78" i="33"/>
  <c r="M84" i="33"/>
  <c r="M73" i="33"/>
  <c r="M91" i="33"/>
  <c r="M87" i="33"/>
  <c r="M72" i="33"/>
  <c r="M89" i="33"/>
  <c r="M95" i="33"/>
  <c r="M79" i="33"/>
  <c r="M88" i="33"/>
  <c r="M80" i="33"/>
  <c r="M77" i="33"/>
  <c r="M90" i="33"/>
  <c r="M71" i="33"/>
  <c r="M86" i="33"/>
  <c r="M69" i="33"/>
  <c r="M74" i="33"/>
  <c r="M85" i="33"/>
  <c r="M81" i="33"/>
  <c r="M70" i="33"/>
  <c r="M93" i="33"/>
  <c r="M92" i="33"/>
  <c r="M76" i="33"/>
  <c r="M82" i="33"/>
  <c r="F104" i="33" l="1"/>
  <c r="E104" i="33"/>
  <c r="E131" i="33" s="1"/>
  <c r="E174" i="33" s="1"/>
  <c r="H124" i="33"/>
  <c r="F100" i="33"/>
  <c r="D110" i="33"/>
  <c r="D106" i="33"/>
  <c r="H105" i="33"/>
  <c r="G112" i="33"/>
  <c r="H106" i="33"/>
  <c r="D102" i="33"/>
  <c r="F113" i="33"/>
  <c r="G102" i="33"/>
  <c r="E118" i="33"/>
  <c r="E145" i="33" s="1"/>
  <c r="E160" i="33" s="1"/>
  <c r="H112" i="33"/>
  <c r="F121" i="33"/>
  <c r="G121" i="33"/>
  <c r="D107" i="33"/>
  <c r="E102" i="33"/>
  <c r="E129" i="33" s="1"/>
  <c r="E176" i="33" s="1"/>
  <c r="F116" i="33"/>
  <c r="E106" i="33"/>
  <c r="E133" i="33" s="1"/>
  <c r="E172" i="33" s="1"/>
  <c r="E122" i="33"/>
  <c r="E149" i="33" s="1"/>
  <c r="E156" i="33" s="1"/>
  <c r="F111" i="33"/>
  <c r="D118" i="33"/>
  <c r="D103" i="33"/>
  <c r="E100" i="33"/>
  <c r="E127" i="33" s="1"/>
  <c r="E178" i="33" s="1"/>
  <c r="D104" i="33"/>
  <c r="H104" i="33"/>
  <c r="G113" i="33"/>
  <c r="F102" i="33"/>
  <c r="G119" i="33"/>
  <c r="H122" i="33"/>
  <c r="F101" i="33"/>
  <c r="G103" i="33"/>
  <c r="F122" i="33"/>
  <c r="F112" i="33"/>
  <c r="H103" i="33"/>
  <c r="F119" i="33"/>
  <c r="E108" i="33"/>
  <c r="E135" i="33" s="1"/>
  <c r="E170" i="33" s="1"/>
  <c r="G115" i="33"/>
  <c r="E111" i="33"/>
  <c r="E138" i="33" s="1"/>
  <c r="E167" i="33" s="1"/>
  <c r="H101" i="33"/>
  <c r="D100" i="33"/>
  <c r="D109" i="33"/>
  <c r="E113" i="33"/>
  <c r="E140" i="33" s="1"/>
  <c r="E165" i="33" s="1"/>
  <c r="D120" i="33"/>
  <c r="D111" i="33"/>
  <c r="G117" i="33"/>
  <c r="H114" i="33"/>
  <c r="D119" i="33"/>
  <c r="H123" i="33"/>
  <c r="H115" i="33"/>
  <c r="G122" i="33"/>
  <c r="H110" i="33"/>
  <c r="F103" i="33"/>
  <c r="G109" i="33"/>
  <c r="H117" i="33"/>
  <c r="D116" i="33"/>
  <c r="F123" i="33"/>
  <c r="D105" i="33"/>
  <c r="G118" i="33"/>
  <c r="G105" i="33"/>
  <c r="G123" i="33"/>
  <c r="G120" i="33"/>
  <c r="E101" i="33"/>
  <c r="E128" i="33" s="1"/>
  <c r="E177" i="33" s="1"/>
  <c r="D122" i="33"/>
  <c r="E120" i="33"/>
  <c r="E147" i="33" s="1"/>
  <c r="E158" i="33" s="1"/>
  <c r="H102" i="33"/>
  <c r="D114" i="33"/>
  <c r="E109" i="33"/>
  <c r="E136" i="33" s="1"/>
  <c r="E169" i="33" s="1"/>
  <c r="H116" i="33"/>
  <c r="G116" i="33"/>
  <c r="D121" i="33"/>
  <c r="D124" i="33"/>
  <c r="F109" i="33"/>
  <c r="F105" i="33"/>
  <c r="E119" i="33"/>
  <c r="E146" i="33" s="1"/>
  <c r="E159" i="33" s="1"/>
  <c r="G110" i="33"/>
  <c r="D101" i="33"/>
  <c r="E110" i="33"/>
  <c r="E137" i="33" s="1"/>
  <c r="E168" i="33" s="1"/>
  <c r="E105" i="33"/>
  <c r="E132" i="33" s="1"/>
  <c r="E173" i="33" s="1"/>
  <c r="H119" i="33"/>
  <c r="H109" i="33"/>
  <c r="E112" i="33"/>
  <c r="E139" i="33" s="1"/>
  <c r="E166" i="33" s="1"/>
  <c r="D108" i="33"/>
  <c r="H120" i="33"/>
  <c r="D123" i="33"/>
  <c r="F114" i="33"/>
  <c r="H107" i="33"/>
  <c r="E123" i="33"/>
  <c r="E150" i="33" s="1"/>
  <c r="E155" i="33" s="1"/>
  <c r="G106" i="33"/>
  <c r="G107" i="33"/>
  <c r="H111" i="33"/>
  <c r="F120" i="33"/>
  <c r="F110" i="33"/>
  <c r="E117" i="33"/>
  <c r="E144" i="33" s="1"/>
  <c r="E161" i="33" s="1"/>
  <c r="E115" i="33"/>
  <c r="E142" i="33" s="1"/>
  <c r="E163" i="33" s="1"/>
  <c r="D117" i="33"/>
  <c r="E114" i="33"/>
  <c r="E141" i="33" s="1"/>
  <c r="E164" i="33" s="1"/>
  <c r="F117" i="33"/>
  <c r="G100" i="33"/>
  <c r="F108" i="33"/>
  <c r="F115" i="33"/>
  <c r="G108" i="33"/>
  <c r="H108" i="33"/>
  <c r="G114" i="33"/>
  <c r="H113" i="33"/>
  <c r="H100" i="33"/>
  <c r="F106" i="33"/>
  <c r="E121" i="33"/>
  <c r="E148" i="33" s="1"/>
  <c r="E157" i="33" s="1"/>
  <c r="F118" i="33"/>
  <c r="G104" i="33"/>
  <c r="E116" i="33"/>
  <c r="E143" i="33" s="1"/>
  <c r="E162" i="33" s="1"/>
  <c r="D112" i="33"/>
  <c r="F107" i="33"/>
  <c r="H118" i="33"/>
  <c r="G101" i="33"/>
  <c r="G124" i="33"/>
  <c r="D115" i="33"/>
  <c r="F124" i="33"/>
  <c r="E124" i="33"/>
  <c r="E151" i="33" s="1"/>
  <c r="E154" i="33" s="1"/>
  <c r="D113" i="33"/>
  <c r="E107" i="33"/>
  <c r="E134" i="33" s="1"/>
  <c r="E171" i="33" s="1"/>
  <c r="G111" i="33"/>
  <c r="H121" i="33"/>
  <c r="E103" i="33"/>
  <c r="E130" i="33" s="1"/>
  <c r="E175" i="33" s="1"/>
  <c r="D135" i="33" l="1"/>
  <c r="D170" i="33" s="1"/>
  <c r="J108" i="33"/>
  <c r="I108" i="33"/>
  <c r="I121" i="33"/>
  <c r="D148" i="33"/>
  <c r="D157" i="33" s="1"/>
  <c r="J121" i="33"/>
  <c r="D141" i="33"/>
  <c r="D164" i="33" s="1"/>
  <c r="J114" i="33"/>
  <c r="I114" i="33"/>
  <c r="I103" i="33"/>
  <c r="J103" i="33"/>
  <c r="D130" i="33"/>
  <c r="D175" i="33" s="1"/>
  <c r="I105" i="33"/>
  <c r="J105" i="33"/>
  <c r="D132" i="33"/>
  <c r="D173" i="33" s="1"/>
  <c r="J109" i="33"/>
  <c r="I109" i="33"/>
  <c r="D136" i="33"/>
  <c r="D169" i="33" s="1"/>
  <c r="D145" i="33"/>
  <c r="D160" i="33" s="1"/>
  <c r="J118" i="33"/>
  <c r="I118" i="33"/>
  <c r="D142" i="33"/>
  <c r="D163" i="33" s="1"/>
  <c r="J115" i="33"/>
  <c r="I115" i="33"/>
  <c r="I123" i="33"/>
  <c r="J123" i="33"/>
  <c r="D150" i="33"/>
  <c r="D155" i="33" s="1"/>
  <c r="J101" i="33"/>
  <c r="D128" i="33"/>
  <c r="D177" i="33" s="1"/>
  <c r="I101" i="33"/>
  <c r="J111" i="33"/>
  <c r="I111" i="33"/>
  <c r="D138" i="33"/>
  <c r="D167" i="33" s="1"/>
  <c r="D127" i="33"/>
  <c r="D178" i="33" s="1"/>
  <c r="I100" i="33"/>
  <c r="J100" i="33"/>
  <c r="D131" i="33"/>
  <c r="D174" i="33" s="1"/>
  <c r="I104" i="33"/>
  <c r="J104" i="33"/>
  <c r="J102" i="33"/>
  <c r="D129" i="33"/>
  <c r="D176" i="33" s="1"/>
  <c r="I102" i="33"/>
  <c r="D133" i="33"/>
  <c r="D172" i="33" s="1"/>
  <c r="I106" i="33"/>
  <c r="J106" i="33"/>
  <c r="I113" i="33"/>
  <c r="D140" i="33"/>
  <c r="D165" i="33" s="1"/>
  <c r="J113" i="33"/>
  <c r="J112" i="33"/>
  <c r="I112" i="33"/>
  <c r="D139" i="33"/>
  <c r="D166" i="33" s="1"/>
  <c r="D144" i="33"/>
  <c r="D161" i="33" s="1"/>
  <c r="I117" i="33"/>
  <c r="J117" i="33"/>
  <c r="J124" i="33"/>
  <c r="D151" i="33"/>
  <c r="D154" i="33" s="1"/>
  <c r="I124" i="33"/>
  <c r="I122" i="33"/>
  <c r="D149" i="33"/>
  <c r="D156" i="33" s="1"/>
  <c r="J122" i="33"/>
  <c r="D143" i="33"/>
  <c r="D162" i="33" s="1"/>
  <c r="J116" i="33"/>
  <c r="I116" i="33"/>
  <c r="D146" i="33"/>
  <c r="D159" i="33" s="1"/>
  <c r="J119" i="33"/>
  <c r="I119" i="33"/>
  <c r="D147" i="33"/>
  <c r="D158" i="33" s="1"/>
  <c r="I120" i="33"/>
  <c r="J120" i="33"/>
  <c r="D134" i="33"/>
  <c r="D171" i="33" s="1"/>
  <c r="J107" i="33"/>
  <c r="I107" i="33"/>
  <c r="J110" i="33"/>
  <c r="I110" i="33"/>
  <c r="D137" i="33"/>
  <c r="D168" i="33" s="1"/>
</calcChain>
</file>

<file path=xl/sharedStrings.xml><?xml version="1.0" encoding="utf-8"?>
<sst xmlns="http://schemas.openxmlformats.org/spreadsheetml/2006/main" count="59735" uniqueCount="2829">
  <si>
    <t>Malware:Compared to the previous month the unmitigated threat to you from malware (any/all types) is:</t>
  </si>
  <si>
    <t>Intrusion pressure:Compared to the previous month the rate of intrusion attempts into your corporate network is:</t>
  </si>
  <si>
    <t>Internet-facing applications:If you use Internet-facing customer applications the frequency of attacks to them when compared to the previous month is:</t>
  </si>
  <si>
    <t>Counterparties:Compared to last month the rate at which risk is coming to you by way of your business' counterparties is:</t>
  </si>
  <si>
    <t>Insider threat:Compared to the previous month the probability that you are at risk from a malicious insider is:</t>
  </si>
  <si>
    <t>Nation-state threat:Compared to the previous month the degree to which you are a plausible target for nation-state actors is:</t>
  </si>
  <si>
    <t>Industrial espionage:Compared to last month the likelihood that there exist attacks explicitly targeting economically valuable data within your organi</t>
  </si>
  <si>
    <t>Non-monetary threat:Compared to last month your exposure to politically or ideologically motivated activity (whether local or abroad) is:</t>
  </si>
  <si>
    <t>Your defenses:With respect to the adequacy of your defenses - Compared to a month ago is the addressable percentage of threats you CANNOT actively defend against:</t>
  </si>
  <si>
    <t>Your defenses:With respect to the adequacy of your defenses - Compared to a month ago is the rate of failure against actively defended threats:</t>
  </si>
  <si>
    <t>Information sharing:Compared to a month ago the extent of actionable information sharing by other firms besides your own about their threat strat</t>
  </si>
  <si>
    <t>Media and public perception:Compared to the previous month the public and media perception of the quality of cybersecurity in your industrial sector i</t>
  </si>
  <si>
    <t>Overall:Compared to a month ago true cyber INSECURITY in the aggregate is:</t>
  </si>
  <si>
    <t>Personal:As an individual user of information technology and the public Internet the risk you take on by way of your online transactions in the aggreg</t>
  </si>
  <si>
    <t>Complete</t>
  </si>
  <si>
    <t>Registered user</t>
  </si>
  <si>
    <t>Static</t>
  </si>
  <si>
    <t>Rising</t>
  </si>
  <si>
    <t>Falling</t>
  </si>
  <si>
    <t>Rising fast</t>
  </si>
  <si>
    <t>Deteriorating</t>
  </si>
  <si>
    <t>Improving</t>
  </si>
  <si>
    <t>Deteriorating fast</t>
  </si>
  <si>
    <t>Falling fast</t>
  </si>
  <si>
    <t>Improving fast</t>
  </si>
  <si>
    <t>A</t>
  </si>
  <si>
    <t>B</t>
  </si>
  <si>
    <t>C</t>
  </si>
  <si>
    <t>Total</t>
  </si>
  <si>
    <t>Question Score</t>
  </si>
  <si>
    <t>Question</t>
  </si>
  <si>
    <t>Index of Cyber Security - Computation</t>
  </si>
  <si>
    <t>1. Replace each response with its numerical calibration (eg, Falling Fast = -20% etc)</t>
  </si>
  <si>
    <t xml:space="preserve">2. For each question, add up these individual numerical responses based upon responses received.  </t>
  </si>
  <si>
    <t>3. Divide the number in 2 above by number of responses to get an average for the question.  This is the average 'Question Score' below.</t>
  </si>
  <si>
    <t>Sub-index</t>
  </si>
  <si>
    <t>6. Index going up means threat is up (ie bad).  Index going down means threat is down (ie good).</t>
  </si>
  <si>
    <t>Malware: Unmitigated threat from malware</t>
  </si>
  <si>
    <t xml:space="preserve">Intrusion pressure: Rate of intrusion attempts </t>
  </si>
  <si>
    <t>Internet-facing applications: Frequency of attacks</t>
  </si>
  <si>
    <t>Counterparties: Risk by way of counterparties</t>
  </si>
  <si>
    <t>Insider threat: Malicious insider</t>
  </si>
  <si>
    <t>Nation-state threat: Target for nation-state actors</t>
  </si>
  <si>
    <t>Industrial espionage: Explicitly targeting  data</t>
  </si>
  <si>
    <t>Non-monetary threat: Politically/ideological activity</t>
  </si>
  <si>
    <t>Your defenses: Percentage threats CANNOT defend</t>
  </si>
  <si>
    <t>Your defenses: Failure rate against defended threats</t>
  </si>
  <si>
    <t>Information sharing: By other firms</t>
  </si>
  <si>
    <t xml:space="preserve">Media and public perception: Quality of cybersecurity </t>
  </si>
  <si>
    <t>Overall: Cyber INSECURITY in the aggregate</t>
  </si>
  <si>
    <t>Personal: Risk by way of your online transactions</t>
  </si>
  <si>
    <t>Regulatory costs:Compared to the previous month the total organizational cost of dealing with cybersecurity regulation is: - Americas</t>
  </si>
  <si>
    <t>Regulatory costs:Compared to the previous month the total organizational cost of dealing with cybersecurity regulation is: - European Union</t>
  </si>
  <si>
    <t>Regulatory costs:Compared to the previous month the total organizational cost of dealing with cybersecurity regulation is: - Rest of the World</t>
  </si>
  <si>
    <t>Governmental and regulatory support:Compared to the previous month the value of the information and support in the field of cybersecurity that you are getting from the government and regulators is: - Americas</t>
  </si>
  <si>
    <t>Governmental and regulatory support:Compared to the previous month the value of the information and support in the field of cybersecurity that you are getting from the government and regulators is: - European Union</t>
  </si>
  <si>
    <t>Governmental and regulatory support:Compared to the previous month the value of the information and support in the field of cybersecurity that you are getting from the government and regulators is: - Rest of the world</t>
  </si>
  <si>
    <t>Regulatory costs: Americas</t>
  </si>
  <si>
    <t>Regulatory costs: European Union</t>
  </si>
  <si>
    <t>Regulatory costs: Rest of the World</t>
  </si>
  <si>
    <t>Govt &amp; regulatory support: Americas</t>
  </si>
  <si>
    <t>Govt &amp; regulatory support: European Union</t>
  </si>
  <si>
    <t>Govt &amp; regulatory support: Rest of the World</t>
  </si>
  <si>
    <t>D</t>
  </si>
  <si>
    <t>Exact question for reference</t>
  </si>
  <si>
    <t>5. Calculate the index as equal to Prior_Index_Value*e^(S_currentmonth)</t>
  </si>
  <si>
    <t>4. Multiply each question score with the question's weight and add these products to get the net survey score (this is S_currentmonth)</t>
  </si>
  <si>
    <t>Mar</t>
  </si>
  <si>
    <t>Apr</t>
  </si>
  <si>
    <t>May</t>
  </si>
  <si>
    <t>Jun-11</t>
  </si>
  <si>
    <t>Mar-11</t>
  </si>
  <si>
    <t>Apr-11</t>
  </si>
  <si>
    <t>May-11</t>
  </si>
  <si>
    <t>Jun</t>
  </si>
  <si>
    <t>Jul-11</t>
  </si>
  <si>
    <t>Jul</t>
  </si>
  <si>
    <t>Aug-11</t>
  </si>
  <si>
    <t>Aug</t>
  </si>
  <si>
    <t>Current month</t>
  </si>
  <si>
    <t>Previous month</t>
  </si>
  <si>
    <t>% change</t>
  </si>
  <si>
    <t>Rank</t>
  </si>
  <si>
    <t>Sub Index</t>
  </si>
  <si>
    <t>Sep-11</t>
  </si>
  <si>
    <t>Sep</t>
  </si>
  <si>
    <t>Oct-11</t>
  </si>
  <si>
    <t>Oct</t>
  </si>
  <si>
    <t>Nov-11</t>
  </si>
  <si>
    <t>Index Value</t>
  </si>
  <si>
    <t>Month over month rate of change (continuously compounded)</t>
  </si>
  <si>
    <t>Nov</t>
  </si>
  <si>
    <t>Dec-11</t>
  </si>
  <si>
    <t>Jan-12</t>
  </si>
  <si>
    <t>Dec 2011</t>
  </si>
  <si>
    <t>Jan 2012</t>
  </si>
  <si>
    <t>Feb-12</t>
  </si>
  <si>
    <t>Feb</t>
  </si>
  <si>
    <t>Mar-12</t>
  </si>
  <si>
    <t>Perception improving fast</t>
  </si>
  <si>
    <t>Perception improving</t>
  </si>
  <si>
    <t>Perception static</t>
  </si>
  <si>
    <t>Perception deteriorating</t>
  </si>
  <si>
    <t>Perception deteriorating fast</t>
  </si>
  <si>
    <t>Diffusion index</t>
  </si>
  <si>
    <t>ICS Sub Index</t>
  </si>
  <si>
    <t>Diffusion Index*</t>
  </si>
  <si>
    <t>* The 'diffusion index' calculation relates to responses for the month, and is calculated as the the percentage of responses indicating a worsening perception plus half of the static responses.  A value of 50 indicates no change in perception, a value above 50 indicates a worsening of the perception, and a value below 50 indicates an improvement.</t>
  </si>
  <si>
    <t>Rate of change</t>
  </si>
  <si>
    <t>Top three risk perceptions relate to:</t>
  </si>
  <si>
    <t xml:space="preserve">Current </t>
  </si>
  <si>
    <t>Previous</t>
  </si>
  <si>
    <t>The three most positive risk perceptions:</t>
  </si>
  <si>
    <t>Sub index value</t>
  </si>
  <si>
    <t>- Not Applicable -</t>
  </si>
  <si>
    <t>Apr-12</t>
  </si>
  <si>
    <t>Fastest rising risks during the month</t>
  </si>
  <si>
    <t>% inc</t>
  </si>
  <si>
    <t>Sub-index Value</t>
  </si>
  <si>
    <t>May-12</t>
  </si>
  <si>
    <t>Old question-long</t>
  </si>
  <si>
    <t>Old question-short</t>
  </si>
  <si>
    <t>New question-long</t>
  </si>
  <si>
    <t>New question-short</t>
  </si>
  <si>
    <t>1. Attack actors:Compared to last month the threat to your organization from the following actors has: - Insider threat: In your view the risk from malicious insiders (with both opportunity and motivation)</t>
  </si>
  <si>
    <t>1. Attack actors:Compared to last month the threat to your organization from the following actors has: - Strategic rivals: The likelihood that there exist attacks explicitly targeting economically valuable data within your organization</t>
  </si>
  <si>
    <t>1. Attack actors:Compared to last month the threat to your organization from the following actors has: - Activists/hacktivists: Your exposure to politically or ideologically motivated activity (whether local or abroad)</t>
  </si>
  <si>
    <t>1. Attack actors:Compared to last month the threat to your organization from the following actors has: - Criminals: The threat to your organization from criminally motivated attackers</t>
  </si>
  <si>
    <t>2. Weapons:Compared to last month the threat from the following attack paths has: - Botnets</t>
  </si>
  <si>
    <t>2. Weapons:Compared to last month the threat from the following attack paths has: - Mass malware</t>
  </si>
  <si>
    <t>2. Weapons:Compared to last month the threat from the following attack paths has: - Vulnerability exploitation</t>
  </si>
  <si>
    <t>2. Weapons:Compared to last month the threat from the following attack paths has: - Phishing &amp; social engineering</t>
  </si>
  <si>
    <t>2. Weapons:Compared to last month the threat from the following attack paths has: - Attacks customized to your organization</t>
  </si>
  <si>
    <t>3. Effect desired by attackers: Compared to last month the risk from attack motivations listed below has: - Data theft (Confidentiality)</t>
  </si>
  <si>
    <t>3. Effect desired by attackers: Compared to last month the risk from attack motivations listed below has: - Data modification (Integrity)</t>
  </si>
  <si>
    <t>3. Effect desired by attackers: Compared to last month the risk from attack motivations listed below has: - Business disruption (Availability)</t>
  </si>
  <si>
    <t>4. Attack targets:Compared to last month the risk via the following targets for your organization has: - Web facing applications</t>
  </si>
  <si>
    <t>4. Attack targets:Compared to last month the risk via the following targets for your organization has: - Internet exposed devices and appliances</t>
  </si>
  <si>
    <t>4. Attack targets:Compared to last month the risk via the following targets for your organization has: - End point desktops</t>
  </si>
  <si>
    <t>4. Attack targets:Compared to last month the risk via the following targets for your organization has: - Mobile devices</t>
  </si>
  <si>
    <t>4. Attack targets:Compared to last month the risk via the following targets for your organization has: - Public infrastructures you rely upon (including cloud)</t>
  </si>
  <si>
    <t>5. Defenses:Compared to last month what is your view of: - Vulnerability of available defenses to known threats</t>
  </si>
  <si>
    <t>5. Defenses:Compared to last month what is your view of: - Vulnerability of available defenses to UNKNOWN threats</t>
  </si>
  <si>
    <t>6. Overall perceptions:Compared to last month what is your view of: - Media and public perception of cyber risks affecting the general populace</t>
  </si>
  <si>
    <t>6. Overall perceptions:Compared to last month what is your view of: - Your personal risk from online activity including commerce</t>
  </si>
  <si>
    <t>6. Overall perceptions:Compared to last month what is your view of: - Information sharing in your industry or region</t>
  </si>
  <si>
    <t>QUESTION OF THE MONTH - RESOURCING AND FUNDING(This question is optional and does not contribute to the Index calculation.  This question will change each month depending upon matters of topical interest suggested by respondents.) Given the current threat environment the relative ease of obtaining funding and resourcing for cyber security threats from your organization's senior leadership has: - (This month when compared to the recent past and not just the previous month)</t>
  </si>
  <si>
    <t>Your perspective: Please provide any comments perspectives or opinions on matters that we are not capturing or which require further explanation</t>
  </si>
  <si>
    <t>Risen</t>
  </si>
  <si>
    <t>Fallen</t>
  </si>
  <si>
    <t>Risen fast</t>
  </si>
  <si>
    <t>Fallen fast</t>
  </si>
  <si>
    <t>Attackers: Insider threat</t>
  </si>
  <si>
    <t>Attackers: Strategic rivals</t>
  </si>
  <si>
    <t>Attackers: Activist/hacktivists</t>
  </si>
  <si>
    <t>Attackers: Criminals</t>
  </si>
  <si>
    <t>Attackers: Nation states</t>
  </si>
  <si>
    <t>Weapons: Botnets</t>
  </si>
  <si>
    <t>Weapons: Mass malware</t>
  </si>
  <si>
    <t>Weapons: Vulnerability exploitation</t>
  </si>
  <si>
    <t>Weapons: Phishing/social engineering</t>
  </si>
  <si>
    <t>Weapons: Customized to target</t>
  </si>
  <si>
    <t>Effect desired: Data theft</t>
  </si>
  <si>
    <t>Effect desired: Data modification</t>
  </si>
  <si>
    <t>Effect desired: Business disruption</t>
  </si>
  <si>
    <t>Target: Web facing applications</t>
  </si>
  <si>
    <t>Target: Internet exposed devices/appliances</t>
  </si>
  <si>
    <t>Target: End points</t>
  </si>
  <si>
    <t>Target: Mobile devices</t>
  </si>
  <si>
    <t>Target: Public infrastructure/cloud</t>
  </si>
  <si>
    <t>Defenses: Vulnerability to known threats</t>
  </si>
  <si>
    <t>Defenses: Vulnerability to unknown threats</t>
  </si>
  <si>
    <t>Overall: Media &amp; public perception</t>
  </si>
  <si>
    <t>Overall: Personal risk</t>
  </si>
  <si>
    <t>Overall: Information sharing</t>
  </si>
  <si>
    <t>Question of the month</t>
  </si>
  <si>
    <t>Unmapped</t>
  </si>
  <si>
    <t>New questionnaire</t>
  </si>
  <si>
    <t>Old questionnaire</t>
  </si>
  <si>
    <t>MAPPING:</t>
  </si>
  <si>
    <t>Target: Counterparties</t>
  </si>
  <si>
    <t>Old series</t>
  </si>
  <si>
    <t>New series</t>
  </si>
  <si>
    <t>Best risks</t>
  </si>
  <si>
    <t>Dec 2012</t>
  </si>
  <si>
    <t>Jan 2013</t>
  </si>
  <si>
    <t>4. Attack targets:Compared to last month the risk via the following targets for your organization has: - Third parties (counterparties vendors partners etc) who have rightful access to your data</t>
  </si>
  <si>
    <t>Jun-12</t>
  </si>
  <si>
    <r>
      <t>The distribution of responses received, ordered by the month's diffusion index</t>
    </r>
    <r>
      <rPr>
        <b/>
        <vertAlign val="superscript"/>
        <sz val="12"/>
        <color theme="1"/>
        <rFont val="Arial Narrow"/>
        <family val="2"/>
      </rPr>
      <t>*</t>
    </r>
    <r>
      <rPr>
        <b/>
        <sz val="12"/>
        <color theme="1"/>
        <rFont val="Arial Narrow"/>
        <family val="2"/>
      </rPr>
      <t xml:space="preserve"> for the month</t>
    </r>
  </si>
  <si>
    <t>Jul-12</t>
  </si>
  <si>
    <t>Your perspective: Please provide any comments perspectives or opinions on matters that we are not capturing or which require further explanation</t>
  </si>
  <si>
    <t>Aug-12</t>
  </si>
  <si>
    <t>Sep-12</t>
  </si>
  <si>
    <t>Oct-12</t>
  </si>
  <si>
    <t>Nov-12</t>
  </si>
  <si>
    <t>Dec-12</t>
  </si>
  <si>
    <t>Jan-13</t>
  </si>
  <si>
    <t>Feb-13</t>
  </si>
  <si>
    <t>Mar-13</t>
  </si>
  <si>
    <t xml:space="preserve"> </t>
  </si>
  <si>
    <t>Apr-13</t>
  </si>
  <si>
    <t>Good &lt;------(numerical calibration)-------&gt;Bad</t>
  </si>
  <si>
    <t>Rank-gross</t>
  </si>
  <si>
    <t>Current month:</t>
  </si>
  <si>
    <t>Actual Sub-Index Values:</t>
  </si>
  <si>
    <t>May-13</t>
  </si>
  <si>
    <t>Dec 2013</t>
  </si>
  <si>
    <t>Jan 2014</t>
  </si>
  <si>
    <t>Jun-13</t>
  </si>
  <si>
    <t>4. Attack targets:Compared to last month the risk via the following targets for your organization has: - Network-connected but autonomous devices (collectively known as the â€œInternet of Thingsâ€)</t>
  </si>
  <si>
    <t>6. Overall perceptions:Compared to last month what is your view of: - Ability to detect false digital claims of identity when received by/presented to machines/functions for which you are responsible</t>
  </si>
  <si>
    <t>Target: Autonomous network connected devices</t>
  </si>
  <si>
    <t>Overall: False claims of digital identity</t>
  </si>
  <si>
    <t>Jul-13</t>
  </si>
  <si>
    <t>1. Attack actors:Compared to last month the threat to your organization from the following actors has: - Nation-states: The degree to which you are a target for nation-state actors (including state owned enterprises or groups)</t>
  </si>
  <si>
    <t>Aug-13</t>
  </si>
  <si>
    <t>Sep-13</t>
  </si>
  <si>
    <t>Oct-13</t>
  </si>
  <si>
    <t>Nov-13</t>
  </si>
  <si>
    <t>Δ 3 mos</t>
  </si>
  <si>
    <t>3 mo rank</t>
  </si>
  <si>
    <t>Δ 6 mos</t>
  </si>
  <si>
    <t>6 mo rank</t>
  </si>
  <si>
    <t>Top Trending: 3 months</t>
  </si>
  <si>
    <t>Top Trending: 6 months</t>
  </si>
  <si>
    <t>Restated, considering 12 months ago = 100</t>
  </si>
  <si>
    <t>Dec-13</t>
  </si>
  <si>
    <t>Jan-14</t>
  </si>
  <si>
    <t>Feb-14</t>
  </si>
  <si>
    <t>Mar-14</t>
  </si>
  <si>
    <t>Apr-14</t>
  </si>
  <si>
    <t>May-14</t>
  </si>
  <si>
    <t>Jun-14</t>
  </si>
  <si>
    <t>Jul-14</t>
  </si>
  <si>
    <t>Aug-14</t>
  </si>
  <si>
    <t>Sep-14</t>
  </si>
  <si>
    <t>Oct-14</t>
  </si>
  <si>
    <t>Nov-14</t>
  </si>
  <si>
    <t xml:space="preserve">QUESTION OF THE MONTH: CYBER RISKS = GAME OVER?(This question is optional and does not contribute to the Index calculation. This question will change </t>
  </si>
  <si>
    <t>1490 2015-02-27 21:22:34</t>
  </si>
  <si>
    <t>ICS Survey February 2015</t>
  </si>
  <si>
    <t>1489 2015-02-27 20:55:26</t>
  </si>
  <si>
    <t>Cyber risks are very real for our organization: there are attacks large enough to would jeopardize our continued existence;</t>
  </si>
  <si>
    <t>Cyber risks are now very visible at the board level, and we will see demands on corporate cyber security programs continue to increase as more companies are damaged. What is more interesting is how the public / private aspect will play out. Corporate cyber security teams are today on the front lines of nation state battles. Is that a realistic expectation?</t>
  </si>
  <si>
    <t>1488 2015-02-27 20:10:13</t>
  </si>
  <si>
    <t>1487 2015-02-27 19:24:45</t>
  </si>
  <si>
    <t>1486 2015-02-27 17:37:51</t>
  </si>
  <si>
    <t>I don't have my own anti-aircraft weapons systems in front of my data center to defend from physical attacks, but I need the equivilent on the wire to defend against cyber attacks.  How is this good status quo?</t>
  </si>
  <si>
    <t>1485 2015-02-27 16:31:28</t>
  </si>
  <si>
    <t>Cyber risks are a major threat: Our P&amp;L would undoubtedly suffer, but we would be back to normal within the year;</t>
  </si>
  <si>
    <t>1484 2015-02-27 16:11:03</t>
  </si>
  <si>
    <t>Cyber risks are just short of being existential threats: we would be stung badly and our franchise might suffer, perhaps for years, but we would survive;</t>
  </si>
  <si>
    <t>1483 2015-02-27 16:07:04</t>
  </si>
  <si>
    <t>1482 2015-02-27 16:03:37</t>
  </si>
  <si>
    <t>1481 2015-02-27 13:24:18</t>
  </si>
  <si>
    <t>1480 2015-02-27 01:21:14</t>
  </si>
  <si>
    <t>We're a university so we don't really have ""P</t>
  </si>
  <si>
    <t>1479 2015-02-27 01:09:34</t>
  </si>
  <si>
    <t>1478 2015-02-26 23:17:29</t>
  </si>
  <si>
    <t>public sector entities cant go out of business , unless closed by the government, so P</t>
  </si>
  <si>
    <t>1477 2015-02-26 23:01:18</t>
  </si>
  <si>
    <t>If you work in this field long enough in the right community, I believe it can change your outlook on what just might be possible. Such is the case with the Equation Group, yet another purportedly western group outed by Kaspersky researchers. The details into what this group was capable of (that we know of publicly) can easily take us further down the rabbit hole. When you look at the challenges our current security measures face in light of these discoveries, it's hard to fathom that we will develop solutions both sophisticated and efficient enough to combat, let alone identify this type of threat.</t>
  </si>
  <si>
    <t>1476 2015-02-26 19:33:14</t>
  </si>
  <si>
    <t>1475 2015-02-26 16:56:34</t>
  </si>
  <si>
    <t>1474 2015-02-26 16:49:25</t>
  </si>
  <si>
    <t>1473 2015-02-26 16:45:58</t>
  </si>
  <si>
    <t>1472 2015-02-26 12:46:06</t>
  </si>
  <si>
    <t>1471 2015-02-26 00:10:53</t>
  </si>
  <si>
    <t>1470 2015-02-25 22:14:20</t>
  </si>
  <si>
    <t>1469 2015-02-24 20:22:29</t>
  </si>
  <si>
    <t>1468 2015-02-24 15:29:43</t>
  </si>
  <si>
    <t>1467 2015-02-23 21:17:25</t>
  </si>
  <si>
    <t>1466 2015-02-23 19:08:20</t>
  </si>
  <si>
    <t>1465 2015-02-23 16:59:42</t>
  </si>
  <si>
    <t xml:space="preserve">Qualys recently disclosed a flaw, known as GHOST, within the Linux operating system. The exploit that Qualys could demonstrate a proof-of-concept was on EXIM (a MTA that fewer systems use). NVD agreed with Qualys to rank the CVSS at 10.0 a few days later. Rapid7 and Tenable don't agree on the severity. Qualys withholds the exploit and keeps calling customers to buy their solution. The cybersecurity industry and government must come up a standard to rank a risk objectively. </t>
  </si>
  <si>
    <t>1464 2015-02-23 16:06:35</t>
  </si>
  <si>
    <t>1463 2015-02-23 15:13:09</t>
  </si>
  <si>
    <t>Cyber risks are a minor threat: An annoyance, but a part of the cost of doing business;</t>
  </si>
  <si>
    <t>1462 2015-02-23 14:39:54</t>
  </si>
  <si>
    <t>Cyber risks are very real for our organization: there are attacks large enough to would jeopardize our continued existence;Cyber risks are a major threat: Our P&amp;L would undoubtedly suffer, but we would be back to normal within the year;</t>
  </si>
  <si>
    <t>1461 2015-02-23 14:11:19</t>
  </si>
  <si>
    <t>1460 2015-02-23 11:29:39</t>
  </si>
  <si>
    <t>1459 2015-02-23 10:43:30</t>
  </si>
  <si>
    <t>1458 2015-02-22 16:32:41</t>
  </si>
  <si>
    <t>The Anthem breach is a call to action fo all health care insurance companies.</t>
  </si>
  <si>
    <t>1457 2015-02-22 03:29:23</t>
  </si>
  <si>
    <t>1456 2015-02-22 00:57:28</t>
  </si>
  <si>
    <t>1455 2015-02-21 16:22:58</t>
  </si>
  <si>
    <t>1454 2015-02-21 15:56:42</t>
  </si>
  <si>
    <t>1453 2015-02-21 14:50:01</t>
  </si>
  <si>
    <t>Jan '15</t>
  </si>
  <si>
    <t>Dec '14</t>
  </si>
  <si>
    <t>Period</t>
  </si>
  <si>
    <t>Total Index</t>
  </si>
  <si>
    <t>Col # in raw data</t>
  </si>
  <si>
    <t>Q per raw data</t>
  </si>
  <si>
    <t>Inc as exponent</t>
  </si>
  <si>
    <t>Previous value</t>
  </si>
  <si>
    <t>New value</t>
  </si>
  <si>
    <t>QUESTION OF THE MONTH - SECURITY LEGISLATION(This question is optional and does not contribute to the Index calculation. This question will change eac</t>
  </si>
  <si>
    <t>1451 2015-01-28 22:05:06</t>
  </si>
  <si>
    <t>ICS Survey January 2015</t>
  </si>
  <si>
    <t>Regulation for breach notifications is required to protect consumers, but information sharing should not be mandated,  and penal provisions are only likely to be misused against victims and the good guys.;</t>
  </si>
  <si>
    <t>1450 2015-01-28 10:20:57</t>
  </si>
  <si>
    <t>1449 2015-01-27 23:33:25</t>
  </si>
  <si>
    <t>1448 2015-01-27 22:26:05</t>
  </si>
  <si>
    <t xml:space="preserve">Who cares if they are forced to admit breaches that can increasingly be detected with increasing automation by industry, if the incompetents are always held non-liable for any damage it causes consumers? These clowns would think twice about storing and abusing and neglecting personal data if they were liable for all damages subsequent mishandling. Let's start with the 'credit reporting' bureaus.   If they mandate reporting to the ISACs, they might as just as well mandate delivery of beer for all the good it will do them with these outfits. Data sharing on the style of REN-ISAC/CIF (the DOT EDU crowd) and APWG (Industry, broadly writ) are the model of the future and it looks a lot like the past, namely the Hansas of the 9th-14th century (commissioning piracy event maps) and post-double-helix Western and Japanese science ministries (GeneBank establishment).   Dan, we have to talk about this: NSF needs to step up and help bring cybercrime research from folklorish development stage to maturity as a discipline and the first step in that enterprise is establishment of well-defined (as in rationally characterized and broadly understood) corpora.   Forcing data exchange will not get you where you want to go - disciplinary stature for cybercrime research is the objective that will get you the structured resources you want and need for all manner of cyber forensic and cyber defense applications.      Dan, you by a phone or a Skype client this week? </t>
  </si>
  <si>
    <t>1447 2015-01-27 18:29:43</t>
  </si>
  <si>
    <t>Regulation is unhelpful on principle, let the markets sort this out for consumers and companies.;</t>
  </si>
  <si>
    <t>1446 2015-01-27 15:47:39</t>
  </si>
  <si>
    <t>The shift from disruption to destruction in cyberattacks is concerning. The Sony breach and the attack on a German steel mill to overheat their furnaces are examples of the future of cyberattacks.</t>
  </si>
  <si>
    <t>1445 2015-01-27 14:58:41</t>
  </si>
  <si>
    <t>1444 2015-01-27 14:55:29</t>
  </si>
  <si>
    <t>1443 2015-01-27 13:11:45</t>
  </si>
  <si>
    <t>Something else [please explain] (Yes to Standardize breach notification Yes to indemnity with information sharing somehow we need to put more cyber bad guys in jail for deterrence);</t>
  </si>
  <si>
    <t>We certainly need to consolidate the 47 or so different state breach disclosure laws. Also information sharing is really important to get broader view, it is successful now within some industries, though most organization wouldn't know how to ingest threat data into their defenses.  Cyber crime is attractive because of low probability of getting caught.  I'm not sure ""tougher"" penalties is the answer, we really need better coordination to catch them, and reduce their effectiveness.</t>
  </si>
  <si>
    <t>1442 2015-01-27 09:26:28</t>
  </si>
  <si>
    <t>1441 2015-01-27 07:57:37</t>
  </si>
  <si>
    <t>1440 2015-01-26 23:19:32</t>
  </si>
  <si>
    <t>1439 2015-01-26 20:34:50</t>
  </si>
  <si>
    <t xml:space="preserve">The proposed cyber security legislation is so poorly conceived, particularly around the penalties and law enforcement portions, that one wonders whether any industry professionals were consulted. If they were, their words were misconstrued. This has the hallmarks of a ""War on ____"" program, with just as many unintended consequences. Hopefully this portion of the agenda fails to launch. </t>
  </si>
  <si>
    <t>1438 2015-01-26 20:18:50</t>
  </si>
  <si>
    <t>Something else [please explain] (Assistance can be valuable in all 3 but in a measured way.  The choices are not nuanced enough to reflect what is really needed.);</t>
  </si>
  <si>
    <t>1437 2015-01-26 17:34:47</t>
  </si>
  <si>
    <t>1436 2015-01-26 16:34:47</t>
  </si>
  <si>
    <t>Regulation is needed for breach notifications and information sharing, but more criminalization of any computer security activity will only increase billable hours for lawyers.;</t>
  </si>
  <si>
    <t>1435 2015-01-26 14:05:11</t>
  </si>
  <si>
    <t>1434 2015-01-26 07:12:23</t>
  </si>
  <si>
    <t>1433 2015-01-26 05:30:55</t>
  </si>
  <si>
    <t>The situation is a market failure.  It is beyond redemption by companies and consumers alone, the state has to step in and supervise everything.;</t>
  </si>
  <si>
    <t>1432 2015-01-26 02:43:39</t>
  </si>
  <si>
    <t>1431 2015-01-26 02:00:09</t>
  </si>
  <si>
    <t>1430 2015-01-25 23:21:34</t>
  </si>
  <si>
    <t>Regulation is unhelpful on principle, let the markets sort this out for consumers and companies.;Regulation for breach notifications is required to protect consumers, but information sharing should not be mandated,  and penal provisions are only likely to be misused against victims and the good guys.;</t>
  </si>
  <si>
    <t xml:space="preserve">Obama is spewing bullshit as usual. No substance to legislation. Benefiting government contractors and consultants. But no real help. </t>
  </si>
  <si>
    <t>1429 2015-01-25 22:24:47</t>
  </si>
  <si>
    <t>1428 2015-01-25 20:51:04</t>
  </si>
  <si>
    <t>1427 2015-01-25 20:39:04</t>
  </si>
  <si>
    <t>1426 2015-01-25 20:26:30</t>
  </si>
  <si>
    <t>1425 2015-01-24 15:32:25</t>
  </si>
  <si>
    <t>1424 2015-01-23 15:25:44</t>
  </si>
  <si>
    <t>Regulation for breach notifications is required to protect consumers, but information sharing should not be mandated,  and penal provisions are only likely to be misused against victims and the good guys.;Something else [please explain] (Legal laws should be greatly expanded in scope definition of security liability.  They should also be written in reverse i.e. upon proof of hack from an IP that IP destination is ALLOWED to be counter hacked by the original target.);</t>
  </si>
  <si>
    <t>We are in the same world as those who face gun-violence.  Increased penalties do not deter violence, or hacking.  Specifically, in the hacking case, where such penalties cannot be applied internationally.  The answer to gun violence has always been the same since the ""wild west"", which is; get a gun and shoot back - the sheriff cannot be everywhere - and ex-post-facto prosecution will not protect you in the now.  Only you can do that.  Sadly, it is the same economic condition that spurs terrorism that similarly spurs this level of hacking; financial recourse.  With 27% unemployment - what does a talented programmer have to lose?  I am in the position of: shoot back, hack back, on a massive grass-roots level, in the corporate trenches.  20,000 network IPS attempts from PRC addresses - 200,000 probes back.</t>
  </si>
  <si>
    <t>1423 2015-01-22 18:06:21</t>
  </si>
  <si>
    <t>1422 2015-01-22 13:10:18</t>
  </si>
  <si>
    <t>1421 2015-01-22 09:54:13</t>
  </si>
  <si>
    <t>Something else [please explain] (Breach notification should not be legislated not should information sharing but increased penalties for (some) cyber crimes would be a sensible legislative response.);</t>
  </si>
  <si>
    <t>1420 2015-01-21 21:32:34</t>
  </si>
  <si>
    <t>1419 2015-01-21 19:49:14</t>
  </si>
  <si>
    <t>1418 2015-01-21 19:25:48</t>
  </si>
  <si>
    <t>Something else [please explain] (clarification of liability including for software producers);</t>
  </si>
  <si>
    <t>1417 2015-01-21 17:53:56</t>
  </si>
  <si>
    <t>1416 2015-01-21 16:50:56</t>
  </si>
  <si>
    <t>US legislative response - on anything - has been in response to specific incidents, and with seemingly little long term thought about unintended consequences.  Mandatory backdoors are ALWAYS a bad idea, good crypto is a requirement for all nation's economies, and putting sensitive records in the government's hands is a way to insure they become public.  The legislators, who were told this all in advance, will then blame the departments involved for not executing on the data protections.  It's a farce.  The fourth option, above, was a tempting answer.</t>
  </si>
  <si>
    <t>1415 2015-01-21 15:46:02</t>
  </si>
  <si>
    <t>1414 2015-01-21 15:23:19</t>
  </si>
  <si>
    <t>1413 2015-01-21 15:17:54</t>
  </si>
  <si>
    <t>Something else [please explain] (How can you regulate something that is not well understood by many?  For those on the front lines the growing sophistication of relentless attacks coupled by the complexity of defending an unending sea of new technologies consumes all available energy and resources.  Throw in a broad set of generic regulations and it will simply distract and constrain the good guys.  Iâ€™m fine with a blanket regulation for breach notification to reduce the overlapping state laws but question what is ultimately intended by the requirement for disclosure.  As for mandating information sharing the criminals will simply tunnel into all of these relationships and entities once their existence becomes public.  Some things are better left on said. As for increased penalties for cybercriminals what is wrong with the laws we already have?  Why are we overcomplicating the obvious thou shalt not trespass thou shalt not steal from thy neighbor thou shalt notâ€¦insert all remaining tenants of civilized human interaction here!  Again I say why do we keep making things so damned complicated? -anonymous);</t>
  </si>
  <si>
    <t>1412 2015-01-21 14:59:51</t>
  </si>
  <si>
    <t>1411 2015-01-21 14:29:43</t>
  </si>
  <si>
    <t>1410 2015-01-21 14:29:43</t>
  </si>
  <si>
    <t>1409 2015-01-21 14:23:54</t>
  </si>
  <si>
    <t>1408 2015-01-21 14:06:17</t>
  </si>
  <si>
    <t>QUESTION OF THE MONTH - SECURITY OUTSOURCING(This question is optional and does not contribute to the Index calculation. This question will change eac</t>
  </si>
  <si>
    <t>1406 2014-12-30 01:45:33</t>
  </si>
  <si>
    <t>ICS Survey December 2014</t>
  </si>
  <si>
    <t>Data leakage prevention;Malware protection;Regulatory compliance (Sox, SSAE16, HIPAA etc);Data privacy program;Data recovery and BCP;Other risk assessments;</t>
  </si>
  <si>
    <t>1405 2014-12-29 22:52:01</t>
  </si>
  <si>
    <t>Network penetration testing;Malware protection;Security operations center (IDS-IPS, Firewall alerts);</t>
  </si>
  <si>
    <t>1404 2014-12-29 10:48:00</t>
  </si>
  <si>
    <t>1403 2014-12-28 22:32:53</t>
  </si>
  <si>
    <t>Training and awareness program;Vulnerability management;Incident response;Network penetration testing;Security operations center (IDS-IPS, Firewall alerts);</t>
  </si>
  <si>
    <t>We see an increasingly sophisticated attacker with bumbling exfiltration techniques.  Adversaries are upping their game to smash but less so to grab.  A reflection of corporate security spending?</t>
  </si>
  <si>
    <t>1402 2014-12-28 16:11:13</t>
  </si>
  <si>
    <t>Vulnerability management;Security operations center (IDS-IPS, Firewall alerts);Log &amp; security data analysis;Data recovery and BCP;</t>
  </si>
  <si>
    <t>I am of the opinion that the defense in depth posture used for security for decades has failed, at least as employed with the tools currently available. I believe questions relating to our perception of the protective capabilities of current tools, services, and technology could be a valuable addition. Our collective inability to monitor and act upon every tidbit of valuable information, at a time where that volume of data is ever increasing, only reduces our security posture. In short, we need a positive black swan event.</t>
  </si>
  <si>
    <t>1401 2014-12-27 14:06:39</t>
  </si>
  <si>
    <t>Threat intelligence management;Application security reviews;</t>
  </si>
  <si>
    <t>1400 2014-12-27 05:14:25</t>
  </si>
  <si>
    <t>Training and awareness program;Application security reviews;Network penetration testing;</t>
  </si>
  <si>
    <t>1399 2014-12-27 01:52:55</t>
  </si>
  <si>
    <t>Network penetration testing;</t>
  </si>
  <si>
    <t>1398 2014-12-26 18:01:56</t>
  </si>
  <si>
    <t>Something else [please explain] (None. Doing so creates major risks and is not acceptable.);</t>
  </si>
  <si>
    <t>1397 2014-12-26 16:46:15</t>
  </si>
  <si>
    <t>Security operations center (IDS-IPS, Firewall alerts);Something else [please explain] (threat intelligence);</t>
  </si>
  <si>
    <t>1396 2014-12-26 15:20:48</t>
  </si>
  <si>
    <t>Training and awareness program;Security policy making;Setting configuration and security standards;Access controls and privilege management;Vulnerability management;Threat intelligence management;Incident response;Application security reviews;Network penetration testing;Exception management processes;Vendor &amp; third-party information security assessments;Data leakage prevention;Malware protection;End-point security;Regulatory compliance (Sox, SSAE16, HIPAA etc);Data privacy program;Security operations center (IDS-IPS, Firewall alerts);Log &amp; security data analysis;Data recovery and BCP;</t>
  </si>
  <si>
    <t>1395 2014-12-26 14:30:04</t>
  </si>
  <si>
    <t>Access controls and privilege management;Threat intelligence management;Incident response;Network penetration testing;Log &amp; security data analysis;Data recovery and BCP;</t>
  </si>
  <si>
    <t>1394 2014-12-26 13:47:37</t>
  </si>
  <si>
    <t>Network penetration testing;Data privacy program;</t>
  </si>
  <si>
    <t>1393 2014-12-24 22:55:30</t>
  </si>
  <si>
    <t>1392 2014-12-24 21:48:51</t>
  </si>
  <si>
    <t>1391 2014-12-24 17:11:59</t>
  </si>
  <si>
    <t>1389 2014-12-24 15:54:39</t>
  </si>
  <si>
    <t>1388 2014-12-24 15:47:11</t>
  </si>
  <si>
    <t>Application security reviews;Network penetration testing;Regulatory compliance (Sox, SSAE16, HIPAA etc);</t>
  </si>
  <si>
    <t>Third-parties are necessary for things you want to check your organization against.  Penetration testing, application security review, and audit stand out.  You do these things internally, but you should never place cards down on them without an outsider giving a second.</t>
  </si>
  <si>
    <t>1387 2014-12-24 15:46:04</t>
  </si>
  <si>
    <t>The holiday season is a great time for social engineering!</t>
  </si>
  <si>
    <t>1386 2014-12-23 23:11:03</t>
  </si>
  <si>
    <t>Something else [please explain] (All Internal);</t>
  </si>
  <si>
    <t>1385 2014-12-23 18:05:22</t>
  </si>
  <si>
    <t>Application security reviews;Network penetration testing;</t>
  </si>
  <si>
    <t>1384 2014-12-23 17:59:44</t>
  </si>
  <si>
    <t>Training and awareness program;Application security reviews;Network penetration testing;Vendor &amp; third-party information security assessments;Other risk assessments;</t>
  </si>
  <si>
    <t>Third party services are a big challenge, especially when trying to scale security operations as a business grows and headcount does not. Getting the same capability from an MSS to match home grown capability is especially difficult, as MSS providers rely on providing a standard service to all customers, but customization is needed to match tool sets and processes. MSS threat info also typically lags best of breed solution providers used in house.</t>
  </si>
  <si>
    <t>1383 2014-12-23 16:50:02</t>
  </si>
  <si>
    <t>Training and awareness program;Application security reviews;Network penetration testing;Something else [please explain] (Breach response (not the same as incident response));</t>
  </si>
  <si>
    <t>We are watching the activities relating to the Federal Trade Commission's lawsuits against breached organizations to determine the impact on the ""reasonable standard of care"" for information security. This represents an interesting force - rather than ""here is a framework, comply with it,"" the approach is ""would a reasonable person feel you were negligent."" If the ""reasonable person"" test is used, it will be much more difficult for organizations to execute against a known set of objectives.</t>
  </si>
  <si>
    <t>1382 2014-12-23 16:24:29</t>
  </si>
  <si>
    <t>Network penetration testing;Security operations center (IDS-IPS, Firewall alerts);</t>
  </si>
  <si>
    <t>1381 2014-12-23 15:34:21</t>
  </si>
  <si>
    <t>Security operations center (IDS-IPS, Firewall alerts);</t>
  </si>
  <si>
    <t>1380 2014-12-23 13:48:20</t>
  </si>
  <si>
    <t>1379 2014-12-23 01:46:23</t>
  </si>
  <si>
    <t>1378 2014-12-22 16:30:23</t>
  </si>
  <si>
    <t>Training and awareness program;Setting configuration and security standards;Threat intelligence management;Network penetration testing;Vendor &amp; third-party information security assessments;Data recovery and BCP;</t>
  </si>
  <si>
    <t>1377 2014-12-22 14:05:10</t>
  </si>
  <si>
    <t>Application security reviews;Network penetration testing;Malware protection;</t>
  </si>
  <si>
    <t>1376 2014-12-22 13:48:53</t>
  </si>
  <si>
    <t>Training and awareness program;Network penetration testing;</t>
  </si>
  <si>
    <t xml:space="preserve">The Sony Entertainment incident was unusual not in the fact that North Korea was publicly named as the aggressor, but it was the first time two issues came into the public discourse. One that Sony was actually a victim and was not portrayed as negligent in their cyber security. The second in that the media is starting to question if they should be publishing information stolen from victims during cyber attacks and disclosed by attackers.  </t>
  </si>
  <si>
    <t>1375 2014-12-22 11:39:41</t>
  </si>
  <si>
    <t xml:space="preserve">The holidays and the Sony hack are on everyone's mind. Sony in particular ushers in the era of the destructive hack. </t>
  </si>
  <si>
    <t>1374 2014-12-22 10:17:03</t>
  </si>
  <si>
    <t>Network penetration testing;Vendor &amp; third-party information security assessments;</t>
  </si>
  <si>
    <t>1373 2014-12-22 09:58:05</t>
  </si>
  <si>
    <t>Setting configuration and security standards;Vulnerability management;Threat intelligence management;Application security reviews;Network penetration testing;Malware protection;Security operations center (IDS-IPS, Firewall alerts);</t>
  </si>
  <si>
    <t>1372 2014-12-21 21:46:15</t>
  </si>
  <si>
    <t>1371 2014-12-21 19:07:46</t>
  </si>
  <si>
    <t>Sony is yet another ""wake-up call.""</t>
  </si>
  <si>
    <t>1370 2014-12-21 18:17:40</t>
  </si>
  <si>
    <t>Threat intelligence management;Incident response;Application security reviews;Data leakage prevention;Regulatory compliance (Sox, SSAE16, HIPAA etc);Data privacy program;Security operations center (IDS-IPS, Firewall alerts);Log &amp; security data analysis;</t>
  </si>
  <si>
    <t xml:space="preserve">Security outsourcing can't solve 100% of the problem. Companies still need to have in-house expertise to fill the gaps that managed security services might have met 100% of the needs. Cyber security requires ""yin and yang"" (you may refer yin to internal and yang to external; yin needs to yang inside and yang needs yin inside) to offer better protection or prevention.  </t>
  </si>
  <si>
    <t>1369 2014-12-21 17:11:53</t>
  </si>
  <si>
    <t>1368 2014-12-21 14:36:37</t>
  </si>
  <si>
    <t>Threat intelligence management;Something else [please explain] (application vul. assessments);</t>
  </si>
  <si>
    <t xml:space="preserve">The bad guys are winning and are able to gain assess to the vast majority of corporations without much difficulty.  Anything exposed directly or indirectly to the internet is vulnerable to some some extent.  Last, the Internet of Things is a huge problem (hopefully not a disaster) on the horizon. </t>
  </si>
  <si>
    <t>Rank (increase)</t>
  </si>
  <si>
    <t>Rank (absolute value)</t>
  </si>
  <si>
    <t>Calc start on the 'Calcs' sheet on row number:</t>
  </si>
  <si>
    <t>QUESTION OF THE MONTH: IS CYBER SECURITY AFFORDABLE?(This question is optional and does not contribute to the Index calculation. This question will ch</t>
  </si>
  <si>
    <t>1531 2015-03-27 23:01:22</t>
  </si>
  <si>
    <t>ICS Survey March 2015</t>
  </si>
  <si>
    <t>Our margins are too thin to do what is really needed without pushing operations into the red.;</t>
  </si>
  <si>
    <t>1530 2015-03-27 18:12:00</t>
  </si>
  <si>
    <t>1529 2015-03-27 17:11:06</t>
  </si>
  <si>
    <t>We would be a viable business -- capable of earning our cost of capital and then some.;</t>
  </si>
  <si>
    <t>1528 2015-03-27 16:41:25</t>
  </si>
  <si>
    <t>The question on whether cyber security is affordable, particularly to the degree that organizations can continue to be profitable while also being secure, may not be the right question for many organizations. I think that entities maintaining a high degree of security may differentiate themselves from their less secure peers and competitors because those who sustain a breach often lose a significant bit of IP.  That loss of that IP, whether R</t>
  </si>
  <si>
    <t>1527 2015-03-27 16:37:21</t>
  </si>
  <si>
    <t>1526 2015-03-27 16:36:36</t>
  </si>
  <si>
    <t>1525 2015-03-27 15:53:53</t>
  </si>
  <si>
    <t>We would still earn a positive profit, but not recover our cost of capital as our investors expect.;</t>
  </si>
  <si>
    <t>1524 2015-03-27 15:52:24</t>
  </si>
  <si>
    <t>1523 2015-03-27 14:07:21</t>
  </si>
  <si>
    <t>1522 2015-03-27 13:22:28</t>
  </si>
  <si>
    <t>Something else [please explain] (This is assuming it takes a lot of budget to get everything I need);</t>
  </si>
  <si>
    <t>This is a good Question this month.  I think the perception is that it ALWAYS takes a lot of money and resources to appropriately protect and organization. This depends wildly on the organization, industry, and regulatory factors, and also relative to size.  But short answer is yes, you can be viable business, not kill margins and still have strong security program.  Leveraging appropriate protections and detections, monitoring and response programs is really about prioritizing the business risks, and having structured, organized, and mature program.  Where most organizations get into budget trouble is they keep ""bolting on"" which incrementally increases expense.</t>
  </si>
  <si>
    <t>1521 2015-03-26 23:07:19</t>
  </si>
  <si>
    <t>For SaaS / Cloud Services companies, much of the cost of security is baked into achieving SOC 2, ISO 27001, and/or FedRamp compliance typically required by big customers. Most other businesses are moving towards outsourcing IT to these vendors, but need to invest in ensuring due diligence is done in contracts with third parties.</t>
  </si>
  <si>
    <t>1520 2015-03-26 22:06:01</t>
  </si>
  <si>
    <t>Something else [please explain];</t>
  </si>
  <si>
    <t>We had a state-sponsored adversary a couple of years ago, and recently a peer has reported activity that is extremely familiar, including IP addresses associated with this adversary.  Additionally, key personnel here have just returned from traveling in the country in question.  So, perceived risk is higher right now.</t>
  </si>
  <si>
    <t>1519 2015-03-26 21:47:11</t>
  </si>
  <si>
    <t>1518 2015-03-26 21:34:38</t>
  </si>
  <si>
    <t>1517 2015-03-26 20:30:10</t>
  </si>
  <si>
    <t>1516 2015-03-26 20:28:13</t>
  </si>
  <si>
    <t>1515 2015-03-26 20:04:59</t>
  </si>
  <si>
    <t>1514 2015-03-26 13:04:13</t>
  </si>
  <si>
    <t>1513 2015-03-25 19:44:28</t>
  </si>
  <si>
    <t>1512 2015-03-25 14:59:32</t>
  </si>
  <si>
    <t>1511 2015-03-25 13:39:25</t>
  </si>
  <si>
    <t>1510 2015-03-25 11:07:51</t>
  </si>
  <si>
    <t>1509 2015-03-24 23:15:30</t>
  </si>
  <si>
    <t>1508 2015-03-24 20:23:29</t>
  </si>
  <si>
    <t>Something else [please explain] (We would need to increase customer prizes which could cause customer to think about other options);</t>
  </si>
  <si>
    <t>Problem is to a need to keep asking more money for security countermeasures, even though we haven't had any breach. It's impossible to prove that nothing has happened because of previous investments.</t>
  </si>
  <si>
    <t>1507 2015-03-23 21:54:24</t>
  </si>
  <si>
    <t>1506 2015-03-23 21:22:09</t>
  </si>
  <si>
    <t>1505 2015-03-23 17:00:19</t>
  </si>
  <si>
    <t>Something else [please explain] (Profit margins would fall over time as greater expectations are layed upon us to meet the expectations associated to immunization of negligence.);</t>
  </si>
  <si>
    <t>1504 2015-03-23 16:19:55</t>
  </si>
  <si>
    <t>1503 2015-03-23 15:02:30</t>
  </si>
  <si>
    <t>1502 2015-03-23 14:50:36</t>
  </si>
  <si>
    <t>1501 2015-03-23 10:33:47</t>
  </si>
  <si>
    <t>1500 2015-03-23 09:23:42</t>
  </si>
  <si>
    <t>We would be a viable business -- capable of earning our cost of capital and then some.;Something else [please explain] (""fully immunize"" is not viable though);</t>
  </si>
  <si>
    <t>1499 2015-03-22 11:44:49</t>
  </si>
  <si>
    <t>1498 2015-03-22 01:06:53</t>
  </si>
  <si>
    <t>1497 2015-03-21 23:36:44</t>
  </si>
  <si>
    <t>1496 2015-03-21 21:58:43</t>
  </si>
  <si>
    <t>1495 2015-03-21 16:49:28</t>
  </si>
  <si>
    <t>1494 2015-03-21 15:57:24</t>
  </si>
  <si>
    <t>1493 2015-03-21 14:58:11</t>
  </si>
  <si>
    <t>1492 2015-03-21 13:36:20</t>
  </si>
  <si>
    <t>match at</t>
  </si>
  <si>
    <t>offset start</t>
  </si>
  <si>
    <t>offset finish</t>
  </si>
  <si>
    <t>= % static</t>
  </si>
  <si>
    <t>QUESTION OF THE MONTH: OFFENSE DOMINANCE(This question is optional and does not contribute to the Index calculation. This question will change each mo</t>
  </si>
  <si>
    <t>1570 2015-04-29 13:31:05</t>
  </si>
  <si>
    <t>ICS Survey April 2015</t>
  </si>
  <si>
    <t>Other perspective (please explain) (Offense continues to dominate but defense is improving significantly.);</t>
  </si>
  <si>
    <t>1569 2015-04-27 21:44:10</t>
  </si>
  <si>
    <t>Offense is dominant only as an edge condition, i.e., in the context of nation-state attackers or similarly funded and organized operation - most other attackers are hapless against the defenses of large organizations that take defense seriously.;Other perspective (please explain);</t>
  </si>
  <si>
    <t>We're under an active politically-motivated DDOS right now, so my perception of these risks is accordingly much higher.</t>
  </si>
  <si>
    <t>1568 2015-04-27 21:39:38</t>
  </si>
  <si>
    <t>"Offense dominance" is how the game is structured, and that is how it shall always be.;</t>
  </si>
  <si>
    <t>1567 2015-04-27 21:33:08</t>
  </si>
  <si>
    <t>The dominance of offense is beyond dispute, but will ultimately come under a measure of control via a balkanization of cyberspace.;</t>
  </si>
  <si>
    <t>As far as the Internet and WWW are concerned, we live in what will be considered the ""Wild West"" 20 years from now. If anything, the growing focus on IOT will likely speed up what will be the end of mass information sharing for the sake of information sharing as we know it.  Years from now we'll likely wonder why we permitted such highly-connected, public facing networks to begin with, given the inherent risk of making so much data available for broad consumption. Splinternet or cyberbalkanization is the logical course for so many systems and networks that do not need to share information so readily and at such a scale.  Today, we have to defend corporate or organizational networks that perform the equivalent of the following: - Advertise the full inventory of any and all assets; their value, location, age, color, manufacturer, etc. - List just how sensitive and important any IP is to the organization, as well as loudly announcing that all of the important information is located in a safe built of 2 gauge steel, set in 8 inches of reinforced 5000 psi concrete, in the middle of the 2nd floor of the HQ building, with a 4 number combination held only by Bob Adam and Samantha Eve; addresses and favorite colors forthcoming. - Provide the easiest methods to contact any and all people with access to said assets or IP. - Provide access to all security measures 24/7 with just short of a guided tour; this way obstacles can be ID'd, strategies to overcome them cataloged, and forensics telltales can be ignored for months or years.  How on earth could defense succeed when faced with such a well-armed offense? Need to change the scope of the fight and location of the battles so that defense and outcomes are more predictable.</t>
  </si>
  <si>
    <t>1566 2015-04-27 20:07:12</t>
  </si>
  <si>
    <t>1565 2015-04-27 16:36:21</t>
  </si>
  <si>
    <t>Offense-dominance has always been a myth, perpetuated as an excuse to cover up poor practices and general incompetence.;</t>
  </si>
  <si>
    <t>1564 2015-04-27 14:37:27</t>
  </si>
  <si>
    <t>Offense is dominant only as an edge condition, i.e., in the context of nation-state attackers or similarly funded and organized operation - most other attackers are hapless against the defenses of large organizations that take defense seriously.;</t>
  </si>
  <si>
    <t>1563 2015-04-27 13:48:00</t>
  </si>
  <si>
    <t>1562 2015-04-27 09:34:35</t>
  </si>
  <si>
    <t>Security is well modeled using Game Theory with active attackers, and security always play black.</t>
  </si>
  <si>
    <t>1561 2015-04-27 06:39:42</t>
  </si>
  <si>
    <t>1560 2015-04-26 03:01:31</t>
  </si>
  <si>
    <t>I'd alter the survey response a bit to: ""Offense dominance"" is how the game is structured, and that is how it shall always be. As we learn more, the winning ratio of the attackers ebbs and flows, but you can't stand still on the internet.</t>
  </si>
  <si>
    <t>1559 2015-04-25 21:38:36</t>
  </si>
  <si>
    <t>1558 2015-04-25 16:14:17</t>
  </si>
  <si>
    <t>Other perspective (please explain);</t>
  </si>
  <si>
    <t>1557 2015-04-24 14:48:24</t>
  </si>
  <si>
    <t>1556 2015-04-24 13:59:41</t>
  </si>
  <si>
    <t>1555 2015-04-24 13:54:14</t>
  </si>
  <si>
    <t>Offense is dominant only as an edge condition, i.e., in the context of nation-state attackers or similarly funded and organized operation - most other attackers are hapless against the defenses of large organizations that take defense seriously.;Offense-dominance has always been a myth, perpetuated as an excuse to cover up poor practices and general incompetence.;</t>
  </si>
  <si>
    <t>Offense dominance is real, but it is also handed out as the execuse why its too hard to be secure.  The problem is when an incident plays out in public is it because the defender is incompent or the attacker is competent.  Compentent defenders always stop incompent attackers, but the reverse is not true.  The best defenders who have made large investments in capablites, and measuring effectiveness and agressively testing can still get compromised. The news story reads the same.</t>
  </si>
  <si>
    <t>1554 2015-04-24 08:18:55</t>
  </si>
  <si>
    <t>"Offense dominance" is how the game is structured, and that is how it shall always be.;Offense is dominant only as an edge condition, i.e., in the context of nation-state attackers or similarly funded and organized operation - most other attackers are hapless against the defenses of large organizations that take defense seriously.;</t>
  </si>
  <si>
    <t>1553 2015-04-24 01:22:04</t>
  </si>
  <si>
    <t>1552 2015-04-24 00:00:15</t>
  </si>
  <si>
    <t>Offense may have been dominant in the past, but increasing awareness, investment, technological evolution, state policy and legal changes are leveling or will soon level the playing field for the diligent.;</t>
  </si>
  <si>
    <t>1551 2015-04-23 21:21:38</t>
  </si>
  <si>
    <t>1550 2015-04-23 19:15:13</t>
  </si>
  <si>
    <t>1549 2015-04-23 18:48:12</t>
  </si>
  <si>
    <t>1548 2015-04-23 18:44:19</t>
  </si>
  <si>
    <t>1547 2015-04-23 18:35:59</t>
  </si>
  <si>
    <t>1546 2015-04-23 18:29:16</t>
  </si>
  <si>
    <t>1545 2015-04-23 17:41:44</t>
  </si>
  <si>
    <t>1544 2015-04-23 08:15:20</t>
  </si>
  <si>
    <t>With respect to the question of the month. I think few organisations 'take defense seriously' even if they spend a lot of money or effort. I think we are fundamentally building the wrong IT in large enterprises and most of the effort and expense is a sticking plaster over the basic IT mismatch. Offense doesn't need to be dominant but we can't change the position from security, it's a business-wide but mostly IT driven decision to not change the position.</t>
  </si>
  <si>
    <t>1543 2015-04-22 18:47:30</t>
  </si>
  <si>
    <t>1542 2015-04-22 13:09:39</t>
  </si>
  <si>
    <t>1541 2015-04-22 08:19:19</t>
  </si>
  <si>
    <t>1540 2015-04-22 06:11:15</t>
  </si>
  <si>
    <t>Other perspective (please explain) (The increasing complexity is an issue for both. Also attacks become more complex with a lot of lateral movement between systems to finaly reach the attack target. Thus the opportunity to detect attackers or that one of the many attack-steps will fail is also there.);</t>
  </si>
  <si>
    <t>1539 2015-04-22 02:16:05</t>
  </si>
  <si>
    <t>1538 2015-04-21 23:31:21</t>
  </si>
  <si>
    <t>1537 2015-04-21 16:02:29</t>
  </si>
  <si>
    <t>1536 2015-04-21 13:51:13</t>
  </si>
  <si>
    <t>1535 2015-04-21 13:48:46</t>
  </si>
  <si>
    <t>Other perspective (please explain) (Defenders should employ more offense so threat actors are no longer uncontested);</t>
  </si>
  <si>
    <t>1534 2015-04-21 13:45:42</t>
  </si>
  <si>
    <t>1533 2015-04-21 13:45:05</t>
  </si>
  <si>
    <t>Offense is dominant only as an edge condition, i.e., in the context of nation-state attackers or similarly funded and organized operation - most other attackers are hapless against the defenses of large organizations that take defense seriously.;Offense may have been dominant in the past, but increasing awareness, investment, technological evolution, state policy and legal changes are leveling or will soon level the playing field for the diligent.;</t>
  </si>
  <si>
    <t>April</t>
  </si>
  <si>
    <t>QUESTION OF THE MONTH: IPv6 MIGRATION(This question is optional and does not contribute to the Index calculation. This question will change each month</t>
  </si>
  <si>
    <t>1613 2015-05-28 06:14:35</t>
  </si>
  <si>
    <t>ICS Survey May 2015</t>
  </si>
  <si>
    <t>1612 2015-05-27 21:46:06</t>
  </si>
  <si>
    <t>We will remain IPv4 internally, but offer IPv6 externally, probably with a lot of logging and periodic reevaluation of what we are seeing;</t>
  </si>
  <si>
    <t>1611 2015-05-27 21:12:50</t>
  </si>
  <si>
    <t>Something else (please explain) (we have no need at this time and do not have the resources to spare to make a deployment plan.  We will re-evaluate when we find the need to do business with someone who cannot communicate with us over IPv4. I estimate that is at least 5 years away and probably longer.);</t>
  </si>
  <si>
    <t>1610 2015-05-27 17:20:05</t>
  </si>
  <si>
    <t>This is an open question for such reasons as the inability to tunnel IPv6 over our VPN rigging, routability, the manner by which certain counterparties access some of our networks, etc.;</t>
  </si>
  <si>
    <t>1609 2015-05-27 15:19:56</t>
  </si>
  <si>
    <t>1608 2015-05-27 14:58:44</t>
  </si>
  <si>
    <t>We are not doing it, e.g., we have no need, per se, and/or our network discovery mechanisms are a core part of our security posture (we don't want an address space we can't walk);</t>
  </si>
  <si>
    <t>1607 2015-05-27 13:25:22</t>
  </si>
  <si>
    <t>1606 2015-05-27 12:40:58</t>
  </si>
  <si>
    <t>1605 2015-05-27 12:22:21</t>
  </si>
  <si>
    <t>We are not doing it, e.g., we have no need, per se, and/or our network discovery mechanisms are a core part of our security posture (we don't want an address space we can't walk);This is an open question for such reasons as the inability to tunnel IPv6 over our VPN rigging, routability, the manner by which certain counterparties access some of our networks, etc.;</t>
  </si>
  <si>
    <t>1604 2015-05-27 11:58:15</t>
  </si>
  <si>
    <t>1602 2015-05-27 11:28:01</t>
  </si>
  <si>
    <t>1601 2015-05-27 07:26:44</t>
  </si>
  <si>
    <t>1600 2015-05-26 23:55:32</t>
  </si>
  <si>
    <t>1599 2015-05-26 23:04:20</t>
  </si>
  <si>
    <t>This is an open question for such reasons as the inability to tunnel IPv6 over our VPN rigging, routability, the manner by which certain counterparties access some of our networks, etc.;Something else (please explain) (Plan is to start with ipv6-to-v4 routing at the border but no ETA on that.);</t>
  </si>
  <si>
    <t>Having a website we run get targeted for DDOS by a hacktivist group caused hactivism to pop up a bit in terms of risk assessment.</t>
  </si>
  <si>
    <t>1598 2015-05-26 22:41:53</t>
  </si>
  <si>
    <t>1597 2015-05-26 20:42:21</t>
  </si>
  <si>
    <t>1596 2015-05-26 20:23:30</t>
  </si>
  <si>
    <t>1595 2015-05-26 18:19:58</t>
  </si>
  <si>
    <t>1594 2015-05-26 14:45:14</t>
  </si>
  <si>
    <t>None at this time.</t>
  </si>
  <si>
    <t>1593 2015-05-26 14:04:49</t>
  </si>
  <si>
    <t>We are cutting over entirely and in full; it will never get easier to convert as time goes by, only harder;</t>
  </si>
  <si>
    <t>1592 2015-05-26 11:23:09</t>
  </si>
  <si>
    <t>We are not doing it, e.g., we have no need, per se, and/or our network discovery mechanisms are a core part of our security posture (we don't want an address space we can't walk);We will remain IPv4 internally, but offer IPv6 externally, probably with a lot of logging and periodic reevaluation of what we are seeing;</t>
  </si>
  <si>
    <t>1591 2015-05-25 23:48:04</t>
  </si>
  <si>
    <t>1590 2015-05-25 17:10:48</t>
  </si>
  <si>
    <t>1589 2015-05-25 17:02:39</t>
  </si>
  <si>
    <t>1588 2015-05-25 13:42:57</t>
  </si>
  <si>
    <t>1587 2015-05-25 13:26:46</t>
  </si>
  <si>
    <t>1586 2015-05-25 02:45:40</t>
  </si>
  <si>
    <t>1585 2015-05-25 01:15:29</t>
  </si>
  <si>
    <t>1584 2015-05-25 00:47:31</t>
  </si>
  <si>
    <t>1583 2015-05-24 23:47:44</t>
  </si>
  <si>
    <t>1582 2015-05-22 17:13:07</t>
  </si>
  <si>
    <t>1581 2015-05-22 15:33:21</t>
  </si>
  <si>
    <t>1580 2015-05-22 11:04:50</t>
  </si>
  <si>
    <t>1579 2015-05-21 18:41:56</t>
  </si>
  <si>
    <t>I would find it interesting to learn which percentage of respondents use various interventions such as IDS, DLP, etc.  I would also like to know whether ""state restoration"" should be a recommended intervention. Microsoft has made SteadyState, a state restoration utility, available in the past. State restoration can disrupt a penetration campaign. Done often enough, it will discourage attackers.</t>
  </si>
  <si>
    <t>1578 2015-05-21 16:42:01</t>
  </si>
  <si>
    <t>1577 2015-05-21 15:58:06</t>
  </si>
  <si>
    <t>1576 2015-05-21 15:10:10</t>
  </si>
  <si>
    <t>1575 2015-05-21 15:09:11</t>
  </si>
  <si>
    <t>1574 2015-05-21 15:05:31</t>
  </si>
  <si>
    <t>We will remain IPv4 internally, but offer IPv6 externally, probably with a lot of logging and periodic reevaluation of what we are seeing;This is an open question for such reasons as the inability to tunnel IPv6 over our VPN rigging, routability, the manner by which certain counterparties access some of our networks, etc.;</t>
  </si>
  <si>
    <t>1573 2015-05-21 14:26:24</t>
  </si>
  <si>
    <t>Let's not forget IPv6 was ratified in 1986 (same year Top Gun came out).  We had a spur of activity talking migration in the late 90s due to ""running out of IPs"" but NATing helped defer that scare.  We are having same discussions again today.  Humans are notoriously fearful of change.  So until we are prevented from seeing cat videos without using IPv6, I don't think we'll be moved to upgrade.  Though, IPv6 has great opportunities in IOT.</t>
  </si>
  <si>
    <t>1572 2015-05-21 14:24:45</t>
  </si>
  <si>
    <t>QUESTION OF THE MONTH: SECURITY AND CHANGE MANAGEMENT(This question is optional and does not contribute to the Index calculation. This question will c</t>
  </si>
  <si>
    <t>1647 2015-06-27 14:46:41</t>
  </si>
  <si>
    <t>ICS Survey June 2015</t>
  </si>
  <si>
    <t>Security considerations have seen us moving to much stricter certification, approval and compliance requirements, i.e., rigorous checking and harsh change management;</t>
  </si>
  <si>
    <t>1646 2015-06-27 10:26:46</t>
  </si>
  <si>
    <t>1645 2015-06-27 10:06:43</t>
  </si>
  <si>
    <t>Our change management processes have largely stayed unmodified over the years;</t>
  </si>
  <si>
    <t>1644 2015-06-27 05:49:10</t>
  </si>
  <si>
    <t>1643 2015-06-27 03:57:28</t>
  </si>
  <si>
    <t>1642 2015-06-27 03:38:12</t>
  </si>
  <si>
    <t>Though our change management processes are themselves changing, it is generally for reasons other than security;</t>
  </si>
  <si>
    <t>1641 2015-06-26 20:17:27</t>
  </si>
  <si>
    <t>The OPM breach is huge. Will be interesting to see how many if any folks get sacked, though, and what mitigation responses are taken to the exposed data.</t>
  </si>
  <si>
    <t>1640 2015-06-26 18:43:09</t>
  </si>
  <si>
    <t>1639 2015-06-26 06:32:54</t>
  </si>
  <si>
    <t>As we are maturing the thinking of executives to consider cyber security risks as business risks, instead of IT risks, we also must consider all IT events that could affect the business.  Change management is as important as business continuity, regarding potential impacts to the business.</t>
  </si>
  <si>
    <t>1638 2015-06-25 18:15:34</t>
  </si>
  <si>
    <t>1637 2015-06-25 17:41:31</t>
  </si>
  <si>
    <t>1636 2015-06-25 16:45:37</t>
  </si>
  <si>
    <t>1635 2015-06-25 15:45:43</t>
  </si>
  <si>
    <t>1634 2015-06-25 15:24:35</t>
  </si>
  <si>
    <t>1633 2015-06-25 02:43:33</t>
  </si>
  <si>
    <t>1632 2015-06-24 07:50:30</t>
  </si>
  <si>
    <t>1631 2015-06-24 04:52:04</t>
  </si>
  <si>
    <t>Though our change management processes are themselves changing, it is generally for reasons other than security;Our change management processes have largely stayed unmodified over the years;</t>
  </si>
  <si>
    <t>1630 2015-06-24 03:20:35</t>
  </si>
  <si>
    <t>1629 2015-06-23 19:22:01</t>
  </si>
  <si>
    <t>interesting that you use the word ""harsh"" rather than the more benign ""controlled"" or other more positive aspect of security impact</t>
  </si>
  <si>
    <t>1628 2015-06-23 18:11:59</t>
  </si>
  <si>
    <t>Creating unpredictability in our environment (a moving target defense) using techniques such as rapid release, DevOps, diversity compilers, and so forth is an active part of our security defenses;</t>
  </si>
  <si>
    <t>1627 2015-06-23 18:01:37</t>
  </si>
  <si>
    <t>1626 2015-06-23 16:31:46</t>
  </si>
  <si>
    <t>1625 2015-06-23 12:13:05</t>
  </si>
  <si>
    <t>1624 2015-06-23 09:53:36</t>
  </si>
  <si>
    <t>1623 2015-06-23 07:47:46</t>
  </si>
  <si>
    <t>I hope the OPM breach shows the ""find and fix flaws faster"" strategy is a failure.</t>
  </si>
  <si>
    <t>1622 2015-06-23 06:33:36</t>
  </si>
  <si>
    <t>1621 2015-06-22 18:05:34</t>
  </si>
  <si>
    <t>1620 2015-06-22 17:05:13</t>
  </si>
  <si>
    <t>1619 2015-06-22 06:57:25</t>
  </si>
  <si>
    <t>1618 2015-06-22 05:30:38</t>
  </si>
  <si>
    <t>1617 2015-06-21 09:40:49</t>
  </si>
  <si>
    <t>1616 2015-06-21 08:52:57</t>
  </si>
  <si>
    <t>1615 2015-06-21 08:25:10</t>
  </si>
  <si>
    <t>1655 2015-06-30 05:07:02</t>
  </si>
  <si>
    <t>1654 2015-06-29 16:58:26</t>
  </si>
  <si>
    <t>1653 2015-06-29 11:28:52</t>
  </si>
  <si>
    <t>1652 2015-06-29 08:31:52</t>
  </si>
  <si>
    <t>1651 2015-06-29 06:17:08</t>
  </si>
  <si>
    <t>1650 2015-06-29 06:04:18</t>
  </si>
  <si>
    <t>You have to totally rethink change management to actually insert security into it. Description of HOW changes are done and hwo that will show up in a log for example.</t>
  </si>
  <si>
    <t>1649 2015-06-29 02:16:01</t>
  </si>
  <si>
    <t>1648 2015-06-28 10:37:44</t>
  </si>
  <si>
    <t>QUESTION OF THE MONTH: CEO ATTENTION TO CYBERSECURITY(This question is optional and does not contribute to the Index calculation. This question will c</t>
  </si>
  <si>
    <t>1693 2015-07-27 11:41:49</t>
  </si>
  <si>
    <t>ICS Survey July 2015</t>
  </si>
  <si>
    <t>The CEO asks questions on cybersecurity, mainly with a view to obtaining assurance that nothing big is amiss, but not aware of the details of cybersecurity projects or key metrics;</t>
  </si>
  <si>
    <t>1692 2015-07-27 10:51:04</t>
  </si>
  <si>
    <t>The CEO monitors cybersecurity risk through other risk governance mechanisms such as the risk committee, audit committee and operational risk, but does not generally isolate cybersecurity for his/her personal monitoring and oversight;</t>
  </si>
  <si>
    <t>1691 2015-07-27 10:00:49</t>
  </si>
  <si>
    <t>1690 2015-07-27 06:35:16</t>
  </si>
  <si>
    <t>1689 2015-07-27 06:23:40</t>
  </si>
  <si>
    <t>I work in small companies and the CEO is very aware and involved (perhaps 2% of time vs 5%) but still aware of key programs and metrics. Small companies view the work as both a necessity and business advantage -- however -- cost constraints require careful selection of solutions.</t>
  </si>
  <si>
    <t>1688 2015-07-27 04:32:01</t>
  </si>
  <si>
    <t>The CEO asks questions on cybersecurity, mainly with a view to obtaining assurance that nothing big is amiss, but not aware of the details of cybersecurity projects or key metrics;The CEO delegates cybersecurity matters to the CIO and the CISO, and expects only exception reporting in situations where his/her intervention may be needed;</t>
  </si>
  <si>
    <t>1687 2015-07-26 23:35:05</t>
  </si>
  <si>
    <t>1686 2015-07-26 15:57:58</t>
  </si>
  <si>
    <t>The CEO is directly involved with cybersecurity and spends a material portion of his/her time (&gt;5%) on the topic, including monitoring progress on key remediation programs and security metrics;The CEO asks questions on cybersecurity, mainly with a view to obtaining assurance that nothing big is amiss, but not aware of the details of cybersecurity projects or key metrics;</t>
  </si>
  <si>
    <t>1685 2015-07-26 15:31:36</t>
  </si>
  <si>
    <t>The CEO delegates cybersecurity matters to the CIO and the CISO, and expects only exception reporting in situations where his/her intervention may be needed;</t>
  </si>
  <si>
    <t>1684 2015-07-26 10:45:01</t>
  </si>
  <si>
    <t>1683 2015-07-26 09:07:48</t>
  </si>
  <si>
    <t>The CEO monitors cybersecurity risk through other risk governance mechanisms such as the risk committee, audit committee and operational risk, but does not generally isolate cybersecurity for his/her personal monitoring and oversight;Cybersecurity is a key risk, but we struggle to get our CEO's attention to matters requiring his/her direction and guidance;</t>
  </si>
  <si>
    <t>1682 2015-07-26 08:19:49</t>
  </si>
  <si>
    <t>The CEO is directly involved with cybersecurity and spends a material portion of his/her time (&gt;5%) on the topic, including monitoring progress on key remediation programs and security metrics;</t>
  </si>
  <si>
    <t>1681 2015-07-26 08:12:56</t>
  </si>
  <si>
    <t>1680 2015-07-25 16:26:48</t>
  </si>
  <si>
    <t>1679 2015-07-25 15:52:03</t>
  </si>
  <si>
    <t>1678 2015-07-25 12:14:21</t>
  </si>
  <si>
    <t>1677 2015-07-25 00:11:24</t>
  </si>
  <si>
    <t>1676 2015-07-24 20:48:22</t>
  </si>
  <si>
    <t>1675 2015-07-24 15:48:59</t>
  </si>
  <si>
    <t>1674 2015-07-24 11:55:40</t>
  </si>
  <si>
    <t xml:space="preserve">Who should CISO report to? CFO or CEO? Often, CFOs sign contracts with suppliers and clients. Should CFO also get involve with cybersecurity? </t>
  </si>
  <si>
    <t>1673 2015-07-24 11:45:17</t>
  </si>
  <si>
    <t>1672 2015-07-24 04:39:37</t>
  </si>
  <si>
    <t>1671 2015-07-23 10:03:40</t>
  </si>
  <si>
    <t>The CEO monitors cybersecurity risk through other risk governance mechanisms such as the risk committee, audit committee and operational risk, but does not generally isolate cybersecurity for his/her personal monitoring and oversight;The CEO delegates cybersecurity matters to the CIO and the CISO, and expects only exception reporting in situations where his/her intervention may be needed;</t>
  </si>
  <si>
    <t>1670 2015-07-23 09:31:23</t>
  </si>
  <si>
    <t>1669 2015-07-23 08:16:25</t>
  </si>
  <si>
    <t>1668 2015-07-22 11:17:22</t>
  </si>
  <si>
    <t>Cybersecurity is a key risk, but we struggle to get our CEO's attention to matters requiring his/her direction and guidance;</t>
  </si>
  <si>
    <t>1667 2015-07-21 14:25:02</t>
  </si>
  <si>
    <t>The CEO delegates cybersecurity matters to the CIO and the CISO, and expects only exception reporting in situations where his/her intervention may be needed;Cybersecurity is not vital given the nature of our business, the CEO is rightly more focused on product, clients and revenues;</t>
  </si>
  <si>
    <t>1666 2015-07-21 13:58:19</t>
  </si>
  <si>
    <t>1665 2015-07-21 12:24:59</t>
  </si>
  <si>
    <t>The CEO asks questions on cybersecurity, mainly with a view to obtaining assurance that nothing big is amiss, but not aware of the details of cybersecurity projects or key metrics;The CEO monitors cybersecurity risk through other risk governance mechanisms such as the risk committee, audit committee and operational risk, but does not generally isolate cybersecurity for his/her personal monitoring and oversight;</t>
  </si>
  <si>
    <t>1664 2015-07-21 11:05:57</t>
  </si>
  <si>
    <t>1663 2015-07-21 10:10:48</t>
  </si>
  <si>
    <t>1662 2015-07-21 07:20:37</t>
  </si>
  <si>
    <t>1661 2015-07-21 06:02:30</t>
  </si>
  <si>
    <t>1660 2015-07-21 06:01:09</t>
  </si>
  <si>
    <t>1659 2015-07-21 05:56:25</t>
  </si>
  <si>
    <t>There is an aswer between #1 and #2.  Our parent company CEO spends time on this although less than 5% but is into detials with management and the board. We actually decided to create a new compnay around this to spin off some in house capabliity</t>
  </si>
  <si>
    <t>1658 2015-07-21 05:46:17</t>
  </si>
  <si>
    <t>1657 2015-07-21 05:29:26</t>
  </si>
  <si>
    <t xml:space="preserve">Summer brings interns into many organizations increasing insider risk.  The compromise of Hacking Team and exploitation of vulnerabilities from the code disclosure allowed both criminals and state actors to leverage Hacking Team zero days, increasing risk rapidly. Expanding  extortion based DDoS activity by DD4BC presented risk to many global organizations. </t>
  </si>
  <si>
    <t>QUESTION OF THE MONTH: SECURITY METRICS(This question is optional and does not contribute to the Index calculation. This question will change each mon</t>
  </si>
  <si>
    <t>1729 2015-08-28 11:06:47</t>
  </si>
  <si>
    <t>ICS Survey August 2015</t>
  </si>
  <si>
    <t>We have invested in various visualization and data aggregation tools with a view to facilitating security metrics reporting, but the reporting of security metrics is still rudimentary at best.;</t>
  </si>
  <si>
    <t>1727 2015-08-28 06:35:21</t>
  </si>
  <si>
    <t>We have a formal security metrics framework that describes what matters in the context of our risk appetite, has processes around metrics onboarding and accountability, our metrics team reports on it in a disciplined way, and metrics are tied to performance evaluation of control owners.;</t>
  </si>
  <si>
    <t>1726 2015-08-28 06:06:00</t>
  </si>
  <si>
    <t>Other (please explain) (We have a security metrics program but collection of relevant metrics is manual. No tools have been acquired to facilitate reporting.);</t>
  </si>
  <si>
    <t>1725 2015-08-27 13:48:45</t>
  </si>
  <si>
    <t xml:space="preserve">I believe that despite the onslaught of negative press and breaches that increasingly impact individuals (e.g. OPM, Ashley Madison), the public in general is fast becoming insensitive to the news.   Other concern is the rehash of old broken strategies for defending systems repackaged as a new shiny bauble. If necessity is the mother of invention, invention is long overdue. Need next-gen solutions today. Black swans welcome. </t>
  </si>
  <si>
    <t>1724 2015-08-27 06:40:30</t>
  </si>
  <si>
    <t>1723 2015-08-26 23:54:26</t>
  </si>
  <si>
    <t>1722 2015-08-26 21:38:06</t>
  </si>
  <si>
    <t>We do not believe security metrics are worth pursuing, for they are better for security theater than real security.;</t>
  </si>
  <si>
    <t>1721 2015-08-26 15:52:25</t>
  </si>
  <si>
    <t>We do not have a formal security metrics program, though we monitor and remediate key items such as patching and vulnerabilities that could hurt us.;</t>
  </si>
  <si>
    <t>1720 2015-08-26 15:49:13</t>
  </si>
  <si>
    <t>We rely extensively upon our security metrics program to maintain a steady secure state and to continuously verify the operation of key controls.;</t>
  </si>
  <si>
    <t>1719 2015-08-26 15:45:31</t>
  </si>
  <si>
    <t>1718 2015-08-26 11:54:55</t>
  </si>
  <si>
    <t>The biggest threat that I face today is inference from the Chief Risk Officer, General Counsel and internal Audit.  No expertise and a lot of opinions and desire to own something without taking any responsibility for outcomes.</t>
  </si>
  <si>
    <t>1717 2015-08-26 11:17:38</t>
  </si>
  <si>
    <t>1716 2015-08-26 08:19:27</t>
  </si>
  <si>
    <t>We do not have a formal security metrics program, though we monitor and remediate key items such as patching and vulnerabilities that could hurt us.;Other (please explain) (On the roadmap);</t>
  </si>
  <si>
    <t>1715 2015-08-26 06:06:19</t>
  </si>
  <si>
    <t xml:space="preserve">The Ashley Madison hack has been a big worry.  Companies who have emails within the list (legitimate accounts or made up), are now at risk for social engineering, phishing, and public scrutiny.  Most have not considered this risk.  Dealing with users who do have accounts in the posting have very complicated policy and privacy challenges; since the account could have been setup by someone other than email address owner.   </t>
  </si>
  <si>
    <t>1714 2015-08-26 05:50:11</t>
  </si>
  <si>
    <t>1713 2015-08-26 05:49:02</t>
  </si>
  <si>
    <t>1712 2015-08-26 02:04:27</t>
  </si>
  <si>
    <t>1711 2015-08-25 12:23:48</t>
  </si>
  <si>
    <t>1710 2015-08-25 12:23:44</t>
  </si>
  <si>
    <t>1709 2015-08-25 11:20:30</t>
  </si>
  <si>
    <t>1708 2015-08-25 11:06:25</t>
  </si>
  <si>
    <t>1707 2015-08-25 11:00:36</t>
  </si>
  <si>
    <t>How about the maturity of security metrics? Without a standard, it is hard work.</t>
  </si>
  <si>
    <t>1706 2015-08-25 09:46:33</t>
  </si>
  <si>
    <t>1705 2015-08-24 12:43:13</t>
  </si>
  <si>
    <t>We have invested in various visualization and data aggregation tools with a view to facilitating security metrics reporting, but the reporting of security metrics is still rudimentary at best.;We rely extensively upon our security metrics program to maintain a steady secure state and to continuously verify the operation of key controls.;We have a formal security metrics framework that describes what matters in the context of our risk appetite, has processes around metrics onboarding and accountability, our metrics team reports on it in a disciplined way, and metrics are tied to performance evaluation of control owners.;</t>
  </si>
  <si>
    <t>1704 2015-08-23 17:42:16</t>
  </si>
  <si>
    <t>1703 2015-08-21 15:24:31</t>
  </si>
  <si>
    <t>1702 2015-08-21 13:05:31</t>
  </si>
  <si>
    <t>1701 2015-08-21 08:11:04</t>
  </si>
  <si>
    <t>1700 2015-08-21 07:11:26</t>
  </si>
  <si>
    <t>Other (please explain) (We have identified key metrics and related items for measurement.  Measurement and aggregation work is beginning and work efforts have been started to generate broader security metricus monitoring reporting and dashboarding.);</t>
  </si>
  <si>
    <t>1699 2015-08-21 06:17:00</t>
  </si>
  <si>
    <t>We rely extensively upon our security metrics program to maintain a steady secure state and to continuously verify the operation of key controls.;We have a formal security metrics framework that describes what matters in the context of our risk appetite, has processes around metrics onboarding and accountability, our metrics team reports on it in a disciplined way, and metrics are tied to performance evaluation of control owners.;</t>
  </si>
  <si>
    <t xml:space="preserve">The hard part of metrics is those do drive operations seem to not describe the core question executives/board really want which is ""are we secure"".  -Mark </t>
  </si>
  <si>
    <t>1698 2015-08-21 06:08:42</t>
  </si>
  <si>
    <t>1697 2015-08-21 05:33:49</t>
  </si>
  <si>
    <t>1696 2015-08-21 05:33:31</t>
  </si>
  <si>
    <t>1695 2015-08-21 05:08:46</t>
  </si>
  <si>
    <t>QUESTION OF THE MONTH: ASSESSMENTS OR SENSORS(This question is optional and does not contribute to the Index calculation. This question will change ea</t>
  </si>
  <si>
    <t>1766 2015-09-28 11:19:50</t>
  </si>
  <si>
    <t>ICS Survey September 2015</t>
  </si>
  <si>
    <t>While there are other groups in the organization that perform assessments, security professionals spend the bulk of their time responding to automatically generated data.;</t>
  </si>
  <si>
    <t>In preparation for a recent presentation I gave in Baltimore, I spoke to several IT security / cyber practitioners and researchers to gather material and perspectives. One which has stuck with me is that as defenders, we are not playing by the same rules as the attackers. More often than not, they are playing a different game entirely, and many of us probably are not equipped or funded to make the leap required. Let's face it; for most of us, budgetary and resource constraints limit much of what we can do to compliance-based initiatives, and compliance is not security.  One common theme that I heard in speaking with peers was a focus on the individual; whether as a risk factor, for access management, trust, or for authentication. In the world of IOT, will the cyber focus be on the security of one? After all, we can be identified by what we have, who we are, and what we know. Perhaps we'll also be known by who we know, where we are, and by our work schedules, buying, browsing and eating habits. Can those be stolen?</t>
  </si>
  <si>
    <t>1765 2015-09-28 09:26:27</t>
  </si>
  <si>
    <t>Our infosec team is judiciously divided between working on assessments and sensor based data, both are complementary and needed for securing the enterprise, and we believe the balance is just right given our needs.;</t>
  </si>
  <si>
    <t>1764 2015-09-28 07:49:43</t>
  </si>
  <si>
    <t>Increase in social engineering risks due to Ashley Madison.  As to Assessment vs Sensor topic: they have their roles, assessments are good to measure maturity of program, sensors for specific insecurities or events with which to respond.  Assessments are the link between business risks and technical vulnerabilities or incidents.  There needs to be both.</t>
  </si>
  <si>
    <t>1763 2015-09-28 07:38:08</t>
  </si>
  <si>
    <t>1762 2015-09-28 07:37:00</t>
  </si>
  <si>
    <t>1761 2015-09-28 01:59:34</t>
  </si>
  <si>
    <t>You only can sensor what you (or others) have previously analyzed and assessed. A good move is try to sensor not only ""external sensors"" (patches, infections, OWASP, intelligence based thread detection,...)  but ad-hoc ""internal sensors"" (ab-use stories, automatic monitoring of controls derived from project assessment)  We lack of tools to automate the security of the full SDLC from initiative to production, a ""Continuous Security"" approach</t>
  </si>
  <si>
    <t>1760 2015-09-27 22:31:25</t>
  </si>
  <si>
    <t>1759 2015-09-27 20:34:13</t>
  </si>
  <si>
    <t>We perform few risk assessments, and focus on measuring our defenses directly using tools and sensors.  We see limited value in the intuition and judgment that may come from skilled risk assessments.;</t>
  </si>
  <si>
    <t>1758 2015-09-27 19:54:18</t>
  </si>
  <si>
    <t>1757 2015-09-27 12:46:15</t>
  </si>
  <si>
    <t>1756 2015-09-26 21:40:34</t>
  </si>
  <si>
    <t>1755 2015-09-26 15:15:29</t>
  </si>
  <si>
    <t>1754 2015-09-26 15:14:19</t>
  </si>
  <si>
    <t>We would prefer to focus more on sensor based security data, but current organizational constraints require us to focus more on chasing assessments than we would like.;</t>
  </si>
  <si>
    <t>1753 2015-09-26 14:38:30</t>
  </si>
  <si>
    <t>1752 2015-09-26 14:09:48</t>
  </si>
  <si>
    <t>1751 2015-09-26 13:44:58</t>
  </si>
  <si>
    <t>1750 2015-09-26 11:18:09</t>
  </si>
  <si>
    <t>1749 2015-09-25 14:21:45</t>
  </si>
  <si>
    <t>1748 2015-09-25 14:00:50</t>
  </si>
  <si>
    <t>1747 2015-09-25 13:52:09</t>
  </si>
  <si>
    <t>1746 2015-09-25 08:51:05</t>
  </si>
  <si>
    <t>1745 2015-09-25 07:31:27</t>
  </si>
  <si>
    <t>Our infosec team is judiciously divided between working on assessments and sensor based data, both are complementary and needed for securing the enterprise, and we believe the balance is just right given our needs.;Other (please explain) (The assessment methodology of old is being slowly replaced by key risk indicator driven monitoring where by automated metrics and resposne details are used to track risk in comparison to risk tolerance.  This future state of security metrics represents the true balance of the two approaches.);</t>
  </si>
  <si>
    <t>1744 2015-09-25 07:30:40</t>
  </si>
  <si>
    <t>You can't manage what you don't measure.  No organization had a breach because they had bad power point slides, but many have had them due to missing some set of details like this or that patch that were not addressed.  The key caution is you also need to measure the measurement tools. So much in the security landscape is about looking at defects on discovered devices. Very little is measured to make sure there is no gap in coverage in those tools.</t>
  </si>
  <si>
    <t>1743 2015-09-25 05:42:46</t>
  </si>
  <si>
    <t>1742 2015-09-24 03:35:08</t>
  </si>
  <si>
    <t>1741 2015-09-22 15:58:42</t>
  </si>
  <si>
    <t>We would prefer to focus more on sensor based security data, but current organizational constraints require us to focus more on chasing assessments than we would like.;We spend way too much time on assessments to the exclusion of managing (in)security as reflected in sensor based data, this being driven largely by regulators, auditors and senior management.;</t>
  </si>
  <si>
    <t>1740 2015-09-22 12:46:53</t>
  </si>
  <si>
    <t>Other (please explain) (In our view both are required);</t>
  </si>
  <si>
    <t>1739 2015-09-22 06:39:12</t>
  </si>
  <si>
    <t>1738 2015-09-21 17:06:58</t>
  </si>
  <si>
    <t>1737 2015-09-21 12:32:56</t>
  </si>
  <si>
    <t>1736 2015-09-21 10:35:03</t>
  </si>
  <si>
    <t>1735 2015-09-21 07:38:02</t>
  </si>
  <si>
    <t>1734 2015-09-21 07:17:49</t>
  </si>
  <si>
    <t>1733 2015-09-21 06:51:42</t>
  </si>
  <si>
    <t>1732 2015-09-21 06:15:54</t>
  </si>
  <si>
    <t>1731 2015-09-21 06:12:21</t>
  </si>
  <si>
    <t>Our infosec team is judiciously divided between working on assessments and sensor based data, both are complementary and needed for securing the enterprise, and we believe the balance is just right given our needs.;We would prefer to focus more on sensor based security data, but current organizational constraints require us to focus more on chasing assessments than we would like.;</t>
  </si>
  <si>
    <t>Metrics have proven useful for viewing our security posture over time, whereas the audits demonstrated a stance in time.</t>
  </si>
  <si>
    <t xml:space="preserve">QUESTION OF THE MONTH: US - EU SAFE HARBOR(This question is optional and does not contribute to the Index calculation. This question will change each </t>
  </si>
  <si>
    <t>1806 2015-10-28 09:09:19</t>
  </si>
  <si>
    <t>ICS Survey October 2015</t>
  </si>
  <si>
    <t>Too early to tell, we have not yet analyzed the implications of this ruling to our business.;</t>
  </si>
  <si>
    <t>1805 2015-10-27 09:34:51</t>
  </si>
  <si>
    <t>We will see significant impact, multi-month projects will need to be launched to segregate data and ensure it is stored in an auditably compliant way.;</t>
  </si>
  <si>
    <t>1804 2015-10-27 08:39:25</t>
  </si>
  <si>
    <t>1803 2015-10-27 08:06:09</t>
  </si>
  <si>
    <t>We may see a marginal impact on our business, mostly concerning whether our service providers such as cloud services are in compliance.;</t>
  </si>
  <si>
    <t>1802 2015-10-27 07:54:45</t>
  </si>
  <si>
    <t>We may see significant impact, but are waiting and watching in the hope that something will happen that will resolve the impasse.;</t>
  </si>
  <si>
    <t>EU has been hinting at pulling safe harbor for a few years.  I think they are just pushing the US to step up on privacy.  Only 4500 US companies are currently certified under Safe Harbor, which means thousands more aren't that should, or don't even know it exists.  Hopefully this will bring privacy to light, as it's been a misunderstood and neglected component of cyber security.</t>
  </si>
  <si>
    <t>1801 2015-10-27 06:48:22</t>
  </si>
  <si>
    <t>There are changes pending to the FAR that will have a dramatic impact on many of the roughly 50,000 companies that identify as Federal contractors. Much of this is due to NARA and the broad definition of controlled unclassified information (CUI), combined with the NIST SP 800-171, which indicated the set of controls that organizations will have to implement. DoD contractors have an added burden, as these standards have been made applicable to all new contracts via a class deviation issued on October 8th, in advance of the FAR.  While the overall intent is good, the financial impact to companies could be significant, particularly for SMBs who often lack the resources to implement meaningful security measures, and just as often lack the knowledge on how to do so or what may even be required. Since these companies comprise about 80% of Federal contracting, the impact could be significant. How many companies will sign the contract, implement nothing, and accept the  risk?</t>
  </si>
  <si>
    <t>1800 2015-10-26 16:51:42</t>
  </si>
  <si>
    <t>We have considered the ruling, and our view is that we are already set.  We deal with US persons only in the US and/or with EU persons only in the EU.;</t>
  </si>
  <si>
    <t>1799 2015-10-26 15:11:55</t>
  </si>
  <si>
    <t>Nothing to add at this time.</t>
  </si>
  <si>
    <t>1798 2015-10-26 13:29:41</t>
  </si>
  <si>
    <t>1797 2015-10-26 06:52:32</t>
  </si>
  <si>
    <t>Too early to tell, we have not yet analyzed the implications of this ruling to our business.;We may see a marginal impact on our business, mostly concerning whether our service providers such as cloud services are in compliance.;</t>
  </si>
  <si>
    <t>1796 2015-10-26 06:18:22</t>
  </si>
  <si>
    <t>We may see significant impact, but are waiting and watching in the hope that something will happen that will resolve the impasse.;We will see significant impact, multi-month projects will need to be launched to segregate data and ensure it is stored in an auditably compliant way.;We will probably lose customers as we cannot economically run two sets of geographically insulated infrastructure.;</t>
  </si>
  <si>
    <t xml:space="preserve">Good luck to them. This kind of protectionist behavior will bite back when cyber crime maximizes its freedom to operate in the EU market as it is just simpler to commit crime there as the defenders are handicapped in very possible way. </t>
  </si>
  <si>
    <t>1795 2015-10-25 16:57:11</t>
  </si>
  <si>
    <t>1794 2015-10-25 15:06:44</t>
  </si>
  <si>
    <t>1793 2015-10-25 14:24:22</t>
  </si>
  <si>
    <t>1792 2015-10-25 04:54:06</t>
  </si>
  <si>
    <t>Other (please explain) (No impact.  We do not collect or process any data outside of the US);</t>
  </si>
  <si>
    <t>1791 2015-10-24 13:48:50</t>
  </si>
  <si>
    <t>We may see significant impact, but are waiting and watching in the hope that something will happen that will resolve the impasse.;We will probably lose customers as we cannot economically run two sets of geographically insulated infrastructure.;</t>
  </si>
  <si>
    <t>1790 2015-10-23 17:04:40</t>
  </si>
  <si>
    <t>We may see a marginal impact on our business, mostly concerning whether our service providers such as cloud services are in compliance.;We will see significant impact, multi-month projects will need to be launched to segregate data and ensure it is stored in an auditably compliant way.;</t>
  </si>
  <si>
    <t>1789 2015-10-23 11:22:21</t>
  </si>
  <si>
    <t>1788 2015-10-23 11:03:49</t>
  </si>
  <si>
    <t>1787 2015-10-23 10:19:48</t>
  </si>
  <si>
    <t>Threat to unknown malware has decreased dramatically as a result of the Cylance endpoint software.</t>
  </si>
  <si>
    <t>1786 2015-10-23 09:26:51</t>
  </si>
  <si>
    <t>1785 2015-10-23 09:23:56</t>
  </si>
  <si>
    <t>1783 2015-10-23 01:03:33</t>
  </si>
  <si>
    <t>1782 2015-10-22 20:17:15</t>
  </si>
  <si>
    <t>Other (please explain) (my jurisdiction is not USA or Europe);</t>
  </si>
  <si>
    <t>is it a too specific request to ask  or survey about opinions on ISO 27018?  https://www.siliconrepublic.com/enterprise/2015/09/21/iso-27018-cloud-computing-privacy-standard</t>
  </si>
  <si>
    <t>1781 2015-10-22 16:12:45</t>
  </si>
  <si>
    <t>1780 2015-10-22 13:42:58</t>
  </si>
  <si>
    <t>We will probably lose customers as we cannot economically run two sets of geographically insulated infrastructure.;</t>
  </si>
  <si>
    <t>1779 2015-10-22 10:38:47</t>
  </si>
  <si>
    <t>1778 2015-10-22 09:50:30</t>
  </si>
  <si>
    <t>1777 2015-10-22 09:07:46</t>
  </si>
  <si>
    <t>1776 2015-10-22 08:35:34</t>
  </si>
  <si>
    <t>1775 2015-10-22 07:17:25</t>
  </si>
  <si>
    <t>1774 2015-10-22 07:10:28</t>
  </si>
  <si>
    <t>The EU ruling regarding safe harbor is yet another predictable fallout from the US government's pervasive surveillance campaign. In their headlong effort to suck in any potential leads (which, generally, have not yet had demonstrable results - admittedly, this may be due to a need for keeping sources and methods secret), the US government has succeeded in royally pissing off both our friends and enemies.   These actions damaged the US economy more than any attack.</t>
  </si>
  <si>
    <t>1773 2015-10-21 14:06:04</t>
  </si>
  <si>
    <t>1772 2015-10-21 09:32:26</t>
  </si>
  <si>
    <t>Other (please explain);</t>
  </si>
  <si>
    <t>1771 2015-10-21 08:26:59</t>
  </si>
  <si>
    <t>1770 2015-10-21 07:30:43</t>
  </si>
  <si>
    <t>1769 2015-10-21 07:08:35</t>
  </si>
  <si>
    <t>1768 2015-10-21 07:05:21</t>
  </si>
  <si>
    <t>QUESTION OF THE MONTH:Â VULNERABILITY TO RANSOMWARE:(This question is optional and does not contribute to the Index calculation. This question will ch</t>
  </si>
  <si>
    <t>1834 2015-11-28 20:31:07</t>
  </si>
  <si>
    <t>ICS Survey November 2015</t>
  </si>
  <si>
    <t>We have not assessed our exposure - many points of vulnerability undoubtedly exist as we are, at this time, in a welter of unknown unknowns.;</t>
  </si>
  <si>
    <t>1833 2015-11-28 12:25:20</t>
  </si>
  <si>
    <t>A small portion of our environment is vulnerable, as it does not have sufficiently timely backups to allow us to truly recover from a ransomware intrusion.  We are working on resilient data strategy to mitigate the risk.;</t>
  </si>
  <si>
    <t>1832 2015-11-27 15:38:12</t>
  </si>
  <si>
    <t>We are extremely vulnerable, and have accepted the risk as it is as our operating model does not allow for fully effective technical mitigation and are relying upon user education.;</t>
  </si>
  <si>
    <t>1831 2015-11-27 14:24:25</t>
  </si>
  <si>
    <t>A worryingly critical portion of our environment is vulnerable at this time.  We are working on mitigating the risk.;</t>
  </si>
  <si>
    <t>1830 2015-11-27 12:38:28</t>
  </si>
  <si>
    <t>Other (please explain) (We have implemented a combination of techniques and eliminated many single points of failure; however we are still vulnerable in some areas of exposure.);</t>
  </si>
  <si>
    <t>1829 2015-11-27 12:32:24</t>
  </si>
  <si>
    <t>1828 2015-11-27 10:20:23</t>
  </si>
  <si>
    <t>1827 2015-11-26 12:00:30</t>
  </si>
  <si>
    <t>A small portion of our environment is vulnerable, as it does not have sufficiently timely backups to allow us to truly recover from a ransomware intrusion.  We are working on resilient data strategy to mitigate the risk.;Other (please explain);</t>
  </si>
  <si>
    <t>We've seen an uptick recently in compromises against NAS devices that were not properly secured before being put online by academic labs, where system administration is often performed by graduate students.</t>
  </si>
  <si>
    <t>1826 2015-11-24 12:51:06</t>
  </si>
  <si>
    <t>1825 2015-11-24 12:43:39</t>
  </si>
  <si>
    <t>1824 2015-11-24 12:43:35</t>
  </si>
  <si>
    <t>The recent froth over events happening in Paris has made us think a lot more about what would happen if we experienced similar events in the US cities in which we have a presence. More specifically, we are looking at how we could relocate critical business functions in the event one or more of our cities becomes and unsafe work environment.</t>
  </si>
  <si>
    <t>1823 2015-11-24 11:23:00</t>
  </si>
  <si>
    <t>1822 2015-11-24 09:21:05</t>
  </si>
  <si>
    <t>Other (please explain) (While we have defenses in place we also know that not all vulnerabilities can be addressed.  Soft controls (policy) drive  us towards an operating model that should make rannsomware irrelevant.);</t>
  </si>
  <si>
    <t>1821 2015-11-24 09:19:23</t>
  </si>
  <si>
    <t>1820 2015-11-24 08:12:09</t>
  </si>
  <si>
    <t>1819 2015-11-24 07:59:29</t>
  </si>
  <si>
    <t>1818 2015-11-24 07:58:02</t>
  </si>
  <si>
    <t>The holiday season is prime time for cyber criminals. They know, at least in the US, we get in the mood to spend a lot of money on goods.  We've already seen a new and sophisticated point of sale malware.  It will be interesting what the landmark breach will be during this season.</t>
  </si>
  <si>
    <t>1817 2015-11-24 07:36:30</t>
  </si>
  <si>
    <t>1816 2015-11-23 09:05:45</t>
  </si>
  <si>
    <t>1815 2015-11-23 07:06:53</t>
  </si>
  <si>
    <t>We have already been successfully targeted and are attempting to reduce our risk going forward.;</t>
  </si>
  <si>
    <t>1814 2015-11-23 05:27:59</t>
  </si>
  <si>
    <t>1813 2015-11-23 00:28:53</t>
  </si>
  <si>
    <t>1812 2015-11-22 17:19:08</t>
  </si>
  <si>
    <t>1811 2015-11-22 10:46:57</t>
  </si>
  <si>
    <t>1810 2015-11-22 07:28:37</t>
  </si>
  <si>
    <t>1809 2015-11-21 14:59:14</t>
  </si>
  <si>
    <t>1808 2015-11-21 10:55:36</t>
  </si>
  <si>
    <t>QUESTION OF THE MONTH:Â THE STATE OF ENCRYPTION:(This question is optional and does not contribute to the Index calculation. This question will change</t>
  </si>
  <si>
    <t>1867 2015-12-29 06:08:59</t>
  </si>
  <si>
    <t>ICS Survey December 2015</t>
  </si>
  <si>
    <t>The above plus some aspects of information-at-rest;</t>
  </si>
  <si>
    <t>1866 2015-12-28 08:14:27</t>
  </si>
  <si>
    <t>Authentication plus some aspects of information-in-transit, but only when traversing public networks;Authentication plus some aspects of information-in-transit, including internally behind the firewalls;</t>
  </si>
  <si>
    <t>1865 2015-12-28 05:00:06</t>
  </si>
  <si>
    <t>We have pervasive end-to-end encryption already;</t>
  </si>
  <si>
    <t>1864 2015-12-27 13:24:49</t>
  </si>
  <si>
    <t>1863 2015-12-27 12:18:05</t>
  </si>
  <si>
    <t>Conventional authentication processes only;Authentication plus some aspects of information-in-transit, but only when traversing public networks;Authentication plus some aspects of information-in-transit, including internally behind the firewalls;The above plus some aspects of information-at-rest;</t>
  </si>
  <si>
    <t>1862 2015-12-26 20:29:05</t>
  </si>
  <si>
    <t>1861 2015-12-26 02:17:18</t>
  </si>
  <si>
    <t>1860 2015-12-24 10:55:57</t>
  </si>
  <si>
    <t>Authentication plus some aspects of information-in-transit, including internally behind the firewalls;We have pervasive end-to-end encryption already;</t>
  </si>
  <si>
    <t>1859 2015-12-24 00:24:36</t>
  </si>
  <si>
    <t>1858 2015-12-23 16:51:00</t>
  </si>
  <si>
    <t>The above plus some aspects of information-at-rest;Other (please explain) (Fintech Apps);</t>
  </si>
  <si>
    <t>My perception of potential exploit of middleware vulnerabilities increases in direct proportion to my perception of the increase of insider threat. This may be a good question of the month.</t>
  </si>
  <si>
    <t>1857 2015-12-23 14:19:37</t>
  </si>
  <si>
    <t>1856 2015-12-23 08:27:28</t>
  </si>
  <si>
    <t>Sustaining a good data classification model is challenging, particularly when dealing with acquired entities and third-party suppliers. That makes a uniform application of security standards much more difficult. We have taken a risk-centric approach to this recently, focusing heaviest on the highest value / highest impact areas of our company - essentially trying to ensure that the shape of our security effort and investment matches the shape of our risk. This is requiring a fair bit of education of our internal and external stakeholders, but feels like the right approach.</t>
  </si>
  <si>
    <t>1855 2015-12-23 08:27:22</t>
  </si>
  <si>
    <t>Authentication plus some aspects of information-in-transit, but only when traversing public networks;The above plus some aspects of information-at-rest;</t>
  </si>
  <si>
    <t>Pervasive network encryption protects our data but increases our monitoring costs, likely to the point that makes it uneconomic. Protection or visibility?</t>
  </si>
  <si>
    <t>1854 2015-12-23 03:46:35</t>
  </si>
  <si>
    <t>1853 2015-12-22 18:57:44</t>
  </si>
  <si>
    <t>Authentication plus some aspects of information-in-transit, including internally behind the firewalls;The above plus some aspects of information-at-rest;Incomplete today, but on track to be essentially pervasive;</t>
  </si>
  <si>
    <t>1852 2015-12-22 13:12:15</t>
  </si>
  <si>
    <t>1851 2015-12-22 12:48:28</t>
  </si>
  <si>
    <t>1850 2015-12-22 11:14:35</t>
  </si>
  <si>
    <t>1849 2015-12-22 06:24:53</t>
  </si>
  <si>
    <t>1848 2015-12-22 06:16:17</t>
  </si>
  <si>
    <t>Authentication plus some aspects of information-in-transit, including internally behind the firewalls;</t>
  </si>
  <si>
    <t>1847 2015-12-22 05:02:49</t>
  </si>
  <si>
    <t>Authentication plus some aspects of information-in-transit, but only when traversing public networks;Authentication plus some aspects of information-in-transit, including internally behind the firewalls;The above plus some aspects of information-at-rest;</t>
  </si>
  <si>
    <t>The problem with encryption is it is perceived as a cure all. The bulk of the attacks I have seen involve the exploitation of flawed code or business logic. When the underlying data is encrypted but abuse is against ""authorized"" access it does nothing.</t>
  </si>
  <si>
    <t>1846 2015-12-22 03:10:06</t>
  </si>
  <si>
    <t>Incomplete today, but on track to be essentially pervasive;</t>
  </si>
  <si>
    <t>1845 2015-12-21 18:59:51</t>
  </si>
  <si>
    <t>We had an increase in DRIDEX based desktop infections and subsequent requirement to rebuild a  volume of desktiops</t>
  </si>
  <si>
    <t>1844 2015-12-21 16:42:50</t>
  </si>
  <si>
    <t>The above plus some aspects of information-at-rest;Incomplete today, but on track to be essentially pervasive;</t>
  </si>
  <si>
    <t>1843 2015-12-21 15:23:59</t>
  </si>
  <si>
    <t>1842 2015-12-21 14:53:03</t>
  </si>
  <si>
    <t>Authentication plus some aspects of information-in-transit, but only when traversing public networks;</t>
  </si>
  <si>
    <t>1841 2015-12-21 07:39:57</t>
  </si>
  <si>
    <t>1840 2015-12-21 06:34:42</t>
  </si>
  <si>
    <t>Conventional authentication processes only;Authentication plus some aspects of information-in-transit, including internally behind the firewalls;The above plus some aspects of information-at-rest;Incomplete today, but on track to be essentially pervasive;</t>
  </si>
  <si>
    <t>1839 2015-12-21 06:00:03</t>
  </si>
  <si>
    <t>Conventional authentication processes only;</t>
  </si>
  <si>
    <t>1838 2015-12-21 05:57:20</t>
  </si>
  <si>
    <t>QUESTION OF THE MONTH: SECURITY PRODUCTS:(This question is optional and does not contribute to the Index calculation. This question will change each m</t>
  </si>
  <si>
    <t>1904 2016-01-28 18:22:57</t>
  </si>
  <si>
    <t>ICS Survey January 2016</t>
  </si>
  <si>
    <t>60 - 80%;</t>
  </si>
  <si>
    <t>1903 2016-01-28 09:29:29</t>
  </si>
  <si>
    <t>40 - 60%;</t>
  </si>
  <si>
    <t>With DDoS being a weapon used for different purposes, was wondering if it should be added to #2</t>
  </si>
  <si>
    <t>1902 2016-01-28 05:59:08</t>
  </si>
  <si>
    <t>Really good question about security products.  Looking forward to seeing results.  We are such a vendor-driven industry, that each year there is a new threat that is ""so complex"" that only the vendors understand how to identify and block it, so you need to by their new ""magic"" box to protect yourself.  You still need last year's magic box for ""legacy"" threats; you see, the new one is for the most advanced things that you don't block.  Shame on us all for allowing this cycle to continue.</t>
  </si>
  <si>
    <t>1901 2016-01-28 04:53:16</t>
  </si>
  <si>
    <t>20 - 40%;</t>
  </si>
  <si>
    <t>1900 2016-01-27 20:25:56</t>
  </si>
  <si>
    <t>1899 2016-01-27 13:47:33</t>
  </si>
  <si>
    <t>1898 2016-01-27 13:37:24</t>
  </si>
  <si>
    <t>80 - 100%;</t>
  </si>
  <si>
    <t>1897 2016-01-27 09:14:17</t>
  </si>
  <si>
    <t>0 - 20%;</t>
  </si>
  <si>
    <t>1896 2016-01-27 09:12:34</t>
  </si>
  <si>
    <t>1895 2016-01-26 12:56:28</t>
  </si>
  <si>
    <t>1894 2016-01-26 07:30:17</t>
  </si>
  <si>
    <t xml:space="preserve">Over the last several months, the FAR and DFARS have been changing to mandate adoption of the new NIST SP 800-171 controls by Federal contractors. After some discussion with industry, the OUSD rescinded the day one DFARS compliance requirement and published the deadline, now December 31, 2017. This new requirement is essentially DIACAP or FISMA/FEDRamp ""lite"" and dramatically increases the security controls, auditing, and reporting for DoD (and soon all Federal agency contractors). While this is a good thing in many respects, it is also unfunded and likely misunderstood by a majority of the companies who will need to abide by the regulations. For SMBs, the knowledge gap, skill shortage, and resource constraints will aggravate the problem further as very few will be able to meet a majority of the controls without moving to a FEDRamp certified cloud or hosted services provider. </t>
  </si>
  <si>
    <t>1893 2016-01-26 01:34:04</t>
  </si>
  <si>
    <t>1892 2016-01-25 14:23:15</t>
  </si>
  <si>
    <t>1891 2016-01-25 13:54:44</t>
  </si>
  <si>
    <t>1890 2016-01-25 13:17:14</t>
  </si>
  <si>
    <t>1889 2016-01-25 08:33:33</t>
  </si>
  <si>
    <t>1887 2016-01-25 06:37:10</t>
  </si>
  <si>
    <t>1886 2016-01-25 06:31:32</t>
  </si>
  <si>
    <t>1885 2016-01-25 01:21:07</t>
  </si>
  <si>
    <t>1883 2016-01-23 02:02:22</t>
  </si>
  <si>
    <t>1882 2016-01-22 15:22:50</t>
  </si>
  <si>
    <t>guess what happens if you run XP, (a fleet of them!)</t>
  </si>
  <si>
    <t>1881 2016-01-22 03:06:50</t>
  </si>
  <si>
    <t>1880 2016-01-21 12:26:36</t>
  </si>
  <si>
    <t>Last year I dropped Dell SecureWorks and Symantec iCloud spam filtering, both due to bad quality of support.  Cloud providers must invest in properly trained technical support or risk losing customers.</t>
  </si>
  <si>
    <t>1879 2016-01-21 10:54:49</t>
  </si>
  <si>
    <t>1878 2016-01-21 10:50:23</t>
  </si>
  <si>
    <t>1877 2016-01-21 09:55:32</t>
  </si>
  <si>
    <t>The number of tools a security team can manage and use is a big challenge given how fragmented and reactive the market is for purchased tools, and how high the internal/opportunity cost is to maintain internally developed tools over time. Having said that we still find the tool to FTE ratio is right around 1.</t>
  </si>
  <si>
    <t>1876 2016-01-21 09:45:49</t>
  </si>
  <si>
    <t>I'm dismayed by the resurgence of ""debate"" on encryption policy. Another round of attempts to mandate crippling of security in the name of ""security.""</t>
  </si>
  <si>
    <t>1875 2016-01-21 08:37:39</t>
  </si>
  <si>
    <t>Mass credential theft  is becoming more and more concerning (Linode breach led to the WPEngine breach, as well as the TWC breach and PagerDuty breaches). Imagine if Salesforce got totally compromised. The attackers have effectively compromised large parts of every Salesforce customer, whether or not they share usernames/passwords.</t>
  </si>
  <si>
    <t>1874 2016-01-21 08:21:44</t>
  </si>
  <si>
    <t>1873 2016-01-21 08:19:15</t>
  </si>
  <si>
    <t>Other (please explain) (Not responsible for this);</t>
  </si>
  <si>
    <t>1872 2016-01-21 07:45:48</t>
  </si>
  <si>
    <t>1871 2016-01-21 07:37:12</t>
  </si>
  <si>
    <t>1870 2016-01-21 07:21:07</t>
  </si>
  <si>
    <t>1869 2016-01-21 07:20:43</t>
  </si>
  <si>
    <t>Dec '15</t>
  </si>
  <si>
    <t>Jan '16</t>
  </si>
  <si>
    <t>QUESTION OF THE MONTH: PATCHING:(This question is optional and does not contribute to the Index calculation. This question will change each month depe</t>
  </si>
  <si>
    <t>1937 2016-02-28 11:36:32</t>
  </si>
  <si>
    <t>ICS Survey February 2016</t>
  </si>
  <si>
    <t>If we believe the risk to us is significant, we are prepared to prioritize patching, including activating our teams over weekends or overnight as required. Testing and rollback capability considerations are a part of the risk assessment;</t>
  </si>
  <si>
    <t>1936 2016-02-28 06:41:52</t>
  </si>
  <si>
    <t>We balance all factors - the security risk, the stress on personnel, risks introduced to production operations from patching.  While we may accelerate certain patches, generally all work is done during working hours only, after due testing while preserving roll-back capabilities to the extent practical;</t>
  </si>
  <si>
    <t>For a small business,  using qualified 3rd parties to take ownership for patching and other security operations has helped quite a bite. We could not do it on our own.</t>
  </si>
  <si>
    <t>1935 2016-02-27 09:02:10</t>
  </si>
  <si>
    <t>1934 2016-02-26 22:47:26</t>
  </si>
  <si>
    <t>1933 2016-02-26 18:02:39</t>
  </si>
  <si>
    <t xml:space="preserve">Patch management decisions ideally should be made in conjunction with threat assessment teams. If an exploit against said vulnerabilities are available and circulating, it will affect the decision. </t>
  </si>
  <si>
    <t>1932 2016-02-26 17:52:36</t>
  </si>
  <si>
    <t>1931 2016-02-26 14:11:17</t>
  </si>
  <si>
    <t>1930 2016-02-26 11:50:01</t>
  </si>
  <si>
    <t>1929 2016-02-26 11:40:19</t>
  </si>
  <si>
    <t>We place security first - our processes are primed to locking down critical systems with all mitigation possible till patches become available, and then patching immediately (including during off-hours) with or without rollback capability;</t>
  </si>
  <si>
    <t>1928 2016-02-26 08:06:33</t>
  </si>
  <si>
    <t>We struggle resource-wise with even keeping up with basic patching: our response to out-of-cycle patches is at best haphazard, often driven by who in audit, management or regulators is demanding a reaction to a news story they might have read;</t>
  </si>
  <si>
    <t>1927 2016-02-26 07:30:02</t>
  </si>
  <si>
    <t>Pace matters, but completness matters more</t>
  </si>
  <si>
    <t>1926 2016-02-25 06:31:53</t>
  </si>
  <si>
    <t>1925 2016-02-24 17:56:48</t>
  </si>
  <si>
    <t>We have a pre-determined, scheduled patching cycle that we follow: our operations do not allow knee-jerk reactions to emerging vulnerability or patch announcements.  Patches will go in only according to schedule and after required testing;</t>
  </si>
  <si>
    <t>1924 2016-02-24 12:04:48</t>
  </si>
  <si>
    <t>1923 2016-02-24 11:49:24</t>
  </si>
  <si>
    <t>1922 2016-02-24 08:56:06</t>
  </si>
  <si>
    <t>1921 2016-02-24 08:14:39</t>
  </si>
  <si>
    <t>1920 2016-02-24 08:03:20</t>
  </si>
  <si>
    <t>1919 2016-02-23 17:51:10</t>
  </si>
  <si>
    <t>1918 2016-02-22 18:24:16</t>
  </si>
  <si>
    <t>1917 2016-02-22 08:27:20</t>
  </si>
  <si>
    <t>1916 2016-02-22 06:30:46</t>
  </si>
  <si>
    <t>1915 2016-02-22 06:11:13</t>
  </si>
  <si>
    <t>1914 2016-02-22 02:59:21</t>
  </si>
  <si>
    <t>If we believe the risk to us is significant, we are prepared to prioritize patching, including activating our teams over weekends or overnight as required. Testing and rollback capability considerations are a part of the risk assessment;We balance all factors - the security risk, the stress on personnel, risks introduced to production operations from patching.  While we may accelerate certain patches, generally all work is done during working hours only, after due testing while preserving roll-back capabilities to the extent practical;</t>
  </si>
  <si>
    <t>1913 2016-02-22 02:34:02</t>
  </si>
  <si>
    <t>1912 2016-02-21 23:52:02</t>
  </si>
  <si>
    <t>1911 2016-02-21 20:00:42</t>
  </si>
  <si>
    <t>1910 2016-02-21 14:17:45</t>
  </si>
  <si>
    <t>1909 2016-02-21 13:59:51</t>
  </si>
  <si>
    <t>1908 2016-02-21 13:24:08</t>
  </si>
  <si>
    <t>1907 2016-02-21 12:24:35</t>
  </si>
  <si>
    <t>1906 2016-02-21 09:34:56</t>
  </si>
  <si>
    <t>1942 2016-02-29 11:16:59</t>
  </si>
  <si>
    <t>1941 2016-02-29 10:31:03</t>
  </si>
  <si>
    <t>1940 2016-02-28 20:32:11</t>
  </si>
  <si>
    <t>1939 2016-02-28 17:46:31</t>
  </si>
  <si>
    <t>1938 2016-02-28 13:44:32</t>
  </si>
  <si>
    <t>If we believe the risk to us is significant, we are prepared to prioritize patching, including activating our teams over weekends or overnight as required. Testing and rollback capability considerations are a part of the risk assessment;We balance all factors - the security risk, the stress on personnel, risks introduced to production operations from patching.  While we may accelerate certain patches, generally all work is done during working hours only, after due testing while preserving roll-back capabilities to the extent practical;We have a pre-determined, scheduled patching cycle that we follow: our operations do not allow knee-jerk reactions to emerging vulnerability or patch announcements.  Patches will go in only according to schedule and after required testing;</t>
  </si>
  <si>
    <t>QUESTION OF THE MONTH: DATA ANALYTICS:(This question is optional and does not contribute to the Index calculation. This question will change each mont</t>
  </si>
  <si>
    <t>1977 2016-03-28 22:42:23</t>
  </si>
  <si>
    <t>ICS Survey March 2016</t>
  </si>
  <si>
    <t>We have the skills to perform rudimentary data exploration using sorts, filters and basic techniques limited to security metrics, but rarely venture into statistical techniques to discover patterns or perform predictive security analysis;</t>
  </si>
  <si>
    <t>1976 2016-03-28 06:38:13</t>
  </si>
  <si>
    <t>We are mostly focused on implementing controls and managing the day-to-day on patching and such activities, the data analytical capabilities of the security team are non existent;</t>
  </si>
  <si>
    <t xml:space="preserve">The largest security issue for the company is regulatory, with a significant requirement coming in through DoD contracts in the form of DFARS 252.204-7008, 252.204-7012, and the NIST SP 800-171 each refers to. This places near-FISMA levels of security onto industry, which may be long-overdue in some regards, but is being implemented poorly with little to indicate that the new mandate will provide the hoped-for security. This requirement is very costly, as there are no commercial compliance requirements to compare it to. It will also strain the limited pool of IT security professionals, with demand exceeding available resources of skilled, experienced talent. The one upside is increased awareness and pay for those in the industry. </t>
  </si>
  <si>
    <t>1975 2016-03-28 05:58:56</t>
  </si>
  <si>
    <t>Our capabilities are limited but we have committed investment (ie, beyond just thinking about it as being a good idea) in expanding our analytical capabilities within the next 12 months;</t>
  </si>
  <si>
    <t>1974 2016-03-28 05:42:42</t>
  </si>
  <si>
    <t>Our data analytics capabilities are limited to what is available from our security event monitoring software and purchased big-data tools, the security team does not create analytical models nor do we think it would be worthwhile;</t>
  </si>
  <si>
    <t>1973 2016-03-27 18:42:29</t>
  </si>
  <si>
    <t>1972 2016-03-27 12:20:38</t>
  </si>
  <si>
    <t>1971 2016-03-27 10:10:50</t>
  </si>
  <si>
    <t>1970 2016-03-27 06:09:12</t>
  </si>
  <si>
    <t>1969 2016-03-27 03:53:19</t>
  </si>
  <si>
    <t>Our data analytics capabilities are limited to what is available from our security event monitoring software and purchased big-data tools, the security team does not create analytical models nor do we think it would be worthwhile;Our capabilities are limited but we have committed investment (ie, beyond just thinking about it as being a good idea) in expanding our analytical capabilities within the next 12 months;</t>
  </si>
  <si>
    <t>1968 2016-03-26 19:40:08</t>
  </si>
  <si>
    <t>1967 2016-03-26 16:35:32</t>
  </si>
  <si>
    <t>1966 2016-03-26 15:01:35</t>
  </si>
  <si>
    <t>Our capabilities are limited but we have committed investment (ie, beyond just thinking about it as being a good idea) in expanding our analytical capabilities within the next 12 months;We use machine learning and advanced data mining techniques to manage security for at least one security domain, and our team is skilled at visualization and predictive analysis in support of cyber security;</t>
  </si>
  <si>
    <t>1965 2016-03-25 16:35:22</t>
  </si>
  <si>
    <t>1964 2016-03-25 10:11:43</t>
  </si>
  <si>
    <t>We use machine learning and advanced data mining techniques to manage security for at least one security domain, and our team is skilled at visualization and predictive analysis in support of cyber security;</t>
  </si>
  <si>
    <t>Agree with this ""security practitioners are rarely data scientists"" so we hired a data scientist who though security was an interesting problem to invstigate</t>
  </si>
  <si>
    <t>1963 2016-03-25 06:42:21</t>
  </si>
  <si>
    <t>1962 2016-03-24 18:31:12</t>
  </si>
  <si>
    <t>1961 2016-03-23 19:44:16</t>
  </si>
  <si>
    <t>We have the skills to perform rudimentary data exploration using sorts, filters and basic techniques limited to security metrics, but rarely venture into statistical techniques to discover patterns or perform predictive security analysis;Our data analytics capabilities are limited to what is available from our security event monitoring software and purchased big-data tools, the security team does not create analytical models nor do we think it would be worthwhile;</t>
  </si>
  <si>
    <t>Gartner are talking about adding safety to the CIA triad, what do you think?  http://www.gartner.com/newsroom/id/3144319    ""Protecting information alone isn't enough, and ensuring the confidentiality, integrity and availability of that information isn't enough. Leaders in risk and cybersecurity must now assume the responsibility of providing safety for both people and their environments.""</t>
  </si>
  <si>
    <t>1960 2016-03-23 08:52:14</t>
  </si>
  <si>
    <t>1959 2016-03-23 01:28:57</t>
  </si>
  <si>
    <t>1958 2016-03-22 18:08:22</t>
  </si>
  <si>
    <t>We are mostly focused on implementing controls and managing the day-to-day on patching and such activities, the data analytical capabilities of the security team are non existent;We have the skills to perform rudimentary data exploration using sorts, filters and basic techniques limited to security metrics, but rarely venture into statistical techniques to discover patterns or perform predictive security analysis;Our data analytics capabilities are limited to what is available from our security event monitoring software and purchased big-data tools, the security team does not create analytical models nor do we think it would be worthwhile;Our capabilities are limited but we have committed investment (ie, beyond just thinking about it as being a good idea) in expanding our analytical capabilities within the next 12 months;</t>
  </si>
  <si>
    <t>1957 2016-03-22 17:07:38</t>
  </si>
  <si>
    <t>1956 2016-03-22 12:02:09</t>
  </si>
  <si>
    <t>The rise in sms/phishing for tax season has been incredible. The use of telephone spoofing to perform tax fraud has been seen in the wild.</t>
  </si>
  <si>
    <t>1955 2016-03-22 07:12:37</t>
  </si>
  <si>
    <t>1954 2016-03-22 06:23:57</t>
  </si>
  <si>
    <t>1953 2016-03-22 00:03:43</t>
  </si>
  <si>
    <t>1952 2016-03-21 16:01:37</t>
  </si>
  <si>
    <t>Ransomware has become more of a problem recently, especially in groups with poor internal security practices.  Social engineering is up right now partly due to tax season.</t>
  </si>
  <si>
    <t>1951 2016-03-21 11:31:11</t>
  </si>
  <si>
    <t>1950 2016-03-21 09:49:53</t>
  </si>
  <si>
    <t>1949 2016-03-21 09:45:10</t>
  </si>
  <si>
    <t>1947 2016-03-21 09:01:16</t>
  </si>
  <si>
    <t>1946 2016-03-21 08:24:12</t>
  </si>
  <si>
    <t>1945 2016-03-21 08:22:51</t>
  </si>
  <si>
    <t>1944 2016-03-21 08:19:48</t>
  </si>
  <si>
    <t>QUESTION OF THE MONTH: THE INFOSEC JOB MARKET:(This question is optional and does not contribute to the Index calculation. This question will change e</t>
  </si>
  <si>
    <t>2013 2016-04-28 06:59:16</t>
  </si>
  <si>
    <t>ICS Survey April 2016</t>
  </si>
  <si>
    <t>There is no shortage of qualified candidates at an affordable cost;</t>
  </si>
  <si>
    <t>2012 2016-04-27 05:56:48</t>
  </si>
  <si>
    <t>Qualified candidates are difficult or impossible to find, regardless of compensation considerations;</t>
  </si>
  <si>
    <t>2011 2016-04-27 04:00:10</t>
  </si>
  <si>
    <t>2010 2016-04-26 19:36:26</t>
  </si>
  <si>
    <t>2009 2016-04-26 16:53:58</t>
  </si>
  <si>
    <t>Qualified candidates are available, but compensation expectations are higher than we would like to pay;</t>
  </si>
  <si>
    <t>1996 2016-04-26 16:29:53</t>
  </si>
  <si>
    <t>Incomplete</t>
  </si>
  <si>
    <t>Qualified candidates are available, but compensation expectations are higher than we would like to pay;Qualified candidates are difficult or impossible to find, regardless of compensation considerations;</t>
  </si>
  <si>
    <t>2008 2016-04-26 13:03:16</t>
  </si>
  <si>
    <t>2007 2016-04-26 06:46:35</t>
  </si>
  <si>
    <t>2006 2016-04-25 17:13:01</t>
  </si>
  <si>
    <t>Most hiring managers have no idea on what they need. They have listed too many requirements on the job description They all miss the point that cybersecurity talent are out of the box. Is it free for employers to want more for less?</t>
  </si>
  <si>
    <t>2005 2016-04-25 14:16:49</t>
  </si>
  <si>
    <t>2004 2016-04-25 13:07:22</t>
  </si>
  <si>
    <t>2003 2016-04-25 13:00:56</t>
  </si>
  <si>
    <t>2002 2016-04-25 08:20:08</t>
  </si>
  <si>
    <t>Hiring security professionals has been accurately described by a local recruiter here in Boston: subject to the Goldilocks principle.  Most companies do not know what they need, but it has to be ""just right"".  A remarkable hiring paradox: the blind hiring the unknowns.</t>
  </si>
  <si>
    <t>2001 2016-04-25 07:24:01</t>
  </si>
  <si>
    <t>2000 2016-04-24 10:12:57</t>
  </si>
  <si>
    <t>Ransomware is a big concern now.  We've been lucky so far, but we are a university and there are many user-managed devices on our network that potentially could be infected, despite our efforts to get the word out.    Regarding job candidates, I picked the answer that seemed the best fit, but I can't ever claim to disregard compensation considerations.  We're having trouble filling an open position now, and while we do have applicants, most of them look to be a poor fit.  Some are not only a poor fit, but with laughably high salary expectations.</t>
  </si>
  <si>
    <t>1999 2016-04-23 19:21:46</t>
  </si>
  <si>
    <t>1998 2016-04-23 18:31:26</t>
  </si>
  <si>
    <t>1997 2016-04-23 14:25:52</t>
  </si>
  <si>
    <t>1995 2016-04-22 15:07:14</t>
  </si>
  <si>
    <t>1994 2016-04-22 13:19:45</t>
  </si>
  <si>
    <t>1993 2016-04-22 13:19:22</t>
  </si>
  <si>
    <t>1992 2016-04-22 12:50:51</t>
  </si>
  <si>
    <t>We lost a qualified candidate that was interested in us because another company moved faster.</t>
  </si>
  <si>
    <t>1991 2016-04-22 12:47:22</t>
  </si>
  <si>
    <t>1990 2016-04-22 12:37:31</t>
  </si>
  <si>
    <t>1989 2016-04-22 07:11:27</t>
  </si>
  <si>
    <t>1988 2016-04-22 07:09:23</t>
  </si>
  <si>
    <t>We've recently had to divide one job requisition, approximately equivalent to my skill set, 10 years ago, into two, because we received no qualified applicants.  We're an academic institution, so we have a harder time hiring highly skilled people, but the applicants who claimed to have the skills we required, generally didn't.  Many couldn't answer basic questions about network protocols.</t>
  </si>
  <si>
    <t>1987 2016-04-22 06:29:54</t>
  </si>
  <si>
    <t>1986 2016-04-21 17:44:27</t>
  </si>
  <si>
    <t>There are a lot of people in the marketplace who have the ""experience"" in ""industry standard"" roles who do not have the corresponding skill sets. This is a result of a combination of poor hiring practices at the institutions in which they worked and the difficulty inherent for a manager who makes poor hiring choices in admitting mistakes, perhaps in combination with more general HR issues with firing people, however new they may be to the firm. That is, the number of infosec professionals who have bounced in less than two years is rapidly increasing, and does not appear to impact their earning power.</t>
  </si>
  <si>
    <t>1985 2016-04-21 14:05:53</t>
  </si>
  <si>
    <t>1984 2016-04-21 13:31:53</t>
  </si>
  <si>
    <t>1983 2016-04-21 11:45:13</t>
  </si>
  <si>
    <t>1982 2016-04-21 11:28:49</t>
  </si>
  <si>
    <t>1981 2016-04-21 11:14:39</t>
  </si>
  <si>
    <t>DDoS extortion groups like DD4BTC have caused a marked increase in fear amongst local security staff</t>
  </si>
  <si>
    <t>1980 2016-04-21 10:42:08</t>
  </si>
  <si>
    <t>1979 2016-04-21 10:34:12</t>
  </si>
  <si>
    <t>Full text of the question exactly as seen by respondents on the survey instrument</t>
  </si>
  <si>
    <t>Question - summarized</t>
  </si>
  <si>
    <t>6. Overall perceptions:Compared to last month what is your view of: - The reputational risk to your organization from unfavorable cyber incidents (whether directed at you or others)</t>
  </si>
  <si>
    <t>QUESTION OF THE MONTH: RECENT JUDICIAL DEVELOPMENTS:(This question is optional and does not contribute to the Index calculation. This question will ch</t>
  </si>
  <si>
    <t>2045 2016-05-28 06:36:29</t>
  </si>
  <si>
    <t>ICS Survey May 2016</t>
  </si>
  <si>
    <t>Game over.  The FTC has been itching for a reason to enter data security and it will ultimately act to pre-empt such entities as the California AG.  Financial services regulators will similarly to control the mechanics of how cybersecurity is implemented at banks.;</t>
  </si>
  <si>
    <t>2044 2016-05-27 11:51:36</t>
  </si>
  <si>
    <t>I know that many organizations have a mature leadership and organizational structure that provides a more receptive environment for risk discussions. While few companies want to spend limited resources on security solutions, it appears that some are more willing to accept high levels of risk compared to their peers, often due to a lack of understanding, belief that the risks are inflated, or conviction that the odds are in their favor. With few breached companies experiencing mid-term losses due to breach or data loss, it is once again becoming difficult to promote security initiatives, even with mandates, as leaders become convinced that deadlines and compliance requirements will be pushed to the right and eased in the face of industry resistance.</t>
  </si>
  <si>
    <t>2043 2016-05-26 22:30:34</t>
  </si>
  <si>
    <t>2042 2016-05-26 17:50:52</t>
  </si>
  <si>
    <t>While Wyndham and LabMD are likely to be cited as precedential, there are existing regulations that are stronger, i.e., the two cases will eventually be seen as noise more than signal.;Game over.  The FTC has been itching for a reason to enter data security and it will ultimately act to pre-empt such entities as the California AG.  Financial services regulators will similarly to control the mechanics of how cybersecurity is implemented at banks.;</t>
  </si>
  <si>
    <t>2041 2016-05-26 17:10:20</t>
  </si>
  <si>
    <t>2040 2016-05-26 15:44:49</t>
  </si>
  <si>
    <t>2039 2016-05-25 15:08:49</t>
  </si>
  <si>
    <t>Other (please explain) (This will prompt more civil cases.);</t>
  </si>
  <si>
    <t>2038 2016-05-25 13:07:09</t>
  </si>
  <si>
    <t>These two cases are likely to most directly affect companies via their insurers, whether via D&amp;O or via E&amp;O being an immaterial if arguable detail.;</t>
  </si>
  <si>
    <t>The massive increase in Locky ransomware messages coming in via email is the reason for the ""rising"" notations I gave.  Antivirus appears to be unable to keep up with the variations in Locky, often successfully detecting the malware only days after it arrived in email.  We've had to resort to measures such as treating all .zip files received via email as malicious regardless of their antivirus scan results.</t>
  </si>
  <si>
    <t>2037 2016-05-25 12:41:11</t>
  </si>
  <si>
    <t>2036 2016-05-25 10:17:02</t>
  </si>
  <si>
    <t>The Wyndham and LabMD cases are not representative and the California AG is over-reaching.;</t>
  </si>
  <si>
    <t>2035 2016-05-25 09:41:53</t>
  </si>
  <si>
    <t>2034 2016-05-25 09:40:52</t>
  </si>
  <si>
    <t>2033 2016-05-25 08:27:25</t>
  </si>
  <si>
    <t>Compliance is increasingly raising the bar for companies - not just through laws and insurance requirements but also via third party agreements regarding sharing of information, and requirements for security certifications like SOC2, etc.</t>
  </si>
  <si>
    <t>2032 2016-05-25 08:12:14</t>
  </si>
  <si>
    <t>2031 2016-05-25 05:44:54</t>
  </si>
  <si>
    <t>2030 2016-05-25 05:44:02</t>
  </si>
  <si>
    <t>2029 2016-05-24 07:18:40</t>
  </si>
  <si>
    <t xml:space="preserve">It is good to draw a line in the sand. Also, it is better off to have a standard for reasonable security nationwide. Financial sector has already been asked to adopt the NIST Cybersecurity Framework.   </t>
  </si>
  <si>
    <t>2028 2016-05-23 18:44:21</t>
  </si>
  <si>
    <t>2027 2016-05-23 13:28:14</t>
  </si>
  <si>
    <t>2026 2016-05-23 08:12:28</t>
  </si>
  <si>
    <t>While Wyndham and LabMD are likely to be cited as precedential, there are existing regulations that are stronger, i.e., the two cases will eventually be seen as noise more than signal.;</t>
  </si>
  <si>
    <t>Lack of ISP accountability We currently have no formal (public) method for ranking ISP's hosting security, which forces network operators to basically trust all IPs equally. For example, if you're a small ISP, and your customers are running numerous open relays (abused for DDoS) your rank should be dropped heavily. If you're an ISP and you host 1 million wordpress blogs, and those 1 million wordpress blogs are leveraged in numerous DDoS attacks, that ISP ought to drop rankings for a commensurate period of time. It's rough at first, but after running and ranking for a year, you'll have an idea of 'the bottom 20% of the internet'. Blocking or limiting traffic to this bottom 20% (ingress and egress) would greatly enhance your orgs overall security posture. This same concept could be applied to ASNs. The punchline-- those who own the IP space must be held accountable for their customers (to an extent).</t>
  </si>
  <si>
    <t>2025 2016-05-23 07:01:24</t>
  </si>
  <si>
    <t>2024 2016-05-23 06:36:13</t>
  </si>
  <si>
    <t>2023 2016-05-23 06:30:34</t>
  </si>
  <si>
    <t>2022 2016-05-23 06:03:51</t>
  </si>
  <si>
    <t>2021 2016-05-23 05:38:02</t>
  </si>
  <si>
    <t>While Wyndham and LabMD are likely to be cited as precedential, there are existing regulations that are stronger, i.e., the two cases will eventually be seen as noise more than signal.;These two cases are likely to most directly affect companies via their insurers, whether via D&amp;O or via E&amp;O being an immaterial if arguable detail.;</t>
  </si>
  <si>
    <t>2020 2016-05-22 20:41:49</t>
  </si>
  <si>
    <t>2019 2016-05-22 13:12:51</t>
  </si>
  <si>
    <t>We will continue the practice of shooting the survivors for a long while yet as more and more regulators try to up the ante by being tougher than the next all the while not actually doing anything different to produce better outcomes</t>
  </si>
  <si>
    <t>2018 2016-05-22 03:23:18</t>
  </si>
  <si>
    <t>2017 2016-05-21 21:06:24</t>
  </si>
  <si>
    <t>Other (please explain) (I work In Australia so unlikely to have influence);</t>
  </si>
  <si>
    <t>2016 2016-05-21 09:53:53</t>
  </si>
  <si>
    <t>2015 2016-05-21 07:23:21</t>
  </si>
  <si>
    <t>Correlation</t>
  </si>
  <si>
    <t>Start col</t>
  </si>
  <si>
    <t>Row</t>
  </si>
  <si>
    <t>Stdev subindex</t>
  </si>
  <si>
    <t>Stdev index</t>
  </si>
  <si>
    <t>Covariance</t>
  </si>
  <si>
    <t>Beta</t>
  </si>
  <si>
    <t>Beta 2</t>
  </si>
  <si>
    <t>Beta 3</t>
  </si>
  <si>
    <t>Index change this month</t>
  </si>
  <si>
    <t>Sub-index change this month</t>
  </si>
  <si>
    <t>Risk</t>
  </si>
  <si>
    <t>Width</t>
  </si>
  <si>
    <t>th column is current month</t>
  </si>
  <si>
    <t xml:space="preserve">Reference starts at $D$37.  </t>
  </si>
  <si>
    <t>Arranged in rank order of alpha</t>
  </si>
  <si>
    <t>Contact us for additional information                                                                                                                                            ©www.cybersecurityindex.org</t>
  </si>
  <si>
    <t>INTERCEPT</t>
  </si>
  <si>
    <t>Correlation to aggregate index</t>
  </si>
  <si>
    <t>QUESTION OF THE MONTH: AIR GAPPING:(This question is optional and does not contribute to the Index calculation. This question will change each month d</t>
  </si>
  <si>
    <t>2078 2016-06-28 12:36:58</t>
  </si>
  <si>
    <t>ICS Survey June 2016</t>
  </si>
  <si>
    <t>Yes, some intentional mismatch (circuit breaker) using pairing that makes cascade, intentional or otherwise, implausible is a cost effective design mechanism.;</t>
  </si>
  <si>
    <t>2077 2016-06-28 07:37:19</t>
  </si>
  <si>
    <t>2076 2016-06-28 07:04:12</t>
  </si>
  <si>
    <t>2075 2016-06-27 17:21:12</t>
  </si>
  <si>
    <t>No, having intentional gaps in interface consistency and, even more so, removing abstraction from the toolkit of developers will make systems less efficient without reducing the possibility of cascade failure.;</t>
  </si>
  <si>
    <t>2074 2016-06-27 13:44:13</t>
  </si>
  <si>
    <t>2073 2016-06-27 13:38:05</t>
  </si>
  <si>
    <t xml:space="preserve">Thwarting innovation for the marginal impact on security is the answer I would expect from an idiot in Cingress.  Innovation is the key to security success. First there has NEVER been a successful attack against the grid. Let's head back to the Stone Age before fire; then nobody will get burned. Oh but wait humans would all freeze to death. Oh well the cure was worse than the disease. </t>
  </si>
  <si>
    <t>2072 2016-06-27 12:22:55</t>
  </si>
  <si>
    <t>Who knows?  It sounds good but it is impossible to test, and if we can't test it, it is an impractical idea we cannot care about.;</t>
  </si>
  <si>
    <t>2071 2016-06-27 09:50:21</t>
  </si>
  <si>
    <t>2070 2016-06-27 09:44:41</t>
  </si>
  <si>
    <t>Would like to see a poll about success rate of executive and/or board-level budget discussions related to security and compliance initiatives. Cyber and regulatory compliance are hot market topics, but how well are they being translated to actual security improvements?</t>
  </si>
  <si>
    <t>2069 2016-06-27 09:16:38</t>
  </si>
  <si>
    <t>airgaps are a myth.  Well not in that you can not airgap networks, but in that this actually is a preventative control. It is mostly a barrier to operation for user and sophisticated adversary can, have, and will cross the chasm when needed.</t>
  </si>
  <si>
    <t>2053 2016-06-27 05:43:19</t>
  </si>
  <si>
    <t>l work for a large University, which runs a large, mature infrastructure.  By that I mean that it's centrally controlled, embodies ITIL principles, and is led more by project managers than technologists.  I work for a semi-autonomous division that provides all the functions of the larger organization, but is firewalled-off from the larger University infrastructure.  In short, we treat the centralised management as our ISP.  Recently, there have been two disturbing trends: 1) the larger organizations is pushing to merge smaller IT groups into themselves, and 2) the larger organization has been targeted by ""APT"" groups, and successfully infiltrated.  While I have some comfort with our security (after all, it's largely my doing), but the larger organization poses a huge security risk to our operation.</t>
  </si>
  <si>
    <t>2068 2016-06-27 03:23:45</t>
  </si>
  <si>
    <t>2067 2016-06-27 02:52:07</t>
  </si>
  <si>
    <t>2066 2016-06-27 00:22:14</t>
  </si>
  <si>
    <t>2065 2016-06-25 15:55:55</t>
  </si>
  <si>
    <t>Other (please explain) (The goal is fine and research on making the grid less susceptible to cascade is desirable. However senators are not qualified to invent solutions to technical problems.);</t>
  </si>
  <si>
    <t>2064 2016-06-25 14:17:52</t>
  </si>
  <si>
    <t>We have recently found yet another SaaS service handling data in insecure manner, which was not disclosed by the service provider (perhaps they thought what they were doing was ok). The worry here is that proper disclosure of the data handling characteristics needs to be done so that customers can make the proper risk decisions. I have seen some good examples of that -- but most SaaS services are either not forthcoming or worse not aware of poor practices they may be following.</t>
  </si>
  <si>
    <t>2063 2016-06-24 13:15:06</t>
  </si>
  <si>
    <t>Other (please explain) (this  idea can be remotely exploited to cause a denial of service attack);</t>
  </si>
  <si>
    <t>2062 2016-06-23 20:04:59</t>
  </si>
  <si>
    <t>2061 2016-06-23 18:00:14</t>
  </si>
  <si>
    <t>2060 2016-06-22 07:54:06</t>
  </si>
  <si>
    <t>2059 2016-06-22 05:41:56</t>
  </si>
  <si>
    <t>2058 2016-06-21 17:55:51</t>
  </si>
  <si>
    <t>2057 2016-06-21 17:19:58</t>
  </si>
  <si>
    <t>2055 2016-06-21 13:31:06</t>
  </si>
  <si>
    <t>2054 2016-06-21 11:58:17</t>
  </si>
  <si>
    <t>2052 2016-06-21 09:44:16</t>
  </si>
  <si>
    <t>Other (please explain) (Some remote power stations are already isolated from the upstream control systems and communicate locally over microwave links with even worse security (default PINs replay attacks));</t>
  </si>
  <si>
    <t>Mass credential re-use (stolen creds) has dominated the security landscape in this past month. This changes the way we (security) interface with customers/users. There is now a much more proactive role to take (download dump data yourself, test creds against your own service, reset user's accounts who would've been exposed).</t>
  </si>
  <si>
    <t>2051 2016-06-21 09:39:23</t>
  </si>
  <si>
    <t>2049 2016-06-21 09:18:43</t>
  </si>
  <si>
    <t>2048 2016-06-21 09:05:35</t>
  </si>
  <si>
    <t>QUESTION OF THE MONTH: THE FUTURE:(This question is optional and does not contribute to the Index calculation. This question will change each month de</t>
  </si>
  <si>
    <t>2109 2016-07-28 08:58:09</t>
  </si>
  <si>
    <t>ICS Survey July 2016</t>
  </si>
  <si>
    <t>2108 2016-07-28 08:49:14</t>
  </si>
  <si>
    <t>Increased security is a mirage; we are more vulnerable than ever before and headed in the wrong direction.;</t>
  </si>
  <si>
    <t>Recommend covering identity and authentication. The rise in TFA and MFA use also seems tied to biometric solutions, which is very troubling. Biometrics are great in theory, but are an incredibly vulnerable authentication mechanism. Something you have can be replaced if lost. Something you know can be updated routinely. Something you are... well, once it's lost there is no recovering it and no changing it. Why are we doing this to ourselves? Did the OPM breach teach us nothing?</t>
  </si>
  <si>
    <t>2106 2016-07-28 06:22:13</t>
  </si>
  <si>
    <t>We continue to muddle through, just as we do today, and things become neither markedly better nor worse.;</t>
  </si>
  <si>
    <t>2105 2016-07-26 14:58:55</t>
  </si>
  <si>
    <t>We continue to muddle through, just as we do today, and things become neither markedly better nor worse.;Increased security is a mirage; we are more vulnerable than ever before and headed in the wrong direction.;</t>
  </si>
  <si>
    <t>2104 2016-07-26 10:11:52</t>
  </si>
  <si>
    <t>2103 2016-07-26 07:38:13</t>
  </si>
  <si>
    <t>2102 2016-07-26 07:11:45</t>
  </si>
  <si>
    <t>2101 2016-07-26 06:55:34</t>
  </si>
  <si>
    <t>2100 2016-07-25 08:02:39</t>
  </si>
  <si>
    <t>2099 2016-07-25 07:56:44</t>
  </si>
  <si>
    <t>2098 2016-07-25 06:44:00</t>
  </si>
  <si>
    <t xml:space="preserve">We are in the ""death by a thousand cuts"" stage of the problem. With the absence of a ""game changer"" event occurring that impacts the public at large in a profound way all at the same time the status quo will prevail. By no means advocating one, but this the kind of problem that won't get truly serious attention until it was too late to prevent ""the big one"" and then we will over react so ""that this never a happens again""... [OK Maybe I should not fill out surveys on a Monday :)]  </t>
  </si>
  <si>
    <t>2097 2016-07-25 06:12:53</t>
  </si>
  <si>
    <t>2096 2016-07-25 04:50:33</t>
  </si>
  <si>
    <t>2095 2016-07-24 22:22:49</t>
  </si>
  <si>
    <t>2094 2016-07-23 18:09:28</t>
  </si>
  <si>
    <t>2093 2016-07-23 08:49:25</t>
  </si>
  <si>
    <t xml:space="preserve">Cybersecurity workforce shortage will still be a big problem in the foreseeable future . Many hiring managers don't understand the required skills, knowledge, and experience for the cybersecurity positions. Some companies rely too much on yesterday solutions and ""old school"" thinking so that they cannot see the value of ""think outside of box"" type cybersecurity professional. A job opening with 20 plus requirements should be the signal that the employer has no idea what the critical or core requirements are. Having the wrong person to manage security is not any better than no one to manage the security.  </t>
  </si>
  <si>
    <t>2092 2016-07-22 21:17:49</t>
  </si>
  <si>
    <t>In the coming years, botnets and 'retail' level compromises become a thing of the past, though spectacular heists from time to time will keep us on the edge.;</t>
  </si>
  <si>
    <t>2091 2016-07-22 18:41:15</t>
  </si>
  <si>
    <t>2090 2016-07-22 17:49:54</t>
  </si>
  <si>
    <t>2089 2016-07-22 14:07:12</t>
  </si>
  <si>
    <t>2088 2016-07-22 06:51:38</t>
  </si>
  <si>
    <t>2087 2016-07-22 03:46:51</t>
  </si>
  <si>
    <t>2086 2016-07-21 09:55:20</t>
  </si>
  <si>
    <t>2085 2016-07-21 09:03:58</t>
  </si>
  <si>
    <t>2084 2016-07-21 07:55:10</t>
  </si>
  <si>
    <t>TTPs may change with time, but as long as the internet provides opportunity of connectivity to billions of people, some small percentage of those people will be motivated, financially or otherwise, to exploit the flock. Evolutionarily stable strategies (of computing) may be used to eventually come to an equilibrium. https://en.wikipedia.org/wiki/Evolutionarily_stable_strategy</t>
  </si>
  <si>
    <t>2083 2016-07-21 07:32:50</t>
  </si>
  <si>
    <t>2082 2016-07-21 06:44:52</t>
  </si>
  <si>
    <t>2081 2016-07-21 06:41:55</t>
  </si>
  <si>
    <t>2080 2016-07-21 06:40:29</t>
  </si>
  <si>
    <t>Largest unexpected increases</t>
  </si>
  <si>
    <t>Unexpectedly low increases</t>
  </si>
  <si>
    <t xml:space="preserve">QUESTION OF THE MONTH: THE NSA HACK:(This question is optional and does not contribute to the Index calculation. This question will change each month </t>
  </si>
  <si>
    <t>2143 2016-08-30 07:29:10</t>
  </si>
  <si>
    <t>ICS Survey August 2016</t>
  </si>
  <si>
    <t>It really does not change anything, the distinction between state and non-state is blurry enough in some parts of the world to make this an irrelevant question.;</t>
  </si>
  <si>
    <t>2142 2016-08-30 00:15:46</t>
  </si>
  <si>
    <t>It may change things insofar as the number of entities that can use such tools surely exceeds the number of entities that can build such tools.  The ratio of attack-surface to attack-capable entities is the important metric.;</t>
  </si>
  <si>
    <t>2115 2016-08-29 07:59:03</t>
  </si>
  <si>
    <t>2141 2016-08-29 07:23:21</t>
  </si>
  <si>
    <t>2140 2016-08-29 06:33:49</t>
  </si>
  <si>
    <t>The tools available to defend are so well known by our adversaries as to render many of them nearly useless to determined attackers. I doubt our ability to effectively correlate threat data and rule out indications as false positives. Why would user X try to connect with domain A in the first place? Is it a malicious ad our ad blocker did not prevent? Was there javascript running that the IPS caught only a portion of, and more took place than what is indicated? The sheer volume of data combined with rising doubts of efficacy lead me to believe not only do I need new tools, but I need tools that have not yet reached the market. We need a black swan product, and soon.</t>
  </si>
  <si>
    <t>2139 2016-08-28 23:58:05</t>
  </si>
  <si>
    <t>2138 2016-08-28 22:07:21</t>
  </si>
  <si>
    <t>2111 2016-08-28 11:43:32</t>
  </si>
  <si>
    <t>2137 2016-08-28 07:45:30</t>
  </si>
  <si>
    <t>2136 2016-08-26 18:53:34</t>
  </si>
  <si>
    <t>It almost surely already has because news items such as the claims made by the ShadowBrokers are always much after the fact.;</t>
  </si>
  <si>
    <t>2135 2016-08-26 13:04:18</t>
  </si>
  <si>
    <t>2134 2016-08-26 07:06:11</t>
  </si>
  <si>
    <t>2133 2016-08-26 05:30:15</t>
  </si>
  <si>
    <t>2132 2016-08-25 11:45:11</t>
  </si>
  <si>
    <t>2131 2016-08-25 11:44:17</t>
  </si>
  <si>
    <t>It may change things insofar as the number of entities that can use such tools surely exceeds the number of entities that can build such tools.  The ratio of attack-surface to attack-capable entities is the important metric.;It almost surely already has because news items such as the claims made by the ShadowBrokers are always much after the fact.;</t>
  </si>
  <si>
    <t>2130 2016-08-25 07:42:18</t>
  </si>
  <si>
    <t>Isn't the insecure internet a black swan? The NSA Hack tool is a black swan. The industry should work harder on defense-in-depth and come up with smarter solution.</t>
  </si>
  <si>
    <t>2129 2016-08-25 07:14:57</t>
  </si>
  <si>
    <t>2128 2016-08-25 07:03:09</t>
  </si>
  <si>
    <t>2127 2016-08-23 23:31:54</t>
  </si>
  <si>
    <t>2126 2016-08-23 17:21:36</t>
  </si>
  <si>
    <t>2125 2016-08-23 12:28:32</t>
  </si>
  <si>
    <t>2124 2016-08-23 09:01:44</t>
  </si>
  <si>
    <t>2123 2016-08-23 07:58:00</t>
  </si>
  <si>
    <t>It really does not change anything, the distinction between state and non-state is blurry enough in some parts of the world to make this an irrelevant question.;It may change things insofar as the number of entities that can use such tools surely exceeds the number of entities that can build such tools.  The ratio of attack-surface to attack-capable entities is the important metric.;Other (please explain) (What does Geer think?);</t>
  </si>
  <si>
    <t>2122 2016-08-23 07:24:43</t>
  </si>
  <si>
    <t>2121 2016-08-23 07:07:28</t>
  </si>
  <si>
    <t>2120 2016-08-23 05:39:48</t>
  </si>
  <si>
    <t>2119 2016-08-22 16:47:09</t>
  </si>
  <si>
    <t>Other (please explain) (These are not the droids your looking for);</t>
  </si>
  <si>
    <t>2118 2016-08-22 10:43:23</t>
  </si>
  <si>
    <t>We will never know.  What else is new?;</t>
  </si>
  <si>
    <t>2117 2016-08-22 09:48:16</t>
  </si>
  <si>
    <t>2116 2016-08-22 09:15:44</t>
  </si>
  <si>
    <t>2114 2016-08-22 05:30:12</t>
  </si>
  <si>
    <t>Unlike other types of munitions when cyber weapons detonate the victim often has enough information to reassemble it. That means that the victim can now become the aggressor using the same exploits on new targets. When those munitions are shared everyone can pick them up an shoot back with them too. There is no difference in who is shooting at you in the end for a single volley of hostile fire. The only question is how often do they come back at you if they did not achieve their objective and what new weapons do they bring to the fight.</t>
  </si>
  <si>
    <t>2113 2016-08-21 19:26:00</t>
  </si>
  <si>
    <t>2112 2016-08-21 14:02:35</t>
  </si>
  <si>
    <t>Month</t>
  </si>
  <si>
    <t>Index</t>
  </si>
  <si>
    <t>QUESTION OF THE MONTH: THREAT INTELLIGENCE:(This question is optional and does not contribute to the Index calculation. This question will change each</t>
  </si>
  <si>
    <t>2178 2016-09-27 22:47:37</t>
  </si>
  <si>
    <t>ICS Survey September 2016</t>
  </si>
  <si>
    <t>We pointedly work on keeping defenses up.  Spending time on threats is a waste as threat information is rarely specific enough to be actionable.;</t>
  </si>
  <si>
    <t>2159 2016-09-27 22:09:26</t>
  </si>
  <si>
    <t>We monitor national CERT alerts, mailing lists, vendor advisories, security websites and blogs on a best effort basis, and have a defined process to react if we see something actionable that is relevant to us or if something is brought to our attention.;</t>
  </si>
  <si>
    <t>2177 2016-09-27 06:48:25</t>
  </si>
  <si>
    <t>2176 2016-09-27 06:06:46</t>
  </si>
  <si>
    <t>Talent pool. We, like so many others, continue to face a shortage in available talent. Worse still, HR teams and recruiters have a difficult time screening candidates properly which only exaggerates the problem. Need a solution to this issue.</t>
  </si>
  <si>
    <t>2175 2016-09-27 03:11:34</t>
  </si>
  <si>
    <t>We actively manage threat information using paid subscriptions and analysts working full time on external threats.  Roles and responsibilities are defined and expected outcomes understood.;</t>
  </si>
  <si>
    <t>2174 2016-09-26 16:17:18</t>
  </si>
  <si>
    <t>2173 2016-09-26 12:05:52</t>
  </si>
  <si>
    <t>2172 2016-09-26 11:52:53</t>
  </si>
  <si>
    <t>2171 2016-09-26 10:28:16</t>
  </si>
  <si>
    <t>2170 2016-09-26 08:37:26</t>
  </si>
  <si>
    <t>2168 2016-09-25 16:22:48</t>
  </si>
  <si>
    <t>We monitor national CERT alerts, mailing lists, vendor advisories, security websites and blogs on a best effort basis, and have a defined process to react if we see something actionable that is relevant to us or if something is brought to our attention.;We actively manage threat information using paid subscriptions and analysts working full time on external threats.  Roles and responsibilities are defined and expected outcomes understood.;</t>
  </si>
  <si>
    <t xml:space="preserve">the single biggest threat to cybersecurity is audit and compliance.  The resource drain is exhausting and growing, threating to overwhelm security resources. </t>
  </si>
  <si>
    <t>2167 2016-09-25 15:01:53</t>
  </si>
  <si>
    <t>Healthcare attacks have risen significantly</t>
  </si>
  <si>
    <t>2166 2016-09-25 14:53:41</t>
  </si>
  <si>
    <t>Though we do not monitor threats actively, we try to react to big news items or threat related queries that may come our way from management or customers.;</t>
  </si>
  <si>
    <t>2165 2016-09-25 07:53:54</t>
  </si>
  <si>
    <t>2164 2016-09-23 13:38:00</t>
  </si>
  <si>
    <t>2163 2016-09-23 11:55:19</t>
  </si>
  <si>
    <t>We're rolling out a massive two-factor authentication effort, which accounts for our falling risks</t>
  </si>
  <si>
    <t>2162 2016-09-23 11:29:36</t>
  </si>
  <si>
    <t>2161 2016-09-23 11:10:14</t>
  </si>
  <si>
    <t xml:space="preserve">Accountability is a major problem to service provider like Yahoo that has a massive data breach. The ex-CISO of Yahoo warned the CEO Marissa Mayer about the risk, and Marissa failed to take action to improve the security of customer's data. Marissa should be held responsible and Yahoo should withhold any bonus to her. </t>
  </si>
  <si>
    <t>2160 2016-09-23 05:11:16</t>
  </si>
  <si>
    <t>2158 2016-09-23 04:20:19</t>
  </si>
  <si>
    <t>2157 2016-09-23 00:49:18</t>
  </si>
  <si>
    <t>2156 2016-09-22 12:13:36</t>
  </si>
  <si>
    <t>2155 2016-09-22 05:03:55</t>
  </si>
  <si>
    <t>2154 2016-09-21 18:52:30</t>
  </si>
  <si>
    <t>2153 2016-09-21 17:16:53</t>
  </si>
  <si>
    <t>We pointedly work on keeping defenses up.  Spending time on threats is a waste as threat information is rarely specific enough to be actionable.;We actively manage threat information using paid subscriptions and analysts working full time on external threats.  Roles and responsibilities are defined and expected outcomes understood.;</t>
  </si>
  <si>
    <t>2152 2016-09-21 10:27:32</t>
  </si>
  <si>
    <t>2151 2016-09-21 09:38:25</t>
  </si>
  <si>
    <t>2150 2016-09-21 08:23:31</t>
  </si>
  <si>
    <t>2149 2016-09-21 08:14:56</t>
  </si>
  <si>
    <t>Though we do not monitor threats actively, we try to react to big news items or threat related queries that may come our way from management or customers.;We monitor national CERT alerts, mailing lists, vendor advisories, security websites and blogs on a best effort basis, and have a defined process to react if we see something actionable that is relevant to us or if something is brought to our attention.;</t>
  </si>
  <si>
    <t>2148 2016-09-21 08:03:01</t>
  </si>
  <si>
    <t>2147 2016-09-21 07:25:47</t>
  </si>
  <si>
    <t>2146 2016-09-21 06:15:39</t>
  </si>
  <si>
    <t>Driving to action seems to be the part where most firms fall down. If they have threat analyst they are adept at collecting and understanding data from a strategic or tactical level, but almost all struggle with acting on the data. This is not because the data itself is poor although that is often true it is because it is too hard to push it to the existing tools,controls, and sensors.</t>
  </si>
  <si>
    <t>2145 2016-09-21 05:33:22</t>
  </si>
  <si>
    <t>&lt;h1&gt;&lt;span style="font-size: 18pt;"&gt;ICS Value, August 2016 = 3366 (Base = 1000, March 2011)&lt;/span&gt;&lt;/h1&gt;
&lt;p&gt;&lt;img style="border-width: 0px; border-style: none; border: 0;" src="images/stories/ics_aug_2016.png" alt="August 2016, Index of Cyber Security" width="833" height="481" border="0" /&gt;&lt;/p&gt;
&lt;p&gt;The Index of Cyber Security is a measure of risk. A higher index value indicates a perception of increasing risk, while a lower index value indicates the opposite.&lt;/p&gt;
&lt;p&gt; &lt;/p&gt;
&lt;hr /&gt;
&lt;p&gt; &lt;/p&gt;
&lt;p&gt;&lt;span style="color: #53623c; font-family: 'Trebuchet MS', Arial, Helvetica, sans-serif; font-size: 30px;"&gt;Introduction - August 2016&lt;/span&gt;&lt;/p&gt;
&lt;p&gt;The Index of Cyber Security rose by 1.1% over the previous month.&lt;/p&gt;
&lt;h1&gt;Key findings&lt;/h1&gt;
&lt;p&gt;The fastest rising risks for the month were as follows:&lt;/p&gt;
&lt;ul&gt;
&lt;li&gt;&lt;span style="color: #000000;"&gt;Weapons: Phishing/social engineering +2.8%.&lt;/span&gt;&lt;/li&gt;
&lt;li&gt;&lt;span style="color: #000000;"&gt;Overall: Media &amp;amp; public perception +2.8%.&lt;/span&gt;&lt;/li&gt;
&lt;li&gt;&lt;span style="color: #000000;"&gt;Attackers: Nation states +2.3%.&lt;/span&gt;&lt;/li&gt;
&lt;/ul&gt;
&lt;p&gt;Most risk indicators were up when compared to the previous month.&lt;/p&gt;
&lt;p&gt;&lt;span style="color: #53623c; font-family: 'Trebuchet MS', Arial, Helvetica, sans-serif; font-size: 30px;"&gt;Detailed report&lt;/span&gt;&lt;/p&gt;
&lt;p&gt;As before, in the coming days, we will share with our respondents the detailed report from this survey, outlining each of the component sub-indices that constitute the aggregate index. We continue to expand our respondent base each month and are looking for qualified referrals to security practitioners. If you would like to participate in this project, or know of someone who might be a valuable contributor to this effort, please do let us know. Our contact information is available under the 'Contacts' tab on this website.&lt;/p&gt;</t>
  </si>
  <si>
    <t>Predicted by beta
(= beta * index change)</t>
  </si>
  <si>
    <t>Alpha, or unexpected change
(=Total - Predicted)</t>
  </si>
  <si>
    <t>QUESTION OF THE MONTH: SECURITY TALENT(This question is optional)The market for security talent is not homogenous across skill sets some are more in demand than others.Â  What has been your recent experience with the availability of talent for different security roles?Â  - Particular tool or specific technology engineer</t>
  </si>
  <si>
    <t>QUESTION OF THE MONTH: SECURITY TALENT(This question is optional)The market for security talent is not homogenous across skill sets some are more in demand than others.Â  What has been your recent experience with the availability of talent for different security roles?Â  - Security architect</t>
  </si>
  <si>
    <t>QUESTION OF THE MONTH: SECURITY TALENT(This question is optional)The market for security talent is not homogenous across skill sets some are more in demand than others.Â  What has been your recent experience with the availability of talent for different security roles?Â  - Network and infrastructure security</t>
  </si>
  <si>
    <t>QUESTION OF THE MONTH: SECURITY TALENT(This question is optional)The market for security talent is not homogenous across skill sets some are more in demand than others.Â  What has been your recent experience with the availability of talent for different security roles?Â  - Application security</t>
  </si>
  <si>
    <t>QUESTION OF THE MONTH: SECURITY TALENT(This question is optional)The market for security talent is not homogenous across skill sets some are more in demand than others.Â  What has been your recent experience with the availability of talent for different security roles?Â  - Generalist control &amp; risk assessment expert</t>
  </si>
  <si>
    <t>QUESTION OF THE MONTH: SECURITY TALENT(This question is optional)The market for security talent is not homogenous across skill sets some are more in demand than others.Â  What has been your recent experience with the availability of talent for different security roles?Â  - Security metrics &amp; data analytics</t>
  </si>
  <si>
    <t>QUESTION OF THE MONTH: SECURITY TALENT(This question is optional)The market for security talent is not homogenous across skill sets some are more in demand than others.Â  What has been your recent experience with the availability of talent for different security roles?Â  - Security project or program manager</t>
  </si>
  <si>
    <t>QUESTION OF THE MONTH: SECURITY TALENT(This question is optional)The market for security talent is not homogenous across skill sets some are more in demand than others.Â  What has been your recent experience with the availability of talent for different security roles?Â  - Security leadership talent</t>
  </si>
  <si>
    <t>2208 2016-10-26 07:18:30</t>
  </si>
  <si>
    <t>ICS Survey October 2016</t>
  </si>
  <si>
    <t>Reasonable</t>
  </si>
  <si>
    <t>Difficult to find</t>
  </si>
  <si>
    <t>2207 2016-10-26 05:56:05</t>
  </si>
  <si>
    <t>2206 2016-10-26 05:50:26</t>
  </si>
  <si>
    <t>2205 2016-10-26 05:36:04</t>
  </si>
  <si>
    <t>Abundant</t>
  </si>
  <si>
    <t>Very difficult to find</t>
  </si>
  <si>
    <t>2204 2016-10-26 04:35:02</t>
  </si>
  <si>
    <t>2203 2016-10-26 00:55:00</t>
  </si>
  <si>
    <t>2202 2016-10-25 16:45:12</t>
  </si>
  <si>
    <t>2201 2016-10-25 10:39:30</t>
  </si>
  <si>
    <t>2200 2016-10-25 10:10:38</t>
  </si>
  <si>
    <t>2199 2016-10-25 08:39:00</t>
  </si>
  <si>
    <t xml:space="preserve">Most job descriptions for cybersecurity positions are problematic. Many organizations put a focus on yesterday solutions and mindset to solve emerging problems. Too many hiring managers only want tool operator instead of problem solver.  For IT, we have known that vendor-neutral is better than vendor-specific. Most of the time, hiring managers just don't know what they need when they post a job with 20-30 requirements and fail to list which ones are critical. Talented security professionals are just suffered by the incompetent hiring teams (e.g., HR, manager) when they look for new opportunity. </t>
  </si>
  <si>
    <t>2198 2016-10-25 06:48:03</t>
  </si>
  <si>
    <t>2197 2016-10-25 05:26:24</t>
  </si>
  <si>
    <t>2196 2016-10-25 04:33:19</t>
  </si>
  <si>
    <t>Super abundant</t>
  </si>
  <si>
    <t>Qualified Threat Intellegence experts are very difficult to find. (not on the list)</t>
  </si>
  <si>
    <t>2195 2016-10-24 23:24:58</t>
  </si>
  <si>
    <t>2194 2016-10-24 17:12:14</t>
  </si>
  <si>
    <t>2193 2016-10-24 14:34:27</t>
  </si>
  <si>
    <t>2192 2016-10-24 12:31:40</t>
  </si>
  <si>
    <t>2191 2016-10-24 02:38:29</t>
  </si>
  <si>
    <t>2190 2016-10-23 22:23:49</t>
  </si>
  <si>
    <t>2189 2016-10-22 22:31:23</t>
  </si>
  <si>
    <t>IoT and DDOS new change in weapons</t>
  </si>
  <si>
    <t>2188 2016-10-22 16:57:05</t>
  </si>
  <si>
    <t>2187 2016-10-22 16:13:16</t>
  </si>
  <si>
    <t>2186 2016-10-22 09:56:08</t>
  </si>
  <si>
    <t>2185 2016-10-22 07:35:02</t>
  </si>
  <si>
    <t>The question of the month lists security roles that mean very different thing to different people. For example: Software people something think security architect means software security pattern creation, other think it means enterprise-level architecture for a given technology. When i use the term, I mean someone who more broadly and holistically can architecture security over digital assets. I could lay out two to four definitions of each of these as a ""role."" As a skill set, these terms are somewhat less controversial.</t>
  </si>
  <si>
    <t>2184 2016-10-21 12:06:13</t>
  </si>
  <si>
    <t>2183 2016-10-21 09:43:50</t>
  </si>
  <si>
    <t>2182 2016-10-21 09:22:59</t>
  </si>
  <si>
    <t>2181 2016-10-21 08:59:43</t>
  </si>
  <si>
    <t>2180 2016-10-21 06:07:51</t>
  </si>
  <si>
    <t>I don't believe the ""talent problem"" is as bad as many seem to think.  In a lot of cases, we may simply be expecting too much when it comes to the *experience* level.  Everyone seems to want to hire experts, which is understandable, though the experts got that way by working their way up.  Yet if we insist on only hiring experts, then we're not supporting the pipeline for novice and intermediate practitioners to become the experts we need.  Were we more willing to hire at lower skill levels and invest in training and professional development, we might find the ""talent problem"" will become easier to deal with.</t>
  </si>
  <si>
    <t>2211 2016-10-28 10:10:50</t>
  </si>
  <si>
    <t>2210 2016-10-27 18:20:25</t>
  </si>
  <si>
    <t>2209 2016-10-27 07:59:06</t>
  </si>
  <si>
    <t>We require all endpoints which have permission to be on the corporate net to take software updates from our own update infrastructure - and not that of the vendors - so as to avoid unintended breakage.;</t>
  </si>
  <si>
    <t>ICS Survey November 2016</t>
  </si>
  <si>
    <t>2215 2016-11-21 05:55:41</t>
  </si>
  <si>
    <t>2216 2016-11-21 06:09:02</t>
  </si>
  <si>
    <t>We're showing a rapid increase in requests for integrated cloud solutions with our onsite infrastructure - sometimes, without cost analysis.  I spend much of my time vetting third party products and vendors.</t>
  </si>
  <si>
    <t>2217 2016-11-21 06:23:55</t>
  </si>
  <si>
    <t>We require all endpoints which have permission to be on the corporate net to take software updates from the relevant vendors.;</t>
  </si>
  <si>
    <t>2218 2016-11-21 06:39:45</t>
  </si>
  <si>
    <t>Everything is locked down and no auto update is done until systems administration and compliance agree that an update is ready.  For this reason, they are almost always bunched into update sprints that are months apart.;</t>
  </si>
  <si>
    <t>2219 2016-11-21 06:55:08</t>
  </si>
  <si>
    <t>2220 2016-11-21 08:07:36</t>
  </si>
  <si>
    <t>We are a BYOD organization and while we encouage frequent update, our encouragement is in the form of sharp limits on what software version numbers can operate here.  End users who opt for auto-update will never notice any of this.;</t>
  </si>
  <si>
    <t>2221 2016-11-21 08:12:55</t>
  </si>
  <si>
    <t>Other (please explain) (Hybrid between all of the above.  Unfortunately it depends on the vendor the user/owners and the risk tolerance of those individuals.  );</t>
  </si>
  <si>
    <t>2222 2016-11-21 09:31:11</t>
  </si>
  <si>
    <t>2223 2016-11-21 09:36:51</t>
  </si>
  <si>
    <t>2224 2016-11-21 11:43:12</t>
  </si>
  <si>
    <t>2225 2016-11-21 14:16:10</t>
  </si>
  <si>
    <t>2226 2016-11-21 17:33:12</t>
  </si>
  <si>
    <t>Other (please explain) (I am not a system administrator so cannot answer this question.);</t>
  </si>
  <si>
    <t>2227 2016-11-21 17:43:05</t>
  </si>
  <si>
    <t>2228 2016-11-21 23:21:44</t>
  </si>
  <si>
    <t>2230 2016-11-22 06:27:37</t>
  </si>
  <si>
    <t>2231 2016-11-22 06:39:23</t>
  </si>
  <si>
    <t>2232 2016-11-22 07:17:11</t>
  </si>
  <si>
    <t>2233 2016-11-22 08:03:14</t>
  </si>
  <si>
    <t>2234 2016-11-22 08:38:56</t>
  </si>
  <si>
    <t>mirai is a game changer?</t>
  </si>
  <si>
    <t>2235 2016-11-22 16:41:35</t>
  </si>
  <si>
    <t>2236 2016-11-23 00:49:16</t>
  </si>
  <si>
    <t>2237 2016-11-23 05:48:47</t>
  </si>
  <si>
    <t>2238 2016-11-23 11:35:31</t>
  </si>
  <si>
    <t xml:space="preserve">Time to think critically about security patching of vulnerable software. Steve Jobs made a strong point on not supporting Adobe Flash since it has new vulnerabilities discovered all the time. How many security patches for Adobe Flash so far? The model doesn't not seem working at all. The worse thing is that some Internet of Things can't have auto update.  </t>
  </si>
  <si>
    <t>2239 2016-11-23 12:10:12</t>
  </si>
  <si>
    <t>Unless you write your own software the ""prove correctness"" is an aspiration not a strategy.  Having written software if you actually want to release it in your lifetime that is an aspiration too.  Software maintenance is like voting patch early and often!</t>
  </si>
  <si>
    <t>We require all endpoints which have permission to be on the corporate net to take software updates from the relevant vendors.;We are a BYOD organization and while we encouage frequent update, our encouragement is in the form of sharp limits on what software version numbers can operate here.  End users who opt for auto-update will never notice any of this.;</t>
  </si>
  <si>
    <t>2240 2016-11-23 12:14:12</t>
  </si>
  <si>
    <t>2241 2016-11-23 12:40:11</t>
  </si>
  <si>
    <t>2242 2016-11-23 15:39:33</t>
  </si>
  <si>
    <t>2243 2016-11-23 20:07:48</t>
  </si>
  <si>
    <t>2244 2016-11-24 00:44:10</t>
  </si>
  <si>
    <t>2245 2016-11-24 15:11:14</t>
  </si>
  <si>
    <t>2246 2016-11-25 00:15:27</t>
  </si>
  <si>
    <t>2247 2016-11-25 05:43:30</t>
  </si>
  <si>
    <t>We require all endpoints which have permission to be on the corporate net to take software updates from our own update infrastructure - and not that of the vendors - so as to avoid unintended breakage.;Everything is locked down and no auto update is done until systems administration and compliance agree that an update is ready.  For this reason, they are almost always bunched into update sprints that are months apart.;</t>
  </si>
  <si>
    <t>2248 2016-11-25 15:35:27</t>
  </si>
  <si>
    <t>Other (please explain) (Some updates are managed via internal corporate infrastructure however some users have admin rights and are allowed to install and update applications on their own.);</t>
  </si>
  <si>
    <t>2249 2016-11-28 06:02:54</t>
  </si>
  <si>
    <t>QUESTION OF THE MONTH: AUTO UPDATE:(This question is optional and does not contribute to the Index calculation. This question will change each month d</t>
  </si>
  <si>
    <t>QUESTION OF THE MONTH: SECURITY WORKLOAD:(This question is optional and does not contribute to the Index calculation. This question will change each m</t>
  </si>
  <si>
    <t>2280 2016-12-28 08:58:59</t>
  </si>
  <si>
    <t>ICS Survey December 2016</t>
  </si>
  <si>
    <t>Flat, as we don't see much change in the secular trend of the pool of vulnerabilities affecting our current systems.  The count of new issues is largely offset by those that affect older versions as those older versions become irrelevant to us;</t>
  </si>
  <si>
    <t>2279 2016-12-28 06:01:00</t>
  </si>
  <si>
    <t>Decreasing, as we continue to outsource, to air-gap, to block administrative capabilities, to limit functionality and to automate the rest -- our goal is fewer fire-drills and we are making progress;</t>
  </si>
  <si>
    <t>2278 2016-12-27 18:40:21</t>
  </si>
  <si>
    <t>We struggle to keep up with what looks like an increasing workload;</t>
  </si>
  <si>
    <t>2277 2016-12-27 17:02:08</t>
  </si>
  <si>
    <t>2276 2016-12-27 12:01:07</t>
  </si>
  <si>
    <t>2275 2016-12-27 10:15:19</t>
  </si>
  <si>
    <t>2274 2016-12-27 09:11:09</t>
  </si>
  <si>
    <t>Fluctuating in random ways, periods of calm are interspersed with surprising workload as vulnerabilities are identified, but it is nothing we cannot manage;</t>
  </si>
  <si>
    <t>2273 2016-12-27 08:27:25</t>
  </si>
  <si>
    <t>2272 2016-12-27 05:45:07</t>
  </si>
  <si>
    <t>2271 2016-12-27 03:31:12</t>
  </si>
  <si>
    <t>2270 2016-12-26 07:42:47</t>
  </si>
  <si>
    <t>2269 2016-12-25 13:25:43</t>
  </si>
  <si>
    <t>2268 2016-12-25 05:51:27</t>
  </si>
  <si>
    <t>2267 2016-12-25 02:30:20</t>
  </si>
  <si>
    <t>2266 2016-12-24 22:44:16</t>
  </si>
  <si>
    <t>Mildly decreasing, as our actions (of the type listed in 1 above) are complemented by generally more security-aware vendors for core infrastructure components;</t>
  </si>
  <si>
    <t>2265 2016-12-24 22:04:34</t>
  </si>
  <si>
    <t>2264 2016-12-24 13:30:03</t>
  </si>
  <si>
    <t>2263 2016-12-23 21:08:59</t>
  </si>
  <si>
    <t xml:space="preserve">Cybersecurity is asymmetric by nature. It has yet been attacker's advantage and defender's dilemma. All storms are perfect. Are we ready for zero-hour exploit? To most organizations, It is a matter of risk tolerance to set the level of effort for cybersecurity. </t>
  </si>
  <si>
    <t>2262 2016-12-23 08:13:42</t>
  </si>
  <si>
    <t>2261 2016-12-22 19:46:59</t>
  </si>
  <si>
    <t>Gartner, although not all prescient, have added S safety to the CIA triad.  do you agree? and should you add S to section 3</t>
  </si>
  <si>
    <t>2260 2016-12-22 12:09:58</t>
  </si>
  <si>
    <t>2259 2016-12-22 11:30:20</t>
  </si>
  <si>
    <t>2258 2016-12-22 08:27:08</t>
  </si>
  <si>
    <t>2257 2016-12-21 23:08:40</t>
  </si>
  <si>
    <t>2256 2016-12-21 22:38:56</t>
  </si>
  <si>
    <t>2255 2016-12-21 18:25:05</t>
  </si>
  <si>
    <t>2254 2016-12-21 10:31:33</t>
  </si>
  <si>
    <t>2253 2016-12-21 09:34:04</t>
  </si>
  <si>
    <t>Mildly decreasing, as our actions (of the type listed in 1 above) are complemented by generally more security-aware vendors for core infrastructure components;Other (please explain) (Aggressive hardening / reducing attack surface is serving us well.);</t>
  </si>
  <si>
    <t>Implementing ""foundational controls"" (CIS's Critical Security Controls / SANS Top 4) controls has been a lifesaver for our org. We have found that these are the equivalent of the basic moves in martial arts - they help us in any attack scenario.</t>
  </si>
  <si>
    <t>2252 2016-12-21 08:39:03</t>
  </si>
  <si>
    <t>2251 2016-12-21 07:34:42</t>
  </si>
  <si>
    <t>Dec-16</t>
  </si>
  <si>
    <t>QUESTION OF THE MONTH: INFORMATION SHARING WITH THE GOVERNMENT:(This question is optional and does not contribute to the Index calculation. This quest</t>
  </si>
  <si>
    <t>2305 2017-01-30 08:14:31</t>
  </si>
  <si>
    <t>ICS Survey January 2017</t>
  </si>
  <si>
    <t>While perhaps a good idea, the answer is 'No' - there are too many side effects that come with mandatory reporting.;We do not trust governments to handle this sort of data, and will share only the bare minimum that the law requires.;</t>
  </si>
  <si>
    <t>2314 2017-01-30 05:36:47</t>
  </si>
  <si>
    <t>While perhaps a good idea, the answer is 'No' - there are too many side effects that come with mandatory reporting.;Information sharing needs to be a two-way street. We might go forward with greater sharing with government, but only in a situation more appreciative of our needs to know.  We will share all that we know only if government shares all that it knows.;We do not trust governments to handle this sort of data, and will share only the bare minimum that the law requires.;</t>
  </si>
  <si>
    <t>2313 2017-01-29 07:02:07</t>
  </si>
  <si>
    <t>While perhaps a good idea, the answer is 'No' - there are too many side effects that come with mandatory reporting.;</t>
  </si>
  <si>
    <t>2312 2017-01-28 09:11:22</t>
  </si>
  <si>
    <t>We do not trust governments to handle this sort of data, and will share only the bare minimum that the law requires.;</t>
  </si>
  <si>
    <t>2311 2017-01-27 15:13:42</t>
  </si>
  <si>
    <t xml:space="preserve">I think my opinion is more like ""We do not trust governments (or anyone, really)  to manage this without the kind of rules that prevent misuse. Until then, we can only share what the law requires."" </t>
  </si>
  <si>
    <t>2310 2017-01-27 13:51:28</t>
  </si>
  <si>
    <t>We are only too happy to share all that we can.  Keeping anything secret is impossible anyway.;</t>
  </si>
  <si>
    <t>2309 2017-01-27 11:57:52</t>
  </si>
  <si>
    <t>Other (please explain) (It may not matter unless the scale and pain is significant enough to force public outcry. One billion accounts affected by the Yahoo hack was met with little more than a whimper by the affected. Yahoo may fold or be acquired but would it have made a difference to know sooner? );</t>
  </si>
  <si>
    <t xml:space="preserve">Despite the fact that public awareness about hacking and data loss is only increasing, those of us in the industry struggle to effectively communicate the true threat to business, government, economy, personal privacy and safety.  We are losing both the battle and the war. There are few, if any, organizations that can effectively defend against the advanced cyber risks from a determined aggressor. I expect that we will learn years from now that we are in far more dire circumstances than even the worst predictions today. How will we defend the data of tomorrow using an evolved but failure-prone defense in depth model used today? </t>
  </si>
  <si>
    <t>2308 2017-01-26 07:56:05</t>
  </si>
  <si>
    <t>We will willingly share if and only if by doing so we get the government's guarantee that what we share will not be used against us by them or other parties.;</t>
  </si>
  <si>
    <t xml:space="preserve">The government has no good track record on securing their data. The question is how they can protect the information shared with them. Trust needs to be established first before information sharing. </t>
  </si>
  <si>
    <t>2307 2017-01-25 23:15:45</t>
  </si>
  <si>
    <t>2306 2017-01-25 08:20:29</t>
  </si>
  <si>
    <t>Information sharing needs to be a two-way street. We might go forward with greater sharing with government, but only in a situation more appreciative of our needs to know.  We will share all that we know only if government shares all that it knows.;</t>
  </si>
  <si>
    <t>We need to cyber centers of excellence independent of the government but sanctioned by the government to provide expertise and counsel to the private sector and government during incidents.</t>
  </si>
  <si>
    <t>2304 2017-01-25 07:15:41</t>
  </si>
  <si>
    <t>2303 2017-01-25 06:57:32</t>
  </si>
  <si>
    <t>Information sharing needs to be a two-way street. We might go forward with greater sharing with government, but only in a situation more appreciative of our needs to know.  We will share all that we know only if government shares all that it knows.;We will willingly share if and only if by doing so we get the government's guarantee that what we share will not be used against us by them or other parties.;</t>
  </si>
  <si>
    <t>2302 2017-01-25 00:22:05</t>
  </si>
  <si>
    <t>Other (please explain) (It depends on the country you live in / do your business.);</t>
  </si>
  <si>
    <t>2301 2017-01-24 22:41:46</t>
  </si>
  <si>
    <t>We will willingly share if and only if by doing so we get the government's guarantee that what we share will not be used against us by them or other parties.;We are only too happy to share all that we can.  Keeping anything secret is impossible anyway.;</t>
  </si>
  <si>
    <t xml:space="preserve">It might be interesting to ask a question next month about the SHA-1 deprecation -- how much energy is going in to resolving it, do people think it's a serious issue or just paranoia, etc. </t>
  </si>
  <si>
    <t>2300 2017-01-24 18:40:31</t>
  </si>
  <si>
    <t>2299 2017-01-24 16:54:26</t>
  </si>
  <si>
    <t>Other (please explain) (mandatory reporting - there are consumer prtection and OH);</t>
  </si>
  <si>
    <t>2298 2017-01-24 15:29:57</t>
  </si>
  <si>
    <t>2297 2017-01-24 13:02:07</t>
  </si>
  <si>
    <t>2296 2017-01-24 12:30:12</t>
  </si>
  <si>
    <t>2295 2017-01-24 10:14:07</t>
  </si>
  <si>
    <t>2294 2017-01-24 09:32:56</t>
  </si>
  <si>
    <t>2293 2017-01-24 09:22:10</t>
  </si>
  <si>
    <t>2292 2017-01-23 15:56:30</t>
  </si>
  <si>
    <t>2291 2017-01-23 10:26:32</t>
  </si>
  <si>
    <t>Other (please explain) (I can see sharing with the Government if it is 100% anonymous);</t>
  </si>
  <si>
    <t>2290 2017-01-23 08:00:41</t>
  </si>
  <si>
    <t xml:space="preserve">The recent GRIZZLYSTEPPE JIB provided by the USG was roundly viewed as an incomplete, unorganized, amatuer intel report, lacking in verified, actionable data, as well as context. If the USG wants more information sharing from private companies, then they're going to have to reciprocate by sharing higher quality data themselves. </t>
  </si>
  <si>
    <t>2289 2017-01-23 06:52:04</t>
  </si>
  <si>
    <t>2288 2017-01-23 06:20:09</t>
  </si>
  <si>
    <t>While perhaps a good idea, the answer is 'No' - there are too many side effects that come with mandatory reporting.;Information sharing needs to be a two-way street. We might go forward with greater sharing with government, but only in a situation more appreciative of our needs to know.  We will share all that we know only if government shares all that it knows.;</t>
  </si>
  <si>
    <t>2287 2017-01-23 00:12:02</t>
  </si>
  <si>
    <t>2286 2017-01-22 21:49:09</t>
  </si>
  <si>
    <t>2285 2017-01-22 09:55:52</t>
  </si>
  <si>
    <t>2284 2017-01-21 09:23:00</t>
  </si>
  <si>
    <t>Jan-17</t>
  </si>
  <si>
    <t>QUESTION OF THE MONTH: PERSONAL AND FAMILY SECURITY(This question is optional and does not contribute to the Index calculation. This question will cha</t>
  </si>
  <si>
    <t>2338 2017-02-26 06:50:40</t>
  </si>
  <si>
    <t>ICS Survey February 2017</t>
  </si>
  <si>
    <t>Work security is much better than personal and home security, the latter essentially boiling down to auto-updates where they can occur;</t>
  </si>
  <si>
    <t>2337 2017-02-26 03:18:40</t>
  </si>
  <si>
    <t>Personal and home security is actually better as I have a degree of control that exceeds the control I/we can exercise at work;</t>
  </si>
  <si>
    <t>2336 2017-02-26 02:26:16</t>
  </si>
  <si>
    <t>2335 2017-02-24 23:41:55</t>
  </si>
  <si>
    <t>2334 2017-02-24 23:01:02</t>
  </si>
  <si>
    <t>Work security is no different than personal and home security which is how it should be;</t>
  </si>
  <si>
    <t>2333 2017-02-24 13:51:03</t>
  </si>
  <si>
    <t>2332 2017-02-24 11:45:15</t>
  </si>
  <si>
    <t xml:space="preserve">The â€œCan you Hear Meâ€ Scam has hit many people that they are not prepare to protect their voice signatures. This scam is big on personal and family security. This attack is in fact a social engineering. Stop answering unknown number is only a first step to remediate the attack, but a better solution is needed. </t>
  </si>
  <si>
    <t>2331 2017-02-24 09:09:36</t>
  </si>
  <si>
    <t>2330 2017-02-24 08:48:56</t>
  </si>
  <si>
    <t>Work security depends significantly on others who, despite education and the availability of tools, still choose to loosely manage the security for areas which they are responsible.</t>
  </si>
  <si>
    <t>2329 2017-02-24 07:48:59</t>
  </si>
  <si>
    <t>Work security is much better than personal and home security, the latter essentially boiling down to auto-updates where they can occur;Work security is no different than personal and home security which is how it should be;</t>
  </si>
  <si>
    <t>2328 2017-02-24 07:19:47</t>
  </si>
  <si>
    <t>2327 2017-02-23 22:29:37</t>
  </si>
  <si>
    <t>2326 2017-02-22 10:52:21</t>
  </si>
  <si>
    <t>2325 2017-02-22 10:07:02</t>
  </si>
  <si>
    <t>2324 2017-02-22 06:54:51</t>
  </si>
  <si>
    <t>2323 2017-02-22 06:14:29</t>
  </si>
  <si>
    <t>2322 2017-02-21 23:18:45</t>
  </si>
  <si>
    <t>Work security is no different than personal and home security which is how it should be;Personal and home security is actually better as I have a degree of control that exceeds the control I/we can exercise at work;</t>
  </si>
  <si>
    <t>2321 2017-02-21 12:31:44</t>
  </si>
  <si>
    <t>2320 2017-02-21 09:19:05</t>
  </si>
  <si>
    <t>Personal and home security is a partial copy of work security and getting closer with all deliberate speed;</t>
  </si>
  <si>
    <t>2319 2017-02-21 08:38:19</t>
  </si>
  <si>
    <t>2318 2017-02-21 08:13:47</t>
  </si>
  <si>
    <t>2317 2017-02-21 07:42:08</t>
  </si>
  <si>
    <t>2316 2017-02-21 06:56:26</t>
  </si>
  <si>
    <t>2346 2017-02-28 08:23:08</t>
  </si>
  <si>
    <t>2345 2017-02-27 11:36:58</t>
  </si>
  <si>
    <t>2344 2017-02-27 08:14:51</t>
  </si>
  <si>
    <t>2343 2017-02-27 06:18:25</t>
  </si>
  <si>
    <t>2342 2017-02-26 13:18:45</t>
  </si>
  <si>
    <t>2341 2017-02-26 13:01:11</t>
  </si>
  <si>
    <t xml:space="preserve">Explosion of ransomware and IoT devices with little or no security is putting the Internet at risk.    IoT device manufacturers need to be held liable for the consequences of their devices.    </t>
  </si>
  <si>
    <t>2340 2017-02-26 11:38:20</t>
  </si>
  <si>
    <t>The recent issue with CloudFlare highlights that reliance upon ""other people's encryption"" is not enough to secure sensitive data.  I feel that there is a growing issue in this space; between things such as TLS offloaders, hosted service providers (aka ""cloud""), and other network aggregation solutions such as CloudFlare, there seems to have been a rush to ""outsource security"" which is doing a great disservice to online security.  The response from AgileBits on how they don't rely on the TLS of CloudFlare to protect 1Password data is a great example of how information owners need to think deeper than just the certificate/TLS layer.</t>
  </si>
  <si>
    <t>2339 2017-02-26 08:39:20</t>
  </si>
  <si>
    <t>Work security is much better than personal and home security, the latter essentially boiling down to auto-updates where they can occur;Personal and home security is not good, too many things that are seductive to use but hard to use right;</t>
  </si>
  <si>
    <t xml:space="preserve">QUESTION OF THE MONTH: VULNERABILITIES AND GOVERNMENT:(This question is optional and does not contribute to the Index calculation. This question will </t>
  </si>
  <si>
    <t>2377 2017-03-28 12:35:43</t>
  </si>
  <si>
    <t>ICS Survey March 2017</t>
  </si>
  <si>
    <t>Develop your own vulnerabilities for your needs and only acquire others so as to burn them.  (But be so kind as to keep track of how often you buy a vulnerability you thought you were the only one to have it.);</t>
  </si>
  <si>
    <t>2376 2017-03-28 10:07:37</t>
  </si>
  <si>
    <t>Acquire vulnerabilities from wherever and share them with the relevant vendors as quickly as possible.  (Do not trust sellers to only sell once or assume that discoveries are never repeated.);</t>
  </si>
  <si>
    <t>2375 2017-03-28 06:56:45</t>
  </si>
  <si>
    <t>2374 2017-03-27 13:53:58</t>
  </si>
  <si>
    <t xml:space="preserve">I think that containers </t>
  </si>
  <si>
    <t>2373 2017-03-27 11:47:30</t>
  </si>
  <si>
    <t>Acquire vulnerabilities from wherever and only share them when surveillance detects that they are being used.  (When some other entity burns a vulnerability, see to it that it is burned everywhere.);Develop your own vulnerabilities for your needs and only acquire others so as to burn them.  (But be so kind as to keep track of how often you buy a vulnerability you thought you were the only one to have it.);</t>
  </si>
  <si>
    <t>2372 2017-03-27 11:09:33</t>
  </si>
  <si>
    <t>2371 2017-03-27 10:48:20</t>
  </si>
  <si>
    <t>2370 2017-03-27 06:06:35</t>
  </si>
  <si>
    <t>2369 2017-03-27 02:38:25</t>
  </si>
  <si>
    <t>2368 2017-03-26 19:04:01</t>
  </si>
  <si>
    <t>Develop your own vulnerabilities and use them whenever there is a reasonably good enough reason.  (Proving to opponents that you cannot be kept at bay is the only position of strength sufficient to effect deterrence.);</t>
  </si>
  <si>
    <t>2367 2017-03-26 17:27:19</t>
  </si>
  <si>
    <t>2366 2017-03-26 10:51:33</t>
  </si>
  <si>
    <t>2365 2017-03-25 22:11:59</t>
  </si>
  <si>
    <t>Acquire vulnerabilities from wherever and share them with the relevant vendors as quickly as possible.  (Do not trust sellers to only sell once or assume that discoveries are never repeated.);Other (please explain) (Disclosing to vendors is best because attribution is so imprecise. The best way to level the playing field is to tell everyone where the land mines are hidden.);</t>
  </si>
  <si>
    <t>I feel we need broader adoption of responsible disclosure by researchers. The recent CloudBleed incident shows that there are vast inconsistencies in the understanding, implementation, and process followed by professional researchers. The desire to publish faster ""scoops"" can drive reckless behaviors.</t>
  </si>
  <si>
    <t>2364 2017-03-24 13:34:55</t>
  </si>
  <si>
    <t>2363 2017-03-24 13:02:25</t>
  </si>
  <si>
    <t>2362 2017-03-24 12:52:46</t>
  </si>
  <si>
    <t>2361 2017-03-24 05:24:12</t>
  </si>
  <si>
    <t>2360 2017-03-23 22:02:40</t>
  </si>
  <si>
    <t>2359 2017-03-23 06:14:03</t>
  </si>
  <si>
    <t>2358 2017-03-22 07:04:45</t>
  </si>
  <si>
    <t>2357 2017-03-22 04:49:32</t>
  </si>
  <si>
    <t>2356 2017-03-21 14:01:47</t>
  </si>
  <si>
    <t>2355 2017-03-21 13:04:00</t>
  </si>
  <si>
    <t>2354 2017-03-21 09:56:57</t>
  </si>
  <si>
    <t>Other (please explain) (Full and responsible disclosure works.  It should be followed by all.);</t>
  </si>
  <si>
    <t>2353 2017-03-21 09:09:11</t>
  </si>
  <si>
    <t>2352 2017-03-21 08:42:39</t>
  </si>
  <si>
    <t>Other (please explain) (Develop or acquire only vulnerabilities essential for your needs and that are sufficiently obscure or hard to find that they are unlikely to be discovered. Once they become easy enough to discover reveal them to vendors.);</t>
  </si>
  <si>
    <t>We should launch a continuing international effort to raise the global level of cybersecurity. This will require courses to educate academics and professionals, development of skilled professionals qualified in cyber policy and forensics, cyber insurance companies that bring defensive capability assessments into the workplace, and international cooperation in each of these ventures.</t>
  </si>
  <si>
    <t>2351 2017-03-21 08:41:22</t>
  </si>
  <si>
    <t xml:space="preserve">It should not be permissible for a government employee or contractor to knowingly withhold security vulnerabilities from a US company or a company from a nation the US is allied with. If though, the software is created and used by a hostile country, it may be considered a fair target. Exploitation of existing vulnerabilities (regardless of who discovered them) ought to be restricted to military targets and minimize disruption of civilian infrastructure. </t>
  </si>
  <si>
    <t>2350 2017-03-21 06:24:54</t>
  </si>
  <si>
    <t>Acquire vulnerabilities from wherever and only share them when surveillance detects that they are being used.  (When some other entity burns a vulnerability, see to it that it is burned everywhere.);</t>
  </si>
  <si>
    <t>2349 2017-03-21 06:10:03</t>
  </si>
  <si>
    <t>2348 2017-03-21 06:09:34</t>
  </si>
  <si>
    <t>QUESTION OF THE MONTH: WHO ARE THE ULTIMATE DECISION-MAKERS?(This question is optional and does not contribute to the Index calculation. This question</t>
  </si>
  <si>
    <t>2410 2017-04-30 01:52:50</t>
  </si>
  <si>
    <t>ICS Survey April 2017</t>
  </si>
  <si>
    <t>The technologists (the CIO);</t>
  </si>
  <si>
    <t>2409 2017-04-28 06:47:49</t>
  </si>
  <si>
    <t>The bean-counters (the CFO/Controller);The sales people (the CMO);The security folks (the CISO);</t>
  </si>
  <si>
    <t xml:space="preserve">Threat Emulation/Prevention seems to be the new popular tool, as were firewalls and IPS/IDS before it.  Undoubtably, this is caused by the high mutation rate of attacks, caused by the security ""Red Queen's Race.""  We use both Crowdstrike/Falcon, and a Threat Emulation appliance to protect our users, systems </t>
  </si>
  <si>
    <t>2408 2017-04-28 06:09:06</t>
  </si>
  <si>
    <t>The bean-counters (the CFO/Controller);</t>
  </si>
  <si>
    <t xml:space="preserve">The key challenge I personally face is that of perception. My organization seeks the ""bare minimum"" approach to security and compliance, which leads to significant resource issues. Security is seen as a cost center, and does not have an appropriate seat at the table. It has proven difficult to educate the executive team to the contrary based on the culture and keen focus on fiscal frugality and EBIT performance. </t>
  </si>
  <si>
    <t>2407 2017-04-28 05:48:21</t>
  </si>
  <si>
    <t>I've never found the business case for security hard to make once the ""right amount"" of security was determined. That is really the challenge. Of course, that's the essence of a business case for anything - spend versus benefit. But really the thought process (and perhaps a useful question for later) is what can we do to improve the process of determining the ""right amount"". I think current risk assessments are imprecise.</t>
  </si>
  <si>
    <t>2406 2017-04-27 18:05:35</t>
  </si>
  <si>
    <t>2405 2017-04-27 13:16:48</t>
  </si>
  <si>
    <t>The sales people (the CMO);</t>
  </si>
  <si>
    <t>2404 2017-04-26 19:18:07</t>
  </si>
  <si>
    <t>2403 2017-04-26 15:33:28</t>
  </si>
  <si>
    <t>The security folks (the CISO);Other (please explain) (COO);</t>
  </si>
  <si>
    <t>2402 2017-04-25 23:25:40</t>
  </si>
  <si>
    <t>The lawyers (General Counsel/Chief Privacy Officer);The security folks (the CISO);</t>
  </si>
  <si>
    <t>2401 2017-04-25 21:44:11</t>
  </si>
  <si>
    <t>The bean-counters (the CFO/Controller);The lawyers (General Counsel/Chief Privacy Officer);</t>
  </si>
  <si>
    <t>2400 2017-04-25 13:59:43</t>
  </si>
  <si>
    <t>2399 2017-04-25 10:10:48</t>
  </si>
  <si>
    <t>2398 2017-04-25 06:07:07</t>
  </si>
  <si>
    <t>The technologists (the CIO);The security folks (the CISO);</t>
  </si>
  <si>
    <t>2397 2017-04-25 05:44:10</t>
  </si>
  <si>
    <t>We get to a near-perfect balanced decisions that considers everything;</t>
  </si>
  <si>
    <t>2396 2017-04-25 05:42:43</t>
  </si>
  <si>
    <t>The security folks (the CISO);</t>
  </si>
  <si>
    <t>2395 2017-04-25 05:39:21</t>
  </si>
  <si>
    <t>2393 2017-04-25 05:28:34</t>
  </si>
  <si>
    <t>2392 2017-04-24 19:24:23</t>
  </si>
  <si>
    <t>2391 2017-04-24 07:30:59</t>
  </si>
  <si>
    <t>The sales people (the CMO);The technologists (the CIO);The security folks (the CISO);</t>
  </si>
  <si>
    <t>2390 2017-04-24 01:28:35</t>
  </si>
  <si>
    <t>The lawyers (General Counsel/Chief Privacy Officer);</t>
  </si>
  <si>
    <t>2389 2017-04-24 00:01:44</t>
  </si>
  <si>
    <t>The bean-counters (the CFO/Controller);The sales people (the CMO);</t>
  </si>
  <si>
    <t>2388 2017-04-23 14:01:19</t>
  </si>
  <si>
    <t xml:space="preserve">Most product managers and sales managers want new software feature 1st and security 2nd. Security as negative requirement makes it very difficult to get management's buy-in. Unless laws and regulation can hold a CEO accountable for insecurity, then it is still a long way to go for decision-makers to be accountable. Should CEOs or CFOs attest the security of their IT systems like signing a financial statement?    </t>
  </si>
  <si>
    <t>2387 2017-04-22 10:29:00</t>
  </si>
  <si>
    <t>Other (please explain) (NA);</t>
  </si>
  <si>
    <t>2386 2017-04-22 05:35:41</t>
  </si>
  <si>
    <t>2385 2017-04-21 13:46:05</t>
  </si>
  <si>
    <t>2384 2017-04-21 10:54:06</t>
  </si>
  <si>
    <t>2383 2017-04-21 10:35:00</t>
  </si>
  <si>
    <t>2382 2017-04-21 09:12:18</t>
  </si>
  <si>
    <t>Other (please explain) (Chief Product Officer);</t>
  </si>
  <si>
    <t>2381 2017-04-21 07:20:25</t>
  </si>
  <si>
    <t>2380 2017-04-21 06:59:45</t>
  </si>
  <si>
    <t>2379 2017-04-21 06:51:36</t>
  </si>
  <si>
    <t>QUESTION OF THE MONTH: CLOUD EVERYWHERE(This question is optional and does not contribute to the Index calculation. This question will change each mon</t>
  </si>
  <si>
    <t>2442 2017-05-29 17:25:39</t>
  </si>
  <si>
    <t>ICS Survey May 2017</t>
  </si>
  <si>
    <t>We have a difficult time keeping the organization in control, and often find ourselves discovering things to clean up after the deals have been done;</t>
  </si>
  <si>
    <t>2441 2017-05-29 01:12:40</t>
  </si>
  <si>
    <t>We have complete control, no cloud services in any form can be deployed without proper security reviews;</t>
  </si>
  <si>
    <t>2440 2017-05-28 14:51:30</t>
  </si>
  <si>
    <t>We are sufficiently involved in most major cloud services onboarding discussions, though things can occasionally slip out of the security net at the margins;</t>
  </si>
  <si>
    <t>2439 2017-05-28 01:18:46</t>
  </si>
  <si>
    <t>2438 2017-05-27 16:32:25</t>
  </si>
  <si>
    <t>2437 2017-05-27 15:42:08</t>
  </si>
  <si>
    <t>2436 2017-05-27 08:33:32</t>
  </si>
  <si>
    <t>2435 2017-05-26 09:31:46</t>
  </si>
  <si>
    <t>2434 2017-05-26 04:45:35</t>
  </si>
  <si>
    <t>2433 2017-05-24 22:12:13</t>
  </si>
  <si>
    <t>We are sufficiently involved in most major cloud services onboarding discussions, though things can occasionally slip out of the security net at the margins;We have a difficult time keeping the organization in control, and often find ourselves discovering things to clean up after the deals have been done;</t>
  </si>
  <si>
    <t>2432 2017-05-24 17:51:51</t>
  </si>
  <si>
    <t>2431 2017-05-24 13:01:16</t>
  </si>
  <si>
    <t>We don't even try to police everything. Security is everyone's job - we expect the business to come to us for security reviews if they truly wish to safeguard information;</t>
  </si>
  <si>
    <t>2430 2017-05-24 12:34:01</t>
  </si>
  <si>
    <t>2429 2017-05-24 10:29:35</t>
  </si>
  <si>
    <t>2428 2017-05-23 15:59:14</t>
  </si>
  <si>
    <t xml:space="preserve">If it is cloud everywhere, then it is risk everywhere. Without accountability, it is chaos at each organization that no one is responsible for data lost. There must be an organization wide security risk management to assure security and compliance from top to bottom. </t>
  </si>
  <si>
    <t>2427 2017-05-23 06:25:45</t>
  </si>
  <si>
    <t>2426 2017-05-22 12:56:33</t>
  </si>
  <si>
    <t>Other (please explain) (we are sufficienly involved.);</t>
  </si>
  <si>
    <t>2425 2017-05-22 11:06:04</t>
  </si>
  <si>
    <t>Your methodology of collecting information doesn't allow for the possibly that folks change companies.</t>
  </si>
  <si>
    <t>2424 2017-05-22 09:42:17</t>
  </si>
  <si>
    <t>New job, new environment --&gt; all static</t>
  </si>
  <si>
    <t>2423 2017-05-22 08:01:58</t>
  </si>
  <si>
    <t>We treat our internal data fairly casually; we don't police cloud apps on employees computers, although we do monitor protocols as well as their sources and destinations. Customer data, on the other hand, is treated very carefully, and only uploaded to 3rd party cloud hosts that we have contracts or established relationships with.</t>
  </si>
  <si>
    <t>2422 2017-05-22 07:57:12</t>
  </si>
  <si>
    <t>2421 2017-05-22 06:35:48</t>
  </si>
  <si>
    <t>2420 2017-05-22 05:45:41</t>
  </si>
  <si>
    <t>2419 2017-05-22 03:16:35</t>
  </si>
  <si>
    <t>2418 2017-05-22 00:28:15</t>
  </si>
  <si>
    <t>2417 2017-05-21 22:50:30</t>
  </si>
  <si>
    <t>2416 2017-05-21 17:24:59</t>
  </si>
  <si>
    <t>2415 2017-05-21 17:07:52</t>
  </si>
  <si>
    <t>2414 2017-05-21 13:23:10</t>
  </si>
  <si>
    <t>2413 2017-05-21 10:17:00</t>
  </si>
  <si>
    <t>2412 2017-05-21 09:06:36</t>
  </si>
  <si>
    <t>QUESTION OF THE MONTH: MOVING TARGET DEFENSE(This question is optional and does not contribute to the Index calculation. This question will change eac</t>
  </si>
  <si>
    <t>2473 2017-06-28 12:59:20</t>
  </si>
  <si>
    <t>ICS Survey June 2017</t>
  </si>
  <si>
    <t>We are experimenting now, stay tuned;</t>
  </si>
  <si>
    <t>2472 2017-06-27 09:53:06</t>
  </si>
  <si>
    <t>We have complete control, no cloud services in any form can be deployed without proper security reviewsWe already do and we are good at it;</t>
  </si>
  <si>
    <t>2471 2017-06-26 13:34:29</t>
  </si>
  <si>
    <t>It is not and will not be possible to thrash our environment at a fast enough rate to gain a defensive advantage that is advantageous to compensate for the risk of inadvertent service failures or regulatory compliance failures;</t>
  </si>
  <si>
    <t>2470 2017-06-26 08:18:10</t>
  </si>
  <si>
    <t>2469 2017-06-26 07:53:01</t>
  </si>
  <si>
    <t>This is on our radar to explore someday;</t>
  </si>
  <si>
    <t>There is a third option, which is not to use ubiquitous technology - i.e. write your own web server in C. Then the attackers think they are attacking something completely different than what you have deployed. Key is to also minimize insider knowledge.</t>
  </si>
  <si>
    <t>2468 2017-06-26 01:00:20</t>
  </si>
  <si>
    <t>2467 2017-06-25 19:39:16</t>
  </si>
  <si>
    <t>2466 2017-06-25 14:39:09</t>
  </si>
  <si>
    <t>2465 2017-06-25 10:15:04</t>
  </si>
  <si>
    <t>2464 2017-06-23 06:23:29</t>
  </si>
  <si>
    <t>2463 2017-06-23 00:33:56</t>
  </si>
  <si>
    <t>2462 2017-06-22 22:49:27</t>
  </si>
  <si>
    <t>2461 2017-06-22 20:02:46</t>
  </si>
  <si>
    <t>2460 2017-06-22 16:57:32</t>
  </si>
  <si>
    <t>2459 2017-06-22 16:49:35</t>
  </si>
  <si>
    <t>2458 2017-06-22 14:40:23</t>
  </si>
  <si>
    <t>2457 2017-06-22 12:43:07</t>
  </si>
  <si>
    <t>2456 2017-06-22 12:39:12</t>
  </si>
  <si>
    <t>2455 2017-06-22 08:18:56</t>
  </si>
  <si>
    <t>2454 2017-06-22 05:44:57</t>
  </si>
  <si>
    <t>2453 2017-06-22 00:42:53</t>
  </si>
  <si>
    <t>2452 2017-06-21 23:24:03</t>
  </si>
  <si>
    <t>2451 2017-06-21 13:51:27</t>
  </si>
  <si>
    <t>2450 2017-06-21 10:50:04</t>
  </si>
  <si>
    <t>2449 2017-06-21 09:37:32</t>
  </si>
  <si>
    <t>2448 2017-06-21 08:48:07</t>
  </si>
  <si>
    <t>Other (please explain) (Depends on client environment and their instrumentation);</t>
  </si>
  <si>
    <t>2447 2017-06-21 07:46:57</t>
  </si>
  <si>
    <t>Time and effort spent obfuscating our environment, in an attempt to make, or make it appear, more heterogenous, could instead be better spent invested in detection techniques, specifically deploying honey-credentials and honey-tokens, which can currently be automated quite easily. Monitoring honey-creds for abuse has a low false-positive rate, and can assist in detecting attackers of all skill levels.</t>
  </si>
  <si>
    <t>2446 2017-06-21 07:12:13</t>
  </si>
  <si>
    <t>2445 2017-06-21 06:37:51</t>
  </si>
  <si>
    <t>2444 2017-06-21 06:26:41</t>
  </si>
  <si>
    <t>QUESTION OF THE MONTH: CYBERWAR(This question is optional and does not contribute to the Index calculation. This question will change each month depen</t>
  </si>
  <si>
    <t>2502 2017-07-27 06:39:41</t>
  </si>
  <si>
    <t>ICS Survey July 2017</t>
  </si>
  <si>
    <t>We are experimenting now, stay tuned.  It is not a weapon of war until it is capable of killing someone directly - an electrical outage is no more murder  than traffic holding up an ambulance.;</t>
  </si>
  <si>
    <t>2501 2017-07-27 06:20:41</t>
  </si>
  <si>
    <t>Other (please explain) (With cyber-warfare perception is reality. When one party believes an action constitutes an act of war it becomes the catalyst - whether the damage is loss of life access to a resource financial detriment political or to reputation. );</t>
  </si>
  <si>
    <t xml:space="preserve">We need a Black Swan level event to change the direction of technology and security. I realized this week that I participated in my first forensic investigation of a computer/network 20 years ago. In the time since, while the tools for offense and defense have changed, the attack vectors and vulnerabilities have evolved alongside and in many ways the risks have increased as quickly as the number of targets available. This has to change or we risk limiting future product research and development, information sharing, scientific advances, and societal benefits from automation and solutions not yet developed.    </t>
  </si>
  <si>
    <t>2500 2017-07-26 15:23:21</t>
  </si>
  <si>
    <t>Not a cyberwar weapon at all, it is a possibly step in the direction of a real weapon but we're not there yet.;</t>
  </si>
  <si>
    <t>2499 2017-07-26 07:12:17</t>
  </si>
  <si>
    <t>2498 2017-07-26 05:53:12</t>
  </si>
  <si>
    <t>2497 2017-07-26 01:48:12</t>
  </si>
  <si>
    <t>This is exactly what a cyberwar weapon would look like and this was quite likely a live-fire test.;</t>
  </si>
  <si>
    <t>2496 2017-07-26 00:08:25</t>
  </si>
  <si>
    <t>Intent is everything - an offensive action by one state to bend the will of another is war - which this was.;</t>
  </si>
  <si>
    <t>2495 2017-07-25 22:50:31</t>
  </si>
  <si>
    <t xml:space="preserve">We are unable to fully replicate the level of activity monitoring we once had with our in-house services, now that we have migrated some core services to a cloud (SaaS) platform, and we are seeing some fallout from that.  From a security standpoint, infrastructure as a platform has so far proved to be a more comfortable solution in terms of activity monitoring, abuse detection, and ability to take action than software as a service, wherein we are at the mercy of the reporting and remediation capabilities that the provider has chosen to offer us.  </t>
  </si>
  <si>
    <t>2494 2017-07-25 19:17:50</t>
  </si>
  <si>
    <t>2493 2017-07-25 14:49:28</t>
  </si>
  <si>
    <t>Other (please explain) (Because many activities exhibit heavy tails and malware capable of inflicting death are now in circulation the risk of a major cyber event bordering on war is increasing and may be very high.);</t>
  </si>
  <si>
    <t>2492 2017-07-25 09:27:56</t>
  </si>
  <si>
    <t>2491 2017-07-25 09:22:36</t>
  </si>
  <si>
    <t>Other (please explain) (None of the above and all of the above.  Complex question.  The term war can be used in many scenarios.  );</t>
  </si>
  <si>
    <t>2490 2017-07-25 07:23:46</t>
  </si>
  <si>
    <t>2489 2017-07-24 05:25:18</t>
  </si>
  <si>
    <t>2488 2017-07-23 23:14:06</t>
  </si>
  <si>
    <t>2487 2017-07-22 16:10:20</t>
  </si>
  <si>
    <t>2486 2017-07-21 20:10:46</t>
  </si>
  <si>
    <t>2484 2017-07-21 16:00:21</t>
  </si>
  <si>
    <t>2482 2017-07-21 11:35:03</t>
  </si>
  <si>
    <t>2481 2017-07-21 11:34:28</t>
  </si>
  <si>
    <t>2480 2017-07-21 08:47:03</t>
  </si>
  <si>
    <t>2479 2017-07-21 08:05:09</t>
  </si>
  <si>
    <t>The Annexation of Crimea by the Russian Federation is, in my mind, a clear act of war, although in the political world we don't quite call it that out loud. If we can't collectively gather the fortitude to publicly decry such actions as instigations for war, then we're nowhere near ready to declare cyberwar as weapon of war. Regardless of what the public is willing to denote as 'war' or 'cyberwar', military strategists and intelligence analysts are keeping track.</t>
  </si>
  <si>
    <t>2478 2017-07-21 07:41:20</t>
  </si>
  <si>
    <t>2477 2017-07-21 06:41:11</t>
  </si>
  <si>
    <t>2476 2017-07-21 06:40:57</t>
  </si>
  <si>
    <t>2475 2017-07-21 06:31:05</t>
  </si>
  <si>
    <t>.</t>
  </si>
  <si>
    <t>QUESTION OF THE MONTH: YOUR SELF-RATING(This question is optional and does not contribute to the Index calculation. This question will change each mon</t>
  </si>
  <si>
    <t>2537 2017-08-29 07:51:38</t>
  </si>
  <si>
    <t>ICS Survey August 2017</t>
  </si>
  <si>
    <t>Second quintile (20% - 40%);</t>
  </si>
  <si>
    <t>2536 2017-08-28 12:39:43</t>
  </si>
  <si>
    <t>2535 2017-08-28 09:20:59</t>
  </si>
  <si>
    <t>2534 2017-08-28 08:49:59</t>
  </si>
  <si>
    <t>Great last question self-rating</t>
  </si>
  <si>
    <t>2533 2017-08-28 07:31:55</t>
  </si>
  <si>
    <t>Top quintile (top 20%) but excluding the top 1%;</t>
  </si>
  <si>
    <t>2532 2017-08-28 06:56:49</t>
  </si>
  <si>
    <t>2531 2017-08-28 03:01:43</t>
  </si>
  <si>
    <t>2530 2017-08-27 21:35:14</t>
  </si>
  <si>
    <t>2529 2017-08-27 14:40:21</t>
  </si>
  <si>
    <t>2528 2017-08-27 13:36:06</t>
  </si>
  <si>
    <t>2527 2017-08-27 11:44:55</t>
  </si>
  <si>
    <t>2526 2017-08-25 14:30:06</t>
  </si>
  <si>
    <t>2525 2017-08-25 13:32:30</t>
  </si>
  <si>
    <t>The top 1%;</t>
  </si>
  <si>
    <t>2524 2017-08-25 12:48:24</t>
  </si>
  <si>
    <t>2523 2017-08-25 11:15:59</t>
  </si>
  <si>
    <t>Third quintile (40% - 60%);</t>
  </si>
  <si>
    <t>2522 2017-08-24 12:30:13</t>
  </si>
  <si>
    <t>2521 2017-08-24 12:00:35</t>
  </si>
  <si>
    <t>the bar is pretty high for 1% but extremely low in the Top quintile.</t>
  </si>
  <si>
    <t>2520 2017-08-24 06:18:12</t>
  </si>
  <si>
    <t>2519 2017-08-23 08:56:56</t>
  </si>
  <si>
    <t>2518 2017-08-23 07:37:08</t>
  </si>
  <si>
    <t>2517 2017-08-23 00:51:40</t>
  </si>
  <si>
    <t>2516 2017-08-23 00:31:05</t>
  </si>
  <si>
    <t>2515 2017-08-22 22:44:44</t>
  </si>
  <si>
    <t>2514 2017-08-22 13:46:51</t>
  </si>
  <si>
    <t>2513 2017-08-22 12:47:27</t>
  </si>
  <si>
    <t>2512 2017-08-22 11:48:40</t>
  </si>
  <si>
    <t>Fourth quintile (60% - 80%);</t>
  </si>
  <si>
    <t>2511 2017-08-22 07:22:03</t>
  </si>
  <si>
    <t>2510 2017-08-22 06:45:27</t>
  </si>
  <si>
    <t>2509 2017-08-22 05:11:21</t>
  </si>
  <si>
    <t>2508 2017-08-21 13:28:09</t>
  </si>
  <si>
    <t>2507 2017-08-21 12:49:52</t>
  </si>
  <si>
    <t>2506 2017-08-21 11:59:23</t>
  </si>
  <si>
    <t>2505 2017-08-21 11:01:19</t>
  </si>
  <si>
    <t>2504 2017-08-21 10:09:34</t>
  </si>
  <si>
    <t xml:space="preserve">Although there's always room for improvement, I'm confident that my org is within the top 20% as a result of our continued focus on cloud/AWS security. More and more attackers are going after AWS keys and misconfigured S3 buckets, so that's where much of our attention is focused. This, combined with the year-over-year continued growth of our global security team, puts us ahead in our vertical. </t>
  </si>
  <si>
    <t>QUESTION OF THE MONTH: MACHINE LEARNING AND ARTIFICIAL INTELLIGENCE(This question is optional and does not contribute to the Index calculation. This q</t>
  </si>
  <si>
    <t>2556 2017-09-28 13:59:44</t>
  </si>
  <si>
    <t>ICS Survey September 2017</t>
  </si>
  <si>
    <t>Contemplator - actively studying and/or thinking about use cases;</t>
  </si>
  <si>
    <t>2555 2017-09-28 06:33:45</t>
  </si>
  <si>
    <t>2554 2017-09-27 17:19:18</t>
  </si>
  <si>
    <t>Adopter - already in place for at least one use case;</t>
  </si>
  <si>
    <t>2553 2017-09-26 20:40:20</t>
  </si>
  <si>
    <t>Skeptic - don't believe the hype, not now engaged;Disappointed - been there done that, doesn't work for us;</t>
  </si>
  <si>
    <t>2552 2017-09-26 17:18:48</t>
  </si>
  <si>
    <t>Skeptic - don't believe the hype, not now engaged;</t>
  </si>
  <si>
    <t xml:space="preserve">Machine learning is a very interesting area and I enjoy reading about developments in the field, but I don't really see it fitting into my toolset at present and have no plans to adopt it any time soon.  </t>
  </si>
  <si>
    <t>2551 2017-09-25 13:24:23</t>
  </si>
  <si>
    <t>2550 2017-09-25 11:04:09</t>
  </si>
  <si>
    <t>2549 2017-09-25 10:51:05</t>
  </si>
  <si>
    <t>2548 2017-09-25 08:22:45</t>
  </si>
  <si>
    <t>2547 2017-09-25 06:24:26</t>
  </si>
  <si>
    <t>2546 2017-09-24 15:25:47</t>
  </si>
  <si>
    <t>Experimentor - already playing with it, should be shipping soon;</t>
  </si>
  <si>
    <t>2545 2017-09-23 10:09:42</t>
  </si>
  <si>
    <t>2544 2017-09-22 06:55:49</t>
  </si>
  <si>
    <t>Other (please explain) (Eagerly waiting for proven products);</t>
  </si>
  <si>
    <t>2543 2017-09-22 06:41:23</t>
  </si>
  <si>
    <t>2542 2017-09-21 22:17:31</t>
  </si>
  <si>
    <t>2541 2017-09-21 16:08:34</t>
  </si>
  <si>
    <t>Other (please explain) (not in charge of security);</t>
  </si>
  <si>
    <t>2540 2017-09-21 12:44:50</t>
  </si>
  <si>
    <t>2539 2017-09-21 12:42:54</t>
  </si>
  <si>
    <t xml:space="preserve">QUESTION OF THE MONTH: GRC PRACTICES(This question is optional and does not contribute to the Index calculation. This question will change each month </t>
  </si>
  <si>
    <t>2580 2017-10-27 09:15:58</t>
  </si>
  <si>
    <t>ICS Survey October 2017</t>
  </si>
  <si>
    <t>We do GRC at a reasonably mature level, but it is standalone as a discipline, largely disconnected from what we really do for cybersecurity.;</t>
  </si>
  <si>
    <t>2579 2017-10-26 23:11:22</t>
  </si>
  <si>
    <t>We believe GRC to be critical to the success of our security efforts, so we are developing our GRC practices and regularly refining them.;Our GRC is mature and foundational for our cybersecurity activities.  It drives the focus of what defenses we deploy.;</t>
  </si>
  <si>
    <t>2578 2017-10-26 17:09:04</t>
  </si>
  <si>
    <t>We believe GRC to be critical to the success of our security efforts, so we are developing our GRC practices and regularly refining them.;</t>
  </si>
  <si>
    <t>2577 2017-10-26 13:08:51</t>
  </si>
  <si>
    <t>Our GRC is mature and foundational for our cybersecurity activities.  It drives the focus of what defenses we deploy.;</t>
  </si>
  <si>
    <t>2576 2017-10-26 09:14:45</t>
  </si>
  <si>
    <t>In the context of GDPR, GRC is critical to the success of privacy efforts as well as security efforts.</t>
  </si>
  <si>
    <t>2575 2017-10-25 09:20:08</t>
  </si>
  <si>
    <t>2574 2017-10-25 07:34:16</t>
  </si>
  <si>
    <t>We don't get carried away, so we perform the minimum acceptable for our GRC regulators, and no more.;</t>
  </si>
  <si>
    <t>2573 2017-10-24 14:15:55</t>
  </si>
  <si>
    <t>2572 2017-10-24 11:15:38</t>
  </si>
  <si>
    <t>Personally, I'd love to have a more mature risk analysis program.  Our University CISO is in favor of it, but my boss, in our isolated unit, isn't interested in committing the manpower in the face of competing priorities.  Since I can't even hire qualified people, the need goes unfulfilled.</t>
  </si>
  <si>
    <t>2571 2017-10-24 10:34:59</t>
  </si>
  <si>
    <t>2570 2017-10-23 21:28:19</t>
  </si>
  <si>
    <t>2569 2017-10-23 18:09:02</t>
  </si>
  <si>
    <t>2568 2017-10-23 09:23:55</t>
  </si>
  <si>
    <t>2567 2017-10-23 08:11:14</t>
  </si>
  <si>
    <t>2566 2017-10-23 03:27:59</t>
  </si>
  <si>
    <t>2565 2017-10-22 23:05:04</t>
  </si>
  <si>
    <t>2564 2017-10-22 22:32:26</t>
  </si>
  <si>
    <t>2563 2017-10-22 13:11:44</t>
  </si>
  <si>
    <t>We do not believe GRC to be bringing much value to true cybersecurity, so we do as little as possible.;</t>
  </si>
  <si>
    <t>2562 2017-10-22 10:25:39</t>
  </si>
  <si>
    <t>2561 2017-10-22 03:33:45</t>
  </si>
  <si>
    <t>2560 2017-10-21 16:40:40</t>
  </si>
  <si>
    <t>2559 2017-10-21 15:39:05</t>
  </si>
  <si>
    <t>2558 2017-10-21 11:34:32</t>
  </si>
  <si>
    <t>2581 2017-10-29 11:14:56</t>
  </si>
  <si>
    <t>2585 2017-10-28 14:37:06</t>
  </si>
  <si>
    <t>2584 2017-10-28 06:47:27</t>
  </si>
  <si>
    <t>2583 2017-10-28 06:05:03</t>
  </si>
  <si>
    <t>2582 2017-10-27 13:16:12</t>
  </si>
  <si>
    <t>QUESTION OF THE MONTH: BLOCKCHAIN(This question is optional and does not contribute to the Index calculation. This question will change each month dep</t>
  </si>
  <si>
    <t>2615 2017-11-28 07:52:14</t>
  </si>
  <si>
    <t>ICS Survey November 2017</t>
  </si>
  <si>
    <t>Blockchain is currently not on the radar for our business;</t>
  </si>
  <si>
    <t>2614 2017-11-27 18:31:43</t>
  </si>
  <si>
    <t>2613 2017-11-27 09:33:41</t>
  </si>
  <si>
    <t>Things are going on on the blockchain front, but we do not have the skillset yet to get involved, nor is the business case strong enough to hire anyone;</t>
  </si>
  <si>
    <t>2612 2017-11-27 08:12:44</t>
  </si>
  <si>
    <t>2611 2017-11-27 08:07:16</t>
  </si>
  <si>
    <t>Other (please explain) (We are a founding partner of Sovrin);</t>
  </si>
  <si>
    <t>2610 2017-11-27 08:05:21</t>
  </si>
  <si>
    <t>We are aware our business is exploring blockchain, but it is too early for us to get involved;</t>
  </si>
  <si>
    <t>2609 2017-11-27 06:09:50</t>
  </si>
  <si>
    <t>2608 2017-11-26 18:00:46</t>
  </si>
  <si>
    <t>2607 2017-11-26 15:31:32</t>
  </si>
  <si>
    <t>2606 2017-11-26 15:16:24</t>
  </si>
  <si>
    <t>2605 2017-11-26 14:50:32</t>
  </si>
  <si>
    <t>2604 2017-11-26 12:59:45</t>
  </si>
  <si>
    <t>2603 2017-11-26 12:24:10</t>
  </si>
  <si>
    <t>2602 2017-11-26 12:11:05</t>
  </si>
  <si>
    <t>2601 2017-11-26 07:36:22</t>
  </si>
  <si>
    <t>2600 2017-11-25 19:53:04</t>
  </si>
  <si>
    <t>2599 2017-11-25 15:39:56</t>
  </si>
  <si>
    <t>We are working hand-in-glove with our business counterparts and have the skills to assess, manage and monitor blockchain related security risks;</t>
  </si>
  <si>
    <t>2598 2017-11-25 12:29:46</t>
  </si>
  <si>
    <t>2597 2017-11-25 09:16:09</t>
  </si>
  <si>
    <t>2596 2017-11-24 18:41:30</t>
  </si>
  <si>
    <t>2595 2017-11-24 18:03:04</t>
  </si>
  <si>
    <t>2594 2017-11-22 13:35:17</t>
  </si>
  <si>
    <t>2593 2017-11-21 23:14:39</t>
  </si>
  <si>
    <t>2592 2017-11-21 18:16:49</t>
  </si>
  <si>
    <t>2591 2017-11-21 10:23:35</t>
  </si>
  <si>
    <t>Our risk from third parties has increased, because we are working with more third parties.  Everything we're doing is scaling up, and we're using SaaS and PaaS to keep scaling</t>
  </si>
  <si>
    <t>2590 2017-11-21 10:19:25</t>
  </si>
  <si>
    <t>2589 2017-11-21 10:15:03</t>
  </si>
  <si>
    <t>2588 2017-11-21 09:22:37</t>
  </si>
  <si>
    <t>Although blockchain technology is interesting and exciting, it's viewed as an unrelated distraction to our business as a whole. We encourage our employees to explore new technologies during our quarterly Hackathons but, we currently have no practical interest in blockchain.</t>
  </si>
  <si>
    <t>2587 2017-11-21 09:02:22</t>
  </si>
  <si>
    <t>QUESTION OF THE MONTH: PATCHING(This question is optional and does not contribute to the Index calculation. This question will change each month depen</t>
  </si>
  <si>
    <t>2642 2017-12-28 14:37:12</t>
  </si>
  <si>
    <t>ICS Survey December 2017</t>
  </si>
  <si>
    <t>We need to do somewhat better and will bear down to make it happen.;</t>
  </si>
  <si>
    <t>2641 2017-12-28 11:48:33</t>
  </si>
  <si>
    <t>2640 2017-12-28 07:55:18</t>
  </si>
  <si>
    <t>We are, thankfully, doing as well as we need to do.;</t>
  </si>
  <si>
    <t>2639 2017-12-27 06:16:16</t>
  </si>
  <si>
    <t>It's a serious problem but it's within out power to handle.;</t>
  </si>
  <si>
    <t>Patching is the number one problem we face operationally.  App dev and infrastructure are generally resistant to patching.  They are incented to serve the customer and are more than willing to take the risk that we will not be hacked.  Customers too, are more than willing to take the risk until it happens and then Security is to blame.  This dynamic is at the heart of patching issues. The stupidity of IT and customer teaming up to thwart security patching for the sake of pleasing the customer, who in the end pays the price for poor security management.</t>
  </si>
  <si>
    <t>2638 2017-12-27 06:04:18</t>
  </si>
  <si>
    <t>We need to do somewhat better and will bear down to make it happen.;More and more we're relying on outsourcing of various sorts.;</t>
  </si>
  <si>
    <t>2637 2017-12-26 22:33:23</t>
  </si>
  <si>
    <t>2636 2017-12-26 15:00:02</t>
  </si>
  <si>
    <t>2635 2017-12-26 14:38:55</t>
  </si>
  <si>
    <t>Soon enough we hope to be running only software from the cloud.;</t>
  </si>
  <si>
    <t>2634 2017-12-26 14:06:47</t>
  </si>
  <si>
    <t>2633 2017-12-26 13:20:31</t>
  </si>
  <si>
    <t>2632 2017-12-26 06:29:31</t>
  </si>
  <si>
    <t>2631 2017-12-25 21:52:48</t>
  </si>
  <si>
    <t>2630 2017-12-23 15:36:51</t>
  </si>
  <si>
    <t>2629 2017-12-23 08:14:50</t>
  </si>
  <si>
    <t>2628 2017-12-22 14:43:33</t>
  </si>
  <si>
    <t>2627 2017-12-22 12:40:18</t>
  </si>
  <si>
    <t>2626 2017-12-22 09:09:14</t>
  </si>
  <si>
    <t>2625 2017-12-22 07:26:26</t>
  </si>
  <si>
    <t>Between constantly changing cloud services, devops automation and hundreds of internal microservices, the art of patching has been largely been lost in many organizations. Desktops still tend to get updated, but that's often due to the automatic nature of the update process itself. In the 1990s it seems we developed a collective fear of the BSOD that we've never recovered from. If you cannot trust your software to properly and securely update itself, you cannot trust your software.</t>
  </si>
  <si>
    <t>2624 2017-12-22 07:08:16</t>
  </si>
  <si>
    <t>2623 2017-12-22 05:43:37</t>
  </si>
  <si>
    <t>We're going through a period of growth, and have outgrown our SMB patching tool, which patches Windows and macOS systems. iY.Also, we are adding more heterogenous Linux servers, both UbuntU and RHEL</t>
  </si>
  <si>
    <t>2622 2017-12-22 05:11:32</t>
  </si>
  <si>
    <t>2621 2017-12-21 22:56:50</t>
  </si>
  <si>
    <t>More and more we're relying on outsourcing of various sorts.;</t>
  </si>
  <si>
    <t>2620 2017-12-21 21:41:23</t>
  </si>
  <si>
    <t>2619 2017-12-21 19:43:53</t>
  </si>
  <si>
    <t>2618 2017-12-21 19:33:33</t>
  </si>
  <si>
    <t>2617 2017-12-21 18:20:45</t>
  </si>
  <si>
    <t>Dec</t>
  </si>
  <si>
    <t>QUESTION OF THE MONTH: MELTDOWN AND SCEPTRE(This question is optional and does not contribute to the Index calculation. This question will change each</t>
  </si>
  <si>
    <t>2668 2018-01-28 12:00:25</t>
  </si>
  <si>
    <t>ICS Survey January 2018</t>
  </si>
  <si>
    <t>10%;</t>
  </si>
  <si>
    <t>2667 2018-01-28 09:26:45</t>
  </si>
  <si>
    <t>25%;</t>
  </si>
  <si>
    <t>Need to contemplate privacy, the fraternal ""step-""twin to security. The distinction is not well-understood (as is also the case with another area, safety). With the growth of interest in analytics -- the results become a commodity not previously contributing to a company's bottom line -- a growing number of manufacturers and resellers of all varieties of white goods are poised to release a large number of products collecting, collating, sharing and selling analytics. The risks to both security and privacy are profound, and perhaps also to safety.</t>
  </si>
  <si>
    <t>2666 2018-01-28 09:18:40</t>
  </si>
  <si>
    <t>2665 2018-01-27 14:02:16</t>
  </si>
  <si>
    <t>2664 2018-01-27 12:15:04</t>
  </si>
  <si>
    <t>2663 2018-01-26 16:58:08</t>
  </si>
  <si>
    <t>4%;</t>
  </si>
  <si>
    <t>2662 2018-01-26 11:27:29</t>
  </si>
  <si>
    <t>How much of a cars design should be allocated to safety? It's an absolute priority but not the only factor to consider (gas mileage, efficiency, aerodynamics, etc). Cyber-security is very similar. Safety ought to be paramount, but not at the expense of everything else. I think setting aside 20-25% of a computing resource for its own security is enough to give security practitioners plenty of 'room' to engineer solutions, while still leaving enough resources for whatever computation is required.</t>
  </si>
  <si>
    <t>2661 2018-01-25 12:44:08</t>
  </si>
  <si>
    <t>2660 2018-01-25 12:13:24</t>
  </si>
  <si>
    <t>2659 2018-01-25 09:34:36</t>
  </si>
  <si>
    <t>2658 2018-01-25 08:23:07</t>
  </si>
  <si>
    <t>2657 2018-01-25 07:58:35</t>
  </si>
  <si>
    <t>We have already patched most of our vulnerable servers, and have plans to patch the vulnerable end user machines in the course of our normal patch schedule.</t>
  </si>
  <si>
    <t>2656 2018-01-25 07:46:00</t>
  </si>
  <si>
    <t>2655 2018-01-23 17:20:54</t>
  </si>
  <si>
    <t>2654 2018-01-23 14:56:58</t>
  </si>
  <si>
    <t>2653 2018-01-22 09:17:38</t>
  </si>
  <si>
    <t>2652 2018-01-22 09:14:45</t>
  </si>
  <si>
    <t>2651 2018-01-22 07:04:51</t>
  </si>
  <si>
    <t>65%;</t>
  </si>
  <si>
    <t>2650 2018-01-22 00:07:40</t>
  </si>
  <si>
    <t>2649 2018-01-21 23:28:08</t>
  </si>
  <si>
    <t>2648 2018-01-21 17:33:12</t>
  </si>
  <si>
    <t>4%;10%;</t>
  </si>
  <si>
    <t>2647 2018-01-21 14:43:23</t>
  </si>
  <si>
    <t>2646 2018-01-21 13:43:23</t>
  </si>
  <si>
    <t>2645 2018-01-21 11:33:24</t>
  </si>
  <si>
    <t>It seems to me that asking the performance question of security people is going to get an answer that differs from what would really be decided in an organization.  I work in an academic environment in which most groups are loath to spend anything at all on security, yet they still expect it.  My own opinion about tradeoff between security and performance is unlikely to be reflected in the opinions of the groups I serve, and that is the environment I have to operate in.</t>
  </si>
  <si>
    <t>2644 2018-01-21 11:00:48</t>
  </si>
  <si>
    <t>Jan '18</t>
  </si>
  <si>
    <t>2671 2018-01-29 09:11:01</t>
  </si>
  <si>
    <t>Not at this time.</t>
  </si>
  <si>
    <t>2670 2018-01-29 08:03:48</t>
  </si>
  <si>
    <t>2669 2018-01-29 07:54:28</t>
  </si>
  <si>
    <t>January 2018</t>
  </si>
  <si>
    <t>Increase</t>
  </si>
  <si>
    <t xml:space="preserve">  </t>
  </si>
  <si>
    <t>February 2018</t>
  </si>
  <si>
    <t>QUESTION OF THE MONTH: DIY-AI(This question is optional and does not contribute to the Index calculation. This question will change each month dependi</t>
  </si>
  <si>
    <t>2697 2018-02-28 09:06:01</t>
  </si>
  <si>
    <t>ICS Survey February 2018</t>
  </si>
  <si>
    <t>No, and we have no current plans to do so given priorities;</t>
  </si>
  <si>
    <t>The past two DefCon conferences have demonstrated real and viable strategies for confusing and bypassing AI and deep learning based defensive technologies.</t>
  </si>
  <si>
    <t>2696 2018-02-27 16:20:26</t>
  </si>
  <si>
    <t>2695 2018-02-27 14:02:17</t>
  </si>
  <si>
    <t>2694 2018-02-26 16:19:24</t>
  </si>
  <si>
    <t>Yes, custom AI code is already in production;</t>
  </si>
  <si>
    <t>2693 2018-02-26 13:24:19</t>
  </si>
  <si>
    <t>I am just beginning to attack machine learning for security report analysis, but I'll be doing my own stuff with R, Python, Pandas and scikit-learn for the foreseeable future</t>
  </si>
  <si>
    <t>2692 2018-02-26 12:11:38</t>
  </si>
  <si>
    <t>2691 2018-02-26 11:29:49</t>
  </si>
  <si>
    <t>Not yet, but we are building and/or evaluating proposals to do so;</t>
  </si>
  <si>
    <t>2690 2018-02-26 10:58:18</t>
  </si>
  <si>
    <t>2689 2018-02-26 07:53:40</t>
  </si>
  <si>
    <t>2688 2018-02-25 19:21:41</t>
  </si>
  <si>
    <t>N/A</t>
  </si>
  <si>
    <t>2687 2018-02-25 15:53:15</t>
  </si>
  <si>
    <t>2686 2018-02-25 14:29:01</t>
  </si>
  <si>
    <t>2685 2018-02-25 13:06:54</t>
  </si>
  <si>
    <t xml:space="preserve">Not only are we using custom ML modules, but several of our team members, myself included, have written or presented publicly on topic, trying to show other security analysts how to get started with ML for simple projects. </t>
  </si>
  <si>
    <t>2684 2018-02-25 12:52:29</t>
  </si>
  <si>
    <t>2683 2018-02-24 18:40:43</t>
  </si>
  <si>
    <t>2682 2018-02-24 09:38:08</t>
  </si>
  <si>
    <t>2681 2018-02-24 08:20:15</t>
  </si>
  <si>
    <t>2680 2018-02-22 09:21:57</t>
  </si>
  <si>
    <t>2679 2018-02-22 08:47:51</t>
  </si>
  <si>
    <t>2678 2018-02-21 23:11:36</t>
  </si>
  <si>
    <t>Not in production yet, but coding is already in progress;</t>
  </si>
  <si>
    <t>2677 2018-02-21 22:56:47</t>
  </si>
  <si>
    <t>2676 2018-02-21 10:53:55</t>
  </si>
  <si>
    <t>2675 2018-02-21 08:47:11</t>
  </si>
  <si>
    <t>No, and we have no current plans to do so given priorities;Other (please explain);</t>
  </si>
  <si>
    <t>2674 2018-02-21 08:07:29</t>
  </si>
  <si>
    <t>Rather than using state of the art technology like AI we're investing our resources in telemetry and data collation. We seek first to answer seemingly simple questions: What are all of the browser plugins being used at our company? What are all of the persisted applications being loaded on our users' machines? We've also made considerable investment into deception technology. By spreading tainted cloud credentials throughout our environment, we allow the attackers to reveal themselves.</t>
  </si>
  <si>
    <t>2673 2018-02-21 07:45:59</t>
  </si>
  <si>
    <t>Factor</t>
  </si>
  <si>
    <t>pct</t>
  </si>
  <si>
    <t>For R CSV:</t>
  </si>
  <si>
    <t>QUESTION OF THE MONTH: SECURITY DATA AS BUSINESS ENABLER(This question is optional and does not contribute to the Index calculation. This question wil</t>
  </si>
  <si>
    <t>2725 2018-03-30 17:50:00</t>
  </si>
  <si>
    <t>ICS Survey March 2018</t>
  </si>
  <si>
    <t>Thought about it and no easy wins, not pursuing;</t>
  </si>
  <si>
    <t>2724 2018-03-29 07:32:34</t>
  </si>
  <si>
    <t>Thinking about it;</t>
  </si>
  <si>
    <t>2723 2018-03-29 05:56:49</t>
  </si>
  <si>
    <t>Not even thinking about it;</t>
  </si>
  <si>
    <t>2722 2018-03-28 15:49:29</t>
  </si>
  <si>
    <t>2721 2018-03-27 13:32:06</t>
  </si>
  <si>
    <t>2720 2018-03-27 12:40:16</t>
  </si>
  <si>
    <t>Already doing;</t>
  </si>
  <si>
    <t>2719 2018-03-27 11:01:35</t>
  </si>
  <si>
    <t>2718 2018-03-27 10:50:33</t>
  </si>
  <si>
    <t xml:space="preserve">Business Email Compromise (BEC) is emerging as the most difficult to tackle security problem at many or most of the enterprises I have spoken with in 2018. </t>
  </si>
  <si>
    <t>2717 2018-03-27 08:55:57</t>
  </si>
  <si>
    <t>2716 2018-03-26 21:24:57</t>
  </si>
  <si>
    <t>2715 2018-03-26 20:56:36</t>
  </si>
  <si>
    <t>2714 2018-03-26 15:10:14</t>
  </si>
  <si>
    <t>2713 2018-03-26 11:48:47</t>
  </si>
  <si>
    <t>2712 2018-03-26 08:46:31</t>
  </si>
  <si>
    <t>2711 2018-03-26 08:00:15</t>
  </si>
  <si>
    <t>2710 2018-03-26 07:37:08</t>
  </si>
  <si>
    <t>2709 2018-03-26 07:34:07</t>
  </si>
  <si>
    <t>2708 2018-03-26 07:10:06</t>
  </si>
  <si>
    <t>2707 2018-03-26 06:10:44</t>
  </si>
  <si>
    <t>2706 2018-03-26 02:25:29</t>
  </si>
  <si>
    <t>2705 2018-03-25 18:08:02</t>
  </si>
  <si>
    <t>2704 2018-03-25 08:52:30</t>
  </si>
  <si>
    <t>2703 2018-03-25 07:50:54</t>
  </si>
  <si>
    <t>2702 2018-03-25 07:43:01</t>
  </si>
  <si>
    <t>2701 2018-03-25 07:06:25</t>
  </si>
  <si>
    <t>2700 2018-03-25 07:04:56</t>
  </si>
  <si>
    <t>2699 2018-03-25 06:38:35</t>
  </si>
  <si>
    <t>QUESTION OF THE MONTH: DEPENDENCE CREATES RISK(This question is optional and does not contribute to the Index calculation. This question will change e</t>
  </si>
  <si>
    <t>2728 2018-04-29 15:07:48</t>
  </si>
  <si>
    <t>ICS Survey April 2018</t>
  </si>
  <si>
    <t>Other (please explain) (Not in a position to respond);</t>
  </si>
  <si>
    <t>2745 2018-04-29 13:52:05</t>
  </si>
  <si>
    <t>Yes, but only insofar as our disaster recovery plan is all about getting back on line as fast as humanly possible; for us, doing without is holding your breath while you swim back up to the surface.;</t>
  </si>
  <si>
    <t>2744 2018-04-29 11:11:37</t>
  </si>
  <si>
    <t>Not really. It has happened to us a couple of times but we didn't learn much that you can put your finger on.;</t>
  </si>
  <si>
    <t>2743 2018-04-29 09:39:04</t>
  </si>
  <si>
    <t>2742 2018-04-29 09:29:52</t>
  </si>
  <si>
    <t>Too difficult to even try.  If we're down, we're down.  We have good people, and we'll figure out a way to muddle through.;</t>
  </si>
  <si>
    <t>Analog-only mode is almost not an option. It is a fact that we live in a world with dependence on interconnection. For example, the new workforce might not know how operate in an analog-only mode. Time to do more for better cyber resilience.</t>
  </si>
  <si>
    <t>2738 2018-04-29 08:56:09</t>
  </si>
  <si>
    <t>Not an option, our business is entirely digital and connected.;</t>
  </si>
  <si>
    <t>2741 2018-04-29 07:10:05</t>
  </si>
  <si>
    <t xml:space="preserve">Our business and systems are increasingly digital by default, they no longer support processes and workflows and instead are the processes and workflows. Non-digital versions of digital processes and workflows for disaster preparedness will cost us more than the actual digital production workflow and processes. </t>
  </si>
  <si>
    <t>2740 2018-04-27 13:08:04</t>
  </si>
  <si>
    <t>2739 2018-04-27 06:27:56</t>
  </si>
  <si>
    <t>Yes, we are and have taken steps to be able to operate without what are otherwise key digital services (the hospital can still admit patients, the factory can still run, the cows can still be milked, the restaurant can still serve, etc.);</t>
  </si>
  <si>
    <t>2737 2018-04-26 20:51:39</t>
  </si>
  <si>
    <t>2736 2018-04-26 19:27:21</t>
  </si>
  <si>
    <t>2735 2018-04-26 19:10:12</t>
  </si>
  <si>
    <t>2734 2018-04-26 13:14:39</t>
  </si>
  <si>
    <t>2733 2018-04-26 11:59:35</t>
  </si>
  <si>
    <t>2732 2018-04-24 20:11:46</t>
  </si>
  <si>
    <t>hi - the 11th Verizon DBIR was recently released. Is the Verizon report trends consistent with your survey data trends and vice a versa?  regards</t>
  </si>
  <si>
    <t>2731 2018-04-23 09:06:41</t>
  </si>
  <si>
    <t>2730 2018-04-23 07:12:19</t>
  </si>
  <si>
    <t>2729 2018-04-22 22:58:10</t>
  </si>
  <si>
    <t>2727 2018-04-21 10:46:00</t>
  </si>
  <si>
    <t>2748 2018-04-30 14:30:32</t>
  </si>
  <si>
    <t>2747 2018-04-30 09:56:28</t>
  </si>
  <si>
    <t>Mabna Institute's efforts to gain access to university accounts via targeted phish continues unabated, despite the largely symbolic indictment of some of its players, and the public descriptions of its tools and techniques.    Some wording clarification of this question would be good: ""Ability to detect false digital claims of identity when received by/presented to machines/functions for which you are responsible ""  If I feel the risk has increased, do I say ""risen"" or ""fallen"" here?  My ability to detect these things has fallen a bit, but the risk has risen.  The reason is that there are some vulnerabilities in the federated authentication implementation we use (Shibboleth) on the service provider side, and all I can do is ask the SP if they are fully patched and/or affected by the vulnerabilities.  I can't patch them myself, yet my users and data may be impacted by them.</t>
  </si>
  <si>
    <t>2746 2018-04-30 08:06:42</t>
  </si>
  <si>
    <t>The closest my org comes to 'digital-but-disconnected' is our use of HSMs (Hardware security module) for cryptographic key storage.</t>
  </si>
  <si>
    <t>2778 2018-05-29 07:36:41</t>
  </si>
  <si>
    <t>ICS Survey May 2018</t>
  </si>
  <si>
    <t>I would suggest analysis of the pending impact of TLS 1.3 adoption on both business DLP capabilities and ability to defend Internet exposed systems from inbound threats.</t>
  </si>
  <si>
    <t>2777 2018-05-28 07:20:25</t>
  </si>
  <si>
    <t>2776 2018-05-27 12:15:53</t>
  </si>
  <si>
    <t>2775 2018-05-27 11:35:27</t>
  </si>
  <si>
    <t>2774 2018-05-27 10:06:19</t>
  </si>
  <si>
    <t>2773 2018-05-27 09:45:27</t>
  </si>
  <si>
    <t>2772 2018-05-26 22:06:20</t>
  </si>
  <si>
    <t>2771 2018-05-26 12:19:32</t>
  </si>
  <si>
    <t>2770 2018-05-26 11:22:50</t>
  </si>
  <si>
    <t>2769 2018-05-26 05:38:57</t>
  </si>
  <si>
    <t>2768 2018-05-24 21:51:11</t>
  </si>
  <si>
    <t xml:space="preserve">Security talents need to be multidisciplinary. Single skill can't handle the challenge. It has been a problem for some cybersecurity professionals that don't know how to code. </t>
  </si>
  <si>
    <t>2767 2018-05-24 17:04:28</t>
  </si>
  <si>
    <t>2766 2018-05-24 09:28:10</t>
  </si>
  <si>
    <t>2765 2018-05-24 07:49:28</t>
  </si>
  <si>
    <t>2764 2018-05-24 07:16:42</t>
  </si>
  <si>
    <t>Please take my name off of your list. I'm really not tracking developments that are reported here.</t>
  </si>
  <si>
    <t>2763 2018-05-24 07:00:46</t>
  </si>
  <si>
    <t>2762 2018-05-23 11:11:55</t>
  </si>
  <si>
    <t>2761 2018-05-23 06:42:05</t>
  </si>
  <si>
    <t>2760 2018-05-22 22:44:23</t>
  </si>
  <si>
    <t>2759 2018-05-22 11:53:43</t>
  </si>
  <si>
    <t>2758 2018-05-22 08:14:47</t>
  </si>
  <si>
    <t>2757 2018-05-22 06:08:53</t>
  </si>
  <si>
    <t>2756 2018-05-21 17:21:45</t>
  </si>
  <si>
    <t>2755 2018-05-21 10:21:10</t>
  </si>
  <si>
    <t>2754 2018-05-21 09:41:37</t>
  </si>
  <si>
    <t>2753 2018-05-21 08:43:45</t>
  </si>
  <si>
    <t>2752 2018-05-21 08:15:27</t>
  </si>
  <si>
    <t>With regard to security talent, I believe our industry has failed to properly value those whom have direct experience with the 'hacker underground'. Hiring a candidate with a CISSP has benefits but hiring someone who has intimate knowledge of in-the-wild attackers and cyber-crime groups can provide a level of insight unattainable by industry certifications.</t>
  </si>
  <si>
    <t>2751 2018-05-21 07:20:06</t>
  </si>
  <si>
    <t>Our business has a ""Effect desired by attackers"" simply to steal money (cryptocurrency itself or from the underlying bank accounts). It seems monetary theft is it's own category. I suppose it is data theft, but in most respects, it's a different issue.</t>
  </si>
  <si>
    <t>2750 2018-05-21 06:11:50</t>
  </si>
  <si>
    <t xml:space="preserve"> Particular tool or specific technology engineer</t>
  </si>
  <si>
    <t xml:space="preserve"> Security architect</t>
  </si>
  <si>
    <t xml:space="preserve"> Network and infrastructure security</t>
  </si>
  <si>
    <t xml:space="preserve"> Application security</t>
  </si>
  <si>
    <t xml:space="preserve"> Generalist control &amp; risk assessment expert</t>
  </si>
  <si>
    <t xml:space="preserve"> Security metrics &amp; data analytics</t>
  </si>
  <si>
    <t xml:space="preserve"> Security project or program manager</t>
  </si>
  <si>
    <t xml:space="preserve"> Security leadership talent</t>
  </si>
  <si>
    <t>Super Abundant</t>
  </si>
  <si>
    <t>x</t>
  </si>
  <si>
    <t>May 2018 Survey Results:</t>
  </si>
  <si>
    <t xml:space="preserve">QUESTION OF THE MONTH: WHAT TRULY MATTERS?(This question is optional and does not contribute to the Index calculation. This question will change each </t>
  </si>
  <si>
    <t>2803 2018-06-28 07:43:37</t>
  </si>
  <si>
    <t>ICS Survey June 2018</t>
  </si>
  <si>
    <t>Identity and Access Management;Network Hardening and Protection;</t>
  </si>
  <si>
    <t>2802 2018-06-26 14:05:41</t>
  </si>
  <si>
    <t>Awareness and Training;Other (please explain) (Security and privacy hardening.  Increasing cryptographic controls hashing and other techniques to secure and protect data.);</t>
  </si>
  <si>
    <t>2801 2018-06-26 07:34:37</t>
  </si>
  <si>
    <t>Vulnerability Management;Awareness and Training;</t>
  </si>
  <si>
    <t>2800 2018-06-26 06:13:58</t>
  </si>
  <si>
    <t>Identity and Access Management;Data Leakage Prevention;Malware and Endpoint Protection;</t>
  </si>
  <si>
    <t>q</t>
  </si>
  <si>
    <t>2799 2018-06-25 21:34:45</t>
  </si>
  <si>
    <t>Process and Application Risk Assessments;Emerging Risk Identification;</t>
  </si>
  <si>
    <t>2798 2018-06-25 20:15:42</t>
  </si>
  <si>
    <t>Awareness and Training;Data Leakage Prevention;</t>
  </si>
  <si>
    <t>2797 2018-06-24 23:01:17</t>
  </si>
  <si>
    <t>Identity and Access Management;Vendor/Third-Party Security Assessments;</t>
  </si>
  <si>
    <t>2796 2018-06-23 15:39:15</t>
  </si>
  <si>
    <t>Vulnerability Management;Network Hardening and Protection;</t>
  </si>
  <si>
    <t>2795 2018-06-23 13:42:36</t>
  </si>
  <si>
    <t>Incidence Response;Malware and Endpoint Protection;</t>
  </si>
  <si>
    <t>2794 2018-06-22 20:25:46</t>
  </si>
  <si>
    <t>Vulnerability Management;Identity and Access Management;</t>
  </si>
  <si>
    <t>2793 2018-06-22 20:13:40</t>
  </si>
  <si>
    <t>Vulnerability Management;Malware and Endpoint Protection;</t>
  </si>
  <si>
    <t>2792 2018-06-22 11:27:09</t>
  </si>
  <si>
    <t>Vulnerability Management;Incidence Response;</t>
  </si>
  <si>
    <t>2791 2018-06-22 09:12:20</t>
  </si>
  <si>
    <t>Vulnerability Management;Process and Application Risk Assessments;</t>
  </si>
  <si>
    <t>2790 2018-06-22 07:44:47</t>
  </si>
  <si>
    <t>Identity and Access Management;Awareness and Training;</t>
  </si>
  <si>
    <t>2789 2018-06-22 05:11:25</t>
  </si>
  <si>
    <t>Incidence Response;Awareness and Training;</t>
  </si>
  <si>
    <t>2788 2018-06-21 22:12:04</t>
  </si>
  <si>
    <t>Awareness and Training;Process and Application Risk Assessments;</t>
  </si>
  <si>
    <t>2787 2018-06-21 11:03:55</t>
  </si>
  <si>
    <t>Awareness and Training;Network Hardening and Protection;</t>
  </si>
  <si>
    <t>2786 2018-06-21 10:35:01</t>
  </si>
  <si>
    <t>2785 2018-06-21 10:08:26</t>
  </si>
  <si>
    <t>Vulnerability Management;Other (please explain) (Threat Intelligence);</t>
  </si>
  <si>
    <t>2784 2018-06-21 09:55:32</t>
  </si>
  <si>
    <t>Vulnerability Management;Other (please explain) (SOA);</t>
  </si>
  <si>
    <t>2783 2018-06-21 09:49:31</t>
  </si>
  <si>
    <t>Vulnerability management includes data leakage protection, malware protection and network hardening, and could be argued to include many others. If it is meant just to refer to software scanning and a product or service acquisition, I would not have chosen it.</t>
  </si>
  <si>
    <t>2782 2018-06-21 09:43:56</t>
  </si>
  <si>
    <t>Incidence Response;Network Hardening and Protection;</t>
  </si>
  <si>
    <t>2781 2018-06-21 09:15:24</t>
  </si>
  <si>
    <t>2780 2018-06-21 09:06:03</t>
  </si>
  <si>
    <t xml:space="preserve">QUESTION OF THE MONTH: SECURITY PRIORITIES(This question is optional and does not contribute to the Index calculation. This question will change each </t>
  </si>
  <si>
    <t>2830 2018-07-28 05:10:32</t>
  </si>
  <si>
    <t>ICS Survey July 2018</t>
  </si>
  <si>
    <t>Business objectives, customer service and product support;Compliance and legal;</t>
  </si>
  <si>
    <t>2829 2018-07-27 18:47:08</t>
  </si>
  <si>
    <t>Business objectives, customer service and product support;Compliance and legal;Direct demands from regulators and their exams;</t>
  </si>
  <si>
    <t>2828 2018-07-27 00:40:38</t>
  </si>
  <si>
    <t>Business objectives, customer service and product support;Auditors, internal or external;Compliance and legal;</t>
  </si>
  <si>
    <t>2827 2018-07-26 15:22:44</t>
  </si>
  <si>
    <t>Auditors, internal or external;Unexplainable senior management whims;</t>
  </si>
  <si>
    <t>2826 2018-07-26 11:53:28</t>
  </si>
  <si>
    <t>Unexplainable senior management whims;</t>
  </si>
  <si>
    <t>A concerning trend is where senior management reads vendor reports and ""success papers"" and immediately wishes to implement something similar.  This can result in efforts that do not mesh with existing priorities and systems and can negatively affect constituent requirements.</t>
  </si>
  <si>
    <t>2825 2018-07-26 10:00:00</t>
  </si>
  <si>
    <t>2824 2018-07-26 06:46:52</t>
  </si>
  <si>
    <t>Compliance and legal;</t>
  </si>
  <si>
    <t>Much of my work is wrapped up in GDP compliance, at the moment.  However, the rest of my work comes from security mandates from our parent organization.  There's another wave of administration centralization going on, with a move to cloud services, as well</t>
  </si>
  <si>
    <t>2823 2018-07-26 06:36:22</t>
  </si>
  <si>
    <t>Business objectives, customer service and product support;</t>
  </si>
  <si>
    <t>2822 2018-07-26 06:28:06</t>
  </si>
  <si>
    <t>2821 2018-07-26 01:58:09</t>
  </si>
  <si>
    <t>2820 2018-07-25 21:43:47</t>
  </si>
  <si>
    <t>2819 2018-07-25 13:39:26</t>
  </si>
  <si>
    <t>2818 2018-07-23 10:01:34</t>
  </si>
  <si>
    <t>2817 2018-07-23 08:09:16</t>
  </si>
  <si>
    <t>2816 2018-07-23 02:22:58</t>
  </si>
  <si>
    <t>2815 2018-07-22 23:13:39</t>
  </si>
  <si>
    <t>2814 2018-07-22 15:15:25</t>
  </si>
  <si>
    <t>Other (please explain) (business monetary loss e.g. fraud);</t>
  </si>
  <si>
    <t>The lack of outcry over criminal behavior in the Russian digital campaigns against Brexit and for Trump should make us all pause. The entire concept of digital attribution is starting to seem superfluous to the general population.</t>
  </si>
  <si>
    <t>2813 2018-07-22 09:24:21</t>
  </si>
  <si>
    <t>2812 2018-07-22 00:53:12</t>
  </si>
  <si>
    <t>cloud shared security model and customer stuff ups (aka accidental disclosure via misconfig error) is underrated as an issue. Just more operational IT landscape not managed effectively</t>
  </si>
  <si>
    <t>2811 2018-07-21 14:04:00</t>
  </si>
  <si>
    <t>Second line of defense, aka corporate operational risk groups;</t>
  </si>
  <si>
    <t>2810 2018-07-21 12:30:47</t>
  </si>
  <si>
    <t>2809 2018-07-21 11:04:52</t>
  </si>
  <si>
    <t>Other (please explain) (Our academic environment is driven by general security needs.);</t>
  </si>
  <si>
    <t>2808 2018-07-21 09:54:09</t>
  </si>
  <si>
    <t>2832 2018-07-30 07:23:54</t>
  </si>
  <si>
    <t>Auditors, internal or external;Compliance and legal;Direct demands from regulators and their exams;</t>
  </si>
  <si>
    <t>2831 2018-07-29 16:59:49</t>
  </si>
  <si>
    <t>Business objectives, customer service and product support;Second line of defense, aka corporate operational risk groups;</t>
  </si>
  <si>
    <t>Curr mth</t>
  </si>
  <si>
    <t xml:space="preserve">QUESTION OF THE MONTH: INFORMATION SOURCES(This question is optional and does not contribute to the Index calculation. This question will change each </t>
  </si>
  <si>
    <t>2859 2018-08-28 13:39:08</t>
  </si>
  <si>
    <t>ICS Survey August 2018</t>
  </si>
  <si>
    <t>Specific security blogs;Formal information sharing (eg, FS-ISAC);Twitter feeds;</t>
  </si>
  <si>
    <t>2858 2018-08-28 11:38:47</t>
  </si>
  <si>
    <t>Formal information sharing (eg, FS-ISAC);Web searches on matters of interest;Paid intel vendor;</t>
  </si>
  <si>
    <t xml:space="preserve">In the category of paid intel vendors, I am including vendors which provide intel through the services provided under service arrangements, such as Talos via Cisco FirePower and AMP. </t>
  </si>
  <si>
    <t>2857 2018-08-28 10:12:01</t>
  </si>
  <si>
    <t>Twitter feeds;Web searches on matters of interest;</t>
  </si>
  <si>
    <t>2856 2018-08-27 22:58:34</t>
  </si>
  <si>
    <t>Specific security blogs;Formal information sharing (eg, FS-ISAC);National vulnerability database;</t>
  </si>
  <si>
    <t>2855 2018-08-27 11:57:41</t>
  </si>
  <si>
    <t>Specific security blogs;Vendor websites;Twitter feeds;</t>
  </si>
  <si>
    <t>Pretty boring time of year...not even seeing a rise in attacks</t>
  </si>
  <si>
    <t>2854 2018-08-27 08:39:36</t>
  </si>
  <si>
    <t>2853 2018-08-27 05:50:23</t>
  </si>
  <si>
    <t>Formal information sharing (eg, FS-ISAC);Paid intel vendor;</t>
  </si>
  <si>
    <t>2852 2018-08-27 05:14:08</t>
  </si>
  <si>
    <t>Formal information sharing (eg, FS-ISAC);Twitter feeds;Web searches on matters of interest;</t>
  </si>
  <si>
    <t>2851 2018-08-27 01:47:11</t>
  </si>
  <si>
    <t>Specific security blogs;Web searches on matters of interest;Paid intel vendor;</t>
  </si>
  <si>
    <t>2850 2018-08-27 01:42:36</t>
  </si>
  <si>
    <t>2849 2018-08-26 16:55:42</t>
  </si>
  <si>
    <t>Formal information sharing (eg, FS-ISAC);National vulnerability database;Paid intel vendor;</t>
  </si>
  <si>
    <t>2848 2018-08-25 22:38:58</t>
  </si>
  <si>
    <t>Specific security blogs;Formal information sharing (eg, FS-ISAC);Other (please explain) (Informal closed networks of trusted experts);</t>
  </si>
  <si>
    <t>2847 2018-08-24 22:40:24</t>
  </si>
  <si>
    <t>Specific security blogs;Vendor websites;Twitter feeds;Paid intel vendor;</t>
  </si>
  <si>
    <t>2846 2018-08-23 08:26:23</t>
  </si>
  <si>
    <t>2845 2018-08-23 05:44:18</t>
  </si>
  <si>
    <t>2844 2018-08-22 22:52:50</t>
  </si>
  <si>
    <t>Specific security blogs;Formal information sharing (eg, FS-ISAC);Paid intel vendor;</t>
  </si>
  <si>
    <t>2843 2018-08-21 23:35:57</t>
  </si>
  <si>
    <t>2842 2018-08-21 21:06:45</t>
  </si>
  <si>
    <t>Formal information sharing (eg, FS-ISAC);Web searches on matters of interest;Other (please explain) (security podcasts ISAC mailing list discussions);</t>
  </si>
  <si>
    <t>We've seen a big uptick recently in criminal social engineering attacks, where financial gain is the goal.  Wire transfer fraud attempts, gift card scams (including one that succeeded against a new employee, whose supervisor was the spoofed sender), and a phisher scam run in which one of the victims subsequently suffered a successful direct deposit due to social engineering of a campus department, which was facilitated by the intruders' access to the victim's mailbox.  The scammers also were perfectly willing to fill out a form, scan it, and fax it in posing as the victim in order to complete the transaction.</t>
  </si>
  <si>
    <t>2841 2018-08-21 14:24:23</t>
  </si>
  <si>
    <t>2840 2018-08-21 09:27:24</t>
  </si>
  <si>
    <t>Specific security blogs;Twitter feeds;Web searches on matters of interest;</t>
  </si>
  <si>
    <t>2839 2018-08-21 08:21:37</t>
  </si>
  <si>
    <t>Other (please explain) (Internal Intelligence Collection);</t>
  </si>
  <si>
    <t>2838 2018-08-21 08:17:53</t>
  </si>
  <si>
    <t>2837 2018-08-21 08:08:43</t>
  </si>
  <si>
    <t>2836 2018-08-21 08:07:20</t>
  </si>
  <si>
    <t>Formal information sharing (eg, FS-ISAC);Web searches on matters of interest;National vulnerability database;</t>
  </si>
  <si>
    <t>I don't see how to get the detailed reports any more. You used to email them to me in pdf format, but I no longer see them and I miss them. I can only see the summaries from the webpage.</t>
  </si>
  <si>
    <t>2835 2018-08-21 08:03:08</t>
  </si>
  <si>
    <t>Formal information sharing (eg, FS-ISAC);Other (please explain) (Vendor alerts);</t>
  </si>
  <si>
    <t>2834 2018-08-21 08:01:11</t>
  </si>
  <si>
    <t>Specific security blogs;Vendor websites;Web searches on matters of interest;</t>
  </si>
  <si>
    <t>QUESTION OF THE MONTH: INTERNET OF THINGS(This question is optional and does not contribute to the Index calculation. This question will change each m</t>
  </si>
  <si>
    <t>2884 2018-09-28 07:07:13</t>
  </si>
  <si>
    <t>ICS Survey September 2018</t>
  </si>
  <si>
    <t>we don't have an answer yet;they are deployed as everything else is / would be;</t>
  </si>
  <si>
    <t>2883 2018-09-27 21:08:24</t>
  </si>
  <si>
    <t>we segregate them in subnets behind NAT firewalls;</t>
  </si>
  <si>
    <t>2882 2018-09-27 13:10:28</t>
  </si>
  <si>
    <t>we don't have an answer yet;</t>
  </si>
  <si>
    <t>2881 2018-09-27 12:47:34</t>
  </si>
  <si>
    <t>they are deployed as everything else is / would be;</t>
  </si>
  <si>
    <t>2880 2018-09-27 12:47:15</t>
  </si>
  <si>
    <t>na</t>
  </si>
  <si>
    <t>2879 2018-09-27 12:30:50</t>
  </si>
  <si>
    <t>2878 2018-09-27 12:21:30</t>
  </si>
  <si>
    <t>2877 2018-09-27 10:59:36</t>
  </si>
  <si>
    <t>not allowed, trust issues abound;</t>
  </si>
  <si>
    <t>2876 2018-09-27 09:08:16</t>
  </si>
  <si>
    <t>2875 2018-09-25 07:44:57</t>
  </si>
  <si>
    <t>2874 2018-09-24 18:16:14</t>
  </si>
  <si>
    <t>2872 2018-09-24 13:37:59</t>
  </si>
  <si>
    <t>we segregate them in subnets behind NAT firewalls;Other (please explain) (segregated to an untrusted network);</t>
  </si>
  <si>
    <t>2871 2018-09-24 13:27:51</t>
  </si>
  <si>
    <t>We haven't seen a flood of IoT devices as of yet.  Facilities-related IoT will have their own subnets behind NAT firewalls, etc.</t>
  </si>
  <si>
    <t>2870 2018-09-24 09:32:41</t>
  </si>
  <si>
    <t>Other (please explain) (We have no need for these kind of devices.);</t>
  </si>
  <si>
    <t>2869 2018-09-24 08:01:04</t>
  </si>
  <si>
    <t>2868 2018-09-23 23:43:39</t>
  </si>
  <si>
    <t>Other (please explain) (Not Applicable);</t>
  </si>
  <si>
    <t>2867 2018-09-23 23:24:28</t>
  </si>
  <si>
    <t>2866 2018-09-23 21:37:08</t>
  </si>
  <si>
    <t>2865 2018-09-22 13:06:57</t>
  </si>
  <si>
    <t>2864 2018-09-22 06:18:44</t>
  </si>
  <si>
    <t>2863 2018-09-22 01:33:51</t>
  </si>
  <si>
    <t>2862 2018-09-21 20:44:31</t>
  </si>
  <si>
    <t>2861 2018-09-21 20:10:18</t>
  </si>
  <si>
    <t>we segregate them in subnets behind NAT firewalls;Other (please explain) (VLAN segmentation DNS subdomains PKI infrastructure.);</t>
  </si>
  <si>
    <t>There is a significantly increasing risk to security and privacy by the ""Five-Eyes"" nations.  Most have, or are working on, aggressive anti-security legislation which will create serious ""nation-state"" threats from nations who are not typically linked to that term.  This has become a significant concern; it drastically impacts customer confidence, product security, and creates mandated weaknesses which impact The Internet and all connected systems at large.</t>
  </si>
  <si>
    <t>QUESTION OF THE MONTH: THE COMPUTING SUPPLY CHAIN(This question is optional and does not contribute to the Index calculation. This question will chang</t>
  </si>
  <si>
    <t>2904 2018-10-30 05:31:11</t>
  </si>
  <si>
    <t>ICS Survey October 2018</t>
  </si>
  <si>
    <t>Technology is complex, any hacks and backdoors built into hardware are not discoverable by most companies or consumers;</t>
  </si>
  <si>
    <t>2903 2018-10-26 16:08:16</t>
  </si>
  <si>
    <t>The story describes a far-fetched scenario that would not be pulled off in real life -- too traceable, i.e., attributable to a specific actor;</t>
  </si>
  <si>
    <t>2893 2018-10-26 13:44:41</t>
  </si>
  <si>
    <t>I don't believe that any of our IT staff would be able to detect a subtle hardware bug or backdoor on our servers - unless it was very active</t>
  </si>
  <si>
    <t>2902 2018-10-25 12:43:59</t>
  </si>
  <si>
    <t>Regardless of the merits of this particular story, hardware hacks etched into the circuitry are likely to already be in active exploitation;</t>
  </si>
  <si>
    <t>2901 2018-10-25 06:42:31</t>
  </si>
  <si>
    <t>The fear is real, but it is reasonably possible for western companies to protect themselves against such hacking;</t>
  </si>
  <si>
    <t>2900 2018-10-25 06:27:43</t>
  </si>
  <si>
    <t>2899 2018-10-25 06:23:30</t>
  </si>
  <si>
    <t>2898 2018-10-25 06:19:54</t>
  </si>
  <si>
    <t>Technology is complex, any hacks and backdoors built into hardware are not discoverable by most companies or consumers;Regardless of the merits of this particular story, hardware hacks etched into the circuitry are likely to already be in active exploitation;</t>
  </si>
  <si>
    <t>2897 2018-10-24 14:18:28</t>
  </si>
  <si>
    <t>The story describes a far-fetched scenario that cannot be pulled off in real life -- too hard;The story describes a far-fetched scenario that would not be pulled off in real life -- too traceable, i.e., attributable to a specific actor;The fear is real, but it is reasonably possible for western companies to protect themselves against such hacking;</t>
  </si>
  <si>
    <t>2896 2018-10-22 20:41:20</t>
  </si>
  <si>
    <t>2895 2018-10-22 12:21:14</t>
  </si>
  <si>
    <t>2894 2018-10-22 11:57:34</t>
  </si>
  <si>
    <t>2892 2018-10-22 07:38:31</t>
  </si>
  <si>
    <t>2891 2018-10-21 23:40:19</t>
  </si>
  <si>
    <t>2890 2018-10-21 22:17:46</t>
  </si>
  <si>
    <t>2889 2018-10-21 16:41:33</t>
  </si>
  <si>
    <t>2888 2018-10-21 11:23:26</t>
  </si>
  <si>
    <t>2887 2018-10-21 07:10:22</t>
  </si>
  <si>
    <t>QUESTION OF THE MONTH: THE NATION STATE ACTOR(This question is optional and does not contribute to the Index calculation. This question will change ea</t>
  </si>
  <si>
    <t>2929 2018-11-29 11:13:25</t>
  </si>
  <si>
    <t>ICS Survey November 2018</t>
  </si>
  <si>
    <t>No surprise and no way to cure the disease.  The Obama-Xi declaration is effectively dead.;</t>
  </si>
  <si>
    <t>2928 2018-11-27 20:06:07</t>
  </si>
  <si>
    <t>2927 2018-11-27 17:30:44</t>
  </si>
  <si>
    <t>2926 2018-11-27 14:21:54</t>
  </si>
  <si>
    <t>2925 2018-11-27 11:46:02</t>
  </si>
  <si>
    <t>2924 2018-11-27 08:37:53</t>
  </si>
  <si>
    <t>2923 2018-11-27 07:03:04</t>
  </si>
  <si>
    <t xml:space="preserve">Cyber warfare has been on-going. The US needs to have a clear policy to defend cybersecurity much more proactivity.  </t>
  </si>
  <si>
    <t>2922 2018-11-27 06:40:27</t>
  </si>
  <si>
    <t>2921 2018-11-26 06:42:08</t>
  </si>
  <si>
    <t>Based on the 863 Doctrine, and the long game played by China leadership, I think this will be seen by the China government as a blip, and cannot/will not affect their log rang activities. Or their near term ones. It is life and we have to deal with it. Political pressure won't help much - it has been ingrained into every Chinese citizen.</t>
  </si>
  <si>
    <t>2920 2018-11-25 23:49:04</t>
  </si>
  <si>
    <t>2919 2018-11-24 12:47:39</t>
  </si>
  <si>
    <t>No surprise as these things are bound to occasionally happen.  The agreement will endure.;All countries except China and the U.S. are now proven powerless to enforce any aspiration of their own for supply chain ethical sanctity.;</t>
  </si>
  <si>
    <t>2918 2018-11-24 04:18:01</t>
  </si>
  <si>
    <t>2917 2018-11-23 15:10:55</t>
  </si>
  <si>
    <t>No surprise and no way to cure the disease.  The Obama-Xi declaration is effectively dead.;Import controls, including tariffs, will pale beside export controls soon to be in place.;</t>
  </si>
  <si>
    <t>2916 2018-11-23 14:33:56</t>
  </si>
  <si>
    <t>2915 2018-11-23 11:47:35</t>
  </si>
  <si>
    <t>No surprise as these things are bound to occasionally happen.  The agreement will endure.;</t>
  </si>
  <si>
    <t>2914 2018-11-23 11:29:34</t>
  </si>
  <si>
    <t>2913 2018-11-23 11:14:13</t>
  </si>
  <si>
    <t>Surprising given the prestige invested in the 2015 regime, and so the Micron case will lead to strengthening that treaty regime.;</t>
  </si>
  <si>
    <t>2912 2018-11-22 20:08:22</t>
  </si>
  <si>
    <t>2911 2018-11-22 08:18:11</t>
  </si>
  <si>
    <t>2910 2018-11-21 23:47:10</t>
  </si>
  <si>
    <t>2909 2018-11-21 08:53:30</t>
  </si>
  <si>
    <t>Other (please explain) (The declaration was dead on delivery.);</t>
  </si>
  <si>
    <t>China's leaders see the US as an existential threat, referring to the US as a hegemony.  Chinese language propaganda describes the US as working to keep China down. I believe China's leaders feel no obligation to honor any agreement that they feel is not in their best interest.  The fallout from past failed agreements has been minimal, so they calculate this will be minimal, too, in the long term.  We need them too much.</t>
  </si>
  <si>
    <t>2908 2018-11-21 08:07:21</t>
  </si>
  <si>
    <t>The Obama-Xi agreement made some of the cyber-theft rules public, which helps when building a case against a foreign actor in the event of clear violations. Both countries still engage in covert operations for national gain, but now with the explicit agreement that criminal charges can and will be filed.</t>
  </si>
  <si>
    <t>2907 2018-11-21 05:14:55</t>
  </si>
  <si>
    <t>2906 2018-11-21 02:58:50</t>
  </si>
  <si>
    <t>QUESTION OF THE MONTH:Â PHYSICAL ATTACKS ON THE NETWORK(This question is optional and does not contribute to the Index calculation. This question will</t>
  </si>
  <si>
    <t>2954 2018-12-28 10:05:03</t>
  </si>
  <si>
    <t>ICS Survey December 2018</t>
  </si>
  <si>
    <t>2953 2018-12-28 06:37:11</t>
  </si>
  <si>
    <t>Though theoretically possible, such an attack will be identified and thwarted fairly quickly in our environment;</t>
  </si>
  <si>
    <t>2952 2018-12-28 06:15:50</t>
  </si>
  <si>
    <t>Given our network access controls that blanket our entire network, such an attack is dead-on-arrival;</t>
  </si>
  <si>
    <t>2951 2018-12-27 08:51:06</t>
  </si>
  <si>
    <t>Though we will eventually find and block such an attack, but not before affording a large enough window of opportunity to the attacker;</t>
  </si>
  <si>
    <t>2950 2018-12-26 16:28:45</t>
  </si>
  <si>
    <t>2949 2018-12-26 13:16:41</t>
  </si>
  <si>
    <t>2948 2018-12-26 12:02:31</t>
  </si>
  <si>
    <t>There are limited parts of our network where such an attack could succeed, though there are other parts that can be considered inoculated;</t>
  </si>
  <si>
    <t>2947 2018-12-25 22:30:10</t>
  </si>
  <si>
    <t>2946 2018-12-25 19:07:05</t>
  </si>
  <si>
    <t>2945 2018-12-25 03:10:23</t>
  </si>
  <si>
    <t>2944 2018-12-24 21:33:46</t>
  </si>
  <si>
    <t>2943 2018-12-24 18:07:30</t>
  </si>
  <si>
    <t>2942 2018-12-24 13:49:33</t>
  </si>
  <si>
    <t>2941 2018-12-21 17:55:22</t>
  </si>
  <si>
    <t>Though we will eventually find and block such an attack, but not before affording a large enough window of opportunity to the attacker;Other (please explain) (My answer is somewhere between ""never find"" and ""eventually find"" depending on what the rogue device is actually doing.  But our network and campus are physically accessible and no NAC on wired net.);</t>
  </si>
  <si>
    <t>2940 2018-12-21 12:37:49</t>
  </si>
  <si>
    <t>We will never be able to find something like this;</t>
  </si>
  <si>
    <t>2939 2018-12-21 11:44:50</t>
  </si>
  <si>
    <t>2938 2018-12-21 10:46:30</t>
  </si>
  <si>
    <t>2937 2018-12-21 10:00:27</t>
  </si>
  <si>
    <t>2936 2018-12-21 07:33:32</t>
  </si>
  <si>
    <t>2935 2018-12-21 06:58:00</t>
  </si>
  <si>
    <t>2934 2018-12-21 06:38:04</t>
  </si>
  <si>
    <t>2933 2018-12-21 06:03:48</t>
  </si>
  <si>
    <t>2932 2018-12-21 06:00:36</t>
  </si>
  <si>
    <t>Dec-18</t>
  </si>
  <si>
    <t>simple average rate of change</t>
  </si>
  <si>
    <t>For Excel:</t>
  </si>
  <si>
    <t>Pct</t>
  </si>
  <si>
    <t>Jan-19</t>
  </si>
  <si>
    <t>2974 2019-01-25 13:40:20</t>
  </si>
  <si>
    <t>2973 2019-01-25 11:31:03</t>
  </si>
  <si>
    <t>2972 2019-01-25 08:09:57</t>
  </si>
  <si>
    <t>2971 2019-01-25 06:15:26</t>
  </si>
  <si>
    <t>2970 2019-01-24 23:46:21</t>
  </si>
  <si>
    <t>2969 2019-01-24 18:08:16</t>
  </si>
  <si>
    <t>2968 2019-01-24 16:49:19</t>
  </si>
  <si>
    <t>2967 2019-01-23 13:31:33</t>
  </si>
  <si>
    <t>2966 2019-01-23 07:59:20</t>
  </si>
  <si>
    <t>2965 2019-01-23 05:51:46</t>
  </si>
  <si>
    <t>2964 2019-01-22 21:46:20</t>
  </si>
  <si>
    <t>2963 2019-01-22 08:39:26</t>
  </si>
  <si>
    <t>2962 2019-01-22 08:29:33</t>
  </si>
  <si>
    <t>2961 2019-01-21 23:53:09</t>
  </si>
  <si>
    <t>2960 2019-01-21 11:22:41</t>
  </si>
  <si>
    <t>2959 2019-01-21 09:10:28</t>
  </si>
  <si>
    <t>2958 2019-01-21 08:23:30</t>
  </si>
  <si>
    <t>2956 2019-01-21 07:58:34</t>
  </si>
  <si>
    <t>End user awareness training is critical.  We have end user awareness training in place or are putting it in place;</t>
  </si>
  <si>
    <t>The 2FA solution in my organization is fine, we donâ€™t perceive a large risk;End user awareness training is critical.  We have end user awareness training in place or are putting it in place;</t>
  </si>
  <si>
    <t>QUESTION OF THE MONTH:Â TWO FACTOR AUTHENTICATION(This question is optional and does not contribute to the Index calculation. This question will chang</t>
  </si>
  <si>
    <t>The fact that 2FA doesn't solve every conceivable attack scenario doesn't negate its tremendous usefulness.  We still watch for anomalous login patterns even with 2FA in place.</t>
  </si>
  <si>
    <t>The 2FA solution in my organization is fine, we donâ€™t perceive a large risk;We are actively working on stronger 2FA capabilities;End user awareness training is critical.  We have end user awareness training in place or are putting it in place;</t>
  </si>
  <si>
    <t>The 2FA solution in my organization is fine, we donâ€™t perceive a large risk;</t>
  </si>
  <si>
    <t>The 2FA solution in my organization is fine, we donâ€™t perceive a large risk;End user awareness training is critical.  We have end user awareness training in place or are putting it in place;Other (please explain) (Monitoring vulnerabilities and options);</t>
  </si>
  <si>
    <t>in a never-ending world of playing catch up, the slow capacity to change means 2FA is as good as we have arrived at.  Existing providers of 2FA solutions need to step up, I don't want another solution</t>
  </si>
  <si>
    <t xml:space="preserve">It is not really 2FA it needs to be MFA, even the location for a login should be considered. We as an industry need to look at how the credit fraud detection is done and adopt many of their approaches. </t>
  </si>
  <si>
    <t>We are actively working on stronger 2FA capabilities;End user awareness training is critical.  We have end user awareness training in place or are putting it in place;</t>
  </si>
  <si>
    <t>Our internal Red Team attempts to phish 2FA tokens during their operations but, do so knowing that if they make a mistake and the phish is reported, they're going to be under much more scrutiny than a 'normal' email-based phish.</t>
  </si>
  <si>
    <t>2979 2019-01-27 12:28:35</t>
  </si>
  <si>
    <t>ICS Survey January 2019</t>
  </si>
  <si>
    <t>We do not rely on 2FA;</t>
  </si>
  <si>
    <t>2978 2019-01-27 11:27:41</t>
  </si>
  <si>
    <t>2977 2019-01-26 08:03:39</t>
  </si>
  <si>
    <t>We are actively working on stronger 2FA capabilities;</t>
  </si>
  <si>
    <t>2976 2019-01-26 06:58:55</t>
  </si>
  <si>
    <t>2975 2019-01-26 04:32:05</t>
  </si>
  <si>
    <t>2980 2019-01-28 06:53:31</t>
  </si>
  <si>
    <t>2981 2019-01-29 07:08:55</t>
  </si>
  <si>
    <t xml:space="preserve">QUESTION OF THE MONTH:Â INTERNET OF THINGS(This question is optional and does not contribute to the Index calculation. This question will change each </t>
  </si>
  <si>
    <t>3000 2019-02-26 17:47:56</t>
  </si>
  <si>
    <t>ICS Survey February 2019</t>
  </si>
  <si>
    <t>We are working to get our hands around all of the IOT devices in our environment;</t>
  </si>
  <si>
    <t>2999 2019-02-26 14:01:50</t>
  </si>
  <si>
    <t>We have a robust IOT architecture and implementation in place;</t>
  </si>
  <si>
    <t>2998 2019-02-26 13:35:15</t>
  </si>
  <si>
    <t>2997 2019-02-26 05:51:05</t>
  </si>
  <si>
    <t>We are evaluating tools to secure our IOT infrastructure (trusted identity, anomaly detection, network segmentation â€¦);</t>
  </si>
  <si>
    <t>2996 2019-02-25 10:55:08</t>
  </si>
  <si>
    <t>2995 2019-02-25 08:59:42</t>
  </si>
  <si>
    <t>We donâ€™t have an IOT exposure;</t>
  </si>
  <si>
    <t>2994 2019-02-25 06:16:13</t>
  </si>
  <si>
    <t>2993 2019-02-24 23:31:05</t>
  </si>
  <si>
    <t>2992 2019-02-24 06:46:00</t>
  </si>
  <si>
    <t>2991 2019-02-23 01:25:15</t>
  </si>
  <si>
    <t>2990 2019-02-22 17:57:53</t>
  </si>
  <si>
    <t>2989 2019-02-22 07:47:08</t>
  </si>
  <si>
    <t>2988 2019-02-22 07:40:13</t>
  </si>
  <si>
    <t>We donâ€™t have an IOT exposure;The top three things we are doing to prepare for and defend against IOT threats are: (segmentation);</t>
  </si>
  <si>
    <t>2987 2019-02-22 07:10:06</t>
  </si>
  <si>
    <t>2986 2019-02-21 22:29:36</t>
  </si>
  <si>
    <t>2985 2019-02-21 15:16:40</t>
  </si>
  <si>
    <t>2984 2019-02-21 13:03:11</t>
  </si>
  <si>
    <t>2983 2019-02-21 12:58:26</t>
  </si>
  <si>
    <t>Feb-19</t>
  </si>
  <si>
    <t>3001 2019-02-27 05:52:29</t>
  </si>
  <si>
    <t>3002 2019-02-27 13:28:40</t>
  </si>
  <si>
    <t>3003 2019-02-28 05:01:24</t>
  </si>
  <si>
    <t>RecordedDate</t>
  </si>
  <si>
    <t>RecipientLastName</t>
  </si>
  <si>
    <t>RecipientFirstName</t>
  </si>
  <si>
    <t>RecipientEmail</t>
  </si>
  <si>
    <t>ExternalReference</t>
  </si>
  <si>
    <t>Q1_1</t>
  </si>
  <si>
    <t>Q1_2</t>
  </si>
  <si>
    <t>Q1_3</t>
  </si>
  <si>
    <t>Q1_4</t>
  </si>
  <si>
    <t>Q1_5</t>
  </si>
  <si>
    <t>Q2_1</t>
  </si>
  <si>
    <t>Q2_2</t>
  </si>
  <si>
    <t>Q2_3</t>
  </si>
  <si>
    <t>Q2_4</t>
  </si>
  <si>
    <t>Q2_5</t>
  </si>
  <si>
    <t>Q3_1</t>
  </si>
  <si>
    <t>Q3_2</t>
  </si>
  <si>
    <t>Q3_3</t>
  </si>
  <si>
    <t>Q4_1</t>
  </si>
  <si>
    <t>Q4_2</t>
  </si>
  <si>
    <t>Q4_3</t>
  </si>
  <si>
    <t>Q4_4</t>
  </si>
  <si>
    <t>Q4_5</t>
  </si>
  <si>
    <t>Q4_6</t>
  </si>
  <si>
    <t>Q4_7</t>
  </si>
  <si>
    <t>Q5_1</t>
  </si>
  <si>
    <t>Q5_2</t>
  </si>
  <si>
    <t>Q6_1</t>
  </si>
  <si>
    <t>Q6_2</t>
  </si>
  <si>
    <t>Q6_3</t>
  </si>
  <si>
    <t>Q7</t>
  </si>
  <si>
    <t>Q7_5_TEXT</t>
  </si>
  <si>
    <t>Q7_5_TEXT - Topics</t>
  </si>
  <si>
    <t>Fallen Fast</t>
  </si>
  <si>
    <t>Risen Fast</t>
  </si>
  <si>
    <t>Other (please explain):</t>
  </si>
  <si>
    <t>Mar-19</t>
  </si>
  <si>
    <t>It should be done in secret and not publicly acknowledged</t>
  </si>
  <si>
    <t>It will give rise to an increase in Nation State hacking</t>
  </si>
  <si>
    <t>It will not lead to an appreciable increase in Nation state hacking and the current actors will continue their efforts</t>
  </si>
  <si>
    <t>It is a good development, putting other nations on notice that the US will take action and will serve as a deterrent,It should be done in secret and not publicly acknowledged,It will not lead to an appreciable increase in Nation state hacking and the current actors will continue their efforts</t>
  </si>
  <si>
    <t>It is a good development, putting other nations on notice that the US will take action and will serve as a deterrent</t>
  </si>
  <si>
    <t>It should be done in secret and not publicly acknowledged,It will give rise to an increase in Nation State hacking</t>
  </si>
  <si>
    <t>i am fine with this being done as a government effort via military or NSA activities. I am not fine with this when talking about private sector efforts and having corporations being enabled to hack back.</t>
  </si>
  <si>
    <t>It is a good development, putting other nations on notice that the US will take action and will serve as a deterrent,It will not lead to an appreciable increase in Nation state hacking and the current actors will continue their efforts</t>
  </si>
  <si>
    <t>It will not lead to an appreciable increase in Nation state hacking and the current actors will continue their efforts,Other (please explain):</t>
  </si>
  <si>
    <t>I think we've been doing this all along.  Although there will be more public discussion of such attacks, likely they won't actually increase, either on our part or our adversaries'.</t>
  </si>
  <si>
    <t>It is a good development, putting other nations on notice that the US will take action and will serve as a deterrent,It should be done in secret and not publicly acknowledged</t>
  </si>
  <si>
    <t>It is a good development, putting other nations on notice that the US will take action and will serve as a deterrent,It should be done in secret and not publicly acknowledged,It will give rise to an increase in Nation State hacking</t>
  </si>
  <si>
    <t>This is a necessary part of a Cyber risk mitigation strategy,We are investigating getting a policy</t>
  </si>
  <si>
    <t>This is a necessary part of a Cyber risk mitigation strategy,We have a Cyber Insurance policy</t>
  </si>
  <si>
    <t>We have no plans for a Cyber Insurance policy</t>
  </si>
  <si>
    <t>We are investigating getting a policy</t>
  </si>
  <si>
    <t>We have a Cyber Insurance policy</t>
  </si>
  <si>
    <t>The current cost to value ratio is too high to make it worthwhile for our business</t>
  </si>
  <si>
    <t>The current cost to value ratio is too high to make it worthwhile for our business,We have a Cyber Insurance policy</t>
  </si>
  <si>
    <t>This is a necessary part of a Cyber risk mitigation strategy</t>
  </si>
  <si>
    <t>I've long been skeptical of cyber insurance actually paying off in a meaningful way in the event of an incident, although it does look like the industry is slowly maturing and I think the concept of cyber insurance is beneficial in a larger sense.  It may seem worthwhile to us at some point.  Right now we "self-insure".</t>
  </si>
  <si>
    <t>Unknown</t>
  </si>
  <si>
    <t>This is a necessary part of a Cyber risk mitigation strategy,We have a Cyber Insurance policy,Other (please explain):</t>
  </si>
  <si>
    <t xml:space="preserve">Cyber insurance policies are often mandated by customers and is as standard as E&amp;O and liability policies in most contracts. </t>
  </si>
  <si>
    <t>This is a necessary part of a Cyber risk mitigation strategy,Other (please explain):</t>
  </si>
  <si>
    <t>I don't know if my institution, Brown University, carries cyber insurance.</t>
  </si>
  <si>
    <t>The current cost to value ratio is too high to make it worthwhile for our business,We have no plans for a Cyber Insurance policy</t>
  </si>
  <si>
    <t>Apr-19</t>
  </si>
  <si>
    <t>Nation states</t>
  </si>
  <si>
    <t>Insider threat</t>
  </si>
  <si>
    <t>Strategic rivals</t>
  </si>
  <si>
    <t>Activist/hacktivists</t>
  </si>
  <si>
    <t>Criminals</t>
  </si>
  <si>
    <t>Botnets</t>
  </si>
  <si>
    <t>Mass malware</t>
  </si>
  <si>
    <t>Vulnerability exploitation</t>
  </si>
  <si>
    <t>Phishing/social engineering</t>
  </si>
  <si>
    <t>Customized to target</t>
  </si>
  <si>
    <t>Web facing applications</t>
  </si>
  <si>
    <t>Internet exposed devices/appliances</t>
  </si>
  <si>
    <t>End points</t>
  </si>
  <si>
    <t>Mobile devices</t>
  </si>
  <si>
    <t>Public infrastructure/cloud</t>
  </si>
  <si>
    <t>Counterparties</t>
  </si>
  <si>
    <t>Autonomous network connected devices</t>
  </si>
  <si>
    <t>Data theft</t>
  </si>
  <si>
    <t>Data modification</t>
  </si>
  <si>
    <t>Business disruption</t>
  </si>
  <si>
    <t>Vulnerability to known threats</t>
  </si>
  <si>
    <t>Vulnerability to unknown threats</t>
  </si>
  <si>
    <t>False claims of digital identity</t>
  </si>
  <si>
    <t>Media &amp; public perception</t>
  </si>
  <si>
    <t>Personal risk</t>
  </si>
  <si>
    <t>Q7_1</t>
  </si>
  <si>
    <t>Q7_2</t>
  </si>
  <si>
    <t>Q7_3</t>
  </si>
  <si>
    <t>Q7_4</t>
  </si>
  <si>
    <t>Q7_5</t>
  </si>
  <si>
    <t>Q7_6</t>
  </si>
  <si>
    <t>Q7_7</t>
  </si>
  <si>
    <t>Q7_8</t>
  </si>
  <si>
    <t>Very Difficult to find</t>
  </si>
  <si>
    <t>May-19</t>
  </si>
  <si>
    <t>Security Leadership</t>
  </si>
  <si>
    <t>Application Security</t>
  </si>
  <si>
    <t>Security Architect</t>
  </si>
  <si>
    <t>Security Metrics and Data Analytics</t>
  </si>
  <si>
    <t>Specific Technology/Tool Engineer</t>
  </si>
  <si>
    <t>Security Project/Program Manager</t>
  </si>
  <si>
    <t>Network and Infrastructure Security</t>
  </si>
  <si>
    <t>Control and Risk Management Expert</t>
  </si>
  <si>
    <t>May 2019 Survey Results</t>
  </si>
  <si>
    <t>Network and infrastructure Security</t>
  </si>
  <si>
    <t>Control and Risk Assessment Expert</t>
  </si>
  <si>
    <t>Q7_6_TEXT</t>
  </si>
  <si>
    <t>Government / Defense Organizations (ie: NIST, NVD, NCSC,  â€¦),Commercial â€“ Hardware/Software/Consulting Vendor,Cyber Security Organizations (ie: SANS â€¦)</t>
  </si>
  <si>
    <t>Government / Defense Organizations (ie: NIST, NVD, NCSC,  â€¦),Cyber Security Organizations (ie: SANS â€¦),Other (please explain):</t>
  </si>
  <si>
    <t>Seekrit Skwirrel groups</t>
  </si>
  <si>
    <t>Academic Institutions,Cyber Security Organizations (ie: SANS â€¦),Other (please explain):,What are the top three sources you rely on the most?</t>
  </si>
  <si>
    <t>Standard news sources</t>
  </si>
  <si>
    <t>NYT, WSJ, WaPo</t>
  </si>
  <si>
    <t>Government / Defense Organizations (ie: NIST, NVD, NCSC,  â€¦),Commercial â€“ Hardware/Software/Consulting Vendor,Cyber Security Organizations (ie: SANS â€¦),What are the top three sources you rely on the most?</t>
  </si>
  <si>
    <t>SANS, CERT, Palo Alto Unit 42</t>
  </si>
  <si>
    <t>Commercial â€“ Hardware/Software/Consulting Vendor</t>
  </si>
  <si>
    <t>Cyber Security Organizations (ie: SANS â€¦),What are the top three sources you rely on the most?</t>
  </si>
  <si>
    <t>MITRE, SANS, Brian Krebs</t>
  </si>
  <si>
    <t>Paid threat intel sources... industry consortiums... peers.</t>
  </si>
  <si>
    <t>Government / Defense Organizations (ie: NIST, NVD, NCSC,  â€¦),Cyber Security Organizations (ie: SANS â€¦)</t>
  </si>
  <si>
    <t>Commercial â€“ Hardware/Software/Consulting Vendor,Academic Institutions,Cyber Security Organizations (ie: SANS â€¦),Other (please explain):,What are the top three sources you rely on the most?</t>
  </si>
  <si>
    <t>Twitter , mailing lists</t>
  </si>
  <si>
    <t>Government / Defense Organizations (ie: NIST, NVD, NCSC,  â€¦),Commercial â€“ Hardware/Software/Consulting Vendor,Academic Institutions,Cyber Security Organizations (ie: SANS â€¦),Other (please explain):</t>
  </si>
  <si>
    <t>Custom security-based Twitter feed</t>
  </si>
  <si>
    <t>Government / Defense Organizations (ie: NIST, NVD, NCSC,  â€¦),Cyber Security Organizations (ie: SANS â€¦),Other (please explain):,What are the top three sources you rely on the most?</t>
  </si>
  <si>
    <t>Professional peer group</t>
  </si>
  <si>
    <t>US-CERT, Professional peer group, Cybersecurity Organizations</t>
  </si>
  <si>
    <t>Other (please explain):,What are the top three sources you rely on the most?</t>
  </si>
  <si>
    <t>twitter feeds, Linkedin</t>
  </si>
  <si>
    <t>aspi.org.au, SANS news bytes, the cyberwire</t>
  </si>
  <si>
    <t>Government / Defense Organizations (ie: NIST, NVD, NCSC,  â€¦),Commercial â€“ Hardware/Software/Consulting Vendor,Cyber Security Organizations (ie: SANS â€¦),Other (please explain):,What are the top three sources you rely on the most?</t>
  </si>
  <si>
    <t>ISAC (Information Sharing &amp; Analysis Center)</t>
  </si>
  <si>
    <t>SANS Internet Storm Center, Google News, ONG-ISAC</t>
  </si>
  <si>
    <t>Government / Defense Organizations (ie: NIST, NVD, NCSC,  â€¦),Commercial â€“ Hardware/Software/Consulting Vendor,What are the top three sources you rely on the most?</t>
  </si>
  <si>
    <t>Vendor, Infargard, NVD</t>
  </si>
  <si>
    <t>Commercial â€“ Hardware/Software/Consulting Vendor,Cyber Security Organizations (ie: SANS â€¦),Other (please explain):,What are the top three sources you rely on the most?</t>
  </si>
  <si>
    <t>Infosec Twitter</t>
  </si>
  <si>
    <t>Twitter, my org's internal CTI team, security-focused trust groups</t>
  </si>
  <si>
    <t>Government / Defense Organizations (ie: NIST, NVD, NCSC,  â€¦),Commercial â€“ Hardware/Software/Consulting Vendor,Academic Institutions,Cyber Security Organizations (ie: SANS â€¦)</t>
  </si>
  <si>
    <t>ISAC, own threat analysis team</t>
  </si>
  <si>
    <t>ISAC, Government, threat analysis team</t>
  </si>
  <si>
    <t>FBI</t>
  </si>
  <si>
    <t>Commercial â€“ Hardware/Software/Consulting Vendor,Other (please explain):</t>
  </si>
  <si>
    <t>Private info sharing groups of peer organizations</t>
  </si>
  <si>
    <t>Government / Defense Organizations (ie: NIST, NVD, NCSC,  â€¦),Academic Institutions,Cyber Security Organizations (ie: SANS â€¦)</t>
  </si>
  <si>
    <t>AV and New Malware alerts, Internal Threat Intelligence, and Internal Incident Management</t>
  </si>
  <si>
    <t>Cyber Security Organizations (ie: SANS â€¦),Other (please explain):</t>
  </si>
  <si>
    <t>Specialised companies</t>
  </si>
  <si>
    <t>Academic Institutions,Cyber Security Organizations (ie: SANS â€¦)</t>
  </si>
  <si>
    <t>I listen to a variety of security podcasts from private sources (SANS, Risky Business, Smashing Security, Troy Hunt).</t>
  </si>
  <si>
    <t>REN-ISAC daily reports and discussions; SANS ISC podcasts; Risky Business podcast</t>
  </si>
  <si>
    <t>Government / Defense Organizations (ie: NIST, NVD, NCSC,  â€¦),Other (please explain):</t>
  </si>
  <si>
    <t>RSS feeds</t>
  </si>
  <si>
    <t>June-19</t>
  </si>
  <si>
    <t>Governments need to establish new laws/regulations,User Awareness programs need to be put in place,App stores need to enforce a clearly defined, common data privacy policy on apps,App developers should provide in app user opt in/opt out notices (apart from T&amp;C) for specific uses of data,Social Media providers should enforce data privacy restrictions on their ecosystems/connected applications</t>
  </si>
  <si>
    <t>read the details.  consumers need to be aware of how their data is used.</t>
  </si>
  <si>
    <t>App developers should provide in app user opt in/opt out notices (apart from T&amp;C) for specific uses of data</t>
  </si>
  <si>
    <t>App stores need to enforce a clearly defined, common data privacy policy on apps,Social Media providers should enforce data privacy restrictions on their ecosystems/connected applications</t>
  </si>
  <si>
    <t>Governments need to establish new laws/regulations</t>
  </si>
  <si>
    <t>Governments need to establish new laws/regulations,App stores need to enforce a clearly defined, common data privacy policy on apps,Social Media providers should enforce data privacy restrictions on their ecosystems/connected applications</t>
  </si>
  <si>
    <t>User Awareness programs need to be put in place,App stores need to enforce a clearly defined, common data privacy policy on apps,App developers should provide in app user opt in/opt out notices (apart from T&amp;C) for specific uses of data,Social Media providers should enforce data privacy restrictions on their ecosystems/connected applications</t>
  </si>
  <si>
    <t>User Awareness programs need to be put in place,App stores need to enforce a clearly defined, common data privacy policy on apps</t>
  </si>
  <si>
    <t>User Awareness programs need to be put in place,App developers should provide in app user opt in/opt out notices (apart from T&amp;C) for specific uses of data,Social Media providers should enforce data privacy restrictions on their ecosystems/connected applications</t>
  </si>
  <si>
    <t>Governments need to establish new laws/regulations,App stores need to enforce a clearly defined, common data privacy policy on apps,App developers should provide in app user opt in/opt out notices (apart from T&amp;C) for specific uses of data,Social Media providers should enforce data privacy restrictions on their ecosystems/connected applications</t>
  </si>
  <si>
    <t>App stores need to enforce a clearly defined, common data privacy policy on apps,App developers should provide in app user opt in/opt out notices (apart from T&amp;C) for specific uses of data</t>
  </si>
  <si>
    <t>Governments need to establish new laws/regulations,User Awareness programs need to be put in place,Social Media providers should enforce data privacy restrictions on their ecosystems/connected applications</t>
  </si>
  <si>
    <t>Governments need to establish new laws/regulations,App developers should provide in app user opt in/opt out notices (apart from T&amp;C) for specific uses of data,Social Media providers should enforce data privacy restrictions on their ecosystems/connected applications</t>
  </si>
  <si>
    <t>App stores need to enforce a clearly defined, common data privacy policy on apps</t>
  </si>
  <si>
    <t>App stores need to enforce a clearly defined, common data privacy policy on apps,App developers should provide in app user opt in/opt out notices (apart from T&amp;C) for specific uses of data,Social Media providers should enforce data privacy restrictions on their ecosystems/connected applications</t>
  </si>
  <si>
    <t>User Awareness programs need to be put in place</t>
  </si>
  <si>
    <t>Governments need to establish new laws/regulations,App stores need to enforce a clearly defined, common data privacy policy on apps</t>
  </si>
  <si>
    <t>Governments need to establish new laws/regulations,App stores need to enforce a clearly defined, common data privacy policy on apps,App developers should provide in app user opt in/opt out notices (apart from T&amp;C) for specific uses of data</t>
  </si>
  <si>
    <t>Governments need to establish new laws/regulations,User Awareness programs need to be put in place,App developers should provide in app user opt in/opt out notices (apart from T&amp;C) for specific uses of data,Social Media providers should enforce data privacy restrictions on their ecosystems/connected applications</t>
  </si>
  <si>
    <t>Governments need to establish new laws/regulations,User Awareness programs need to be put in place,App stores need to enforce a clearly defined, common data privacy policy on apps,Social Media providers should enforce data privacy restrictions on their ecosystems/connected applications</t>
  </si>
  <si>
    <t>July-19</t>
  </si>
  <si>
    <t>Continuous user security training on malware/phishing,Strong geo-diverse backup program and operational procedures,Zero Trust Architectures</t>
  </si>
  <si>
    <t>Continuous user security training on malware/phishing,Strong geo-diverse backup program and operational procedures,Tested Business Continuity/Disaster Recovery plans and procedures,Zero Trust Architectures,Data encryption to help minimize the data hackers can steal, use, or sell should they find their way in,Refusing to pay the ransom</t>
  </si>
  <si>
    <t>Continuous user security training on malware/phishing,Tested Business Continuity/Disaster Recovery plans and procedures,Zero Trust Architectures,Refusing to pay the ransom</t>
  </si>
  <si>
    <t>Continuous user security training on malware/phishing,Strong geo-diverse backup program and operational procedures,Tested Business Continuity/Disaster Recovery plans and procedures</t>
  </si>
  <si>
    <t>Continuous user security training on malware/phishing,Zero Trust Architectures,Data encryption to help minimize the data hackers can steal, use, or sell should they find their way in,Refusing to pay the ransom</t>
  </si>
  <si>
    <t>Tested Business Continuity/Disaster Recovery plans and procedures,Data encryption to help minimize the data hackers can steal, use, or sell should they find their way in,Refusing to pay the ransom</t>
  </si>
  <si>
    <t>Continuous user security training on malware/phishing,Strong geo-diverse backup program and operational procedures,Tested Business Continuity/Disaster Recovery plans and procedures,Zero Trust Architectures,Data encryption to help minimize the data hackers can steal, use, or sell should they find their way in</t>
  </si>
  <si>
    <t>Strong geo-diverse backup program and operational procedures,Tested Business Continuity/Disaster Recovery plans and procedures</t>
  </si>
  <si>
    <t>Continuous user security training on malware/phishing,Strong geo-diverse backup program and operational procedures,Data encryption to help minimize the data hackers can steal, use, or sell should they find their way in,Refusing to pay the ransom</t>
  </si>
  <si>
    <t>Continuous user security training on malware/phishing,Strong geo-diverse backup program and operational procedures,Tested Business Continuity/Disaster Recovery plans and procedures,Zero Trust Architectures</t>
  </si>
  <si>
    <t>Strong geo-diverse backup program and operational procedures,Tested Business Continuity/Disaster Recovery plans and procedures,Refusing to pay the ransom</t>
  </si>
  <si>
    <t>Continuous user security training on malware/phishing,Tested Business Continuity/Disaster Recovery plans and procedures,Zero Trust Architectures,Data encryption to help minimize the data hackers can steal, use, or sell should they find their way in</t>
  </si>
  <si>
    <t>Strong geo-diverse backup program and operational procedures,Tested Business Continuity/Disaster Recovery plans and procedures,Zero Trust Architectures,Refusing to pay the ransom</t>
  </si>
  <si>
    <t>Continuous user security training on malware/phishing,Zero Trust Architectures,Refusing to pay the ransom</t>
  </si>
  <si>
    <t>Strong geo-diverse backup program and operational procedures,Zero Trust Architectures</t>
  </si>
  <si>
    <t>Continuous user security training on malware/phishing,Tested Business Continuity/Disaster Recovery plans and procedures</t>
  </si>
  <si>
    <t>Continuous user security training on malware/phishing,Tested Business Continuity/Disaster Recovery plans and procedures,Data encryption to help minimize the data hackers can steal, use, or sell should they find their way in,Refusing to pay the ransom</t>
  </si>
  <si>
    <t>Refusing to pay the ransom</t>
  </si>
  <si>
    <t>Strong geo-diverse backup program and operational procedures,Tested Business Continuity/Disaster Recovery plans and procedures,Refusing to pay the ransom,Other (please explain):</t>
  </si>
  <si>
    <t>limit exposure by restricting online access from organizational systems.</t>
  </si>
  <si>
    <t>Continuous user security training on malware/phishing,Strong geo-diverse backup program and operational procedures</t>
  </si>
  <si>
    <t>Continuous user security training on malware/phishing,Data encryption to help minimize the data hackers can steal, use, or sell should they find their way in</t>
  </si>
  <si>
    <t>Tested Business Continuity/Disaster Recovery plans and procedures,Zero Trust Architectures,Data encryption to help minimize the data hackers can steal, use, or sell should they find their way in</t>
  </si>
  <si>
    <t>Continuous user security training on malware/phishing,Tested Business Continuity/Disaster Recovery plans and procedures,Data encryption to help minimize the data hackers can steal, use, or sell should they find their way in</t>
  </si>
  <si>
    <t>Aug-19</t>
  </si>
  <si>
    <t>Continuous user security training on malware/phishing</t>
  </si>
  <si>
    <t>Strong geo-diverse backup program and operational procedures</t>
  </si>
  <si>
    <t>Zero Trust Architectures</t>
  </si>
  <si>
    <t>Tested Business Continuity/Disaster Recovery plans and procedures</t>
  </si>
  <si>
    <t>Data encryption to help minimize the data hackers can steal use or sell should they find their way in</t>
  </si>
  <si>
    <t xml:space="preserve">QUESTION OF THE MONTH:  Ransomware
There continues to be global ransomware attacks on businesses, colleges and government agencies with the most recent being a coordinated attack on 22 Texas towns.  What steps do you believe can help reduce/minimize ransomware attacks?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</si>
</sst>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3">
    <numFmt numFmtId="43" formatCode="_(* #,##0.00_);_(* \(#,##0.00\);_(* &quot;-&quot;??_);_(@_)"/>
    <numFmt numFmtId="164" formatCode="0.0"/>
    <numFmt numFmtId="165" formatCode="#,##0.00%;[Red]\(###0.00%\)"/>
    <numFmt numFmtId="166" formatCode="0.0%"/>
    <numFmt numFmtId="167" formatCode="0.0_);\(0.0\)"/>
    <numFmt numFmtId="168" formatCode="0.000%"/>
    <numFmt numFmtId="169" formatCode="0.00000000"/>
    <numFmt numFmtId="170" formatCode="mm/dd/yy;@"/>
    <numFmt numFmtId="171" formatCode="0.0000%"/>
    <numFmt numFmtId="172" formatCode="_(* #,##0.000000_);_(* \(#,##0.000000\);_(* &quot;-&quot;??_);_(@_)"/>
    <numFmt numFmtId="173" formatCode="m/d/yy;@"/>
    <numFmt numFmtId="174" formatCode="0.000"/>
    <numFmt numFmtId="175" formatCode="0.00000"/>
  </numFmts>
  <fonts count="47"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9"/>
      <color theme="1"/>
      <name val="Calibri"/>
      <family val="2"/>
      <scheme val="minor"/>
    </font>
    <font>
      <b/>
      <sz val="9"/>
      <color theme="1"/>
      <name val="Calibri"/>
      <family val="2"/>
      <scheme val="minor"/>
    </font>
    <font>
      <b/>
      <sz val="11"/>
      <color rgb="FFFF0000"/>
      <name val="Calibri"/>
      <family val="2"/>
      <scheme val="minor"/>
    </font>
    <font>
      <i/>
      <sz val="11"/>
      <color theme="1"/>
      <name val="Calibri"/>
      <family val="2"/>
      <scheme val="minor"/>
    </font>
    <font>
      <b/>
      <sz val="9"/>
      <color theme="0"/>
      <name val="Calibri"/>
      <family val="2"/>
      <scheme val="minor"/>
    </font>
    <font>
      <i/>
      <sz val="9"/>
      <color theme="1"/>
      <name val="Calibri"/>
      <family val="2"/>
      <scheme val="minor"/>
    </font>
    <font>
      <sz val="11"/>
      <color rgb="FFC00000"/>
      <name val="Calibri"/>
      <family val="2"/>
      <scheme val="minor"/>
    </font>
    <font>
      <sz val="11"/>
      <color theme="1"/>
      <name val="Arial Narrow"/>
      <family val="2"/>
    </font>
    <font>
      <b/>
      <sz val="12"/>
      <color theme="1"/>
      <name val="Arial Narrow"/>
      <family val="2"/>
    </font>
    <font>
      <strike/>
      <sz val="11"/>
      <color theme="1"/>
      <name val="Calibri"/>
      <family val="2"/>
      <scheme val="minor"/>
    </font>
    <font>
      <sz val="9"/>
      <color theme="1"/>
      <name val="Arial Narrow"/>
      <family val="2"/>
    </font>
    <font>
      <sz val="11"/>
      <color rgb="FF0000FF"/>
      <name val="Calibri"/>
      <family val="2"/>
      <scheme val="minor"/>
    </font>
    <font>
      <sz val="11"/>
      <color theme="5"/>
      <name val="Calibri"/>
      <family val="2"/>
      <scheme val="minor"/>
    </font>
    <font>
      <b/>
      <i/>
      <sz val="11"/>
      <color theme="3" tint="-0.249977111117893"/>
      <name val="Trebuchet MS"/>
      <family val="2"/>
    </font>
    <font>
      <b/>
      <i/>
      <sz val="10"/>
      <color theme="3" tint="-0.249977111117893"/>
      <name val="Trebuchet MS"/>
      <family val="2"/>
    </font>
    <font>
      <b/>
      <vertAlign val="superscript"/>
      <sz val="12"/>
      <color theme="1"/>
      <name val="Arial Narrow"/>
      <family val="2"/>
    </font>
    <font>
      <sz val="10"/>
      <color theme="1"/>
      <name val="Arial Narrow"/>
      <family val="2"/>
    </font>
    <font>
      <sz val="8"/>
      <color theme="1" tint="0.34998626667073579"/>
      <name val="Calibri"/>
      <family val="2"/>
      <scheme val="minor"/>
    </font>
    <font>
      <b/>
      <u/>
      <sz val="11"/>
      <color rgb="FF0000FF"/>
      <name val="Calibri"/>
      <family val="2"/>
      <scheme val="minor"/>
    </font>
    <font>
      <sz val="11"/>
      <color rgb="FF00B050"/>
      <name val="Calibri"/>
      <family val="2"/>
      <scheme val="minor"/>
    </font>
    <font>
      <sz val="18"/>
      <color theme="3"/>
      <name val="Cambria"/>
      <family val="2"/>
      <scheme val="major"/>
    </font>
    <font>
      <b/>
      <sz val="11"/>
      <color rgb="FF0000FF"/>
      <name val="Calibri"/>
      <family val="2"/>
      <scheme val="minor"/>
    </font>
    <font>
      <b/>
      <sz val="10"/>
      <color theme="1"/>
      <name val="Calibri"/>
      <family val="2"/>
      <scheme val="minor"/>
    </font>
    <font>
      <sz val="11"/>
      <color theme="3"/>
      <name val="Calibri"/>
      <family val="2"/>
      <scheme val="minor"/>
    </font>
    <font>
      <sz val="10"/>
      <color rgb="FF0000FF"/>
      <name val="Calibri"/>
      <family val="2"/>
      <scheme val="minor"/>
    </font>
    <font>
      <sz val="10"/>
      <color theme="1"/>
      <name val="Calibri"/>
      <family val="2"/>
      <scheme val="minor"/>
    </font>
    <font>
      <b/>
      <sz val="10"/>
      <color theme="1"/>
      <name val="Trebuchet MS"/>
      <family val="2"/>
    </font>
    <font>
      <i/>
      <sz val="10"/>
      <color theme="1"/>
      <name val="Calibri"/>
      <family val="2"/>
      <scheme val="minor"/>
    </font>
    <font>
      <b/>
      <sz val="12"/>
      <color theme="1"/>
      <name val="Calibri"/>
      <family val="2"/>
      <scheme val="minor"/>
    </font>
  </fonts>
  <fills count="4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7" tint="0.59999389629810485"/>
        <bgColor indexed="64"/>
      </patternFill>
    </fill>
    <fill>
      <patternFill patternType="solid">
        <fgColor theme="4" tint="0.79998168889431442"/>
        <bgColor indexed="64"/>
      </patternFill>
    </fill>
    <fill>
      <patternFill patternType="solid">
        <fgColor theme="4"/>
        <bgColor theme="4"/>
      </patternFill>
    </fill>
    <fill>
      <patternFill patternType="solid">
        <fgColor rgb="FFC9FFDB"/>
        <bgColor indexed="64"/>
      </patternFill>
    </fill>
    <fill>
      <patternFill patternType="solid">
        <fgColor rgb="FFFFB9B9"/>
        <bgColor indexed="64"/>
      </patternFill>
    </fill>
    <fill>
      <patternFill patternType="solid">
        <fgColor rgb="FFFFFF00"/>
        <bgColor indexed="64"/>
      </patternFill>
    </fill>
    <fill>
      <patternFill patternType="solid">
        <fgColor theme="5" tint="0.39997558519241921"/>
        <bgColor indexed="64"/>
      </patternFill>
    </fill>
    <fill>
      <patternFill patternType="solid">
        <fgColor theme="3" tint="0.79998168889431442"/>
        <bgColor indexed="64"/>
      </patternFill>
    </fill>
    <fill>
      <patternFill patternType="solid">
        <fgColor theme="5" tint="0.59999389629810485"/>
        <bgColor indexed="64"/>
      </patternFill>
    </fill>
    <fill>
      <patternFill patternType="solid">
        <fgColor theme="3" tint="0.59999389629810485"/>
        <bgColor indexed="64"/>
      </patternFill>
    </fill>
    <fill>
      <patternFill patternType="solid">
        <fgColor theme="6" tint="0.39997558519241921"/>
        <bgColor indexed="64"/>
      </patternFill>
    </fill>
    <fill>
      <patternFill patternType="solid">
        <fgColor theme="0"/>
        <bgColor indexed="64"/>
      </patternFill>
    </fill>
    <fill>
      <patternFill patternType="solid">
        <fgColor rgb="FFFFC000"/>
        <bgColor indexed="64"/>
      </patternFill>
    </fill>
  </fills>
  <borders count="34">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hair">
        <color auto="1"/>
      </left>
      <right style="hair">
        <color auto="1"/>
      </right>
      <top style="hair">
        <color auto="1"/>
      </top>
      <bottom style="hair">
        <color auto="1"/>
      </bottom>
      <diagonal/>
    </border>
    <border>
      <left/>
      <right style="thin">
        <color indexed="64"/>
      </right>
      <top/>
      <bottom/>
      <diagonal/>
    </border>
    <border>
      <left style="thin">
        <color indexed="64"/>
      </left>
      <right/>
      <top/>
      <bottom/>
      <diagonal/>
    </border>
    <border>
      <left/>
      <right/>
      <top/>
      <bottom style="thin">
        <color indexed="64"/>
      </bottom>
      <diagonal/>
    </border>
    <border>
      <left style="thin">
        <color theme="4"/>
      </left>
      <right/>
      <top style="thin">
        <color theme="4"/>
      </top>
      <bottom/>
      <diagonal/>
    </border>
    <border>
      <left style="thin">
        <color theme="4"/>
      </left>
      <right/>
      <top style="thin">
        <color theme="4"/>
      </top>
      <bottom style="thin">
        <color theme="4"/>
      </bottom>
      <diagonal/>
    </border>
    <border>
      <left/>
      <right style="thin">
        <color theme="4"/>
      </right>
      <top style="thin">
        <color theme="4"/>
      </top>
      <bottom/>
      <diagonal/>
    </border>
    <border>
      <left style="thin">
        <color theme="4"/>
      </left>
      <right style="thin">
        <color theme="4"/>
      </right>
      <top style="thin">
        <color theme="4"/>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hair">
        <color auto="1"/>
      </left>
      <right/>
      <top/>
      <bottom/>
      <diagonal/>
    </border>
    <border>
      <left/>
      <right style="hair">
        <color auto="1"/>
      </right>
      <top/>
      <bottom/>
      <diagonal/>
    </border>
    <border>
      <left style="thin">
        <color theme="4"/>
      </left>
      <right style="thin">
        <color theme="4"/>
      </right>
      <top style="thin">
        <color theme="4"/>
      </top>
      <bottom style="thin">
        <color theme="4"/>
      </bottom>
      <diagonal/>
    </border>
    <border>
      <left style="hair">
        <color auto="1"/>
      </left>
      <right style="hair">
        <color auto="1"/>
      </right>
      <top/>
      <bottom style="hair">
        <color auto="1"/>
      </bottom>
      <diagonal/>
    </border>
    <border>
      <left style="medium">
        <color indexed="64"/>
      </left>
      <right/>
      <top/>
      <bottom style="thin">
        <color indexed="64"/>
      </bottom>
      <diagonal/>
    </border>
    <border>
      <left/>
      <right style="medium">
        <color indexed="64"/>
      </right>
      <top/>
      <bottom style="thin">
        <color indexed="64"/>
      </bottom>
      <diagonal/>
    </border>
    <border>
      <left style="hair">
        <color auto="1"/>
      </left>
      <right style="hair">
        <color auto="1"/>
      </right>
      <top style="hair">
        <color auto="1"/>
      </top>
      <bottom style="thin">
        <color indexed="64"/>
      </bottom>
      <diagonal/>
    </border>
    <border>
      <left style="thin">
        <color theme="0"/>
      </left>
      <right/>
      <top style="thin">
        <color theme="0"/>
      </top>
      <bottom style="thin">
        <color theme="0"/>
      </bottom>
      <diagonal/>
    </border>
  </borders>
  <cellStyleXfs count="45">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38" fillId="0" borderId="0" applyNumberFormat="0" applyFill="0" applyBorder="0" applyAlignment="0" applyProtection="0"/>
  </cellStyleXfs>
  <cellXfs count="288">
    <xf numFmtId="0" fontId="0" fillId="0" borderId="0" xfId="0"/>
    <xf numFmtId="0" fontId="18" fillId="0" borderId="0" xfId="0" applyFont="1" applyAlignment="1">
      <alignment horizontal="center" vertical="center" wrapText="1"/>
    </xf>
    <xf numFmtId="0" fontId="0" fillId="0" borderId="0" xfId="0" applyAlignment="1">
      <alignment horizontal="center"/>
    </xf>
    <xf numFmtId="0" fontId="0" fillId="0" borderId="0" xfId="0" applyAlignment="1">
      <alignment horizontal="center" vertical="center"/>
    </xf>
    <xf numFmtId="0" fontId="0" fillId="0" borderId="0" xfId="0" applyAlignment="1">
      <alignment horizontal="right"/>
    </xf>
    <xf numFmtId="0" fontId="18" fillId="0" borderId="11" xfId="0" applyFont="1" applyBorder="1" applyAlignment="1">
      <alignment horizontal="center" vertical="center" wrapText="1"/>
    </xf>
    <xf numFmtId="0" fontId="18" fillId="0" borderId="12" xfId="0" applyFont="1" applyBorder="1" applyAlignment="1">
      <alignment horizontal="center" vertical="center" wrapText="1"/>
    </xf>
    <xf numFmtId="0" fontId="0" fillId="0" borderId="0" xfId="0" applyBorder="1"/>
    <xf numFmtId="0" fontId="16" fillId="0" borderId="0" xfId="0" applyFont="1"/>
    <xf numFmtId="0" fontId="16" fillId="0" borderId="0" xfId="0" applyFont="1" applyAlignment="1">
      <alignment horizontal="right" wrapText="1"/>
    </xf>
    <xf numFmtId="0" fontId="16" fillId="0" borderId="0" xfId="0" applyFont="1" applyAlignment="1">
      <alignment horizontal="right"/>
    </xf>
    <xf numFmtId="0" fontId="18" fillId="0" borderId="10" xfId="0" applyFont="1" applyBorder="1" applyAlignment="1">
      <alignment horizontal="center" vertical="center" wrapText="1"/>
    </xf>
    <xf numFmtId="9" fontId="19" fillId="0" borderId="13" xfId="0" applyNumberFormat="1" applyFont="1" applyBorder="1" applyAlignment="1">
      <alignment horizontal="center" vertical="center" wrapText="1"/>
    </xf>
    <xf numFmtId="10" fontId="19" fillId="0" borderId="0" xfId="0" applyNumberFormat="1" applyFont="1" applyBorder="1" applyAlignment="1">
      <alignment horizontal="center" vertical="center" wrapText="1"/>
    </xf>
    <xf numFmtId="0" fontId="19" fillId="0" borderId="0" xfId="0" applyFont="1" applyBorder="1" applyAlignment="1">
      <alignment horizontal="center" vertical="center" wrapText="1"/>
    </xf>
    <xf numFmtId="9" fontId="19" fillId="0" borderId="0" xfId="0" applyNumberFormat="1" applyFont="1" applyBorder="1" applyAlignment="1">
      <alignment horizontal="center" vertical="center" wrapText="1"/>
    </xf>
    <xf numFmtId="0" fontId="0" fillId="0" borderId="13" xfId="0" applyBorder="1" applyAlignment="1">
      <alignment horizontal="center"/>
    </xf>
    <xf numFmtId="0" fontId="0" fillId="0" borderId="0" xfId="0" applyBorder="1" applyAlignment="1">
      <alignment horizontal="center"/>
    </xf>
    <xf numFmtId="0" fontId="0" fillId="0" borderId="14" xfId="0" applyBorder="1" applyAlignment="1">
      <alignment horizontal="center"/>
    </xf>
    <xf numFmtId="0" fontId="19" fillId="0" borderId="14" xfId="0" applyFont="1" applyBorder="1" applyAlignment="1">
      <alignment horizontal="center" vertical="center" wrapText="1"/>
    </xf>
    <xf numFmtId="0" fontId="16" fillId="0" borderId="0" xfId="0" applyFont="1" applyAlignment="1">
      <alignment horizontal="center"/>
    </xf>
    <xf numFmtId="0" fontId="0" fillId="34" borderId="0" xfId="0" applyFill="1"/>
    <xf numFmtId="0" fontId="20" fillId="34" borderId="0" xfId="0" applyFont="1" applyFill="1"/>
    <xf numFmtId="0" fontId="0" fillId="0" borderId="0" xfId="0" quotePrefix="1"/>
    <xf numFmtId="9" fontId="0" fillId="0" borderId="0" xfId="42" applyFont="1"/>
    <xf numFmtId="0" fontId="0" fillId="0" borderId="0" xfId="0" applyFill="1"/>
    <xf numFmtId="0" fontId="0" fillId="0" borderId="17" xfId="0" applyBorder="1" applyAlignment="1">
      <alignment horizontal="center"/>
    </xf>
    <xf numFmtId="0" fontId="0" fillId="0" borderId="16" xfId="0" applyBorder="1" applyAlignment="1">
      <alignment horizontal="center"/>
    </xf>
    <xf numFmtId="17" fontId="0" fillId="0" borderId="0" xfId="0" applyNumberFormat="1" applyAlignment="1">
      <alignment horizontal="center"/>
    </xf>
    <xf numFmtId="9" fontId="0" fillId="0" borderId="0" xfId="0" applyNumberFormat="1"/>
    <xf numFmtId="164" fontId="0" fillId="0" borderId="0" xfId="43" applyNumberFormat="1" applyFont="1"/>
    <xf numFmtId="164" fontId="0" fillId="0" borderId="0" xfId="0" applyNumberFormat="1"/>
    <xf numFmtId="17" fontId="0" fillId="0" borderId="0" xfId="0" quotePrefix="1" applyNumberFormat="1" applyAlignment="1">
      <alignment horizontal="center"/>
    </xf>
    <xf numFmtId="9" fontId="16" fillId="0" borderId="0" xfId="42" applyFont="1" applyAlignment="1">
      <alignment horizontal="center"/>
    </xf>
    <xf numFmtId="10" fontId="0" fillId="0" borderId="0" xfId="42" applyNumberFormat="1" applyFont="1"/>
    <xf numFmtId="0" fontId="21" fillId="0" borderId="0" xfId="0" applyFont="1" applyAlignment="1">
      <alignment horizontal="left" indent="2"/>
    </xf>
    <xf numFmtId="164" fontId="0" fillId="0" borderId="0" xfId="0" applyNumberFormat="1" applyAlignment="1">
      <alignment horizontal="center"/>
    </xf>
    <xf numFmtId="164" fontId="21" fillId="0" borderId="0" xfId="0" applyNumberFormat="1" applyFont="1" applyAlignment="1">
      <alignment horizontal="center"/>
    </xf>
    <xf numFmtId="165" fontId="0" fillId="0" borderId="0" xfId="42" applyNumberFormat="1" applyFont="1" applyAlignment="1">
      <alignment horizontal="center"/>
    </xf>
    <xf numFmtId="165" fontId="21" fillId="0" borderId="0" xfId="42" applyNumberFormat="1" applyFont="1" applyAlignment="1">
      <alignment horizontal="center"/>
    </xf>
    <xf numFmtId="0" fontId="18" fillId="0" borderId="0" xfId="0" applyFont="1"/>
    <xf numFmtId="0" fontId="18" fillId="0" borderId="0" xfId="0" applyFont="1" applyAlignment="1">
      <alignment horizontal="center" wrapText="1"/>
    </xf>
    <xf numFmtId="164" fontId="18" fillId="0" borderId="0" xfId="0" applyNumberFormat="1" applyFont="1" applyAlignment="1">
      <alignment horizontal="center"/>
    </xf>
    <xf numFmtId="165" fontId="18" fillId="0" borderId="0" xfId="42" applyNumberFormat="1" applyFont="1" applyAlignment="1">
      <alignment horizontal="center"/>
    </xf>
    <xf numFmtId="0" fontId="23" fillId="0" borderId="0" xfId="0" applyFont="1" applyAlignment="1">
      <alignment horizontal="left" indent="2"/>
    </xf>
    <xf numFmtId="164" fontId="23" fillId="0" borderId="0" xfId="0" applyNumberFormat="1" applyFont="1" applyAlignment="1">
      <alignment horizontal="center"/>
    </xf>
    <xf numFmtId="165" fontId="23" fillId="0" borderId="0" xfId="42" applyNumberFormat="1" applyFont="1" applyAlignment="1">
      <alignment horizontal="center"/>
    </xf>
    <xf numFmtId="0" fontId="22" fillId="35" borderId="19" xfId="0" applyFont="1" applyFill="1" applyBorder="1" applyAlignment="1">
      <alignment horizontal="center"/>
    </xf>
    <xf numFmtId="0" fontId="18" fillId="0" borderId="19" xfId="0" applyFont="1" applyBorder="1" applyAlignment="1">
      <alignment horizontal="center"/>
    </xf>
    <xf numFmtId="0" fontId="23" fillId="0" borderId="19" xfId="0" applyFont="1" applyBorder="1" applyAlignment="1">
      <alignment horizontal="center"/>
    </xf>
    <xf numFmtId="0" fontId="18" fillId="0" borderId="20" xfId="0" applyFont="1" applyBorder="1" applyAlignment="1">
      <alignment horizontal="center"/>
    </xf>
    <xf numFmtId="0" fontId="22" fillId="35" borderId="21" xfId="0" applyFont="1" applyFill="1" applyBorder="1" applyAlignment="1">
      <alignment horizontal="center" wrapText="1"/>
    </xf>
    <xf numFmtId="0" fontId="18" fillId="0" borderId="22" xfId="0" applyFont="1" applyBorder="1" applyAlignment="1">
      <alignment horizontal="center"/>
    </xf>
    <xf numFmtId="9" fontId="14" fillId="0" borderId="0" xfId="0" applyNumberFormat="1" applyFont="1"/>
    <xf numFmtId="17" fontId="0" fillId="0" borderId="0" xfId="0" quotePrefix="1" applyNumberFormat="1"/>
    <xf numFmtId="166" fontId="0" fillId="0" borderId="0" xfId="42" applyNumberFormat="1" applyFont="1"/>
    <xf numFmtId="167" fontId="0" fillId="0" borderId="0" xfId="43" applyNumberFormat="1" applyFont="1"/>
    <xf numFmtId="16" fontId="0" fillId="0" borderId="0" xfId="0" applyNumberFormat="1"/>
    <xf numFmtId="16" fontId="0" fillId="0" borderId="0" xfId="0" quotePrefix="1" applyNumberFormat="1"/>
    <xf numFmtId="9" fontId="16" fillId="6" borderId="4" xfId="11" applyNumberFormat="1" applyFont="1" applyAlignment="1">
      <alignment horizontal="center"/>
    </xf>
    <xf numFmtId="164" fontId="24" fillId="4" borderId="0" xfId="8" applyNumberFormat="1" applyFont="1" applyAlignment="1">
      <alignment horizontal="center"/>
    </xf>
    <xf numFmtId="0" fontId="25" fillId="0" borderId="0" xfId="0" applyFont="1" applyAlignment="1">
      <alignment horizontal="center"/>
    </xf>
    <xf numFmtId="0" fontId="26" fillId="0" borderId="0" xfId="0" applyFont="1"/>
    <xf numFmtId="0" fontId="0" fillId="0" borderId="0" xfId="0" applyAlignment="1"/>
    <xf numFmtId="16" fontId="27" fillId="0" borderId="0" xfId="0" applyNumberFormat="1" applyFont="1"/>
    <xf numFmtId="167" fontId="27" fillId="0" borderId="0" xfId="43" applyNumberFormat="1" applyFont="1"/>
    <xf numFmtId="166" fontId="27" fillId="0" borderId="0" xfId="42" applyNumberFormat="1" applyFont="1"/>
    <xf numFmtId="0" fontId="25" fillId="0" borderId="0" xfId="0" applyFont="1"/>
    <xf numFmtId="0" fontId="28" fillId="0" borderId="0" xfId="0" applyFont="1" applyAlignment="1">
      <alignment vertical="top" wrapText="1"/>
    </xf>
    <xf numFmtId="0" fontId="18" fillId="0" borderId="23" xfId="0" applyFont="1" applyBorder="1" applyAlignment="1">
      <alignment vertical="top" wrapText="1"/>
    </xf>
    <xf numFmtId="0" fontId="28" fillId="0" borderId="23" xfId="0" applyFont="1" applyBorder="1" applyAlignment="1">
      <alignment vertical="top" wrapText="1"/>
    </xf>
    <xf numFmtId="166" fontId="28" fillId="0" borderId="23" xfId="42" applyNumberFormat="1" applyFont="1" applyBorder="1" applyAlignment="1">
      <alignment horizontal="center" vertical="top" wrapText="1"/>
    </xf>
    <xf numFmtId="0" fontId="18" fillId="0" borderId="23" xfId="0" applyFont="1" applyBorder="1" applyAlignment="1">
      <alignment horizontal="center" vertical="top" wrapText="1"/>
    </xf>
    <xf numFmtId="0" fontId="0" fillId="0" borderId="18" xfId="0" applyBorder="1"/>
    <xf numFmtId="0" fontId="0" fillId="0" borderId="0" xfId="0" applyFill="1" applyBorder="1"/>
    <xf numFmtId="0" fontId="20" fillId="0" borderId="0" xfId="0" applyFont="1" applyFill="1" applyBorder="1"/>
    <xf numFmtId="0" fontId="20" fillId="0" borderId="0" xfId="0" applyFont="1"/>
    <xf numFmtId="0" fontId="29" fillId="0" borderId="0" xfId="0" applyFont="1" applyBorder="1"/>
    <xf numFmtId="0" fontId="29" fillId="0" borderId="0" xfId="0" applyFont="1" applyAlignment="1">
      <alignment horizontal="center"/>
    </xf>
    <xf numFmtId="0" fontId="29" fillId="0" borderId="26" xfId="0" applyFont="1" applyFill="1" applyBorder="1"/>
    <xf numFmtId="0" fontId="29" fillId="0" borderId="0" xfId="0" applyFont="1"/>
    <xf numFmtId="0" fontId="6" fillId="2" borderId="0" xfId="6"/>
    <xf numFmtId="0" fontId="6" fillId="2" borderId="27" xfId="6" applyBorder="1"/>
    <xf numFmtId="0" fontId="30" fillId="0" borderId="0" xfId="0" applyFont="1"/>
    <xf numFmtId="164" fontId="30" fillId="0" borderId="0" xfId="43" applyNumberFormat="1" applyFont="1"/>
    <xf numFmtId="164" fontId="30" fillId="0" borderId="0" xfId="0" applyNumberFormat="1" applyFont="1"/>
    <xf numFmtId="0" fontId="0" fillId="0" borderId="0" xfId="0" applyBorder="1" applyAlignment="1">
      <alignment horizontal="left"/>
    </xf>
    <xf numFmtId="166" fontId="0" fillId="0" borderId="0" xfId="42" applyNumberFormat="1" applyFont="1" applyAlignment="1">
      <alignment horizontal="left"/>
    </xf>
    <xf numFmtId="0" fontId="0" fillId="38" borderId="0" xfId="0" applyFill="1"/>
    <xf numFmtId="0" fontId="0" fillId="39" borderId="0" xfId="0" applyFill="1"/>
    <xf numFmtId="0" fontId="18" fillId="0" borderId="28" xfId="0" applyFont="1" applyBorder="1" applyAlignment="1">
      <alignment horizontal="center"/>
    </xf>
    <xf numFmtId="164" fontId="0" fillId="0" borderId="0" xfId="0" applyNumberFormat="1" applyFont="1"/>
    <xf numFmtId="0" fontId="0" fillId="0" borderId="0" xfId="0" applyFont="1"/>
    <xf numFmtId="0" fontId="34" fillId="0" borderId="0" xfId="0" applyFont="1" applyAlignment="1">
      <alignment horizontal="center"/>
    </xf>
    <xf numFmtId="9" fontId="29" fillId="0" borderId="0" xfId="42" applyFont="1"/>
    <xf numFmtId="0" fontId="32" fillId="0" borderId="0" xfId="0" applyFont="1" applyAlignment="1">
      <alignment vertical="top" wrapText="1"/>
    </xf>
    <xf numFmtId="10" fontId="0" fillId="0" borderId="0" xfId="0" applyNumberFormat="1"/>
    <xf numFmtId="1" fontId="0" fillId="0" borderId="0" xfId="0" applyNumberFormat="1"/>
    <xf numFmtId="1" fontId="0" fillId="0" borderId="0" xfId="43" applyNumberFormat="1" applyFont="1"/>
    <xf numFmtId="164" fontId="28" fillId="0" borderId="23" xfId="0" applyNumberFormat="1" applyFont="1" applyBorder="1" applyAlignment="1">
      <alignment horizontal="center" vertical="top" wrapText="1"/>
    </xf>
    <xf numFmtId="0" fontId="28" fillId="36" borderId="23" xfId="0" applyFont="1" applyFill="1" applyBorder="1" applyAlignment="1">
      <alignment horizontal="center" vertical="top" wrapText="1"/>
    </xf>
    <xf numFmtId="0" fontId="19" fillId="0" borderId="0" xfId="0" applyFont="1" applyAlignment="1">
      <alignment wrapText="1"/>
    </xf>
    <xf numFmtId="0" fontId="18" fillId="0" borderId="0" xfId="0" applyFont="1" applyAlignment="1">
      <alignment wrapText="1"/>
    </xf>
    <xf numFmtId="0" fontId="0" fillId="0" borderId="10" xfId="0" applyBorder="1" applyAlignment="1">
      <alignment horizontal="center"/>
    </xf>
    <xf numFmtId="0" fontId="0" fillId="0" borderId="11" xfId="0" applyBorder="1" applyAlignment="1">
      <alignment horizontal="center"/>
    </xf>
    <xf numFmtId="0" fontId="0" fillId="0" borderId="12" xfId="0" applyBorder="1" applyAlignment="1">
      <alignment horizontal="center"/>
    </xf>
    <xf numFmtId="17" fontId="16" fillId="0" borderId="0" xfId="0" applyNumberFormat="1" applyFont="1" applyAlignment="1">
      <alignment horizontal="center"/>
    </xf>
    <xf numFmtId="17" fontId="16" fillId="0" borderId="0" xfId="0" quotePrefix="1" applyNumberFormat="1" applyFont="1" applyAlignment="1">
      <alignment horizontal="center"/>
    </xf>
    <xf numFmtId="0" fontId="16" fillId="0" borderId="0" xfId="0" quotePrefix="1" applyFont="1" applyAlignment="1">
      <alignment horizontal="center"/>
    </xf>
    <xf numFmtId="16" fontId="16" fillId="0" borderId="0" xfId="0" quotePrefix="1" applyNumberFormat="1" applyFont="1" applyAlignment="1">
      <alignment horizontal="center"/>
    </xf>
    <xf numFmtId="43" fontId="0" fillId="0" borderId="0" xfId="43" quotePrefix="1" applyFont="1" applyAlignment="1">
      <alignment horizontal="center"/>
    </xf>
    <xf numFmtId="0" fontId="0" fillId="0" borderId="0" xfId="0" applyAlignment="1">
      <alignment horizontal="left"/>
    </xf>
    <xf numFmtId="0" fontId="35" fillId="0" borderId="0" xfId="0" applyFont="1" applyAlignment="1">
      <alignment horizontal="center"/>
    </xf>
    <xf numFmtId="0" fontId="13" fillId="7" borderId="7" xfId="13"/>
    <xf numFmtId="1" fontId="29" fillId="0" borderId="0" xfId="0" applyNumberFormat="1" applyFont="1" applyAlignment="1">
      <alignment horizontal="center"/>
    </xf>
    <xf numFmtId="0" fontId="36" fillId="0" borderId="0" xfId="0" applyFont="1" applyAlignment="1">
      <alignment horizontal="center"/>
    </xf>
    <xf numFmtId="0" fontId="16" fillId="38" borderId="0" xfId="0" applyFont="1" applyFill="1" applyAlignment="1">
      <alignment horizontal="center"/>
    </xf>
    <xf numFmtId="0" fontId="16" fillId="38" borderId="0" xfId="0" applyFont="1" applyFill="1"/>
    <xf numFmtId="2" fontId="0" fillId="0" borderId="0" xfId="0" applyNumberFormat="1"/>
    <xf numFmtId="168" fontId="0" fillId="0" borderId="0" xfId="42" applyNumberFormat="1" applyFont="1"/>
    <xf numFmtId="17" fontId="0" fillId="0" borderId="0" xfId="0" quotePrefix="1" applyNumberFormat="1" applyAlignment="1">
      <alignment horizontal="right"/>
    </xf>
    <xf numFmtId="0" fontId="0" fillId="0" borderId="0" xfId="0" quotePrefix="1" applyAlignment="1">
      <alignment horizontal="right"/>
    </xf>
    <xf numFmtId="16" fontId="0" fillId="0" borderId="0" xfId="0" applyNumberFormat="1" applyAlignment="1">
      <alignment horizontal="right"/>
    </xf>
    <xf numFmtId="9" fontId="29" fillId="0" borderId="0" xfId="42" applyFont="1" applyAlignment="1">
      <alignment horizontal="center"/>
    </xf>
    <xf numFmtId="0" fontId="37" fillId="0" borderId="0" xfId="0" applyFont="1"/>
    <xf numFmtId="0" fontId="37" fillId="0" borderId="0" xfId="0" applyFont="1" applyBorder="1"/>
    <xf numFmtId="164" fontId="18" fillId="0" borderId="22" xfId="0" applyNumberFormat="1" applyFont="1" applyBorder="1" applyAlignment="1">
      <alignment horizontal="center"/>
    </xf>
    <xf numFmtId="164" fontId="18" fillId="0" borderId="28" xfId="0" applyNumberFormat="1" applyFont="1" applyBorder="1" applyAlignment="1">
      <alignment horizontal="center"/>
    </xf>
    <xf numFmtId="10" fontId="18" fillId="0" borderId="22" xfId="42" applyNumberFormat="1" applyFont="1" applyBorder="1" applyAlignment="1">
      <alignment horizontal="center"/>
    </xf>
    <xf numFmtId="10" fontId="18" fillId="0" borderId="28" xfId="42" applyNumberFormat="1" applyFont="1" applyBorder="1" applyAlignment="1">
      <alignment horizontal="center"/>
    </xf>
    <xf numFmtId="0" fontId="22" fillId="35" borderId="21" xfId="0" applyFont="1" applyFill="1" applyBorder="1" applyAlignment="1">
      <alignment horizontal="left" wrapText="1"/>
    </xf>
    <xf numFmtId="0" fontId="18" fillId="0" borderId="22" xfId="0" applyFont="1" applyBorder="1" applyAlignment="1">
      <alignment horizontal="left"/>
    </xf>
    <xf numFmtId="0" fontId="0" fillId="0" borderId="0" xfId="0"/>
    <xf numFmtId="10" fontId="0" fillId="0" borderId="0" xfId="42" applyNumberFormat="1" applyFont="1" applyAlignment="1">
      <alignment horizontal="center"/>
    </xf>
    <xf numFmtId="0" fontId="22" fillId="35" borderId="0" xfId="0" applyFont="1" applyFill="1" applyBorder="1" applyAlignment="1">
      <alignment horizontal="center"/>
    </xf>
    <xf numFmtId="0" fontId="18" fillId="0" borderId="0" xfId="0" applyFont="1" applyBorder="1" applyAlignment="1">
      <alignment horizontal="center"/>
    </xf>
    <xf numFmtId="0" fontId="23" fillId="0" borderId="0" xfId="0" applyFont="1" applyBorder="1" applyAlignment="1">
      <alignment horizontal="center"/>
    </xf>
    <xf numFmtId="0" fontId="29" fillId="0" borderId="0" xfId="0" applyFont="1" applyAlignment="1"/>
    <xf numFmtId="169" fontId="0" fillId="0" borderId="0" xfId="0" applyNumberFormat="1"/>
    <xf numFmtId="14" fontId="16" fillId="0" borderId="0" xfId="0" quotePrefix="1" applyNumberFormat="1" applyFont="1"/>
    <xf numFmtId="0" fontId="29" fillId="0" borderId="0" xfId="0" applyFont="1" applyFill="1" applyBorder="1"/>
    <xf numFmtId="14" fontId="16" fillId="0" borderId="0" xfId="0" quotePrefix="1" applyNumberFormat="1" applyFont="1" applyAlignment="1">
      <alignment horizontal="right"/>
    </xf>
    <xf numFmtId="0" fontId="16" fillId="0" borderId="0" xfId="0" applyFont="1" applyAlignment="1">
      <alignment wrapText="1"/>
    </xf>
    <xf numFmtId="0" fontId="40" fillId="0" borderId="0" xfId="0" applyFont="1" applyAlignment="1">
      <alignment wrapText="1"/>
    </xf>
    <xf numFmtId="0" fontId="0" fillId="0" borderId="29" xfId="0" applyBorder="1"/>
    <xf numFmtId="0" fontId="29" fillId="0" borderId="18" xfId="0" applyFont="1" applyBorder="1"/>
    <xf numFmtId="0" fontId="0" fillId="0" borderId="30" xfId="0" applyBorder="1" applyAlignment="1">
      <alignment horizontal="center"/>
    </xf>
    <xf numFmtId="0" fontId="0" fillId="0" borderId="18" xfId="0" applyBorder="1" applyAlignment="1">
      <alignment horizontal="center"/>
    </xf>
    <xf numFmtId="0" fontId="0" fillId="0" borderId="31" xfId="0" applyBorder="1" applyAlignment="1">
      <alignment horizontal="center"/>
    </xf>
    <xf numFmtId="0" fontId="0" fillId="0" borderId="32" xfId="0" applyBorder="1"/>
    <xf numFmtId="14" fontId="39" fillId="0" borderId="0" xfId="0" quotePrefix="1" applyNumberFormat="1" applyFont="1" applyAlignment="1">
      <alignment horizontal="center"/>
    </xf>
    <xf numFmtId="0" fontId="0" fillId="38" borderId="0" xfId="0" applyFill="1" applyBorder="1" applyAlignment="1">
      <alignment horizontal="center"/>
    </xf>
    <xf numFmtId="0" fontId="41" fillId="0" borderId="0" xfId="0" applyFont="1"/>
    <xf numFmtId="0" fontId="0" fillId="38" borderId="0" xfId="0" applyFill="1" applyAlignment="1">
      <alignment horizontal="center"/>
    </xf>
    <xf numFmtId="170" fontId="0" fillId="0" borderId="0" xfId="0" applyNumberFormat="1"/>
    <xf numFmtId="170" fontId="16" fillId="0" borderId="0" xfId="0" quotePrefix="1" applyNumberFormat="1" applyFont="1" applyAlignment="1">
      <alignment horizontal="center"/>
    </xf>
    <xf numFmtId="0" fontId="41" fillId="0" borderId="18" xfId="0" applyFont="1" applyBorder="1"/>
    <xf numFmtId="14" fontId="16" fillId="0" borderId="0" xfId="0" applyNumberFormat="1" applyFont="1"/>
    <xf numFmtId="14" fontId="42" fillId="0" borderId="0" xfId="0" applyNumberFormat="1" applyFont="1"/>
    <xf numFmtId="0" fontId="0" fillId="0" borderId="0" xfId="43" applyNumberFormat="1" applyFont="1" applyAlignment="1">
      <alignment horizontal="center"/>
    </xf>
    <xf numFmtId="0" fontId="0" fillId="0" borderId="0" xfId="43" applyNumberFormat="1" applyFont="1" applyAlignment="1">
      <alignment horizontal="left"/>
    </xf>
    <xf numFmtId="9" fontId="0" fillId="0" borderId="0" xfId="0" applyNumberFormat="1" applyAlignment="1">
      <alignment horizontal="center" vertical="center"/>
    </xf>
    <xf numFmtId="0" fontId="0" fillId="38" borderId="0" xfId="0" applyFill="1" applyBorder="1"/>
    <xf numFmtId="17" fontId="0" fillId="0" borderId="0" xfId="0" applyNumberFormat="1"/>
    <xf numFmtId="0" fontId="29" fillId="38" borderId="0" xfId="0" applyFont="1" applyFill="1" applyBorder="1"/>
    <xf numFmtId="0" fontId="0" fillId="0" borderId="0" xfId="0"/>
    <xf numFmtId="0" fontId="0" fillId="0" borderId="0" xfId="0" applyAlignment="1">
      <alignment horizontal="center"/>
    </xf>
    <xf numFmtId="0" fontId="0" fillId="0" borderId="0" xfId="0" applyAlignment="1">
      <alignment horizontal="center" vertical="center"/>
    </xf>
    <xf numFmtId="0" fontId="18" fillId="0" borderId="11" xfId="0" applyFont="1" applyBorder="1" applyAlignment="1">
      <alignment horizontal="center" vertical="center" wrapText="1"/>
    </xf>
    <xf numFmtId="0" fontId="18" fillId="0" borderId="12" xfId="0" applyFont="1" applyBorder="1" applyAlignment="1">
      <alignment horizontal="center" vertical="center" wrapText="1"/>
    </xf>
    <xf numFmtId="0" fontId="0" fillId="0" borderId="0" xfId="0" applyBorder="1"/>
    <xf numFmtId="0" fontId="16" fillId="0" borderId="0" xfId="0" applyFont="1"/>
    <xf numFmtId="0" fontId="16" fillId="0" borderId="0" xfId="0" applyFont="1" applyAlignment="1">
      <alignment horizontal="right" wrapText="1"/>
    </xf>
    <xf numFmtId="0" fontId="16" fillId="0" borderId="0" xfId="0" applyFont="1" applyAlignment="1">
      <alignment horizontal="right"/>
    </xf>
    <xf numFmtId="0" fontId="18" fillId="0" borderId="10" xfId="0" applyFont="1" applyBorder="1" applyAlignment="1">
      <alignment horizontal="center" vertical="center" wrapText="1"/>
    </xf>
    <xf numFmtId="9" fontId="19" fillId="0" borderId="13" xfId="0" applyNumberFormat="1" applyFont="1" applyBorder="1" applyAlignment="1">
      <alignment horizontal="center" vertical="center" wrapText="1"/>
    </xf>
    <xf numFmtId="10" fontId="19" fillId="0" borderId="0" xfId="0" applyNumberFormat="1" applyFont="1" applyBorder="1" applyAlignment="1">
      <alignment horizontal="center" vertical="center" wrapText="1"/>
    </xf>
    <xf numFmtId="0" fontId="19" fillId="0" borderId="0" xfId="0" applyFont="1" applyBorder="1" applyAlignment="1">
      <alignment horizontal="center" vertical="center" wrapText="1"/>
    </xf>
    <xf numFmtId="9" fontId="19" fillId="0" borderId="0" xfId="0" applyNumberFormat="1" applyFont="1" applyBorder="1" applyAlignment="1">
      <alignment horizontal="center" vertical="center" wrapText="1"/>
    </xf>
    <xf numFmtId="0" fontId="0" fillId="0" borderId="13" xfId="0" applyBorder="1" applyAlignment="1">
      <alignment horizontal="center"/>
    </xf>
    <xf numFmtId="0" fontId="0" fillId="0" borderId="0" xfId="0" applyBorder="1" applyAlignment="1">
      <alignment horizontal="center"/>
    </xf>
    <xf numFmtId="0" fontId="0" fillId="0" borderId="14" xfId="0" applyBorder="1" applyAlignment="1">
      <alignment horizontal="center"/>
    </xf>
    <xf numFmtId="0" fontId="19" fillId="0" borderId="14" xfId="0" applyFont="1" applyBorder="1" applyAlignment="1">
      <alignment horizontal="center" vertical="center" wrapText="1"/>
    </xf>
    <xf numFmtId="0" fontId="0" fillId="0" borderId="15" xfId="0" applyBorder="1"/>
    <xf numFmtId="164" fontId="0" fillId="0" borderId="0" xfId="43" applyNumberFormat="1" applyFont="1"/>
    <xf numFmtId="164" fontId="0" fillId="0" borderId="0" xfId="0" applyNumberFormat="1"/>
    <xf numFmtId="166" fontId="0" fillId="0" borderId="0" xfId="42" applyNumberFormat="1" applyFont="1"/>
    <xf numFmtId="0" fontId="0" fillId="0" borderId="18" xfId="0" applyBorder="1"/>
    <xf numFmtId="0" fontId="0" fillId="0" borderId="0" xfId="0" applyFill="1" applyBorder="1"/>
    <xf numFmtId="0" fontId="29" fillId="0" borderId="0" xfId="0" applyFont="1" applyBorder="1"/>
    <xf numFmtId="0" fontId="29" fillId="0" borderId="0" xfId="0" applyFont="1" applyAlignment="1">
      <alignment horizontal="center"/>
    </xf>
    <xf numFmtId="0" fontId="29" fillId="0" borderId="0" xfId="0" applyFont="1"/>
    <xf numFmtId="0" fontId="6" fillId="2" borderId="27" xfId="6" applyBorder="1"/>
    <xf numFmtId="0" fontId="0" fillId="0" borderId="0" xfId="0" applyBorder="1" applyAlignment="1">
      <alignment horizontal="left"/>
    </xf>
    <xf numFmtId="0" fontId="0" fillId="38" borderId="0" xfId="0" applyFill="1"/>
    <xf numFmtId="164" fontId="0" fillId="0" borderId="0" xfId="0" applyNumberFormat="1" applyFont="1"/>
    <xf numFmtId="9" fontId="29" fillId="0" borderId="0" xfId="42" applyFont="1"/>
    <xf numFmtId="0" fontId="19" fillId="0" borderId="0" xfId="0" applyFont="1" applyAlignment="1">
      <alignment wrapText="1"/>
    </xf>
    <xf numFmtId="0" fontId="0" fillId="0" borderId="10" xfId="0" applyBorder="1" applyAlignment="1">
      <alignment horizontal="center"/>
    </xf>
    <xf numFmtId="0" fontId="0" fillId="0" borderId="11" xfId="0" applyBorder="1" applyAlignment="1">
      <alignment horizontal="center"/>
    </xf>
    <xf numFmtId="0" fontId="0" fillId="0" borderId="12" xfId="0" applyBorder="1" applyAlignment="1">
      <alignment horizontal="center"/>
    </xf>
    <xf numFmtId="0" fontId="16" fillId="38" borderId="0" xfId="0" applyFont="1" applyFill="1"/>
    <xf numFmtId="0" fontId="37" fillId="0" borderId="0" xfId="0" applyFont="1" applyBorder="1"/>
    <xf numFmtId="0" fontId="0" fillId="40" borderId="0" xfId="0" applyFill="1"/>
    <xf numFmtId="0" fontId="0" fillId="40" borderId="0" xfId="0" quotePrefix="1" applyFill="1"/>
    <xf numFmtId="14" fontId="0" fillId="0" borderId="0" xfId="0" applyNumberFormat="1" applyAlignment="1">
      <alignment horizontal="center"/>
    </xf>
    <xf numFmtId="0" fontId="0" fillId="0" borderId="0" xfId="0" applyAlignment="1">
      <alignment vertical="center"/>
    </xf>
    <xf numFmtId="0" fontId="44" fillId="0" borderId="0" xfId="0" applyFont="1"/>
    <xf numFmtId="164" fontId="18" fillId="0" borderId="28" xfId="0" applyNumberFormat="1" applyFont="1" applyBorder="1" applyAlignment="1">
      <alignment horizontal="left"/>
    </xf>
    <xf numFmtId="164" fontId="18" fillId="0" borderId="0" xfId="0" applyNumberFormat="1" applyFont="1" applyAlignment="1">
      <alignment horizontal="center"/>
    </xf>
    <xf numFmtId="171" fontId="0" fillId="0" borderId="0" xfId="42" applyNumberFormat="1" applyFont="1"/>
    <xf numFmtId="0" fontId="43" fillId="0" borderId="0" xfId="0" applyFont="1" applyAlignment="1">
      <alignment wrapText="1"/>
    </xf>
    <xf numFmtId="0" fontId="43" fillId="0" borderId="0" xfId="0" applyFont="1" applyAlignment="1">
      <alignment horizontal="right" wrapText="1"/>
    </xf>
    <xf numFmtId="14" fontId="0" fillId="0" borderId="0" xfId="0" applyNumberFormat="1"/>
    <xf numFmtId="0" fontId="14" fillId="0" borderId="0" xfId="0" applyNumberFormat="1" applyFont="1"/>
    <xf numFmtId="0" fontId="14" fillId="0" borderId="0" xfId="0" applyFont="1"/>
    <xf numFmtId="0" fontId="43" fillId="0" borderId="23" xfId="0" applyFont="1" applyBorder="1" applyAlignment="1">
      <alignment horizontal="right" wrapText="1"/>
    </xf>
    <xf numFmtId="164" fontId="18" fillId="0" borderId="0" xfId="0" applyNumberFormat="1" applyFont="1" applyAlignment="1">
      <alignment wrapText="1"/>
    </xf>
    <xf numFmtId="172" fontId="0" fillId="0" borderId="0" xfId="43" applyNumberFormat="1" applyFont="1"/>
    <xf numFmtId="173" fontId="0" fillId="0" borderId="0" xfId="0" applyNumberFormat="1"/>
    <xf numFmtId="0" fontId="40" fillId="0" borderId="23" xfId="0" applyFont="1" applyBorder="1" applyAlignment="1">
      <alignment horizontal="center" wrapText="1"/>
    </xf>
    <xf numFmtId="0" fontId="40" fillId="0" borderId="23" xfId="0" applyFont="1" applyBorder="1" applyAlignment="1">
      <alignment wrapText="1"/>
    </xf>
    <xf numFmtId="0" fontId="40" fillId="0" borderId="23" xfId="0" applyFont="1" applyBorder="1" applyAlignment="1">
      <alignment horizontal="right" wrapText="1"/>
    </xf>
    <xf numFmtId="0" fontId="16" fillId="0" borderId="23" xfId="0" applyFont="1" applyBorder="1" applyAlignment="1">
      <alignment horizontal="center"/>
    </xf>
    <xf numFmtId="0" fontId="16" fillId="0" borderId="23" xfId="0" applyFont="1" applyBorder="1"/>
    <xf numFmtId="168" fontId="16" fillId="0" borderId="23" xfId="42" applyNumberFormat="1" applyFont="1" applyBorder="1"/>
    <xf numFmtId="10" fontId="43" fillId="0" borderId="23" xfId="42" applyNumberFormat="1" applyFont="1" applyBorder="1"/>
    <xf numFmtId="0" fontId="0" fillId="0" borderId="33" xfId="0" applyBorder="1"/>
    <xf numFmtId="2" fontId="0" fillId="0" borderId="0" xfId="43" applyNumberFormat="1" applyFont="1"/>
    <xf numFmtId="0" fontId="18" fillId="37" borderId="23" xfId="0" applyFont="1" applyFill="1" applyBorder="1" applyAlignment="1">
      <alignment horizontal="center" vertical="top" wrapText="1"/>
    </xf>
    <xf numFmtId="0" fontId="45" fillId="0" borderId="23" xfId="0" applyFont="1" applyBorder="1" applyAlignment="1">
      <alignment horizontal="right" wrapText="1"/>
    </xf>
    <xf numFmtId="10" fontId="45" fillId="0" borderId="23" xfId="42" applyNumberFormat="1" applyFont="1" applyBorder="1"/>
    <xf numFmtId="174" fontId="45" fillId="0" borderId="23" xfId="42" applyNumberFormat="1" applyFont="1" applyBorder="1"/>
    <xf numFmtId="0" fontId="16" fillId="41" borderId="23" xfId="0" applyFont="1" applyFill="1" applyBorder="1" applyAlignment="1">
      <alignment horizontal="center"/>
    </xf>
    <xf numFmtId="0" fontId="16" fillId="41" borderId="23" xfId="0" applyFont="1" applyFill="1" applyBorder="1"/>
    <xf numFmtId="168" fontId="16" fillId="41" borderId="23" xfId="42" applyNumberFormat="1" applyFont="1" applyFill="1" applyBorder="1"/>
    <xf numFmtId="0" fontId="16" fillId="42" borderId="23" xfId="0" applyFont="1" applyFill="1" applyBorder="1" applyAlignment="1">
      <alignment horizontal="center"/>
    </xf>
    <xf numFmtId="0" fontId="16" fillId="42" borderId="23" xfId="0" applyFont="1" applyFill="1" applyBorder="1"/>
    <xf numFmtId="168" fontId="16" fillId="42" borderId="23" xfId="42" applyNumberFormat="1" applyFont="1" applyFill="1" applyBorder="1"/>
    <xf numFmtId="175" fontId="43" fillId="0" borderId="0" xfId="0" applyNumberFormat="1" applyFont="1"/>
    <xf numFmtId="0" fontId="18" fillId="29" borderId="23" xfId="38" applyFont="1" applyBorder="1" applyAlignment="1">
      <alignment horizontal="center" vertical="top" wrapText="1"/>
    </xf>
    <xf numFmtId="0" fontId="18" fillId="0" borderId="23" xfId="0" quotePrefix="1" applyFont="1" applyBorder="1" applyAlignment="1">
      <alignment horizontal="right"/>
    </xf>
    <xf numFmtId="1" fontId="18" fillId="0" borderId="23" xfId="0" applyNumberFormat="1" applyFont="1" applyBorder="1" applyAlignment="1">
      <alignment horizontal="center"/>
    </xf>
    <xf numFmtId="0" fontId="18" fillId="0" borderId="23" xfId="0" applyFont="1" applyBorder="1" applyAlignment="1">
      <alignment horizontal="right"/>
    </xf>
    <xf numFmtId="10" fontId="18" fillId="0" borderId="23" xfId="42" applyNumberFormat="1" applyFont="1" applyBorder="1" applyAlignment="1">
      <alignment horizontal="center"/>
    </xf>
    <xf numFmtId="17" fontId="18" fillId="0" borderId="23" xfId="0" quotePrefix="1" applyNumberFormat="1" applyFont="1" applyBorder="1" applyAlignment="1">
      <alignment horizontal="right"/>
    </xf>
    <xf numFmtId="0" fontId="46" fillId="0" borderId="0" xfId="0" applyFont="1"/>
    <xf numFmtId="0" fontId="0" fillId="0" borderId="0" xfId="0"/>
    <xf numFmtId="16" fontId="0" fillId="0" borderId="0" xfId="0" quotePrefix="1" applyNumberFormat="1" applyAlignment="1">
      <alignment horizontal="right"/>
    </xf>
    <xf numFmtId="22" fontId="0" fillId="0" borderId="0" xfId="0" applyNumberFormat="1"/>
    <xf numFmtId="0" fontId="29" fillId="43" borderId="0" xfId="0" applyFont="1" applyFill="1" applyBorder="1"/>
    <xf numFmtId="0" fontId="29" fillId="43" borderId="0" xfId="0" applyFont="1" applyFill="1" applyAlignment="1">
      <alignment horizontal="center"/>
    </xf>
    <xf numFmtId="0" fontId="0" fillId="43" borderId="0" xfId="0" applyFill="1"/>
    <xf numFmtId="0" fontId="0" fillId="43" borderId="0" xfId="0" applyFill="1" applyBorder="1" applyAlignment="1">
      <alignment horizontal="left"/>
    </xf>
    <xf numFmtId="0" fontId="16" fillId="43" borderId="0" xfId="0" applyFont="1" applyFill="1" applyAlignment="1">
      <alignment horizontal="center"/>
    </xf>
    <xf numFmtId="0" fontId="16" fillId="43" borderId="0" xfId="0" applyFont="1" applyFill="1"/>
    <xf numFmtId="0" fontId="0" fillId="43" borderId="0" xfId="0" applyFill="1" applyBorder="1" applyAlignment="1">
      <alignment horizontal="center"/>
    </xf>
    <xf numFmtId="0" fontId="29" fillId="44" borderId="0" xfId="0" applyFont="1" applyFill="1" applyAlignment="1">
      <alignment horizontal="center"/>
    </xf>
    <xf numFmtId="0" fontId="6" fillId="43" borderId="27" xfId="6" applyFill="1" applyBorder="1"/>
    <xf numFmtId="17" fontId="16" fillId="43" borderId="0" xfId="0" applyNumberFormat="1" applyFont="1" applyFill="1" applyAlignment="1">
      <alignment horizontal="center"/>
    </xf>
    <xf numFmtId="17" fontId="16" fillId="43" borderId="0" xfId="0" quotePrefix="1" applyNumberFormat="1" applyFont="1" applyFill="1" applyAlignment="1">
      <alignment horizontal="center"/>
    </xf>
    <xf numFmtId="0" fontId="16" fillId="43" borderId="0" xfId="0" quotePrefix="1" applyFont="1" applyFill="1" applyAlignment="1">
      <alignment horizontal="center"/>
    </xf>
    <xf numFmtId="16" fontId="16" fillId="43" borderId="0" xfId="0" quotePrefix="1" applyNumberFormat="1" applyFont="1" applyFill="1" applyAlignment="1">
      <alignment horizontal="center"/>
    </xf>
    <xf numFmtId="170" fontId="16" fillId="43" borderId="0" xfId="0" quotePrefix="1" applyNumberFormat="1" applyFont="1" applyFill="1" applyAlignment="1">
      <alignment horizontal="center"/>
    </xf>
    <xf numFmtId="0" fontId="0" fillId="45" borderId="0" xfId="0" applyFill="1"/>
    <xf numFmtId="9" fontId="0" fillId="0" borderId="0" xfId="0" applyNumberFormat="1" applyAlignment="1">
      <alignment horizontal="center"/>
    </xf>
    <xf numFmtId="10" fontId="0" fillId="0" borderId="0" xfId="0" applyNumberFormat="1" applyAlignment="1">
      <alignment horizontal="center"/>
    </xf>
    <xf numFmtId="0" fontId="19" fillId="33" borderId="10" xfId="0" applyFont="1" applyFill="1" applyBorder="1" applyAlignment="1">
      <alignment horizontal="center" vertical="center" wrapText="1"/>
    </xf>
    <xf numFmtId="0" fontId="19" fillId="33" borderId="11" xfId="0" applyFont="1" applyFill="1" applyBorder="1" applyAlignment="1">
      <alignment horizontal="center" vertical="center" wrapText="1"/>
    </xf>
    <xf numFmtId="0" fontId="0" fillId="0" borderId="33" xfId="0" applyBorder="1" applyAlignment="1">
      <alignment horizontal="center" vertical="center" textRotation="90" wrapText="1"/>
    </xf>
    <xf numFmtId="0" fontId="18" fillId="0" borderId="23" xfId="0" applyFont="1" applyBorder="1" applyAlignment="1">
      <alignment horizontal="center"/>
    </xf>
    <xf numFmtId="164" fontId="18" fillId="0" borderId="0" xfId="0" applyNumberFormat="1" applyFont="1" applyAlignment="1">
      <alignment horizontal="center" wrapText="1"/>
    </xf>
    <xf numFmtId="164" fontId="18" fillId="0" borderId="0" xfId="0" applyNumberFormat="1" applyFont="1" applyAlignment="1">
      <alignment horizontal="center"/>
    </xf>
    <xf numFmtId="0" fontId="28" fillId="0" borderId="18" xfId="0" applyFont="1" applyBorder="1" applyAlignment="1">
      <alignment horizontal="center"/>
    </xf>
    <xf numFmtId="0" fontId="18" fillId="37" borderId="24" xfId="0" applyFont="1" applyFill="1" applyBorder="1" applyAlignment="1">
      <alignment horizontal="left" vertical="top"/>
    </xf>
    <xf numFmtId="0" fontId="18" fillId="37" borderId="25" xfId="0" applyFont="1" applyFill="1" applyBorder="1" applyAlignment="1">
      <alignment horizontal="left" vertical="top"/>
    </xf>
    <xf numFmtId="0" fontId="28" fillId="36" borderId="24" xfId="0" applyFont="1" applyFill="1" applyBorder="1" applyAlignment="1">
      <alignment horizontal="left" vertical="top"/>
    </xf>
    <xf numFmtId="0" fontId="28" fillId="36" borderId="25" xfId="0" applyFont="1" applyFill="1" applyBorder="1" applyAlignment="1">
      <alignment horizontal="left" vertical="top"/>
    </xf>
    <xf numFmtId="0" fontId="18" fillId="29" borderId="24" xfId="38" applyFont="1" applyBorder="1" applyAlignment="1">
      <alignment horizontal="left" vertical="top"/>
    </xf>
    <xf numFmtId="0" fontId="18" fillId="29" borderId="25" xfId="38" applyFont="1" applyBorder="1" applyAlignment="1">
      <alignment horizontal="left" vertical="top"/>
    </xf>
    <xf numFmtId="0" fontId="0" fillId="0" borderId="0" xfId="0" applyAlignment="1">
      <alignment horizontal="left" wrapText="1"/>
    </xf>
    <xf numFmtId="0" fontId="0" fillId="0" borderId="0" xfId="0" applyAlignment="1">
      <alignment horizontal="left"/>
    </xf>
    <xf numFmtId="0" fontId="31" fillId="0" borderId="0" xfId="0" applyFont="1" applyAlignment="1">
      <alignment horizontal="left" vertical="center" wrapText="1"/>
    </xf>
    <xf numFmtId="0" fontId="0" fillId="0" borderId="0" xfId="0" applyAlignment="1">
      <alignment horizontal="left" vertical="top" wrapText="1"/>
    </xf>
    <xf numFmtId="0" fontId="32" fillId="0" borderId="0" xfId="0" applyFont="1" applyAlignment="1">
      <alignment horizontal="left" vertical="top" wrapText="1"/>
    </xf>
    <xf numFmtId="0" fontId="18" fillId="0" borderId="0" xfId="0" applyFont="1" applyAlignment="1">
      <alignment horizontal="left" wrapText="1"/>
    </xf>
    <xf numFmtId="0" fontId="18" fillId="0" borderId="0" xfId="0" quotePrefix="1" applyFont="1" applyAlignment="1">
      <alignment horizontal="left" wrapText="1"/>
    </xf>
    <xf numFmtId="0" fontId="43" fillId="0" borderId="0" xfId="0" applyFont="1" applyAlignment="1">
      <alignment horizontal="left" vertical="top" wrapText="1"/>
    </xf>
  </cellXfs>
  <cellStyles count="45">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3"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itle 2" xfId="44" xr:uid="{00000000-0005-0000-0000-00002A000000}"/>
    <cellStyle name="Total" xfId="17" builtinId="25" customBuiltin="1"/>
    <cellStyle name="Warning Text" xfId="14" builtinId="11" customBuiltin="1"/>
  </cellStyles>
  <dxfs count="537">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ill>
        <patternFill>
          <bgColor rgb="FFFF0000"/>
        </patternFill>
      </fill>
    </dxf>
    <dxf>
      <fill>
        <patternFill>
          <bgColor rgb="FFFF6600"/>
        </patternFill>
      </fill>
    </dxf>
    <dxf>
      <fill>
        <patternFill>
          <bgColor rgb="FFFF66FF"/>
        </patternFill>
      </fill>
    </dxf>
    <dxf>
      <font>
        <color theme="0"/>
      </font>
      <fill>
        <patternFill>
          <bgColor rgb="FFFF0000"/>
        </patternFill>
      </fill>
    </dxf>
    <dxf>
      <fill>
        <patternFill>
          <bgColor rgb="FFFF6600"/>
        </patternFill>
      </fill>
    </dxf>
    <dxf>
      <fill>
        <patternFill>
          <bgColor rgb="FFFF9999"/>
        </patternFill>
      </fill>
    </dxf>
    <dxf>
      <font>
        <condense val="0"/>
        <extend val="0"/>
        <color rgb="FF9C0006"/>
      </font>
      <fill>
        <patternFill>
          <bgColor rgb="FFFFC7CE"/>
        </patternFill>
      </fill>
    </dxf>
    <dxf>
      <fill>
        <patternFill>
          <bgColor rgb="FFFF0000"/>
        </patternFill>
      </fill>
    </dxf>
    <dxf>
      <fill>
        <patternFill>
          <bgColor rgb="FFFF6600"/>
        </patternFill>
      </fill>
    </dxf>
    <dxf>
      <fill>
        <patternFill>
          <bgColor rgb="FFFF66FF"/>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ndense val="0"/>
        <extend val="0"/>
        <color rgb="FF9C0006"/>
      </font>
      <fill>
        <patternFill>
          <bgColor rgb="FFFFC7CE"/>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s>
  <tableStyles count="0" defaultTableStyle="TableStyleMedium9" defaultPivotStyle="PivotStyleLight16"/>
  <colors>
    <mruColors>
      <color rgb="FF0000FF"/>
      <color rgb="FFFF9999"/>
      <color rgb="FFCC3300"/>
      <color rgb="FFFF66FF"/>
      <color rgb="FFFF6600"/>
      <color rgb="FFFFB9B9"/>
      <color rgb="FFC9FFDB"/>
      <color rgb="FFB7FFB7"/>
      <color rgb="FFFF898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0.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1.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3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4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4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4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Attackers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Graphs!$A$16</c:f>
              <c:strCache>
                <c:ptCount val="1"/>
                <c:pt idx="0">
                  <c:v>Attackers: Insider threat</c:v>
                </c:pt>
              </c:strCache>
            </c:strRef>
          </c:tx>
          <c:spPr>
            <a:ln w="28575" cap="rnd">
              <a:solidFill>
                <a:schemeClr val="accent1"/>
              </a:solidFill>
              <a:round/>
            </a:ln>
            <a:effectLst/>
          </c:spPr>
          <c:marker>
            <c:symbol val="none"/>
          </c:marker>
          <c:cat>
            <c:strRef>
              <c:f>Graphs!$B$15:$CU$15</c:f>
              <c:strCache>
                <c:ptCount val="98"/>
                <c:pt idx="0">
                  <c:v>Apr-11</c:v>
                </c:pt>
                <c:pt idx="1">
                  <c:v>May-11</c:v>
                </c:pt>
                <c:pt idx="2">
                  <c:v>Jun-11</c:v>
                </c:pt>
                <c:pt idx="3">
                  <c:v>Jul-11</c:v>
                </c:pt>
                <c:pt idx="4">
                  <c:v>Aug-11</c:v>
                </c:pt>
                <c:pt idx="5">
                  <c:v>Sep-11</c:v>
                </c:pt>
                <c:pt idx="6">
                  <c:v>Oct-11</c:v>
                </c:pt>
                <c:pt idx="7">
                  <c:v>Nov-11</c:v>
                </c:pt>
                <c:pt idx="8">
                  <c:v>Dec-11</c:v>
                </c:pt>
                <c:pt idx="9">
                  <c:v>Jan-12</c:v>
                </c:pt>
                <c:pt idx="10">
                  <c:v>Feb-12</c:v>
                </c:pt>
                <c:pt idx="11">
                  <c:v>Mar-12</c:v>
                </c:pt>
                <c:pt idx="12">
                  <c:v>Apr-12</c:v>
                </c:pt>
                <c:pt idx="13">
                  <c:v>May-12</c:v>
                </c:pt>
                <c:pt idx="14">
                  <c:v>Jun-12</c:v>
                </c:pt>
                <c:pt idx="15">
                  <c:v>Jul-12</c:v>
                </c:pt>
                <c:pt idx="16">
                  <c:v>Aug-12</c:v>
                </c:pt>
                <c:pt idx="17">
                  <c:v>Sep-12</c:v>
                </c:pt>
                <c:pt idx="18">
                  <c:v>Oct-12</c:v>
                </c:pt>
                <c:pt idx="19">
                  <c:v>Nov-12</c:v>
                </c:pt>
                <c:pt idx="20">
                  <c:v>Dec-12</c:v>
                </c:pt>
                <c:pt idx="21">
                  <c:v>Jan-13</c:v>
                </c:pt>
                <c:pt idx="22">
                  <c:v>Feb-13</c:v>
                </c:pt>
                <c:pt idx="23">
                  <c:v>Mar-13</c:v>
                </c:pt>
                <c:pt idx="24">
                  <c:v>Apr-13</c:v>
                </c:pt>
                <c:pt idx="25">
                  <c:v>May-13</c:v>
                </c:pt>
                <c:pt idx="26">
                  <c:v>Jun-13</c:v>
                </c:pt>
                <c:pt idx="27">
                  <c:v>Jul-13</c:v>
                </c:pt>
                <c:pt idx="28">
                  <c:v>Aug-13</c:v>
                </c:pt>
                <c:pt idx="29">
                  <c:v>Sep-13</c:v>
                </c:pt>
                <c:pt idx="30">
                  <c:v>Oct-13</c:v>
                </c:pt>
                <c:pt idx="31">
                  <c:v>Nov-13</c:v>
                </c:pt>
                <c:pt idx="32">
                  <c:v>Dec-13</c:v>
                </c:pt>
                <c:pt idx="33">
                  <c:v>Jan-14</c:v>
                </c:pt>
                <c:pt idx="34">
                  <c:v>Feb-14</c:v>
                </c:pt>
                <c:pt idx="35">
                  <c:v>Mar-14</c:v>
                </c:pt>
                <c:pt idx="36">
                  <c:v>Apr-14</c:v>
                </c:pt>
                <c:pt idx="37">
                  <c:v>May-14</c:v>
                </c:pt>
                <c:pt idx="38">
                  <c:v>Jun-14</c:v>
                </c:pt>
                <c:pt idx="39">
                  <c:v>Jul-14</c:v>
                </c:pt>
                <c:pt idx="40">
                  <c:v>Aug-14</c:v>
                </c:pt>
                <c:pt idx="41">
                  <c:v>Sep-14</c:v>
                </c:pt>
                <c:pt idx="42">
                  <c:v>Oct-14</c:v>
                </c:pt>
                <c:pt idx="43">
                  <c:v>Nov-14</c:v>
                </c:pt>
                <c:pt idx="44">
                  <c:v>12/31/14</c:v>
                </c:pt>
                <c:pt idx="45">
                  <c:v>01/31/15</c:v>
                </c:pt>
                <c:pt idx="46">
                  <c:v>02/28/15</c:v>
                </c:pt>
                <c:pt idx="47">
                  <c:v>03/31/15</c:v>
                </c:pt>
                <c:pt idx="48">
                  <c:v>04/30/15</c:v>
                </c:pt>
                <c:pt idx="49">
                  <c:v>05/31/15</c:v>
                </c:pt>
                <c:pt idx="50">
                  <c:v>06/30/15</c:v>
                </c:pt>
                <c:pt idx="51">
                  <c:v>07/31/15</c:v>
                </c:pt>
                <c:pt idx="52">
                  <c:v>08/31/15</c:v>
                </c:pt>
                <c:pt idx="53">
                  <c:v>09/30/15</c:v>
                </c:pt>
                <c:pt idx="54">
                  <c:v>10/31/15</c:v>
                </c:pt>
                <c:pt idx="55">
                  <c:v>11/30/15</c:v>
                </c:pt>
                <c:pt idx="56">
                  <c:v>12/31/15</c:v>
                </c:pt>
                <c:pt idx="57">
                  <c:v>01/31/16</c:v>
                </c:pt>
                <c:pt idx="58">
                  <c:v>02/29/16</c:v>
                </c:pt>
                <c:pt idx="59">
                  <c:v>03/31/16</c:v>
                </c:pt>
                <c:pt idx="60">
                  <c:v>04/30/16</c:v>
                </c:pt>
                <c:pt idx="61">
                  <c:v>05/31/16</c:v>
                </c:pt>
                <c:pt idx="62">
                  <c:v>06/30/16</c:v>
                </c:pt>
                <c:pt idx="63">
                  <c:v>07/31/16</c:v>
                </c:pt>
                <c:pt idx="64">
                  <c:v>08/31/16</c:v>
                </c:pt>
                <c:pt idx="65">
                  <c:v>09/30/16</c:v>
                </c:pt>
                <c:pt idx="66">
                  <c:v>10/31/16</c:v>
                </c:pt>
                <c:pt idx="67">
                  <c:v>11/30/16</c:v>
                </c:pt>
                <c:pt idx="68">
                  <c:v>12/31/16</c:v>
                </c:pt>
                <c:pt idx="69">
                  <c:v>01/31/17</c:v>
                </c:pt>
                <c:pt idx="70">
                  <c:v>02/28/17</c:v>
                </c:pt>
                <c:pt idx="71">
                  <c:v>03/31/17</c:v>
                </c:pt>
                <c:pt idx="72">
                  <c:v>04/30/17</c:v>
                </c:pt>
                <c:pt idx="73">
                  <c:v>05/31/17</c:v>
                </c:pt>
                <c:pt idx="74">
                  <c:v>06/30/17</c:v>
                </c:pt>
                <c:pt idx="75">
                  <c:v>07/31/17</c:v>
                </c:pt>
                <c:pt idx="76">
                  <c:v>08/31/17</c:v>
                </c:pt>
                <c:pt idx="77">
                  <c:v>09/30/17</c:v>
                </c:pt>
                <c:pt idx="78">
                  <c:v>10/31/17</c:v>
                </c:pt>
                <c:pt idx="79">
                  <c:v>11/30/17</c:v>
                </c:pt>
                <c:pt idx="80">
                  <c:v>12/31/17</c:v>
                </c:pt>
                <c:pt idx="81">
                  <c:v>01/31/18</c:v>
                </c:pt>
                <c:pt idx="82">
                  <c:v>02/28/18</c:v>
                </c:pt>
                <c:pt idx="83">
                  <c:v>03/31/18</c:v>
                </c:pt>
                <c:pt idx="84">
                  <c:v>04/30/18</c:v>
                </c:pt>
                <c:pt idx="85">
                  <c:v>05/31/18</c:v>
                </c:pt>
                <c:pt idx="86">
                  <c:v>06/30/18</c:v>
                </c:pt>
                <c:pt idx="87">
                  <c:v>07/31/18</c:v>
                </c:pt>
                <c:pt idx="88">
                  <c:v>08/31/18</c:v>
                </c:pt>
                <c:pt idx="89">
                  <c:v>09/30/18</c:v>
                </c:pt>
                <c:pt idx="90">
                  <c:v>10/31/18</c:v>
                </c:pt>
                <c:pt idx="91">
                  <c:v>11/30/18</c:v>
                </c:pt>
                <c:pt idx="92">
                  <c:v>12/31/18</c:v>
                </c:pt>
                <c:pt idx="93">
                  <c:v>01/31/19</c:v>
                </c:pt>
                <c:pt idx="94">
                  <c:v>02/28/19</c:v>
                </c:pt>
                <c:pt idx="95">
                  <c:v>03/31/19</c:v>
                </c:pt>
                <c:pt idx="96">
                  <c:v>04/30/19</c:v>
                </c:pt>
                <c:pt idx="97">
                  <c:v>05/31/19</c:v>
                </c:pt>
              </c:strCache>
            </c:strRef>
          </c:cat>
          <c:val>
            <c:numRef>
              <c:f>Graphs!$B$16:$CU$16</c:f>
              <c:numCache>
                <c:formatCode>General</c:formatCode>
                <c:ptCount val="98"/>
                <c:pt idx="0">
                  <c:v>1012.4001963784259</c:v>
                </c:pt>
                <c:pt idx="1">
                  <c:v>1038.7709436846849</c:v>
                </c:pt>
                <c:pt idx="2">
                  <c:v>1052.6342218415105</c:v>
                </c:pt>
                <c:pt idx="3">
                  <c:v>1085.243384892394</c:v>
                </c:pt>
                <c:pt idx="4">
                  <c:v>1114.0853873638068</c:v>
                </c:pt>
                <c:pt idx="5">
                  <c:v>1136.5914050927829</c:v>
                </c:pt>
                <c:pt idx="6">
                  <c:v>1153.2522871934073</c:v>
                </c:pt>
                <c:pt idx="7">
                  <c:v>1171.4133681390579</c:v>
                </c:pt>
                <c:pt idx="8">
                  <c:v>1191.2914250136018</c:v>
                </c:pt>
                <c:pt idx="9">
                  <c:v>1224.4563703399263</c:v>
                </c:pt>
                <c:pt idx="10">
                  <c:v>1246.8251177222246</c:v>
                </c:pt>
                <c:pt idx="11">
                  <c:v>1267.3955551287481</c:v>
                </c:pt>
                <c:pt idx="12">
                  <c:v>1294.0765916386404</c:v>
                </c:pt>
                <c:pt idx="13">
                  <c:v>1297.4276728715008</c:v>
                </c:pt>
                <c:pt idx="14">
                  <c:v>1320.6519636716441</c:v>
                </c:pt>
                <c:pt idx="15">
                  <c:v>1344.5374557526609</c:v>
                </c:pt>
                <c:pt idx="16">
                  <c:v>1363.4147010543693</c:v>
                </c:pt>
                <c:pt idx="17">
                  <c:v>1394.1361431374614</c:v>
                </c:pt>
                <c:pt idx="18">
                  <c:v>1436.8932312205573</c:v>
                </c:pt>
                <c:pt idx="19">
                  <c:v>1473.2683565496418</c:v>
                </c:pt>
                <c:pt idx="20">
                  <c:v>1500.9937253901428</c:v>
                </c:pt>
                <c:pt idx="21">
                  <c:v>1533.8010393480292</c:v>
                </c:pt>
                <c:pt idx="22">
                  <c:v>1567.8915462419136</c:v>
                </c:pt>
                <c:pt idx="23">
                  <c:v>1573.2457523608466</c:v>
                </c:pt>
                <c:pt idx="24">
                  <c:v>1587.1068591448627</c:v>
                </c:pt>
                <c:pt idx="25">
                  <c:v>1605.8407756998938</c:v>
                </c:pt>
                <c:pt idx="26">
                  <c:v>1624.7958239496616</c:v>
                </c:pt>
                <c:pt idx="27">
                  <c:v>1645.8209277225351</c:v>
                </c:pt>
                <c:pt idx="28">
                  <c:v>1666.129805021068</c:v>
                </c:pt>
                <c:pt idx="29">
                  <c:v>1687.6279577561918</c:v>
                </c:pt>
                <c:pt idx="30">
                  <c:v>1721.5446271874346</c:v>
                </c:pt>
                <c:pt idx="31">
                  <c:v>1754.3717502809986</c:v>
                </c:pt>
                <c:pt idx="32">
                  <c:v>1780.4291050863878</c:v>
                </c:pt>
                <c:pt idx="33">
                  <c:v>1824.5503483136558</c:v>
                </c:pt>
                <c:pt idx="34">
                  <c:v>1852.3402715039199</c:v>
                </c:pt>
                <c:pt idx="35">
                  <c:v>1865.9436887137954</c:v>
                </c:pt>
                <c:pt idx="36">
                  <c:v>1885.5735415801728</c:v>
                </c:pt>
                <c:pt idx="37">
                  <c:v>1895.2403742772603</c:v>
                </c:pt>
                <c:pt idx="38">
                  <c:v>1922.0072205257909</c:v>
                </c:pt>
                <c:pt idx="39">
                  <c:v>1926.1302233522663</c:v>
                </c:pt>
                <c:pt idx="40">
                  <c:v>1934.1725090762443</c:v>
                </c:pt>
                <c:pt idx="41">
                  <c:v>1963.1700585507006</c:v>
                </c:pt>
                <c:pt idx="42">
                  <c:v>2001.0623020367548</c:v>
                </c:pt>
                <c:pt idx="43">
                  <c:v>2020.9073861566831</c:v>
                </c:pt>
                <c:pt idx="44">
                  <c:v>2031.5717803983346</c:v>
                </c:pt>
                <c:pt idx="45">
                  <c:v>2022.3583187636318</c:v>
                </c:pt>
                <c:pt idx="46">
                  <c:v>2022.3583187636318</c:v>
                </c:pt>
                <c:pt idx="47">
                  <c:v>2022.3583187636318</c:v>
                </c:pt>
                <c:pt idx="48">
                  <c:v>2022.3583187636318</c:v>
                </c:pt>
                <c:pt idx="49">
                  <c:v>2022.3583187636318</c:v>
                </c:pt>
                <c:pt idx="50">
                  <c:v>2022.3583187636318</c:v>
                </c:pt>
                <c:pt idx="51">
                  <c:v>2022.3583187636318</c:v>
                </c:pt>
                <c:pt idx="52">
                  <c:v>2034.2896017730648</c:v>
                </c:pt>
                <c:pt idx="53">
                  <c:v>2034.2896017730648</c:v>
                </c:pt>
                <c:pt idx="54">
                  <c:v>2034.2896017730648</c:v>
                </c:pt>
                <c:pt idx="55">
                  <c:v>2049.4143621114276</c:v>
                </c:pt>
                <c:pt idx="56">
                  <c:v>2063.122768441433</c:v>
                </c:pt>
                <c:pt idx="57">
                  <c:v>2075.294548983532</c:v>
                </c:pt>
                <c:pt idx="58">
                  <c:v>2075.294548983532</c:v>
                </c:pt>
                <c:pt idx="59">
                  <c:v>2087.9102825847767</c:v>
                </c:pt>
                <c:pt idx="60">
                  <c:v>2087.9102825847767</c:v>
                </c:pt>
                <c:pt idx="61">
                  <c:v>2101.4242179701046</c:v>
                </c:pt>
                <c:pt idx="62">
                  <c:v>2086.9814968872024</c:v>
                </c:pt>
                <c:pt idx="63">
                  <c:v>2086.9814968872024</c:v>
                </c:pt>
                <c:pt idx="64">
                  <c:v>2099.6682755463339</c:v>
                </c:pt>
                <c:pt idx="65">
                  <c:v>2099.6682755463339</c:v>
                </c:pt>
                <c:pt idx="66">
                  <c:v>2139.4084556449857</c:v>
                </c:pt>
                <c:pt idx="67">
                  <c:v>2177.4978166331675</c:v>
                </c:pt>
                <c:pt idx="68">
                  <c:v>2163.0294460108721</c:v>
                </c:pt>
                <c:pt idx="69">
                  <c:v>2163.0294460108721</c:v>
                </c:pt>
                <c:pt idx="70">
                  <c:v>2149.1193368953559</c:v>
                </c:pt>
                <c:pt idx="71">
                  <c:v>2149.1193368953559</c:v>
                </c:pt>
                <c:pt idx="72">
                  <c:v>2135.2986815484705</c:v>
                </c:pt>
                <c:pt idx="73">
                  <c:v>2121.5669047068122</c:v>
                </c:pt>
                <c:pt idx="74">
                  <c:v>2107.470166678962</c:v>
                </c:pt>
                <c:pt idx="75">
                  <c:v>2091.321049325009</c:v>
                </c:pt>
                <c:pt idx="76">
                  <c:v>2091.321049325009</c:v>
                </c:pt>
                <c:pt idx="77">
                  <c:v>2068.2127658685417</c:v>
                </c:pt>
                <c:pt idx="78">
                  <c:v>2068.2127658685417</c:v>
                </c:pt>
                <c:pt idx="79">
                  <c:v>2082.5256000561421</c:v>
                </c:pt>
                <c:pt idx="80">
                  <c:v>2066.5676278676601</c:v>
                </c:pt>
                <c:pt idx="81">
                  <c:v>2051.8590237911217</c:v>
                </c:pt>
                <c:pt idx="82">
                  <c:v>2051.8590237911217</c:v>
                </c:pt>
                <c:pt idx="83">
                  <c:v>2051.8590237911217</c:v>
                </c:pt>
                <c:pt idx="84">
                  <c:v>2051.8590237911217</c:v>
                </c:pt>
                <c:pt idx="85">
                  <c:v>2066.058683743187</c:v>
                </c:pt>
                <c:pt idx="86">
                  <c:v>2066.058683743187</c:v>
                </c:pt>
                <c:pt idx="87">
                  <c:v>2082.653443747859</c:v>
                </c:pt>
                <c:pt idx="88">
                  <c:v>2114.9420026365851</c:v>
                </c:pt>
                <c:pt idx="89">
                  <c:v>2133.4129949324492</c:v>
                </c:pt>
                <c:pt idx="90">
                  <c:v>2181.3528650026956</c:v>
                </c:pt>
                <c:pt idx="91">
                  <c:v>2218.0134019409475</c:v>
                </c:pt>
                <c:pt idx="92">
                  <c:v>2218.0134019409475</c:v>
                </c:pt>
                <c:pt idx="93">
                  <c:v>2235.8286752349618</c:v>
                </c:pt>
                <c:pt idx="94">
                  <c:v>2235.8286752349618</c:v>
                </c:pt>
                <c:pt idx="95">
                  <c:v>2219.9153712987463</c:v>
                </c:pt>
                <c:pt idx="96">
                  <c:v>2232.2825559547532</c:v>
                </c:pt>
                <c:pt idx="97">
                  <c:v>2249.5201737633297</c:v>
                </c:pt>
              </c:numCache>
            </c:numRef>
          </c:val>
          <c:smooth val="0"/>
          <c:extLst>
            <c:ext xmlns:c16="http://schemas.microsoft.com/office/drawing/2014/chart" uri="{C3380CC4-5D6E-409C-BE32-E72D297353CC}">
              <c16:uniqueId val="{00000000-86E4-EB48-9BA9-F3ECAFA58C6B}"/>
            </c:ext>
          </c:extLst>
        </c:ser>
        <c:ser>
          <c:idx val="1"/>
          <c:order val="1"/>
          <c:tx>
            <c:strRef>
              <c:f>Graphs!$A$17</c:f>
              <c:strCache>
                <c:ptCount val="1"/>
                <c:pt idx="0">
                  <c:v>Attackers: Strategic rivals</c:v>
                </c:pt>
              </c:strCache>
            </c:strRef>
          </c:tx>
          <c:spPr>
            <a:ln w="28575" cap="rnd">
              <a:solidFill>
                <a:schemeClr val="accent2"/>
              </a:solidFill>
              <a:round/>
            </a:ln>
            <a:effectLst/>
          </c:spPr>
          <c:marker>
            <c:symbol val="none"/>
          </c:marker>
          <c:cat>
            <c:strRef>
              <c:f>Graphs!$B$15:$CU$15</c:f>
              <c:strCache>
                <c:ptCount val="98"/>
                <c:pt idx="0">
                  <c:v>Apr-11</c:v>
                </c:pt>
                <c:pt idx="1">
                  <c:v>May-11</c:v>
                </c:pt>
                <c:pt idx="2">
                  <c:v>Jun-11</c:v>
                </c:pt>
                <c:pt idx="3">
                  <c:v>Jul-11</c:v>
                </c:pt>
                <c:pt idx="4">
                  <c:v>Aug-11</c:v>
                </c:pt>
                <c:pt idx="5">
                  <c:v>Sep-11</c:v>
                </c:pt>
                <c:pt idx="6">
                  <c:v>Oct-11</c:v>
                </c:pt>
                <c:pt idx="7">
                  <c:v>Nov-11</c:v>
                </c:pt>
                <c:pt idx="8">
                  <c:v>Dec-11</c:v>
                </c:pt>
                <c:pt idx="9">
                  <c:v>Jan-12</c:v>
                </c:pt>
                <c:pt idx="10">
                  <c:v>Feb-12</c:v>
                </c:pt>
                <c:pt idx="11">
                  <c:v>Mar-12</c:v>
                </c:pt>
                <c:pt idx="12">
                  <c:v>Apr-12</c:v>
                </c:pt>
                <c:pt idx="13">
                  <c:v>May-12</c:v>
                </c:pt>
                <c:pt idx="14">
                  <c:v>Jun-12</c:v>
                </c:pt>
                <c:pt idx="15">
                  <c:v>Jul-12</c:v>
                </c:pt>
                <c:pt idx="16">
                  <c:v>Aug-12</c:v>
                </c:pt>
                <c:pt idx="17">
                  <c:v>Sep-12</c:v>
                </c:pt>
                <c:pt idx="18">
                  <c:v>Oct-12</c:v>
                </c:pt>
                <c:pt idx="19">
                  <c:v>Nov-12</c:v>
                </c:pt>
                <c:pt idx="20">
                  <c:v>Dec-12</c:v>
                </c:pt>
                <c:pt idx="21">
                  <c:v>Jan-13</c:v>
                </c:pt>
                <c:pt idx="22">
                  <c:v>Feb-13</c:v>
                </c:pt>
                <c:pt idx="23">
                  <c:v>Mar-13</c:v>
                </c:pt>
                <c:pt idx="24">
                  <c:v>Apr-13</c:v>
                </c:pt>
                <c:pt idx="25">
                  <c:v>May-13</c:v>
                </c:pt>
                <c:pt idx="26">
                  <c:v>Jun-13</c:v>
                </c:pt>
                <c:pt idx="27">
                  <c:v>Jul-13</c:v>
                </c:pt>
                <c:pt idx="28">
                  <c:v>Aug-13</c:v>
                </c:pt>
                <c:pt idx="29">
                  <c:v>Sep-13</c:v>
                </c:pt>
                <c:pt idx="30">
                  <c:v>Oct-13</c:v>
                </c:pt>
                <c:pt idx="31">
                  <c:v>Nov-13</c:v>
                </c:pt>
                <c:pt idx="32">
                  <c:v>Dec-13</c:v>
                </c:pt>
                <c:pt idx="33">
                  <c:v>Jan-14</c:v>
                </c:pt>
                <c:pt idx="34">
                  <c:v>Feb-14</c:v>
                </c:pt>
                <c:pt idx="35">
                  <c:v>Mar-14</c:v>
                </c:pt>
                <c:pt idx="36">
                  <c:v>Apr-14</c:v>
                </c:pt>
                <c:pt idx="37">
                  <c:v>May-14</c:v>
                </c:pt>
                <c:pt idx="38">
                  <c:v>Jun-14</c:v>
                </c:pt>
                <c:pt idx="39">
                  <c:v>Jul-14</c:v>
                </c:pt>
                <c:pt idx="40">
                  <c:v>Aug-14</c:v>
                </c:pt>
                <c:pt idx="41">
                  <c:v>Sep-14</c:v>
                </c:pt>
                <c:pt idx="42">
                  <c:v>Oct-14</c:v>
                </c:pt>
                <c:pt idx="43">
                  <c:v>Nov-14</c:v>
                </c:pt>
                <c:pt idx="44">
                  <c:v>12/31/14</c:v>
                </c:pt>
                <c:pt idx="45">
                  <c:v>01/31/15</c:v>
                </c:pt>
                <c:pt idx="46">
                  <c:v>02/28/15</c:v>
                </c:pt>
                <c:pt idx="47">
                  <c:v>03/31/15</c:v>
                </c:pt>
                <c:pt idx="48">
                  <c:v>04/30/15</c:v>
                </c:pt>
                <c:pt idx="49">
                  <c:v>05/31/15</c:v>
                </c:pt>
                <c:pt idx="50">
                  <c:v>06/30/15</c:v>
                </c:pt>
                <c:pt idx="51">
                  <c:v>07/31/15</c:v>
                </c:pt>
                <c:pt idx="52">
                  <c:v>08/31/15</c:v>
                </c:pt>
                <c:pt idx="53">
                  <c:v>09/30/15</c:v>
                </c:pt>
                <c:pt idx="54">
                  <c:v>10/31/15</c:v>
                </c:pt>
                <c:pt idx="55">
                  <c:v>11/30/15</c:v>
                </c:pt>
                <c:pt idx="56">
                  <c:v>12/31/15</c:v>
                </c:pt>
                <c:pt idx="57">
                  <c:v>01/31/16</c:v>
                </c:pt>
                <c:pt idx="58">
                  <c:v>02/29/16</c:v>
                </c:pt>
                <c:pt idx="59">
                  <c:v>03/31/16</c:v>
                </c:pt>
                <c:pt idx="60">
                  <c:v>04/30/16</c:v>
                </c:pt>
                <c:pt idx="61">
                  <c:v>05/31/16</c:v>
                </c:pt>
                <c:pt idx="62">
                  <c:v>06/30/16</c:v>
                </c:pt>
                <c:pt idx="63">
                  <c:v>07/31/16</c:v>
                </c:pt>
                <c:pt idx="64">
                  <c:v>08/31/16</c:v>
                </c:pt>
                <c:pt idx="65">
                  <c:v>09/30/16</c:v>
                </c:pt>
                <c:pt idx="66">
                  <c:v>10/31/16</c:v>
                </c:pt>
                <c:pt idx="67">
                  <c:v>11/30/16</c:v>
                </c:pt>
                <c:pt idx="68">
                  <c:v>12/31/16</c:v>
                </c:pt>
                <c:pt idx="69">
                  <c:v>01/31/17</c:v>
                </c:pt>
                <c:pt idx="70">
                  <c:v>02/28/17</c:v>
                </c:pt>
                <c:pt idx="71">
                  <c:v>03/31/17</c:v>
                </c:pt>
                <c:pt idx="72">
                  <c:v>04/30/17</c:v>
                </c:pt>
                <c:pt idx="73">
                  <c:v>05/31/17</c:v>
                </c:pt>
                <c:pt idx="74">
                  <c:v>06/30/17</c:v>
                </c:pt>
                <c:pt idx="75">
                  <c:v>07/31/17</c:v>
                </c:pt>
                <c:pt idx="76">
                  <c:v>08/31/17</c:v>
                </c:pt>
                <c:pt idx="77">
                  <c:v>09/30/17</c:v>
                </c:pt>
                <c:pt idx="78">
                  <c:v>10/31/17</c:v>
                </c:pt>
                <c:pt idx="79">
                  <c:v>11/30/17</c:v>
                </c:pt>
                <c:pt idx="80">
                  <c:v>12/31/17</c:v>
                </c:pt>
                <c:pt idx="81">
                  <c:v>01/31/18</c:v>
                </c:pt>
                <c:pt idx="82">
                  <c:v>02/28/18</c:v>
                </c:pt>
                <c:pt idx="83">
                  <c:v>03/31/18</c:v>
                </c:pt>
                <c:pt idx="84">
                  <c:v>04/30/18</c:v>
                </c:pt>
                <c:pt idx="85">
                  <c:v>05/31/18</c:v>
                </c:pt>
                <c:pt idx="86">
                  <c:v>06/30/18</c:v>
                </c:pt>
                <c:pt idx="87">
                  <c:v>07/31/18</c:v>
                </c:pt>
                <c:pt idx="88">
                  <c:v>08/31/18</c:v>
                </c:pt>
                <c:pt idx="89">
                  <c:v>09/30/18</c:v>
                </c:pt>
                <c:pt idx="90">
                  <c:v>10/31/18</c:v>
                </c:pt>
                <c:pt idx="91">
                  <c:v>11/30/18</c:v>
                </c:pt>
                <c:pt idx="92">
                  <c:v>12/31/18</c:v>
                </c:pt>
                <c:pt idx="93">
                  <c:v>01/31/19</c:v>
                </c:pt>
                <c:pt idx="94">
                  <c:v>02/28/19</c:v>
                </c:pt>
                <c:pt idx="95">
                  <c:v>03/31/19</c:v>
                </c:pt>
                <c:pt idx="96">
                  <c:v>04/30/19</c:v>
                </c:pt>
                <c:pt idx="97">
                  <c:v>05/31/19</c:v>
                </c:pt>
              </c:strCache>
            </c:strRef>
          </c:cat>
          <c:val>
            <c:numRef>
              <c:f>Graphs!$B$17:$CU$17</c:f>
              <c:numCache>
                <c:formatCode>General</c:formatCode>
                <c:ptCount val="98"/>
                <c:pt idx="0">
                  <c:v>1037.2984802053893</c:v>
                </c:pt>
                <c:pt idx="1">
                  <c:v>1067.3630280002481</c:v>
                </c:pt>
                <c:pt idx="2">
                  <c:v>1103.1234900394613</c:v>
                </c:pt>
                <c:pt idx="3">
                  <c:v>1121.9798465675817</c:v>
                </c:pt>
                <c:pt idx="4">
                  <c:v>1137.7234261032913</c:v>
                </c:pt>
                <c:pt idx="5">
                  <c:v>1167.0553909364069</c:v>
                </c:pt>
                <c:pt idx="6">
                  <c:v>1198.8340844588611</c:v>
                </c:pt>
                <c:pt idx="7">
                  <c:v>1203.6605180156464</c:v>
                </c:pt>
                <c:pt idx="8">
                  <c:v>1237.6964628659964</c:v>
                </c:pt>
                <c:pt idx="9">
                  <c:v>1272.1533007644705</c:v>
                </c:pt>
                <c:pt idx="10">
                  <c:v>1298.7478815665488</c:v>
                </c:pt>
                <c:pt idx="11">
                  <c:v>1321.9764204830865</c:v>
                </c:pt>
                <c:pt idx="12">
                  <c:v>1358.0119712058395</c:v>
                </c:pt>
                <c:pt idx="13">
                  <c:v>1379.2489140169057</c:v>
                </c:pt>
                <c:pt idx="14">
                  <c:v>1405.6371656944104</c:v>
                </c:pt>
                <c:pt idx="15">
                  <c:v>1431.0597117652421</c:v>
                </c:pt>
                <c:pt idx="16">
                  <c:v>1463.7642641952425</c:v>
                </c:pt>
                <c:pt idx="17">
                  <c:v>1491.8741076630536</c:v>
                </c:pt>
                <c:pt idx="18">
                  <c:v>1529.6410805058185</c:v>
                </c:pt>
                <c:pt idx="19">
                  <c:v>1546.4633589569003</c:v>
                </c:pt>
                <c:pt idx="20">
                  <c:v>1592.3452159668955</c:v>
                </c:pt>
                <c:pt idx="21">
                  <c:v>1617.8308758326816</c:v>
                </c:pt>
                <c:pt idx="22">
                  <c:v>1654.5020370505977</c:v>
                </c:pt>
                <c:pt idx="23">
                  <c:v>1685.4973537091828</c:v>
                </c:pt>
                <c:pt idx="24">
                  <c:v>1707.8214977562252</c:v>
                </c:pt>
                <c:pt idx="25">
                  <c:v>1728.8621551823189</c:v>
                </c:pt>
                <c:pt idx="26">
                  <c:v>1743.0330774373178</c:v>
                </c:pt>
                <c:pt idx="27">
                  <c:v>1764.3275050352186</c:v>
                </c:pt>
                <c:pt idx="28">
                  <c:v>1801.3282650259996</c:v>
                </c:pt>
                <c:pt idx="29">
                  <c:v>1836.3044245179185</c:v>
                </c:pt>
                <c:pt idx="30">
                  <c:v>1881.8303298592998</c:v>
                </c:pt>
                <c:pt idx="31">
                  <c:v>1897.5777724881527</c:v>
                </c:pt>
                <c:pt idx="32">
                  <c:v>1928.2326486431334</c:v>
                </c:pt>
                <c:pt idx="33">
                  <c:v>1946.3948319347335</c:v>
                </c:pt>
                <c:pt idx="34">
                  <c:v>1962.3022321615913</c:v>
                </c:pt>
                <c:pt idx="35">
                  <c:v>1970.6958128071681</c:v>
                </c:pt>
                <c:pt idx="36">
                  <c:v>1997.225121413855</c:v>
                </c:pt>
                <c:pt idx="37">
                  <c:v>2007.4643619851608</c:v>
                </c:pt>
                <c:pt idx="38">
                  <c:v>2011.1399136513576</c:v>
                </c:pt>
                <c:pt idx="39">
                  <c:v>2024.1103161501296</c:v>
                </c:pt>
                <c:pt idx="40">
                  <c:v>2034.9828611582102</c:v>
                </c:pt>
                <c:pt idx="41">
                  <c:v>2052.0119074799281</c:v>
                </c:pt>
                <c:pt idx="42">
                  <c:v>2070.1980097135761</c:v>
                </c:pt>
                <c:pt idx="43">
                  <c:v>2089.3537045559938</c:v>
                </c:pt>
                <c:pt idx="44">
                  <c:v>2122.6053218389079</c:v>
                </c:pt>
                <c:pt idx="45">
                  <c:v>2122.6053218389079</c:v>
                </c:pt>
                <c:pt idx="46">
                  <c:v>2122.6053218389079</c:v>
                </c:pt>
                <c:pt idx="47">
                  <c:v>2122.6053218389079</c:v>
                </c:pt>
                <c:pt idx="48">
                  <c:v>2133.8063794067002</c:v>
                </c:pt>
                <c:pt idx="49">
                  <c:v>2144.2406196895722</c:v>
                </c:pt>
                <c:pt idx="50">
                  <c:v>2144.2406196895722</c:v>
                </c:pt>
                <c:pt idx="51">
                  <c:v>2155.8624916929034</c:v>
                </c:pt>
                <c:pt idx="52">
                  <c:v>2168.5814076630145</c:v>
                </c:pt>
                <c:pt idx="53">
                  <c:v>2168.5814076630145</c:v>
                </c:pt>
                <c:pt idx="54">
                  <c:v>2180.0250825364164</c:v>
                </c:pt>
                <c:pt idx="55">
                  <c:v>2196.2333730749142</c:v>
                </c:pt>
                <c:pt idx="56">
                  <c:v>2210.9238427184523</c:v>
                </c:pt>
                <c:pt idx="57">
                  <c:v>2223.9676034778731</c:v>
                </c:pt>
                <c:pt idx="58">
                  <c:v>2223.9676034778731</c:v>
                </c:pt>
                <c:pt idx="59">
                  <c:v>2223.9676034778731</c:v>
                </c:pt>
                <c:pt idx="60">
                  <c:v>2236.7123687188205</c:v>
                </c:pt>
                <c:pt idx="61">
                  <c:v>2236.7123687188205</c:v>
                </c:pt>
                <c:pt idx="62">
                  <c:v>2221.3398358395298</c:v>
                </c:pt>
                <c:pt idx="63">
                  <c:v>2206.0729556898568</c:v>
                </c:pt>
                <c:pt idx="64">
                  <c:v>2192.7432504117928</c:v>
                </c:pt>
                <c:pt idx="65">
                  <c:v>2179.4940869137918</c:v>
                </c:pt>
                <c:pt idx="66">
                  <c:v>2179.4940869137918</c:v>
                </c:pt>
                <c:pt idx="67">
                  <c:v>2179.4940869137918</c:v>
                </c:pt>
                <c:pt idx="68">
                  <c:v>2179.4940869137918</c:v>
                </c:pt>
                <c:pt idx="69">
                  <c:v>2193.6007956689182</c:v>
                </c:pt>
                <c:pt idx="70">
                  <c:v>2179.4940869137918</c:v>
                </c:pt>
                <c:pt idx="71">
                  <c:v>2165.0124520861036</c:v>
                </c:pt>
                <c:pt idx="72">
                  <c:v>2151.0895905640336</c:v>
                </c:pt>
                <c:pt idx="73">
                  <c:v>2151.0895905640336</c:v>
                </c:pt>
                <c:pt idx="74">
                  <c:v>2136.7966892346703</c:v>
                </c:pt>
                <c:pt idx="75">
                  <c:v>2136.7966892346703</c:v>
                </c:pt>
                <c:pt idx="76">
                  <c:v>2136.7966892346703</c:v>
                </c:pt>
                <c:pt idx="77">
                  <c:v>2113.1859176605917</c:v>
                </c:pt>
                <c:pt idx="78">
                  <c:v>2098.1455122154252</c:v>
                </c:pt>
                <c:pt idx="79">
                  <c:v>2083.7253251036855</c:v>
                </c:pt>
                <c:pt idx="80">
                  <c:v>2067.7581596649779</c:v>
                </c:pt>
                <c:pt idx="81">
                  <c:v>2053.0410820884144</c:v>
                </c:pt>
                <c:pt idx="82">
                  <c:v>2069.5312836035346</c:v>
                </c:pt>
                <c:pt idx="83">
                  <c:v>2054.258059576257</c:v>
                </c:pt>
                <c:pt idx="84">
                  <c:v>2073.0182773599063</c:v>
                </c:pt>
                <c:pt idx="85">
                  <c:v>2087.3643675501276</c:v>
                </c:pt>
                <c:pt idx="86">
                  <c:v>2087.3643675501276</c:v>
                </c:pt>
                <c:pt idx="87">
                  <c:v>2121.0308107622359</c:v>
                </c:pt>
                <c:pt idx="88">
                  <c:v>2121.0308107622359</c:v>
                </c:pt>
                <c:pt idx="89">
                  <c:v>2102.6670228515318</c:v>
                </c:pt>
                <c:pt idx="90">
                  <c:v>2102.6670228515318</c:v>
                </c:pt>
                <c:pt idx="91">
                  <c:v>2085.2176045510009</c:v>
                </c:pt>
                <c:pt idx="92">
                  <c:v>2085.2176045510009</c:v>
                </c:pt>
                <c:pt idx="93">
                  <c:v>2068.602413094678</c:v>
                </c:pt>
                <c:pt idx="94">
                  <c:v>2048.9949547852625</c:v>
                </c:pt>
                <c:pt idx="95">
                  <c:v>2034.4114225851292</c:v>
                </c:pt>
                <c:pt idx="96">
                  <c:v>2034.4114225851292</c:v>
                </c:pt>
                <c:pt idx="97">
                  <c:v>2018.8221396007241</c:v>
                </c:pt>
              </c:numCache>
            </c:numRef>
          </c:val>
          <c:smooth val="0"/>
          <c:extLst>
            <c:ext xmlns:c16="http://schemas.microsoft.com/office/drawing/2014/chart" uri="{C3380CC4-5D6E-409C-BE32-E72D297353CC}">
              <c16:uniqueId val="{00000001-86E4-EB48-9BA9-F3ECAFA58C6B}"/>
            </c:ext>
          </c:extLst>
        </c:ser>
        <c:ser>
          <c:idx val="2"/>
          <c:order val="2"/>
          <c:tx>
            <c:strRef>
              <c:f>Graphs!$A$18</c:f>
              <c:strCache>
                <c:ptCount val="1"/>
                <c:pt idx="0">
                  <c:v>Attackers: Activist/hacktivists</c:v>
                </c:pt>
              </c:strCache>
            </c:strRef>
          </c:tx>
          <c:spPr>
            <a:ln w="28575" cap="rnd">
              <a:solidFill>
                <a:schemeClr val="accent3"/>
              </a:solidFill>
              <a:round/>
            </a:ln>
            <a:effectLst/>
          </c:spPr>
          <c:marker>
            <c:symbol val="none"/>
          </c:marker>
          <c:cat>
            <c:strRef>
              <c:f>Graphs!$B$15:$CU$15</c:f>
              <c:strCache>
                <c:ptCount val="98"/>
                <c:pt idx="0">
                  <c:v>Apr-11</c:v>
                </c:pt>
                <c:pt idx="1">
                  <c:v>May-11</c:v>
                </c:pt>
                <c:pt idx="2">
                  <c:v>Jun-11</c:v>
                </c:pt>
                <c:pt idx="3">
                  <c:v>Jul-11</c:v>
                </c:pt>
                <c:pt idx="4">
                  <c:v>Aug-11</c:v>
                </c:pt>
                <c:pt idx="5">
                  <c:v>Sep-11</c:v>
                </c:pt>
                <c:pt idx="6">
                  <c:v>Oct-11</c:v>
                </c:pt>
                <c:pt idx="7">
                  <c:v>Nov-11</c:v>
                </c:pt>
                <c:pt idx="8">
                  <c:v>Dec-11</c:v>
                </c:pt>
                <c:pt idx="9">
                  <c:v>Jan-12</c:v>
                </c:pt>
                <c:pt idx="10">
                  <c:v>Feb-12</c:v>
                </c:pt>
                <c:pt idx="11">
                  <c:v>Mar-12</c:v>
                </c:pt>
                <c:pt idx="12">
                  <c:v>Apr-12</c:v>
                </c:pt>
                <c:pt idx="13">
                  <c:v>May-12</c:v>
                </c:pt>
                <c:pt idx="14">
                  <c:v>Jun-12</c:v>
                </c:pt>
                <c:pt idx="15">
                  <c:v>Jul-12</c:v>
                </c:pt>
                <c:pt idx="16">
                  <c:v>Aug-12</c:v>
                </c:pt>
                <c:pt idx="17">
                  <c:v>Sep-12</c:v>
                </c:pt>
                <c:pt idx="18">
                  <c:v>Oct-12</c:v>
                </c:pt>
                <c:pt idx="19">
                  <c:v>Nov-12</c:v>
                </c:pt>
                <c:pt idx="20">
                  <c:v>Dec-12</c:v>
                </c:pt>
                <c:pt idx="21">
                  <c:v>Jan-13</c:v>
                </c:pt>
                <c:pt idx="22">
                  <c:v>Feb-13</c:v>
                </c:pt>
                <c:pt idx="23">
                  <c:v>Mar-13</c:v>
                </c:pt>
                <c:pt idx="24">
                  <c:v>Apr-13</c:v>
                </c:pt>
                <c:pt idx="25">
                  <c:v>May-13</c:v>
                </c:pt>
                <c:pt idx="26">
                  <c:v>Jun-13</c:v>
                </c:pt>
                <c:pt idx="27">
                  <c:v>Jul-13</c:v>
                </c:pt>
                <c:pt idx="28">
                  <c:v>Aug-13</c:v>
                </c:pt>
                <c:pt idx="29">
                  <c:v>Sep-13</c:v>
                </c:pt>
                <c:pt idx="30">
                  <c:v>Oct-13</c:v>
                </c:pt>
                <c:pt idx="31">
                  <c:v>Nov-13</c:v>
                </c:pt>
                <c:pt idx="32">
                  <c:v>Dec-13</c:v>
                </c:pt>
                <c:pt idx="33">
                  <c:v>Jan-14</c:v>
                </c:pt>
                <c:pt idx="34">
                  <c:v>Feb-14</c:v>
                </c:pt>
                <c:pt idx="35">
                  <c:v>Mar-14</c:v>
                </c:pt>
                <c:pt idx="36">
                  <c:v>Apr-14</c:v>
                </c:pt>
                <c:pt idx="37">
                  <c:v>May-14</c:v>
                </c:pt>
                <c:pt idx="38">
                  <c:v>Jun-14</c:v>
                </c:pt>
                <c:pt idx="39">
                  <c:v>Jul-14</c:v>
                </c:pt>
                <c:pt idx="40">
                  <c:v>Aug-14</c:v>
                </c:pt>
                <c:pt idx="41">
                  <c:v>Sep-14</c:v>
                </c:pt>
                <c:pt idx="42">
                  <c:v>Oct-14</c:v>
                </c:pt>
                <c:pt idx="43">
                  <c:v>Nov-14</c:v>
                </c:pt>
                <c:pt idx="44">
                  <c:v>12/31/14</c:v>
                </c:pt>
                <c:pt idx="45">
                  <c:v>01/31/15</c:v>
                </c:pt>
                <c:pt idx="46">
                  <c:v>02/28/15</c:v>
                </c:pt>
                <c:pt idx="47">
                  <c:v>03/31/15</c:v>
                </c:pt>
                <c:pt idx="48">
                  <c:v>04/30/15</c:v>
                </c:pt>
                <c:pt idx="49">
                  <c:v>05/31/15</c:v>
                </c:pt>
                <c:pt idx="50">
                  <c:v>06/30/15</c:v>
                </c:pt>
                <c:pt idx="51">
                  <c:v>07/31/15</c:v>
                </c:pt>
                <c:pt idx="52">
                  <c:v>08/31/15</c:v>
                </c:pt>
                <c:pt idx="53">
                  <c:v>09/30/15</c:v>
                </c:pt>
                <c:pt idx="54">
                  <c:v>10/31/15</c:v>
                </c:pt>
                <c:pt idx="55">
                  <c:v>11/30/15</c:v>
                </c:pt>
                <c:pt idx="56">
                  <c:v>12/31/15</c:v>
                </c:pt>
                <c:pt idx="57">
                  <c:v>01/31/16</c:v>
                </c:pt>
                <c:pt idx="58">
                  <c:v>02/29/16</c:v>
                </c:pt>
                <c:pt idx="59">
                  <c:v>03/31/16</c:v>
                </c:pt>
                <c:pt idx="60">
                  <c:v>04/30/16</c:v>
                </c:pt>
                <c:pt idx="61">
                  <c:v>05/31/16</c:v>
                </c:pt>
                <c:pt idx="62">
                  <c:v>06/30/16</c:v>
                </c:pt>
                <c:pt idx="63">
                  <c:v>07/31/16</c:v>
                </c:pt>
                <c:pt idx="64">
                  <c:v>08/31/16</c:v>
                </c:pt>
                <c:pt idx="65">
                  <c:v>09/30/16</c:v>
                </c:pt>
                <c:pt idx="66">
                  <c:v>10/31/16</c:v>
                </c:pt>
                <c:pt idx="67">
                  <c:v>11/30/16</c:v>
                </c:pt>
                <c:pt idx="68">
                  <c:v>12/31/16</c:v>
                </c:pt>
                <c:pt idx="69">
                  <c:v>01/31/17</c:v>
                </c:pt>
                <c:pt idx="70">
                  <c:v>02/28/17</c:v>
                </c:pt>
                <c:pt idx="71">
                  <c:v>03/31/17</c:v>
                </c:pt>
                <c:pt idx="72">
                  <c:v>04/30/17</c:v>
                </c:pt>
                <c:pt idx="73">
                  <c:v>05/31/17</c:v>
                </c:pt>
                <c:pt idx="74">
                  <c:v>06/30/17</c:v>
                </c:pt>
                <c:pt idx="75">
                  <c:v>07/31/17</c:v>
                </c:pt>
                <c:pt idx="76">
                  <c:v>08/31/17</c:v>
                </c:pt>
                <c:pt idx="77">
                  <c:v>09/30/17</c:v>
                </c:pt>
                <c:pt idx="78">
                  <c:v>10/31/17</c:v>
                </c:pt>
                <c:pt idx="79">
                  <c:v>11/30/17</c:v>
                </c:pt>
                <c:pt idx="80">
                  <c:v>12/31/17</c:v>
                </c:pt>
                <c:pt idx="81">
                  <c:v>01/31/18</c:v>
                </c:pt>
                <c:pt idx="82">
                  <c:v>02/28/18</c:v>
                </c:pt>
                <c:pt idx="83">
                  <c:v>03/31/18</c:v>
                </c:pt>
                <c:pt idx="84">
                  <c:v>04/30/18</c:v>
                </c:pt>
                <c:pt idx="85">
                  <c:v>05/31/18</c:v>
                </c:pt>
                <c:pt idx="86">
                  <c:v>06/30/18</c:v>
                </c:pt>
                <c:pt idx="87">
                  <c:v>07/31/18</c:v>
                </c:pt>
                <c:pt idx="88">
                  <c:v>08/31/18</c:v>
                </c:pt>
                <c:pt idx="89">
                  <c:v>09/30/18</c:v>
                </c:pt>
                <c:pt idx="90">
                  <c:v>10/31/18</c:v>
                </c:pt>
                <c:pt idx="91">
                  <c:v>11/30/18</c:v>
                </c:pt>
                <c:pt idx="92">
                  <c:v>12/31/18</c:v>
                </c:pt>
                <c:pt idx="93">
                  <c:v>01/31/19</c:v>
                </c:pt>
                <c:pt idx="94">
                  <c:v>02/28/19</c:v>
                </c:pt>
                <c:pt idx="95">
                  <c:v>03/31/19</c:v>
                </c:pt>
                <c:pt idx="96">
                  <c:v>04/30/19</c:v>
                </c:pt>
                <c:pt idx="97">
                  <c:v>05/31/19</c:v>
                </c:pt>
              </c:strCache>
            </c:strRef>
          </c:cat>
          <c:val>
            <c:numRef>
              <c:f>Graphs!$B$18:$CU$18</c:f>
              <c:numCache>
                <c:formatCode>General</c:formatCode>
                <c:ptCount val="98"/>
                <c:pt idx="0">
                  <c:v>1028.2074038575311</c:v>
                </c:pt>
                <c:pt idx="1">
                  <c:v>1058.7644506703687</c:v>
                </c:pt>
                <c:pt idx="2">
                  <c:v>1130.8976598402246</c:v>
                </c:pt>
                <c:pt idx="3">
                  <c:v>1175.3559391240976</c:v>
                </c:pt>
                <c:pt idx="4">
                  <c:v>1208.5724637536086</c:v>
                </c:pt>
                <c:pt idx="5">
                  <c:v>1237.4789989020869</c:v>
                </c:pt>
                <c:pt idx="6">
                  <c:v>1280.2193988733789</c:v>
                </c:pt>
                <c:pt idx="7">
                  <c:v>1300.960577245407</c:v>
                </c:pt>
                <c:pt idx="8">
                  <c:v>1335.8198255129453</c:v>
                </c:pt>
                <c:pt idx="9">
                  <c:v>1391.1336292547369</c:v>
                </c:pt>
                <c:pt idx="10">
                  <c:v>1427.5804872687295</c:v>
                </c:pt>
                <c:pt idx="11">
                  <c:v>1471.7255998566509</c:v>
                </c:pt>
                <c:pt idx="12">
                  <c:v>1508.9825107959093</c:v>
                </c:pt>
                <c:pt idx="13">
                  <c:v>1574.768068882694</c:v>
                </c:pt>
                <c:pt idx="14">
                  <c:v>1602.956824479041</c:v>
                </c:pt>
                <c:pt idx="15">
                  <c:v>1621.9715117709204</c:v>
                </c:pt>
                <c:pt idx="16">
                  <c:v>1640.794955627932</c:v>
                </c:pt>
                <c:pt idx="17">
                  <c:v>1689.6622882377744</c:v>
                </c:pt>
                <c:pt idx="18">
                  <c:v>1777.2185198978816</c:v>
                </c:pt>
                <c:pt idx="19">
                  <c:v>1826.0092469151766</c:v>
                </c:pt>
                <c:pt idx="20">
                  <c:v>1929.4164350780879</c:v>
                </c:pt>
                <c:pt idx="21">
                  <c:v>1990.3264550219703</c:v>
                </c:pt>
                <c:pt idx="22">
                  <c:v>2063.7104864407434</c:v>
                </c:pt>
                <c:pt idx="23">
                  <c:v>2119.1619863918495</c:v>
                </c:pt>
                <c:pt idx="24">
                  <c:v>2187.1507480465548</c:v>
                </c:pt>
                <c:pt idx="25">
                  <c:v>2228.8309703809268</c:v>
                </c:pt>
                <c:pt idx="26">
                  <c:v>2259.7467052760039</c:v>
                </c:pt>
                <c:pt idx="27">
                  <c:v>2279.1992115369421</c:v>
                </c:pt>
                <c:pt idx="28">
                  <c:v>2337.9999843969363</c:v>
                </c:pt>
                <c:pt idx="29">
                  <c:v>2369.6858528891271</c:v>
                </c:pt>
                <c:pt idx="30">
                  <c:v>2392.7689992159962</c:v>
                </c:pt>
                <c:pt idx="31">
                  <c:v>2415.4744243887253</c:v>
                </c:pt>
                <c:pt idx="32">
                  <c:v>2459.2205122228825</c:v>
                </c:pt>
                <c:pt idx="33">
                  <c:v>2474.6387722973923</c:v>
                </c:pt>
                <c:pt idx="34">
                  <c:v>2481.8429557823943</c:v>
                </c:pt>
                <c:pt idx="35">
                  <c:v>2504.6468661172557</c:v>
                </c:pt>
                <c:pt idx="36">
                  <c:v>2525.1167211911456</c:v>
                </c:pt>
                <c:pt idx="37">
                  <c:v>2562.6964761530753</c:v>
                </c:pt>
                <c:pt idx="38">
                  <c:v>2554.8952752576693</c:v>
                </c:pt>
                <c:pt idx="39">
                  <c:v>2593.5075726390332</c:v>
                </c:pt>
                <c:pt idx="40">
                  <c:v>2638.6650843850202</c:v>
                </c:pt>
                <c:pt idx="41">
                  <c:v>2689.4070948080653</c:v>
                </c:pt>
                <c:pt idx="42">
                  <c:v>2741.3168455837172</c:v>
                </c:pt>
                <c:pt idx="43">
                  <c:v>2761.2272801959684</c:v>
                </c:pt>
                <c:pt idx="44">
                  <c:v>2805.171621717468</c:v>
                </c:pt>
                <c:pt idx="45">
                  <c:v>2805.171621717468</c:v>
                </c:pt>
                <c:pt idx="46">
                  <c:v>2790.4463452698778</c:v>
                </c:pt>
                <c:pt idx="47">
                  <c:v>2790.4463452698778</c:v>
                </c:pt>
                <c:pt idx="48">
                  <c:v>2819.9746039295228</c:v>
                </c:pt>
                <c:pt idx="49">
                  <c:v>2819.9746039295228</c:v>
                </c:pt>
                <c:pt idx="50">
                  <c:v>2792.5964258199747</c:v>
                </c:pt>
                <c:pt idx="51">
                  <c:v>2822.9504375582001</c:v>
                </c:pt>
                <c:pt idx="52">
                  <c:v>2822.9504375582001</c:v>
                </c:pt>
                <c:pt idx="53">
                  <c:v>2822.9504375582001</c:v>
                </c:pt>
                <c:pt idx="54">
                  <c:v>2822.9504375582001</c:v>
                </c:pt>
                <c:pt idx="55">
                  <c:v>2822.9504375582001</c:v>
                </c:pt>
                <c:pt idx="56">
                  <c:v>2841.832979011479</c:v>
                </c:pt>
                <c:pt idx="57">
                  <c:v>2858.5989068015924</c:v>
                </c:pt>
                <c:pt idx="58">
                  <c:v>2843.1887075278792</c:v>
                </c:pt>
                <c:pt idx="59">
                  <c:v>2843.1887075278792</c:v>
                </c:pt>
                <c:pt idx="60">
                  <c:v>2875.8686797556093</c:v>
                </c:pt>
                <c:pt idx="61">
                  <c:v>2875.8686797556093</c:v>
                </c:pt>
                <c:pt idx="62">
                  <c:v>2895.7708059961701</c:v>
                </c:pt>
                <c:pt idx="63">
                  <c:v>2895.7708059961701</c:v>
                </c:pt>
                <c:pt idx="64">
                  <c:v>2878.2737548233176</c:v>
                </c:pt>
                <c:pt idx="65">
                  <c:v>2843.5961797985524</c:v>
                </c:pt>
                <c:pt idx="66">
                  <c:v>2843.5961797985524</c:v>
                </c:pt>
                <c:pt idx="67">
                  <c:v>2843.5961797985524</c:v>
                </c:pt>
                <c:pt idx="68">
                  <c:v>2824.7019227686728</c:v>
                </c:pt>
                <c:pt idx="69">
                  <c:v>2824.7019227686728</c:v>
                </c:pt>
                <c:pt idx="70">
                  <c:v>2824.7019227686728</c:v>
                </c:pt>
                <c:pt idx="71">
                  <c:v>2824.7019227686728</c:v>
                </c:pt>
                <c:pt idx="72">
                  <c:v>2824.7019227686728</c:v>
                </c:pt>
                <c:pt idx="73">
                  <c:v>2842.9847194891577</c:v>
                </c:pt>
                <c:pt idx="74">
                  <c:v>2824.0945253034793</c:v>
                </c:pt>
                <c:pt idx="75">
                  <c:v>2824.0945253034793</c:v>
                </c:pt>
                <c:pt idx="76">
                  <c:v>2824.0945253034793</c:v>
                </c:pt>
                <c:pt idx="77">
                  <c:v>2792.8893802017105</c:v>
                </c:pt>
                <c:pt idx="78">
                  <c:v>2773.0112481875444</c:v>
                </c:pt>
                <c:pt idx="79">
                  <c:v>2773.0112481875444</c:v>
                </c:pt>
                <c:pt idx="80">
                  <c:v>2751.7622242256148</c:v>
                </c:pt>
                <c:pt idx="81">
                  <c:v>2732.1768109426866</c:v>
                </c:pt>
                <c:pt idx="82">
                  <c:v>2732.1768109426866</c:v>
                </c:pt>
                <c:pt idx="83">
                  <c:v>2732.1768109426866</c:v>
                </c:pt>
                <c:pt idx="84">
                  <c:v>2757.1280247192531</c:v>
                </c:pt>
                <c:pt idx="85">
                  <c:v>2738.1787660639311</c:v>
                </c:pt>
                <c:pt idx="86">
                  <c:v>2738.1787660639311</c:v>
                </c:pt>
                <c:pt idx="87">
                  <c:v>2738.1787660639311</c:v>
                </c:pt>
                <c:pt idx="88">
                  <c:v>2696.3753283215738</c:v>
                </c:pt>
                <c:pt idx="89">
                  <c:v>2673.0302338487791</c:v>
                </c:pt>
                <c:pt idx="90">
                  <c:v>2673.0302338487791</c:v>
                </c:pt>
                <c:pt idx="91">
                  <c:v>2650.8475381706312</c:v>
                </c:pt>
                <c:pt idx="92">
                  <c:v>2650.8475381706312</c:v>
                </c:pt>
                <c:pt idx="93">
                  <c:v>2629.7253592325196</c:v>
                </c:pt>
                <c:pt idx="94">
                  <c:v>2604.799240022774</c:v>
                </c:pt>
                <c:pt idx="95">
                  <c:v>2586.2598221959811</c:v>
                </c:pt>
                <c:pt idx="96">
                  <c:v>2571.9315496821864</c:v>
                </c:pt>
                <c:pt idx="97">
                  <c:v>2552.2233587531523</c:v>
                </c:pt>
              </c:numCache>
            </c:numRef>
          </c:val>
          <c:smooth val="0"/>
          <c:extLst>
            <c:ext xmlns:c16="http://schemas.microsoft.com/office/drawing/2014/chart" uri="{C3380CC4-5D6E-409C-BE32-E72D297353CC}">
              <c16:uniqueId val="{00000002-86E4-EB48-9BA9-F3ECAFA58C6B}"/>
            </c:ext>
          </c:extLst>
        </c:ser>
        <c:ser>
          <c:idx val="3"/>
          <c:order val="3"/>
          <c:tx>
            <c:strRef>
              <c:f>Graphs!$A$19</c:f>
              <c:strCache>
                <c:ptCount val="1"/>
                <c:pt idx="0">
                  <c:v>Attackers: Criminals</c:v>
                </c:pt>
              </c:strCache>
            </c:strRef>
          </c:tx>
          <c:spPr>
            <a:ln w="28575" cap="rnd">
              <a:solidFill>
                <a:schemeClr val="accent4"/>
              </a:solidFill>
              <a:round/>
            </a:ln>
            <a:effectLst/>
          </c:spPr>
          <c:marker>
            <c:symbol val="none"/>
          </c:marker>
          <c:cat>
            <c:strRef>
              <c:f>Graphs!$B$15:$CU$15</c:f>
              <c:strCache>
                <c:ptCount val="98"/>
                <c:pt idx="0">
                  <c:v>Apr-11</c:v>
                </c:pt>
                <c:pt idx="1">
                  <c:v>May-11</c:v>
                </c:pt>
                <c:pt idx="2">
                  <c:v>Jun-11</c:v>
                </c:pt>
                <c:pt idx="3">
                  <c:v>Jul-11</c:v>
                </c:pt>
                <c:pt idx="4">
                  <c:v>Aug-11</c:v>
                </c:pt>
                <c:pt idx="5">
                  <c:v>Sep-11</c:v>
                </c:pt>
                <c:pt idx="6">
                  <c:v>Oct-11</c:v>
                </c:pt>
                <c:pt idx="7">
                  <c:v>Nov-11</c:v>
                </c:pt>
                <c:pt idx="8">
                  <c:v>Dec-11</c:v>
                </c:pt>
                <c:pt idx="9">
                  <c:v>Jan-12</c:v>
                </c:pt>
                <c:pt idx="10">
                  <c:v>Feb-12</c:v>
                </c:pt>
                <c:pt idx="11">
                  <c:v>Mar-12</c:v>
                </c:pt>
                <c:pt idx="12">
                  <c:v>Apr-12</c:v>
                </c:pt>
                <c:pt idx="13">
                  <c:v>May-12</c:v>
                </c:pt>
                <c:pt idx="14">
                  <c:v>Jun-12</c:v>
                </c:pt>
                <c:pt idx="15">
                  <c:v>Jul-12</c:v>
                </c:pt>
                <c:pt idx="16">
                  <c:v>Aug-12</c:v>
                </c:pt>
                <c:pt idx="17">
                  <c:v>Sep-12</c:v>
                </c:pt>
                <c:pt idx="18">
                  <c:v>Oct-12</c:v>
                </c:pt>
                <c:pt idx="19">
                  <c:v>Nov-12</c:v>
                </c:pt>
                <c:pt idx="20">
                  <c:v>Dec-12</c:v>
                </c:pt>
                <c:pt idx="21">
                  <c:v>Jan-13</c:v>
                </c:pt>
                <c:pt idx="22">
                  <c:v>Feb-13</c:v>
                </c:pt>
                <c:pt idx="23">
                  <c:v>Mar-13</c:v>
                </c:pt>
                <c:pt idx="24">
                  <c:v>Apr-13</c:v>
                </c:pt>
                <c:pt idx="25">
                  <c:v>May-13</c:v>
                </c:pt>
                <c:pt idx="26">
                  <c:v>Jun-13</c:v>
                </c:pt>
                <c:pt idx="27">
                  <c:v>Jul-13</c:v>
                </c:pt>
                <c:pt idx="28">
                  <c:v>Aug-13</c:v>
                </c:pt>
                <c:pt idx="29">
                  <c:v>Sep-13</c:v>
                </c:pt>
                <c:pt idx="30">
                  <c:v>Oct-13</c:v>
                </c:pt>
                <c:pt idx="31">
                  <c:v>Nov-13</c:v>
                </c:pt>
                <c:pt idx="32">
                  <c:v>Dec-13</c:v>
                </c:pt>
                <c:pt idx="33">
                  <c:v>Jan-14</c:v>
                </c:pt>
                <c:pt idx="34">
                  <c:v>Feb-14</c:v>
                </c:pt>
                <c:pt idx="35">
                  <c:v>Mar-14</c:v>
                </c:pt>
                <c:pt idx="36">
                  <c:v>Apr-14</c:v>
                </c:pt>
                <c:pt idx="37">
                  <c:v>May-14</c:v>
                </c:pt>
                <c:pt idx="38">
                  <c:v>Jun-14</c:v>
                </c:pt>
                <c:pt idx="39">
                  <c:v>Jul-14</c:v>
                </c:pt>
                <c:pt idx="40">
                  <c:v>Aug-14</c:v>
                </c:pt>
                <c:pt idx="41">
                  <c:v>Sep-14</c:v>
                </c:pt>
                <c:pt idx="42">
                  <c:v>Oct-14</c:v>
                </c:pt>
                <c:pt idx="43">
                  <c:v>Nov-14</c:v>
                </c:pt>
                <c:pt idx="44">
                  <c:v>12/31/14</c:v>
                </c:pt>
                <c:pt idx="45">
                  <c:v>01/31/15</c:v>
                </c:pt>
                <c:pt idx="46">
                  <c:v>02/28/15</c:v>
                </c:pt>
                <c:pt idx="47">
                  <c:v>03/31/15</c:v>
                </c:pt>
                <c:pt idx="48">
                  <c:v>04/30/15</c:v>
                </c:pt>
                <c:pt idx="49">
                  <c:v>05/31/15</c:v>
                </c:pt>
                <c:pt idx="50">
                  <c:v>06/30/15</c:v>
                </c:pt>
                <c:pt idx="51">
                  <c:v>07/31/15</c:v>
                </c:pt>
                <c:pt idx="52">
                  <c:v>08/31/15</c:v>
                </c:pt>
                <c:pt idx="53">
                  <c:v>09/30/15</c:v>
                </c:pt>
                <c:pt idx="54">
                  <c:v>10/31/15</c:v>
                </c:pt>
                <c:pt idx="55">
                  <c:v>11/30/15</c:v>
                </c:pt>
                <c:pt idx="56">
                  <c:v>12/31/15</c:v>
                </c:pt>
                <c:pt idx="57">
                  <c:v>01/31/16</c:v>
                </c:pt>
                <c:pt idx="58">
                  <c:v>02/29/16</c:v>
                </c:pt>
                <c:pt idx="59">
                  <c:v>03/31/16</c:v>
                </c:pt>
                <c:pt idx="60">
                  <c:v>04/30/16</c:v>
                </c:pt>
                <c:pt idx="61">
                  <c:v>05/31/16</c:v>
                </c:pt>
                <c:pt idx="62">
                  <c:v>06/30/16</c:v>
                </c:pt>
                <c:pt idx="63">
                  <c:v>07/31/16</c:v>
                </c:pt>
                <c:pt idx="64">
                  <c:v>08/31/16</c:v>
                </c:pt>
                <c:pt idx="65">
                  <c:v>09/30/16</c:v>
                </c:pt>
                <c:pt idx="66">
                  <c:v>10/31/16</c:v>
                </c:pt>
                <c:pt idx="67">
                  <c:v>11/30/16</c:v>
                </c:pt>
                <c:pt idx="68">
                  <c:v>12/31/16</c:v>
                </c:pt>
                <c:pt idx="69">
                  <c:v>01/31/17</c:v>
                </c:pt>
                <c:pt idx="70">
                  <c:v>02/28/17</c:v>
                </c:pt>
                <c:pt idx="71">
                  <c:v>03/31/17</c:v>
                </c:pt>
                <c:pt idx="72">
                  <c:v>04/30/17</c:v>
                </c:pt>
                <c:pt idx="73">
                  <c:v>05/31/17</c:v>
                </c:pt>
                <c:pt idx="74">
                  <c:v>06/30/17</c:v>
                </c:pt>
                <c:pt idx="75">
                  <c:v>07/31/17</c:v>
                </c:pt>
                <c:pt idx="76">
                  <c:v>08/31/17</c:v>
                </c:pt>
                <c:pt idx="77">
                  <c:v>09/30/17</c:v>
                </c:pt>
                <c:pt idx="78">
                  <c:v>10/31/17</c:v>
                </c:pt>
                <c:pt idx="79">
                  <c:v>11/30/17</c:v>
                </c:pt>
                <c:pt idx="80">
                  <c:v>12/31/17</c:v>
                </c:pt>
                <c:pt idx="81">
                  <c:v>01/31/18</c:v>
                </c:pt>
                <c:pt idx="82">
                  <c:v>02/28/18</c:v>
                </c:pt>
                <c:pt idx="83">
                  <c:v>03/31/18</c:v>
                </c:pt>
                <c:pt idx="84">
                  <c:v>04/30/18</c:v>
                </c:pt>
                <c:pt idx="85">
                  <c:v>05/31/18</c:v>
                </c:pt>
                <c:pt idx="86">
                  <c:v>06/30/18</c:v>
                </c:pt>
                <c:pt idx="87">
                  <c:v>07/31/18</c:v>
                </c:pt>
                <c:pt idx="88">
                  <c:v>08/31/18</c:v>
                </c:pt>
                <c:pt idx="89">
                  <c:v>09/30/18</c:v>
                </c:pt>
                <c:pt idx="90">
                  <c:v>10/31/18</c:v>
                </c:pt>
                <c:pt idx="91">
                  <c:v>11/30/18</c:v>
                </c:pt>
                <c:pt idx="92">
                  <c:v>12/31/18</c:v>
                </c:pt>
                <c:pt idx="93">
                  <c:v>01/31/19</c:v>
                </c:pt>
                <c:pt idx="94">
                  <c:v>02/28/19</c:v>
                </c:pt>
                <c:pt idx="95">
                  <c:v>03/31/19</c:v>
                </c:pt>
                <c:pt idx="96">
                  <c:v>04/30/19</c:v>
                </c:pt>
                <c:pt idx="97">
                  <c:v>05/31/19</c:v>
                </c:pt>
              </c:strCache>
            </c:strRef>
          </c:cat>
          <c:val>
            <c:numRef>
              <c:f>Graphs!$B$19:$CU$19</c:f>
              <c:numCache>
                <c:formatCode>General</c:formatCode>
                <c:ptCount val="98"/>
                <c:pt idx="0">
                  <c:v>1000</c:v>
                </c:pt>
                <c:pt idx="1">
                  <c:v>1000</c:v>
                </c:pt>
                <c:pt idx="2">
                  <c:v>1000</c:v>
                </c:pt>
                <c:pt idx="3">
                  <c:v>1000</c:v>
                </c:pt>
                <c:pt idx="4">
                  <c:v>1000</c:v>
                </c:pt>
                <c:pt idx="5">
                  <c:v>1000</c:v>
                </c:pt>
                <c:pt idx="6">
                  <c:v>1000</c:v>
                </c:pt>
                <c:pt idx="7">
                  <c:v>1000</c:v>
                </c:pt>
                <c:pt idx="8">
                  <c:v>1000</c:v>
                </c:pt>
                <c:pt idx="9">
                  <c:v>1000</c:v>
                </c:pt>
                <c:pt idx="10">
                  <c:v>1000</c:v>
                </c:pt>
                <c:pt idx="11">
                  <c:v>1000</c:v>
                </c:pt>
                <c:pt idx="12">
                  <c:v>1000</c:v>
                </c:pt>
                <c:pt idx="13">
                  <c:v>1023.1077691270353</c:v>
                </c:pt>
                <c:pt idx="14">
                  <c:v>1056.6493299534172</c:v>
                </c:pt>
                <c:pt idx="15">
                  <c:v>1093.6676389976083</c:v>
                </c:pt>
                <c:pt idx="16">
                  <c:v>1112.7612585947879</c:v>
                </c:pt>
                <c:pt idx="17">
                  <c:v>1132.8984279727015</c:v>
                </c:pt>
                <c:pt idx="18">
                  <c:v>1164.6067727843697</c:v>
                </c:pt>
                <c:pt idx="19">
                  <c:v>1181.7150663220482</c:v>
                </c:pt>
                <c:pt idx="20">
                  <c:v>1221.4243487705992</c:v>
                </c:pt>
                <c:pt idx="21">
                  <c:v>1261.6874981559488</c:v>
                </c:pt>
                <c:pt idx="22">
                  <c:v>1299.2152833268499</c:v>
                </c:pt>
                <c:pt idx="23">
                  <c:v>1340.2029531395733</c:v>
                </c:pt>
                <c:pt idx="24">
                  <c:v>1366.3176927607101</c:v>
                </c:pt>
                <c:pt idx="25">
                  <c:v>1393.7769116664201</c:v>
                </c:pt>
                <c:pt idx="26">
                  <c:v>1433.4419200676473</c:v>
                </c:pt>
                <c:pt idx="27">
                  <c:v>1456.1453528747693</c:v>
                </c:pt>
                <c:pt idx="28">
                  <c:v>1485.2811721064247</c:v>
                </c:pt>
                <c:pt idx="29">
                  <c:v>1520.9300831510745</c:v>
                </c:pt>
                <c:pt idx="30">
                  <c:v>1557.0475506323294</c:v>
                </c:pt>
                <c:pt idx="31">
                  <c:v>1595.577718696177</c:v>
                </c:pt>
                <c:pt idx="32">
                  <c:v>1652.8354820438581</c:v>
                </c:pt>
                <c:pt idx="33">
                  <c:v>1725.8530563361774</c:v>
                </c:pt>
                <c:pt idx="34">
                  <c:v>1761.3319117186904</c:v>
                </c:pt>
                <c:pt idx="35">
                  <c:v>1805.9202413473718</c:v>
                </c:pt>
                <c:pt idx="36">
                  <c:v>1880.9330657442763</c:v>
                </c:pt>
                <c:pt idx="37">
                  <c:v>1914.3566279171368</c:v>
                </c:pt>
                <c:pt idx="38">
                  <c:v>1942.57759419076</c:v>
                </c:pt>
                <c:pt idx="39">
                  <c:v>1987.4907050844711</c:v>
                </c:pt>
                <c:pt idx="40">
                  <c:v>2035.3797578078556</c:v>
                </c:pt>
                <c:pt idx="41">
                  <c:v>2121.9788673889343</c:v>
                </c:pt>
                <c:pt idx="42">
                  <c:v>2206.3061009302028</c:v>
                </c:pt>
                <c:pt idx="43">
                  <c:v>2265.1374898959471</c:v>
                </c:pt>
                <c:pt idx="44">
                  <c:v>2313.3301056847072</c:v>
                </c:pt>
                <c:pt idx="45">
                  <c:v>2334.4562618586156</c:v>
                </c:pt>
                <c:pt idx="46">
                  <c:v>2384.1236900854938</c:v>
                </c:pt>
                <c:pt idx="47">
                  <c:v>2420.155105465622</c:v>
                </c:pt>
                <c:pt idx="48">
                  <c:v>2420.155105465622</c:v>
                </c:pt>
                <c:pt idx="49">
                  <c:v>2420.155105465622</c:v>
                </c:pt>
                <c:pt idx="50">
                  <c:v>2443.881927185203</c:v>
                </c:pt>
                <c:pt idx="51">
                  <c:v>2457.1278673507768</c:v>
                </c:pt>
                <c:pt idx="52">
                  <c:v>2486.2059662794913</c:v>
                </c:pt>
                <c:pt idx="53">
                  <c:v>2486.2059662794913</c:v>
                </c:pt>
                <c:pt idx="54">
                  <c:v>2499.3257563163688</c:v>
                </c:pt>
                <c:pt idx="55">
                  <c:v>2517.9080186642836</c:v>
                </c:pt>
                <c:pt idx="56">
                  <c:v>2534.7501501822203</c:v>
                </c:pt>
                <c:pt idx="57">
                  <c:v>2564.746845350568</c:v>
                </c:pt>
                <c:pt idx="58">
                  <c:v>2564.746845350568</c:v>
                </c:pt>
                <c:pt idx="59">
                  <c:v>2564.746845350568</c:v>
                </c:pt>
                <c:pt idx="60">
                  <c:v>2609.0929576399953</c:v>
                </c:pt>
                <c:pt idx="61">
                  <c:v>2625.9802319342775</c:v>
                </c:pt>
                <c:pt idx="62">
                  <c:v>2680.8767946526777</c:v>
                </c:pt>
                <c:pt idx="63">
                  <c:v>2736.9209793377809</c:v>
                </c:pt>
                <c:pt idx="64">
                  <c:v>2736.9209793377809</c:v>
                </c:pt>
                <c:pt idx="65">
                  <c:v>2753.5587457598513</c:v>
                </c:pt>
                <c:pt idx="66">
                  <c:v>2788.1942510076815</c:v>
                </c:pt>
                <c:pt idx="67">
                  <c:v>2788.1942510076815</c:v>
                </c:pt>
                <c:pt idx="68">
                  <c:v>2788.1942510076815</c:v>
                </c:pt>
                <c:pt idx="69">
                  <c:v>2806.240752940329</c:v>
                </c:pt>
                <c:pt idx="70">
                  <c:v>2806.240752940329</c:v>
                </c:pt>
                <c:pt idx="71">
                  <c:v>2787.5947038105496</c:v>
                </c:pt>
                <c:pt idx="72">
                  <c:v>2805.6373251923183</c:v>
                </c:pt>
                <c:pt idx="73">
                  <c:v>2842.0736647564909</c:v>
                </c:pt>
                <c:pt idx="74">
                  <c:v>2861.0841202976289</c:v>
                </c:pt>
                <c:pt idx="75">
                  <c:v>2883.1773246065181</c:v>
                </c:pt>
                <c:pt idx="76">
                  <c:v>2917.2973704486285</c:v>
                </c:pt>
                <c:pt idx="77">
                  <c:v>2917.2973704486285</c:v>
                </c:pt>
                <c:pt idx="78">
                  <c:v>2896.5337760630287</c:v>
                </c:pt>
                <c:pt idx="79">
                  <c:v>2936.7627696184063</c:v>
                </c:pt>
                <c:pt idx="80">
                  <c:v>2936.7627696184063</c:v>
                </c:pt>
                <c:pt idx="81">
                  <c:v>2915.8606320534209</c:v>
                </c:pt>
                <c:pt idx="82">
                  <c:v>2939.2810739686188</c:v>
                </c:pt>
                <c:pt idx="83">
                  <c:v>2939.2810739686188</c:v>
                </c:pt>
                <c:pt idx="84">
                  <c:v>2939.2810739686188</c:v>
                </c:pt>
                <c:pt idx="85">
                  <c:v>2939.2810739686188</c:v>
                </c:pt>
                <c:pt idx="86">
                  <c:v>2939.2810739686188</c:v>
                </c:pt>
                <c:pt idx="87">
                  <c:v>2986.6878137307476</c:v>
                </c:pt>
                <c:pt idx="88">
                  <c:v>2986.6878137307476</c:v>
                </c:pt>
                <c:pt idx="89">
                  <c:v>2986.6878137307476</c:v>
                </c:pt>
                <c:pt idx="90">
                  <c:v>2986.6878137307476</c:v>
                </c:pt>
                <c:pt idx="91">
                  <c:v>3011.6808719521737</c:v>
                </c:pt>
                <c:pt idx="92">
                  <c:v>3011.6808719521737</c:v>
                </c:pt>
                <c:pt idx="93">
                  <c:v>3035.8709502272786</c:v>
                </c:pt>
                <c:pt idx="94">
                  <c:v>3007.0951387361301</c:v>
                </c:pt>
                <c:pt idx="95">
                  <c:v>3007.0951387361301</c:v>
                </c:pt>
                <c:pt idx="96">
                  <c:v>3007.0951387361301</c:v>
                </c:pt>
                <c:pt idx="97">
                  <c:v>3007.0951387361301</c:v>
                </c:pt>
              </c:numCache>
            </c:numRef>
          </c:val>
          <c:smooth val="0"/>
          <c:extLst>
            <c:ext xmlns:c16="http://schemas.microsoft.com/office/drawing/2014/chart" uri="{C3380CC4-5D6E-409C-BE32-E72D297353CC}">
              <c16:uniqueId val="{00000003-86E4-EB48-9BA9-F3ECAFA58C6B}"/>
            </c:ext>
          </c:extLst>
        </c:ser>
        <c:ser>
          <c:idx val="4"/>
          <c:order val="4"/>
          <c:tx>
            <c:strRef>
              <c:f>Graphs!$A$20</c:f>
              <c:strCache>
                <c:ptCount val="1"/>
                <c:pt idx="0">
                  <c:v>Nation states</c:v>
                </c:pt>
              </c:strCache>
            </c:strRef>
          </c:tx>
          <c:spPr>
            <a:ln w="28575" cap="rnd">
              <a:solidFill>
                <a:schemeClr val="accent5"/>
              </a:solidFill>
              <a:round/>
            </a:ln>
            <a:effectLst/>
          </c:spPr>
          <c:marker>
            <c:symbol val="none"/>
          </c:marker>
          <c:cat>
            <c:strRef>
              <c:f>Graphs!$B$15:$CU$15</c:f>
              <c:strCache>
                <c:ptCount val="98"/>
                <c:pt idx="0">
                  <c:v>Apr-11</c:v>
                </c:pt>
                <c:pt idx="1">
                  <c:v>May-11</c:v>
                </c:pt>
                <c:pt idx="2">
                  <c:v>Jun-11</c:v>
                </c:pt>
                <c:pt idx="3">
                  <c:v>Jul-11</c:v>
                </c:pt>
                <c:pt idx="4">
                  <c:v>Aug-11</c:v>
                </c:pt>
                <c:pt idx="5">
                  <c:v>Sep-11</c:v>
                </c:pt>
                <c:pt idx="6">
                  <c:v>Oct-11</c:v>
                </c:pt>
                <c:pt idx="7">
                  <c:v>Nov-11</c:v>
                </c:pt>
                <c:pt idx="8">
                  <c:v>Dec-11</c:v>
                </c:pt>
                <c:pt idx="9">
                  <c:v>Jan-12</c:v>
                </c:pt>
                <c:pt idx="10">
                  <c:v>Feb-12</c:v>
                </c:pt>
                <c:pt idx="11">
                  <c:v>Mar-12</c:v>
                </c:pt>
                <c:pt idx="12">
                  <c:v>Apr-12</c:v>
                </c:pt>
                <c:pt idx="13">
                  <c:v>May-12</c:v>
                </c:pt>
                <c:pt idx="14">
                  <c:v>Jun-12</c:v>
                </c:pt>
                <c:pt idx="15">
                  <c:v>Jul-12</c:v>
                </c:pt>
                <c:pt idx="16">
                  <c:v>Aug-12</c:v>
                </c:pt>
                <c:pt idx="17">
                  <c:v>Sep-12</c:v>
                </c:pt>
                <c:pt idx="18">
                  <c:v>Oct-12</c:v>
                </c:pt>
                <c:pt idx="19">
                  <c:v>Nov-12</c:v>
                </c:pt>
                <c:pt idx="20">
                  <c:v>Dec-12</c:v>
                </c:pt>
                <c:pt idx="21">
                  <c:v>Jan-13</c:v>
                </c:pt>
                <c:pt idx="22">
                  <c:v>Feb-13</c:v>
                </c:pt>
                <c:pt idx="23">
                  <c:v>Mar-13</c:v>
                </c:pt>
                <c:pt idx="24">
                  <c:v>Apr-13</c:v>
                </c:pt>
                <c:pt idx="25">
                  <c:v>May-13</c:v>
                </c:pt>
                <c:pt idx="26">
                  <c:v>Jun-13</c:v>
                </c:pt>
                <c:pt idx="27">
                  <c:v>Jul-13</c:v>
                </c:pt>
                <c:pt idx="28">
                  <c:v>Aug-13</c:v>
                </c:pt>
                <c:pt idx="29">
                  <c:v>Sep-13</c:v>
                </c:pt>
                <c:pt idx="30">
                  <c:v>Oct-13</c:v>
                </c:pt>
                <c:pt idx="31">
                  <c:v>Nov-13</c:v>
                </c:pt>
                <c:pt idx="32">
                  <c:v>Dec-13</c:v>
                </c:pt>
                <c:pt idx="33">
                  <c:v>Jan-14</c:v>
                </c:pt>
                <c:pt idx="34">
                  <c:v>Feb-14</c:v>
                </c:pt>
                <c:pt idx="35">
                  <c:v>Mar-14</c:v>
                </c:pt>
                <c:pt idx="36">
                  <c:v>Apr-14</c:v>
                </c:pt>
                <c:pt idx="37">
                  <c:v>May-14</c:v>
                </c:pt>
                <c:pt idx="38">
                  <c:v>Jun-14</c:v>
                </c:pt>
                <c:pt idx="39">
                  <c:v>Jul-14</c:v>
                </c:pt>
                <c:pt idx="40">
                  <c:v>Aug-14</c:v>
                </c:pt>
                <c:pt idx="41">
                  <c:v>Sep-14</c:v>
                </c:pt>
                <c:pt idx="42">
                  <c:v>Oct-14</c:v>
                </c:pt>
                <c:pt idx="43">
                  <c:v>Nov-14</c:v>
                </c:pt>
                <c:pt idx="44">
                  <c:v>12/31/14</c:v>
                </c:pt>
                <c:pt idx="45">
                  <c:v>01/31/15</c:v>
                </c:pt>
                <c:pt idx="46">
                  <c:v>02/28/15</c:v>
                </c:pt>
                <c:pt idx="47">
                  <c:v>03/31/15</c:v>
                </c:pt>
                <c:pt idx="48">
                  <c:v>04/30/15</c:v>
                </c:pt>
                <c:pt idx="49">
                  <c:v>05/31/15</c:v>
                </c:pt>
                <c:pt idx="50">
                  <c:v>06/30/15</c:v>
                </c:pt>
                <c:pt idx="51">
                  <c:v>07/31/15</c:v>
                </c:pt>
                <c:pt idx="52">
                  <c:v>08/31/15</c:v>
                </c:pt>
                <c:pt idx="53">
                  <c:v>09/30/15</c:v>
                </c:pt>
                <c:pt idx="54">
                  <c:v>10/31/15</c:v>
                </c:pt>
                <c:pt idx="55">
                  <c:v>11/30/15</c:v>
                </c:pt>
                <c:pt idx="56">
                  <c:v>12/31/15</c:v>
                </c:pt>
                <c:pt idx="57">
                  <c:v>01/31/16</c:v>
                </c:pt>
                <c:pt idx="58">
                  <c:v>02/29/16</c:v>
                </c:pt>
                <c:pt idx="59">
                  <c:v>03/31/16</c:v>
                </c:pt>
                <c:pt idx="60">
                  <c:v>04/30/16</c:v>
                </c:pt>
                <c:pt idx="61">
                  <c:v>05/31/16</c:v>
                </c:pt>
                <c:pt idx="62">
                  <c:v>06/30/16</c:v>
                </c:pt>
                <c:pt idx="63">
                  <c:v>07/31/16</c:v>
                </c:pt>
                <c:pt idx="64">
                  <c:v>08/31/16</c:v>
                </c:pt>
                <c:pt idx="65">
                  <c:v>09/30/16</c:v>
                </c:pt>
                <c:pt idx="66">
                  <c:v>10/31/16</c:v>
                </c:pt>
                <c:pt idx="67">
                  <c:v>11/30/16</c:v>
                </c:pt>
                <c:pt idx="68">
                  <c:v>12/31/16</c:v>
                </c:pt>
                <c:pt idx="69">
                  <c:v>01/31/17</c:v>
                </c:pt>
                <c:pt idx="70">
                  <c:v>02/28/17</c:v>
                </c:pt>
                <c:pt idx="71">
                  <c:v>03/31/17</c:v>
                </c:pt>
                <c:pt idx="72">
                  <c:v>04/30/17</c:v>
                </c:pt>
                <c:pt idx="73">
                  <c:v>05/31/17</c:v>
                </c:pt>
                <c:pt idx="74">
                  <c:v>06/30/17</c:v>
                </c:pt>
                <c:pt idx="75">
                  <c:v>07/31/17</c:v>
                </c:pt>
                <c:pt idx="76">
                  <c:v>08/31/17</c:v>
                </c:pt>
                <c:pt idx="77">
                  <c:v>09/30/17</c:v>
                </c:pt>
                <c:pt idx="78">
                  <c:v>10/31/17</c:v>
                </c:pt>
                <c:pt idx="79">
                  <c:v>11/30/17</c:v>
                </c:pt>
                <c:pt idx="80">
                  <c:v>12/31/17</c:v>
                </c:pt>
                <c:pt idx="81">
                  <c:v>01/31/18</c:v>
                </c:pt>
                <c:pt idx="82">
                  <c:v>02/28/18</c:v>
                </c:pt>
                <c:pt idx="83">
                  <c:v>03/31/18</c:v>
                </c:pt>
                <c:pt idx="84">
                  <c:v>04/30/18</c:v>
                </c:pt>
                <c:pt idx="85">
                  <c:v>05/31/18</c:v>
                </c:pt>
                <c:pt idx="86">
                  <c:v>06/30/18</c:v>
                </c:pt>
                <c:pt idx="87">
                  <c:v>07/31/18</c:v>
                </c:pt>
                <c:pt idx="88">
                  <c:v>08/31/18</c:v>
                </c:pt>
                <c:pt idx="89">
                  <c:v>09/30/18</c:v>
                </c:pt>
                <c:pt idx="90">
                  <c:v>10/31/18</c:v>
                </c:pt>
                <c:pt idx="91">
                  <c:v>11/30/18</c:v>
                </c:pt>
                <c:pt idx="92">
                  <c:v>12/31/18</c:v>
                </c:pt>
                <c:pt idx="93">
                  <c:v>01/31/19</c:v>
                </c:pt>
                <c:pt idx="94">
                  <c:v>02/28/19</c:v>
                </c:pt>
                <c:pt idx="95">
                  <c:v>03/31/19</c:v>
                </c:pt>
                <c:pt idx="96">
                  <c:v>04/30/19</c:v>
                </c:pt>
                <c:pt idx="97">
                  <c:v>05/31/19</c:v>
                </c:pt>
              </c:strCache>
            </c:strRef>
          </c:cat>
          <c:val>
            <c:numRef>
              <c:f>Graphs!$B$20:$CU$20</c:f>
              <c:numCache>
                <c:formatCode>General</c:formatCode>
                <c:ptCount val="98"/>
                <c:pt idx="0">
                  <c:v>1046.1015264363746</c:v>
                </c:pt>
                <c:pt idx="1">
                  <c:v>1074.8845706534476</c:v>
                </c:pt>
                <c:pt idx="2">
                  <c:v>1107.5357719031097</c:v>
                </c:pt>
                <c:pt idx="3">
                  <c:v>1130.7716027225174</c:v>
                </c:pt>
                <c:pt idx="4">
                  <c:v>1160.8235872029941</c:v>
                </c:pt>
                <c:pt idx="5">
                  <c:v>1194.003039181435</c:v>
                </c:pt>
                <c:pt idx="6">
                  <c:v>1232.0196860586145</c:v>
                </c:pt>
                <c:pt idx="7">
                  <c:v>1245.8469231622257</c:v>
                </c:pt>
                <c:pt idx="8">
                  <c:v>1279.229400661902</c:v>
                </c:pt>
                <c:pt idx="9">
                  <c:v>1321.8664975935235</c:v>
                </c:pt>
                <c:pt idx="10">
                  <c:v>1351.2465135101652</c:v>
                </c:pt>
                <c:pt idx="11">
                  <c:v>1377.2908518959659</c:v>
                </c:pt>
                <c:pt idx="12">
                  <c:v>1415.9064603495915</c:v>
                </c:pt>
                <c:pt idx="13">
                  <c:v>1461.1670288568619</c:v>
                </c:pt>
                <c:pt idx="14">
                  <c:v>1514.5563352148338</c:v>
                </c:pt>
                <c:pt idx="15">
                  <c:v>1561.712421618774</c:v>
                </c:pt>
                <c:pt idx="16">
                  <c:v>1593.567531101379</c:v>
                </c:pt>
                <c:pt idx="17">
                  <c:v>1643.7060746661521</c:v>
                </c:pt>
                <c:pt idx="18">
                  <c:v>1729.7816049318762</c:v>
                </c:pt>
                <c:pt idx="19">
                  <c:v>1767.1168625469963</c:v>
                </c:pt>
                <c:pt idx="20">
                  <c:v>1818.003930587226</c:v>
                </c:pt>
                <c:pt idx="21">
                  <c:v>1872.2315276051791</c:v>
                </c:pt>
                <c:pt idx="22">
                  <c:v>1951.3283777866923</c:v>
                </c:pt>
                <c:pt idx="23">
                  <c:v>2026.6600609553759</c:v>
                </c:pt>
                <c:pt idx="24">
                  <c:v>2094.4351204005411</c:v>
                </c:pt>
                <c:pt idx="25">
                  <c:v>2132.1716783303937</c:v>
                </c:pt>
                <c:pt idx="26">
                  <c:v>2166.1629013656052</c:v>
                </c:pt>
                <c:pt idx="27">
                  <c:v>2219.4137144670922</c:v>
                </c:pt>
                <c:pt idx="28">
                  <c:v>2264.8897614094199</c:v>
                </c:pt>
                <c:pt idx="29">
                  <c:v>2313.3112355405369</c:v>
                </c:pt>
                <c:pt idx="30">
                  <c:v>2362.2116045635075</c:v>
                </c:pt>
                <c:pt idx="31">
                  <c:v>2395.2489943112951</c:v>
                </c:pt>
                <c:pt idx="32">
                  <c:v>2463.7690655595866</c:v>
                </c:pt>
                <c:pt idx="33">
                  <c:v>2519.5697459678127</c:v>
                </c:pt>
                <c:pt idx="34">
                  <c:v>2583.3529577566924</c:v>
                </c:pt>
                <c:pt idx="35">
                  <c:v>2661.7031503840808</c:v>
                </c:pt>
                <c:pt idx="36">
                  <c:v>2706.9611669663841</c:v>
                </c:pt>
                <c:pt idx="37">
                  <c:v>2767.614495018066</c:v>
                </c:pt>
                <c:pt idx="38">
                  <c:v>2772.6818378118851</c:v>
                </c:pt>
                <c:pt idx="39">
                  <c:v>2836.7872651714038</c:v>
                </c:pt>
                <c:pt idx="40">
                  <c:v>2913.7994470275657</c:v>
                </c:pt>
                <c:pt idx="41">
                  <c:v>2996.4674312806878</c:v>
                </c:pt>
                <c:pt idx="42">
                  <c:v>3043.0954832080238</c:v>
                </c:pt>
                <c:pt idx="43">
                  <c:v>3095.596171213143</c:v>
                </c:pt>
                <c:pt idx="44">
                  <c:v>3194.9117268975738</c:v>
                </c:pt>
                <c:pt idx="45">
                  <c:v>3238.7771074014008</c:v>
                </c:pt>
                <c:pt idx="46">
                  <c:v>3290.3215522721471</c:v>
                </c:pt>
                <c:pt idx="47">
                  <c:v>3306.814357687048</c:v>
                </c:pt>
                <c:pt idx="48">
                  <c:v>3306.814357687048</c:v>
                </c:pt>
                <c:pt idx="49">
                  <c:v>3306.814357687048</c:v>
                </c:pt>
                <c:pt idx="50">
                  <c:v>3355.5625873013778</c:v>
                </c:pt>
                <c:pt idx="51">
                  <c:v>3392.0357365260779</c:v>
                </c:pt>
                <c:pt idx="52">
                  <c:v>3412.0476888962917</c:v>
                </c:pt>
                <c:pt idx="53">
                  <c:v>3412.0476888962917</c:v>
                </c:pt>
                <c:pt idx="54">
                  <c:v>3430.0531759240307</c:v>
                </c:pt>
                <c:pt idx="55">
                  <c:v>3455.5553129788896</c:v>
                </c:pt>
                <c:pt idx="56">
                  <c:v>3455.5553129788896</c:v>
                </c:pt>
                <c:pt idx="57">
                  <c:v>3455.5553129788896</c:v>
                </c:pt>
                <c:pt idx="58">
                  <c:v>3455.5553129788896</c:v>
                </c:pt>
                <c:pt idx="59">
                  <c:v>3455.5553129788896</c:v>
                </c:pt>
                <c:pt idx="60">
                  <c:v>3475.3578681834497</c:v>
                </c:pt>
                <c:pt idx="61">
                  <c:v>3475.3578681834497</c:v>
                </c:pt>
                <c:pt idx="62">
                  <c:v>3475.3578681834497</c:v>
                </c:pt>
                <c:pt idx="63">
                  <c:v>3523.6259569028612</c:v>
                </c:pt>
                <c:pt idx="64">
                  <c:v>3588.2778468117349</c:v>
                </c:pt>
                <c:pt idx="65">
                  <c:v>3588.2778468117349</c:v>
                </c:pt>
                <c:pt idx="66">
                  <c:v>3633.4128258221881</c:v>
                </c:pt>
                <c:pt idx="67">
                  <c:v>3633.4128258221881</c:v>
                </c:pt>
                <c:pt idx="68">
                  <c:v>3657.7165002288161</c:v>
                </c:pt>
                <c:pt idx="69">
                  <c:v>3681.3909583002364</c:v>
                </c:pt>
                <c:pt idx="70">
                  <c:v>3705.2186485767606</c:v>
                </c:pt>
                <c:pt idx="71">
                  <c:v>3730.0026277052539</c:v>
                </c:pt>
                <c:pt idx="72">
                  <c:v>3730.0026277052539</c:v>
                </c:pt>
                <c:pt idx="73">
                  <c:v>3754.1449555238178</c:v>
                </c:pt>
                <c:pt idx="74">
                  <c:v>3779.2561997033695</c:v>
                </c:pt>
                <c:pt idx="75">
                  <c:v>3779.2561997033695</c:v>
                </c:pt>
                <c:pt idx="76">
                  <c:v>3779.2561997033695</c:v>
                </c:pt>
                <c:pt idx="77">
                  <c:v>3779.2561997033695</c:v>
                </c:pt>
                <c:pt idx="78">
                  <c:v>3779.2561997033695</c:v>
                </c:pt>
                <c:pt idx="79">
                  <c:v>3779.2561997033695</c:v>
                </c:pt>
                <c:pt idx="80">
                  <c:v>3808.4395008035822</c:v>
                </c:pt>
                <c:pt idx="81">
                  <c:v>3808.4395008035822</c:v>
                </c:pt>
                <c:pt idx="82">
                  <c:v>3839.029212511889</c:v>
                </c:pt>
                <c:pt idx="83">
                  <c:v>3839.029212511889</c:v>
                </c:pt>
                <c:pt idx="84">
                  <c:v>3874.0885974653897</c:v>
                </c:pt>
                <c:pt idx="85">
                  <c:v>3900.8987925471856</c:v>
                </c:pt>
                <c:pt idx="86">
                  <c:v>3933.5421073890666</c:v>
                </c:pt>
                <c:pt idx="87">
                  <c:v>3965.1366539302758</c:v>
                </c:pt>
                <c:pt idx="88">
                  <c:v>3965.1366539302758</c:v>
                </c:pt>
                <c:pt idx="89">
                  <c:v>4069.9360063135841</c:v>
                </c:pt>
                <c:pt idx="90">
                  <c:v>4115.4096811867203</c:v>
                </c:pt>
                <c:pt idx="91">
                  <c:v>4115.4096811867203</c:v>
                </c:pt>
                <c:pt idx="92">
                  <c:v>4115.4096811867203</c:v>
                </c:pt>
                <c:pt idx="93">
                  <c:v>4148.4650036311268</c:v>
                </c:pt>
                <c:pt idx="94">
                  <c:v>4148.4650036311268</c:v>
                </c:pt>
                <c:pt idx="95">
                  <c:v>4148.4650036311268</c:v>
                </c:pt>
                <c:pt idx="96">
                  <c:v>4194.8160883914434</c:v>
                </c:pt>
                <c:pt idx="97">
                  <c:v>4194.8160883914434</c:v>
                </c:pt>
              </c:numCache>
            </c:numRef>
          </c:val>
          <c:smooth val="0"/>
          <c:extLst>
            <c:ext xmlns:c16="http://schemas.microsoft.com/office/drawing/2014/chart" uri="{C3380CC4-5D6E-409C-BE32-E72D297353CC}">
              <c16:uniqueId val="{00000004-86E4-EB48-9BA9-F3ECAFA58C6B}"/>
            </c:ext>
          </c:extLst>
        </c:ser>
        <c:ser>
          <c:idx val="5"/>
          <c:order val="5"/>
          <c:tx>
            <c:strRef>
              <c:f>Graphs!$A$21</c:f>
              <c:strCache>
                <c:ptCount val="1"/>
                <c:pt idx="0">
                  <c:v>Insider threat</c:v>
                </c:pt>
              </c:strCache>
            </c:strRef>
          </c:tx>
          <c:spPr>
            <a:ln w="28575" cap="rnd">
              <a:solidFill>
                <a:schemeClr val="accent6"/>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Graphs!$B$15:$CU$15</c:f>
              <c:strCache>
                <c:ptCount val="98"/>
                <c:pt idx="0">
                  <c:v>Apr-11</c:v>
                </c:pt>
                <c:pt idx="1">
                  <c:v>May-11</c:v>
                </c:pt>
                <c:pt idx="2">
                  <c:v>Jun-11</c:v>
                </c:pt>
                <c:pt idx="3">
                  <c:v>Jul-11</c:v>
                </c:pt>
                <c:pt idx="4">
                  <c:v>Aug-11</c:v>
                </c:pt>
                <c:pt idx="5">
                  <c:v>Sep-11</c:v>
                </c:pt>
                <c:pt idx="6">
                  <c:v>Oct-11</c:v>
                </c:pt>
                <c:pt idx="7">
                  <c:v>Nov-11</c:v>
                </c:pt>
                <c:pt idx="8">
                  <c:v>Dec-11</c:v>
                </c:pt>
                <c:pt idx="9">
                  <c:v>Jan-12</c:v>
                </c:pt>
                <c:pt idx="10">
                  <c:v>Feb-12</c:v>
                </c:pt>
                <c:pt idx="11">
                  <c:v>Mar-12</c:v>
                </c:pt>
                <c:pt idx="12">
                  <c:v>Apr-12</c:v>
                </c:pt>
                <c:pt idx="13">
                  <c:v>May-12</c:v>
                </c:pt>
                <c:pt idx="14">
                  <c:v>Jun-12</c:v>
                </c:pt>
                <c:pt idx="15">
                  <c:v>Jul-12</c:v>
                </c:pt>
                <c:pt idx="16">
                  <c:v>Aug-12</c:v>
                </c:pt>
                <c:pt idx="17">
                  <c:v>Sep-12</c:v>
                </c:pt>
                <c:pt idx="18">
                  <c:v>Oct-12</c:v>
                </c:pt>
                <c:pt idx="19">
                  <c:v>Nov-12</c:v>
                </c:pt>
                <c:pt idx="20">
                  <c:v>Dec-12</c:v>
                </c:pt>
                <c:pt idx="21">
                  <c:v>Jan-13</c:v>
                </c:pt>
                <c:pt idx="22">
                  <c:v>Feb-13</c:v>
                </c:pt>
                <c:pt idx="23">
                  <c:v>Mar-13</c:v>
                </c:pt>
                <c:pt idx="24">
                  <c:v>Apr-13</c:v>
                </c:pt>
                <c:pt idx="25">
                  <c:v>May-13</c:v>
                </c:pt>
                <c:pt idx="26">
                  <c:v>Jun-13</c:v>
                </c:pt>
                <c:pt idx="27">
                  <c:v>Jul-13</c:v>
                </c:pt>
                <c:pt idx="28">
                  <c:v>Aug-13</c:v>
                </c:pt>
                <c:pt idx="29">
                  <c:v>Sep-13</c:v>
                </c:pt>
                <c:pt idx="30">
                  <c:v>Oct-13</c:v>
                </c:pt>
                <c:pt idx="31">
                  <c:v>Nov-13</c:v>
                </c:pt>
                <c:pt idx="32">
                  <c:v>Dec-13</c:v>
                </c:pt>
                <c:pt idx="33">
                  <c:v>Jan-14</c:v>
                </c:pt>
                <c:pt idx="34">
                  <c:v>Feb-14</c:v>
                </c:pt>
                <c:pt idx="35">
                  <c:v>Mar-14</c:v>
                </c:pt>
                <c:pt idx="36">
                  <c:v>Apr-14</c:v>
                </c:pt>
                <c:pt idx="37">
                  <c:v>May-14</c:v>
                </c:pt>
                <c:pt idx="38">
                  <c:v>Jun-14</c:v>
                </c:pt>
                <c:pt idx="39">
                  <c:v>Jul-14</c:v>
                </c:pt>
                <c:pt idx="40">
                  <c:v>Aug-14</c:v>
                </c:pt>
                <c:pt idx="41">
                  <c:v>Sep-14</c:v>
                </c:pt>
                <c:pt idx="42">
                  <c:v>Oct-14</c:v>
                </c:pt>
                <c:pt idx="43">
                  <c:v>Nov-14</c:v>
                </c:pt>
                <c:pt idx="44">
                  <c:v>12/31/14</c:v>
                </c:pt>
                <c:pt idx="45">
                  <c:v>01/31/15</c:v>
                </c:pt>
                <c:pt idx="46">
                  <c:v>02/28/15</c:v>
                </c:pt>
                <c:pt idx="47">
                  <c:v>03/31/15</c:v>
                </c:pt>
                <c:pt idx="48">
                  <c:v>04/30/15</c:v>
                </c:pt>
                <c:pt idx="49">
                  <c:v>05/31/15</c:v>
                </c:pt>
                <c:pt idx="50">
                  <c:v>06/30/15</c:v>
                </c:pt>
                <c:pt idx="51">
                  <c:v>07/31/15</c:v>
                </c:pt>
                <c:pt idx="52">
                  <c:v>08/31/15</c:v>
                </c:pt>
                <c:pt idx="53">
                  <c:v>09/30/15</c:v>
                </c:pt>
                <c:pt idx="54">
                  <c:v>10/31/15</c:v>
                </c:pt>
                <c:pt idx="55">
                  <c:v>11/30/15</c:v>
                </c:pt>
                <c:pt idx="56">
                  <c:v>12/31/15</c:v>
                </c:pt>
                <c:pt idx="57">
                  <c:v>01/31/16</c:v>
                </c:pt>
                <c:pt idx="58">
                  <c:v>02/29/16</c:v>
                </c:pt>
                <c:pt idx="59">
                  <c:v>03/31/16</c:v>
                </c:pt>
                <c:pt idx="60">
                  <c:v>04/30/16</c:v>
                </c:pt>
                <c:pt idx="61">
                  <c:v>05/31/16</c:v>
                </c:pt>
                <c:pt idx="62">
                  <c:v>06/30/16</c:v>
                </c:pt>
                <c:pt idx="63">
                  <c:v>07/31/16</c:v>
                </c:pt>
                <c:pt idx="64">
                  <c:v>08/31/16</c:v>
                </c:pt>
                <c:pt idx="65">
                  <c:v>09/30/16</c:v>
                </c:pt>
                <c:pt idx="66">
                  <c:v>10/31/16</c:v>
                </c:pt>
                <c:pt idx="67">
                  <c:v>11/30/16</c:v>
                </c:pt>
                <c:pt idx="68">
                  <c:v>12/31/16</c:v>
                </c:pt>
                <c:pt idx="69">
                  <c:v>01/31/17</c:v>
                </c:pt>
                <c:pt idx="70">
                  <c:v>02/28/17</c:v>
                </c:pt>
                <c:pt idx="71">
                  <c:v>03/31/17</c:v>
                </c:pt>
                <c:pt idx="72">
                  <c:v>04/30/17</c:v>
                </c:pt>
                <c:pt idx="73">
                  <c:v>05/31/17</c:v>
                </c:pt>
                <c:pt idx="74">
                  <c:v>06/30/17</c:v>
                </c:pt>
                <c:pt idx="75">
                  <c:v>07/31/17</c:v>
                </c:pt>
                <c:pt idx="76">
                  <c:v>08/31/17</c:v>
                </c:pt>
                <c:pt idx="77">
                  <c:v>09/30/17</c:v>
                </c:pt>
                <c:pt idx="78">
                  <c:v>10/31/17</c:v>
                </c:pt>
                <c:pt idx="79">
                  <c:v>11/30/17</c:v>
                </c:pt>
                <c:pt idx="80">
                  <c:v>12/31/17</c:v>
                </c:pt>
                <c:pt idx="81">
                  <c:v>01/31/18</c:v>
                </c:pt>
                <c:pt idx="82">
                  <c:v>02/28/18</c:v>
                </c:pt>
                <c:pt idx="83">
                  <c:v>03/31/18</c:v>
                </c:pt>
                <c:pt idx="84">
                  <c:v>04/30/18</c:v>
                </c:pt>
                <c:pt idx="85">
                  <c:v>05/31/18</c:v>
                </c:pt>
                <c:pt idx="86">
                  <c:v>06/30/18</c:v>
                </c:pt>
                <c:pt idx="87">
                  <c:v>07/31/18</c:v>
                </c:pt>
                <c:pt idx="88">
                  <c:v>08/31/18</c:v>
                </c:pt>
                <c:pt idx="89">
                  <c:v>09/30/18</c:v>
                </c:pt>
                <c:pt idx="90">
                  <c:v>10/31/18</c:v>
                </c:pt>
                <c:pt idx="91">
                  <c:v>11/30/18</c:v>
                </c:pt>
                <c:pt idx="92">
                  <c:v>12/31/18</c:v>
                </c:pt>
                <c:pt idx="93">
                  <c:v>01/31/19</c:v>
                </c:pt>
                <c:pt idx="94">
                  <c:v>02/28/19</c:v>
                </c:pt>
                <c:pt idx="95">
                  <c:v>03/31/19</c:v>
                </c:pt>
                <c:pt idx="96">
                  <c:v>04/30/19</c:v>
                </c:pt>
                <c:pt idx="97">
                  <c:v>05/31/19</c:v>
                </c:pt>
              </c:strCache>
            </c:strRef>
          </c:cat>
          <c:val>
            <c:numRef>
              <c:f>Graphs!$B$21:$CU$21</c:f>
              <c:numCache>
                <c:formatCode>General</c:formatCode>
                <c:ptCount val="98"/>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numCache>
            </c:numRef>
          </c:val>
          <c:smooth val="0"/>
          <c:extLst>
            <c:ext xmlns:c16="http://schemas.microsoft.com/office/drawing/2014/chart" uri="{C3380CC4-5D6E-409C-BE32-E72D297353CC}">
              <c16:uniqueId val="{00000005-86E4-EB48-9BA9-F3ECAFA58C6B}"/>
            </c:ext>
          </c:extLst>
        </c:ser>
        <c:ser>
          <c:idx val="6"/>
          <c:order val="6"/>
          <c:tx>
            <c:strRef>
              <c:f>Graphs!$A$22</c:f>
              <c:strCache>
                <c:ptCount val="1"/>
                <c:pt idx="0">
                  <c:v>Strategic rivals</c:v>
                </c:pt>
              </c:strCache>
            </c:strRef>
          </c:tx>
          <c:spPr>
            <a:ln w="28575" cap="rnd">
              <a:solidFill>
                <a:schemeClr val="accent1">
                  <a:lumMod val="60000"/>
                </a:schemeClr>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Graphs!$B$15:$CU$15</c:f>
              <c:strCache>
                <c:ptCount val="98"/>
                <c:pt idx="0">
                  <c:v>Apr-11</c:v>
                </c:pt>
                <c:pt idx="1">
                  <c:v>May-11</c:v>
                </c:pt>
                <c:pt idx="2">
                  <c:v>Jun-11</c:v>
                </c:pt>
                <c:pt idx="3">
                  <c:v>Jul-11</c:v>
                </c:pt>
                <c:pt idx="4">
                  <c:v>Aug-11</c:v>
                </c:pt>
                <c:pt idx="5">
                  <c:v>Sep-11</c:v>
                </c:pt>
                <c:pt idx="6">
                  <c:v>Oct-11</c:v>
                </c:pt>
                <c:pt idx="7">
                  <c:v>Nov-11</c:v>
                </c:pt>
                <c:pt idx="8">
                  <c:v>Dec-11</c:v>
                </c:pt>
                <c:pt idx="9">
                  <c:v>Jan-12</c:v>
                </c:pt>
                <c:pt idx="10">
                  <c:v>Feb-12</c:v>
                </c:pt>
                <c:pt idx="11">
                  <c:v>Mar-12</c:v>
                </c:pt>
                <c:pt idx="12">
                  <c:v>Apr-12</c:v>
                </c:pt>
                <c:pt idx="13">
                  <c:v>May-12</c:v>
                </c:pt>
                <c:pt idx="14">
                  <c:v>Jun-12</c:v>
                </c:pt>
                <c:pt idx="15">
                  <c:v>Jul-12</c:v>
                </c:pt>
                <c:pt idx="16">
                  <c:v>Aug-12</c:v>
                </c:pt>
                <c:pt idx="17">
                  <c:v>Sep-12</c:v>
                </c:pt>
                <c:pt idx="18">
                  <c:v>Oct-12</c:v>
                </c:pt>
                <c:pt idx="19">
                  <c:v>Nov-12</c:v>
                </c:pt>
                <c:pt idx="20">
                  <c:v>Dec-12</c:v>
                </c:pt>
                <c:pt idx="21">
                  <c:v>Jan-13</c:v>
                </c:pt>
                <c:pt idx="22">
                  <c:v>Feb-13</c:v>
                </c:pt>
                <c:pt idx="23">
                  <c:v>Mar-13</c:v>
                </c:pt>
                <c:pt idx="24">
                  <c:v>Apr-13</c:v>
                </c:pt>
                <c:pt idx="25">
                  <c:v>May-13</c:v>
                </c:pt>
                <c:pt idx="26">
                  <c:v>Jun-13</c:v>
                </c:pt>
                <c:pt idx="27">
                  <c:v>Jul-13</c:v>
                </c:pt>
                <c:pt idx="28">
                  <c:v>Aug-13</c:v>
                </c:pt>
                <c:pt idx="29">
                  <c:v>Sep-13</c:v>
                </c:pt>
                <c:pt idx="30">
                  <c:v>Oct-13</c:v>
                </c:pt>
                <c:pt idx="31">
                  <c:v>Nov-13</c:v>
                </c:pt>
                <c:pt idx="32">
                  <c:v>Dec-13</c:v>
                </c:pt>
                <c:pt idx="33">
                  <c:v>Jan-14</c:v>
                </c:pt>
                <c:pt idx="34">
                  <c:v>Feb-14</c:v>
                </c:pt>
                <c:pt idx="35">
                  <c:v>Mar-14</c:v>
                </c:pt>
                <c:pt idx="36">
                  <c:v>Apr-14</c:v>
                </c:pt>
                <c:pt idx="37">
                  <c:v>May-14</c:v>
                </c:pt>
                <c:pt idx="38">
                  <c:v>Jun-14</c:v>
                </c:pt>
                <c:pt idx="39">
                  <c:v>Jul-14</c:v>
                </c:pt>
                <c:pt idx="40">
                  <c:v>Aug-14</c:v>
                </c:pt>
                <c:pt idx="41">
                  <c:v>Sep-14</c:v>
                </c:pt>
                <c:pt idx="42">
                  <c:v>Oct-14</c:v>
                </c:pt>
                <c:pt idx="43">
                  <c:v>Nov-14</c:v>
                </c:pt>
                <c:pt idx="44">
                  <c:v>12/31/14</c:v>
                </c:pt>
                <c:pt idx="45">
                  <c:v>01/31/15</c:v>
                </c:pt>
                <c:pt idx="46">
                  <c:v>02/28/15</c:v>
                </c:pt>
                <c:pt idx="47">
                  <c:v>03/31/15</c:v>
                </c:pt>
                <c:pt idx="48">
                  <c:v>04/30/15</c:v>
                </c:pt>
                <c:pt idx="49">
                  <c:v>05/31/15</c:v>
                </c:pt>
                <c:pt idx="50">
                  <c:v>06/30/15</c:v>
                </c:pt>
                <c:pt idx="51">
                  <c:v>07/31/15</c:v>
                </c:pt>
                <c:pt idx="52">
                  <c:v>08/31/15</c:v>
                </c:pt>
                <c:pt idx="53">
                  <c:v>09/30/15</c:v>
                </c:pt>
                <c:pt idx="54">
                  <c:v>10/31/15</c:v>
                </c:pt>
                <c:pt idx="55">
                  <c:v>11/30/15</c:v>
                </c:pt>
                <c:pt idx="56">
                  <c:v>12/31/15</c:v>
                </c:pt>
                <c:pt idx="57">
                  <c:v>01/31/16</c:v>
                </c:pt>
                <c:pt idx="58">
                  <c:v>02/29/16</c:v>
                </c:pt>
                <c:pt idx="59">
                  <c:v>03/31/16</c:v>
                </c:pt>
                <c:pt idx="60">
                  <c:v>04/30/16</c:v>
                </c:pt>
                <c:pt idx="61">
                  <c:v>05/31/16</c:v>
                </c:pt>
                <c:pt idx="62">
                  <c:v>06/30/16</c:v>
                </c:pt>
                <c:pt idx="63">
                  <c:v>07/31/16</c:v>
                </c:pt>
                <c:pt idx="64">
                  <c:v>08/31/16</c:v>
                </c:pt>
                <c:pt idx="65">
                  <c:v>09/30/16</c:v>
                </c:pt>
                <c:pt idx="66">
                  <c:v>10/31/16</c:v>
                </c:pt>
                <c:pt idx="67">
                  <c:v>11/30/16</c:v>
                </c:pt>
                <c:pt idx="68">
                  <c:v>12/31/16</c:v>
                </c:pt>
                <c:pt idx="69">
                  <c:v>01/31/17</c:v>
                </c:pt>
                <c:pt idx="70">
                  <c:v>02/28/17</c:v>
                </c:pt>
                <c:pt idx="71">
                  <c:v>03/31/17</c:v>
                </c:pt>
                <c:pt idx="72">
                  <c:v>04/30/17</c:v>
                </c:pt>
                <c:pt idx="73">
                  <c:v>05/31/17</c:v>
                </c:pt>
                <c:pt idx="74">
                  <c:v>06/30/17</c:v>
                </c:pt>
                <c:pt idx="75">
                  <c:v>07/31/17</c:v>
                </c:pt>
                <c:pt idx="76">
                  <c:v>08/31/17</c:v>
                </c:pt>
                <c:pt idx="77">
                  <c:v>09/30/17</c:v>
                </c:pt>
                <c:pt idx="78">
                  <c:v>10/31/17</c:v>
                </c:pt>
                <c:pt idx="79">
                  <c:v>11/30/17</c:v>
                </c:pt>
                <c:pt idx="80">
                  <c:v>12/31/17</c:v>
                </c:pt>
                <c:pt idx="81">
                  <c:v>01/31/18</c:v>
                </c:pt>
                <c:pt idx="82">
                  <c:v>02/28/18</c:v>
                </c:pt>
                <c:pt idx="83">
                  <c:v>03/31/18</c:v>
                </c:pt>
                <c:pt idx="84">
                  <c:v>04/30/18</c:v>
                </c:pt>
                <c:pt idx="85">
                  <c:v>05/31/18</c:v>
                </c:pt>
                <c:pt idx="86">
                  <c:v>06/30/18</c:v>
                </c:pt>
                <c:pt idx="87">
                  <c:v>07/31/18</c:v>
                </c:pt>
                <c:pt idx="88">
                  <c:v>08/31/18</c:v>
                </c:pt>
                <c:pt idx="89">
                  <c:v>09/30/18</c:v>
                </c:pt>
                <c:pt idx="90">
                  <c:v>10/31/18</c:v>
                </c:pt>
                <c:pt idx="91">
                  <c:v>11/30/18</c:v>
                </c:pt>
                <c:pt idx="92">
                  <c:v>12/31/18</c:v>
                </c:pt>
                <c:pt idx="93">
                  <c:v>01/31/19</c:v>
                </c:pt>
                <c:pt idx="94">
                  <c:v>02/28/19</c:v>
                </c:pt>
                <c:pt idx="95">
                  <c:v>03/31/19</c:v>
                </c:pt>
                <c:pt idx="96">
                  <c:v>04/30/19</c:v>
                </c:pt>
                <c:pt idx="97">
                  <c:v>05/31/19</c:v>
                </c:pt>
              </c:strCache>
            </c:strRef>
          </c:cat>
          <c:val>
            <c:numRef>
              <c:f>Graphs!$B$22:$CU$22</c:f>
              <c:numCache>
                <c:formatCode>General</c:formatCode>
                <c:ptCount val="98"/>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numCache>
            </c:numRef>
          </c:val>
          <c:smooth val="0"/>
          <c:extLst>
            <c:ext xmlns:c16="http://schemas.microsoft.com/office/drawing/2014/chart" uri="{C3380CC4-5D6E-409C-BE32-E72D297353CC}">
              <c16:uniqueId val="{00000006-86E4-EB48-9BA9-F3ECAFA58C6B}"/>
            </c:ext>
          </c:extLst>
        </c:ser>
        <c:ser>
          <c:idx val="7"/>
          <c:order val="7"/>
          <c:tx>
            <c:strRef>
              <c:f>Graphs!$A$23</c:f>
              <c:strCache>
                <c:ptCount val="1"/>
                <c:pt idx="0">
                  <c:v>Activist/hacktivists</c:v>
                </c:pt>
              </c:strCache>
            </c:strRef>
          </c:tx>
          <c:spPr>
            <a:ln w="28575" cap="rnd">
              <a:no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Graphs!$B$15:$CU$15</c:f>
              <c:strCache>
                <c:ptCount val="98"/>
                <c:pt idx="0">
                  <c:v>Apr-11</c:v>
                </c:pt>
                <c:pt idx="1">
                  <c:v>May-11</c:v>
                </c:pt>
                <c:pt idx="2">
                  <c:v>Jun-11</c:v>
                </c:pt>
                <c:pt idx="3">
                  <c:v>Jul-11</c:v>
                </c:pt>
                <c:pt idx="4">
                  <c:v>Aug-11</c:v>
                </c:pt>
                <c:pt idx="5">
                  <c:v>Sep-11</c:v>
                </c:pt>
                <c:pt idx="6">
                  <c:v>Oct-11</c:v>
                </c:pt>
                <c:pt idx="7">
                  <c:v>Nov-11</c:v>
                </c:pt>
                <c:pt idx="8">
                  <c:v>Dec-11</c:v>
                </c:pt>
                <c:pt idx="9">
                  <c:v>Jan-12</c:v>
                </c:pt>
                <c:pt idx="10">
                  <c:v>Feb-12</c:v>
                </c:pt>
                <c:pt idx="11">
                  <c:v>Mar-12</c:v>
                </c:pt>
                <c:pt idx="12">
                  <c:v>Apr-12</c:v>
                </c:pt>
                <c:pt idx="13">
                  <c:v>May-12</c:v>
                </c:pt>
                <c:pt idx="14">
                  <c:v>Jun-12</c:v>
                </c:pt>
                <c:pt idx="15">
                  <c:v>Jul-12</c:v>
                </c:pt>
                <c:pt idx="16">
                  <c:v>Aug-12</c:v>
                </c:pt>
                <c:pt idx="17">
                  <c:v>Sep-12</c:v>
                </c:pt>
                <c:pt idx="18">
                  <c:v>Oct-12</c:v>
                </c:pt>
                <c:pt idx="19">
                  <c:v>Nov-12</c:v>
                </c:pt>
                <c:pt idx="20">
                  <c:v>Dec-12</c:v>
                </c:pt>
                <c:pt idx="21">
                  <c:v>Jan-13</c:v>
                </c:pt>
                <c:pt idx="22">
                  <c:v>Feb-13</c:v>
                </c:pt>
                <c:pt idx="23">
                  <c:v>Mar-13</c:v>
                </c:pt>
                <c:pt idx="24">
                  <c:v>Apr-13</c:v>
                </c:pt>
                <c:pt idx="25">
                  <c:v>May-13</c:v>
                </c:pt>
                <c:pt idx="26">
                  <c:v>Jun-13</c:v>
                </c:pt>
                <c:pt idx="27">
                  <c:v>Jul-13</c:v>
                </c:pt>
                <c:pt idx="28">
                  <c:v>Aug-13</c:v>
                </c:pt>
                <c:pt idx="29">
                  <c:v>Sep-13</c:v>
                </c:pt>
                <c:pt idx="30">
                  <c:v>Oct-13</c:v>
                </c:pt>
                <c:pt idx="31">
                  <c:v>Nov-13</c:v>
                </c:pt>
                <c:pt idx="32">
                  <c:v>Dec-13</c:v>
                </c:pt>
                <c:pt idx="33">
                  <c:v>Jan-14</c:v>
                </c:pt>
                <c:pt idx="34">
                  <c:v>Feb-14</c:v>
                </c:pt>
                <c:pt idx="35">
                  <c:v>Mar-14</c:v>
                </c:pt>
                <c:pt idx="36">
                  <c:v>Apr-14</c:v>
                </c:pt>
                <c:pt idx="37">
                  <c:v>May-14</c:v>
                </c:pt>
                <c:pt idx="38">
                  <c:v>Jun-14</c:v>
                </c:pt>
                <c:pt idx="39">
                  <c:v>Jul-14</c:v>
                </c:pt>
                <c:pt idx="40">
                  <c:v>Aug-14</c:v>
                </c:pt>
                <c:pt idx="41">
                  <c:v>Sep-14</c:v>
                </c:pt>
                <c:pt idx="42">
                  <c:v>Oct-14</c:v>
                </c:pt>
                <c:pt idx="43">
                  <c:v>Nov-14</c:v>
                </c:pt>
                <c:pt idx="44">
                  <c:v>12/31/14</c:v>
                </c:pt>
                <c:pt idx="45">
                  <c:v>01/31/15</c:v>
                </c:pt>
                <c:pt idx="46">
                  <c:v>02/28/15</c:v>
                </c:pt>
                <c:pt idx="47">
                  <c:v>03/31/15</c:v>
                </c:pt>
                <c:pt idx="48">
                  <c:v>04/30/15</c:v>
                </c:pt>
                <c:pt idx="49">
                  <c:v>05/31/15</c:v>
                </c:pt>
                <c:pt idx="50">
                  <c:v>06/30/15</c:v>
                </c:pt>
                <c:pt idx="51">
                  <c:v>07/31/15</c:v>
                </c:pt>
                <c:pt idx="52">
                  <c:v>08/31/15</c:v>
                </c:pt>
                <c:pt idx="53">
                  <c:v>09/30/15</c:v>
                </c:pt>
                <c:pt idx="54">
                  <c:v>10/31/15</c:v>
                </c:pt>
                <c:pt idx="55">
                  <c:v>11/30/15</c:v>
                </c:pt>
                <c:pt idx="56">
                  <c:v>12/31/15</c:v>
                </c:pt>
                <c:pt idx="57">
                  <c:v>01/31/16</c:v>
                </c:pt>
                <c:pt idx="58">
                  <c:v>02/29/16</c:v>
                </c:pt>
                <c:pt idx="59">
                  <c:v>03/31/16</c:v>
                </c:pt>
                <c:pt idx="60">
                  <c:v>04/30/16</c:v>
                </c:pt>
                <c:pt idx="61">
                  <c:v>05/31/16</c:v>
                </c:pt>
                <c:pt idx="62">
                  <c:v>06/30/16</c:v>
                </c:pt>
                <c:pt idx="63">
                  <c:v>07/31/16</c:v>
                </c:pt>
                <c:pt idx="64">
                  <c:v>08/31/16</c:v>
                </c:pt>
                <c:pt idx="65">
                  <c:v>09/30/16</c:v>
                </c:pt>
                <c:pt idx="66">
                  <c:v>10/31/16</c:v>
                </c:pt>
                <c:pt idx="67">
                  <c:v>11/30/16</c:v>
                </c:pt>
                <c:pt idx="68">
                  <c:v>12/31/16</c:v>
                </c:pt>
                <c:pt idx="69">
                  <c:v>01/31/17</c:v>
                </c:pt>
                <c:pt idx="70">
                  <c:v>02/28/17</c:v>
                </c:pt>
                <c:pt idx="71">
                  <c:v>03/31/17</c:v>
                </c:pt>
                <c:pt idx="72">
                  <c:v>04/30/17</c:v>
                </c:pt>
                <c:pt idx="73">
                  <c:v>05/31/17</c:v>
                </c:pt>
                <c:pt idx="74">
                  <c:v>06/30/17</c:v>
                </c:pt>
                <c:pt idx="75">
                  <c:v>07/31/17</c:v>
                </c:pt>
                <c:pt idx="76">
                  <c:v>08/31/17</c:v>
                </c:pt>
                <c:pt idx="77">
                  <c:v>09/30/17</c:v>
                </c:pt>
                <c:pt idx="78">
                  <c:v>10/31/17</c:v>
                </c:pt>
                <c:pt idx="79">
                  <c:v>11/30/17</c:v>
                </c:pt>
                <c:pt idx="80">
                  <c:v>12/31/17</c:v>
                </c:pt>
                <c:pt idx="81">
                  <c:v>01/31/18</c:v>
                </c:pt>
                <c:pt idx="82">
                  <c:v>02/28/18</c:v>
                </c:pt>
                <c:pt idx="83">
                  <c:v>03/31/18</c:v>
                </c:pt>
                <c:pt idx="84">
                  <c:v>04/30/18</c:v>
                </c:pt>
                <c:pt idx="85">
                  <c:v>05/31/18</c:v>
                </c:pt>
                <c:pt idx="86">
                  <c:v>06/30/18</c:v>
                </c:pt>
                <c:pt idx="87">
                  <c:v>07/31/18</c:v>
                </c:pt>
                <c:pt idx="88">
                  <c:v>08/31/18</c:v>
                </c:pt>
                <c:pt idx="89">
                  <c:v>09/30/18</c:v>
                </c:pt>
                <c:pt idx="90">
                  <c:v>10/31/18</c:v>
                </c:pt>
                <c:pt idx="91">
                  <c:v>11/30/18</c:v>
                </c:pt>
                <c:pt idx="92">
                  <c:v>12/31/18</c:v>
                </c:pt>
                <c:pt idx="93">
                  <c:v>01/31/19</c:v>
                </c:pt>
                <c:pt idx="94">
                  <c:v>02/28/19</c:v>
                </c:pt>
                <c:pt idx="95">
                  <c:v>03/31/19</c:v>
                </c:pt>
                <c:pt idx="96">
                  <c:v>04/30/19</c:v>
                </c:pt>
                <c:pt idx="97">
                  <c:v>05/31/19</c:v>
                </c:pt>
              </c:strCache>
            </c:strRef>
          </c:cat>
          <c:val>
            <c:numRef>
              <c:f>Graphs!$B$23:$CU$23</c:f>
              <c:numCache>
                <c:formatCode>General</c:formatCode>
                <c:ptCount val="98"/>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numCache>
            </c:numRef>
          </c:val>
          <c:smooth val="0"/>
          <c:extLst>
            <c:ext xmlns:c16="http://schemas.microsoft.com/office/drawing/2014/chart" uri="{C3380CC4-5D6E-409C-BE32-E72D297353CC}">
              <c16:uniqueId val="{00000007-86E4-EB48-9BA9-F3ECAFA58C6B}"/>
            </c:ext>
          </c:extLst>
        </c:ser>
        <c:ser>
          <c:idx val="8"/>
          <c:order val="8"/>
          <c:tx>
            <c:strRef>
              <c:f>Graphs!$A$24</c:f>
              <c:strCache>
                <c:ptCount val="1"/>
                <c:pt idx="0">
                  <c:v>Criminals</c:v>
                </c:pt>
              </c:strCache>
            </c:strRef>
          </c:tx>
          <c:spPr>
            <a:ln w="28575" cap="rnd">
              <a:solidFill>
                <a:schemeClr val="bg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Graphs!$B$15:$CU$15</c:f>
              <c:strCache>
                <c:ptCount val="98"/>
                <c:pt idx="0">
                  <c:v>Apr-11</c:v>
                </c:pt>
                <c:pt idx="1">
                  <c:v>May-11</c:v>
                </c:pt>
                <c:pt idx="2">
                  <c:v>Jun-11</c:v>
                </c:pt>
                <c:pt idx="3">
                  <c:v>Jul-11</c:v>
                </c:pt>
                <c:pt idx="4">
                  <c:v>Aug-11</c:v>
                </c:pt>
                <c:pt idx="5">
                  <c:v>Sep-11</c:v>
                </c:pt>
                <c:pt idx="6">
                  <c:v>Oct-11</c:v>
                </c:pt>
                <c:pt idx="7">
                  <c:v>Nov-11</c:v>
                </c:pt>
                <c:pt idx="8">
                  <c:v>Dec-11</c:v>
                </c:pt>
                <c:pt idx="9">
                  <c:v>Jan-12</c:v>
                </c:pt>
                <c:pt idx="10">
                  <c:v>Feb-12</c:v>
                </c:pt>
                <c:pt idx="11">
                  <c:v>Mar-12</c:v>
                </c:pt>
                <c:pt idx="12">
                  <c:v>Apr-12</c:v>
                </c:pt>
                <c:pt idx="13">
                  <c:v>May-12</c:v>
                </c:pt>
                <c:pt idx="14">
                  <c:v>Jun-12</c:v>
                </c:pt>
                <c:pt idx="15">
                  <c:v>Jul-12</c:v>
                </c:pt>
                <c:pt idx="16">
                  <c:v>Aug-12</c:v>
                </c:pt>
                <c:pt idx="17">
                  <c:v>Sep-12</c:v>
                </c:pt>
                <c:pt idx="18">
                  <c:v>Oct-12</c:v>
                </c:pt>
                <c:pt idx="19">
                  <c:v>Nov-12</c:v>
                </c:pt>
                <c:pt idx="20">
                  <c:v>Dec-12</c:v>
                </c:pt>
                <c:pt idx="21">
                  <c:v>Jan-13</c:v>
                </c:pt>
                <c:pt idx="22">
                  <c:v>Feb-13</c:v>
                </c:pt>
                <c:pt idx="23">
                  <c:v>Mar-13</c:v>
                </c:pt>
                <c:pt idx="24">
                  <c:v>Apr-13</c:v>
                </c:pt>
                <c:pt idx="25">
                  <c:v>May-13</c:v>
                </c:pt>
                <c:pt idx="26">
                  <c:v>Jun-13</c:v>
                </c:pt>
                <c:pt idx="27">
                  <c:v>Jul-13</c:v>
                </c:pt>
                <c:pt idx="28">
                  <c:v>Aug-13</c:v>
                </c:pt>
                <c:pt idx="29">
                  <c:v>Sep-13</c:v>
                </c:pt>
                <c:pt idx="30">
                  <c:v>Oct-13</c:v>
                </c:pt>
                <c:pt idx="31">
                  <c:v>Nov-13</c:v>
                </c:pt>
                <c:pt idx="32">
                  <c:v>Dec-13</c:v>
                </c:pt>
                <c:pt idx="33">
                  <c:v>Jan-14</c:v>
                </c:pt>
                <c:pt idx="34">
                  <c:v>Feb-14</c:v>
                </c:pt>
                <c:pt idx="35">
                  <c:v>Mar-14</c:v>
                </c:pt>
                <c:pt idx="36">
                  <c:v>Apr-14</c:v>
                </c:pt>
                <c:pt idx="37">
                  <c:v>May-14</c:v>
                </c:pt>
                <c:pt idx="38">
                  <c:v>Jun-14</c:v>
                </c:pt>
                <c:pt idx="39">
                  <c:v>Jul-14</c:v>
                </c:pt>
                <c:pt idx="40">
                  <c:v>Aug-14</c:v>
                </c:pt>
                <c:pt idx="41">
                  <c:v>Sep-14</c:v>
                </c:pt>
                <c:pt idx="42">
                  <c:v>Oct-14</c:v>
                </c:pt>
                <c:pt idx="43">
                  <c:v>Nov-14</c:v>
                </c:pt>
                <c:pt idx="44">
                  <c:v>12/31/14</c:v>
                </c:pt>
                <c:pt idx="45">
                  <c:v>01/31/15</c:v>
                </c:pt>
                <c:pt idx="46">
                  <c:v>02/28/15</c:v>
                </c:pt>
                <c:pt idx="47">
                  <c:v>03/31/15</c:v>
                </c:pt>
                <c:pt idx="48">
                  <c:v>04/30/15</c:v>
                </c:pt>
                <c:pt idx="49">
                  <c:v>05/31/15</c:v>
                </c:pt>
                <c:pt idx="50">
                  <c:v>06/30/15</c:v>
                </c:pt>
                <c:pt idx="51">
                  <c:v>07/31/15</c:v>
                </c:pt>
                <c:pt idx="52">
                  <c:v>08/31/15</c:v>
                </c:pt>
                <c:pt idx="53">
                  <c:v>09/30/15</c:v>
                </c:pt>
                <c:pt idx="54">
                  <c:v>10/31/15</c:v>
                </c:pt>
                <c:pt idx="55">
                  <c:v>11/30/15</c:v>
                </c:pt>
                <c:pt idx="56">
                  <c:v>12/31/15</c:v>
                </c:pt>
                <c:pt idx="57">
                  <c:v>01/31/16</c:v>
                </c:pt>
                <c:pt idx="58">
                  <c:v>02/29/16</c:v>
                </c:pt>
                <c:pt idx="59">
                  <c:v>03/31/16</c:v>
                </c:pt>
                <c:pt idx="60">
                  <c:v>04/30/16</c:v>
                </c:pt>
                <c:pt idx="61">
                  <c:v>05/31/16</c:v>
                </c:pt>
                <c:pt idx="62">
                  <c:v>06/30/16</c:v>
                </c:pt>
                <c:pt idx="63">
                  <c:v>07/31/16</c:v>
                </c:pt>
                <c:pt idx="64">
                  <c:v>08/31/16</c:v>
                </c:pt>
                <c:pt idx="65">
                  <c:v>09/30/16</c:v>
                </c:pt>
                <c:pt idx="66">
                  <c:v>10/31/16</c:v>
                </c:pt>
                <c:pt idx="67">
                  <c:v>11/30/16</c:v>
                </c:pt>
                <c:pt idx="68">
                  <c:v>12/31/16</c:v>
                </c:pt>
                <c:pt idx="69">
                  <c:v>01/31/17</c:v>
                </c:pt>
                <c:pt idx="70">
                  <c:v>02/28/17</c:v>
                </c:pt>
                <c:pt idx="71">
                  <c:v>03/31/17</c:v>
                </c:pt>
                <c:pt idx="72">
                  <c:v>04/30/17</c:v>
                </c:pt>
                <c:pt idx="73">
                  <c:v>05/31/17</c:v>
                </c:pt>
                <c:pt idx="74">
                  <c:v>06/30/17</c:v>
                </c:pt>
                <c:pt idx="75">
                  <c:v>07/31/17</c:v>
                </c:pt>
                <c:pt idx="76">
                  <c:v>08/31/17</c:v>
                </c:pt>
                <c:pt idx="77">
                  <c:v>09/30/17</c:v>
                </c:pt>
                <c:pt idx="78">
                  <c:v>10/31/17</c:v>
                </c:pt>
                <c:pt idx="79">
                  <c:v>11/30/17</c:v>
                </c:pt>
                <c:pt idx="80">
                  <c:v>12/31/17</c:v>
                </c:pt>
                <c:pt idx="81">
                  <c:v>01/31/18</c:v>
                </c:pt>
                <c:pt idx="82">
                  <c:v>02/28/18</c:v>
                </c:pt>
                <c:pt idx="83">
                  <c:v>03/31/18</c:v>
                </c:pt>
                <c:pt idx="84">
                  <c:v>04/30/18</c:v>
                </c:pt>
                <c:pt idx="85">
                  <c:v>05/31/18</c:v>
                </c:pt>
                <c:pt idx="86">
                  <c:v>06/30/18</c:v>
                </c:pt>
                <c:pt idx="87">
                  <c:v>07/31/18</c:v>
                </c:pt>
                <c:pt idx="88">
                  <c:v>08/31/18</c:v>
                </c:pt>
                <c:pt idx="89">
                  <c:v>09/30/18</c:v>
                </c:pt>
                <c:pt idx="90">
                  <c:v>10/31/18</c:v>
                </c:pt>
                <c:pt idx="91">
                  <c:v>11/30/18</c:v>
                </c:pt>
                <c:pt idx="92">
                  <c:v>12/31/18</c:v>
                </c:pt>
                <c:pt idx="93">
                  <c:v>01/31/19</c:v>
                </c:pt>
                <c:pt idx="94">
                  <c:v>02/28/19</c:v>
                </c:pt>
                <c:pt idx="95">
                  <c:v>03/31/19</c:v>
                </c:pt>
                <c:pt idx="96">
                  <c:v>04/30/19</c:v>
                </c:pt>
                <c:pt idx="97">
                  <c:v>05/31/19</c:v>
                </c:pt>
              </c:strCache>
            </c:strRef>
          </c:cat>
          <c:val>
            <c:numRef>
              <c:f>Graphs!$B$24:$CU$24</c:f>
              <c:numCache>
                <c:formatCode>General</c:formatCode>
                <c:ptCount val="98"/>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numCache>
            </c:numRef>
          </c:val>
          <c:smooth val="0"/>
          <c:extLst>
            <c:ext xmlns:c16="http://schemas.microsoft.com/office/drawing/2014/chart" uri="{C3380CC4-5D6E-409C-BE32-E72D297353CC}">
              <c16:uniqueId val="{00000008-86E4-EB48-9BA9-F3ECAFA58C6B}"/>
            </c:ext>
          </c:extLst>
        </c:ser>
        <c:ser>
          <c:idx val="9"/>
          <c:order val="9"/>
          <c:tx>
            <c:strRef>
              <c:f>Graphs!$A$25</c:f>
              <c:strCache>
                <c:ptCount val="1"/>
                <c:pt idx="0">
                  <c:v>Nation states</c:v>
                </c:pt>
              </c:strCache>
            </c:strRef>
          </c:tx>
          <c:spPr>
            <a:ln w="28575" cap="rnd">
              <a:no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Graphs!$B$15:$CU$15</c:f>
              <c:strCache>
                <c:ptCount val="98"/>
                <c:pt idx="0">
                  <c:v>Apr-11</c:v>
                </c:pt>
                <c:pt idx="1">
                  <c:v>May-11</c:v>
                </c:pt>
                <c:pt idx="2">
                  <c:v>Jun-11</c:v>
                </c:pt>
                <c:pt idx="3">
                  <c:v>Jul-11</c:v>
                </c:pt>
                <c:pt idx="4">
                  <c:v>Aug-11</c:v>
                </c:pt>
                <c:pt idx="5">
                  <c:v>Sep-11</c:v>
                </c:pt>
                <c:pt idx="6">
                  <c:v>Oct-11</c:v>
                </c:pt>
                <c:pt idx="7">
                  <c:v>Nov-11</c:v>
                </c:pt>
                <c:pt idx="8">
                  <c:v>Dec-11</c:v>
                </c:pt>
                <c:pt idx="9">
                  <c:v>Jan-12</c:v>
                </c:pt>
                <c:pt idx="10">
                  <c:v>Feb-12</c:v>
                </c:pt>
                <c:pt idx="11">
                  <c:v>Mar-12</c:v>
                </c:pt>
                <c:pt idx="12">
                  <c:v>Apr-12</c:v>
                </c:pt>
                <c:pt idx="13">
                  <c:v>May-12</c:v>
                </c:pt>
                <c:pt idx="14">
                  <c:v>Jun-12</c:v>
                </c:pt>
                <c:pt idx="15">
                  <c:v>Jul-12</c:v>
                </c:pt>
                <c:pt idx="16">
                  <c:v>Aug-12</c:v>
                </c:pt>
                <c:pt idx="17">
                  <c:v>Sep-12</c:v>
                </c:pt>
                <c:pt idx="18">
                  <c:v>Oct-12</c:v>
                </c:pt>
                <c:pt idx="19">
                  <c:v>Nov-12</c:v>
                </c:pt>
                <c:pt idx="20">
                  <c:v>Dec-12</c:v>
                </c:pt>
                <c:pt idx="21">
                  <c:v>Jan-13</c:v>
                </c:pt>
                <c:pt idx="22">
                  <c:v>Feb-13</c:v>
                </c:pt>
                <c:pt idx="23">
                  <c:v>Mar-13</c:v>
                </c:pt>
                <c:pt idx="24">
                  <c:v>Apr-13</c:v>
                </c:pt>
                <c:pt idx="25">
                  <c:v>May-13</c:v>
                </c:pt>
                <c:pt idx="26">
                  <c:v>Jun-13</c:v>
                </c:pt>
                <c:pt idx="27">
                  <c:v>Jul-13</c:v>
                </c:pt>
                <c:pt idx="28">
                  <c:v>Aug-13</c:v>
                </c:pt>
                <c:pt idx="29">
                  <c:v>Sep-13</c:v>
                </c:pt>
                <c:pt idx="30">
                  <c:v>Oct-13</c:v>
                </c:pt>
                <c:pt idx="31">
                  <c:v>Nov-13</c:v>
                </c:pt>
                <c:pt idx="32">
                  <c:v>Dec-13</c:v>
                </c:pt>
                <c:pt idx="33">
                  <c:v>Jan-14</c:v>
                </c:pt>
                <c:pt idx="34">
                  <c:v>Feb-14</c:v>
                </c:pt>
                <c:pt idx="35">
                  <c:v>Mar-14</c:v>
                </c:pt>
                <c:pt idx="36">
                  <c:v>Apr-14</c:v>
                </c:pt>
                <c:pt idx="37">
                  <c:v>May-14</c:v>
                </c:pt>
                <c:pt idx="38">
                  <c:v>Jun-14</c:v>
                </c:pt>
                <c:pt idx="39">
                  <c:v>Jul-14</c:v>
                </c:pt>
                <c:pt idx="40">
                  <c:v>Aug-14</c:v>
                </c:pt>
                <c:pt idx="41">
                  <c:v>Sep-14</c:v>
                </c:pt>
                <c:pt idx="42">
                  <c:v>Oct-14</c:v>
                </c:pt>
                <c:pt idx="43">
                  <c:v>Nov-14</c:v>
                </c:pt>
                <c:pt idx="44">
                  <c:v>12/31/14</c:v>
                </c:pt>
                <c:pt idx="45">
                  <c:v>01/31/15</c:v>
                </c:pt>
                <c:pt idx="46">
                  <c:v>02/28/15</c:v>
                </c:pt>
                <c:pt idx="47">
                  <c:v>03/31/15</c:v>
                </c:pt>
                <c:pt idx="48">
                  <c:v>04/30/15</c:v>
                </c:pt>
                <c:pt idx="49">
                  <c:v>05/31/15</c:v>
                </c:pt>
                <c:pt idx="50">
                  <c:v>06/30/15</c:v>
                </c:pt>
                <c:pt idx="51">
                  <c:v>07/31/15</c:v>
                </c:pt>
                <c:pt idx="52">
                  <c:v>08/31/15</c:v>
                </c:pt>
                <c:pt idx="53">
                  <c:v>09/30/15</c:v>
                </c:pt>
                <c:pt idx="54">
                  <c:v>10/31/15</c:v>
                </c:pt>
                <c:pt idx="55">
                  <c:v>11/30/15</c:v>
                </c:pt>
                <c:pt idx="56">
                  <c:v>12/31/15</c:v>
                </c:pt>
                <c:pt idx="57">
                  <c:v>01/31/16</c:v>
                </c:pt>
                <c:pt idx="58">
                  <c:v>02/29/16</c:v>
                </c:pt>
                <c:pt idx="59">
                  <c:v>03/31/16</c:v>
                </c:pt>
                <c:pt idx="60">
                  <c:v>04/30/16</c:v>
                </c:pt>
                <c:pt idx="61">
                  <c:v>05/31/16</c:v>
                </c:pt>
                <c:pt idx="62">
                  <c:v>06/30/16</c:v>
                </c:pt>
                <c:pt idx="63">
                  <c:v>07/31/16</c:v>
                </c:pt>
                <c:pt idx="64">
                  <c:v>08/31/16</c:v>
                </c:pt>
                <c:pt idx="65">
                  <c:v>09/30/16</c:v>
                </c:pt>
                <c:pt idx="66">
                  <c:v>10/31/16</c:v>
                </c:pt>
                <c:pt idx="67">
                  <c:v>11/30/16</c:v>
                </c:pt>
                <c:pt idx="68">
                  <c:v>12/31/16</c:v>
                </c:pt>
                <c:pt idx="69">
                  <c:v>01/31/17</c:v>
                </c:pt>
                <c:pt idx="70">
                  <c:v>02/28/17</c:v>
                </c:pt>
                <c:pt idx="71">
                  <c:v>03/31/17</c:v>
                </c:pt>
                <c:pt idx="72">
                  <c:v>04/30/17</c:v>
                </c:pt>
                <c:pt idx="73">
                  <c:v>05/31/17</c:v>
                </c:pt>
                <c:pt idx="74">
                  <c:v>06/30/17</c:v>
                </c:pt>
                <c:pt idx="75">
                  <c:v>07/31/17</c:v>
                </c:pt>
                <c:pt idx="76">
                  <c:v>08/31/17</c:v>
                </c:pt>
                <c:pt idx="77">
                  <c:v>09/30/17</c:v>
                </c:pt>
                <c:pt idx="78">
                  <c:v>10/31/17</c:v>
                </c:pt>
                <c:pt idx="79">
                  <c:v>11/30/17</c:v>
                </c:pt>
                <c:pt idx="80">
                  <c:v>12/31/17</c:v>
                </c:pt>
                <c:pt idx="81">
                  <c:v>01/31/18</c:v>
                </c:pt>
                <c:pt idx="82">
                  <c:v>02/28/18</c:v>
                </c:pt>
                <c:pt idx="83">
                  <c:v>03/31/18</c:v>
                </c:pt>
                <c:pt idx="84">
                  <c:v>04/30/18</c:v>
                </c:pt>
                <c:pt idx="85">
                  <c:v>05/31/18</c:v>
                </c:pt>
                <c:pt idx="86">
                  <c:v>06/30/18</c:v>
                </c:pt>
                <c:pt idx="87">
                  <c:v>07/31/18</c:v>
                </c:pt>
                <c:pt idx="88">
                  <c:v>08/31/18</c:v>
                </c:pt>
                <c:pt idx="89">
                  <c:v>09/30/18</c:v>
                </c:pt>
                <c:pt idx="90">
                  <c:v>10/31/18</c:v>
                </c:pt>
                <c:pt idx="91">
                  <c:v>11/30/18</c:v>
                </c:pt>
                <c:pt idx="92">
                  <c:v>12/31/18</c:v>
                </c:pt>
                <c:pt idx="93">
                  <c:v>01/31/19</c:v>
                </c:pt>
                <c:pt idx="94">
                  <c:v>02/28/19</c:v>
                </c:pt>
                <c:pt idx="95">
                  <c:v>03/31/19</c:v>
                </c:pt>
                <c:pt idx="96">
                  <c:v>04/30/19</c:v>
                </c:pt>
                <c:pt idx="97">
                  <c:v>05/31/19</c:v>
                </c:pt>
              </c:strCache>
            </c:strRef>
          </c:cat>
          <c:val>
            <c:numRef>
              <c:f>Graphs!$B$25:$CU$25</c:f>
              <c:numCache>
                <c:formatCode>General</c:formatCode>
                <c:ptCount val="98"/>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numCache>
            </c:numRef>
          </c:val>
          <c:smooth val="0"/>
          <c:extLst>
            <c:ext xmlns:c16="http://schemas.microsoft.com/office/drawing/2014/chart" uri="{C3380CC4-5D6E-409C-BE32-E72D297353CC}">
              <c16:uniqueId val="{00000009-86E4-EB48-9BA9-F3ECAFA58C6B}"/>
            </c:ext>
          </c:extLst>
        </c:ser>
        <c:dLbls>
          <c:showLegendKey val="0"/>
          <c:showVal val="0"/>
          <c:showCatName val="0"/>
          <c:showSerName val="0"/>
          <c:showPercent val="0"/>
          <c:showBubbleSize val="0"/>
        </c:dLbls>
        <c:smooth val="0"/>
        <c:axId val="445883408"/>
        <c:axId val="445882624"/>
      </c:lineChart>
      <c:catAx>
        <c:axId val="4458834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5882624"/>
        <c:crosses val="autoZero"/>
        <c:auto val="1"/>
        <c:lblAlgn val="ctr"/>
        <c:lblOffset val="100"/>
        <c:noMultiLvlLbl val="0"/>
      </c:catAx>
      <c:valAx>
        <c:axId val="4458826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5883408"/>
        <c:crosses val="autoZero"/>
        <c:crossBetween val="between"/>
      </c:valAx>
      <c:spPr>
        <a:noFill/>
        <a:ln>
          <a:noFill/>
        </a:ln>
        <a:effectLst/>
      </c:spPr>
    </c:plotArea>
    <c:legend>
      <c:legendPos val="r"/>
      <c:legendEntry>
        <c:idx val="0"/>
        <c:delete val="1"/>
      </c:legendEntry>
      <c:legendEntry>
        <c:idx val="1"/>
        <c:delete val="1"/>
      </c:legendEntry>
      <c:legendEntry>
        <c:idx val="2"/>
        <c:delete val="1"/>
      </c:legendEntry>
      <c:legendEntry>
        <c:idx val="3"/>
        <c:delete val="1"/>
      </c:legendEntry>
      <c:legendEntry>
        <c:idx val="4"/>
        <c:delete val="1"/>
      </c:legendEntry>
      <c:legendEntry>
        <c:idx val="5"/>
        <c:delete val="1"/>
      </c:legendEntry>
      <c:legendEntry>
        <c:idx val="6"/>
        <c:delete val="1"/>
      </c:legendEntry>
      <c:legendEntry>
        <c:idx val="7"/>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Entry>
      <c:legendEntry>
        <c:idx val="8"/>
        <c:delete val="1"/>
      </c:legendEntry>
      <c:legendEntry>
        <c:idx val="9"/>
        <c:delete val="1"/>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Weapons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Graphs!$A$27</c:f>
              <c:strCache>
                <c:ptCount val="1"/>
                <c:pt idx="0">
                  <c:v>Weapons: Botnets</c:v>
                </c:pt>
              </c:strCache>
            </c:strRef>
          </c:tx>
          <c:spPr>
            <a:ln w="28575" cap="rnd">
              <a:solidFill>
                <a:schemeClr val="accent1"/>
              </a:solidFill>
              <a:round/>
            </a:ln>
            <a:effectLst/>
          </c:spPr>
          <c:marker>
            <c:symbol val="none"/>
          </c:marker>
          <c:cat>
            <c:strRef>
              <c:f>Graphs!$B$26:$CU$26</c:f>
              <c:strCache>
                <c:ptCount val="98"/>
                <c:pt idx="0">
                  <c:v>Apr-11</c:v>
                </c:pt>
                <c:pt idx="1">
                  <c:v>May-11</c:v>
                </c:pt>
                <c:pt idx="2">
                  <c:v>Jun-11</c:v>
                </c:pt>
                <c:pt idx="3">
                  <c:v>Jul-11</c:v>
                </c:pt>
                <c:pt idx="4">
                  <c:v>Aug-11</c:v>
                </c:pt>
                <c:pt idx="5">
                  <c:v>Sep-11</c:v>
                </c:pt>
                <c:pt idx="6">
                  <c:v>Oct-11</c:v>
                </c:pt>
                <c:pt idx="7">
                  <c:v>Nov-11</c:v>
                </c:pt>
                <c:pt idx="8">
                  <c:v>Dec-11</c:v>
                </c:pt>
                <c:pt idx="9">
                  <c:v>Jan-12</c:v>
                </c:pt>
                <c:pt idx="10">
                  <c:v>Feb-12</c:v>
                </c:pt>
                <c:pt idx="11">
                  <c:v>Mar-12</c:v>
                </c:pt>
                <c:pt idx="12">
                  <c:v>Apr-12</c:v>
                </c:pt>
                <c:pt idx="13">
                  <c:v>May-12</c:v>
                </c:pt>
                <c:pt idx="14">
                  <c:v>Jun-12</c:v>
                </c:pt>
                <c:pt idx="15">
                  <c:v>Jul-12</c:v>
                </c:pt>
                <c:pt idx="16">
                  <c:v>Aug-12</c:v>
                </c:pt>
                <c:pt idx="17">
                  <c:v>Sep-12</c:v>
                </c:pt>
                <c:pt idx="18">
                  <c:v>Oct-12</c:v>
                </c:pt>
                <c:pt idx="19">
                  <c:v>Nov-12</c:v>
                </c:pt>
                <c:pt idx="20">
                  <c:v>Dec-12</c:v>
                </c:pt>
                <c:pt idx="21">
                  <c:v>Jan-13</c:v>
                </c:pt>
                <c:pt idx="22">
                  <c:v>Feb-13</c:v>
                </c:pt>
                <c:pt idx="23">
                  <c:v>Mar-13</c:v>
                </c:pt>
                <c:pt idx="24">
                  <c:v>Apr-13</c:v>
                </c:pt>
                <c:pt idx="25">
                  <c:v>May-13</c:v>
                </c:pt>
                <c:pt idx="26">
                  <c:v>Jun-13</c:v>
                </c:pt>
                <c:pt idx="27">
                  <c:v>Jul-13</c:v>
                </c:pt>
                <c:pt idx="28">
                  <c:v>Aug-13</c:v>
                </c:pt>
                <c:pt idx="29">
                  <c:v>Sep-13</c:v>
                </c:pt>
                <c:pt idx="30">
                  <c:v>Oct-13</c:v>
                </c:pt>
                <c:pt idx="31">
                  <c:v>Nov-13</c:v>
                </c:pt>
                <c:pt idx="32">
                  <c:v>Dec-13</c:v>
                </c:pt>
                <c:pt idx="33">
                  <c:v>Jan-14</c:v>
                </c:pt>
                <c:pt idx="34">
                  <c:v>Feb-14</c:v>
                </c:pt>
                <c:pt idx="35">
                  <c:v>Mar-14</c:v>
                </c:pt>
                <c:pt idx="36">
                  <c:v>Apr-14</c:v>
                </c:pt>
                <c:pt idx="37">
                  <c:v>May-14</c:v>
                </c:pt>
                <c:pt idx="38">
                  <c:v>Jun-14</c:v>
                </c:pt>
                <c:pt idx="39">
                  <c:v>Jul-14</c:v>
                </c:pt>
                <c:pt idx="40">
                  <c:v>Aug-14</c:v>
                </c:pt>
                <c:pt idx="41">
                  <c:v>Sep-14</c:v>
                </c:pt>
                <c:pt idx="42">
                  <c:v>Oct-14</c:v>
                </c:pt>
                <c:pt idx="43">
                  <c:v>Nov-14</c:v>
                </c:pt>
                <c:pt idx="44">
                  <c:v>12/31/14</c:v>
                </c:pt>
                <c:pt idx="45">
                  <c:v>01/31/15</c:v>
                </c:pt>
                <c:pt idx="46">
                  <c:v>02/28/15</c:v>
                </c:pt>
                <c:pt idx="47">
                  <c:v>03/31/15</c:v>
                </c:pt>
                <c:pt idx="48">
                  <c:v>04/30/15</c:v>
                </c:pt>
                <c:pt idx="49">
                  <c:v>05/31/15</c:v>
                </c:pt>
                <c:pt idx="50">
                  <c:v>06/30/15</c:v>
                </c:pt>
                <c:pt idx="51">
                  <c:v>07/31/15</c:v>
                </c:pt>
                <c:pt idx="52">
                  <c:v>08/31/15</c:v>
                </c:pt>
                <c:pt idx="53">
                  <c:v>09/30/15</c:v>
                </c:pt>
                <c:pt idx="54">
                  <c:v>10/31/15</c:v>
                </c:pt>
                <c:pt idx="55">
                  <c:v>11/30/15</c:v>
                </c:pt>
                <c:pt idx="56">
                  <c:v>12/31/15</c:v>
                </c:pt>
                <c:pt idx="57">
                  <c:v>01/31/16</c:v>
                </c:pt>
                <c:pt idx="58">
                  <c:v>02/29/16</c:v>
                </c:pt>
                <c:pt idx="59">
                  <c:v>03/31/16</c:v>
                </c:pt>
                <c:pt idx="60">
                  <c:v>04/30/16</c:v>
                </c:pt>
                <c:pt idx="61">
                  <c:v>05/31/16</c:v>
                </c:pt>
                <c:pt idx="62">
                  <c:v>06/30/16</c:v>
                </c:pt>
                <c:pt idx="63">
                  <c:v>07/31/16</c:v>
                </c:pt>
                <c:pt idx="64">
                  <c:v>08/31/16</c:v>
                </c:pt>
                <c:pt idx="65">
                  <c:v>09/30/16</c:v>
                </c:pt>
                <c:pt idx="66">
                  <c:v>10/31/16</c:v>
                </c:pt>
                <c:pt idx="67">
                  <c:v>11/30/16</c:v>
                </c:pt>
                <c:pt idx="68">
                  <c:v>12/31/16</c:v>
                </c:pt>
                <c:pt idx="69">
                  <c:v>01/31/17</c:v>
                </c:pt>
                <c:pt idx="70">
                  <c:v>02/28/17</c:v>
                </c:pt>
                <c:pt idx="71">
                  <c:v>03/31/17</c:v>
                </c:pt>
                <c:pt idx="72">
                  <c:v>04/30/17</c:v>
                </c:pt>
                <c:pt idx="73">
                  <c:v>05/31/17</c:v>
                </c:pt>
                <c:pt idx="74">
                  <c:v>06/30/17</c:v>
                </c:pt>
                <c:pt idx="75">
                  <c:v>07/31/17</c:v>
                </c:pt>
                <c:pt idx="76">
                  <c:v>08/31/17</c:v>
                </c:pt>
                <c:pt idx="77">
                  <c:v>09/30/17</c:v>
                </c:pt>
                <c:pt idx="78">
                  <c:v>10/31/17</c:v>
                </c:pt>
                <c:pt idx="79">
                  <c:v>11/30/17</c:v>
                </c:pt>
                <c:pt idx="80">
                  <c:v>12/31/17</c:v>
                </c:pt>
                <c:pt idx="81">
                  <c:v>01/31/18</c:v>
                </c:pt>
                <c:pt idx="82">
                  <c:v>02/28/18</c:v>
                </c:pt>
                <c:pt idx="83">
                  <c:v>03/31/18</c:v>
                </c:pt>
                <c:pt idx="84">
                  <c:v>04/30/18</c:v>
                </c:pt>
                <c:pt idx="85">
                  <c:v>05/31/18</c:v>
                </c:pt>
                <c:pt idx="86">
                  <c:v>06/30/18</c:v>
                </c:pt>
                <c:pt idx="87">
                  <c:v>07/31/18</c:v>
                </c:pt>
                <c:pt idx="88">
                  <c:v>08/31/18</c:v>
                </c:pt>
                <c:pt idx="89">
                  <c:v>09/30/18</c:v>
                </c:pt>
                <c:pt idx="90">
                  <c:v>10/31/18</c:v>
                </c:pt>
                <c:pt idx="91">
                  <c:v>11/30/18</c:v>
                </c:pt>
                <c:pt idx="92">
                  <c:v>12/31/18</c:v>
                </c:pt>
                <c:pt idx="93">
                  <c:v>01/31/19</c:v>
                </c:pt>
                <c:pt idx="94">
                  <c:v>02/28/19</c:v>
                </c:pt>
                <c:pt idx="95">
                  <c:v>03/31/19</c:v>
                </c:pt>
                <c:pt idx="96">
                  <c:v>04/30/19</c:v>
                </c:pt>
                <c:pt idx="97">
                  <c:v>05/31/19</c:v>
                </c:pt>
              </c:strCache>
            </c:strRef>
          </c:cat>
          <c:val>
            <c:numRef>
              <c:f>Graphs!$B$27:$CU$27</c:f>
              <c:numCache>
                <c:formatCode>General</c:formatCode>
                <c:ptCount val="98"/>
                <c:pt idx="0">
                  <c:v>1000</c:v>
                </c:pt>
                <c:pt idx="1">
                  <c:v>1000</c:v>
                </c:pt>
                <c:pt idx="2">
                  <c:v>1000</c:v>
                </c:pt>
                <c:pt idx="3">
                  <c:v>1000</c:v>
                </c:pt>
                <c:pt idx="4">
                  <c:v>1000</c:v>
                </c:pt>
                <c:pt idx="5">
                  <c:v>1000</c:v>
                </c:pt>
                <c:pt idx="6">
                  <c:v>1000</c:v>
                </c:pt>
                <c:pt idx="7">
                  <c:v>1000</c:v>
                </c:pt>
                <c:pt idx="8">
                  <c:v>1000</c:v>
                </c:pt>
                <c:pt idx="9">
                  <c:v>1000</c:v>
                </c:pt>
                <c:pt idx="10">
                  <c:v>1000</c:v>
                </c:pt>
                <c:pt idx="11">
                  <c:v>1000</c:v>
                </c:pt>
                <c:pt idx="12">
                  <c:v>1000</c:v>
                </c:pt>
                <c:pt idx="13">
                  <c:v>1011.7059152296835</c:v>
                </c:pt>
                <c:pt idx="14">
                  <c:v>1041.9285958270304</c:v>
                </c:pt>
                <c:pt idx="15">
                  <c:v>1045.8678296912065</c:v>
                </c:pt>
                <c:pt idx="16">
                  <c:v>1053.4374071146342</c:v>
                </c:pt>
                <c:pt idx="17">
                  <c:v>1080.6924753352998</c:v>
                </c:pt>
                <c:pt idx="18">
                  <c:v>1124.3278043876705</c:v>
                </c:pt>
                <c:pt idx="19">
                  <c:v>1138.4701071909487</c:v>
                </c:pt>
                <c:pt idx="20">
                  <c:v>1177.7238735002259</c:v>
                </c:pt>
                <c:pt idx="21">
                  <c:v>1207.5380953023812</c:v>
                </c:pt>
                <c:pt idx="22">
                  <c:v>1234.3770298880768</c:v>
                </c:pt>
                <c:pt idx="23">
                  <c:v>1267.5445009370499</c:v>
                </c:pt>
                <c:pt idx="24">
                  <c:v>1304.2006664989281</c:v>
                </c:pt>
                <c:pt idx="25">
                  <c:v>1324.9923204675947</c:v>
                </c:pt>
                <c:pt idx="26">
                  <c:v>1329.0546340623723</c:v>
                </c:pt>
                <c:pt idx="27">
                  <c:v>1337.6260782615725</c:v>
                </c:pt>
                <c:pt idx="28">
                  <c:v>1352.2170654065844</c:v>
                </c:pt>
                <c:pt idx="29">
                  <c:v>1357.4279147139564</c:v>
                </c:pt>
                <c:pt idx="30">
                  <c:v>1357.4279147139564</c:v>
                </c:pt>
                <c:pt idx="31">
                  <c:v>1371.0702920615454</c:v>
                </c:pt>
                <c:pt idx="32">
                  <c:v>1380.7722608633167</c:v>
                </c:pt>
                <c:pt idx="33">
                  <c:v>1405.4412146969087</c:v>
                </c:pt>
                <c:pt idx="34">
                  <c:v>1417.7515703310301</c:v>
                </c:pt>
                <c:pt idx="35">
                  <c:v>1425.5533019251664</c:v>
                </c:pt>
                <c:pt idx="36">
                  <c:v>1420.5891050864723</c:v>
                </c:pt>
                <c:pt idx="37">
                  <c:v>1423.0126287046173</c:v>
                </c:pt>
                <c:pt idx="38">
                  <c:v>1432.5893066090514</c:v>
                </c:pt>
                <c:pt idx="39">
                  <c:v>1417.3220702839276</c:v>
                </c:pt>
                <c:pt idx="40">
                  <c:v>1441.1420532608586</c:v>
                </c:pt>
                <c:pt idx="41">
                  <c:v>1475.8667076171982</c:v>
                </c:pt>
                <c:pt idx="42">
                  <c:v>1487.8522704967388</c:v>
                </c:pt>
                <c:pt idx="43">
                  <c:v>1518.5081729542653</c:v>
                </c:pt>
                <c:pt idx="44">
                  <c:v>1526.5213901489194</c:v>
                </c:pt>
                <c:pt idx="45">
                  <c:v>1540.4621283132863</c:v>
                </c:pt>
                <c:pt idx="46">
                  <c:v>1532.3757315592197</c:v>
                </c:pt>
                <c:pt idx="47">
                  <c:v>1547.776363697114</c:v>
                </c:pt>
                <c:pt idx="48">
                  <c:v>1555.9440300896679</c:v>
                </c:pt>
                <c:pt idx="49">
                  <c:v>1563.5525432300074</c:v>
                </c:pt>
                <c:pt idx="50">
                  <c:v>1578.8813675514875</c:v>
                </c:pt>
                <c:pt idx="51">
                  <c:v>1578.8813675514875</c:v>
                </c:pt>
                <c:pt idx="52">
                  <c:v>1588.1962749345146</c:v>
                </c:pt>
                <c:pt idx="53">
                  <c:v>1588.1962749345146</c:v>
                </c:pt>
                <c:pt idx="54">
                  <c:v>1588.1962749345146</c:v>
                </c:pt>
                <c:pt idx="55">
                  <c:v>1600.0043714846461</c:v>
                </c:pt>
                <c:pt idx="56">
                  <c:v>1610.7067020916684</c:v>
                </c:pt>
                <c:pt idx="57">
                  <c:v>1610.7067020916684</c:v>
                </c:pt>
                <c:pt idx="58">
                  <c:v>1619.4367984039598</c:v>
                </c:pt>
                <c:pt idx="59">
                  <c:v>1629.2813687772227</c:v>
                </c:pt>
                <c:pt idx="60">
                  <c:v>1619.9977394438681</c:v>
                </c:pt>
                <c:pt idx="61">
                  <c:v>1630.4831252182605</c:v>
                </c:pt>
                <c:pt idx="62">
                  <c:v>1641.7667005844194</c:v>
                </c:pt>
                <c:pt idx="63">
                  <c:v>1641.7667005844194</c:v>
                </c:pt>
                <c:pt idx="64">
                  <c:v>1631.8466903700307</c:v>
                </c:pt>
                <c:pt idx="65">
                  <c:v>1641.7667005844191</c:v>
                </c:pt>
                <c:pt idx="66">
                  <c:v>1683.3282224827076</c:v>
                </c:pt>
                <c:pt idx="67">
                  <c:v>1693.259333717479</c:v>
                </c:pt>
                <c:pt idx="68">
                  <c:v>1682.0084826659886</c:v>
                </c:pt>
                <c:pt idx="69">
                  <c:v>1682.0084826659886</c:v>
                </c:pt>
                <c:pt idx="70">
                  <c:v>1671.191745256215</c:v>
                </c:pt>
                <c:pt idx="71">
                  <c:v>1660.0875221582219</c:v>
                </c:pt>
                <c:pt idx="72">
                  <c:v>1660.0875221582219</c:v>
                </c:pt>
                <c:pt idx="73">
                  <c:v>1660.0875221582219</c:v>
                </c:pt>
                <c:pt idx="74">
                  <c:v>1660.0875221582219</c:v>
                </c:pt>
                <c:pt idx="75">
                  <c:v>1660.0875221582219</c:v>
                </c:pt>
                <c:pt idx="76">
                  <c:v>1660.0875221582219</c:v>
                </c:pt>
                <c:pt idx="77">
                  <c:v>1641.7442013003565</c:v>
                </c:pt>
                <c:pt idx="78">
                  <c:v>1630.059238695578</c:v>
                </c:pt>
                <c:pt idx="79">
                  <c:v>1641.3398806026587</c:v>
                </c:pt>
                <c:pt idx="80">
                  <c:v>1616.2817469398037</c:v>
                </c:pt>
                <c:pt idx="81">
                  <c:v>1627.8679465842358</c:v>
                </c:pt>
                <c:pt idx="82">
                  <c:v>1640.9431211208664</c:v>
                </c:pt>
                <c:pt idx="83">
                  <c:v>1628.8328949534903</c:v>
                </c:pt>
                <c:pt idx="84">
                  <c:v>1614.0924268272679</c:v>
                </c:pt>
                <c:pt idx="85">
                  <c:v>1602.9990519040412</c:v>
                </c:pt>
                <c:pt idx="86">
                  <c:v>1602.9990519040412</c:v>
                </c:pt>
                <c:pt idx="87">
                  <c:v>1590.2262189423586</c:v>
                </c:pt>
                <c:pt idx="88">
                  <c:v>1578.0406372743143</c:v>
                </c:pt>
                <c:pt idx="89">
                  <c:v>1564.3780334920696</c:v>
                </c:pt>
                <c:pt idx="90">
                  <c:v>1547.0922652248428</c:v>
                </c:pt>
                <c:pt idx="91">
                  <c:v>1534.2533992550834</c:v>
                </c:pt>
                <c:pt idx="92">
                  <c:v>1520.9699033802301</c:v>
                </c:pt>
                <c:pt idx="93">
                  <c:v>1520.9699033802301</c:v>
                </c:pt>
                <c:pt idx="94">
                  <c:v>1506.5532354977881</c:v>
                </c:pt>
                <c:pt idx="95">
                  <c:v>1495.8304820962799</c:v>
                </c:pt>
                <c:pt idx="96">
                  <c:v>1479.3021375868316</c:v>
                </c:pt>
                <c:pt idx="97">
                  <c:v>1467.9665447041625</c:v>
                </c:pt>
              </c:numCache>
            </c:numRef>
          </c:val>
          <c:smooth val="0"/>
          <c:extLst>
            <c:ext xmlns:c16="http://schemas.microsoft.com/office/drawing/2014/chart" uri="{C3380CC4-5D6E-409C-BE32-E72D297353CC}">
              <c16:uniqueId val="{00000000-AA8D-4541-830A-DA504A6D0E85}"/>
            </c:ext>
          </c:extLst>
        </c:ser>
        <c:ser>
          <c:idx val="1"/>
          <c:order val="1"/>
          <c:tx>
            <c:strRef>
              <c:f>Graphs!$A$28</c:f>
              <c:strCache>
                <c:ptCount val="1"/>
                <c:pt idx="0">
                  <c:v>Weapons: Mass malware</c:v>
                </c:pt>
              </c:strCache>
            </c:strRef>
          </c:tx>
          <c:spPr>
            <a:ln w="28575" cap="rnd">
              <a:solidFill>
                <a:schemeClr val="accent2"/>
              </a:solidFill>
              <a:round/>
            </a:ln>
            <a:effectLst/>
          </c:spPr>
          <c:marker>
            <c:symbol val="none"/>
          </c:marker>
          <c:cat>
            <c:strRef>
              <c:f>Graphs!$B$26:$CU$26</c:f>
              <c:strCache>
                <c:ptCount val="98"/>
                <c:pt idx="0">
                  <c:v>Apr-11</c:v>
                </c:pt>
                <c:pt idx="1">
                  <c:v>May-11</c:v>
                </c:pt>
                <c:pt idx="2">
                  <c:v>Jun-11</c:v>
                </c:pt>
                <c:pt idx="3">
                  <c:v>Jul-11</c:v>
                </c:pt>
                <c:pt idx="4">
                  <c:v>Aug-11</c:v>
                </c:pt>
                <c:pt idx="5">
                  <c:v>Sep-11</c:v>
                </c:pt>
                <c:pt idx="6">
                  <c:v>Oct-11</c:v>
                </c:pt>
                <c:pt idx="7">
                  <c:v>Nov-11</c:v>
                </c:pt>
                <c:pt idx="8">
                  <c:v>Dec-11</c:v>
                </c:pt>
                <c:pt idx="9">
                  <c:v>Jan-12</c:v>
                </c:pt>
                <c:pt idx="10">
                  <c:v>Feb-12</c:v>
                </c:pt>
                <c:pt idx="11">
                  <c:v>Mar-12</c:v>
                </c:pt>
                <c:pt idx="12">
                  <c:v>Apr-12</c:v>
                </c:pt>
                <c:pt idx="13">
                  <c:v>May-12</c:v>
                </c:pt>
                <c:pt idx="14">
                  <c:v>Jun-12</c:v>
                </c:pt>
                <c:pt idx="15">
                  <c:v>Jul-12</c:v>
                </c:pt>
                <c:pt idx="16">
                  <c:v>Aug-12</c:v>
                </c:pt>
                <c:pt idx="17">
                  <c:v>Sep-12</c:v>
                </c:pt>
                <c:pt idx="18">
                  <c:v>Oct-12</c:v>
                </c:pt>
                <c:pt idx="19">
                  <c:v>Nov-12</c:v>
                </c:pt>
                <c:pt idx="20">
                  <c:v>Dec-12</c:v>
                </c:pt>
                <c:pt idx="21">
                  <c:v>Jan-13</c:v>
                </c:pt>
                <c:pt idx="22">
                  <c:v>Feb-13</c:v>
                </c:pt>
                <c:pt idx="23">
                  <c:v>Mar-13</c:v>
                </c:pt>
                <c:pt idx="24">
                  <c:v>Apr-13</c:v>
                </c:pt>
                <c:pt idx="25">
                  <c:v>May-13</c:v>
                </c:pt>
                <c:pt idx="26">
                  <c:v>Jun-13</c:v>
                </c:pt>
                <c:pt idx="27">
                  <c:v>Jul-13</c:v>
                </c:pt>
                <c:pt idx="28">
                  <c:v>Aug-13</c:v>
                </c:pt>
                <c:pt idx="29">
                  <c:v>Sep-13</c:v>
                </c:pt>
                <c:pt idx="30">
                  <c:v>Oct-13</c:v>
                </c:pt>
                <c:pt idx="31">
                  <c:v>Nov-13</c:v>
                </c:pt>
                <c:pt idx="32">
                  <c:v>Dec-13</c:v>
                </c:pt>
                <c:pt idx="33">
                  <c:v>Jan-14</c:v>
                </c:pt>
                <c:pt idx="34">
                  <c:v>Feb-14</c:v>
                </c:pt>
                <c:pt idx="35">
                  <c:v>Mar-14</c:v>
                </c:pt>
                <c:pt idx="36">
                  <c:v>Apr-14</c:v>
                </c:pt>
                <c:pt idx="37">
                  <c:v>May-14</c:v>
                </c:pt>
                <c:pt idx="38">
                  <c:v>Jun-14</c:v>
                </c:pt>
                <c:pt idx="39">
                  <c:v>Jul-14</c:v>
                </c:pt>
                <c:pt idx="40">
                  <c:v>Aug-14</c:v>
                </c:pt>
                <c:pt idx="41">
                  <c:v>Sep-14</c:v>
                </c:pt>
                <c:pt idx="42">
                  <c:v>Oct-14</c:v>
                </c:pt>
                <c:pt idx="43">
                  <c:v>Nov-14</c:v>
                </c:pt>
                <c:pt idx="44">
                  <c:v>12/31/14</c:v>
                </c:pt>
                <c:pt idx="45">
                  <c:v>01/31/15</c:v>
                </c:pt>
                <c:pt idx="46">
                  <c:v>02/28/15</c:v>
                </c:pt>
                <c:pt idx="47">
                  <c:v>03/31/15</c:v>
                </c:pt>
                <c:pt idx="48">
                  <c:v>04/30/15</c:v>
                </c:pt>
                <c:pt idx="49">
                  <c:v>05/31/15</c:v>
                </c:pt>
                <c:pt idx="50">
                  <c:v>06/30/15</c:v>
                </c:pt>
                <c:pt idx="51">
                  <c:v>07/31/15</c:v>
                </c:pt>
                <c:pt idx="52">
                  <c:v>08/31/15</c:v>
                </c:pt>
                <c:pt idx="53">
                  <c:v>09/30/15</c:v>
                </c:pt>
                <c:pt idx="54">
                  <c:v>10/31/15</c:v>
                </c:pt>
                <c:pt idx="55">
                  <c:v>11/30/15</c:v>
                </c:pt>
                <c:pt idx="56">
                  <c:v>12/31/15</c:v>
                </c:pt>
                <c:pt idx="57">
                  <c:v>01/31/16</c:v>
                </c:pt>
                <c:pt idx="58">
                  <c:v>02/29/16</c:v>
                </c:pt>
                <c:pt idx="59">
                  <c:v>03/31/16</c:v>
                </c:pt>
                <c:pt idx="60">
                  <c:v>04/30/16</c:v>
                </c:pt>
                <c:pt idx="61">
                  <c:v>05/31/16</c:v>
                </c:pt>
                <c:pt idx="62">
                  <c:v>06/30/16</c:v>
                </c:pt>
                <c:pt idx="63">
                  <c:v>07/31/16</c:v>
                </c:pt>
                <c:pt idx="64">
                  <c:v>08/31/16</c:v>
                </c:pt>
                <c:pt idx="65">
                  <c:v>09/30/16</c:v>
                </c:pt>
                <c:pt idx="66">
                  <c:v>10/31/16</c:v>
                </c:pt>
                <c:pt idx="67">
                  <c:v>11/30/16</c:v>
                </c:pt>
                <c:pt idx="68">
                  <c:v>12/31/16</c:v>
                </c:pt>
                <c:pt idx="69">
                  <c:v>01/31/17</c:v>
                </c:pt>
                <c:pt idx="70">
                  <c:v>02/28/17</c:v>
                </c:pt>
                <c:pt idx="71">
                  <c:v>03/31/17</c:v>
                </c:pt>
                <c:pt idx="72">
                  <c:v>04/30/17</c:v>
                </c:pt>
                <c:pt idx="73">
                  <c:v>05/31/17</c:v>
                </c:pt>
                <c:pt idx="74">
                  <c:v>06/30/17</c:v>
                </c:pt>
                <c:pt idx="75">
                  <c:v>07/31/17</c:v>
                </c:pt>
                <c:pt idx="76">
                  <c:v>08/31/17</c:v>
                </c:pt>
                <c:pt idx="77">
                  <c:v>09/30/17</c:v>
                </c:pt>
                <c:pt idx="78">
                  <c:v>10/31/17</c:v>
                </c:pt>
                <c:pt idx="79">
                  <c:v>11/30/17</c:v>
                </c:pt>
                <c:pt idx="80">
                  <c:v>12/31/17</c:v>
                </c:pt>
                <c:pt idx="81">
                  <c:v>01/31/18</c:v>
                </c:pt>
                <c:pt idx="82">
                  <c:v>02/28/18</c:v>
                </c:pt>
                <c:pt idx="83">
                  <c:v>03/31/18</c:v>
                </c:pt>
                <c:pt idx="84">
                  <c:v>04/30/18</c:v>
                </c:pt>
                <c:pt idx="85">
                  <c:v>05/31/18</c:v>
                </c:pt>
                <c:pt idx="86">
                  <c:v>06/30/18</c:v>
                </c:pt>
                <c:pt idx="87">
                  <c:v>07/31/18</c:v>
                </c:pt>
                <c:pt idx="88">
                  <c:v>08/31/18</c:v>
                </c:pt>
                <c:pt idx="89">
                  <c:v>09/30/18</c:v>
                </c:pt>
                <c:pt idx="90">
                  <c:v>10/31/18</c:v>
                </c:pt>
                <c:pt idx="91">
                  <c:v>11/30/18</c:v>
                </c:pt>
                <c:pt idx="92">
                  <c:v>12/31/18</c:v>
                </c:pt>
                <c:pt idx="93">
                  <c:v>01/31/19</c:v>
                </c:pt>
                <c:pt idx="94">
                  <c:v>02/28/19</c:v>
                </c:pt>
                <c:pt idx="95">
                  <c:v>03/31/19</c:v>
                </c:pt>
                <c:pt idx="96">
                  <c:v>04/30/19</c:v>
                </c:pt>
                <c:pt idx="97">
                  <c:v>05/31/19</c:v>
                </c:pt>
              </c:strCache>
            </c:strRef>
          </c:cat>
          <c:val>
            <c:numRef>
              <c:f>Graphs!$B$28:$CU$28</c:f>
              <c:numCache>
                <c:formatCode>General</c:formatCode>
                <c:ptCount val="98"/>
                <c:pt idx="0">
                  <c:v>1047.9448766671974</c:v>
                </c:pt>
                <c:pt idx="1">
                  <c:v>1080.2452824966854</c:v>
                </c:pt>
                <c:pt idx="2">
                  <c:v>1108.4312246480806</c:v>
                </c:pt>
                <c:pt idx="3">
                  <c:v>1127.378309491789</c:v>
                </c:pt>
                <c:pt idx="4">
                  <c:v>1159.7141421831629</c:v>
                </c:pt>
                <c:pt idx="5">
                  <c:v>1192.8618832469015</c:v>
                </c:pt>
                <c:pt idx="6">
                  <c:v>1217.1409410260942</c:v>
                </c:pt>
                <c:pt idx="7">
                  <c:v>1239.6241005467175</c:v>
                </c:pt>
                <c:pt idx="8">
                  <c:v>1266.7351017770673</c:v>
                </c:pt>
                <c:pt idx="9">
                  <c:v>1303.0680114760471</c:v>
                </c:pt>
                <c:pt idx="10">
                  <c:v>1341.2483747146998</c:v>
                </c:pt>
                <c:pt idx="11">
                  <c:v>1376.452991265038</c:v>
                </c:pt>
                <c:pt idx="12">
                  <c:v>1437.1927220758905</c:v>
                </c:pt>
                <c:pt idx="13">
                  <c:v>1458.4101217909965</c:v>
                </c:pt>
                <c:pt idx="14">
                  <c:v>1503.7951999174243</c:v>
                </c:pt>
                <c:pt idx="15">
                  <c:v>1524.507323448516</c:v>
                </c:pt>
                <c:pt idx="16">
                  <c:v>1554.8558334609293</c:v>
                </c:pt>
                <c:pt idx="17">
                  <c:v>1597.6866556253408</c:v>
                </c:pt>
                <c:pt idx="18">
                  <c:v>1626.2310140726381</c:v>
                </c:pt>
                <c:pt idx="19">
                  <c:v>1657.0105015440311</c:v>
                </c:pt>
                <c:pt idx="20">
                  <c:v>1697.5187371618842</c:v>
                </c:pt>
                <c:pt idx="21">
                  <c:v>1731.1089471723812</c:v>
                </c:pt>
                <c:pt idx="22">
                  <c:v>1776.4629524796533</c:v>
                </c:pt>
                <c:pt idx="23">
                  <c:v>1804.2673066337316</c:v>
                </c:pt>
                <c:pt idx="24">
                  <c:v>1837.8118237440658</c:v>
                </c:pt>
                <c:pt idx="25">
                  <c:v>1866.1579780074526</c:v>
                </c:pt>
                <c:pt idx="26">
                  <c:v>1874.7467748488298</c:v>
                </c:pt>
                <c:pt idx="27">
                  <c:v>1894.9413394163928</c:v>
                </c:pt>
                <c:pt idx="28">
                  <c:v>1907.4965131134056</c:v>
                </c:pt>
                <c:pt idx="29">
                  <c:v>1925.9262884340626</c:v>
                </c:pt>
                <c:pt idx="30">
                  <c:v>1943.694831961179</c:v>
                </c:pt>
                <c:pt idx="31">
                  <c:v>1966.5040668221436</c:v>
                </c:pt>
                <c:pt idx="32">
                  <c:v>1988.0511093568878</c:v>
                </c:pt>
                <c:pt idx="33">
                  <c:v>2023.5697407964292</c:v>
                </c:pt>
                <c:pt idx="34">
                  <c:v>2030.6410314843351</c:v>
                </c:pt>
                <c:pt idx="35">
                  <c:v>2059.3201673941671</c:v>
                </c:pt>
                <c:pt idx="36">
                  <c:v>2097.9917206682235</c:v>
                </c:pt>
                <c:pt idx="37">
                  <c:v>2111.1452308242492</c:v>
                </c:pt>
                <c:pt idx="38">
                  <c:v>2121.4686588648874</c:v>
                </c:pt>
                <c:pt idx="39">
                  <c:v>2130.5801781408441</c:v>
                </c:pt>
                <c:pt idx="40">
                  <c:v>2159.9494160482536</c:v>
                </c:pt>
                <c:pt idx="41">
                  <c:v>2230.5042033418472</c:v>
                </c:pt>
                <c:pt idx="42">
                  <c:v>2281.9304600207461</c:v>
                </c:pt>
                <c:pt idx="43">
                  <c:v>2355.141298623565</c:v>
                </c:pt>
                <c:pt idx="44">
                  <c:v>2380.0631974314933</c:v>
                </c:pt>
                <c:pt idx="45">
                  <c:v>2401.7987840168876</c:v>
                </c:pt>
                <c:pt idx="46">
                  <c:v>2401.7987840168876</c:v>
                </c:pt>
                <c:pt idx="47">
                  <c:v>2425.9372630988087</c:v>
                </c:pt>
                <c:pt idx="48">
                  <c:v>2425.9372630988087</c:v>
                </c:pt>
                <c:pt idx="49">
                  <c:v>2437.8000134207869</c:v>
                </c:pt>
                <c:pt idx="50">
                  <c:v>2461.699823055219</c:v>
                </c:pt>
                <c:pt idx="51">
                  <c:v>2461.699823055219</c:v>
                </c:pt>
                <c:pt idx="52">
                  <c:v>2476.2230838446812</c:v>
                </c:pt>
                <c:pt idx="53">
                  <c:v>2476.2230838446812</c:v>
                </c:pt>
                <c:pt idx="54">
                  <c:v>2463.2245673998327</c:v>
                </c:pt>
                <c:pt idx="55">
                  <c:v>2481.5384206530853</c:v>
                </c:pt>
                <c:pt idx="56">
                  <c:v>2498.1372781719642</c:v>
                </c:pt>
                <c:pt idx="57">
                  <c:v>2498.1372781719642</c:v>
                </c:pt>
                <c:pt idx="58">
                  <c:v>2525.2906783425833</c:v>
                </c:pt>
                <c:pt idx="59">
                  <c:v>2540.6419423254629</c:v>
                </c:pt>
                <c:pt idx="60">
                  <c:v>2526.1653893412317</c:v>
                </c:pt>
                <c:pt idx="61">
                  <c:v>2542.5159174884216</c:v>
                </c:pt>
                <c:pt idx="62">
                  <c:v>2560.1111133729537</c:v>
                </c:pt>
                <c:pt idx="63">
                  <c:v>2560.1111133729537</c:v>
                </c:pt>
                <c:pt idx="64">
                  <c:v>2544.6422112533105</c:v>
                </c:pt>
                <c:pt idx="65">
                  <c:v>2560.1111133729532</c:v>
                </c:pt>
                <c:pt idx="66">
                  <c:v>2560.1111133729532</c:v>
                </c:pt>
                <c:pt idx="67">
                  <c:v>2575.2149700663217</c:v>
                </c:pt>
                <c:pt idx="68">
                  <c:v>2575.2149700663217</c:v>
                </c:pt>
                <c:pt idx="69">
                  <c:v>2575.2149700663217</c:v>
                </c:pt>
                <c:pt idx="70">
                  <c:v>2558.6541593498532</c:v>
                </c:pt>
                <c:pt idx="71">
                  <c:v>2558.6541593498532</c:v>
                </c:pt>
                <c:pt idx="72">
                  <c:v>2558.6541593498532</c:v>
                </c:pt>
                <c:pt idx="73">
                  <c:v>2625.543317867337</c:v>
                </c:pt>
                <c:pt idx="74">
                  <c:v>2608.0979117146312</c:v>
                </c:pt>
                <c:pt idx="75">
                  <c:v>2648.5327345425799</c:v>
                </c:pt>
                <c:pt idx="76">
                  <c:v>2632.9988628715887</c:v>
                </c:pt>
                <c:pt idx="77">
                  <c:v>2603.9052504473125</c:v>
                </c:pt>
                <c:pt idx="78">
                  <c:v>2585.3721955086908</c:v>
                </c:pt>
                <c:pt idx="79">
                  <c:v>2585.3721955086908</c:v>
                </c:pt>
                <c:pt idx="80">
                  <c:v>2565.5610116309558</c:v>
                </c:pt>
                <c:pt idx="81">
                  <c:v>2583.9520515205095</c:v>
                </c:pt>
                <c:pt idx="82">
                  <c:v>2583.9520515205095</c:v>
                </c:pt>
                <c:pt idx="83">
                  <c:v>2583.9520515205095</c:v>
                </c:pt>
                <c:pt idx="84">
                  <c:v>2560.5680303768227</c:v>
                </c:pt>
                <c:pt idx="85">
                  <c:v>2560.5680303768227</c:v>
                </c:pt>
                <c:pt idx="86">
                  <c:v>2560.5680303768227</c:v>
                </c:pt>
                <c:pt idx="87">
                  <c:v>2560.5680303768227</c:v>
                </c:pt>
                <c:pt idx="88">
                  <c:v>2560.5680303768227</c:v>
                </c:pt>
                <c:pt idx="89">
                  <c:v>2538.3987492885053</c:v>
                </c:pt>
                <c:pt idx="90">
                  <c:v>2510.3504312920727</c:v>
                </c:pt>
                <c:pt idx="91">
                  <c:v>2489.5177676889084</c:v>
                </c:pt>
                <c:pt idx="92">
                  <c:v>2467.963636530701</c:v>
                </c:pt>
                <c:pt idx="93">
                  <c:v>2487.7865314807532</c:v>
                </c:pt>
                <c:pt idx="94">
                  <c:v>2464.2057938822895</c:v>
                </c:pt>
                <c:pt idx="95">
                  <c:v>2446.6670369132157</c:v>
                </c:pt>
                <c:pt idx="96">
                  <c:v>2419.6323186279319</c:v>
                </c:pt>
                <c:pt idx="97">
                  <c:v>2401.0911658824502</c:v>
                </c:pt>
              </c:numCache>
            </c:numRef>
          </c:val>
          <c:smooth val="0"/>
          <c:extLst>
            <c:ext xmlns:c16="http://schemas.microsoft.com/office/drawing/2014/chart" uri="{C3380CC4-5D6E-409C-BE32-E72D297353CC}">
              <c16:uniqueId val="{00000001-AA8D-4541-830A-DA504A6D0E85}"/>
            </c:ext>
          </c:extLst>
        </c:ser>
        <c:ser>
          <c:idx val="2"/>
          <c:order val="2"/>
          <c:tx>
            <c:strRef>
              <c:f>Graphs!$A$29</c:f>
              <c:strCache>
                <c:ptCount val="1"/>
                <c:pt idx="0">
                  <c:v>Weapons: Vulnerability exploitation</c:v>
                </c:pt>
              </c:strCache>
            </c:strRef>
          </c:tx>
          <c:spPr>
            <a:ln w="28575" cap="rnd">
              <a:solidFill>
                <a:schemeClr val="accent3"/>
              </a:solidFill>
              <a:round/>
            </a:ln>
            <a:effectLst/>
          </c:spPr>
          <c:marker>
            <c:symbol val="none"/>
          </c:marker>
          <c:cat>
            <c:strRef>
              <c:f>Graphs!$B$26:$CU$26</c:f>
              <c:strCache>
                <c:ptCount val="98"/>
                <c:pt idx="0">
                  <c:v>Apr-11</c:v>
                </c:pt>
                <c:pt idx="1">
                  <c:v>May-11</c:v>
                </c:pt>
                <c:pt idx="2">
                  <c:v>Jun-11</c:v>
                </c:pt>
                <c:pt idx="3">
                  <c:v>Jul-11</c:v>
                </c:pt>
                <c:pt idx="4">
                  <c:v>Aug-11</c:v>
                </c:pt>
                <c:pt idx="5">
                  <c:v>Sep-11</c:v>
                </c:pt>
                <c:pt idx="6">
                  <c:v>Oct-11</c:v>
                </c:pt>
                <c:pt idx="7">
                  <c:v>Nov-11</c:v>
                </c:pt>
                <c:pt idx="8">
                  <c:v>Dec-11</c:v>
                </c:pt>
                <c:pt idx="9">
                  <c:v>Jan-12</c:v>
                </c:pt>
                <c:pt idx="10">
                  <c:v>Feb-12</c:v>
                </c:pt>
                <c:pt idx="11">
                  <c:v>Mar-12</c:v>
                </c:pt>
                <c:pt idx="12">
                  <c:v>Apr-12</c:v>
                </c:pt>
                <c:pt idx="13">
                  <c:v>May-12</c:v>
                </c:pt>
                <c:pt idx="14">
                  <c:v>Jun-12</c:v>
                </c:pt>
                <c:pt idx="15">
                  <c:v>Jul-12</c:v>
                </c:pt>
                <c:pt idx="16">
                  <c:v>Aug-12</c:v>
                </c:pt>
                <c:pt idx="17">
                  <c:v>Sep-12</c:v>
                </c:pt>
                <c:pt idx="18">
                  <c:v>Oct-12</c:v>
                </c:pt>
                <c:pt idx="19">
                  <c:v>Nov-12</c:v>
                </c:pt>
                <c:pt idx="20">
                  <c:v>Dec-12</c:v>
                </c:pt>
                <c:pt idx="21">
                  <c:v>Jan-13</c:v>
                </c:pt>
                <c:pt idx="22">
                  <c:v>Feb-13</c:v>
                </c:pt>
                <c:pt idx="23">
                  <c:v>Mar-13</c:v>
                </c:pt>
                <c:pt idx="24">
                  <c:v>Apr-13</c:v>
                </c:pt>
                <c:pt idx="25">
                  <c:v>May-13</c:v>
                </c:pt>
                <c:pt idx="26">
                  <c:v>Jun-13</c:v>
                </c:pt>
                <c:pt idx="27">
                  <c:v>Jul-13</c:v>
                </c:pt>
                <c:pt idx="28">
                  <c:v>Aug-13</c:v>
                </c:pt>
                <c:pt idx="29">
                  <c:v>Sep-13</c:v>
                </c:pt>
                <c:pt idx="30">
                  <c:v>Oct-13</c:v>
                </c:pt>
                <c:pt idx="31">
                  <c:v>Nov-13</c:v>
                </c:pt>
                <c:pt idx="32">
                  <c:v>Dec-13</c:v>
                </c:pt>
                <c:pt idx="33">
                  <c:v>Jan-14</c:v>
                </c:pt>
                <c:pt idx="34">
                  <c:v>Feb-14</c:v>
                </c:pt>
                <c:pt idx="35">
                  <c:v>Mar-14</c:v>
                </c:pt>
                <c:pt idx="36">
                  <c:v>Apr-14</c:v>
                </c:pt>
                <c:pt idx="37">
                  <c:v>May-14</c:v>
                </c:pt>
                <c:pt idx="38">
                  <c:v>Jun-14</c:v>
                </c:pt>
                <c:pt idx="39">
                  <c:v>Jul-14</c:v>
                </c:pt>
                <c:pt idx="40">
                  <c:v>Aug-14</c:v>
                </c:pt>
                <c:pt idx="41">
                  <c:v>Sep-14</c:v>
                </c:pt>
                <c:pt idx="42">
                  <c:v>Oct-14</c:v>
                </c:pt>
                <c:pt idx="43">
                  <c:v>Nov-14</c:v>
                </c:pt>
                <c:pt idx="44">
                  <c:v>12/31/14</c:v>
                </c:pt>
                <c:pt idx="45">
                  <c:v>01/31/15</c:v>
                </c:pt>
                <c:pt idx="46">
                  <c:v>02/28/15</c:v>
                </c:pt>
                <c:pt idx="47">
                  <c:v>03/31/15</c:v>
                </c:pt>
                <c:pt idx="48">
                  <c:v>04/30/15</c:v>
                </c:pt>
                <c:pt idx="49">
                  <c:v>05/31/15</c:v>
                </c:pt>
                <c:pt idx="50">
                  <c:v>06/30/15</c:v>
                </c:pt>
                <c:pt idx="51">
                  <c:v>07/31/15</c:v>
                </c:pt>
                <c:pt idx="52">
                  <c:v>08/31/15</c:v>
                </c:pt>
                <c:pt idx="53">
                  <c:v>09/30/15</c:v>
                </c:pt>
                <c:pt idx="54">
                  <c:v>10/31/15</c:v>
                </c:pt>
                <c:pt idx="55">
                  <c:v>11/30/15</c:v>
                </c:pt>
                <c:pt idx="56">
                  <c:v>12/31/15</c:v>
                </c:pt>
                <c:pt idx="57">
                  <c:v>01/31/16</c:v>
                </c:pt>
                <c:pt idx="58">
                  <c:v>02/29/16</c:v>
                </c:pt>
                <c:pt idx="59">
                  <c:v>03/31/16</c:v>
                </c:pt>
                <c:pt idx="60">
                  <c:v>04/30/16</c:v>
                </c:pt>
                <c:pt idx="61">
                  <c:v>05/31/16</c:v>
                </c:pt>
                <c:pt idx="62">
                  <c:v>06/30/16</c:v>
                </c:pt>
                <c:pt idx="63">
                  <c:v>07/31/16</c:v>
                </c:pt>
                <c:pt idx="64">
                  <c:v>08/31/16</c:v>
                </c:pt>
                <c:pt idx="65">
                  <c:v>09/30/16</c:v>
                </c:pt>
                <c:pt idx="66">
                  <c:v>10/31/16</c:v>
                </c:pt>
                <c:pt idx="67">
                  <c:v>11/30/16</c:v>
                </c:pt>
                <c:pt idx="68">
                  <c:v>12/31/16</c:v>
                </c:pt>
                <c:pt idx="69">
                  <c:v>01/31/17</c:v>
                </c:pt>
                <c:pt idx="70">
                  <c:v>02/28/17</c:v>
                </c:pt>
                <c:pt idx="71">
                  <c:v>03/31/17</c:v>
                </c:pt>
                <c:pt idx="72">
                  <c:v>04/30/17</c:v>
                </c:pt>
                <c:pt idx="73">
                  <c:v>05/31/17</c:v>
                </c:pt>
                <c:pt idx="74">
                  <c:v>06/30/17</c:v>
                </c:pt>
                <c:pt idx="75">
                  <c:v>07/31/17</c:v>
                </c:pt>
                <c:pt idx="76">
                  <c:v>08/31/17</c:v>
                </c:pt>
                <c:pt idx="77">
                  <c:v>09/30/17</c:v>
                </c:pt>
                <c:pt idx="78">
                  <c:v>10/31/17</c:v>
                </c:pt>
                <c:pt idx="79">
                  <c:v>11/30/17</c:v>
                </c:pt>
                <c:pt idx="80">
                  <c:v>12/31/17</c:v>
                </c:pt>
                <c:pt idx="81">
                  <c:v>01/31/18</c:v>
                </c:pt>
                <c:pt idx="82">
                  <c:v>02/28/18</c:v>
                </c:pt>
                <c:pt idx="83">
                  <c:v>03/31/18</c:v>
                </c:pt>
                <c:pt idx="84">
                  <c:v>04/30/18</c:v>
                </c:pt>
                <c:pt idx="85">
                  <c:v>05/31/18</c:v>
                </c:pt>
                <c:pt idx="86">
                  <c:v>06/30/18</c:v>
                </c:pt>
                <c:pt idx="87">
                  <c:v>07/31/18</c:v>
                </c:pt>
                <c:pt idx="88">
                  <c:v>08/31/18</c:v>
                </c:pt>
                <c:pt idx="89">
                  <c:v>09/30/18</c:v>
                </c:pt>
                <c:pt idx="90">
                  <c:v>10/31/18</c:v>
                </c:pt>
                <c:pt idx="91">
                  <c:v>11/30/18</c:v>
                </c:pt>
                <c:pt idx="92">
                  <c:v>12/31/18</c:v>
                </c:pt>
                <c:pt idx="93">
                  <c:v>01/31/19</c:v>
                </c:pt>
                <c:pt idx="94">
                  <c:v>02/28/19</c:v>
                </c:pt>
                <c:pt idx="95">
                  <c:v>03/31/19</c:v>
                </c:pt>
                <c:pt idx="96">
                  <c:v>04/30/19</c:v>
                </c:pt>
                <c:pt idx="97">
                  <c:v>05/31/19</c:v>
                </c:pt>
              </c:strCache>
            </c:strRef>
          </c:cat>
          <c:val>
            <c:numRef>
              <c:f>Graphs!$B$29:$CU$29</c:f>
              <c:numCache>
                <c:formatCode>General</c:formatCode>
                <c:ptCount val="98"/>
                <c:pt idx="0">
                  <c:v>1000</c:v>
                </c:pt>
                <c:pt idx="1">
                  <c:v>1000</c:v>
                </c:pt>
                <c:pt idx="2">
                  <c:v>1000</c:v>
                </c:pt>
                <c:pt idx="3">
                  <c:v>1000</c:v>
                </c:pt>
                <c:pt idx="4">
                  <c:v>1000</c:v>
                </c:pt>
                <c:pt idx="5">
                  <c:v>1000</c:v>
                </c:pt>
                <c:pt idx="6">
                  <c:v>1000</c:v>
                </c:pt>
                <c:pt idx="7">
                  <c:v>1000</c:v>
                </c:pt>
                <c:pt idx="8">
                  <c:v>1000</c:v>
                </c:pt>
                <c:pt idx="9">
                  <c:v>1000</c:v>
                </c:pt>
                <c:pt idx="10">
                  <c:v>1000</c:v>
                </c:pt>
                <c:pt idx="11">
                  <c:v>1000</c:v>
                </c:pt>
                <c:pt idx="12">
                  <c:v>1000</c:v>
                </c:pt>
                <c:pt idx="13">
                  <c:v>1020.4652193217524</c:v>
                </c:pt>
                <c:pt idx="14">
                  <c:v>1074.5172854217869</c:v>
                </c:pt>
                <c:pt idx="15">
                  <c:v>1105.3625831648267</c:v>
                </c:pt>
                <c:pt idx="16">
                  <c:v>1121.9601133411236</c:v>
                </c:pt>
                <c:pt idx="17">
                  <c:v>1168.0020600735822</c:v>
                </c:pt>
                <c:pt idx="18">
                  <c:v>1207.5916224838647</c:v>
                </c:pt>
                <c:pt idx="19">
                  <c:v>1224.0556492940045</c:v>
                </c:pt>
                <c:pt idx="20">
                  <c:v>1242.3442967394099</c:v>
                </c:pt>
                <c:pt idx="21">
                  <c:v>1271.2149918245259</c:v>
                </c:pt>
                <c:pt idx="22">
                  <c:v>1327.7789878233498</c:v>
                </c:pt>
                <c:pt idx="23">
                  <c:v>1359.845715375656</c:v>
                </c:pt>
                <c:pt idx="24">
                  <c:v>1393.6589855474729</c:v>
                </c:pt>
                <c:pt idx="25">
                  <c:v>1417.3222996162435</c:v>
                </c:pt>
                <c:pt idx="26">
                  <c:v>1444.3320101358456</c:v>
                </c:pt>
                <c:pt idx="27">
                  <c:v>1466.1602931315799</c:v>
                </c:pt>
                <c:pt idx="28">
                  <c:v>1498.3208551320099</c:v>
                </c:pt>
                <c:pt idx="29">
                  <c:v>1512.7972730591214</c:v>
                </c:pt>
                <c:pt idx="30">
                  <c:v>1535.3469079184435</c:v>
                </c:pt>
                <c:pt idx="31">
                  <c:v>1563.7545422055773</c:v>
                </c:pt>
                <c:pt idx="32">
                  <c:v>1611.5845581671533</c:v>
                </c:pt>
                <c:pt idx="33">
                  <c:v>1669.6842877038362</c:v>
                </c:pt>
                <c:pt idx="34">
                  <c:v>1709.9630610904921</c:v>
                </c:pt>
                <c:pt idx="35">
                  <c:v>1735.1709085586417</c:v>
                </c:pt>
                <c:pt idx="36">
                  <c:v>1819.8977779065001</c:v>
                </c:pt>
                <c:pt idx="37">
                  <c:v>1851.1846547523789</c:v>
                </c:pt>
                <c:pt idx="38">
                  <c:v>1878.4743556086173</c:v>
                </c:pt>
                <c:pt idx="39">
                  <c:v>1897.3533367458087</c:v>
                </c:pt>
                <c:pt idx="40">
                  <c:v>1955.8347360477737</c:v>
                </c:pt>
                <c:pt idx="41">
                  <c:v>2075.7880958291139</c:v>
                </c:pt>
                <c:pt idx="42">
                  <c:v>2161.4559882851104</c:v>
                </c:pt>
                <c:pt idx="43">
                  <c:v>2233.7388594564472</c:v>
                </c:pt>
                <c:pt idx="44">
                  <c:v>2245.5263723297826</c:v>
                </c:pt>
                <c:pt idx="45">
                  <c:v>2245.5263723297826</c:v>
                </c:pt>
                <c:pt idx="46">
                  <c:v>2245.5263723297826</c:v>
                </c:pt>
                <c:pt idx="47">
                  <c:v>2245.5263723297826</c:v>
                </c:pt>
                <c:pt idx="48">
                  <c:v>2245.5263723297826</c:v>
                </c:pt>
                <c:pt idx="49">
                  <c:v>2245.5263723297826</c:v>
                </c:pt>
                <c:pt idx="50">
                  <c:v>2267.5411612920943</c:v>
                </c:pt>
                <c:pt idx="51">
                  <c:v>2292.1881064755753</c:v>
                </c:pt>
                <c:pt idx="52">
                  <c:v>2319.3142782181894</c:v>
                </c:pt>
                <c:pt idx="53">
                  <c:v>2319.3142782181894</c:v>
                </c:pt>
                <c:pt idx="54">
                  <c:v>2307.1394281479838</c:v>
                </c:pt>
                <c:pt idx="55">
                  <c:v>2307.1394281479838</c:v>
                </c:pt>
                <c:pt idx="56">
                  <c:v>2322.5717415569934</c:v>
                </c:pt>
                <c:pt idx="57">
                  <c:v>2336.2741900801461</c:v>
                </c:pt>
                <c:pt idx="58">
                  <c:v>2323.6797506358766</c:v>
                </c:pt>
                <c:pt idx="59">
                  <c:v>2323.6797506358766</c:v>
                </c:pt>
                <c:pt idx="60">
                  <c:v>2323.6797506358766</c:v>
                </c:pt>
                <c:pt idx="61">
                  <c:v>2323.6797506358766</c:v>
                </c:pt>
                <c:pt idx="62">
                  <c:v>2323.6797506358766</c:v>
                </c:pt>
                <c:pt idx="63">
                  <c:v>2339.760515402827</c:v>
                </c:pt>
                <c:pt idx="64">
                  <c:v>2325.6230327728304</c:v>
                </c:pt>
                <c:pt idx="65">
                  <c:v>2339.760515402827</c:v>
                </c:pt>
                <c:pt idx="66">
                  <c:v>2354.4298124257043</c:v>
                </c:pt>
                <c:pt idx="67">
                  <c:v>2340.6208796201627</c:v>
                </c:pt>
                <c:pt idx="68">
                  <c:v>2356.2771483940728</c:v>
                </c:pt>
                <c:pt idx="69">
                  <c:v>2371.5280801026433</c:v>
                </c:pt>
                <c:pt idx="70">
                  <c:v>2371.5280801026433</c:v>
                </c:pt>
                <c:pt idx="71">
                  <c:v>2371.5280801026433</c:v>
                </c:pt>
                <c:pt idx="72">
                  <c:v>2402.3267159907182</c:v>
                </c:pt>
                <c:pt idx="73">
                  <c:v>2497.1433290270447</c:v>
                </c:pt>
                <c:pt idx="74">
                  <c:v>2530.6615315329527</c:v>
                </c:pt>
                <c:pt idx="75">
                  <c:v>2530.6615315329527</c:v>
                </c:pt>
                <c:pt idx="76">
                  <c:v>2545.5916448831249</c:v>
                </c:pt>
                <c:pt idx="77">
                  <c:v>2517.4638481905226</c:v>
                </c:pt>
                <c:pt idx="78">
                  <c:v>2517.4638481905226</c:v>
                </c:pt>
                <c:pt idx="79">
                  <c:v>2552.4280656844426</c:v>
                </c:pt>
                <c:pt idx="80">
                  <c:v>2532.8693260059508</c:v>
                </c:pt>
                <c:pt idx="81">
                  <c:v>2569.3128647252079</c:v>
                </c:pt>
                <c:pt idx="82">
                  <c:v>2569.3128647252079</c:v>
                </c:pt>
                <c:pt idx="83">
                  <c:v>2569.3128647252079</c:v>
                </c:pt>
                <c:pt idx="84">
                  <c:v>2569.3128647252079</c:v>
                </c:pt>
                <c:pt idx="85">
                  <c:v>2569.3128647252079</c:v>
                </c:pt>
                <c:pt idx="86">
                  <c:v>2569.3128647252079</c:v>
                </c:pt>
                <c:pt idx="87">
                  <c:v>2569.3128647252079</c:v>
                </c:pt>
                <c:pt idx="88">
                  <c:v>2549.6247402490003</c:v>
                </c:pt>
                <c:pt idx="89">
                  <c:v>2549.6247402490003</c:v>
                </c:pt>
                <c:pt idx="90">
                  <c:v>2521.4523794226643</c:v>
                </c:pt>
                <c:pt idx="91">
                  <c:v>2500.5275840008258</c:v>
                </c:pt>
                <c:pt idx="92">
                  <c:v>2478.8781303557112</c:v>
                </c:pt>
                <c:pt idx="93">
                  <c:v>2478.8781303557112</c:v>
                </c:pt>
                <c:pt idx="94">
                  <c:v>2455.3818319431234</c:v>
                </c:pt>
                <c:pt idx="95">
                  <c:v>2437.9058787075446</c:v>
                </c:pt>
                <c:pt idx="96">
                  <c:v>2437.9058787075446</c:v>
                </c:pt>
                <c:pt idx="97">
                  <c:v>2456.7313135425488</c:v>
                </c:pt>
              </c:numCache>
            </c:numRef>
          </c:val>
          <c:smooth val="0"/>
          <c:extLst>
            <c:ext xmlns:c16="http://schemas.microsoft.com/office/drawing/2014/chart" uri="{C3380CC4-5D6E-409C-BE32-E72D297353CC}">
              <c16:uniqueId val="{00000002-AA8D-4541-830A-DA504A6D0E85}"/>
            </c:ext>
          </c:extLst>
        </c:ser>
        <c:ser>
          <c:idx val="3"/>
          <c:order val="3"/>
          <c:tx>
            <c:strRef>
              <c:f>Graphs!$A$30</c:f>
              <c:strCache>
                <c:ptCount val="1"/>
                <c:pt idx="0">
                  <c:v>Weapons: Phishing/social engineering</c:v>
                </c:pt>
              </c:strCache>
            </c:strRef>
          </c:tx>
          <c:spPr>
            <a:ln w="28575" cap="rnd">
              <a:solidFill>
                <a:schemeClr val="accent4"/>
              </a:solidFill>
              <a:round/>
            </a:ln>
            <a:effectLst/>
          </c:spPr>
          <c:marker>
            <c:symbol val="none"/>
          </c:marker>
          <c:cat>
            <c:strRef>
              <c:f>Graphs!$B$26:$CU$26</c:f>
              <c:strCache>
                <c:ptCount val="98"/>
                <c:pt idx="0">
                  <c:v>Apr-11</c:v>
                </c:pt>
                <c:pt idx="1">
                  <c:v>May-11</c:v>
                </c:pt>
                <c:pt idx="2">
                  <c:v>Jun-11</c:v>
                </c:pt>
                <c:pt idx="3">
                  <c:v>Jul-11</c:v>
                </c:pt>
                <c:pt idx="4">
                  <c:v>Aug-11</c:v>
                </c:pt>
                <c:pt idx="5">
                  <c:v>Sep-11</c:v>
                </c:pt>
                <c:pt idx="6">
                  <c:v>Oct-11</c:v>
                </c:pt>
                <c:pt idx="7">
                  <c:v>Nov-11</c:v>
                </c:pt>
                <c:pt idx="8">
                  <c:v>Dec-11</c:v>
                </c:pt>
                <c:pt idx="9">
                  <c:v>Jan-12</c:v>
                </c:pt>
                <c:pt idx="10">
                  <c:v>Feb-12</c:v>
                </c:pt>
                <c:pt idx="11">
                  <c:v>Mar-12</c:v>
                </c:pt>
                <c:pt idx="12">
                  <c:v>Apr-12</c:v>
                </c:pt>
                <c:pt idx="13">
                  <c:v>May-12</c:v>
                </c:pt>
                <c:pt idx="14">
                  <c:v>Jun-12</c:v>
                </c:pt>
                <c:pt idx="15">
                  <c:v>Jul-12</c:v>
                </c:pt>
                <c:pt idx="16">
                  <c:v>Aug-12</c:v>
                </c:pt>
                <c:pt idx="17">
                  <c:v>Sep-12</c:v>
                </c:pt>
                <c:pt idx="18">
                  <c:v>Oct-12</c:v>
                </c:pt>
                <c:pt idx="19">
                  <c:v>Nov-12</c:v>
                </c:pt>
                <c:pt idx="20">
                  <c:v>Dec-12</c:v>
                </c:pt>
                <c:pt idx="21">
                  <c:v>Jan-13</c:v>
                </c:pt>
                <c:pt idx="22">
                  <c:v>Feb-13</c:v>
                </c:pt>
                <c:pt idx="23">
                  <c:v>Mar-13</c:v>
                </c:pt>
                <c:pt idx="24">
                  <c:v>Apr-13</c:v>
                </c:pt>
                <c:pt idx="25">
                  <c:v>May-13</c:v>
                </c:pt>
                <c:pt idx="26">
                  <c:v>Jun-13</c:v>
                </c:pt>
                <c:pt idx="27">
                  <c:v>Jul-13</c:v>
                </c:pt>
                <c:pt idx="28">
                  <c:v>Aug-13</c:v>
                </c:pt>
                <c:pt idx="29">
                  <c:v>Sep-13</c:v>
                </c:pt>
                <c:pt idx="30">
                  <c:v>Oct-13</c:v>
                </c:pt>
                <c:pt idx="31">
                  <c:v>Nov-13</c:v>
                </c:pt>
                <c:pt idx="32">
                  <c:v>Dec-13</c:v>
                </c:pt>
                <c:pt idx="33">
                  <c:v>Jan-14</c:v>
                </c:pt>
                <c:pt idx="34">
                  <c:v>Feb-14</c:v>
                </c:pt>
                <c:pt idx="35">
                  <c:v>Mar-14</c:v>
                </c:pt>
                <c:pt idx="36">
                  <c:v>Apr-14</c:v>
                </c:pt>
                <c:pt idx="37">
                  <c:v>May-14</c:v>
                </c:pt>
                <c:pt idx="38">
                  <c:v>Jun-14</c:v>
                </c:pt>
                <c:pt idx="39">
                  <c:v>Jul-14</c:v>
                </c:pt>
                <c:pt idx="40">
                  <c:v>Aug-14</c:v>
                </c:pt>
                <c:pt idx="41">
                  <c:v>Sep-14</c:v>
                </c:pt>
                <c:pt idx="42">
                  <c:v>Oct-14</c:v>
                </c:pt>
                <c:pt idx="43">
                  <c:v>Nov-14</c:v>
                </c:pt>
                <c:pt idx="44">
                  <c:v>12/31/14</c:v>
                </c:pt>
                <c:pt idx="45">
                  <c:v>01/31/15</c:v>
                </c:pt>
                <c:pt idx="46">
                  <c:v>02/28/15</c:v>
                </c:pt>
                <c:pt idx="47">
                  <c:v>03/31/15</c:v>
                </c:pt>
                <c:pt idx="48">
                  <c:v>04/30/15</c:v>
                </c:pt>
                <c:pt idx="49">
                  <c:v>05/31/15</c:v>
                </c:pt>
                <c:pt idx="50">
                  <c:v>06/30/15</c:v>
                </c:pt>
                <c:pt idx="51">
                  <c:v>07/31/15</c:v>
                </c:pt>
                <c:pt idx="52">
                  <c:v>08/31/15</c:v>
                </c:pt>
                <c:pt idx="53">
                  <c:v>09/30/15</c:v>
                </c:pt>
                <c:pt idx="54">
                  <c:v>10/31/15</c:v>
                </c:pt>
                <c:pt idx="55">
                  <c:v>11/30/15</c:v>
                </c:pt>
                <c:pt idx="56">
                  <c:v>12/31/15</c:v>
                </c:pt>
                <c:pt idx="57">
                  <c:v>01/31/16</c:v>
                </c:pt>
                <c:pt idx="58">
                  <c:v>02/29/16</c:v>
                </c:pt>
                <c:pt idx="59">
                  <c:v>03/31/16</c:v>
                </c:pt>
                <c:pt idx="60">
                  <c:v>04/30/16</c:v>
                </c:pt>
                <c:pt idx="61">
                  <c:v>05/31/16</c:v>
                </c:pt>
                <c:pt idx="62">
                  <c:v>06/30/16</c:v>
                </c:pt>
                <c:pt idx="63">
                  <c:v>07/31/16</c:v>
                </c:pt>
                <c:pt idx="64">
                  <c:v>08/31/16</c:v>
                </c:pt>
                <c:pt idx="65">
                  <c:v>09/30/16</c:v>
                </c:pt>
                <c:pt idx="66">
                  <c:v>10/31/16</c:v>
                </c:pt>
                <c:pt idx="67">
                  <c:v>11/30/16</c:v>
                </c:pt>
                <c:pt idx="68">
                  <c:v>12/31/16</c:v>
                </c:pt>
                <c:pt idx="69">
                  <c:v>01/31/17</c:v>
                </c:pt>
                <c:pt idx="70">
                  <c:v>02/28/17</c:v>
                </c:pt>
                <c:pt idx="71">
                  <c:v>03/31/17</c:v>
                </c:pt>
                <c:pt idx="72">
                  <c:v>04/30/17</c:v>
                </c:pt>
                <c:pt idx="73">
                  <c:v>05/31/17</c:v>
                </c:pt>
                <c:pt idx="74">
                  <c:v>06/30/17</c:v>
                </c:pt>
                <c:pt idx="75">
                  <c:v>07/31/17</c:v>
                </c:pt>
                <c:pt idx="76">
                  <c:v>08/31/17</c:v>
                </c:pt>
                <c:pt idx="77">
                  <c:v>09/30/17</c:v>
                </c:pt>
                <c:pt idx="78">
                  <c:v>10/31/17</c:v>
                </c:pt>
                <c:pt idx="79">
                  <c:v>11/30/17</c:v>
                </c:pt>
                <c:pt idx="80">
                  <c:v>12/31/17</c:v>
                </c:pt>
                <c:pt idx="81">
                  <c:v>01/31/18</c:v>
                </c:pt>
                <c:pt idx="82">
                  <c:v>02/28/18</c:v>
                </c:pt>
                <c:pt idx="83">
                  <c:v>03/31/18</c:v>
                </c:pt>
                <c:pt idx="84">
                  <c:v>04/30/18</c:v>
                </c:pt>
                <c:pt idx="85">
                  <c:v>05/31/18</c:v>
                </c:pt>
                <c:pt idx="86">
                  <c:v>06/30/18</c:v>
                </c:pt>
                <c:pt idx="87">
                  <c:v>07/31/18</c:v>
                </c:pt>
                <c:pt idx="88">
                  <c:v>08/31/18</c:v>
                </c:pt>
                <c:pt idx="89">
                  <c:v>09/30/18</c:v>
                </c:pt>
                <c:pt idx="90">
                  <c:v>10/31/18</c:v>
                </c:pt>
                <c:pt idx="91">
                  <c:v>11/30/18</c:v>
                </c:pt>
                <c:pt idx="92">
                  <c:v>12/31/18</c:v>
                </c:pt>
                <c:pt idx="93">
                  <c:v>01/31/19</c:v>
                </c:pt>
                <c:pt idx="94">
                  <c:v>02/28/19</c:v>
                </c:pt>
                <c:pt idx="95">
                  <c:v>03/31/19</c:v>
                </c:pt>
                <c:pt idx="96">
                  <c:v>04/30/19</c:v>
                </c:pt>
                <c:pt idx="97">
                  <c:v>05/31/19</c:v>
                </c:pt>
              </c:strCache>
            </c:strRef>
          </c:cat>
          <c:val>
            <c:numRef>
              <c:f>Graphs!$B$30:$CU$30</c:f>
              <c:numCache>
                <c:formatCode>General</c:formatCode>
                <c:ptCount val="98"/>
                <c:pt idx="0">
                  <c:v>1000</c:v>
                </c:pt>
                <c:pt idx="1">
                  <c:v>1000</c:v>
                </c:pt>
                <c:pt idx="2">
                  <c:v>1000</c:v>
                </c:pt>
                <c:pt idx="3">
                  <c:v>1000</c:v>
                </c:pt>
                <c:pt idx="4">
                  <c:v>1000</c:v>
                </c:pt>
                <c:pt idx="5">
                  <c:v>1000</c:v>
                </c:pt>
                <c:pt idx="6">
                  <c:v>1000</c:v>
                </c:pt>
                <c:pt idx="7">
                  <c:v>1000</c:v>
                </c:pt>
                <c:pt idx="8">
                  <c:v>1000</c:v>
                </c:pt>
                <c:pt idx="9">
                  <c:v>1000</c:v>
                </c:pt>
                <c:pt idx="10">
                  <c:v>1000</c:v>
                </c:pt>
                <c:pt idx="11">
                  <c:v>1000</c:v>
                </c:pt>
                <c:pt idx="12">
                  <c:v>1000</c:v>
                </c:pt>
                <c:pt idx="13">
                  <c:v>1045.8475258241865</c:v>
                </c:pt>
                <c:pt idx="14">
                  <c:v>1088.4415919530147</c:v>
                </c:pt>
                <c:pt idx="15">
                  <c:v>1129.2338499469809</c:v>
                </c:pt>
                <c:pt idx="16">
                  <c:v>1182.5737887006619</c:v>
                </c:pt>
                <c:pt idx="17">
                  <c:v>1232.4420256986964</c:v>
                </c:pt>
                <c:pt idx="18">
                  <c:v>1283.5409013386691</c:v>
                </c:pt>
                <c:pt idx="19">
                  <c:v>1337.4548218869177</c:v>
                </c:pt>
                <c:pt idx="20">
                  <c:v>1402.4574907191536</c:v>
                </c:pt>
                <c:pt idx="21">
                  <c:v>1459.4956242220144</c:v>
                </c:pt>
                <c:pt idx="22">
                  <c:v>1532.3428055857883</c:v>
                </c:pt>
                <c:pt idx="23">
                  <c:v>1599.3556670244416</c:v>
                </c:pt>
                <c:pt idx="24">
                  <c:v>1644.8858923617217</c:v>
                </c:pt>
                <c:pt idx="25">
                  <c:v>1688.2482005904544</c:v>
                </c:pt>
                <c:pt idx="26">
                  <c:v>1730.9864072635519</c:v>
                </c:pt>
                <c:pt idx="27">
                  <c:v>1778.6137713771911</c:v>
                </c:pt>
                <c:pt idx="28">
                  <c:v>1840.9251479073762</c:v>
                </c:pt>
                <c:pt idx="29">
                  <c:v>1885.1100322714167</c:v>
                </c:pt>
                <c:pt idx="30">
                  <c:v>1979.7405159956827</c:v>
                </c:pt>
                <c:pt idx="31">
                  <c:v>2050.2582966742648</c:v>
                </c:pt>
                <c:pt idx="32">
                  <c:v>2130.6504784694584</c:v>
                </c:pt>
                <c:pt idx="33">
                  <c:v>2208.6132326932175</c:v>
                </c:pt>
                <c:pt idx="34">
                  <c:v>2284.3596680779392</c:v>
                </c:pt>
                <c:pt idx="35">
                  <c:v>2378.1661244533284</c:v>
                </c:pt>
                <c:pt idx="36">
                  <c:v>2488.4959502602765</c:v>
                </c:pt>
                <c:pt idx="37">
                  <c:v>2570.4085510928185</c:v>
                </c:pt>
                <c:pt idx="38">
                  <c:v>2662.9398232615586</c:v>
                </c:pt>
                <c:pt idx="39">
                  <c:v>2720.6185992810997</c:v>
                </c:pt>
                <c:pt idx="40">
                  <c:v>2807.8158392619357</c:v>
                </c:pt>
                <c:pt idx="41">
                  <c:v>2887.4769414776561</c:v>
                </c:pt>
                <c:pt idx="42">
                  <c:v>3046.7015937647825</c:v>
                </c:pt>
                <c:pt idx="43">
                  <c:v>3198.6977418188444</c:v>
                </c:pt>
                <c:pt idx="44">
                  <c:v>3249.6043321595571</c:v>
                </c:pt>
                <c:pt idx="45">
                  <c:v>3264.4088821567202</c:v>
                </c:pt>
                <c:pt idx="46">
                  <c:v>3333.8617978128123</c:v>
                </c:pt>
                <c:pt idx="47">
                  <c:v>3350.5728496167089</c:v>
                </c:pt>
                <c:pt idx="48">
                  <c:v>3386.0283178536006</c:v>
                </c:pt>
                <c:pt idx="49">
                  <c:v>3386.0283178536006</c:v>
                </c:pt>
                <c:pt idx="50">
                  <c:v>3419.2244093163868</c:v>
                </c:pt>
                <c:pt idx="51">
                  <c:v>3456.3895280913066</c:v>
                </c:pt>
                <c:pt idx="52">
                  <c:v>3497.2930716022006</c:v>
                </c:pt>
                <c:pt idx="53">
                  <c:v>3516.7765482121104</c:v>
                </c:pt>
                <c:pt idx="54">
                  <c:v>3516.7765482121104</c:v>
                </c:pt>
                <c:pt idx="55">
                  <c:v>3516.7765482121104</c:v>
                </c:pt>
                <c:pt idx="56">
                  <c:v>3540.3000497479625</c:v>
                </c:pt>
                <c:pt idx="57">
                  <c:v>3561.1867153007197</c:v>
                </c:pt>
                <c:pt idx="58">
                  <c:v>3639.0237965990827</c:v>
                </c:pt>
                <c:pt idx="59">
                  <c:v>3705.7930191984897</c:v>
                </c:pt>
                <c:pt idx="60">
                  <c:v>3791.4723214400751</c:v>
                </c:pt>
                <c:pt idx="61">
                  <c:v>3865.5704219440672</c:v>
                </c:pt>
                <c:pt idx="62">
                  <c:v>3946.380828104031</c:v>
                </c:pt>
                <c:pt idx="63">
                  <c:v>4084.8363710946546</c:v>
                </c:pt>
                <c:pt idx="64">
                  <c:v>4084.8363710946546</c:v>
                </c:pt>
                <c:pt idx="65">
                  <c:v>4084.8363710946546</c:v>
                </c:pt>
                <c:pt idx="66">
                  <c:v>4136.2172874398893</c:v>
                </c:pt>
                <c:pt idx="67">
                  <c:v>4185.166036535521</c:v>
                </c:pt>
                <c:pt idx="68">
                  <c:v>4185.166036535521</c:v>
                </c:pt>
                <c:pt idx="69">
                  <c:v>4212.2543955834935</c:v>
                </c:pt>
                <c:pt idx="70">
                  <c:v>4212.2543955834935</c:v>
                </c:pt>
                <c:pt idx="71">
                  <c:v>4184.2660975998351</c:v>
                </c:pt>
                <c:pt idx="72">
                  <c:v>4184.2660975998351</c:v>
                </c:pt>
                <c:pt idx="73">
                  <c:v>4211.3486318205969</c:v>
                </c:pt>
                <c:pt idx="74">
                  <c:v>4239.5180832061287</c:v>
                </c:pt>
                <c:pt idx="75">
                  <c:v>4272.2555125319604</c:v>
                </c:pt>
                <c:pt idx="76">
                  <c:v>4297.4604869104833</c:v>
                </c:pt>
                <c:pt idx="77">
                  <c:v>4345.4763084513534</c:v>
                </c:pt>
                <c:pt idx="78">
                  <c:v>4376.6265433378103</c:v>
                </c:pt>
                <c:pt idx="79">
                  <c:v>4437.4120527150017</c:v>
                </c:pt>
                <c:pt idx="80">
                  <c:v>4437.4120527150017</c:v>
                </c:pt>
                <c:pt idx="81">
                  <c:v>4437.4120527150017</c:v>
                </c:pt>
                <c:pt idx="82">
                  <c:v>4508.9816757304561</c:v>
                </c:pt>
                <c:pt idx="83">
                  <c:v>4508.9816757304561</c:v>
                </c:pt>
                <c:pt idx="84">
                  <c:v>4633.6461462622701</c:v>
                </c:pt>
                <c:pt idx="85">
                  <c:v>4796.213830718455</c:v>
                </c:pt>
                <c:pt idx="86">
                  <c:v>4836.3492780733695</c:v>
                </c:pt>
                <c:pt idx="87">
                  <c:v>4875.1952490033864</c:v>
                </c:pt>
                <c:pt idx="88">
                  <c:v>4912.8413580142442</c:v>
                </c:pt>
                <c:pt idx="89">
                  <c:v>5042.6887346920421</c:v>
                </c:pt>
                <c:pt idx="90">
                  <c:v>5099.0310426919932</c:v>
                </c:pt>
                <c:pt idx="91">
                  <c:v>5141.7005105677372</c:v>
                </c:pt>
                <c:pt idx="92">
                  <c:v>5231.9034892040909</c:v>
                </c:pt>
                <c:pt idx="93">
                  <c:v>5402.0319386701522</c:v>
                </c:pt>
                <c:pt idx="94">
                  <c:v>5453.7256316078719</c:v>
                </c:pt>
                <c:pt idx="95">
                  <c:v>5453.7256316078719</c:v>
                </c:pt>
                <c:pt idx="96">
                  <c:v>5545.3827464086935</c:v>
                </c:pt>
                <c:pt idx="97">
                  <c:v>5545.3827464086935</c:v>
                </c:pt>
              </c:numCache>
            </c:numRef>
          </c:val>
          <c:smooth val="0"/>
          <c:extLst>
            <c:ext xmlns:c16="http://schemas.microsoft.com/office/drawing/2014/chart" uri="{C3380CC4-5D6E-409C-BE32-E72D297353CC}">
              <c16:uniqueId val="{00000003-AA8D-4541-830A-DA504A6D0E85}"/>
            </c:ext>
          </c:extLst>
        </c:ser>
        <c:ser>
          <c:idx val="4"/>
          <c:order val="4"/>
          <c:tx>
            <c:strRef>
              <c:f>Graphs!$A$31</c:f>
              <c:strCache>
                <c:ptCount val="1"/>
                <c:pt idx="0">
                  <c:v>Weapons: Customized to target</c:v>
                </c:pt>
              </c:strCache>
            </c:strRef>
          </c:tx>
          <c:spPr>
            <a:ln w="28575" cap="rnd">
              <a:solidFill>
                <a:schemeClr val="accent5"/>
              </a:solidFill>
              <a:round/>
            </a:ln>
            <a:effectLst/>
          </c:spPr>
          <c:marker>
            <c:symbol val="none"/>
          </c:marker>
          <c:cat>
            <c:strRef>
              <c:f>Graphs!$B$26:$CU$26</c:f>
              <c:strCache>
                <c:ptCount val="98"/>
                <c:pt idx="0">
                  <c:v>Apr-11</c:v>
                </c:pt>
                <c:pt idx="1">
                  <c:v>May-11</c:v>
                </c:pt>
                <c:pt idx="2">
                  <c:v>Jun-11</c:v>
                </c:pt>
                <c:pt idx="3">
                  <c:v>Jul-11</c:v>
                </c:pt>
                <c:pt idx="4">
                  <c:v>Aug-11</c:v>
                </c:pt>
                <c:pt idx="5">
                  <c:v>Sep-11</c:v>
                </c:pt>
                <c:pt idx="6">
                  <c:v>Oct-11</c:v>
                </c:pt>
                <c:pt idx="7">
                  <c:v>Nov-11</c:v>
                </c:pt>
                <c:pt idx="8">
                  <c:v>Dec-11</c:v>
                </c:pt>
                <c:pt idx="9">
                  <c:v>Jan-12</c:v>
                </c:pt>
                <c:pt idx="10">
                  <c:v>Feb-12</c:v>
                </c:pt>
                <c:pt idx="11">
                  <c:v>Mar-12</c:v>
                </c:pt>
                <c:pt idx="12">
                  <c:v>Apr-12</c:v>
                </c:pt>
                <c:pt idx="13">
                  <c:v>May-12</c:v>
                </c:pt>
                <c:pt idx="14">
                  <c:v>Jun-12</c:v>
                </c:pt>
                <c:pt idx="15">
                  <c:v>Jul-12</c:v>
                </c:pt>
                <c:pt idx="16">
                  <c:v>Aug-12</c:v>
                </c:pt>
                <c:pt idx="17">
                  <c:v>Sep-12</c:v>
                </c:pt>
                <c:pt idx="18">
                  <c:v>Oct-12</c:v>
                </c:pt>
                <c:pt idx="19">
                  <c:v>Nov-12</c:v>
                </c:pt>
                <c:pt idx="20">
                  <c:v>Dec-12</c:v>
                </c:pt>
                <c:pt idx="21">
                  <c:v>Jan-13</c:v>
                </c:pt>
                <c:pt idx="22">
                  <c:v>Feb-13</c:v>
                </c:pt>
                <c:pt idx="23">
                  <c:v>Mar-13</c:v>
                </c:pt>
                <c:pt idx="24">
                  <c:v>Apr-13</c:v>
                </c:pt>
                <c:pt idx="25">
                  <c:v>May-13</c:v>
                </c:pt>
                <c:pt idx="26">
                  <c:v>Jun-13</c:v>
                </c:pt>
                <c:pt idx="27">
                  <c:v>Jul-13</c:v>
                </c:pt>
                <c:pt idx="28">
                  <c:v>Aug-13</c:v>
                </c:pt>
                <c:pt idx="29">
                  <c:v>Sep-13</c:v>
                </c:pt>
                <c:pt idx="30">
                  <c:v>Oct-13</c:v>
                </c:pt>
                <c:pt idx="31">
                  <c:v>Nov-13</c:v>
                </c:pt>
                <c:pt idx="32">
                  <c:v>Dec-13</c:v>
                </c:pt>
                <c:pt idx="33">
                  <c:v>Jan-14</c:v>
                </c:pt>
                <c:pt idx="34">
                  <c:v>Feb-14</c:v>
                </c:pt>
                <c:pt idx="35">
                  <c:v>Mar-14</c:v>
                </c:pt>
                <c:pt idx="36">
                  <c:v>Apr-14</c:v>
                </c:pt>
                <c:pt idx="37">
                  <c:v>May-14</c:v>
                </c:pt>
                <c:pt idx="38">
                  <c:v>Jun-14</c:v>
                </c:pt>
                <c:pt idx="39">
                  <c:v>Jul-14</c:v>
                </c:pt>
                <c:pt idx="40">
                  <c:v>Aug-14</c:v>
                </c:pt>
                <c:pt idx="41">
                  <c:v>Sep-14</c:v>
                </c:pt>
                <c:pt idx="42">
                  <c:v>Oct-14</c:v>
                </c:pt>
                <c:pt idx="43">
                  <c:v>Nov-14</c:v>
                </c:pt>
                <c:pt idx="44">
                  <c:v>12/31/14</c:v>
                </c:pt>
                <c:pt idx="45">
                  <c:v>01/31/15</c:v>
                </c:pt>
                <c:pt idx="46">
                  <c:v>02/28/15</c:v>
                </c:pt>
                <c:pt idx="47">
                  <c:v>03/31/15</c:v>
                </c:pt>
                <c:pt idx="48">
                  <c:v>04/30/15</c:v>
                </c:pt>
                <c:pt idx="49">
                  <c:v>05/31/15</c:v>
                </c:pt>
                <c:pt idx="50">
                  <c:v>06/30/15</c:v>
                </c:pt>
                <c:pt idx="51">
                  <c:v>07/31/15</c:v>
                </c:pt>
                <c:pt idx="52">
                  <c:v>08/31/15</c:v>
                </c:pt>
                <c:pt idx="53">
                  <c:v>09/30/15</c:v>
                </c:pt>
                <c:pt idx="54">
                  <c:v>10/31/15</c:v>
                </c:pt>
                <c:pt idx="55">
                  <c:v>11/30/15</c:v>
                </c:pt>
                <c:pt idx="56">
                  <c:v>12/31/15</c:v>
                </c:pt>
                <c:pt idx="57">
                  <c:v>01/31/16</c:v>
                </c:pt>
                <c:pt idx="58">
                  <c:v>02/29/16</c:v>
                </c:pt>
                <c:pt idx="59">
                  <c:v>03/31/16</c:v>
                </c:pt>
                <c:pt idx="60">
                  <c:v>04/30/16</c:v>
                </c:pt>
                <c:pt idx="61">
                  <c:v>05/31/16</c:v>
                </c:pt>
                <c:pt idx="62">
                  <c:v>06/30/16</c:v>
                </c:pt>
                <c:pt idx="63">
                  <c:v>07/31/16</c:v>
                </c:pt>
                <c:pt idx="64">
                  <c:v>08/31/16</c:v>
                </c:pt>
                <c:pt idx="65">
                  <c:v>09/30/16</c:v>
                </c:pt>
                <c:pt idx="66">
                  <c:v>10/31/16</c:v>
                </c:pt>
                <c:pt idx="67">
                  <c:v>11/30/16</c:v>
                </c:pt>
                <c:pt idx="68">
                  <c:v>12/31/16</c:v>
                </c:pt>
                <c:pt idx="69">
                  <c:v>01/31/17</c:v>
                </c:pt>
                <c:pt idx="70">
                  <c:v>02/28/17</c:v>
                </c:pt>
                <c:pt idx="71">
                  <c:v>03/31/17</c:v>
                </c:pt>
                <c:pt idx="72">
                  <c:v>04/30/17</c:v>
                </c:pt>
                <c:pt idx="73">
                  <c:v>05/31/17</c:v>
                </c:pt>
                <c:pt idx="74">
                  <c:v>06/30/17</c:v>
                </c:pt>
                <c:pt idx="75">
                  <c:v>07/31/17</c:v>
                </c:pt>
                <c:pt idx="76">
                  <c:v>08/31/17</c:v>
                </c:pt>
                <c:pt idx="77">
                  <c:v>09/30/17</c:v>
                </c:pt>
                <c:pt idx="78">
                  <c:v>10/31/17</c:v>
                </c:pt>
                <c:pt idx="79">
                  <c:v>11/30/17</c:v>
                </c:pt>
                <c:pt idx="80">
                  <c:v>12/31/17</c:v>
                </c:pt>
                <c:pt idx="81">
                  <c:v>01/31/18</c:v>
                </c:pt>
                <c:pt idx="82">
                  <c:v>02/28/18</c:v>
                </c:pt>
                <c:pt idx="83">
                  <c:v>03/31/18</c:v>
                </c:pt>
                <c:pt idx="84">
                  <c:v>04/30/18</c:v>
                </c:pt>
                <c:pt idx="85">
                  <c:v>05/31/18</c:v>
                </c:pt>
                <c:pt idx="86">
                  <c:v>06/30/18</c:v>
                </c:pt>
                <c:pt idx="87">
                  <c:v>07/31/18</c:v>
                </c:pt>
                <c:pt idx="88">
                  <c:v>08/31/18</c:v>
                </c:pt>
                <c:pt idx="89">
                  <c:v>09/30/18</c:v>
                </c:pt>
                <c:pt idx="90">
                  <c:v>10/31/18</c:v>
                </c:pt>
                <c:pt idx="91">
                  <c:v>11/30/18</c:v>
                </c:pt>
                <c:pt idx="92">
                  <c:v>12/31/18</c:v>
                </c:pt>
                <c:pt idx="93">
                  <c:v>01/31/19</c:v>
                </c:pt>
                <c:pt idx="94">
                  <c:v>02/28/19</c:v>
                </c:pt>
                <c:pt idx="95">
                  <c:v>03/31/19</c:v>
                </c:pt>
                <c:pt idx="96">
                  <c:v>04/30/19</c:v>
                </c:pt>
                <c:pt idx="97">
                  <c:v>05/31/19</c:v>
                </c:pt>
              </c:strCache>
            </c:strRef>
          </c:cat>
          <c:val>
            <c:numRef>
              <c:f>Graphs!$B$31:$CU$31</c:f>
              <c:numCache>
                <c:formatCode>General</c:formatCode>
                <c:ptCount val="98"/>
                <c:pt idx="0">
                  <c:v>1000</c:v>
                </c:pt>
                <c:pt idx="1">
                  <c:v>1000</c:v>
                </c:pt>
                <c:pt idx="2">
                  <c:v>1000</c:v>
                </c:pt>
                <c:pt idx="3">
                  <c:v>1000</c:v>
                </c:pt>
                <c:pt idx="4">
                  <c:v>1000</c:v>
                </c:pt>
                <c:pt idx="5">
                  <c:v>1000</c:v>
                </c:pt>
                <c:pt idx="6">
                  <c:v>1000</c:v>
                </c:pt>
                <c:pt idx="7">
                  <c:v>1000</c:v>
                </c:pt>
                <c:pt idx="8">
                  <c:v>1000</c:v>
                </c:pt>
                <c:pt idx="9">
                  <c:v>1000</c:v>
                </c:pt>
                <c:pt idx="10">
                  <c:v>1000</c:v>
                </c:pt>
                <c:pt idx="11">
                  <c:v>1000</c:v>
                </c:pt>
                <c:pt idx="12">
                  <c:v>1000</c:v>
                </c:pt>
                <c:pt idx="13">
                  <c:v>1039.5553809752741</c:v>
                </c:pt>
                <c:pt idx="14">
                  <c:v>1079.2788681594968</c:v>
                </c:pt>
                <c:pt idx="15">
                  <c:v>1118.6718797943499</c:v>
                </c:pt>
                <c:pt idx="16">
                  <c:v>1141.4900470271002</c:v>
                </c:pt>
                <c:pt idx="17">
                  <c:v>1163.4109992779991</c:v>
                </c:pt>
                <c:pt idx="18">
                  <c:v>1198.4675594200671</c:v>
                </c:pt>
                <c:pt idx="19">
                  <c:v>1231.3695930620011</c:v>
                </c:pt>
                <c:pt idx="20">
                  <c:v>1280.8626802594508</c:v>
                </c:pt>
                <c:pt idx="21">
                  <c:v>1306.2081715831323</c:v>
                </c:pt>
                <c:pt idx="22">
                  <c:v>1346.8006120329501</c:v>
                </c:pt>
                <c:pt idx="23">
                  <c:v>1376.7168352475803</c:v>
                </c:pt>
                <c:pt idx="24">
                  <c:v>1392.5060931225594</c:v>
                </c:pt>
                <c:pt idx="25">
                  <c:v>1408.9429781379679</c:v>
                </c:pt>
                <c:pt idx="26">
                  <c:v>1425.5738811116059</c:v>
                </c:pt>
                <c:pt idx="27">
                  <c:v>1434.7678048681007</c:v>
                </c:pt>
                <c:pt idx="28">
                  <c:v>1458.6516208537289</c:v>
                </c:pt>
                <c:pt idx="29">
                  <c:v>1468.9733327310225</c:v>
                </c:pt>
                <c:pt idx="30">
                  <c:v>1516.9573735889883</c:v>
                </c:pt>
                <c:pt idx="31">
                  <c:v>1539.0279952940803</c:v>
                </c:pt>
                <c:pt idx="32">
                  <c:v>1569.917138807094</c:v>
                </c:pt>
                <c:pt idx="33">
                  <c:v>1605.4734114117566</c:v>
                </c:pt>
                <c:pt idx="34">
                  <c:v>1641.3378914414757</c:v>
                </c:pt>
                <c:pt idx="35">
                  <c:v>1667.5664619642273</c:v>
                </c:pt>
                <c:pt idx="36">
                  <c:v>1698.8813523309257</c:v>
                </c:pt>
                <c:pt idx="37">
                  <c:v>1709.532611295213</c:v>
                </c:pt>
                <c:pt idx="38">
                  <c:v>1728.3991204287354</c:v>
                </c:pt>
                <c:pt idx="39">
                  <c:v>1721.0075460285293</c:v>
                </c:pt>
                <c:pt idx="40">
                  <c:v>1745.7698203771731</c:v>
                </c:pt>
                <c:pt idx="41">
                  <c:v>1811.4006360337569</c:v>
                </c:pt>
                <c:pt idx="42">
                  <c:v>1843.6502480879969</c:v>
                </c:pt>
                <c:pt idx="43">
                  <c:v>1854.5989802633883</c:v>
                </c:pt>
                <c:pt idx="44">
                  <c:v>1854.5989802633883</c:v>
                </c:pt>
                <c:pt idx="45">
                  <c:v>1854.5989802633883</c:v>
                </c:pt>
                <c:pt idx="46">
                  <c:v>1864.3857596186299</c:v>
                </c:pt>
                <c:pt idx="47">
                  <c:v>1864.3857596186299</c:v>
                </c:pt>
                <c:pt idx="48">
                  <c:v>1864.3857596186299</c:v>
                </c:pt>
                <c:pt idx="49">
                  <c:v>1864.3857596186299</c:v>
                </c:pt>
                <c:pt idx="50">
                  <c:v>1873.502542276874</c:v>
                </c:pt>
                <c:pt idx="51">
                  <c:v>1863.4028226388371</c:v>
                </c:pt>
                <c:pt idx="52">
                  <c:v>1874.396317822753</c:v>
                </c:pt>
                <c:pt idx="53">
                  <c:v>1884.8386102095533</c:v>
                </c:pt>
                <c:pt idx="54">
                  <c:v>1894.7849650790795</c:v>
                </c:pt>
                <c:pt idx="55">
                  <c:v>1923.0648165986297</c:v>
                </c:pt>
                <c:pt idx="56">
                  <c:v>1923.0648165986297</c:v>
                </c:pt>
                <c:pt idx="57">
                  <c:v>1934.4102989295495</c:v>
                </c:pt>
                <c:pt idx="58">
                  <c:v>1934.4102989295495</c:v>
                </c:pt>
                <c:pt idx="59">
                  <c:v>1934.4102989295495</c:v>
                </c:pt>
                <c:pt idx="60">
                  <c:v>1979.1345789426484</c:v>
                </c:pt>
                <c:pt idx="61">
                  <c:v>1991.9444669161817</c:v>
                </c:pt>
                <c:pt idx="62">
                  <c:v>2005.7294949057496</c:v>
                </c:pt>
                <c:pt idx="63">
                  <c:v>2033.5864042886831</c:v>
                </c:pt>
                <c:pt idx="64">
                  <c:v>2058.385932999915</c:v>
                </c:pt>
                <c:pt idx="65">
                  <c:v>2058.385932999915</c:v>
                </c:pt>
                <c:pt idx="66">
                  <c:v>2084.2772407100779</c:v>
                </c:pt>
                <c:pt idx="67">
                  <c:v>2096.5738260373678</c:v>
                </c:pt>
                <c:pt idx="68">
                  <c:v>2096.5738260373678</c:v>
                </c:pt>
                <c:pt idx="69">
                  <c:v>2110.1438359424692</c:v>
                </c:pt>
                <c:pt idx="70">
                  <c:v>2096.5738260373678</c:v>
                </c:pt>
                <c:pt idx="71">
                  <c:v>2082.6431543644039</c:v>
                </c:pt>
                <c:pt idx="72">
                  <c:v>2082.6431543644039</c:v>
                </c:pt>
                <c:pt idx="73">
                  <c:v>2082.6431543644039</c:v>
                </c:pt>
                <c:pt idx="74">
                  <c:v>2068.8050449522343</c:v>
                </c:pt>
                <c:pt idx="75">
                  <c:v>2084.7802944071982</c:v>
                </c:pt>
                <c:pt idx="76">
                  <c:v>2084.7802944071982</c:v>
                </c:pt>
                <c:pt idx="77">
                  <c:v>2038.9628120354191</c:v>
                </c:pt>
                <c:pt idx="78">
                  <c:v>2038.9628120354191</c:v>
                </c:pt>
                <c:pt idx="79">
                  <c:v>2067.2812878988411</c:v>
                </c:pt>
                <c:pt idx="80">
                  <c:v>2067.2812878988411</c:v>
                </c:pt>
                <c:pt idx="81">
                  <c:v>2052.567604412995</c:v>
                </c:pt>
                <c:pt idx="82">
                  <c:v>2085.6728215793141</c:v>
                </c:pt>
                <c:pt idx="83">
                  <c:v>2101.1796115383886</c:v>
                </c:pt>
                <c:pt idx="84">
                  <c:v>2139.732294083432</c:v>
                </c:pt>
                <c:pt idx="85">
                  <c:v>2154.5400711344596</c:v>
                </c:pt>
                <c:pt idx="86">
                  <c:v>2154.5400711344596</c:v>
                </c:pt>
                <c:pt idx="87">
                  <c:v>2154.5400711344596</c:v>
                </c:pt>
                <c:pt idx="88">
                  <c:v>2138.0302666291959</c:v>
                </c:pt>
                <c:pt idx="89">
                  <c:v>2194.5388328841718</c:v>
                </c:pt>
                <c:pt idx="90">
                  <c:v>2219.0585661743853</c:v>
                </c:pt>
                <c:pt idx="91">
                  <c:v>2237.6279860133718</c:v>
                </c:pt>
                <c:pt idx="92">
                  <c:v>2276.8836192428121</c:v>
                </c:pt>
                <c:pt idx="93">
                  <c:v>2313.60675884387</c:v>
                </c:pt>
                <c:pt idx="94">
                  <c:v>2291.6770019310625</c:v>
                </c:pt>
                <c:pt idx="95">
                  <c:v>2291.6770019310625</c:v>
                </c:pt>
                <c:pt idx="96">
                  <c:v>2330.1916827641116</c:v>
                </c:pt>
                <c:pt idx="97">
                  <c:v>2330.1916827641116</c:v>
                </c:pt>
              </c:numCache>
            </c:numRef>
          </c:val>
          <c:smooth val="0"/>
          <c:extLst>
            <c:ext xmlns:c16="http://schemas.microsoft.com/office/drawing/2014/chart" uri="{C3380CC4-5D6E-409C-BE32-E72D297353CC}">
              <c16:uniqueId val="{00000004-AA8D-4541-830A-DA504A6D0E85}"/>
            </c:ext>
          </c:extLst>
        </c:ser>
        <c:ser>
          <c:idx val="5"/>
          <c:order val="5"/>
          <c:tx>
            <c:strRef>
              <c:f>Graphs!$A$32</c:f>
              <c:strCache>
                <c:ptCount val="1"/>
                <c:pt idx="0">
                  <c:v>Botnets</c:v>
                </c:pt>
              </c:strCache>
            </c:strRef>
          </c:tx>
          <c:spPr>
            <a:ln w="28575" cap="rnd">
              <a:solidFill>
                <a:schemeClr val="accent6"/>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Graphs!$B$26:$CU$26</c:f>
              <c:strCache>
                <c:ptCount val="98"/>
                <c:pt idx="0">
                  <c:v>Apr-11</c:v>
                </c:pt>
                <c:pt idx="1">
                  <c:v>May-11</c:v>
                </c:pt>
                <c:pt idx="2">
                  <c:v>Jun-11</c:v>
                </c:pt>
                <c:pt idx="3">
                  <c:v>Jul-11</c:v>
                </c:pt>
                <c:pt idx="4">
                  <c:v>Aug-11</c:v>
                </c:pt>
                <c:pt idx="5">
                  <c:v>Sep-11</c:v>
                </c:pt>
                <c:pt idx="6">
                  <c:v>Oct-11</c:v>
                </c:pt>
                <c:pt idx="7">
                  <c:v>Nov-11</c:v>
                </c:pt>
                <c:pt idx="8">
                  <c:v>Dec-11</c:v>
                </c:pt>
                <c:pt idx="9">
                  <c:v>Jan-12</c:v>
                </c:pt>
                <c:pt idx="10">
                  <c:v>Feb-12</c:v>
                </c:pt>
                <c:pt idx="11">
                  <c:v>Mar-12</c:v>
                </c:pt>
                <c:pt idx="12">
                  <c:v>Apr-12</c:v>
                </c:pt>
                <c:pt idx="13">
                  <c:v>May-12</c:v>
                </c:pt>
                <c:pt idx="14">
                  <c:v>Jun-12</c:v>
                </c:pt>
                <c:pt idx="15">
                  <c:v>Jul-12</c:v>
                </c:pt>
                <c:pt idx="16">
                  <c:v>Aug-12</c:v>
                </c:pt>
                <c:pt idx="17">
                  <c:v>Sep-12</c:v>
                </c:pt>
                <c:pt idx="18">
                  <c:v>Oct-12</c:v>
                </c:pt>
                <c:pt idx="19">
                  <c:v>Nov-12</c:v>
                </c:pt>
                <c:pt idx="20">
                  <c:v>Dec-12</c:v>
                </c:pt>
                <c:pt idx="21">
                  <c:v>Jan-13</c:v>
                </c:pt>
                <c:pt idx="22">
                  <c:v>Feb-13</c:v>
                </c:pt>
                <c:pt idx="23">
                  <c:v>Mar-13</c:v>
                </c:pt>
                <c:pt idx="24">
                  <c:v>Apr-13</c:v>
                </c:pt>
                <c:pt idx="25">
                  <c:v>May-13</c:v>
                </c:pt>
                <c:pt idx="26">
                  <c:v>Jun-13</c:v>
                </c:pt>
                <c:pt idx="27">
                  <c:v>Jul-13</c:v>
                </c:pt>
                <c:pt idx="28">
                  <c:v>Aug-13</c:v>
                </c:pt>
                <c:pt idx="29">
                  <c:v>Sep-13</c:v>
                </c:pt>
                <c:pt idx="30">
                  <c:v>Oct-13</c:v>
                </c:pt>
                <c:pt idx="31">
                  <c:v>Nov-13</c:v>
                </c:pt>
                <c:pt idx="32">
                  <c:v>Dec-13</c:v>
                </c:pt>
                <c:pt idx="33">
                  <c:v>Jan-14</c:v>
                </c:pt>
                <c:pt idx="34">
                  <c:v>Feb-14</c:v>
                </c:pt>
                <c:pt idx="35">
                  <c:v>Mar-14</c:v>
                </c:pt>
                <c:pt idx="36">
                  <c:v>Apr-14</c:v>
                </c:pt>
                <c:pt idx="37">
                  <c:v>May-14</c:v>
                </c:pt>
                <c:pt idx="38">
                  <c:v>Jun-14</c:v>
                </c:pt>
                <c:pt idx="39">
                  <c:v>Jul-14</c:v>
                </c:pt>
                <c:pt idx="40">
                  <c:v>Aug-14</c:v>
                </c:pt>
                <c:pt idx="41">
                  <c:v>Sep-14</c:v>
                </c:pt>
                <c:pt idx="42">
                  <c:v>Oct-14</c:v>
                </c:pt>
                <c:pt idx="43">
                  <c:v>Nov-14</c:v>
                </c:pt>
                <c:pt idx="44">
                  <c:v>12/31/14</c:v>
                </c:pt>
                <c:pt idx="45">
                  <c:v>01/31/15</c:v>
                </c:pt>
                <c:pt idx="46">
                  <c:v>02/28/15</c:v>
                </c:pt>
                <c:pt idx="47">
                  <c:v>03/31/15</c:v>
                </c:pt>
                <c:pt idx="48">
                  <c:v>04/30/15</c:v>
                </c:pt>
                <c:pt idx="49">
                  <c:v>05/31/15</c:v>
                </c:pt>
                <c:pt idx="50">
                  <c:v>06/30/15</c:v>
                </c:pt>
                <c:pt idx="51">
                  <c:v>07/31/15</c:v>
                </c:pt>
                <c:pt idx="52">
                  <c:v>08/31/15</c:v>
                </c:pt>
                <c:pt idx="53">
                  <c:v>09/30/15</c:v>
                </c:pt>
                <c:pt idx="54">
                  <c:v>10/31/15</c:v>
                </c:pt>
                <c:pt idx="55">
                  <c:v>11/30/15</c:v>
                </c:pt>
                <c:pt idx="56">
                  <c:v>12/31/15</c:v>
                </c:pt>
                <c:pt idx="57">
                  <c:v>01/31/16</c:v>
                </c:pt>
                <c:pt idx="58">
                  <c:v>02/29/16</c:v>
                </c:pt>
                <c:pt idx="59">
                  <c:v>03/31/16</c:v>
                </c:pt>
                <c:pt idx="60">
                  <c:v>04/30/16</c:v>
                </c:pt>
                <c:pt idx="61">
                  <c:v>05/31/16</c:v>
                </c:pt>
                <c:pt idx="62">
                  <c:v>06/30/16</c:v>
                </c:pt>
                <c:pt idx="63">
                  <c:v>07/31/16</c:v>
                </c:pt>
                <c:pt idx="64">
                  <c:v>08/31/16</c:v>
                </c:pt>
                <c:pt idx="65">
                  <c:v>09/30/16</c:v>
                </c:pt>
                <c:pt idx="66">
                  <c:v>10/31/16</c:v>
                </c:pt>
                <c:pt idx="67">
                  <c:v>11/30/16</c:v>
                </c:pt>
                <c:pt idx="68">
                  <c:v>12/31/16</c:v>
                </c:pt>
                <c:pt idx="69">
                  <c:v>01/31/17</c:v>
                </c:pt>
                <c:pt idx="70">
                  <c:v>02/28/17</c:v>
                </c:pt>
                <c:pt idx="71">
                  <c:v>03/31/17</c:v>
                </c:pt>
                <c:pt idx="72">
                  <c:v>04/30/17</c:v>
                </c:pt>
                <c:pt idx="73">
                  <c:v>05/31/17</c:v>
                </c:pt>
                <c:pt idx="74">
                  <c:v>06/30/17</c:v>
                </c:pt>
                <c:pt idx="75">
                  <c:v>07/31/17</c:v>
                </c:pt>
                <c:pt idx="76">
                  <c:v>08/31/17</c:v>
                </c:pt>
                <c:pt idx="77">
                  <c:v>09/30/17</c:v>
                </c:pt>
                <c:pt idx="78">
                  <c:v>10/31/17</c:v>
                </c:pt>
                <c:pt idx="79">
                  <c:v>11/30/17</c:v>
                </c:pt>
                <c:pt idx="80">
                  <c:v>12/31/17</c:v>
                </c:pt>
                <c:pt idx="81">
                  <c:v>01/31/18</c:v>
                </c:pt>
                <c:pt idx="82">
                  <c:v>02/28/18</c:v>
                </c:pt>
                <c:pt idx="83">
                  <c:v>03/31/18</c:v>
                </c:pt>
                <c:pt idx="84">
                  <c:v>04/30/18</c:v>
                </c:pt>
                <c:pt idx="85">
                  <c:v>05/31/18</c:v>
                </c:pt>
                <c:pt idx="86">
                  <c:v>06/30/18</c:v>
                </c:pt>
                <c:pt idx="87">
                  <c:v>07/31/18</c:v>
                </c:pt>
                <c:pt idx="88">
                  <c:v>08/31/18</c:v>
                </c:pt>
                <c:pt idx="89">
                  <c:v>09/30/18</c:v>
                </c:pt>
                <c:pt idx="90">
                  <c:v>10/31/18</c:v>
                </c:pt>
                <c:pt idx="91">
                  <c:v>11/30/18</c:v>
                </c:pt>
                <c:pt idx="92">
                  <c:v>12/31/18</c:v>
                </c:pt>
                <c:pt idx="93">
                  <c:v>01/31/19</c:v>
                </c:pt>
                <c:pt idx="94">
                  <c:v>02/28/19</c:v>
                </c:pt>
                <c:pt idx="95">
                  <c:v>03/31/19</c:v>
                </c:pt>
                <c:pt idx="96">
                  <c:v>04/30/19</c:v>
                </c:pt>
                <c:pt idx="97">
                  <c:v>05/31/19</c:v>
                </c:pt>
              </c:strCache>
            </c:strRef>
          </c:cat>
          <c:val>
            <c:numRef>
              <c:f>Graphs!$B$32:$CU$32</c:f>
              <c:numCache>
                <c:formatCode>General</c:formatCode>
                <c:ptCount val="98"/>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numCache>
            </c:numRef>
          </c:val>
          <c:smooth val="0"/>
          <c:extLst>
            <c:ext xmlns:c16="http://schemas.microsoft.com/office/drawing/2014/chart" uri="{C3380CC4-5D6E-409C-BE32-E72D297353CC}">
              <c16:uniqueId val="{00000005-AA8D-4541-830A-DA504A6D0E85}"/>
            </c:ext>
          </c:extLst>
        </c:ser>
        <c:ser>
          <c:idx val="6"/>
          <c:order val="6"/>
          <c:tx>
            <c:strRef>
              <c:f>Graphs!$A$33</c:f>
              <c:strCache>
                <c:ptCount val="1"/>
                <c:pt idx="0">
                  <c:v>Mass malware</c:v>
                </c:pt>
              </c:strCache>
            </c:strRef>
          </c:tx>
          <c:spPr>
            <a:ln w="28575" cap="rnd">
              <a:solidFill>
                <a:schemeClr val="accent1">
                  <a:lumMod val="60000"/>
                </a:schemeClr>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Graphs!$B$26:$CU$26</c:f>
              <c:strCache>
                <c:ptCount val="98"/>
                <c:pt idx="0">
                  <c:v>Apr-11</c:v>
                </c:pt>
                <c:pt idx="1">
                  <c:v>May-11</c:v>
                </c:pt>
                <c:pt idx="2">
                  <c:v>Jun-11</c:v>
                </c:pt>
                <c:pt idx="3">
                  <c:v>Jul-11</c:v>
                </c:pt>
                <c:pt idx="4">
                  <c:v>Aug-11</c:v>
                </c:pt>
                <c:pt idx="5">
                  <c:v>Sep-11</c:v>
                </c:pt>
                <c:pt idx="6">
                  <c:v>Oct-11</c:v>
                </c:pt>
                <c:pt idx="7">
                  <c:v>Nov-11</c:v>
                </c:pt>
                <c:pt idx="8">
                  <c:v>Dec-11</c:v>
                </c:pt>
                <c:pt idx="9">
                  <c:v>Jan-12</c:v>
                </c:pt>
                <c:pt idx="10">
                  <c:v>Feb-12</c:v>
                </c:pt>
                <c:pt idx="11">
                  <c:v>Mar-12</c:v>
                </c:pt>
                <c:pt idx="12">
                  <c:v>Apr-12</c:v>
                </c:pt>
                <c:pt idx="13">
                  <c:v>May-12</c:v>
                </c:pt>
                <c:pt idx="14">
                  <c:v>Jun-12</c:v>
                </c:pt>
                <c:pt idx="15">
                  <c:v>Jul-12</c:v>
                </c:pt>
                <c:pt idx="16">
                  <c:v>Aug-12</c:v>
                </c:pt>
                <c:pt idx="17">
                  <c:v>Sep-12</c:v>
                </c:pt>
                <c:pt idx="18">
                  <c:v>Oct-12</c:v>
                </c:pt>
                <c:pt idx="19">
                  <c:v>Nov-12</c:v>
                </c:pt>
                <c:pt idx="20">
                  <c:v>Dec-12</c:v>
                </c:pt>
                <c:pt idx="21">
                  <c:v>Jan-13</c:v>
                </c:pt>
                <c:pt idx="22">
                  <c:v>Feb-13</c:v>
                </c:pt>
                <c:pt idx="23">
                  <c:v>Mar-13</c:v>
                </c:pt>
                <c:pt idx="24">
                  <c:v>Apr-13</c:v>
                </c:pt>
                <c:pt idx="25">
                  <c:v>May-13</c:v>
                </c:pt>
                <c:pt idx="26">
                  <c:v>Jun-13</c:v>
                </c:pt>
                <c:pt idx="27">
                  <c:v>Jul-13</c:v>
                </c:pt>
                <c:pt idx="28">
                  <c:v>Aug-13</c:v>
                </c:pt>
                <c:pt idx="29">
                  <c:v>Sep-13</c:v>
                </c:pt>
                <c:pt idx="30">
                  <c:v>Oct-13</c:v>
                </c:pt>
                <c:pt idx="31">
                  <c:v>Nov-13</c:v>
                </c:pt>
                <c:pt idx="32">
                  <c:v>Dec-13</c:v>
                </c:pt>
                <c:pt idx="33">
                  <c:v>Jan-14</c:v>
                </c:pt>
                <c:pt idx="34">
                  <c:v>Feb-14</c:v>
                </c:pt>
                <c:pt idx="35">
                  <c:v>Mar-14</c:v>
                </c:pt>
                <c:pt idx="36">
                  <c:v>Apr-14</c:v>
                </c:pt>
                <c:pt idx="37">
                  <c:v>May-14</c:v>
                </c:pt>
                <c:pt idx="38">
                  <c:v>Jun-14</c:v>
                </c:pt>
                <c:pt idx="39">
                  <c:v>Jul-14</c:v>
                </c:pt>
                <c:pt idx="40">
                  <c:v>Aug-14</c:v>
                </c:pt>
                <c:pt idx="41">
                  <c:v>Sep-14</c:v>
                </c:pt>
                <c:pt idx="42">
                  <c:v>Oct-14</c:v>
                </c:pt>
                <c:pt idx="43">
                  <c:v>Nov-14</c:v>
                </c:pt>
                <c:pt idx="44">
                  <c:v>12/31/14</c:v>
                </c:pt>
                <c:pt idx="45">
                  <c:v>01/31/15</c:v>
                </c:pt>
                <c:pt idx="46">
                  <c:v>02/28/15</c:v>
                </c:pt>
                <c:pt idx="47">
                  <c:v>03/31/15</c:v>
                </c:pt>
                <c:pt idx="48">
                  <c:v>04/30/15</c:v>
                </c:pt>
                <c:pt idx="49">
                  <c:v>05/31/15</c:v>
                </c:pt>
                <c:pt idx="50">
                  <c:v>06/30/15</c:v>
                </c:pt>
                <c:pt idx="51">
                  <c:v>07/31/15</c:v>
                </c:pt>
                <c:pt idx="52">
                  <c:v>08/31/15</c:v>
                </c:pt>
                <c:pt idx="53">
                  <c:v>09/30/15</c:v>
                </c:pt>
                <c:pt idx="54">
                  <c:v>10/31/15</c:v>
                </c:pt>
                <c:pt idx="55">
                  <c:v>11/30/15</c:v>
                </c:pt>
                <c:pt idx="56">
                  <c:v>12/31/15</c:v>
                </c:pt>
                <c:pt idx="57">
                  <c:v>01/31/16</c:v>
                </c:pt>
                <c:pt idx="58">
                  <c:v>02/29/16</c:v>
                </c:pt>
                <c:pt idx="59">
                  <c:v>03/31/16</c:v>
                </c:pt>
                <c:pt idx="60">
                  <c:v>04/30/16</c:v>
                </c:pt>
                <c:pt idx="61">
                  <c:v>05/31/16</c:v>
                </c:pt>
                <c:pt idx="62">
                  <c:v>06/30/16</c:v>
                </c:pt>
                <c:pt idx="63">
                  <c:v>07/31/16</c:v>
                </c:pt>
                <c:pt idx="64">
                  <c:v>08/31/16</c:v>
                </c:pt>
                <c:pt idx="65">
                  <c:v>09/30/16</c:v>
                </c:pt>
                <c:pt idx="66">
                  <c:v>10/31/16</c:v>
                </c:pt>
                <c:pt idx="67">
                  <c:v>11/30/16</c:v>
                </c:pt>
                <c:pt idx="68">
                  <c:v>12/31/16</c:v>
                </c:pt>
                <c:pt idx="69">
                  <c:v>01/31/17</c:v>
                </c:pt>
                <c:pt idx="70">
                  <c:v>02/28/17</c:v>
                </c:pt>
                <c:pt idx="71">
                  <c:v>03/31/17</c:v>
                </c:pt>
                <c:pt idx="72">
                  <c:v>04/30/17</c:v>
                </c:pt>
                <c:pt idx="73">
                  <c:v>05/31/17</c:v>
                </c:pt>
                <c:pt idx="74">
                  <c:v>06/30/17</c:v>
                </c:pt>
                <c:pt idx="75">
                  <c:v>07/31/17</c:v>
                </c:pt>
                <c:pt idx="76">
                  <c:v>08/31/17</c:v>
                </c:pt>
                <c:pt idx="77">
                  <c:v>09/30/17</c:v>
                </c:pt>
                <c:pt idx="78">
                  <c:v>10/31/17</c:v>
                </c:pt>
                <c:pt idx="79">
                  <c:v>11/30/17</c:v>
                </c:pt>
                <c:pt idx="80">
                  <c:v>12/31/17</c:v>
                </c:pt>
                <c:pt idx="81">
                  <c:v>01/31/18</c:v>
                </c:pt>
                <c:pt idx="82">
                  <c:v>02/28/18</c:v>
                </c:pt>
                <c:pt idx="83">
                  <c:v>03/31/18</c:v>
                </c:pt>
                <c:pt idx="84">
                  <c:v>04/30/18</c:v>
                </c:pt>
                <c:pt idx="85">
                  <c:v>05/31/18</c:v>
                </c:pt>
                <c:pt idx="86">
                  <c:v>06/30/18</c:v>
                </c:pt>
                <c:pt idx="87">
                  <c:v>07/31/18</c:v>
                </c:pt>
                <c:pt idx="88">
                  <c:v>08/31/18</c:v>
                </c:pt>
                <c:pt idx="89">
                  <c:v>09/30/18</c:v>
                </c:pt>
                <c:pt idx="90">
                  <c:v>10/31/18</c:v>
                </c:pt>
                <c:pt idx="91">
                  <c:v>11/30/18</c:v>
                </c:pt>
                <c:pt idx="92">
                  <c:v>12/31/18</c:v>
                </c:pt>
                <c:pt idx="93">
                  <c:v>01/31/19</c:v>
                </c:pt>
                <c:pt idx="94">
                  <c:v>02/28/19</c:v>
                </c:pt>
                <c:pt idx="95">
                  <c:v>03/31/19</c:v>
                </c:pt>
                <c:pt idx="96">
                  <c:v>04/30/19</c:v>
                </c:pt>
                <c:pt idx="97">
                  <c:v>05/31/19</c:v>
                </c:pt>
              </c:strCache>
            </c:strRef>
          </c:cat>
          <c:val>
            <c:numRef>
              <c:f>Graphs!$B$33:$CU$33</c:f>
              <c:numCache>
                <c:formatCode>General</c:formatCode>
                <c:ptCount val="98"/>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numCache>
            </c:numRef>
          </c:val>
          <c:smooth val="0"/>
          <c:extLst>
            <c:ext xmlns:c16="http://schemas.microsoft.com/office/drawing/2014/chart" uri="{C3380CC4-5D6E-409C-BE32-E72D297353CC}">
              <c16:uniqueId val="{00000006-AA8D-4541-830A-DA504A6D0E85}"/>
            </c:ext>
          </c:extLst>
        </c:ser>
        <c:ser>
          <c:idx val="7"/>
          <c:order val="7"/>
          <c:tx>
            <c:strRef>
              <c:f>Graphs!$A$34</c:f>
              <c:strCache>
                <c:ptCount val="1"/>
                <c:pt idx="0">
                  <c:v>Vulnerability exploitation</c:v>
                </c:pt>
              </c:strCache>
            </c:strRef>
          </c:tx>
          <c:spPr>
            <a:ln w="28575" cap="rnd">
              <a:solidFill>
                <a:schemeClr val="accent2">
                  <a:lumMod val="60000"/>
                </a:schemeClr>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Graphs!$B$26:$CU$26</c:f>
              <c:strCache>
                <c:ptCount val="98"/>
                <c:pt idx="0">
                  <c:v>Apr-11</c:v>
                </c:pt>
                <c:pt idx="1">
                  <c:v>May-11</c:v>
                </c:pt>
                <c:pt idx="2">
                  <c:v>Jun-11</c:v>
                </c:pt>
                <c:pt idx="3">
                  <c:v>Jul-11</c:v>
                </c:pt>
                <c:pt idx="4">
                  <c:v>Aug-11</c:v>
                </c:pt>
                <c:pt idx="5">
                  <c:v>Sep-11</c:v>
                </c:pt>
                <c:pt idx="6">
                  <c:v>Oct-11</c:v>
                </c:pt>
                <c:pt idx="7">
                  <c:v>Nov-11</c:v>
                </c:pt>
                <c:pt idx="8">
                  <c:v>Dec-11</c:v>
                </c:pt>
                <c:pt idx="9">
                  <c:v>Jan-12</c:v>
                </c:pt>
                <c:pt idx="10">
                  <c:v>Feb-12</c:v>
                </c:pt>
                <c:pt idx="11">
                  <c:v>Mar-12</c:v>
                </c:pt>
                <c:pt idx="12">
                  <c:v>Apr-12</c:v>
                </c:pt>
                <c:pt idx="13">
                  <c:v>May-12</c:v>
                </c:pt>
                <c:pt idx="14">
                  <c:v>Jun-12</c:v>
                </c:pt>
                <c:pt idx="15">
                  <c:v>Jul-12</c:v>
                </c:pt>
                <c:pt idx="16">
                  <c:v>Aug-12</c:v>
                </c:pt>
                <c:pt idx="17">
                  <c:v>Sep-12</c:v>
                </c:pt>
                <c:pt idx="18">
                  <c:v>Oct-12</c:v>
                </c:pt>
                <c:pt idx="19">
                  <c:v>Nov-12</c:v>
                </c:pt>
                <c:pt idx="20">
                  <c:v>Dec-12</c:v>
                </c:pt>
                <c:pt idx="21">
                  <c:v>Jan-13</c:v>
                </c:pt>
                <c:pt idx="22">
                  <c:v>Feb-13</c:v>
                </c:pt>
                <c:pt idx="23">
                  <c:v>Mar-13</c:v>
                </c:pt>
                <c:pt idx="24">
                  <c:v>Apr-13</c:v>
                </c:pt>
                <c:pt idx="25">
                  <c:v>May-13</c:v>
                </c:pt>
                <c:pt idx="26">
                  <c:v>Jun-13</c:v>
                </c:pt>
                <c:pt idx="27">
                  <c:v>Jul-13</c:v>
                </c:pt>
                <c:pt idx="28">
                  <c:v>Aug-13</c:v>
                </c:pt>
                <c:pt idx="29">
                  <c:v>Sep-13</c:v>
                </c:pt>
                <c:pt idx="30">
                  <c:v>Oct-13</c:v>
                </c:pt>
                <c:pt idx="31">
                  <c:v>Nov-13</c:v>
                </c:pt>
                <c:pt idx="32">
                  <c:v>Dec-13</c:v>
                </c:pt>
                <c:pt idx="33">
                  <c:v>Jan-14</c:v>
                </c:pt>
                <c:pt idx="34">
                  <c:v>Feb-14</c:v>
                </c:pt>
                <c:pt idx="35">
                  <c:v>Mar-14</c:v>
                </c:pt>
                <c:pt idx="36">
                  <c:v>Apr-14</c:v>
                </c:pt>
                <c:pt idx="37">
                  <c:v>May-14</c:v>
                </c:pt>
                <c:pt idx="38">
                  <c:v>Jun-14</c:v>
                </c:pt>
                <c:pt idx="39">
                  <c:v>Jul-14</c:v>
                </c:pt>
                <c:pt idx="40">
                  <c:v>Aug-14</c:v>
                </c:pt>
                <c:pt idx="41">
                  <c:v>Sep-14</c:v>
                </c:pt>
                <c:pt idx="42">
                  <c:v>Oct-14</c:v>
                </c:pt>
                <c:pt idx="43">
                  <c:v>Nov-14</c:v>
                </c:pt>
                <c:pt idx="44">
                  <c:v>12/31/14</c:v>
                </c:pt>
                <c:pt idx="45">
                  <c:v>01/31/15</c:v>
                </c:pt>
                <c:pt idx="46">
                  <c:v>02/28/15</c:v>
                </c:pt>
                <c:pt idx="47">
                  <c:v>03/31/15</c:v>
                </c:pt>
                <c:pt idx="48">
                  <c:v>04/30/15</c:v>
                </c:pt>
                <c:pt idx="49">
                  <c:v>05/31/15</c:v>
                </c:pt>
                <c:pt idx="50">
                  <c:v>06/30/15</c:v>
                </c:pt>
                <c:pt idx="51">
                  <c:v>07/31/15</c:v>
                </c:pt>
                <c:pt idx="52">
                  <c:v>08/31/15</c:v>
                </c:pt>
                <c:pt idx="53">
                  <c:v>09/30/15</c:v>
                </c:pt>
                <c:pt idx="54">
                  <c:v>10/31/15</c:v>
                </c:pt>
                <c:pt idx="55">
                  <c:v>11/30/15</c:v>
                </c:pt>
                <c:pt idx="56">
                  <c:v>12/31/15</c:v>
                </c:pt>
                <c:pt idx="57">
                  <c:v>01/31/16</c:v>
                </c:pt>
                <c:pt idx="58">
                  <c:v>02/29/16</c:v>
                </c:pt>
                <c:pt idx="59">
                  <c:v>03/31/16</c:v>
                </c:pt>
                <c:pt idx="60">
                  <c:v>04/30/16</c:v>
                </c:pt>
                <c:pt idx="61">
                  <c:v>05/31/16</c:v>
                </c:pt>
                <c:pt idx="62">
                  <c:v>06/30/16</c:v>
                </c:pt>
                <c:pt idx="63">
                  <c:v>07/31/16</c:v>
                </c:pt>
                <c:pt idx="64">
                  <c:v>08/31/16</c:v>
                </c:pt>
                <c:pt idx="65">
                  <c:v>09/30/16</c:v>
                </c:pt>
                <c:pt idx="66">
                  <c:v>10/31/16</c:v>
                </c:pt>
                <c:pt idx="67">
                  <c:v>11/30/16</c:v>
                </c:pt>
                <c:pt idx="68">
                  <c:v>12/31/16</c:v>
                </c:pt>
                <c:pt idx="69">
                  <c:v>01/31/17</c:v>
                </c:pt>
                <c:pt idx="70">
                  <c:v>02/28/17</c:v>
                </c:pt>
                <c:pt idx="71">
                  <c:v>03/31/17</c:v>
                </c:pt>
                <c:pt idx="72">
                  <c:v>04/30/17</c:v>
                </c:pt>
                <c:pt idx="73">
                  <c:v>05/31/17</c:v>
                </c:pt>
                <c:pt idx="74">
                  <c:v>06/30/17</c:v>
                </c:pt>
                <c:pt idx="75">
                  <c:v>07/31/17</c:v>
                </c:pt>
                <c:pt idx="76">
                  <c:v>08/31/17</c:v>
                </c:pt>
                <c:pt idx="77">
                  <c:v>09/30/17</c:v>
                </c:pt>
                <c:pt idx="78">
                  <c:v>10/31/17</c:v>
                </c:pt>
                <c:pt idx="79">
                  <c:v>11/30/17</c:v>
                </c:pt>
                <c:pt idx="80">
                  <c:v>12/31/17</c:v>
                </c:pt>
                <c:pt idx="81">
                  <c:v>01/31/18</c:v>
                </c:pt>
                <c:pt idx="82">
                  <c:v>02/28/18</c:v>
                </c:pt>
                <c:pt idx="83">
                  <c:v>03/31/18</c:v>
                </c:pt>
                <c:pt idx="84">
                  <c:v>04/30/18</c:v>
                </c:pt>
                <c:pt idx="85">
                  <c:v>05/31/18</c:v>
                </c:pt>
                <c:pt idx="86">
                  <c:v>06/30/18</c:v>
                </c:pt>
                <c:pt idx="87">
                  <c:v>07/31/18</c:v>
                </c:pt>
                <c:pt idx="88">
                  <c:v>08/31/18</c:v>
                </c:pt>
                <c:pt idx="89">
                  <c:v>09/30/18</c:v>
                </c:pt>
                <c:pt idx="90">
                  <c:v>10/31/18</c:v>
                </c:pt>
                <c:pt idx="91">
                  <c:v>11/30/18</c:v>
                </c:pt>
                <c:pt idx="92">
                  <c:v>12/31/18</c:v>
                </c:pt>
                <c:pt idx="93">
                  <c:v>01/31/19</c:v>
                </c:pt>
                <c:pt idx="94">
                  <c:v>02/28/19</c:v>
                </c:pt>
                <c:pt idx="95">
                  <c:v>03/31/19</c:v>
                </c:pt>
                <c:pt idx="96">
                  <c:v>04/30/19</c:v>
                </c:pt>
                <c:pt idx="97">
                  <c:v>05/31/19</c:v>
                </c:pt>
              </c:strCache>
            </c:strRef>
          </c:cat>
          <c:val>
            <c:numRef>
              <c:f>Graphs!$B$34:$CU$34</c:f>
              <c:numCache>
                <c:formatCode>General</c:formatCode>
                <c:ptCount val="98"/>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numCache>
            </c:numRef>
          </c:val>
          <c:smooth val="0"/>
          <c:extLst>
            <c:ext xmlns:c16="http://schemas.microsoft.com/office/drawing/2014/chart" uri="{C3380CC4-5D6E-409C-BE32-E72D297353CC}">
              <c16:uniqueId val="{00000007-AA8D-4541-830A-DA504A6D0E85}"/>
            </c:ext>
          </c:extLst>
        </c:ser>
        <c:ser>
          <c:idx val="8"/>
          <c:order val="8"/>
          <c:tx>
            <c:strRef>
              <c:f>Graphs!$A$35</c:f>
              <c:strCache>
                <c:ptCount val="1"/>
                <c:pt idx="0">
                  <c:v>Phishing/social engineering</c:v>
                </c:pt>
              </c:strCache>
            </c:strRef>
          </c:tx>
          <c:spPr>
            <a:ln w="28575" cap="rnd">
              <a:solidFill>
                <a:schemeClr val="accent3">
                  <a:lumMod val="60000"/>
                </a:schemeClr>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Graphs!$B$26:$CU$26</c:f>
              <c:strCache>
                <c:ptCount val="98"/>
                <c:pt idx="0">
                  <c:v>Apr-11</c:v>
                </c:pt>
                <c:pt idx="1">
                  <c:v>May-11</c:v>
                </c:pt>
                <c:pt idx="2">
                  <c:v>Jun-11</c:v>
                </c:pt>
                <c:pt idx="3">
                  <c:v>Jul-11</c:v>
                </c:pt>
                <c:pt idx="4">
                  <c:v>Aug-11</c:v>
                </c:pt>
                <c:pt idx="5">
                  <c:v>Sep-11</c:v>
                </c:pt>
                <c:pt idx="6">
                  <c:v>Oct-11</c:v>
                </c:pt>
                <c:pt idx="7">
                  <c:v>Nov-11</c:v>
                </c:pt>
                <c:pt idx="8">
                  <c:v>Dec-11</c:v>
                </c:pt>
                <c:pt idx="9">
                  <c:v>Jan-12</c:v>
                </c:pt>
                <c:pt idx="10">
                  <c:v>Feb-12</c:v>
                </c:pt>
                <c:pt idx="11">
                  <c:v>Mar-12</c:v>
                </c:pt>
                <c:pt idx="12">
                  <c:v>Apr-12</c:v>
                </c:pt>
                <c:pt idx="13">
                  <c:v>May-12</c:v>
                </c:pt>
                <c:pt idx="14">
                  <c:v>Jun-12</c:v>
                </c:pt>
                <c:pt idx="15">
                  <c:v>Jul-12</c:v>
                </c:pt>
                <c:pt idx="16">
                  <c:v>Aug-12</c:v>
                </c:pt>
                <c:pt idx="17">
                  <c:v>Sep-12</c:v>
                </c:pt>
                <c:pt idx="18">
                  <c:v>Oct-12</c:v>
                </c:pt>
                <c:pt idx="19">
                  <c:v>Nov-12</c:v>
                </c:pt>
                <c:pt idx="20">
                  <c:v>Dec-12</c:v>
                </c:pt>
                <c:pt idx="21">
                  <c:v>Jan-13</c:v>
                </c:pt>
                <c:pt idx="22">
                  <c:v>Feb-13</c:v>
                </c:pt>
                <c:pt idx="23">
                  <c:v>Mar-13</c:v>
                </c:pt>
                <c:pt idx="24">
                  <c:v>Apr-13</c:v>
                </c:pt>
                <c:pt idx="25">
                  <c:v>May-13</c:v>
                </c:pt>
                <c:pt idx="26">
                  <c:v>Jun-13</c:v>
                </c:pt>
                <c:pt idx="27">
                  <c:v>Jul-13</c:v>
                </c:pt>
                <c:pt idx="28">
                  <c:v>Aug-13</c:v>
                </c:pt>
                <c:pt idx="29">
                  <c:v>Sep-13</c:v>
                </c:pt>
                <c:pt idx="30">
                  <c:v>Oct-13</c:v>
                </c:pt>
                <c:pt idx="31">
                  <c:v>Nov-13</c:v>
                </c:pt>
                <c:pt idx="32">
                  <c:v>Dec-13</c:v>
                </c:pt>
                <c:pt idx="33">
                  <c:v>Jan-14</c:v>
                </c:pt>
                <c:pt idx="34">
                  <c:v>Feb-14</c:v>
                </c:pt>
                <c:pt idx="35">
                  <c:v>Mar-14</c:v>
                </c:pt>
                <c:pt idx="36">
                  <c:v>Apr-14</c:v>
                </c:pt>
                <c:pt idx="37">
                  <c:v>May-14</c:v>
                </c:pt>
                <c:pt idx="38">
                  <c:v>Jun-14</c:v>
                </c:pt>
                <c:pt idx="39">
                  <c:v>Jul-14</c:v>
                </c:pt>
                <c:pt idx="40">
                  <c:v>Aug-14</c:v>
                </c:pt>
                <c:pt idx="41">
                  <c:v>Sep-14</c:v>
                </c:pt>
                <c:pt idx="42">
                  <c:v>Oct-14</c:v>
                </c:pt>
                <c:pt idx="43">
                  <c:v>Nov-14</c:v>
                </c:pt>
                <c:pt idx="44">
                  <c:v>12/31/14</c:v>
                </c:pt>
                <c:pt idx="45">
                  <c:v>01/31/15</c:v>
                </c:pt>
                <c:pt idx="46">
                  <c:v>02/28/15</c:v>
                </c:pt>
                <c:pt idx="47">
                  <c:v>03/31/15</c:v>
                </c:pt>
                <c:pt idx="48">
                  <c:v>04/30/15</c:v>
                </c:pt>
                <c:pt idx="49">
                  <c:v>05/31/15</c:v>
                </c:pt>
                <c:pt idx="50">
                  <c:v>06/30/15</c:v>
                </c:pt>
                <c:pt idx="51">
                  <c:v>07/31/15</c:v>
                </c:pt>
                <c:pt idx="52">
                  <c:v>08/31/15</c:v>
                </c:pt>
                <c:pt idx="53">
                  <c:v>09/30/15</c:v>
                </c:pt>
                <c:pt idx="54">
                  <c:v>10/31/15</c:v>
                </c:pt>
                <c:pt idx="55">
                  <c:v>11/30/15</c:v>
                </c:pt>
                <c:pt idx="56">
                  <c:v>12/31/15</c:v>
                </c:pt>
                <c:pt idx="57">
                  <c:v>01/31/16</c:v>
                </c:pt>
                <c:pt idx="58">
                  <c:v>02/29/16</c:v>
                </c:pt>
                <c:pt idx="59">
                  <c:v>03/31/16</c:v>
                </c:pt>
                <c:pt idx="60">
                  <c:v>04/30/16</c:v>
                </c:pt>
                <c:pt idx="61">
                  <c:v>05/31/16</c:v>
                </c:pt>
                <c:pt idx="62">
                  <c:v>06/30/16</c:v>
                </c:pt>
                <c:pt idx="63">
                  <c:v>07/31/16</c:v>
                </c:pt>
                <c:pt idx="64">
                  <c:v>08/31/16</c:v>
                </c:pt>
                <c:pt idx="65">
                  <c:v>09/30/16</c:v>
                </c:pt>
                <c:pt idx="66">
                  <c:v>10/31/16</c:v>
                </c:pt>
                <c:pt idx="67">
                  <c:v>11/30/16</c:v>
                </c:pt>
                <c:pt idx="68">
                  <c:v>12/31/16</c:v>
                </c:pt>
                <c:pt idx="69">
                  <c:v>01/31/17</c:v>
                </c:pt>
                <c:pt idx="70">
                  <c:v>02/28/17</c:v>
                </c:pt>
                <c:pt idx="71">
                  <c:v>03/31/17</c:v>
                </c:pt>
                <c:pt idx="72">
                  <c:v>04/30/17</c:v>
                </c:pt>
                <c:pt idx="73">
                  <c:v>05/31/17</c:v>
                </c:pt>
                <c:pt idx="74">
                  <c:v>06/30/17</c:v>
                </c:pt>
                <c:pt idx="75">
                  <c:v>07/31/17</c:v>
                </c:pt>
                <c:pt idx="76">
                  <c:v>08/31/17</c:v>
                </c:pt>
                <c:pt idx="77">
                  <c:v>09/30/17</c:v>
                </c:pt>
                <c:pt idx="78">
                  <c:v>10/31/17</c:v>
                </c:pt>
                <c:pt idx="79">
                  <c:v>11/30/17</c:v>
                </c:pt>
                <c:pt idx="80">
                  <c:v>12/31/17</c:v>
                </c:pt>
                <c:pt idx="81">
                  <c:v>01/31/18</c:v>
                </c:pt>
                <c:pt idx="82">
                  <c:v>02/28/18</c:v>
                </c:pt>
                <c:pt idx="83">
                  <c:v>03/31/18</c:v>
                </c:pt>
                <c:pt idx="84">
                  <c:v>04/30/18</c:v>
                </c:pt>
                <c:pt idx="85">
                  <c:v>05/31/18</c:v>
                </c:pt>
                <c:pt idx="86">
                  <c:v>06/30/18</c:v>
                </c:pt>
                <c:pt idx="87">
                  <c:v>07/31/18</c:v>
                </c:pt>
                <c:pt idx="88">
                  <c:v>08/31/18</c:v>
                </c:pt>
                <c:pt idx="89">
                  <c:v>09/30/18</c:v>
                </c:pt>
                <c:pt idx="90">
                  <c:v>10/31/18</c:v>
                </c:pt>
                <c:pt idx="91">
                  <c:v>11/30/18</c:v>
                </c:pt>
                <c:pt idx="92">
                  <c:v>12/31/18</c:v>
                </c:pt>
                <c:pt idx="93">
                  <c:v>01/31/19</c:v>
                </c:pt>
                <c:pt idx="94">
                  <c:v>02/28/19</c:v>
                </c:pt>
                <c:pt idx="95">
                  <c:v>03/31/19</c:v>
                </c:pt>
                <c:pt idx="96">
                  <c:v>04/30/19</c:v>
                </c:pt>
                <c:pt idx="97">
                  <c:v>05/31/19</c:v>
                </c:pt>
              </c:strCache>
            </c:strRef>
          </c:cat>
          <c:val>
            <c:numRef>
              <c:f>Graphs!$B$35:$CU$35</c:f>
              <c:numCache>
                <c:formatCode>General</c:formatCode>
                <c:ptCount val="98"/>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numCache>
            </c:numRef>
          </c:val>
          <c:smooth val="0"/>
          <c:extLst>
            <c:ext xmlns:c16="http://schemas.microsoft.com/office/drawing/2014/chart" uri="{C3380CC4-5D6E-409C-BE32-E72D297353CC}">
              <c16:uniqueId val="{00000008-AA8D-4541-830A-DA504A6D0E85}"/>
            </c:ext>
          </c:extLst>
        </c:ser>
        <c:ser>
          <c:idx val="9"/>
          <c:order val="9"/>
          <c:tx>
            <c:strRef>
              <c:f>Graphs!$A$36</c:f>
              <c:strCache>
                <c:ptCount val="1"/>
                <c:pt idx="0">
                  <c:v>Customized to target</c:v>
                </c:pt>
              </c:strCache>
            </c:strRef>
          </c:tx>
          <c:spPr>
            <a:ln w="28575" cap="rnd">
              <a:no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Graphs!$B$26:$CU$26</c:f>
              <c:strCache>
                <c:ptCount val="98"/>
                <c:pt idx="0">
                  <c:v>Apr-11</c:v>
                </c:pt>
                <c:pt idx="1">
                  <c:v>May-11</c:v>
                </c:pt>
                <c:pt idx="2">
                  <c:v>Jun-11</c:v>
                </c:pt>
                <c:pt idx="3">
                  <c:v>Jul-11</c:v>
                </c:pt>
                <c:pt idx="4">
                  <c:v>Aug-11</c:v>
                </c:pt>
                <c:pt idx="5">
                  <c:v>Sep-11</c:v>
                </c:pt>
                <c:pt idx="6">
                  <c:v>Oct-11</c:v>
                </c:pt>
                <c:pt idx="7">
                  <c:v>Nov-11</c:v>
                </c:pt>
                <c:pt idx="8">
                  <c:v>Dec-11</c:v>
                </c:pt>
                <c:pt idx="9">
                  <c:v>Jan-12</c:v>
                </c:pt>
                <c:pt idx="10">
                  <c:v>Feb-12</c:v>
                </c:pt>
                <c:pt idx="11">
                  <c:v>Mar-12</c:v>
                </c:pt>
                <c:pt idx="12">
                  <c:v>Apr-12</c:v>
                </c:pt>
                <c:pt idx="13">
                  <c:v>May-12</c:v>
                </c:pt>
                <c:pt idx="14">
                  <c:v>Jun-12</c:v>
                </c:pt>
                <c:pt idx="15">
                  <c:v>Jul-12</c:v>
                </c:pt>
                <c:pt idx="16">
                  <c:v>Aug-12</c:v>
                </c:pt>
                <c:pt idx="17">
                  <c:v>Sep-12</c:v>
                </c:pt>
                <c:pt idx="18">
                  <c:v>Oct-12</c:v>
                </c:pt>
                <c:pt idx="19">
                  <c:v>Nov-12</c:v>
                </c:pt>
                <c:pt idx="20">
                  <c:v>Dec-12</c:v>
                </c:pt>
                <c:pt idx="21">
                  <c:v>Jan-13</c:v>
                </c:pt>
                <c:pt idx="22">
                  <c:v>Feb-13</c:v>
                </c:pt>
                <c:pt idx="23">
                  <c:v>Mar-13</c:v>
                </c:pt>
                <c:pt idx="24">
                  <c:v>Apr-13</c:v>
                </c:pt>
                <c:pt idx="25">
                  <c:v>May-13</c:v>
                </c:pt>
                <c:pt idx="26">
                  <c:v>Jun-13</c:v>
                </c:pt>
                <c:pt idx="27">
                  <c:v>Jul-13</c:v>
                </c:pt>
                <c:pt idx="28">
                  <c:v>Aug-13</c:v>
                </c:pt>
                <c:pt idx="29">
                  <c:v>Sep-13</c:v>
                </c:pt>
                <c:pt idx="30">
                  <c:v>Oct-13</c:v>
                </c:pt>
                <c:pt idx="31">
                  <c:v>Nov-13</c:v>
                </c:pt>
                <c:pt idx="32">
                  <c:v>Dec-13</c:v>
                </c:pt>
                <c:pt idx="33">
                  <c:v>Jan-14</c:v>
                </c:pt>
                <c:pt idx="34">
                  <c:v>Feb-14</c:v>
                </c:pt>
                <c:pt idx="35">
                  <c:v>Mar-14</c:v>
                </c:pt>
                <c:pt idx="36">
                  <c:v>Apr-14</c:v>
                </c:pt>
                <c:pt idx="37">
                  <c:v>May-14</c:v>
                </c:pt>
                <c:pt idx="38">
                  <c:v>Jun-14</c:v>
                </c:pt>
                <c:pt idx="39">
                  <c:v>Jul-14</c:v>
                </c:pt>
                <c:pt idx="40">
                  <c:v>Aug-14</c:v>
                </c:pt>
                <c:pt idx="41">
                  <c:v>Sep-14</c:v>
                </c:pt>
                <c:pt idx="42">
                  <c:v>Oct-14</c:v>
                </c:pt>
                <c:pt idx="43">
                  <c:v>Nov-14</c:v>
                </c:pt>
                <c:pt idx="44">
                  <c:v>12/31/14</c:v>
                </c:pt>
                <c:pt idx="45">
                  <c:v>01/31/15</c:v>
                </c:pt>
                <c:pt idx="46">
                  <c:v>02/28/15</c:v>
                </c:pt>
                <c:pt idx="47">
                  <c:v>03/31/15</c:v>
                </c:pt>
                <c:pt idx="48">
                  <c:v>04/30/15</c:v>
                </c:pt>
                <c:pt idx="49">
                  <c:v>05/31/15</c:v>
                </c:pt>
                <c:pt idx="50">
                  <c:v>06/30/15</c:v>
                </c:pt>
                <c:pt idx="51">
                  <c:v>07/31/15</c:v>
                </c:pt>
                <c:pt idx="52">
                  <c:v>08/31/15</c:v>
                </c:pt>
                <c:pt idx="53">
                  <c:v>09/30/15</c:v>
                </c:pt>
                <c:pt idx="54">
                  <c:v>10/31/15</c:v>
                </c:pt>
                <c:pt idx="55">
                  <c:v>11/30/15</c:v>
                </c:pt>
                <c:pt idx="56">
                  <c:v>12/31/15</c:v>
                </c:pt>
                <c:pt idx="57">
                  <c:v>01/31/16</c:v>
                </c:pt>
                <c:pt idx="58">
                  <c:v>02/29/16</c:v>
                </c:pt>
                <c:pt idx="59">
                  <c:v>03/31/16</c:v>
                </c:pt>
                <c:pt idx="60">
                  <c:v>04/30/16</c:v>
                </c:pt>
                <c:pt idx="61">
                  <c:v>05/31/16</c:v>
                </c:pt>
                <c:pt idx="62">
                  <c:v>06/30/16</c:v>
                </c:pt>
                <c:pt idx="63">
                  <c:v>07/31/16</c:v>
                </c:pt>
                <c:pt idx="64">
                  <c:v>08/31/16</c:v>
                </c:pt>
                <c:pt idx="65">
                  <c:v>09/30/16</c:v>
                </c:pt>
                <c:pt idx="66">
                  <c:v>10/31/16</c:v>
                </c:pt>
                <c:pt idx="67">
                  <c:v>11/30/16</c:v>
                </c:pt>
                <c:pt idx="68">
                  <c:v>12/31/16</c:v>
                </c:pt>
                <c:pt idx="69">
                  <c:v>01/31/17</c:v>
                </c:pt>
                <c:pt idx="70">
                  <c:v>02/28/17</c:v>
                </c:pt>
                <c:pt idx="71">
                  <c:v>03/31/17</c:v>
                </c:pt>
                <c:pt idx="72">
                  <c:v>04/30/17</c:v>
                </c:pt>
                <c:pt idx="73">
                  <c:v>05/31/17</c:v>
                </c:pt>
                <c:pt idx="74">
                  <c:v>06/30/17</c:v>
                </c:pt>
                <c:pt idx="75">
                  <c:v>07/31/17</c:v>
                </c:pt>
                <c:pt idx="76">
                  <c:v>08/31/17</c:v>
                </c:pt>
                <c:pt idx="77">
                  <c:v>09/30/17</c:v>
                </c:pt>
                <c:pt idx="78">
                  <c:v>10/31/17</c:v>
                </c:pt>
                <c:pt idx="79">
                  <c:v>11/30/17</c:v>
                </c:pt>
                <c:pt idx="80">
                  <c:v>12/31/17</c:v>
                </c:pt>
                <c:pt idx="81">
                  <c:v>01/31/18</c:v>
                </c:pt>
                <c:pt idx="82">
                  <c:v>02/28/18</c:v>
                </c:pt>
                <c:pt idx="83">
                  <c:v>03/31/18</c:v>
                </c:pt>
                <c:pt idx="84">
                  <c:v>04/30/18</c:v>
                </c:pt>
                <c:pt idx="85">
                  <c:v>05/31/18</c:v>
                </c:pt>
                <c:pt idx="86">
                  <c:v>06/30/18</c:v>
                </c:pt>
                <c:pt idx="87">
                  <c:v>07/31/18</c:v>
                </c:pt>
                <c:pt idx="88">
                  <c:v>08/31/18</c:v>
                </c:pt>
                <c:pt idx="89">
                  <c:v>09/30/18</c:v>
                </c:pt>
                <c:pt idx="90">
                  <c:v>10/31/18</c:v>
                </c:pt>
                <c:pt idx="91">
                  <c:v>11/30/18</c:v>
                </c:pt>
                <c:pt idx="92">
                  <c:v>12/31/18</c:v>
                </c:pt>
                <c:pt idx="93">
                  <c:v>01/31/19</c:v>
                </c:pt>
                <c:pt idx="94">
                  <c:v>02/28/19</c:v>
                </c:pt>
                <c:pt idx="95">
                  <c:v>03/31/19</c:v>
                </c:pt>
                <c:pt idx="96">
                  <c:v>04/30/19</c:v>
                </c:pt>
                <c:pt idx="97">
                  <c:v>05/31/19</c:v>
                </c:pt>
              </c:strCache>
            </c:strRef>
          </c:cat>
          <c:val>
            <c:numRef>
              <c:f>Graphs!$B$36:$CU$36</c:f>
              <c:numCache>
                <c:formatCode>General</c:formatCode>
                <c:ptCount val="98"/>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numCache>
            </c:numRef>
          </c:val>
          <c:smooth val="0"/>
          <c:extLst>
            <c:ext xmlns:c16="http://schemas.microsoft.com/office/drawing/2014/chart" uri="{C3380CC4-5D6E-409C-BE32-E72D297353CC}">
              <c16:uniqueId val="{00000009-AA8D-4541-830A-DA504A6D0E85}"/>
            </c:ext>
          </c:extLst>
        </c:ser>
        <c:dLbls>
          <c:showLegendKey val="0"/>
          <c:showVal val="0"/>
          <c:showCatName val="0"/>
          <c:showSerName val="0"/>
          <c:showPercent val="0"/>
          <c:showBubbleSize val="0"/>
        </c:dLbls>
        <c:smooth val="0"/>
        <c:axId val="445881448"/>
        <c:axId val="445883016"/>
      </c:lineChart>
      <c:catAx>
        <c:axId val="4458814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5883016"/>
        <c:crosses val="autoZero"/>
        <c:auto val="1"/>
        <c:lblAlgn val="ctr"/>
        <c:lblOffset val="100"/>
        <c:noMultiLvlLbl val="0"/>
      </c:catAx>
      <c:valAx>
        <c:axId val="4458830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5881448"/>
        <c:crosses val="autoZero"/>
        <c:crossBetween val="between"/>
      </c:valAx>
      <c:spPr>
        <a:noFill/>
        <a:ln>
          <a:noFill/>
        </a:ln>
        <a:effectLst/>
      </c:spPr>
    </c:plotArea>
    <c:legend>
      <c:legendPos val="r"/>
      <c:legendEntry>
        <c:idx val="0"/>
        <c:delete val="1"/>
      </c:legendEntry>
      <c:legendEntry>
        <c:idx val="1"/>
        <c:delete val="1"/>
      </c:legendEntry>
      <c:legendEntry>
        <c:idx val="2"/>
        <c:delete val="1"/>
      </c:legendEntry>
      <c:legendEntry>
        <c:idx val="3"/>
        <c:delete val="1"/>
      </c:legendEntry>
      <c:legendEntry>
        <c:idx val="4"/>
        <c:delete val="1"/>
      </c:legendEntry>
      <c:legendEntry>
        <c:idx val="5"/>
        <c:delete val="1"/>
      </c:legendEntry>
      <c:legendEntry>
        <c:idx val="6"/>
        <c:delete val="1"/>
      </c:legendEntry>
      <c:legendEntry>
        <c:idx val="7"/>
        <c:delete val="1"/>
      </c:legendEntry>
      <c:legendEntry>
        <c:idx val="8"/>
        <c:delete val="1"/>
      </c:legendEntry>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Effect Desired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Graphs!$A$38</c:f>
              <c:strCache>
                <c:ptCount val="1"/>
                <c:pt idx="0">
                  <c:v>Effect desired: Data theft</c:v>
                </c:pt>
              </c:strCache>
            </c:strRef>
          </c:tx>
          <c:spPr>
            <a:ln w="28575" cap="rnd">
              <a:solidFill>
                <a:schemeClr val="accent1"/>
              </a:solidFill>
              <a:round/>
            </a:ln>
            <a:effectLst/>
          </c:spPr>
          <c:marker>
            <c:symbol val="none"/>
          </c:marker>
          <c:cat>
            <c:strRef>
              <c:f>Graphs!$B$37:$CU$37</c:f>
              <c:strCache>
                <c:ptCount val="98"/>
                <c:pt idx="0">
                  <c:v>Apr-11</c:v>
                </c:pt>
                <c:pt idx="1">
                  <c:v>May-11</c:v>
                </c:pt>
                <c:pt idx="2">
                  <c:v>Jun-11</c:v>
                </c:pt>
                <c:pt idx="3">
                  <c:v>Jul-11</c:v>
                </c:pt>
                <c:pt idx="4">
                  <c:v>Aug-11</c:v>
                </c:pt>
                <c:pt idx="5">
                  <c:v>Sep-11</c:v>
                </c:pt>
                <c:pt idx="6">
                  <c:v>Oct-11</c:v>
                </c:pt>
                <c:pt idx="7">
                  <c:v>Nov-11</c:v>
                </c:pt>
                <c:pt idx="8">
                  <c:v>Dec-11</c:v>
                </c:pt>
                <c:pt idx="9">
                  <c:v>Jan-12</c:v>
                </c:pt>
                <c:pt idx="10">
                  <c:v>Feb-12</c:v>
                </c:pt>
                <c:pt idx="11">
                  <c:v>Mar-12</c:v>
                </c:pt>
                <c:pt idx="12">
                  <c:v>Apr-12</c:v>
                </c:pt>
                <c:pt idx="13">
                  <c:v>May-12</c:v>
                </c:pt>
                <c:pt idx="14">
                  <c:v>Jun-12</c:v>
                </c:pt>
                <c:pt idx="15">
                  <c:v>Jul-12</c:v>
                </c:pt>
                <c:pt idx="16">
                  <c:v>Aug-12</c:v>
                </c:pt>
                <c:pt idx="17">
                  <c:v>Sep-12</c:v>
                </c:pt>
                <c:pt idx="18">
                  <c:v>Oct-12</c:v>
                </c:pt>
                <c:pt idx="19">
                  <c:v>Nov-12</c:v>
                </c:pt>
                <c:pt idx="20">
                  <c:v>Dec-12</c:v>
                </c:pt>
                <c:pt idx="21">
                  <c:v>Jan-13</c:v>
                </c:pt>
                <c:pt idx="22">
                  <c:v>Feb-13</c:v>
                </c:pt>
                <c:pt idx="23">
                  <c:v>Mar-13</c:v>
                </c:pt>
                <c:pt idx="24">
                  <c:v>Apr-13</c:v>
                </c:pt>
                <c:pt idx="25">
                  <c:v>May-13</c:v>
                </c:pt>
                <c:pt idx="26">
                  <c:v>Jun-13</c:v>
                </c:pt>
                <c:pt idx="27">
                  <c:v>Jul-13</c:v>
                </c:pt>
                <c:pt idx="28">
                  <c:v>Aug-13</c:v>
                </c:pt>
                <c:pt idx="29">
                  <c:v>Sep-13</c:v>
                </c:pt>
                <c:pt idx="30">
                  <c:v>Oct-13</c:v>
                </c:pt>
                <c:pt idx="31">
                  <c:v>Nov-13</c:v>
                </c:pt>
                <c:pt idx="32">
                  <c:v>Dec-13</c:v>
                </c:pt>
                <c:pt idx="33">
                  <c:v>Jan-14</c:v>
                </c:pt>
                <c:pt idx="34">
                  <c:v>Feb-14</c:v>
                </c:pt>
                <c:pt idx="35">
                  <c:v>Mar-14</c:v>
                </c:pt>
                <c:pt idx="36">
                  <c:v>Apr-14</c:v>
                </c:pt>
                <c:pt idx="37">
                  <c:v>May-14</c:v>
                </c:pt>
                <c:pt idx="38">
                  <c:v>Jun-14</c:v>
                </c:pt>
                <c:pt idx="39">
                  <c:v>Jul-14</c:v>
                </c:pt>
                <c:pt idx="40">
                  <c:v>Aug-14</c:v>
                </c:pt>
                <c:pt idx="41">
                  <c:v>Sep-14</c:v>
                </c:pt>
                <c:pt idx="42">
                  <c:v>Oct-14</c:v>
                </c:pt>
                <c:pt idx="43">
                  <c:v>Nov-14</c:v>
                </c:pt>
                <c:pt idx="44">
                  <c:v>12/31/14</c:v>
                </c:pt>
                <c:pt idx="45">
                  <c:v>01/31/15</c:v>
                </c:pt>
                <c:pt idx="46">
                  <c:v>02/28/15</c:v>
                </c:pt>
                <c:pt idx="47">
                  <c:v>03/31/15</c:v>
                </c:pt>
                <c:pt idx="48">
                  <c:v>04/30/15</c:v>
                </c:pt>
                <c:pt idx="49">
                  <c:v>05/31/15</c:v>
                </c:pt>
                <c:pt idx="50">
                  <c:v>06/30/15</c:v>
                </c:pt>
                <c:pt idx="51">
                  <c:v>07/31/15</c:v>
                </c:pt>
                <c:pt idx="52">
                  <c:v>08/31/15</c:v>
                </c:pt>
                <c:pt idx="53">
                  <c:v>09/30/15</c:v>
                </c:pt>
                <c:pt idx="54">
                  <c:v>10/31/15</c:v>
                </c:pt>
                <c:pt idx="55">
                  <c:v>11/30/15</c:v>
                </c:pt>
                <c:pt idx="56">
                  <c:v>12/31/15</c:v>
                </c:pt>
                <c:pt idx="57">
                  <c:v>01/31/16</c:v>
                </c:pt>
                <c:pt idx="58">
                  <c:v>02/29/16</c:v>
                </c:pt>
                <c:pt idx="59">
                  <c:v>03/31/16</c:v>
                </c:pt>
                <c:pt idx="60">
                  <c:v>04/30/16</c:v>
                </c:pt>
                <c:pt idx="61">
                  <c:v>05/31/16</c:v>
                </c:pt>
                <c:pt idx="62">
                  <c:v>06/30/16</c:v>
                </c:pt>
                <c:pt idx="63">
                  <c:v>07/31/16</c:v>
                </c:pt>
                <c:pt idx="64">
                  <c:v>08/31/16</c:v>
                </c:pt>
                <c:pt idx="65">
                  <c:v>09/30/16</c:v>
                </c:pt>
                <c:pt idx="66">
                  <c:v>10/31/16</c:v>
                </c:pt>
                <c:pt idx="67">
                  <c:v>11/30/16</c:v>
                </c:pt>
                <c:pt idx="68">
                  <c:v>12/31/16</c:v>
                </c:pt>
                <c:pt idx="69">
                  <c:v>01/31/17</c:v>
                </c:pt>
                <c:pt idx="70">
                  <c:v>02/28/17</c:v>
                </c:pt>
                <c:pt idx="71">
                  <c:v>03/31/17</c:v>
                </c:pt>
                <c:pt idx="72">
                  <c:v>04/30/17</c:v>
                </c:pt>
                <c:pt idx="73">
                  <c:v>05/31/17</c:v>
                </c:pt>
                <c:pt idx="74">
                  <c:v>06/30/17</c:v>
                </c:pt>
                <c:pt idx="75">
                  <c:v>07/31/17</c:v>
                </c:pt>
                <c:pt idx="76">
                  <c:v>08/31/17</c:v>
                </c:pt>
                <c:pt idx="77">
                  <c:v>09/30/17</c:v>
                </c:pt>
                <c:pt idx="78">
                  <c:v>10/31/17</c:v>
                </c:pt>
                <c:pt idx="79">
                  <c:v>11/30/17</c:v>
                </c:pt>
                <c:pt idx="80">
                  <c:v>12/31/17</c:v>
                </c:pt>
                <c:pt idx="81">
                  <c:v>01/31/18</c:v>
                </c:pt>
                <c:pt idx="82">
                  <c:v>02/28/18</c:v>
                </c:pt>
                <c:pt idx="83">
                  <c:v>03/31/18</c:v>
                </c:pt>
                <c:pt idx="84">
                  <c:v>04/30/18</c:v>
                </c:pt>
                <c:pt idx="85">
                  <c:v>05/31/18</c:v>
                </c:pt>
                <c:pt idx="86">
                  <c:v>06/30/18</c:v>
                </c:pt>
                <c:pt idx="87">
                  <c:v>07/31/18</c:v>
                </c:pt>
                <c:pt idx="88">
                  <c:v>08/31/18</c:v>
                </c:pt>
                <c:pt idx="89">
                  <c:v>09/30/18</c:v>
                </c:pt>
                <c:pt idx="90">
                  <c:v>10/31/18</c:v>
                </c:pt>
                <c:pt idx="91">
                  <c:v>11/30/18</c:v>
                </c:pt>
                <c:pt idx="92">
                  <c:v>12/31/18</c:v>
                </c:pt>
                <c:pt idx="93">
                  <c:v>01/31/19</c:v>
                </c:pt>
                <c:pt idx="94">
                  <c:v>02/28/19</c:v>
                </c:pt>
                <c:pt idx="95">
                  <c:v>03/31/19</c:v>
                </c:pt>
                <c:pt idx="96">
                  <c:v>04/30/19</c:v>
                </c:pt>
                <c:pt idx="97">
                  <c:v>05/31/19</c:v>
                </c:pt>
              </c:strCache>
            </c:strRef>
          </c:cat>
          <c:val>
            <c:numRef>
              <c:f>Graphs!$B$38:$CU$38</c:f>
              <c:numCache>
                <c:formatCode>General</c:formatCode>
                <c:ptCount val="98"/>
                <c:pt idx="0">
                  <c:v>1000</c:v>
                </c:pt>
                <c:pt idx="1">
                  <c:v>1000</c:v>
                </c:pt>
                <c:pt idx="2">
                  <c:v>1000</c:v>
                </c:pt>
                <c:pt idx="3">
                  <c:v>1000</c:v>
                </c:pt>
                <c:pt idx="4">
                  <c:v>1000</c:v>
                </c:pt>
                <c:pt idx="5">
                  <c:v>1000</c:v>
                </c:pt>
                <c:pt idx="6">
                  <c:v>1000</c:v>
                </c:pt>
                <c:pt idx="7">
                  <c:v>1000</c:v>
                </c:pt>
                <c:pt idx="8">
                  <c:v>1000</c:v>
                </c:pt>
                <c:pt idx="9">
                  <c:v>1000</c:v>
                </c:pt>
                <c:pt idx="10">
                  <c:v>1000</c:v>
                </c:pt>
                <c:pt idx="11">
                  <c:v>1000</c:v>
                </c:pt>
                <c:pt idx="12">
                  <c:v>1000</c:v>
                </c:pt>
                <c:pt idx="13">
                  <c:v>1027.5272342746637</c:v>
                </c:pt>
                <c:pt idx="14">
                  <c:v>1068.9440600556579</c:v>
                </c:pt>
                <c:pt idx="15">
                  <c:v>1103.2662243631335</c:v>
                </c:pt>
                <c:pt idx="16">
                  <c:v>1135.008862923831</c:v>
                </c:pt>
                <c:pt idx="17">
                  <c:v>1169.447908065622</c:v>
                </c:pt>
                <c:pt idx="18">
                  <c:v>1212.2392437423694</c:v>
                </c:pt>
                <c:pt idx="19">
                  <c:v>1237.1146388239222</c:v>
                </c:pt>
                <c:pt idx="20">
                  <c:v>1272.7394116579389</c:v>
                </c:pt>
                <c:pt idx="21">
                  <c:v>1313.3623304509504</c:v>
                </c:pt>
                <c:pt idx="22">
                  <c:v>1373.5767438128141</c:v>
                </c:pt>
                <c:pt idx="23">
                  <c:v>1421.7489896954003</c:v>
                </c:pt>
                <c:pt idx="24">
                  <c:v>1450.0885719979167</c:v>
                </c:pt>
                <c:pt idx="25">
                  <c:v>1479.9862570690029</c:v>
                </c:pt>
                <c:pt idx="26">
                  <c:v>1517.4522875412031</c:v>
                </c:pt>
                <c:pt idx="27">
                  <c:v>1564.7828927369253</c:v>
                </c:pt>
                <c:pt idx="28">
                  <c:v>1602.1267948224474</c:v>
                </c:pt>
                <c:pt idx="29">
                  <c:v>1643.7381683966114</c:v>
                </c:pt>
                <c:pt idx="30">
                  <c:v>1681.0557162390921</c:v>
                </c:pt>
                <c:pt idx="31">
                  <c:v>1697.9506070650907</c:v>
                </c:pt>
                <c:pt idx="32">
                  <c:v>1778.1541728649293</c:v>
                </c:pt>
                <c:pt idx="33">
                  <c:v>1820.3218838880521</c:v>
                </c:pt>
                <c:pt idx="34">
                  <c:v>1870.7490761249394</c:v>
                </c:pt>
                <c:pt idx="35">
                  <c:v>1918.1073144580062</c:v>
                </c:pt>
                <c:pt idx="36">
                  <c:v>2001.2676136026332</c:v>
                </c:pt>
                <c:pt idx="37">
                  <c:v>2035.6725203630876</c:v>
                </c:pt>
                <c:pt idx="38">
                  <c:v>2073.253109283693</c:v>
                </c:pt>
                <c:pt idx="39">
                  <c:v>2116.6469511528389</c:v>
                </c:pt>
                <c:pt idx="40">
                  <c:v>2168.9387045729004</c:v>
                </c:pt>
                <c:pt idx="41">
                  <c:v>2277.4297295946621</c:v>
                </c:pt>
                <c:pt idx="42">
                  <c:v>2387.1646410400058</c:v>
                </c:pt>
                <c:pt idx="43">
                  <c:v>2475.1240835884087</c:v>
                </c:pt>
                <c:pt idx="44">
                  <c:v>2501.3156297110586</c:v>
                </c:pt>
                <c:pt idx="45">
                  <c:v>2512.7111254433448</c:v>
                </c:pt>
                <c:pt idx="46">
                  <c:v>2539.3004143486232</c:v>
                </c:pt>
                <c:pt idx="47">
                  <c:v>2577.6770255893957</c:v>
                </c:pt>
                <c:pt idx="48">
                  <c:v>2591.2795113919792</c:v>
                </c:pt>
                <c:pt idx="49">
                  <c:v>2591.2795113919792</c:v>
                </c:pt>
                <c:pt idx="50">
                  <c:v>2629.4795053900093</c:v>
                </c:pt>
                <c:pt idx="51">
                  <c:v>2643.7313920329598</c:v>
                </c:pt>
                <c:pt idx="52">
                  <c:v>2675.0177910763146</c:v>
                </c:pt>
                <c:pt idx="53">
                  <c:v>2689.920358718337</c:v>
                </c:pt>
                <c:pt idx="54">
                  <c:v>2747.1505705391796</c:v>
                </c:pt>
                <c:pt idx="55">
                  <c:v>2767.575388105266</c:v>
                </c:pt>
                <c:pt idx="56">
                  <c:v>2786.0875292664036</c:v>
                </c:pt>
                <c:pt idx="57">
                  <c:v>2786.0875292664036</c:v>
                </c:pt>
                <c:pt idx="58">
                  <c:v>2801.1882378146352</c:v>
                </c:pt>
                <c:pt idx="59">
                  <c:v>2801.1882378146352</c:v>
                </c:pt>
                <c:pt idx="60">
                  <c:v>2817.2408486668892</c:v>
                </c:pt>
                <c:pt idx="61">
                  <c:v>2817.2408486668892</c:v>
                </c:pt>
                <c:pt idx="62">
                  <c:v>2876.1357470598455</c:v>
                </c:pt>
                <c:pt idx="63">
                  <c:v>2936.261853305818</c:v>
                </c:pt>
                <c:pt idx="64">
                  <c:v>2954.1114146333643</c:v>
                </c:pt>
                <c:pt idx="65">
                  <c:v>2954.1114146333643</c:v>
                </c:pt>
                <c:pt idx="66">
                  <c:v>2972.6324288545434</c:v>
                </c:pt>
                <c:pt idx="67">
                  <c:v>2972.6324288545434</c:v>
                </c:pt>
                <c:pt idx="68">
                  <c:v>2992.5161839203106</c:v>
                </c:pt>
                <c:pt idx="69">
                  <c:v>3011.8851533086804</c:v>
                </c:pt>
                <c:pt idx="70">
                  <c:v>3031.3794877584605</c:v>
                </c:pt>
                <c:pt idx="71">
                  <c:v>3011.2375057134327</c:v>
                </c:pt>
                <c:pt idx="72">
                  <c:v>3011.2375057134327</c:v>
                </c:pt>
                <c:pt idx="73">
                  <c:v>3011.2375057134327</c:v>
                </c:pt>
                <c:pt idx="74">
                  <c:v>3011.2375057134327</c:v>
                </c:pt>
                <c:pt idx="75">
                  <c:v>3011.2375057134327</c:v>
                </c:pt>
                <c:pt idx="76">
                  <c:v>3011.2375057134327</c:v>
                </c:pt>
                <c:pt idx="77">
                  <c:v>2977.964503531759</c:v>
                </c:pt>
                <c:pt idx="78">
                  <c:v>2999.3118282400151</c:v>
                </c:pt>
                <c:pt idx="79">
                  <c:v>3020.0682289270985</c:v>
                </c:pt>
                <c:pt idx="80">
                  <c:v>3020.0682289270985</c:v>
                </c:pt>
                <c:pt idx="81">
                  <c:v>3020.0682289270985</c:v>
                </c:pt>
                <c:pt idx="82">
                  <c:v>3020.0682289270985</c:v>
                </c:pt>
                <c:pt idx="83">
                  <c:v>3065.143043572044</c:v>
                </c:pt>
                <c:pt idx="84">
                  <c:v>3093.1350238236932</c:v>
                </c:pt>
                <c:pt idx="85">
                  <c:v>3157.7975368033672</c:v>
                </c:pt>
                <c:pt idx="86">
                  <c:v>3184.2224672316393</c:v>
                </c:pt>
                <c:pt idx="87">
                  <c:v>3209.7984143530725</c:v>
                </c:pt>
                <c:pt idx="88">
                  <c:v>3234.5843798042647</c:v>
                </c:pt>
                <c:pt idx="89">
                  <c:v>3262.8338462601791</c:v>
                </c:pt>
                <c:pt idx="90">
                  <c:v>3299.2897131975787</c:v>
                </c:pt>
                <c:pt idx="91">
                  <c:v>3326.8986716940803</c:v>
                </c:pt>
                <c:pt idx="92">
                  <c:v>3326.8986716940803</c:v>
                </c:pt>
                <c:pt idx="93">
                  <c:v>3380.5571737477894</c:v>
                </c:pt>
                <c:pt idx="94">
                  <c:v>3380.5571737477894</c:v>
                </c:pt>
                <c:pt idx="95">
                  <c:v>3380.5571737477894</c:v>
                </c:pt>
                <c:pt idx="96">
                  <c:v>3418.3283715186103</c:v>
                </c:pt>
                <c:pt idx="97">
                  <c:v>3444.7245989385078</c:v>
                </c:pt>
              </c:numCache>
            </c:numRef>
          </c:val>
          <c:smooth val="0"/>
          <c:extLst>
            <c:ext xmlns:c16="http://schemas.microsoft.com/office/drawing/2014/chart" uri="{C3380CC4-5D6E-409C-BE32-E72D297353CC}">
              <c16:uniqueId val="{00000000-99D9-C240-82C6-DEA9040B42C7}"/>
            </c:ext>
          </c:extLst>
        </c:ser>
        <c:ser>
          <c:idx val="1"/>
          <c:order val="1"/>
          <c:tx>
            <c:strRef>
              <c:f>Graphs!$A$39</c:f>
              <c:strCache>
                <c:ptCount val="1"/>
                <c:pt idx="0">
                  <c:v>Effect desired: Data modification</c:v>
                </c:pt>
              </c:strCache>
            </c:strRef>
          </c:tx>
          <c:spPr>
            <a:ln w="28575" cap="rnd">
              <a:solidFill>
                <a:schemeClr val="accent2"/>
              </a:solidFill>
              <a:round/>
            </a:ln>
            <a:effectLst/>
          </c:spPr>
          <c:marker>
            <c:symbol val="none"/>
          </c:marker>
          <c:cat>
            <c:strRef>
              <c:f>Graphs!$B$37:$CU$37</c:f>
              <c:strCache>
                <c:ptCount val="98"/>
                <c:pt idx="0">
                  <c:v>Apr-11</c:v>
                </c:pt>
                <c:pt idx="1">
                  <c:v>May-11</c:v>
                </c:pt>
                <c:pt idx="2">
                  <c:v>Jun-11</c:v>
                </c:pt>
                <c:pt idx="3">
                  <c:v>Jul-11</c:v>
                </c:pt>
                <c:pt idx="4">
                  <c:v>Aug-11</c:v>
                </c:pt>
                <c:pt idx="5">
                  <c:v>Sep-11</c:v>
                </c:pt>
                <c:pt idx="6">
                  <c:v>Oct-11</c:v>
                </c:pt>
                <c:pt idx="7">
                  <c:v>Nov-11</c:v>
                </c:pt>
                <c:pt idx="8">
                  <c:v>Dec-11</c:v>
                </c:pt>
                <c:pt idx="9">
                  <c:v>Jan-12</c:v>
                </c:pt>
                <c:pt idx="10">
                  <c:v>Feb-12</c:v>
                </c:pt>
                <c:pt idx="11">
                  <c:v>Mar-12</c:v>
                </c:pt>
                <c:pt idx="12">
                  <c:v>Apr-12</c:v>
                </c:pt>
                <c:pt idx="13">
                  <c:v>May-12</c:v>
                </c:pt>
                <c:pt idx="14">
                  <c:v>Jun-12</c:v>
                </c:pt>
                <c:pt idx="15">
                  <c:v>Jul-12</c:v>
                </c:pt>
                <c:pt idx="16">
                  <c:v>Aug-12</c:v>
                </c:pt>
                <c:pt idx="17">
                  <c:v>Sep-12</c:v>
                </c:pt>
                <c:pt idx="18">
                  <c:v>Oct-12</c:v>
                </c:pt>
                <c:pt idx="19">
                  <c:v>Nov-12</c:v>
                </c:pt>
                <c:pt idx="20">
                  <c:v>Dec-12</c:v>
                </c:pt>
                <c:pt idx="21">
                  <c:v>Jan-13</c:v>
                </c:pt>
                <c:pt idx="22">
                  <c:v>Feb-13</c:v>
                </c:pt>
                <c:pt idx="23">
                  <c:v>Mar-13</c:v>
                </c:pt>
                <c:pt idx="24">
                  <c:v>Apr-13</c:v>
                </c:pt>
                <c:pt idx="25">
                  <c:v>May-13</c:v>
                </c:pt>
                <c:pt idx="26">
                  <c:v>Jun-13</c:v>
                </c:pt>
                <c:pt idx="27">
                  <c:v>Jul-13</c:v>
                </c:pt>
                <c:pt idx="28">
                  <c:v>Aug-13</c:v>
                </c:pt>
                <c:pt idx="29">
                  <c:v>Sep-13</c:v>
                </c:pt>
                <c:pt idx="30">
                  <c:v>Oct-13</c:v>
                </c:pt>
                <c:pt idx="31">
                  <c:v>Nov-13</c:v>
                </c:pt>
                <c:pt idx="32">
                  <c:v>Dec-13</c:v>
                </c:pt>
                <c:pt idx="33">
                  <c:v>Jan-14</c:v>
                </c:pt>
                <c:pt idx="34">
                  <c:v>Feb-14</c:v>
                </c:pt>
                <c:pt idx="35">
                  <c:v>Mar-14</c:v>
                </c:pt>
                <c:pt idx="36">
                  <c:v>Apr-14</c:v>
                </c:pt>
                <c:pt idx="37">
                  <c:v>May-14</c:v>
                </c:pt>
                <c:pt idx="38">
                  <c:v>Jun-14</c:v>
                </c:pt>
                <c:pt idx="39">
                  <c:v>Jul-14</c:v>
                </c:pt>
                <c:pt idx="40">
                  <c:v>Aug-14</c:v>
                </c:pt>
                <c:pt idx="41">
                  <c:v>Sep-14</c:v>
                </c:pt>
                <c:pt idx="42">
                  <c:v>Oct-14</c:v>
                </c:pt>
                <c:pt idx="43">
                  <c:v>Nov-14</c:v>
                </c:pt>
                <c:pt idx="44">
                  <c:v>12/31/14</c:v>
                </c:pt>
                <c:pt idx="45">
                  <c:v>01/31/15</c:v>
                </c:pt>
                <c:pt idx="46">
                  <c:v>02/28/15</c:v>
                </c:pt>
                <c:pt idx="47">
                  <c:v>03/31/15</c:v>
                </c:pt>
                <c:pt idx="48">
                  <c:v>04/30/15</c:v>
                </c:pt>
                <c:pt idx="49">
                  <c:v>05/31/15</c:v>
                </c:pt>
                <c:pt idx="50">
                  <c:v>06/30/15</c:v>
                </c:pt>
                <c:pt idx="51">
                  <c:v>07/31/15</c:v>
                </c:pt>
                <c:pt idx="52">
                  <c:v>08/31/15</c:v>
                </c:pt>
                <c:pt idx="53">
                  <c:v>09/30/15</c:v>
                </c:pt>
                <c:pt idx="54">
                  <c:v>10/31/15</c:v>
                </c:pt>
                <c:pt idx="55">
                  <c:v>11/30/15</c:v>
                </c:pt>
                <c:pt idx="56">
                  <c:v>12/31/15</c:v>
                </c:pt>
                <c:pt idx="57">
                  <c:v>01/31/16</c:v>
                </c:pt>
                <c:pt idx="58">
                  <c:v>02/29/16</c:v>
                </c:pt>
                <c:pt idx="59">
                  <c:v>03/31/16</c:v>
                </c:pt>
                <c:pt idx="60">
                  <c:v>04/30/16</c:v>
                </c:pt>
                <c:pt idx="61">
                  <c:v>05/31/16</c:v>
                </c:pt>
                <c:pt idx="62">
                  <c:v>06/30/16</c:v>
                </c:pt>
                <c:pt idx="63">
                  <c:v>07/31/16</c:v>
                </c:pt>
                <c:pt idx="64">
                  <c:v>08/31/16</c:v>
                </c:pt>
                <c:pt idx="65">
                  <c:v>09/30/16</c:v>
                </c:pt>
                <c:pt idx="66">
                  <c:v>10/31/16</c:v>
                </c:pt>
                <c:pt idx="67">
                  <c:v>11/30/16</c:v>
                </c:pt>
                <c:pt idx="68">
                  <c:v>12/31/16</c:v>
                </c:pt>
                <c:pt idx="69">
                  <c:v>01/31/17</c:v>
                </c:pt>
                <c:pt idx="70">
                  <c:v>02/28/17</c:v>
                </c:pt>
                <c:pt idx="71">
                  <c:v>03/31/17</c:v>
                </c:pt>
                <c:pt idx="72">
                  <c:v>04/30/17</c:v>
                </c:pt>
                <c:pt idx="73">
                  <c:v>05/31/17</c:v>
                </c:pt>
                <c:pt idx="74">
                  <c:v>06/30/17</c:v>
                </c:pt>
                <c:pt idx="75">
                  <c:v>07/31/17</c:v>
                </c:pt>
                <c:pt idx="76">
                  <c:v>08/31/17</c:v>
                </c:pt>
                <c:pt idx="77">
                  <c:v>09/30/17</c:v>
                </c:pt>
                <c:pt idx="78">
                  <c:v>10/31/17</c:v>
                </c:pt>
                <c:pt idx="79">
                  <c:v>11/30/17</c:v>
                </c:pt>
                <c:pt idx="80">
                  <c:v>12/31/17</c:v>
                </c:pt>
                <c:pt idx="81">
                  <c:v>01/31/18</c:v>
                </c:pt>
                <c:pt idx="82">
                  <c:v>02/28/18</c:v>
                </c:pt>
                <c:pt idx="83">
                  <c:v>03/31/18</c:v>
                </c:pt>
                <c:pt idx="84">
                  <c:v>04/30/18</c:v>
                </c:pt>
                <c:pt idx="85">
                  <c:v>05/31/18</c:v>
                </c:pt>
                <c:pt idx="86">
                  <c:v>06/30/18</c:v>
                </c:pt>
                <c:pt idx="87">
                  <c:v>07/31/18</c:v>
                </c:pt>
                <c:pt idx="88">
                  <c:v>08/31/18</c:v>
                </c:pt>
                <c:pt idx="89">
                  <c:v>09/30/18</c:v>
                </c:pt>
                <c:pt idx="90">
                  <c:v>10/31/18</c:v>
                </c:pt>
                <c:pt idx="91">
                  <c:v>11/30/18</c:v>
                </c:pt>
                <c:pt idx="92">
                  <c:v>12/31/18</c:v>
                </c:pt>
                <c:pt idx="93">
                  <c:v>01/31/19</c:v>
                </c:pt>
                <c:pt idx="94">
                  <c:v>02/28/19</c:v>
                </c:pt>
                <c:pt idx="95">
                  <c:v>03/31/19</c:v>
                </c:pt>
                <c:pt idx="96">
                  <c:v>04/30/19</c:v>
                </c:pt>
                <c:pt idx="97">
                  <c:v>05/31/19</c:v>
                </c:pt>
              </c:strCache>
            </c:strRef>
          </c:cat>
          <c:val>
            <c:numRef>
              <c:f>Graphs!$B$39:$CU$39</c:f>
              <c:numCache>
                <c:formatCode>General</c:formatCode>
                <c:ptCount val="98"/>
                <c:pt idx="0">
                  <c:v>1000</c:v>
                </c:pt>
                <c:pt idx="1">
                  <c:v>1000</c:v>
                </c:pt>
                <c:pt idx="2">
                  <c:v>1000</c:v>
                </c:pt>
                <c:pt idx="3">
                  <c:v>1000</c:v>
                </c:pt>
                <c:pt idx="4">
                  <c:v>1000</c:v>
                </c:pt>
                <c:pt idx="5">
                  <c:v>1000</c:v>
                </c:pt>
                <c:pt idx="6">
                  <c:v>1000</c:v>
                </c:pt>
                <c:pt idx="7">
                  <c:v>1000</c:v>
                </c:pt>
                <c:pt idx="8">
                  <c:v>1000</c:v>
                </c:pt>
                <c:pt idx="9">
                  <c:v>1000</c:v>
                </c:pt>
                <c:pt idx="10">
                  <c:v>1000</c:v>
                </c:pt>
                <c:pt idx="11">
                  <c:v>1000</c:v>
                </c:pt>
                <c:pt idx="12">
                  <c:v>1000</c:v>
                </c:pt>
                <c:pt idx="13">
                  <c:v>1007.3544986609897</c:v>
                </c:pt>
                <c:pt idx="14">
                  <c:v>1017.1504137216882</c:v>
                </c:pt>
                <c:pt idx="15">
                  <c:v>1028.2456135330174</c:v>
                </c:pt>
                <c:pt idx="16">
                  <c:v>1036.6839807675424</c:v>
                </c:pt>
                <c:pt idx="17">
                  <c:v>1036.6839807675424</c:v>
                </c:pt>
                <c:pt idx="18">
                  <c:v>1048.0849471854165</c:v>
                </c:pt>
                <c:pt idx="19">
                  <c:v>1051.365335582655</c:v>
                </c:pt>
                <c:pt idx="20">
                  <c:v>1054.0416990155525</c:v>
                </c:pt>
                <c:pt idx="21">
                  <c:v>1053.6856639914038</c:v>
                </c:pt>
                <c:pt idx="22">
                  <c:v>1065.1014322772382</c:v>
                </c:pt>
                <c:pt idx="23">
                  <c:v>1067.5248702141957</c:v>
                </c:pt>
                <c:pt idx="24">
                  <c:v>1071.2771506115819</c:v>
                </c:pt>
                <c:pt idx="25">
                  <c:v>1085.5826435524295</c:v>
                </c:pt>
                <c:pt idx="26">
                  <c:v>1085.0289161257479</c:v>
                </c:pt>
                <c:pt idx="27">
                  <c:v>1085.0289161257479</c:v>
                </c:pt>
                <c:pt idx="28">
                  <c:v>1089.6449622367472</c:v>
                </c:pt>
                <c:pt idx="29">
                  <c:v>1083.3766480548154</c:v>
                </c:pt>
                <c:pt idx="30">
                  <c:v>1090.0299126619852</c:v>
                </c:pt>
                <c:pt idx="31">
                  <c:v>1091.8481439549457</c:v>
                </c:pt>
                <c:pt idx="32">
                  <c:v>1101.6908812126451</c:v>
                </c:pt>
                <c:pt idx="33">
                  <c:v>1102.2648279989446</c:v>
                </c:pt>
                <c:pt idx="34">
                  <c:v>1106.1166522561939</c:v>
                </c:pt>
                <c:pt idx="35">
                  <c:v>1112.2034910319694</c:v>
                </c:pt>
                <c:pt idx="36">
                  <c:v>1116.0900455848634</c:v>
                </c:pt>
                <c:pt idx="37">
                  <c:v>1117.9940941065413</c:v>
                </c:pt>
                <c:pt idx="38">
                  <c:v>1127.5787982462768</c:v>
                </c:pt>
                <c:pt idx="39">
                  <c:v>1137.2852992365761</c:v>
                </c:pt>
                <c:pt idx="40">
                  <c:v>1142.7138584014795</c:v>
                </c:pt>
                <c:pt idx="41">
                  <c:v>1156.3988917189838</c:v>
                </c:pt>
                <c:pt idx="42">
                  <c:v>1158.9525871675442</c:v>
                </c:pt>
                <c:pt idx="43">
                  <c:v>1161.2422523843593</c:v>
                </c:pt>
                <c:pt idx="44">
                  <c:v>1161.2422523843593</c:v>
                </c:pt>
                <c:pt idx="45">
                  <c:v>1161.2422523843593</c:v>
                </c:pt>
                <c:pt idx="46">
                  <c:v>1161.2422523843593</c:v>
                </c:pt>
                <c:pt idx="47">
                  <c:v>1161.2422523843593</c:v>
                </c:pt>
                <c:pt idx="48">
                  <c:v>1161.2422523843593</c:v>
                </c:pt>
                <c:pt idx="49">
                  <c:v>1161.2422523843593</c:v>
                </c:pt>
                <c:pt idx="50">
                  <c:v>1166.9206873187281</c:v>
                </c:pt>
                <c:pt idx="51">
                  <c:v>1173.2454452500563</c:v>
                </c:pt>
                <c:pt idx="52">
                  <c:v>1173.2454452500563</c:v>
                </c:pt>
                <c:pt idx="53">
                  <c:v>1173.2454452500563</c:v>
                </c:pt>
                <c:pt idx="54">
                  <c:v>1173.2454452500563</c:v>
                </c:pt>
                <c:pt idx="55">
                  <c:v>1173.2454452500563</c:v>
                </c:pt>
                <c:pt idx="56">
                  <c:v>1173.2454452500563</c:v>
                </c:pt>
                <c:pt idx="57">
                  <c:v>1173.2454452500563</c:v>
                </c:pt>
                <c:pt idx="58">
                  <c:v>1173.2454452500563</c:v>
                </c:pt>
                <c:pt idx="59">
                  <c:v>1173.2454452500563</c:v>
                </c:pt>
                <c:pt idx="60">
                  <c:v>1179.9688965028261</c:v>
                </c:pt>
                <c:pt idx="61">
                  <c:v>1172.3806983238601</c:v>
                </c:pt>
                <c:pt idx="62">
                  <c:v>1172.3806983238601</c:v>
                </c:pt>
                <c:pt idx="63">
                  <c:v>1180.494027289222</c:v>
                </c:pt>
                <c:pt idx="64">
                  <c:v>1187.6702607416908</c:v>
                </c:pt>
                <c:pt idx="65">
                  <c:v>1180.494027289222</c:v>
                </c:pt>
                <c:pt idx="66">
                  <c:v>1180.494027289222</c:v>
                </c:pt>
                <c:pt idx="67">
                  <c:v>1180.494027289222</c:v>
                </c:pt>
                <c:pt idx="68">
                  <c:v>1180.494027289222</c:v>
                </c:pt>
                <c:pt idx="69">
                  <c:v>1180.494027289222</c:v>
                </c:pt>
                <c:pt idx="70">
                  <c:v>1180.494027289222</c:v>
                </c:pt>
                <c:pt idx="71">
                  <c:v>1172.6502421089297</c:v>
                </c:pt>
                <c:pt idx="72">
                  <c:v>1172.6502421089297</c:v>
                </c:pt>
                <c:pt idx="73">
                  <c:v>1172.6502421089297</c:v>
                </c:pt>
                <c:pt idx="74">
                  <c:v>1164.8585749102044</c:v>
                </c:pt>
                <c:pt idx="75">
                  <c:v>1164.8585749102044</c:v>
                </c:pt>
                <c:pt idx="76">
                  <c:v>1164.8585749102044</c:v>
                </c:pt>
                <c:pt idx="77">
                  <c:v>1151.9873411298101</c:v>
                </c:pt>
                <c:pt idx="78">
                  <c:v>1143.7881777086034</c:v>
                </c:pt>
                <c:pt idx="79">
                  <c:v>1143.7881777086034</c:v>
                </c:pt>
                <c:pt idx="80">
                  <c:v>1143.7881777086034</c:v>
                </c:pt>
                <c:pt idx="81">
                  <c:v>1135.6473710751907</c:v>
                </c:pt>
                <c:pt idx="82">
                  <c:v>1135.6473710751907</c:v>
                </c:pt>
                <c:pt idx="83">
                  <c:v>1144.0908072021971</c:v>
                </c:pt>
                <c:pt idx="84">
                  <c:v>1154.5390527901013</c:v>
                </c:pt>
                <c:pt idx="85">
                  <c:v>1154.5390527901013</c:v>
                </c:pt>
                <c:pt idx="86">
                  <c:v>1154.5390527901013</c:v>
                </c:pt>
                <c:pt idx="87">
                  <c:v>1145.3395872935305</c:v>
                </c:pt>
                <c:pt idx="88">
                  <c:v>1145.3395872935305</c:v>
                </c:pt>
                <c:pt idx="89">
                  <c:v>1155.3424898159985</c:v>
                </c:pt>
                <c:pt idx="90">
                  <c:v>1155.3424898159985</c:v>
                </c:pt>
                <c:pt idx="91">
                  <c:v>1145.7546405911432</c:v>
                </c:pt>
                <c:pt idx="92">
                  <c:v>1145.7546405911432</c:v>
                </c:pt>
                <c:pt idx="93">
                  <c:v>1145.7546405911432</c:v>
                </c:pt>
                <c:pt idx="94">
                  <c:v>1145.7546405911432</c:v>
                </c:pt>
                <c:pt idx="95">
                  <c:v>1145.7546405911432</c:v>
                </c:pt>
                <c:pt idx="96">
                  <c:v>1145.7546405911432</c:v>
                </c:pt>
                <c:pt idx="97">
                  <c:v>1145.7546405911432</c:v>
                </c:pt>
              </c:numCache>
            </c:numRef>
          </c:val>
          <c:smooth val="0"/>
          <c:extLst>
            <c:ext xmlns:c16="http://schemas.microsoft.com/office/drawing/2014/chart" uri="{C3380CC4-5D6E-409C-BE32-E72D297353CC}">
              <c16:uniqueId val="{00000001-99D9-C240-82C6-DEA9040B42C7}"/>
            </c:ext>
          </c:extLst>
        </c:ser>
        <c:ser>
          <c:idx val="2"/>
          <c:order val="2"/>
          <c:tx>
            <c:strRef>
              <c:f>Graphs!$A$40</c:f>
              <c:strCache>
                <c:ptCount val="1"/>
                <c:pt idx="0">
                  <c:v>Effect desired: Business disruption</c:v>
                </c:pt>
              </c:strCache>
            </c:strRef>
          </c:tx>
          <c:spPr>
            <a:ln w="28575" cap="rnd">
              <a:solidFill>
                <a:schemeClr val="accent3"/>
              </a:solidFill>
              <a:round/>
            </a:ln>
            <a:effectLst/>
          </c:spPr>
          <c:marker>
            <c:symbol val="none"/>
          </c:marker>
          <c:cat>
            <c:strRef>
              <c:f>Graphs!$B$37:$CU$37</c:f>
              <c:strCache>
                <c:ptCount val="98"/>
                <c:pt idx="0">
                  <c:v>Apr-11</c:v>
                </c:pt>
                <c:pt idx="1">
                  <c:v>May-11</c:v>
                </c:pt>
                <c:pt idx="2">
                  <c:v>Jun-11</c:v>
                </c:pt>
                <c:pt idx="3">
                  <c:v>Jul-11</c:v>
                </c:pt>
                <c:pt idx="4">
                  <c:v>Aug-11</c:v>
                </c:pt>
                <c:pt idx="5">
                  <c:v>Sep-11</c:v>
                </c:pt>
                <c:pt idx="6">
                  <c:v>Oct-11</c:v>
                </c:pt>
                <c:pt idx="7">
                  <c:v>Nov-11</c:v>
                </c:pt>
                <c:pt idx="8">
                  <c:v>Dec-11</c:v>
                </c:pt>
                <c:pt idx="9">
                  <c:v>Jan-12</c:v>
                </c:pt>
                <c:pt idx="10">
                  <c:v>Feb-12</c:v>
                </c:pt>
                <c:pt idx="11">
                  <c:v>Mar-12</c:v>
                </c:pt>
                <c:pt idx="12">
                  <c:v>Apr-12</c:v>
                </c:pt>
                <c:pt idx="13">
                  <c:v>May-12</c:v>
                </c:pt>
                <c:pt idx="14">
                  <c:v>Jun-12</c:v>
                </c:pt>
                <c:pt idx="15">
                  <c:v>Jul-12</c:v>
                </c:pt>
                <c:pt idx="16">
                  <c:v>Aug-12</c:v>
                </c:pt>
                <c:pt idx="17">
                  <c:v>Sep-12</c:v>
                </c:pt>
                <c:pt idx="18">
                  <c:v>Oct-12</c:v>
                </c:pt>
                <c:pt idx="19">
                  <c:v>Nov-12</c:v>
                </c:pt>
                <c:pt idx="20">
                  <c:v>Dec-12</c:v>
                </c:pt>
                <c:pt idx="21">
                  <c:v>Jan-13</c:v>
                </c:pt>
                <c:pt idx="22">
                  <c:v>Feb-13</c:v>
                </c:pt>
                <c:pt idx="23">
                  <c:v>Mar-13</c:v>
                </c:pt>
                <c:pt idx="24">
                  <c:v>Apr-13</c:v>
                </c:pt>
                <c:pt idx="25">
                  <c:v>May-13</c:v>
                </c:pt>
                <c:pt idx="26">
                  <c:v>Jun-13</c:v>
                </c:pt>
                <c:pt idx="27">
                  <c:v>Jul-13</c:v>
                </c:pt>
                <c:pt idx="28">
                  <c:v>Aug-13</c:v>
                </c:pt>
                <c:pt idx="29">
                  <c:v>Sep-13</c:v>
                </c:pt>
                <c:pt idx="30">
                  <c:v>Oct-13</c:v>
                </c:pt>
                <c:pt idx="31">
                  <c:v>Nov-13</c:v>
                </c:pt>
                <c:pt idx="32">
                  <c:v>Dec-13</c:v>
                </c:pt>
                <c:pt idx="33">
                  <c:v>Jan-14</c:v>
                </c:pt>
                <c:pt idx="34">
                  <c:v>Feb-14</c:v>
                </c:pt>
                <c:pt idx="35">
                  <c:v>Mar-14</c:v>
                </c:pt>
                <c:pt idx="36">
                  <c:v>Apr-14</c:v>
                </c:pt>
                <c:pt idx="37">
                  <c:v>May-14</c:v>
                </c:pt>
                <c:pt idx="38">
                  <c:v>Jun-14</c:v>
                </c:pt>
                <c:pt idx="39">
                  <c:v>Jul-14</c:v>
                </c:pt>
                <c:pt idx="40">
                  <c:v>Aug-14</c:v>
                </c:pt>
                <c:pt idx="41">
                  <c:v>Sep-14</c:v>
                </c:pt>
                <c:pt idx="42">
                  <c:v>Oct-14</c:v>
                </c:pt>
                <c:pt idx="43">
                  <c:v>Nov-14</c:v>
                </c:pt>
                <c:pt idx="44">
                  <c:v>12/31/14</c:v>
                </c:pt>
                <c:pt idx="45">
                  <c:v>01/31/15</c:v>
                </c:pt>
                <c:pt idx="46">
                  <c:v>02/28/15</c:v>
                </c:pt>
                <c:pt idx="47">
                  <c:v>03/31/15</c:v>
                </c:pt>
                <c:pt idx="48">
                  <c:v>04/30/15</c:v>
                </c:pt>
                <c:pt idx="49">
                  <c:v>05/31/15</c:v>
                </c:pt>
                <c:pt idx="50">
                  <c:v>06/30/15</c:v>
                </c:pt>
                <c:pt idx="51">
                  <c:v>07/31/15</c:v>
                </c:pt>
                <c:pt idx="52">
                  <c:v>08/31/15</c:v>
                </c:pt>
                <c:pt idx="53">
                  <c:v>09/30/15</c:v>
                </c:pt>
                <c:pt idx="54">
                  <c:v>10/31/15</c:v>
                </c:pt>
                <c:pt idx="55">
                  <c:v>11/30/15</c:v>
                </c:pt>
                <c:pt idx="56">
                  <c:v>12/31/15</c:v>
                </c:pt>
                <c:pt idx="57">
                  <c:v>01/31/16</c:v>
                </c:pt>
                <c:pt idx="58">
                  <c:v>02/29/16</c:v>
                </c:pt>
                <c:pt idx="59">
                  <c:v>03/31/16</c:v>
                </c:pt>
                <c:pt idx="60">
                  <c:v>04/30/16</c:v>
                </c:pt>
                <c:pt idx="61">
                  <c:v>05/31/16</c:v>
                </c:pt>
                <c:pt idx="62">
                  <c:v>06/30/16</c:v>
                </c:pt>
                <c:pt idx="63">
                  <c:v>07/31/16</c:v>
                </c:pt>
                <c:pt idx="64">
                  <c:v>08/31/16</c:v>
                </c:pt>
                <c:pt idx="65">
                  <c:v>09/30/16</c:v>
                </c:pt>
                <c:pt idx="66">
                  <c:v>10/31/16</c:v>
                </c:pt>
                <c:pt idx="67">
                  <c:v>11/30/16</c:v>
                </c:pt>
                <c:pt idx="68">
                  <c:v>12/31/16</c:v>
                </c:pt>
                <c:pt idx="69">
                  <c:v>01/31/17</c:v>
                </c:pt>
                <c:pt idx="70">
                  <c:v>02/28/17</c:v>
                </c:pt>
                <c:pt idx="71">
                  <c:v>03/31/17</c:v>
                </c:pt>
                <c:pt idx="72">
                  <c:v>04/30/17</c:v>
                </c:pt>
                <c:pt idx="73">
                  <c:v>05/31/17</c:v>
                </c:pt>
                <c:pt idx="74">
                  <c:v>06/30/17</c:v>
                </c:pt>
                <c:pt idx="75">
                  <c:v>07/31/17</c:v>
                </c:pt>
                <c:pt idx="76">
                  <c:v>08/31/17</c:v>
                </c:pt>
                <c:pt idx="77">
                  <c:v>09/30/17</c:v>
                </c:pt>
                <c:pt idx="78">
                  <c:v>10/31/17</c:v>
                </c:pt>
                <c:pt idx="79">
                  <c:v>11/30/17</c:v>
                </c:pt>
                <c:pt idx="80">
                  <c:v>12/31/17</c:v>
                </c:pt>
                <c:pt idx="81">
                  <c:v>01/31/18</c:v>
                </c:pt>
                <c:pt idx="82">
                  <c:v>02/28/18</c:v>
                </c:pt>
                <c:pt idx="83">
                  <c:v>03/31/18</c:v>
                </c:pt>
                <c:pt idx="84">
                  <c:v>04/30/18</c:v>
                </c:pt>
                <c:pt idx="85">
                  <c:v>05/31/18</c:v>
                </c:pt>
                <c:pt idx="86">
                  <c:v>06/30/18</c:v>
                </c:pt>
                <c:pt idx="87">
                  <c:v>07/31/18</c:v>
                </c:pt>
                <c:pt idx="88">
                  <c:v>08/31/18</c:v>
                </c:pt>
                <c:pt idx="89">
                  <c:v>09/30/18</c:v>
                </c:pt>
                <c:pt idx="90">
                  <c:v>10/31/18</c:v>
                </c:pt>
                <c:pt idx="91">
                  <c:v>11/30/18</c:v>
                </c:pt>
                <c:pt idx="92">
                  <c:v>12/31/18</c:v>
                </c:pt>
                <c:pt idx="93">
                  <c:v>01/31/19</c:v>
                </c:pt>
                <c:pt idx="94">
                  <c:v>02/28/19</c:v>
                </c:pt>
                <c:pt idx="95">
                  <c:v>03/31/19</c:v>
                </c:pt>
                <c:pt idx="96">
                  <c:v>04/30/19</c:v>
                </c:pt>
                <c:pt idx="97">
                  <c:v>05/31/19</c:v>
                </c:pt>
              </c:strCache>
            </c:strRef>
          </c:cat>
          <c:val>
            <c:numRef>
              <c:f>Graphs!$B$40:$CU$40</c:f>
              <c:numCache>
                <c:formatCode>General</c:formatCode>
                <c:ptCount val="98"/>
                <c:pt idx="0">
                  <c:v>1000</c:v>
                </c:pt>
                <c:pt idx="1">
                  <c:v>1000</c:v>
                </c:pt>
                <c:pt idx="2">
                  <c:v>1000</c:v>
                </c:pt>
                <c:pt idx="3">
                  <c:v>1000</c:v>
                </c:pt>
                <c:pt idx="4">
                  <c:v>1000</c:v>
                </c:pt>
                <c:pt idx="5">
                  <c:v>1000</c:v>
                </c:pt>
                <c:pt idx="6">
                  <c:v>1000</c:v>
                </c:pt>
                <c:pt idx="7">
                  <c:v>1000</c:v>
                </c:pt>
                <c:pt idx="8">
                  <c:v>1000</c:v>
                </c:pt>
                <c:pt idx="9">
                  <c:v>1000</c:v>
                </c:pt>
                <c:pt idx="10">
                  <c:v>1000</c:v>
                </c:pt>
                <c:pt idx="11">
                  <c:v>1000</c:v>
                </c:pt>
                <c:pt idx="12">
                  <c:v>1000</c:v>
                </c:pt>
                <c:pt idx="13">
                  <c:v>1025.757161957775</c:v>
                </c:pt>
                <c:pt idx="14">
                  <c:v>1039.497565264882</c:v>
                </c:pt>
                <c:pt idx="15">
                  <c:v>1050.8365305097605</c:v>
                </c:pt>
                <c:pt idx="16">
                  <c:v>1060.4794933749367</c:v>
                </c:pt>
                <c:pt idx="17">
                  <c:v>1103.3986199468548</c:v>
                </c:pt>
                <c:pt idx="18">
                  <c:v>1161.1800096796171</c:v>
                </c:pt>
                <c:pt idx="19">
                  <c:v>1168.4601113596325</c:v>
                </c:pt>
                <c:pt idx="20">
                  <c:v>1211.824912721067</c:v>
                </c:pt>
                <c:pt idx="21">
                  <c:v>1247.1284043129112</c:v>
                </c:pt>
                <c:pt idx="22">
                  <c:v>1277.0471879090219</c:v>
                </c:pt>
                <c:pt idx="23">
                  <c:v>1319.8328159357536</c:v>
                </c:pt>
                <c:pt idx="24">
                  <c:v>1363.9703352371196</c:v>
                </c:pt>
                <c:pt idx="25">
                  <c:v>1393.513676313105</c:v>
                </c:pt>
                <c:pt idx="26">
                  <c:v>1417.1745231369573</c:v>
                </c:pt>
                <c:pt idx="27">
                  <c:v>1429.3739418681805</c:v>
                </c:pt>
                <c:pt idx="28">
                  <c:v>1472.4880582313294</c:v>
                </c:pt>
                <c:pt idx="29">
                  <c:v>1481.007734001256</c:v>
                </c:pt>
                <c:pt idx="30">
                  <c:v>1496.1974244383869</c:v>
                </c:pt>
                <c:pt idx="31">
                  <c:v>1503.6971452381663</c:v>
                </c:pt>
                <c:pt idx="32">
                  <c:v>1528.9687762619162</c:v>
                </c:pt>
                <c:pt idx="33">
                  <c:v>1537.7536341376806</c:v>
                </c:pt>
                <c:pt idx="34">
                  <c:v>1561.1753256342909</c:v>
                </c:pt>
                <c:pt idx="35">
                  <c:v>1591.936415445512</c:v>
                </c:pt>
                <c:pt idx="36">
                  <c:v>1604.0140778377929</c:v>
                </c:pt>
                <c:pt idx="37">
                  <c:v>1615.9057732218205</c:v>
                </c:pt>
                <c:pt idx="38">
                  <c:v>1621.8284511724412</c:v>
                </c:pt>
                <c:pt idx="39">
                  <c:v>1628.7940601779776</c:v>
                </c:pt>
                <c:pt idx="40">
                  <c:v>1654.1976557035409</c:v>
                </c:pt>
                <c:pt idx="41">
                  <c:v>1668.0402334676703</c:v>
                </c:pt>
                <c:pt idx="42">
                  <c:v>1685.2999200777676</c:v>
                </c:pt>
                <c:pt idx="43">
                  <c:v>1708.7452539438107</c:v>
                </c:pt>
                <c:pt idx="44">
                  <c:v>1726.8270464597008</c:v>
                </c:pt>
                <c:pt idx="45">
                  <c:v>1750.5359723807339</c:v>
                </c:pt>
                <c:pt idx="46">
                  <c:v>1750.5359723807339</c:v>
                </c:pt>
                <c:pt idx="47">
                  <c:v>1750.5359723807339</c:v>
                </c:pt>
                <c:pt idx="48">
                  <c:v>1759.7736078466341</c:v>
                </c:pt>
                <c:pt idx="49">
                  <c:v>1759.7736078466341</c:v>
                </c:pt>
                <c:pt idx="50">
                  <c:v>1777.0261527624145</c:v>
                </c:pt>
                <c:pt idx="51">
                  <c:v>1786.6577073110673</c:v>
                </c:pt>
                <c:pt idx="52">
                  <c:v>1786.6577073110673</c:v>
                </c:pt>
                <c:pt idx="53">
                  <c:v>1786.6577073110673</c:v>
                </c:pt>
                <c:pt idx="54">
                  <c:v>1796.0859583512529</c:v>
                </c:pt>
                <c:pt idx="55">
                  <c:v>1796.0859583512529</c:v>
                </c:pt>
                <c:pt idx="56">
                  <c:v>1796.0859583512529</c:v>
                </c:pt>
                <c:pt idx="57">
                  <c:v>1817.3411668714846</c:v>
                </c:pt>
                <c:pt idx="58">
                  <c:v>1817.3411668714846</c:v>
                </c:pt>
                <c:pt idx="59">
                  <c:v>1806.3602869864335</c:v>
                </c:pt>
                <c:pt idx="60">
                  <c:v>1806.3602869864335</c:v>
                </c:pt>
                <c:pt idx="61">
                  <c:v>1818.0518986445441</c:v>
                </c:pt>
                <c:pt idx="62">
                  <c:v>1843.3022163581952</c:v>
                </c:pt>
                <c:pt idx="63">
                  <c:v>1843.3022163581952</c:v>
                </c:pt>
                <c:pt idx="64">
                  <c:v>1854.5076665529878</c:v>
                </c:pt>
                <c:pt idx="65">
                  <c:v>1865.7812347769095</c:v>
                </c:pt>
                <c:pt idx="66">
                  <c:v>1889.2498736239759</c:v>
                </c:pt>
                <c:pt idx="67">
                  <c:v>1889.2498736239759</c:v>
                </c:pt>
                <c:pt idx="68">
                  <c:v>1876.6967646560045</c:v>
                </c:pt>
                <c:pt idx="69">
                  <c:v>1876.6967646560045</c:v>
                </c:pt>
                <c:pt idx="70">
                  <c:v>1864.6280168998214</c:v>
                </c:pt>
                <c:pt idx="71">
                  <c:v>1864.6280168998214</c:v>
                </c:pt>
                <c:pt idx="72">
                  <c:v>1864.6280168998214</c:v>
                </c:pt>
                <c:pt idx="73">
                  <c:v>1901.0691095638779</c:v>
                </c:pt>
                <c:pt idx="74">
                  <c:v>1926.5864351620507</c:v>
                </c:pt>
                <c:pt idx="75">
                  <c:v>1926.5864351620507</c:v>
                </c:pt>
                <c:pt idx="76">
                  <c:v>1915.2868404632343</c:v>
                </c:pt>
                <c:pt idx="77">
                  <c:v>1894.1236664856419</c:v>
                </c:pt>
                <c:pt idx="78">
                  <c:v>1880.6424163650809</c:v>
                </c:pt>
                <c:pt idx="79">
                  <c:v>1880.6424163650809</c:v>
                </c:pt>
                <c:pt idx="80">
                  <c:v>1880.6424163650809</c:v>
                </c:pt>
                <c:pt idx="81">
                  <c:v>1867.2571177961681</c:v>
                </c:pt>
                <c:pt idx="82">
                  <c:v>1867.2571177961681</c:v>
                </c:pt>
                <c:pt idx="83">
                  <c:v>1867.2571177961681</c:v>
                </c:pt>
                <c:pt idx="84">
                  <c:v>1901.5177638147452</c:v>
                </c:pt>
                <c:pt idx="85">
                  <c:v>1927.9273111495991</c:v>
                </c:pt>
                <c:pt idx="86">
                  <c:v>1927.9273111495991</c:v>
                </c:pt>
                <c:pt idx="87">
                  <c:v>1943.4125881587768</c:v>
                </c:pt>
                <c:pt idx="88">
                  <c:v>1928.5206108252221</c:v>
                </c:pt>
                <c:pt idx="89">
                  <c:v>1911.8235674353202</c:v>
                </c:pt>
                <c:pt idx="90">
                  <c:v>1911.8235674353202</c:v>
                </c:pt>
                <c:pt idx="91">
                  <c:v>1895.9579031230744</c:v>
                </c:pt>
                <c:pt idx="92">
                  <c:v>1895.9579031230744</c:v>
                </c:pt>
                <c:pt idx="93">
                  <c:v>1895.9579031230744</c:v>
                </c:pt>
                <c:pt idx="94">
                  <c:v>1877.9868733560356</c:v>
                </c:pt>
                <c:pt idx="95">
                  <c:v>1864.6204753690354</c:v>
                </c:pt>
                <c:pt idx="96">
                  <c:v>1854.2901945223091</c:v>
                </c:pt>
                <c:pt idx="97">
                  <c:v>1825.9809746628607</c:v>
                </c:pt>
              </c:numCache>
            </c:numRef>
          </c:val>
          <c:smooth val="0"/>
          <c:extLst>
            <c:ext xmlns:c16="http://schemas.microsoft.com/office/drawing/2014/chart" uri="{C3380CC4-5D6E-409C-BE32-E72D297353CC}">
              <c16:uniqueId val="{00000002-99D9-C240-82C6-DEA9040B42C7}"/>
            </c:ext>
          </c:extLst>
        </c:ser>
        <c:ser>
          <c:idx val="3"/>
          <c:order val="3"/>
          <c:tx>
            <c:strRef>
              <c:f>Graphs!$A$41</c:f>
              <c:strCache>
                <c:ptCount val="1"/>
                <c:pt idx="0">
                  <c:v>Data theft</c:v>
                </c:pt>
              </c:strCache>
            </c:strRef>
          </c:tx>
          <c:spPr>
            <a:ln w="28575" cap="rnd">
              <a:solidFill>
                <a:schemeClr val="accent4"/>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Graphs!$B$37:$CU$37</c:f>
              <c:strCache>
                <c:ptCount val="98"/>
                <c:pt idx="0">
                  <c:v>Apr-11</c:v>
                </c:pt>
                <c:pt idx="1">
                  <c:v>May-11</c:v>
                </c:pt>
                <c:pt idx="2">
                  <c:v>Jun-11</c:v>
                </c:pt>
                <c:pt idx="3">
                  <c:v>Jul-11</c:v>
                </c:pt>
                <c:pt idx="4">
                  <c:v>Aug-11</c:v>
                </c:pt>
                <c:pt idx="5">
                  <c:v>Sep-11</c:v>
                </c:pt>
                <c:pt idx="6">
                  <c:v>Oct-11</c:v>
                </c:pt>
                <c:pt idx="7">
                  <c:v>Nov-11</c:v>
                </c:pt>
                <c:pt idx="8">
                  <c:v>Dec-11</c:v>
                </c:pt>
                <c:pt idx="9">
                  <c:v>Jan-12</c:v>
                </c:pt>
                <c:pt idx="10">
                  <c:v>Feb-12</c:v>
                </c:pt>
                <c:pt idx="11">
                  <c:v>Mar-12</c:v>
                </c:pt>
                <c:pt idx="12">
                  <c:v>Apr-12</c:v>
                </c:pt>
                <c:pt idx="13">
                  <c:v>May-12</c:v>
                </c:pt>
                <c:pt idx="14">
                  <c:v>Jun-12</c:v>
                </c:pt>
                <c:pt idx="15">
                  <c:v>Jul-12</c:v>
                </c:pt>
                <c:pt idx="16">
                  <c:v>Aug-12</c:v>
                </c:pt>
                <c:pt idx="17">
                  <c:v>Sep-12</c:v>
                </c:pt>
                <c:pt idx="18">
                  <c:v>Oct-12</c:v>
                </c:pt>
                <c:pt idx="19">
                  <c:v>Nov-12</c:v>
                </c:pt>
                <c:pt idx="20">
                  <c:v>Dec-12</c:v>
                </c:pt>
                <c:pt idx="21">
                  <c:v>Jan-13</c:v>
                </c:pt>
                <c:pt idx="22">
                  <c:v>Feb-13</c:v>
                </c:pt>
                <c:pt idx="23">
                  <c:v>Mar-13</c:v>
                </c:pt>
                <c:pt idx="24">
                  <c:v>Apr-13</c:v>
                </c:pt>
                <c:pt idx="25">
                  <c:v>May-13</c:v>
                </c:pt>
                <c:pt idx="26">
                  <c:v>Jun-13</c:v>
                </c:pt>
                <c:pt idx="27">
                  <c:v>Jul-13</c:v>
                </c:pt>
                <c:pt idx="28">
                  <c:v>Aug-13</c:v>
                </c:pt>
                <c:pt idx="29">
                  <c:v>Sep-13</c:v>
                </c:pt>
                <c:pt idx="30">
                  <c:v>Oct-13</c:v>
                </c:pt>
                <c:pt idx="31">
                  <c:v>Nov-13</c:v>
                </c:pt>
                <c:pt idx="32">
                  <c:v>Dec-13</c:v>
                </c:pt>
                <c:pt idx="33">
                  <c:v>Jan-14</c:v>
                </c:pt>
                <c:pt idx="34">
                  <c:v>Feb-14</c:v>
                </c:pt>
                <c:pt idx="35">
                  <c:v>Mar-14</c:v>
                </c:pt>
                <c:pt idx="36">
                  <c:v>Apr-14</c:v>
                </c:pt>
                <c:pt idx="37">
                  <c:v>May-14</c:v>
                </c:pt>
                <c:pt idx="38">
                  <c:v>Jun-14</c:v>
                </c:pt>
                <c:pt idx="39">
                  <c:v>Jul-14</c:v>
                </c:pt>
                <c:pt idx="40">
                  <c:v>Aug-14</c:v>
                </c:pt>
                <c:pt idx="41">
                  <c:v>Sep-14</c:v>
                </c:pt>
                <c:pt idx="42">
                  <c:v>Oct-14</c:v>
                </c:pt>
                <c:pt idx="43">
                  <c:v>Nov-14</c:v>
                </c:pt>
                <c:pt idx="44">
                  <c:v>12/31/14</c:v>
                </c:pt>
                <c:pt idx="45">
                  <c:v>01/31/15</c:v>
                </c:pt>
                <c:pt idx="46">
                  <c:v>02/28/15</c:v>
                </c:pt>
                <c:pt idx="47">
                  <c:v>03/31/15</c:v>
                </c:pt>
                <c:pt idx="48">
                  <c:v>04/30/15</c:v>
                </c:pt>
                <c:pt idx="49">
                  <c:v>05/31/15</c:v>
                </c:pt>
                <c:pt idx="50">
                  <c:v>06/30/15</c:v>
                </c:pt>
                <c:pt idx="51">
                  <c:v>07/31/15</c:v>
                </c:pt>
                <c:pt idx="52">
                  <c:v>08/31/15</c:v>
                </c:pt>
                <c:pt idx="53">
                  <c:v>09/30/15</c:v>
                </c:pt>
                <c:pt idx="54">
                  <c:v>10/31/15</c:v>
                </c:pt>
                <c:pt idx="55">
                  <c:v>11/30/15</c:v>
                </c:pt>
                <c:pt idx="56">
                  <c:v>12/31/15</c:v>
                </c:pt>
                <c:pt idx="57">
                  <c:v>01/31/16</c:v>
                </c:pt>
                <c:pt idx="58">
                  <c:v>02/29/16</c:v>
                </c:pt>
                <c:pt idx="59">
                  <c:v>03/31/16</c:v>
                </c:pt>
                <c:pt idx="60">
                  <c:v>04/30/16</c:v>
                </c:pt>
                <c:pt idx="61">
                  <c:v>05/31/16</c:v>
                </c:pt>
                <c:pt idx="62">
                  <c:v>06/30/16</c:v>
                </c:pt>
                <c:pt idx="63">
                  <c:v>07/31/16</c:v>
                </c:pt>
                <c:pt idx="64">
                  <c:v>08/31/16</c:v>
                </c:pt>
                <c:pt idx="65">
                  <c:v>09/30/16</c:v>
                </c:pt>
                <c:pt idx="66">
                  <c:v>10/31/16</c:v>
                </c:pt>
                <c:pt idx="67">
                  <c:v>11/30/16</c:v>
                </c:pt>
                <c:pt idx="68">
                  <c:v>12/31/16</c:v>
                </c:pt>
                <c:pt idx="69">
                  <c:v>01/31/17</c:v>
                </c:pt>
                <c:pt idx="70">
                  <c:v>02/28/17</c:v>
                </c:pt>
                <c:pt idx="71">
                  <c:v>03/31/17</c:v>
                </c:pt>
                <c:pt idx="72">
                  <c:v>04/30/17</c:v>
                </c:pt>
                <c:pt idx="73">
                  <c:v>05/31/17</c:v>
                </c:pt>
                <c:pt idx="74">
                  <c:v>06/30/17</c:v>
                </c:pt>
                <c:pt idx="75">
                  <c:v>07/31/17</c:v>
                </c:pt>
                <c:pt idx="76">
                  <c:v>08/31/17</c:v>
                </c:pt>
                <c:pt idx="77">
                  <c:v>09/30/17</c:v>
                </c:pt>
                <c:pt idx="78">
                  <c:v>10/31/17</c:v>
                </c:pt>
                <c:pt idx="79">
                  <c:v>11/30/17</c:v>
                </c:pt>
                <c:pt idx="80">
                  <c:v>12/31/17</c:v>
                </c:pt>
                <c:pt idx="81">
                  <c:v>01/31/18</c:v>
                </c:pt>
                <c:pt idx="82">
                  <c:v>02/28/18</c:v>
                </c:pt>
                <c:pt idx="83">
                  <c:v>03/31/18</c:v>
                </c:pt>
                <c:pt idx="84">
                  <c:v>04/30/18</c:v>
                </c:pt>
                <c:pt idx="85">
                  <c:v>05/31/18</c:v>
                </c:pt>
                <c:pt idx="86">
                  <c:v>06/30/18</c:v>
                </c:pt>
                <c:pt idx="87">
                  <c:v>07/31/18</c:v>
                </c:pt>
                <c:pt idx="88">
                  <c:v>08/31/18</c:v>
                </c:pt>
                <c:pt idx="89">
                  <c:v>09/30/18</c:v>
                </c:pt>
                <c:pt idx="90">
                  <c:v>10/31/18</c:v>
                </c:pt>
                <c:pt idx="91">
                  <c:v>11/30/18</c:v>
                </c:pt>
                <c:pt idx="92">
                  <c:v>12/31/18</c:v>
                </c:pt>
                <c:pt idx="93">
                  <c:v>01/31/19</c:v>
                </c:pt>
                <c:pt idx="94">
                  <c:v>02/28/19</c:v>
                </c:pt>
                <c:pt idx="95">
                  <c:v>03/31/19</c:v>
                </c:pt>
                <c:pt idx="96">
                  <c:v>04/30/19</c:v>
                </c:pt>
                <c:pt idx="97">
                  <c:v>05/31/19</c:v>
                </c:pt>
              </c:strCache>
            </c:strRef>
          </c:cat>
          <c:val>
            <c:numRef>
              <c:f>Graphs!$B$41:$CU$41</c:f>
              <c:numCache>
                <c:formatCode>General</c:formatCode>
                <c:ptCount val="98"/>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numCache>
            </c:numRef>
          </c:val>
          <c:smooth val="0"/>
          <c:extLst>
            <c:ext xmlns:c16="http://schemas.microsoft.com/office/drawing/2014/chart" uri="{C3380CC4-5D6E-409C-BE32-E72D297353CC}">
              <c16:uniqueId val="{00000003-99D9-C240-82C6-DEA9040B42C7}"/>
            </c:ext>
          </c:extLst>
        </c:ser>
        <c:ser>
          <c:idx val="4"/>
          <c:order val="4"/>
          <c:tx>
            <c:strRef>
              <c:f>Graphs!$A$42</c:f>
              <c:strCache>
                <c:ptCount val="1"/>
                <c:pt idx="0">
                  <c:v>Data modification</c:v>
                </c:pt>
              </c:strCache>
            </c:strRef>
          </c:tx>
          <c:spPr>
            <a:ln w="28575" cap="rnd">
              <a:solidFill>
                <a:schemeClr val="accent5"/>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Graphs!$B$37:$CU$37</c:f>
              <c:strCache>
                <c:ptCount val="98"/>
                <c:pt idx="0">
                  <c:v>Apr-11</c:v>
                </c:pt>
                <c:pt idx="1">
                  <c:v>May-11</c:v>
                </c:pt>
                <c:pt idx="2">
                  <c:v>Jun-11</c:v>
                </c:pt>
                <c:pt idx="3">
                  <c:v>Jul-11</c:v>
                </c:pt>
                <c:pt idx="4">
                  <c:v>Aug-11</c:v>
                </c:pt>
                <c:pt idx="5">
                  <c:v>Sep-11</c:v>
                </c:pt>
                <c:pt idx="6">
                  <c:v>Oct-11</c:v>
                </c:pt>
                <c:pt idx="7">
                  <c:v>Nov-11</c:v>
                </c:pt>
                <c:pt idx="8">
                  <c:v>Dec-11</c:v>
                </c:pt>
                <c:pt idx="9">
                  <c:v>Jan-12</c:v>
                </c:pt>
                <c:pt idx="10">
                  <c:v>Feb-12</c:v>
                </c:pt>
                <c:pt idx="11">
                  <c:v>Mar-12</c:v>
                </c:pt>
                <c:pt idx="12">
                  <c:v>Apr-12</c:v>
                </c:pt>
                <c:pt idx="13">
                  <c:v>May-12</c:v>
                </c:pt>
                <c:pt idx="14">
                  <c:v>Jun-12</c:v>
                </c:pt>
                <c:pt idx="15">
                  <c:v>Jul-12</c:v>
                </c:pt>
                <c:pt idx="16">
                  <c:v>Aug-12</c:v>
                </c:pt>
                <c:pt idx="17">
                  <c:v>Sep-12</c:v>
                </c:pt>
                <c:pt idx="18">
                  <c:v>Oct-12</c:v>
                </c:pt>
                <c:pt idx="19">
                  <c:v>Nov-12</c:v>
                </c:pt>
                <c:pt idx="20">
                  <c:v>Dec-12</c:v>
                </c:pt>
                <c:pt idx="21">
                  <c:v>Jan-13</c:v>
                </c:pt>
                <c:pt idx="22">
                  <c:v>Feb-13</c:v>
                </c:pt>
                <c:pt idx="23">
                  <c:v>Mar-13</c:v>
                </c:pt>
                <c:pt idx="24">
                  <c:v>Apr-13</c:v>
                </c:pt>
                <c:pt idx="25">
                  <c:v>May-13</c:v>
                </c:pt>
                <c:pt idx="26">
                  <c:v>Jun-13</c:v>
                </c:pt>
                <c:pt idx="27">
                  <c:v>Jul-13</c:v>
                </c:pt>
                <c:pt idx="28">
                  <c:v>Aug-13</c:v>
                </c:pt>
                <c:pt idx="29">
                  <c:v>Sep-13</c:v>
                </c:pt>
                <c:pt idx="30">
                  <c:v>Oct-13</c:v>
                </c:pt>
                <c:pt idx="31">
                  <c:v>Nov-13</c:v>
                </c:pt>
                <c:pt idx="32">
                  <c:v>Dec-13</c:v>
                </c:pt>
                <c:pt idx="33">
                  <c:v>Jan-14</c:v>
                </c:pt>
                <c:pt idx="34">
                  <c:v>Feb-14</c:v>
                </c:pt>
                <c:pt idx="35">
                  <c:v>Mar-14</c:v>
                </c:pt>
                <c:pt idx="36">
                  <c:v>Apr-14</c:v>
                </c:pt>
                <c:pt idx="37">
                  <c:v>May-14</c:v>
                </c:pt>
                <c:pt idx="38">
                  <c:v>Jun-14</c:v>
                </c:pt>
                <c:pt idx="39">
                  <c:v>Jul-14</c:v>
                </c:pt>
                <c:pt idx="40">
                  <c:v>Aug-14</c:v>
                </c:pt>
                <c:pt idx="41">
                  <c:v>Sep-14</c:v>
                </c:pt>
                <c:pt idx="42">
                  <c:v>Oct-14</c:v>
                </c:pt>
                <c:pt idx="43">
                  <c:v>Nov-14</c:v>
                </c:pt>
                <c:pt idx="44">
                  <c:v>12/31/14</c:v>
                </c:pt>
                <c:pt idx="45">
                  <c:v>01/31/15</c:v>
                </c:pt>
                <c:pt idx="46">
                  <c:v>02/28/15</c:v>
                </c:pt>
                <c:pt idx="47">
                  <c:v>03/31/15</c:v>
                </c:pt>
                <c:pt idx="48">
                  <c:v>04/30/15</c:v>
                </c:pt>
                <c:pt idx="49">
                  <c:v>05/31/15</c:v>
                </c:pt>
                <c:pt idx="50">
                  <c:v>06/30/15</c:v>
                </c:pt>
                <c:pt idx="51">
                  <c:v>07/31/15</c:v>
                </c:pt>
                <c:pt idx="52">
                  <c:v>08/31/15</c:v>
                </c:pt>
                <c:pt idx="53">
                  <c:v>09/30/15</c:v>
                </c:pt>
                <c:pt idx="54">
                  <c:v>10/31/15</c:v>
                </c:pt>
                <c:pt idx="55">
                  <c:v>11/30/15</c:v>
                </c:pt>
                <c:pt idx="56">
                  <c:v>12/31/15</c:v>
                </c:pt>
                <c:pt idx="57">
                  <c:v>01/31/16</c:v>
                </c:pt>
                <c:pt idx="58">
                  <c:v>02/29/16</c:v>
                </c:pt>
                <c:pt idx="59">
                  <c:v>03/31/16</c:v>
                </c:pt>
                <c:pt idx="60">
                  <c:v>04/30/16</c:v>
                </c:pt>
                <c:pt idx="61">
                  <c:v>05/31/16</c:v>
                </c:pt>
                <c:pt idx="62">
                  <c:v>06/30/16</c:v>
                </c:pt>
                <c:pt idx="63">
                  <c:v>07/31/16</c:v>
                </c:pt>
                <c:pt idx="64">
                  <c:v>08/31/16</c:v>
                </c:pt>
                <c:pt idx="65">
                  <c:v>09/30/16</c:v>
                </c:pt>
                <c:pt idx="66">
                  <c:v>10/31/16</c:v>
                </c:pt>
                <c:pt idx="67">
                  <c:v>11/30/16</c:v>
                </c:pt>
                <c:pt idx="68">
                  <c:v>12/31/16</c:v>
                </c:pt>
                <c:pt idx="69">
                  <c:v>01/31/17</c:v>
                </c:pt>
                <c:pt idx="70">
                  <c:v>02/28/17</c:v>
                </c:pt>
                <c:pt idx="71">
                  <c:v>03/31/17</c:v>
                </c:pt>
                <c:pt idx="72">
                  <c:v>04/30/17</c:v>
                </c:pt>
                <c:pt idx="73">
                  <c:v>05/31/17</c:v>
                </c:pt>
                <c:pt idx="74">
                  <c:v>06/30/17</c:v>
                </c:pt>
                <c:pt idx="75">
                  <c:v>07/31/17</c:v>
                </c:pt>
                <c:pt idx="76">
                  <c:v>08/31/17</c:v>
                </c:pt>
                <c:pt idx="77">
                  <c:v>09/30/17</c:v>
                </c:pt>
                <c:pt idx="78">
                  <c:v>10/31/17</c:v>
                </c:pt>
                <c:pt idx="79">
                  <c:v>11/30/17</c:v>
                </c:pt>
                <c:pt idx="80">
                  <c:v>12/31/17</c:v>
                </c:pt>
                <c:pt idx="81">
                  <c:v>01/31/18</c:v>
                </c:pt>
                <c:pt idx="82">
                  <c:v>02/28/18</c:v>
                </c:pt>
                <c:pt idx="83">
                  <c:v>03/31/18</c:v>
                </c:pt>
                <c:pt idx="84">
                  <c:v>04/30/18</c:v>
                </c:pt>
                <c:pt idx="85">
                  <c:v>05/31/18</c:v>
                </c:pt>
                <c:pt idx="86">
                  <c:v>06/30/18</c:v>
                </c:pt>
                <c:pt idx="87">
                  <c:v>07/31/18</c:v>
                </c:pt>
                <c:pt idx="88">
                  <c:v>08/31/18</c:v>
                </c:pt>
                <c:pt idx="89">
                  <c:v>09/30/18</c:v>
                </c:pt>
                <c:pt idx="90">
                  <c:v>10/31/18</c:v>
                </c:pt>
                <c:pt idx="91">
                  <c:v>11/30/18</c:v>
                </c:pt>
                <c:pt idx="92">
                  <c:v>12/31/18</c:v>
                </c:pt>
                <c:pt idx="93">
                  <c:v>01/31/19</c:v>
                </c:pt>
                <c:pt idx="94">
                  <c:v>02/28/19</c:v>
                </c:pt>
                <c:pt idx="95">
                  <c:v>03/31/19</c:v>
                </c:pt>
                <c:pt idx="96">
                  <c:v>04/30/19</c:v>
                </c:pt>
                <c:pt idx="97">
                  <c:v>05/31/19</c:v>
                </c:pt>
              </c:strCache>
            </c:strRef>
          </c:cat>
          <c:val>
            <c:numRef>
              <c:f>Graphs!$B$42:$CU$42</c:f>
              <c:numCache>
                <c:formatCode>General</c:formatCode>
                <c:ptCount val="98"/>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numCache>
            </c:numRef>
          </c:val>
          <c:smooth val="0"/>
          <c:extLst>
            <c:ext xmlns:c16="http://schemas.microsoft.com/office/drawing/2014/chart" uri="{C3380CC4-5D6E-409C-BE32-E72D297353CC}">
              <c16:uniqueId val="{00000004-99D9-C240-82C6-DEA9040B42C7}"/>
            </c:ext>
          </c:extLst>
        </c:ser>
        <c:ser>
          <c:idx val="5"/>
          <c:order val="5"/>
          <c:tx>
            <c:strRef>
              <c:f>Graphs!$A$43</c:f>
              <c:strCache>
                <c:ptCount val="1"/>
                <c:pt idx="0">
                  <c:v>Business disruption</c:v>
                </c:pt>
              </c:strCache>
            </c:strRef>
          </c:tx>
          <c:spPr>
            <a:ln w="28575" cap="rnd">
              <a:no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Graphs!$B$37:$CU$37</c:f>
              <c:strCache>
                <c:ptCount val="98"/>
                <c:pt idx="0">
                  <c:v>Apr-11</c:v>
                </c:pt>
                <c:pt idx="1">
                  <c:v>May-11</c:v>
                </c:pt>
                <c:pt idx="2">
                  <c:v>Jun-11</c:v>
                </c:pt>
                <c:pt idx="3">
                  <c:v>Jul-11</c:v>
                </c:pt>
                <c:pt idx="4">
                  <c:v>Aug-11</c:v>
                </c:pt>
                <c:pt idx="5">
                  <c:v>Sep-11</c:v>
                </c:pt>
                <c:pt idx="6">
                  <c:v>Oct-11</c:v>
                </c:pt>
                <c:pt idx="7">
                  <c:v>Nov-11</c:v>
                </c:pt>
                <c:pt idx="8">
                  <c:v>Dec-11</c:v>
                </c:pt>
                <c:pt idx="9">
                  <c:v>Jan-12</c:v>
                </c:pt>
                <c:pt idx="10">
                  <c:v>Feb-12</c:v>
                </c:pt>
                <c:pt idx="11">
                  <c:v>Mar-12</c:v>
                </c:pt>
                <c:pt idx="12">
                  <c:v>Apr-12</c:v>
                </c:pt>
                <c:pt idx="13">
                  <c:v>May-12</c:v>
                </c:pt>
                <c:pt idx="14">
                  <c:v>Jun-12</c:v>
                </c:pt>
                <c:pt idx="15">
                  <c:v>Jul-12</c:v>
                </c:pt>
                <c:pt idx="16">
                  <c:v>Aug-12</c:v>
                </c:pt>
                <c:pt idx="17">
                  <c:v>Sep-12</c:v>
                </c:pt>
                <c:pt idx="18">
                  <c:v>Oct-12</c:v>
                </c:pt>
                <c:pt idx="19">
                  <c:v>Nov-12</c:v>
                </c:pt>
                <c:pt idx="20">
                  <c:v>Dec-12</c:v>
                </c:pt>
                <c:pt idx="21">
                  <c:v>Jan-13</c:v>
                </c:pt>
                <c:pt idx="22">
                  <c:v>Feb-13</c:v>
                </c:pt>
                <c:pt idx="23">
                  <c:v>Mar-13</c:v>
                </c:pt>
                <c:pt idx="24">
                  <c:v>Apr-13</c:v>
                </c:pt>
                <c:pt idx="25">
                  <c:v>May-13</c:v>
                </c:pt>
                <c:pt idx="26">
                  <c:v>Jun-13</c:v>
                </c:pt>
                <c:pt idx="27">
                  <c:v>Jul-13</c:v>
                </c:pt>
                <c:pt idx="28">
                  <c:v>Aug-13</c:v>
                </c:pt>
                <c:pt idx="29">
                  <c:v>Sep-13</c:v>
                </c:pt>
                <c:pt idx="30">
                  <c:v>Oct-13</c:v>
                </c:pt>
                <c:pt idx="31">
                  <c:v>Nov-13</c:v>
                </c:pt>
                <c:pt idx="32">
                  <c:v>Dec-13</c:v>
                </c:pt>
                <c:pt idx="33">
                  <c:v>Jan-14</c:v>
                </c:pt>
                <c:pt idx="34">
                  <c:v>Feb-14</c:v>
                </c:pt>
                <c:pt idx="35">
                  <c:v>Mar-14</c:v>
                </c:pt>
                <c:pt idx="36">
                  <c:v>Apr-14</c:v>
                </c:pt>
                <c:pt idx="37">
                  <c:v>May-14</c:v>
                </c:pt>
                <c:pt idx="38">
                  <c:v>Jun-14</c:v>
                </c:pt>
                <c:pt idx="39">
                  <c:v>Jul-14</c:v>
                </c:pt>
                <c:pt idx="40">
                  <c:v>Aug-14</c:v>
                </c:pt>
                <c:pt idx="41">
                  <c:v>Sep-14</c:v>
                </c:pt>
                <c:pt idx="42">
                  <c:v>Oct-14</c:v>
                </c:pt>
                <c:pt idx="43">
                  <c:v>Nov-14</c:v>
                </c:pt>
                <c:pt idx="44">
                  <c:v>12/31/14</c:v>
                </c:pt>
                <c:pt idx="45">
                  <c:v>01/31/15</c:v>
                </c:pt>
                <c:pt idx="46">
                  <c:v>02/28/15</c:v>
                </c:pt>
                <c:pt idx="47">
                  <c:v>03/31/15</c:v>
                </c:pt>
                <c:pt idx="48">
                  <c:v>04/30/15</c:v>
                </c:pt>
                <c:pt idx="49">
                  <c:v>05/31/15</c:v>
                </c:pt>
                <c:pt idx="50">
                  <c:v>06/30/15</c:v>
                </c:pt>
                <c:pt idx="51">
                  <c:v>07/31/15</c:v>
                </c:pt>
                <c:pt idx="52">
                  <c:v>08/31/15</c:v>
                </c:pt>
                <c:pt idx="53">
                  <c:v>09/30/15</c:v>
                </c:pt>
                <c:pt idx="54">
                  <c:v>10/31/15</c:v>
                </c:pt>
                <c:pt idx="55">
                  <c:v>11/30/15</c:v>
                </c:pt>
                <c:pt idx="56">
                  <c:v>12/31/15</c:v>
                </c:pt>
                <c:pt idx="57">
                  <c:v>01/31/16</c:v>
                </c:pt>
                <c:pt idx="58">
                  <c:v>02/29/16</c:v>
                </c:pt>
                <c:pt idx="59">
                  <c:v>03/31/16</c:v>
                </c:pt>
                <c:pt idx="60">
                  <c:v>04/30/16</c:v>
                </c:pt>
                <c:pt idx="61">
                  <c:v>05/31/16</c:v>
                </c:pt>
                <c:pt idx="62">
                  <c:v>06/30/16</c:v>
                </c:pt>
                <c:pt idx="63">
                  <c:v>07/31/16</c:v>
                </c:pt>
                <c:pt idx="64">
                  <c:v>08/31/16</c:v>
                </c:pt>
                <c:pt idx="65">
                  <c:v>09/30/16</c:v>
                </c:pt>
                <c:pt idx="66">
                  <c:v>10/31/16</c:v>
                </c:pt>
                <c:pt idx="67">
                  <c:v>11/30/16</c:v>
                </c:pt>
                <c:pt idx="68">
                  <c:v>12/31/16</c:v>
                </c:pt>
                <c:pt idx="69">
                  <c:v>01/31/17</c:v>
                </c:pt>
                <c:pt idx="70">
                  <c:v>02/28/17</c:v>
                </c:pt>
                <c:pt idx="71">
                  <c:v>03/31/17</c:v>
                </c:pt>
                <c:pt idx="72">
                  <c:v>04/30/17</c:v>
                </c:pt>
                <c:pt idx="73">
                  <c:v>05/31/17</c:v>
                </c:pt>
                <c:pt idx="74">
                  <c:v>06/30/17</c:v>
                </c:pt>
                <c:pt idx="75">
                  <c:v>07/31/17</c:v>
                </c:pt>
                <c:pt idx="76">
                  <c:v>08/31/17</c:v>
                </c:pt>
                <c:pt idx="77">
                  <c:v>09/30/17</c:v>
                </c:pt>
                <c:pt idx="78">
                  <c:v>10/31/17</c:v>
                </c:pt>
                <c:pt idx="79">
                  <c:v>11/30/17</c:v>
                </c:pt>
                <c:pt idx="80">
                  <c:v>12/31/17</c:v>
                </c:pt>
                <c:pt idx="81">
                  <c:v>01/31/18</c:v>
                </c:pt>
                <c:pt idx="82">
                  <c:v>02/28/18</c:v>
                </c:pt>
                <c:pt idx="83">
                  <c:v>03/31/18</c:v>
                </c:pt>
                <c:pt idx="84">
                  <c:v>04/30/18</c:v>
                </c:pt>
                <c:pt idx="85">
                  <c:v>05/31/18</c:v>
                </c:pt>
                <c:pt idx="86">
                  <c:v>06/30/18</c:v>
                </c:pt>
                <c:pt idx="87">
                  <c:v>07/31/18</c:v>
                </c:pt>
                <c:pt idx="88">
                  <c:v>08/31/18</c:v>
                </c:pt>
                <c:pt idx="89">
                  <c:v>09/30/18</c:v>
                </c:pt>
                <c:pt idx="90">
                  <c:v>10/31/18</c:v>
                </c:pt>
                <c:pt idx="91">
                  <c:v>11/30/18</c:v>
                </c:pt>
                <c:pt idx="92">
                  <c:v>12/31/18</c:v>
                </c:pt>
                <c:pt idx="93">
                  <c:v>01/31/19</c:v>
                </c:pt>
                <c:pt idx="94">
                  <c:v>02/28/19</c:v>
                </c:pt>
                <c:pt idx="95">
                  <c:v>03/31/19</c:v>
                </c:pt>
                <c:pt idx="96">
                  <c:v>04/30/19</c:v>
                </c:pt>
                <c:pt idx="97">
                  <c:v>05/31/19</c:v>
                </c:pt>
              </c:strCache>
            </c:strRef>
          </c:cat>
          <c:val>
            <c:numRef>
              <c:f>Graphs!$B$43:$CU$43</c:f>
              <c:numCache>
                <c:formatCode>General</c:formatCode>
                <c:ptCount val="98"/>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numCache>
            </c:numRef>
          </c:val>
          <c:smooth val="0"/>
          <c:extLst>
            <c:ext xmlns:c16="http://schemas.microsoft.com/office/drawing/2014/chart" uri="{C3380CC4-5D6E-409C-BE32-E72D297353CC}">
              <c16:uniqueId val="{00000005-99D9-C240-82C6-DEA9040B42C7}"/>
            </c:ext>
          </c:extLst>
        </c:ser>
        <c:dLbls>
          <c:showLegendKey val="0"/>
          <c:showVal val="0"/>
          <c:showCatName val="0"/>
          <c:showSerName val="0"/>
          <c:showPercent val="0"/>
          <c:showBubbleSize val="0"/>
        </c:dLbls>
        <c:smooth val="0"/>
        <c:axId val="445886152"/>
        <c:axId val="445881056"/>
      </c:lineChart>
      <c:catAx>
        <c:axId val="4458861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5881056"/>
        <c:crosses val="autoZero"/>
        <c:auto val="1"/>
        <c:lblAlgn val="ctr"/>
        <c:lblOffset val="100"/>
        <c:noMultiLvlLbl val="0"/>
      </c:catAx>
      <c:valAx>
        <c:axId val="4458810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5886152"/>
        <c:crosses val="autoZero"/>
        <c:crossBetween val="between"/>
      </c:valAx>
      <c:spPr>
        <a:noFill/>
        <a:ln>
          <a:noFill/>
        </a:ln>
        <a:effectLst/>
      </c:spPr>
    </c:plotArea>
    <c:legend>
      <c:legendPos val="r"/>
      <c:legendEntry>
        <c:idx val="0"/>
        <c:delete val="1"/>
      </c:legendEntry>
      <c:legendEntry>
        <c:idx val="1"/>
        <c:delete val="1"/>
      </c:legendEntry>
      <c:legendEntry>
        <c:idx val="2"/>
        <c:delete val="1"/>
      </c:legendEntry>
      <c:legendEntry>
        <c:idx val="3"/>
        <c:delete val="1"/>
      </c:legendEntry>
      <c:legendEntry>
        <c:idx val="4"/>
        <c:delete val="1"/>
      </c:legendEntry>
      <c:legendEntry>
        <c:idx val="5"/>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Targets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Graphs!$A$45</c:f>
              <c:strCache>
                <c:ptCount val="1"/>
                <c:pt idx="0">
                  <c:v>Target: Web facing applications</c:v>
                </c:pt>
              </c:strCache>
            </c:strRef>
          </c:tx>
          <c:spPr>
            <a:ln w="28575" cap="rnd">
              <a:solidFill>
                <a:schemeClr val="accent1"/>
              </a:solidFill>
              <a:round/>
            </a:ln>
            <a:effectLst/>
          </c:spPr>
          <c:marker>
            <c:symbol val="none"/>
          </c:marker>
          <c:cat>
            <c:strRef>
              <c:f>Graphs!$B$44:$CU$44</c:f>
              <c:strCache>
                <c:ptCount val="98"/>
                <c:pt idx="0">
                  <c:v>Apr-11</c:v>
                </c:pt>
                <c:pt idx="1">
                  <c:v>May-11</c:v>
                </c:pt>
                <c:pt idx="2">
                  <c:v>Jun-11</c:v>
                </c:pt>
                <c:pt idx="3">
                  <c:v>Jul-11</c:v>
                </c:pt>
                <c:pt idx="4">
                  <c:v>Aug-11</c:v>
                </c:pt>
                <c:pt idx="5">
                  <c:v>Sep-11</c:v>
                </c:pt>
                <c:pt idx="6">
                  <c:v>Oct-11</c:v>
                </c:pt>
                <c:pt idx="7">
                  <c:v>Nov-11</c:v>
                </c:pt>
                <c:pt idx="8">
                  <c:v>Dec-11</c:v>
                </c:pt>
                <c:pt idx="9">
                  <c:v>Jan-12</c:v>
                </c:pt>
                <c:pt idx="10">
                  <c:v>Feb-12</c:v>
                </c:pt>
                <c:pt idx="11">
                  <c:v>Mar-12</c:v>
                </c:pt>
                <c:pt idx="12">
                  <c:v>Apr-12</c:v>
                </c:pt>
                <c:pt idx="13">
                  <c:v>May-12</c:v>
                </c:pt>
                <c:pt idx="14">
                  <c:v>Jun-12</c:v>
                </c:pt>
                <c:pt idx="15">
                  <c:v>Jul-12</c:v>
                </c:pt>
                <c:pt idx="16">
                  <c:v>Aug-12</c:v>
                </c:pt>
                <c:pt idx="17">
                  <c:v>Sep-12</c:v>
                </c:pt>
                <c:pt idx="18">
                  <c:v>Oct-12</c:v>
                </c:pt>
                <c:pt idx="19">
                  <c:v>Nov-12</c:v>
                </c:pt>
                <c:pt idx="20">
                  <c:v>Dec-12</c:v>
                </c:pt>
                <c:pt idx="21">
                  <c:v>Jan-13</c:v>
                </c:pt>
                <c:pt idx="22">
                  <c:v>Feb-13</c:v>
                </c:pt>
                <c:pt idx="23">
                  <c:v>Mar-13</c:v>
                </c:pt>
                <c:pt idx="24">
                  <c:v>Apr-13</c:v>
                </c:pt>
                <c:pt idx="25">
                  <c:v>May-13</c:v>
                </c:pt>
                <c:pt idx="26">
                  <c:v>Jun-13</c:v>
                </c:pt>
                <c:pt idx="27">
                  <c:v>Jul-13</c:v>
                </c:pt>
                <c:pt idx="28">
                  <c:v>Aug-13</c:v>
                </c:pt>
                <c:pt idx="29">
                  <c:v>Sep-13</c:v>
                </c:pt>
                <c:pt idx="30">
                  <c:v>Oct-13</c:v>
                </c:pt>
                <c:pt idx="31">
                  <c:v>Nov-13</c:v>
                </c:pt>
                <c:pt idx="32">
                  <c:v>Dec-13</c:v>
                </c:pt>
                <c:pt idx="33">
                  <c:v>Jan-14</c:v>
                </c:pt>
                <c:pt idx="34">
                  <c:v>Feb-14</c:v>
                </c:pt>
                <c:pt idx="35">
                  <c:v>Mar-14</c:v>
                </c:pt>
                <c:pt idx="36">
                  <c:v>Apr-14</c:v>
                </c:pt>
                <c:pt idx="37">
                  <c:v>May-14</c:v>
                </c:pt>
                <c:pt idx="38">
                  <c:v>Jun-14</c:v>
                </c:pt>
                <c:pt idx="39">
                  <c:v>Jul-14</c:v>
                </c:pt>
                <c:pt idx="40">
                  <c:v>Aug-14</c:v>
                </c:pt>
                <c:pt idx="41">
                  <c:v>Sep-14</c:v>
                </c:pt>
                <c:pt idx="42">
                  <c:v>Oct-14</c:v>
                </c:pt>
                <c:pt idx="43">
                  <c:v>Nov-14</c:v>
                </c:pt>
                <c:pt idx="44">
                  <c:v>12/31/14</c:v>
                </c:pt>
                <c:pt idx="45">
                  <c:v>01/31/15</c:v>
                </c:pt>
                <c:pt idx="46">
                  <c:v>02/28/15</c:v>
                </c:pt>
                <c:pt idx="47">
                  <c:v>03/31/15</c:v>
                </c:pt>
                <c:pt idx="48">
                  <c:v>04/30/15</c:v>
                </c:pt>
                <c:pt idx="49">
                  <c:v>05/31/15</c:v>
                </c:pt>
                <c:pt idx="50">
                  <c:v>06/30/15</c:v>
                </c:pt>
                <c:pt idx="51">
                  <c:v>07/31/15</c:v>
                </c:pt>
                <c:pt idx="52">
                  <c:v>08/31/15</c:v>
                </c:pt>
                <c:pt idx="53">
                  <c:v>09/30/15</c:v>
                </c:pt>
                <c:pt idx="54">
                  <c:v>10/31/15</c:v>
                </c:pt>
                <c:pt idx="55">
                  <c:v>11/30/15</c:v>
                </c:pt>
                <c:pt idx="56">
                  <c:v>12/31/15</c:v>
                </c:pt>
                <c:pt idx="57">
                  <c:v>01/31/16</c:v>
                </c:pt>
                <c:pt idx="58">
                  <c:v>02/29/16</c:v>
                </c:pt>
                <c:pt idx="59">
                  <c:v>03/31/16</c:v>
                </c:pt>
                <c:pt idx="60">
                  <c:v>04/30/16</c:v>
                </c:pt>
                <c:pt idx="61">
                  <c:v>05/31/16</c:v>
                </c:pt>
                <c:pt idx="62">
                  <c:v>06/30/16</c:v>
                </c:pt>
                <c:pt idx="63">
                  <c:v>07/31/16</c:v>
                </c:pt>
                <c:pt idx="64">
                  <c:v>08/31/16</c:v>
                </c:pt>
                <c:pt idx="65">
                  <c:v>09/30/16</c:v>
                </c:pt>
                <c:pt idx="66">
                  <c:v>10/31/16</c:v>
                </c:pt>
                <c:pt idx="67">
                  <c:v>11/30/16</c:v>
                </c:pt>
                <c:pt idx="68">
                  <c:v>12/31/16</c:v>
                </c:pt>
                <c:pt idx="69">
                  <c:v>01/31/17</c:v>
                </c:pt>
                <c:pt idx="70">
                  <c:v>02/28/17</c:v>
                </c:pt>
                <c:pt idx="71">
                  <c:v>03/31/17</c:v>
                </c:pt>
                <c:pt idx="72">
                  <c:v>04/30/17</c:v>
                </c:pt>
                <c:pt idx="73">
                  <c:v>05/31/17</c:v>
                </c:pt>
                <c:pt idx="74">
                  <c:v>06/30/17</c:v>
                </c:pt>
                <c:pt idx="75">
                  <c:v>07/31/17</c:v>
                </c:pt>
                <c:pt idx="76">
                  <c:v>08/31/17</c:v>
                </c:pt>
                <c:pt idx="77">
                  <c:v>09/30/17</c:v>
                </c:pt>
                <c:pt idx="78">
                  <c:v>10/31/17</c:v>
                </c:pt>
                <c:pt idx="79">
                  <c:v>11/30/17</c:v>
                </c:pt>
                <c:pt idx="80">
                  <c:v>12/31/17</c:v>
                </c:pt>
                <c:pt idx="81">
                  <c:v>01/31/18</c:v>
                </c:pt>
                <c:pt idx="82">
                  <c:v>02/28/18</c:v>
                </c:pt>
                <c:pt idx="83">
                  <c:v>03/31/18</c:v>
                </c:pt>
                <c:pt idx="84">
                  <c:v>04/30/18</c:v>
                </c:pt>
                <c:pt idx="85">
                  <c:v>05/31/18</c:v>
                </c:pt>
                <c:pt idx="86">
                  <c:v>06/30/18</c:v>
                </c:pt>
                <c:pt idx="87">
                  <c:v>07/31/18</c:v>
                </c:pt>
                <c:pt idx="88">
                  <c:v>08/31/18</c:v>
                </c:pt>
                <c:pt idx="89">
                  <c:v>09/30/18</c:v>
                </c:pt>
                <c:pt idx="90">
                  <c:v>10/31/18</c:v>
                </c:pt>
                <c:pt idx="91">
                  <c:v>11/30/18</c:v>
                </c:pt>
                <c:pt idx="92">
                  <c:v>12/31/18</c:v>
                </c:pt>
                <c:pt idx="93">
                  <c:v>01/31/19</c:v>
                </c:pt>
                <c:pt idx="94">
                  <c:v>02/28/19</c:v>
                </c:pt>
                <c:pt idx="95">
                  <c:v>03/31/19</c:v>
                </c:pt>
                <c:pt idx="96">
                  <c:v>04/30/19</c:v>
                </c:pt>
                <c:pt idx="97">
                  <c:v>05/31/19</c:v>
                </c:pt>
              </c:strCache>
            </c:strRef>
          </c:cat>
          <c:val>
            <c:numRef>
              <c:f>Graphs!$B$45:$CU$45</c:f>
              <c:numCache>
                <c:formatCode>General</c:formatCode>
                <c:ptCount val="98"/>
                <c:pt idx="0">
                  <c:v>1026.3987721275282</c:v>
                </c:pt>
                <c:pt idx="1">
                  <c:v>1049.7545112536357</c:v>
                </c:pt>
                <c:pt idx="2">
                  <c:v>1082.872187626333</c:v>
                </c:pt>
                <c:pt idx="3">
                  <c:v>1114.5274499904863</c:v>
                </c:pt>
                <c:pt idx="4">
                  <c:v>1137.601736687262</c:v>
                </c:pt>
                <c:pt idx="5">
                  <c:v>1156.3701790176733</c:v>
                </c:pt>
                <c:pt idx="6">
                  <c:v>1187.4147683937433</c:v>
                </c:pt>
                <c:pt idx="7">
                  <c:v>1211.5103036167807</c:v>
                </c:pt>
                <c:pt idx="8">
                  <c:v>1240.9860033324157</c:v>
                </c:pt>
                <c:pt idx="9">
                  <c:v>1271.3591886743361</c:v>
                </c:pt>
                <c:pt idx="10">
                  <c:v>1308.6104719557054</c:v>
                </c:pt>
                <c:pt idx="11">
                  <c:v>1340.518896129533</c:v>
                </c:pt>
                <c:pt idx="12">
                  <c:v>1385.4310523878414</c:v>
                </c:pt>
                <c:pt idx="13">
                  <c:v>1424.1818767560319</c:v>
                </c:pt>
                <c:pt idx="14">
                  <c:v>1463.7723167718364</c:v>
                </c:pt>
                <c:pt idx="15">
                  <c:v>1510.059354371956</c:v>
                </c:pt>
                <c:pt idx="16">
                  <c:v>1527.5840255955222</c:v>
                </c:pt>
                <c:pt idx="17">
                  <c:v>1567.9583759813572</c:v>
                </c:pt>
                <c:pt idx="18">
                  <c:v>1640.6407645915931</c:v>
                </c:pt>
                <c:pt idx="19">
                  <c:v>1686.5601531186312</c:v>
                </c:pt>
                <c:pt idx="20">
                  <c:v>1743.2337924715609</c:v>
                </c:pt>
                <c:pt idx="21">
                  <c:v>1805.5712521587359</c:v>
                </c:pt>
                <c:pt idx="22">
                  <c:v>1866.503099708365</c:v>
                </c:pt>
                <c:pt idx="23">
                  <c:v>1925.387576928623</c:v>
                </c:pt>
                <c:pt idx="24">
                  <c:v>1970.6686475726426</c:v>
                </c:pt>
                <c:pt idx="25">
                  <c:v>2014.380443041551</c:v>
                </c:pt>
                <c:pt idx="26">
                  <c:v>2063.2682764101646</c:v>
                </c:pt>
                <c:pt idx="27">
                  <c:v>2133.7109547913151</c:v>
                </c:pt>
                <c:pt idx="28">
                  <c:v>2192.8919255305345</c:v>
                </c:pt>
                <c:pt idx="29">
                  <c:v>2234.0384912586323</c:v>
                </c:pt>
                <c:pt idx="30">
                  <c:v>2289.425072875536</c:v>
                </c:pt>
                <c:pt idx="31">
                  <c:v>2335.6745272384746</c:v>
                </c:pt>
                <c:pt idx="32">
                  <c:v>2422.5947771309116</c:v>
                </c:pt>
                <c:pt idx="33">
                  <c:v>2474.8835746550299</c:v>
                </c:pt>
                <c:pt idx="34">
                  <c:v>2539.011290950707</c:v>
                </c:pt>
                <c:pt idx="35">
                  <c:v>2620.8064265139769</c:v>
                </c:pt>
                <c:pt idx="36">
                  <c:v>2793.8918584512176</c:v>
                </c:pt>
                <c:pt idx="37">
                  <c:v>2864.6195675801305</c:v>
                </c:pt>
                <c:pt idx="38">
                  <c:v>2910.3961725929739</c:v>
                </c:pt>
                <c:pt idx="39">
                  <c:v>2977.6856061966564</c:v>
                </c:pt>
                <c:pt idx="40">
                  <c:v>3074.9517611405863</c:v>
                </c:pt>
                <c:pt idx="41">
                  <c:v>3242.2430970753799</c:v>
                </c:pt>
                <c:pt idx="42">
                  <c:v>3403.4676738347562</c:v>
                </c:pt>
                <c:pt idx="43">
                  <c:v>3457.6331338420046</c:v>
                </c:pt>
                <c:pt idx="44">
                  <c:v>3475.8791767506868</c:v>
                </c:pt>
                <c:pt idx="45">
                  <c:v>3475.8791767506868</c:v>
                </c:pt>
                <c:pt idx="46">
                  <c:v>3475.8791767506868</c:v>
                </c:pt>
                <c:pt idx="47">
                  <c:v>3493.3020936289072</c:v>
                </c:pt>
                <c:pt idx="48">
                  <c:v>3530.2679102165675</c:v>
                </c:pt>
                <c:pt idx="49">
                  <c:v>3530.2679102165675</c:v>
                </c:pt>
                <c:pt idx="50">
                  <c:v>3564.8781040586482</c:v>
                </c:pt>
                <c:pt idx="51">
                  <c:v>3584.1998894275148</c:v>
                </c:pt>
                <c:pt idx="52">
                  <c:v>3605.345550335559</c:v>
                </c:pt>
                <c:pt idx="53">
                  <c:v>3605.345550335559</c:v>
                </c:pt>
                <c:pt idx="54">
                  <c:v>3624.3710764875927</c:v>
                </c:pt>
                <c:pt idx="55">
                  <c:v>3624.3710764875927</c:v>
                </c:pt>
                <c:pt idx="56">
                  <c:v>3648.6142711903094</c:v>
                </c:pt>
                <c:pt idx="57">
                  <c:v>3670.1399568504257</c:v>
                </c:pt>
                <c:pt idx="58">
                  <c:v>3710.0323918264025</c:v>
                </c:pt>
                <c:pt idx="59">
                  <c:v>3710.0323918264025</c:v>
                </c:pt>
                <c:pt idx="60">
                  <c:v>3710.0323918264025</c:v>
                </c:pt>
                <c:pt idx="61">
                  <c:v>3710.0323918264025</c:v>
                </c:pt>
                <c:pt idx="62">
                  <c:v>3735.7072543604504</c:v>
                </c:pt>
                <c:pt idx="63">
                  <c:v>3761.5597968973993</c:v>
                </c:pt>
                <c:pt idx="64">
                  <c:v>3761.5597968973993</c:v>
                </c:pt>
                <c:pt idx="65">
                  <c:v>3807.431912282043</c:v>
                </c:pt>
                <c:pt idx="66">
                  <c:v>3807.431912282043</c:v>
                </c:pt>
                <c:pt idx="67">
                  <c:v>3829.8945724659989</c:v>
                </c:pt>
                <c:pt idx="68">
                  <c:v>3804.4468619353711</c:v>
                </c:pt>
                <c:pt idx="69">
                  <c:v>3829.0710277809744</c:v>
                </c:pt>
                <c:pt idx="70">
                  <c:v>3829.0710277809744</c:v>
                </c:pt>
                <c:pt idx="71">
                  <c:v>3829.0710277809744</c:v>
                </c:pt>
                <c:pt idx="72">
                  <c:v>3853.8545727861765</c:v>
                </c:pt>
                <c:pt idx="73">
                  <c:v>3878.7985285277082</c:v>
                </c:pt>
                <c:pt idx="74">
                  <c:v>3878.7985285277082</c:v>
                </c:pt>
                <c:pt idx="75">
                  <c:v>3938.9337445339261</c:v>
                </c:pt>
                <c:pt idx="76">
                  <c:v>3962.1722244933881</c:v>
                </c:pt>
                <c:pt idx="77">
                  <c:v>3918.3917638623025</c:v>
                </c:pt>
                <c:pt idx="78">
                  <c:v>3946.4804738580469</c:v>
                </c:pt>
                <c:pt idx="79">
                  <c:v>4001.2918276427936</c:v>
                </c:pt>
                <c:pt idx="80">
                  <c:v>4063.3261268180454</c:v>
                </c:pt>
                <c:pt idx="81">
                  <c:v>4063.3261268180454</c:v>
                </c:pt>
                <c:pt idx="82">
                  <c:v>4063.3261268180454</c:v>
                </c:pt>
                <c:pt idx="83">
                  <c:v>4093.5365913414671</c:v>
                </c:pt>
                <c:pt idx="84">
                  <c:v>4130.9202285144638</c:v>
                </c:pt>
                <c:pt idx="85">
                  <c:v>4159.507798056954</c:v>
                </c:pt>
                <c:pt idx="86">
                  <c:v>4159.507798056954</c:v>
                </c:pt>
                <c:pt idx="87">
                  <c:v>4159.507798056954</c:v>
                </c:pt>
                <c:pt idx="88">
                  <c:v>4159.507798056954</c:v>
                </c:pt>
                <c:pt idx="89">
                  <c:v>4159.507798056954</c:v>
                </c:pt>
                <c:pt idx="90">
                  <c:v>4205.982264718763</c:v>
                </c:pt>
                <c:pt idx="91">
                  <c:v>4205.982264718763</c:v>
                </c:pt>
                <c:pt idx="92">
                  <c:v>4242.7155018057902</c:v>
                </c:pt>
                <c:pt idx="93">
                  <c:v>4242.7155018057902</c:v>
                </c:pt>
                <c:pt idx="94">
                  <c:v>4242.7155018057902</c:v>
                </c:pt>
                <c:pt idx="95">
                  <c:v>4212.5183663799135</c:v>
                </c:pt>
                <c:pt idx="96">
                  <c:v>4235.9863747451882</c:v>
                </c:pt>
                <c:pt idx="97">
                  <c:v>4235.9863747451882</c:v>
                </c:pt>
              </c:numCache>
            </c:numRef>
          </c:val>
          <c:smooth val="0"/>
          <c:extLst>
            <c:ext xmlns:c16="http://schemas.microsoft.com/office/drawing/2014/chart" uri="{C3380CC4-5D6E-409C-BE32-E72D297353CC}">
              <c16:uniqueId val="{00000000-7E4B-3D49-BD87-5802764BAE94}"/>
            </c:ext>
          </c:extLst>
        </c:ser>
        <c:ser>
          <c:idx val="1"/>
          <c:order val="1"/>
          <c:tx>
            <c:strRef>
              <c:f>Graphs!$A$46</c:f>
              <c:strCache>
                <c:ptCount val="1"/>
                <c:pt idx="0">
                  <c:v>Target: Internet exposed devices/appliances</c:v>
                </c:pt>
              </c:strCache>
            </c:strRef>
          </c:tx>
          <c:spPr>
            <a:ln w="28575" cap="rnd">
              <a:solidFill>
                <a:schemeClr val="accent2"/>
              </a:solidFill>
              <a:round/>
            </a:ln>
            <a:effectLst/>
          </c:spPr>
          <c:marker>
            <c:symbol val="none"/>
          </c:marker>
          <c:cat>
            <c:strRef>
              <c:f>Graphs!$B$44:$CU$44</c:f>
              <c:strCache>
                <c:ptCount val="98"/>
                <c:pt idx="0">
                  <c:v>Apr-11</c:v>
                </c:pt>
                <c:pt idx="1">
                  <c:v>May-11</c:v>
                </c:pt>
                <c:pt idx="2">
                  <c:v>Jun-11</c:v>
                </c:pt>
                <c:pt idx="3">
                  <c:v>Jul-11</c:v>
                </c:pt>
                <c:pt idx="4">
                  <c:v>Aug-11</c:v>
                </c:pt>
                <c:pt idx="5">
                  <c:v>Sep-11</c:v>
                </c:pt>
                <c:pt idx="6">
                  <c:v>Oct-11</c:v>
                </c:pt>
                <c:pt idx="7">
                  <c:v>Nov-11</c:v>
                </c:pt>
                <c:pt idx="8">
                  <c:v>Dec-11</c:v>
                </c:pt>
                <c:pt idx="9">
                  <c:v>Jan-12</c:v>
                </c:pt>
                <c:pt idx="10">
                  <c:v>Feb-12</c:v>
                </c:pt>
                <c:pt idx="11">
                  <c:v>Mar-12</c:v>
                </c:pt>
                <c:pt idx="12">
                  <c:v>Apr-12</c:v>
                </c:pt>
                <c:pt idx="13">
                  <c:v>May-12</c:v>
                </c:pt>
                <c:pt idx="14">
                  <c:v>Jun-12</c:v>
                </c:pt>
                <c:pt idx="15">
                  <c:v>Jul-12</c:v>
                </c:pt>
                <c:pt idx="16">
                  <c:v>Aug-12</c:v>
                </c:pt>
                <c:pt idx="17">
                  <c:v>Sep-12</c:v>
                </c:pt>
                <c:pt idx="18">
                  <c:v>Oct-12</c:v>
                </c:pt>
                <c:pt idx="19">
                  <c:v>Nov-12</c:v>
                </c:pt>
                <c:pt idx="20">
                  <c:v>Dec-12</c:v>
                </c:pt>
                <c:pt idx="21">
                  <c:v>Jan-13</c:v>
                </c:pt>
                <c:pt idx="22">
                  <c:v>Feb-13</c:v>
                </c:pt>
                <c:pt idx="23">
                  <c:v>Mar-13</c:v>
                </c:pt>
                <c:pt idx="24">
                  <c:v>Apr-13</c:v>
                </c:pt>
                <c:pt idx="25">
                  <c:v>May-13</c:v>
                </c:pt>
                <c:pt idx="26">
                  <c:v>Jun-13</c:v>
                </c:pt>
                <c:pt idx="27">
                  <c:v>Jul-13</c:v>
                </c:pt>
                <c:pt idx="28">
                  <c:v>Aug-13</c:v>
                </c:pt>
                <c:pt idx="29">
                  <c:v>Sep-13</c:v>
                </c:pt>
                <c:pt idx="30">
                  <c:v>Oct-13</c:v>
                </c:pt>
                <c:pt idx="31">
                  <c:v>Nov-13</c:v>
                </c:pt>
                <c:pt idx="32">
                  <c:v>Dec-13</c:v>
                </c:pt>
                <c:pt idx="33">
                  <c:v>Jan-14</c:v>
                </c:pt>
                <c:pt idx="34">
                  <c:v>Feb-14</c:v>
                </c:pt>
                <c:pt idx="35">
                  <c:v>Mar-14</c:v>
                </c:pt>
                <c:pt idx="36">
                  <c:v>Apr-14</c:v>
                </c:pt>
                <c:pt idx="37">
                  <c:v>May-14</c:v>
                </c:pt>
                <c:pt idx="38">
                  <c:v>Jun-14</c:v>
                </c:pt>
                <c:pt idx="39">
                  <c:v>Jul-14</c:v>
                </c:pt>
                <c:pt idx="40">
                  <c:v>Aug-14</c:v>
                </c:pt>
                <c:pt idx="41">
                  <c:v>Sep-14</c:v>
                </c:pt>
                <c:pt idx="42">
                  <c:v>Oct-14</c:v>
                </c:pt>
                <c:pt idx="43">
                  <c:v>Nov-14</c:v>
                </c:pt>
                <c:pt idx="44">
                  <c:v>12/31/14</c:v>
                </c:pt>
                <c:pt idx="45">
                  <c:v>01/31/15</c:v>
                </c:pt>
                <c:pt idx="46">
                  <c:v>02/28/15</c:v>
                </c:pt>
                <c:pt idx="47">
                  <c:v>03/31/15</c:v>
                </c:pt>
                <c:pt idx="48">
                  <c:v>04/30/15</c:v>
                </c:pt>
                <c:pt idx="49">
                  <c:v>05/31/15</c:v>
                </c:pt>
                <c:pt idx="50">
                  <c:v>06/30/15</c:v>
                </c:pt>
                <c:pt idx="51">
                  <c:v>07/31/15</c:v>
                </c:pt>
                <c:pt idx="52">
                  <c:v>08/31/15</c:v>
                </c:pt>
                <c:pt idx="53">
                  <c:v>09/30/15</c:v>
                </c:pt>
                <c:pt idx="54">
                  <c:v>10/31/15</c:v>
                </c:pt>
                <c:pt idx="55">
                  <c:v>11/30/15</c:v>
                </c:pt>
                <c:pt idx="56">
                  <c:v>12/31/15</c:v>
                </c:pt>
                <c:pt idx="57">
                  <c:v>01/31/16</c:v>
                </c:pt>
                <c:pt idx="58">
                  <c:v>02/29/16</c:v>
                </c:pt>
                <c:pt idx="59">
                  <c:v>03/31/16</c:v>
                </c:pt>
                <c:pt idx="60">
                  <c:v>04/30/16</c:v>
                </c:pt>
                <c:pt idx="61">
                  <c:v>05/31/16</c:v>
                </c:pt>
                <c:pt idx="62">
                  <c:v>06/30/16</c:v>
                </c:pt>
                <c:pt idx="63">
                  <c:v>07/31/16</c:v>
                </c:pt>
                <c:pt idx="64">
                  <c:v>08/31/16</c:v>
                </c:pt>
                <c:pt idx="65">
                  <c:v>09/30/16</c:v>
                </c:pt>
                <c:pt idx="66">
                  <c:v>10/31/16</c:v>
                </c:pt>
                <c:pt idx="67">
                  <c:v>11/30/16</c:v>
                </c:pt>
                <c:pt idx="68">
                  <c:v>12/31/16</c:v>
                </c:pt>
                <c:pt idx="69">
                  <c:v>01/31/17</c:v>
                </c:pt>
                <c:pt idx="70">
                  <c:v>02/28/17</c:v>
                </c:pt>
                <c:pt idx="71">
                  <c:v>03/31/17</c:v>
                </c:pt>
                <c:pt idx="72">
                  <c:v>04/30/17</c:v>
                </c:pt>
                <c:pt idx="73">
                  <c:v>05/31/17</c:v>
                </c:pt>
                <c:pt idx="74">
                  <c:v>06/30/17</c:v>
                </c:pt>
                <c:pt idx="75">
                  <c:v>07/31/17</c:v>
                </c:pt>
                <c:pt idx="76">
                  <c:v>08/31/17</c:v>
                </c:pt>
                <c:pt idx="77">
                  <c:v>09/30/17</c:v>
                </c:pt>
                <c:pt idx="78">
                  <c:v>10/31/17</c:v>
                </c:pt>
                <c:pt idx="79">
                  <c:v>11/30/17</c:v>
                </c:pt>
                <c:pt idx="80">
                  <c:v>12/31/17</c:v>
                </c:pt>
                <c:pt idx="81">
                  <c:v>01/31/18</c:v>
                </c:pt>
                <c:pt idx="82">
                  <c:v>02/28/18</c:v>
                </c:pt>
                <c:pt idx="83">
                  <c:v>03/31/18</c:v>
                </c:pt>
                <c:pt idx="84">
                  <c:v>04/30/18</c:v>
                </c:pt>
                <c:pt idx="85">
                  <c:v>05/31/18</c:v>
                </c:pt>
                <c:pt idx="86">
                  <c:v>06/30/18</c:v>
                </c:pt>
                <c:pt idx="87">
                  <c:v>07/31/18</c:v>
                </c:pt>
                <c:pt idx="88">
                  <c:v>08/31/18</c:v>
                </c:pt>
                <c:pt idx="89">
                  <c:v>09/30/18</c:v>
                </c:pt>
                <c:pt idx="90">
                  <c:v>10/31/18</c:v>
                </c:pt>
                <c:pt idx="91">
                  <c:v>11/30/18</c:v>
                </c:pt>
                <c:pt idx="92">
                  <c:v>12/31/18</c:v>
                </c:pt>
                <c:pt idx="93">
                  <c:v>01/31/19</c:v>
                </c:pt>
                <c:pt idx="94">
                  <c:v>02/28/19</c:v>
                </c:pt>
                <c:pt idx="95">
                  <c:v>03/31/19</c:v>
                </c:pt>
                <c:pt idx="96">
                  <c:v>04/30/19</c:v>
                </c:pt>
                <c:pt idx="97">
                  <c:v>05/31/19</c:v>
                </c:pt>
              </c:strCache>
            </c:strRef>
          </c:cat>
          <c:val>
            <c:numRef>
              <c:f>Graphs!$B$46:$CU$46</c:f>
              <c:numCache>
                <c:formatCode>General</c:formatCode>
                <c:ptCount val="98"/>
                <c:pt idx="0">
                  <c:v>1000</c:v>
                </c:pt>
                <c:pt idx="1">
                  <c:v>1000</c:v>
                </c:pt>
                <c:pt idx="2">
                  <c:v>1000</c:v>
                </c:pt>
                <c:pt idx="3">
                  <c:v>1000</c:v>
                </c:pt>
                <c:pt idx="4">
                  <c:v>1000</c:v>
                </c:pt>
                <c:pt idx="5">
                  <c:v>1000</c:v>
                </c:pt>
                <c:pt idx="6">
                  <c:v>1000</c:v>
                </c:pt>
                <c:pt idx="7">
                  <c:v>1000</c:v>
                </c:pt>
                <c:pt idx="8">
                  <c:v>1000</c:v>
                </c:pt>
                <c:pt idx="9">
                  <c:v>1000</c:v>
                </c:pt>
                <c:pt idx="10">
                  <c:v>1000</c:v>
                </c:pt>
                <c:pt idx="11">
                  <c:v>1000</c:v>
                </c:pt>
                <c:pt idx="12">
                  <c:v>1000</c:v>
                </c:pt>
                <c:pt idx="13">
                  <c:v>1019.585887002794</c:v>
                </c:pt>
                <c:pt idx="14">
                  <c:v>1044.9753806134643</c:v>
                </c:pt>
                <c:pt idx="15">
                  <c:v>1063.3732388317592</c:v>
                </c:pt>
                <c:pt idx="16">
                  <c:v>1081.4179310772863</c:v>
                </c:pt>
                <c:pt idx="17">
                  <c:v>1113.0204289863555</c:v>
                </c:pt>
                <c:pt idx="18">
                  <c:v>1155.5511623707937</c:v>
                </c:pt>
                <c:pt idx="19">
                  <c:v>1182.3383068912306</c:v>
                </c:pt>
                <c:pt idx="20">
                  <c:v>1207.6550865383706</c:v>
                </c:pt>
                <c:pt idx="21">
                  <c:v>1225.7408040530904</c:v>
                </c:pt>
                <c:pt idx="22">
                  <c:v>1256.7705802394048</c:v>
                </c:pt>
                <c:pt idx="23">
                  <c:v>1284.6869836565891</c:v>
                </c:pt>
                <c:pt idx="24">
                  <c:v>1306.85091209241</c:v>
                </c:pt>
                <c:pt idx="25">
                  <c:v>1335.1570571998082</c:v>
                </c:pt>
                <c:pt idx="26">
                  <c:v>1361.9900332356194</c:v>
                </c:pt>
                <c:pt idx="27">
                  <c:v>1390.4969144576612</c:v>
                </c:pt>
                <c:pt idx="28">
                  <c:v>1420.9977829086176</c:v>
                </c:pt>
                <c:pt idx="29">
                  <c:v>1450.44747082395</c:v>
                </c:pt>
                <c:pt idx="30">
                  <c:v>1467.5682851719596</c:v>
                </c:pt>
                <c:pt idx="31">
                  <c:v>1477.3847589617887</c:v>
                </c:pt>
                <c:pt idx="32">
                  <c:v>1496.4475253206817</c:v>
                </c:pt>
                <c:pt idx="33">
                  <c:v>1539.9343968828368</c:v>
                </c:pt>
                <c:pt idx="34">
                  <c:v>1567.9406522873571</c:v>
                </c:pt>
                <c:pt idx="35">
                  <c:v>1603.716980037444</c:v>
                </c:pt>
                <c:pt idx="36">
                  <c:v>1676.1677625321802</c:v>
                </c:pt>
                <c:pt idx="37">
                  <c:v>1710.8060598537065</c:v>
                </c:pt>
                <c:pt idx="38">
                  <c:v>1720.2204382031405</c:v>
                </c:pt>
                <c:pt idx="39">
                  <c:v>1733.789693914425</c:v>
                </c:pt>
                <c:pt idx="40">
                  <c:v>1788.2937771864717</c:v>
                </c:pt>
                <c:pt idx="41">
                  <c:v>1861.0538634972497</c:v>
                </c:pt>
                <c:pt idx="42">
                  <c:v>1947.8596528708129</c:v>
                </c:pt>
                <c:pt idx="43">
                  <c:v>2011.6755825295436</c:v>
                </c:pt>
                <c:pt idx="44">
                  <c:v>2022.2912602421172</c:v>
                </c:pt>
                <c:pt idx="45">
                  <c:v>2040.7595458050025</c:v>
                </c:pt>
                <c:pt idx="46">
                  <c:v>2051.5287005411169</c:v>
                </c:pt>
                <c:pt idx="47">
                  <c:v>2061.8120309462388</c:v>
                </c:pt>
                <c:pt idx="48">
                  <c:v>2072.6922803336224</c:v>
                </c:pt>
                <c:pt idx="49">
                  <c:v>2072.6922803336224</c:v>
                </c:pt>
                <c:pt idx="50">
                  <c:v>2093.0126309194029</c:v>
                </c:pt>
                <c:pt idx="51">
                  <c:v>2093.0126309194029</c:v>
                </c:pt>
                <c:pt idx="52">
                  <c:v>2093.0126309194029</c:v>
                </c:pt>
                <c:pt idx="53">
                  <c:v>2093.0126309194029</c:v>
                </c:pt>
                <c:pt idx="54">
                  <c:v>2093.0126309194029</c:v>
                </c:pt>
                <c:pt idx="55">
                  <c:v>2108.5739917011865</c:v>
                </c:pt>
                <c:pt idx="56">
                  <c:v>2122.6781131465646</c:v>
                </c:pt>
                <c:pt idx="57">
                  <c:v>2122.6781131465646</c:v>
                </c:pt>
                <c:pt idx="58">
                  <c:v>2122.6781131465646</c:v>
                </c:pt>
                <c:pt idx="59">
                  <c:v>2122.6781131465646</c:v>
                </c:pt>
                <c:pt idx="60">
                  <c:v>2122.6781131465646</c:v>
                </c:pt>
                <c:pt idx="61">
                  <c:v>2122.6781131465646</c:v>
                </c:pt>
                <c:pt idx="62">
                  <c:v>2122.6781131465646</c:v>
                </c:pt>
                <c:pt idx="63">
                  <c:v>2122.6781131465646</c:v>
                </c:pt>
                <c:pt idx="64">
                  <c:v>2109.8523026603502</c:v>
                </c:pt>
                <c:pt idx="65">
                  <c:v>2109.8523026603502</c:v>
                </c:pt>
                <c:pt idx="66">
                  <c:v>2136.3909776072592</c:v>
                </c:pt>
                <c:pt idx="67">
                  <c:v>2136.3909776072592</c:v>
                </c:pt>
                <c:pt idx="68">
                  <c:v>2122.1957411197468</c:v>
                </c:pt>
                <c:pt idx="69">
                  <c:v>2149.7563399009096</c:v>
                </c:pt>
                <c:pt idx="70">
                  <c:v>2149.7563399009096</c:v>
                </c:pt>
                <c:pt idx="71">
                  <c:v>2135.4722973472381</c:v>
                </c:pt>
                <c:pt idx="72">
                  <c:v>2135.4722973472381</c:v>
                </c:pt>
                <c:pt idx="73">
                  <c:v>2149.2940764170658</c:v>
                </c:pt>
                <c:pt idx="74">
                  <c:v>2149.2940764170658</c:v>
                </c:pt>
                <c:pt idx="75">
                  <c:v>2165.8908597179452</c:v>
                </c:pt>
                <c:pt idx="76">
                  <c:v>2165.8908597179452</c:v>
                </c:pt>
                <c:pt idx="77">
                  <c:v>2165.8908597179452</c:v>
                </c:pt>
                <c:pt idx="78">
                  <c:v>2165.8908597179452</c:v>
                </c:pt>
                <c:pt idx="79">
                  <c:v>2180.8796641848608</c:v>
                </c:pt>
                <c:pt idx="80">
                  <c:v>2197.7203504310678</c:v>
                </c:pt>
                <c:pt idx="81">
                  <c:v>2213.4745509539262</c:v>
                </c:pt>
                <c:pt idx="82">
                  <c:v>2195.8373972259265</c:v>
                </c:pt>
                <c:pt idx="83">
                  <c:v>2212.1632509028609</c:v>
                </c:pt>
                <c:pt idx="84">
                  <c:v>2232.3655152515203</c:v>
                </c:pt>
                <c:pt idx="85">
                  <c:v>2263.3700968892199</c:v>
                </c:pt>
                <c:pt idx="86">
                  <c:v>2263.3700968892199</c:v>
                </c:pt>
                <c:pt idx="87">
                  <c:v>2263.3700968892199</c:v>
                </c:pt>
                <c:pt idx="88">
                  <c:v>2263.3700968892199</c:v>
                </c:pt>
                <c:pt idx="89">
                  <c:v>2243.7739419386153</c:v>
                </c:pt>
                <c:pt idx="90">
                  <c:v>2243.7739419386153</c:v>
                </c:pt>
                <c:pt idx="91">
                  <c:v>2243.7739419386153</c:v>
                </c:pt>
                <c:pt idx="92">
                  <c:v>2243.7739419386153</c:v>
                </c:pt>
                <c:pt idx="93">
                  <c:v>2225.8953600828645</c:v>
                </c:pt>
                <c:pt idx="94">
                  <c:v>2204.7969845817674</c:v>
                </c:pt>
                <c:pt idx="95">
                  <c:v>2189.1045458354874</c:v>
                </c:pt>
                <c:pt idx="96">
                  <c:v>2189.1045458354874</c:v>
                </c:pt>
                <c:pt idx="97">
                  <c:v>2172.3298807561337</c:v>
                </c:pt>
              </c:numCache>
            </c:numRef>
          </c:val>
          <c:smooth val="0"/>
          <c:extLst>
            <c:ext xmlns:c16="http://schemas.microsoft.com/office/drawing/2014/chart" uri="{C3380CC4-5D6E-409C-BE32-E72D297353CC}">
              <c16:uniqueId val="{00000001-7E4B-3D49-BD87-5802764BAE94}"/>
            </c:ext>
          </c:extLst>
        </c:ser>
        <c:ser>
          <c:idx val="2"/>
          <c:order val="2"/>
          <c:tx>
            <c:strRef>
              <c:f>Graphs!$A$47</c:f>
              <c:strCache>
                <c:ptCount val="1"/>
                <c:pt idx="0">
                  <c:v>Target: End points</c:v>
                </c:pt>
              </c:strCache>
            </c:strRef>
          </c:tx>
          <c:spPr>
            <a:ln w="28575" cap="rnd">
              <a:solidFill>
                <a:schemeClr val="accent3"/>
              </a:solidFill>
              <a:round/>
            </a:ln>
            <a:effectLst/>
          </c:spPr>
          <c:marker>
            <c:symbol val="none"/>
          </c:marker>
          <c:cat>
            <c:strRef>
              <c:f>Graphs!$B$44:$CU$44</c:f>
              <c:strCache>
                <c:ptCount val="98"/>
                <c:pt idx="0">
                  <c:v>Apr-11</c:v>
                </c:pt>
                <c:pt idx="1">
                  <c:v>May-11</c:v>
                </c:pt>
                <c:pt idx="2">
                  <c:v>Jun-11</c:v>
                </c:pt>
                <c:pt idx="3">
                  <c:v>Jul-11</c:v>
                </c:pt>
                <c:pt idx="4">
                  <c:v>Aug-11</c:v>
                </c:pt>
                <c:pt idx="5">
                  <c:v>Sep-11</c:v>
                </c:pt>
                <c:pt idx="6">
                  <c:v>Oct-11</c:v>
                </c:pt>
                <c:pt idx="7">
                  <c:v>Nov-11</c:v>
                </c:pt>
                <c:pt idx="8">
                  <c:v>Dec-11</c:v>
                </c:pt>
                <c:pt idx="9">
                  <c:v>Jan-12</c:v>
                </c:pt>
                <c:pt idx="10">
                  <c:v>Feb-12</c:v>
                </c:pt>
                <c:pt idx="11">
                  <c:v>Mar-12</c:v>
                </c:pt>
                <c:pt idx="12">
                  <c:v>Apr-12</c:v>
                </c:pt>
                <c:pt idx="13">
                  <c:v>May-12</c:v>
                </c:pt>
                <c:pt idx="14">
                  <c:v>Jun-12</c:v>
                </c:pt>
                <c:pt idx="15">
                  <c:v>Jul-12</c:v>
                </c:pt>
                <c:pt idx="16">
                  <c:v>Aug-12</c:v>
                </c:pt>
                <c:pt idx="17">
                  <c:v>Sep-12</c:v>
                </c:pt>
                <c:pt idx="18">
                  <c:v>Oct-12</c:v>
                </c:pt>
                <c:pt idx="19">
                  <c:v>Nov-12</c:v>
                </c:pt>
                <c:pt idx="20">
                  <c:v>Dec-12</c:v>
                </c:pt>
                <c:pt idx="21">
                  <c:v>Jan-13</c:v>
                </c:pt>
                <c:pt idx="22">
                  <c:v>Feb-13</c:v>
                </c:pt>
                <c:pt idx="23">
                  <c:v>Mar-13</c:v>
                </c:pt>
                <c:pt idx="24">
                  <c:v>Apr-13</c:v>
                </c:pt>
                <c:pt idx="25">
                  <c:v>May-13</c:v>
                </c:pt>
                <c:pt idx="26">
                  <c:v>Jun-13</c:v>
                </c:pt>
                <c:pt idx="27">
                  <c:v>Jul-13</c:v>
                </c:pt>
                <c:pt idx="28">
                  <c:v>Aug-13</c:v>
                </c:pt>
                <c:pt idx="29">
                  <c:v>Sep-13</c:v>
                </c:pt>
                <c:pt idx="30">
                  <c:v>Oct-13</c:v>
                </c:pt>
                <c:pt idx="31">
                  <c:v>Nov-13</c:v>
                </c:pt>
                <c:pt idx="32">
                  <c:v>Dec-13</c:v>
                </c:pt>
                <c:pt idx="33">
                  <c:v>Jan-14</c:v>
                </c:pt>
                <c:pt idx="34">
                  <c:v>Feb-14</c:v>
                </c:pt>
                <c:pt idx="35">
                  <c:v>Mar-14</c:v>
                </c:pt>
                <c:pt idx="36">
                  <c:v>Apr-14</c:v>
                </c:pt>
                <c:pt idx="37">
                  <c:v>May-14</c:v>
                </c:pt>
                <c:pt idx="38">
                  <c:v>Jun-14</c:v>
                </c:pt>
                <c:pt idx="39">
                  <c:v>Jul-14</c:v>
                </c:pt>
                <c:pt idx="40">
                  <c:v>Aug-14</c:v>
                </c:pt>
                <c:pt idx="41">
                  <c:v>Sep-14</c:v>
                </c:pt>
                <c:pt idx="42">
                  <c:v>Oct-14</c:v>
                </c:pt>
                <c:pt idx="43">
                  <c:v>Nov-14</c:v>
                </c:pt>
                <c:pt idx="44">
                  <c:v>12/31/14</c:v>
                </c:pt>
                <c:pt idx="45">
                  <c:v>01/31/15</c:v>
                </c:pt>
                <c:pt idx="46">
                  <c:v>02/28/15</c:v>
                </c:pt>
                <c:pt idx="47">
                  <c:v>03/31/15</c:v>
                </c:pt>
                <c:pt idx="48">
                  <c:v>04/30/15</c:v>
                </c:pt>
                <c:pt idx="49">
                  <c:v>05/31/15</c:v>
                </c:pt>
                <c:pt idx="50">
                  <c:v>06/30/15</c:v>
                </c:pt>
                <c:pt idx="51">
                  <c:v>07/31/15</c:v>
                </c:pt>
                <c:pt idx="52">
                  <c:v>08/31/15</c:v>
                </c:pt>
                <c:pt idx="53">
                  <c:v>09/30/15</c:v>
                </c:pt>
                <c:pt idx="54">
                  <c:v>10/31/15</c:v>
                </c:pt>
                <c:pt idx="55">
                  <c:v>11/30/15</c:v>
                </c:pt>
                <c:pt idx="56">
                  <c:v>12/31/15</c:v>
                </c:pt>
                <c:pt idx="57">
                  <c:v>01/31/16</c:v>
                </c:pt>
                <c:pt idx="58">
                  <c:v>02/29/16</c:v>
                </c:pt>
                <c:pt idx="59">
                  <c:v>03/31/16</c:v>
                </c:pt>
                <c:pt idx="60">
                  <c:v>04/30/16</c:v>
                </c:pt>
                <c:pt idx="61">
                  <c:v>05/31/16</c:v>
                </c:pt>
                <c:pt idx="62">
                  <c:v>06/30/16</c:v>
                </c:pt>
                <c:pt idx="63">
                  <c:v>07/31/16</c:v>
                </c:pt>
                <c:pt idx="64">
                  <c:v>08/31/16</c:v>
                </c:pt>
                <c:pt idx="65">
                  <c:v>09/30/16</c:v>
                </c:pt>
                <c:pt idx="66">
                  <c:v>10/31/16</c:v>
                </c:pt>
                <c:pt idx="67">
                  <c:v>11/30/16</c:v>
                </c:pt>
                <c:pt idx="68">
                  <c:v>12/31/16</c:v>
                </c:pt>
                <c:pt idx="69">
                  <c:v>01/31/17</c:v>
                </c:pt>
                <c:pt idx="70">
                  <c:v>02/28/17</c:v>
                </c:pt>
                <c:pt idx="71">
                  <c:v>03/31/17</c:v>
                </c:pt>
                <c:pt idx="72">
                  <c:v>04/30/17</c:v>
                </c:pt>
                <c:pt idx="73">
                  <c:v>05/31/17</c:v>
                </c:pt>
                <c:pt idx="74">
                  <c:v>06/30/17</c:v>
                </c:pt>
                <c:pt idx="75">
                  <c:v>07/31/17</c:v>
                </c:pt>
                <c:pt idx="76">
                  <c:v>08/31/17</c:v>
                </c:pt>
                <c:pt idx="77">
                  <c:v>09/30/17</c:v>
                </c:pt>
                <c:pt idx="78">
                  <c:v>10/31/17</c:v>
                </c:pt>
                <c:pt idx="79">
                  <c:v>11/30/17</c:v>
                </c:pt>
                <c:pt idx="80">
                  <c:v>12/31/17</c:v>
                </c:pt>
                <c:pt idx="81">
                  <c:v>01/31/18</c:v>
                </c:pt>
                <c:pt idx="82">
                  <c:v>02/28/18</c:v>
                </c:pt>
                <c:pt idx="83">
                  <c:v>03/31/18</c:v>
                </c:pt>
                <c:pt idx="84">
                  <c:v>04/30/18</c:v>
                </c:pt>
                <c:pt idx="85">
                  <c:v>05/31/18</c:v>
                </c:pt>
                <c:pt idx="86">
                  <c:v>06/30/18</c:v>
                </c:pt>
                <c:pt idx="87">
                  <c:v>07/31/18</c:v>
                </c:pt>
                <c:pt idx="88">
                  <c:v>08/31/18</c:v>
                </c:pt>
                <c:pt idx="89">
                  <c:v>09/30/18</c:v>
                </c:pt>
                <c:pt idx="90">
                  <c:v>10/31/18</c:v>
                </c:pt>
                <c:pt idx="91">
                  <c:v>11/30/18</c:v>
                </c:pt>
                <c:pt idx="92">
                  <c:v>12/31/18</c:v>
                </c:pt>
                <c:pt idx="93">
                  <c:v>01/31/19</c:v>
                </c:pt>
                <c:pt idx="94">
                  <c:v>02/28/19</c:v>
                </c:pt>
                <c:pt idx="95">
                  <c:v>03/31/19</c:v>
                </c:pt>
                <c:pt idx="96">
                  <c:v>04/30/19</c:v>
                </c:pt>
                <c:pt idx="97">
                  <c:v>05/31/19</c:v>
                </c:pt>
              </c:strCache>
            </c:strRef>
          </c:cat>
          <c:val>
            <c:numRef>
              <c:f>Graphs!$B$47:$CU$47</c:f>
              <c:numCache>
                <c:formatCode>General</c:formatCode>
                <c:ptCount val="98"/>
                <c:pt idx="0">
                  <c:v>1000</c:v>
                </c:pt>
                <c:pt idx="1">
                  <c:v>1000</c:v>
                </c:pt>
                <c:pt idx="2">
                  <c:v>1000</c:v>
                </c:pt>
                <c:pt idx="3">
                  <c:v>1000</c:v>
                </c:pt>
                <c:pt idx="4">
                  <c:v>1000</c:v>
                </c:pt>
                <c:pt idx="5">
                  <c:v>1000</c:v>
                </c:pt>
                <c:pt idx="6">
                  <c:v>1000</c:v>
                </c:pt>
                <c:pt idx="7">
                  <c:v>1000</c:v>
                </c:pt>
                <c:pt idx="8">
                  <c:v>1000</c:v>
                </c:pt>
                <c:pt idx="9">
                  <c:v>1000</c:v>
                </c:pt>
                <c:pt idx="10">
                  <c:v>1000</c:v>
                </c:pt>
                <c:pt idx="11">
                  <c:v>1000</c:v>
                </c:pt>
                <c:pt idx="12">
                  <c:v>1000</c:v>
                </c:pt>
                <c:pt idx="13">
                  <c:v>1023.5488589107315</c:v>
                </c:pt>
                <c:pt idx="14">
                  <c:v>1060.9481175317599</c:v>
                </c:pt>
                <c:pt idx="15">
                  <c:v>1086.267887323994</c:v>
                </c:pt>
                <c:pt idx="16">
                  <c:v>1116.4474345856088</c:v>
                </c:pt>
                <c:pt idx="17">
                  <c:v>1162.2631571781924</c:v>
                </c:pt>
                <c:pt idx="18">
                  <c:v>1184.2611783543093</c:v>
                </c:pt>
                <c:pt idx="19">
                  <c:v>1202.2842254822369</c:v>
                </c:pt>
                <c:pt idx="20">
                  <c:v>1237.4302224233422</c:v>
                </c:pt>
                <c:pt idx="21">
                  <c:v>1268.3273562847967</c:v>
                </c:pt>
                <c:pt idx="22">
                  <c:v>1316.2252167776542</c:v>
                </c:pt>
                <c:pt idx="23">
                  <c:v>1344.4433710074625</c:v>
                </c:pt>
                <c:pt idx="24">
                  <c:v>1356.2886107626834</c:v>
                </c:pt>
                <c:pt idx="25">
                  <c:v>1372.9983219751625</c:v>
                </c:pt>
                <c:pt idx="26">
                  <c:v>1382.8405618569118</c:v>
                </c:pt>
                <c:pt idx="27">
                  <c:v>1383.8286579648372</c:v>
                </c:pt>
                <c:pt idx="28">
                  <c:v>1400.243990427266</c:v>
                </c:pt>
                <c:pt idx="29">
                  <c:v>1426.517620566859</c:v>
                </c:pt>
                <c:pt idx="30">
                  <c:v>1450.7388503154323</c:v>
                </c:pt>
                <c:pt idx="31">
                  <c:v>1462.8788538281285</c:v>
                </c:pt>
                <c:pt idx="32">
                  <c:v>1496.0708070767737</c:v>
                </c:pt>
                <c:pt idx="33">
                  <c:v>1517.2579255764388</c:v>
                </c:pt>
                <c:pt idx="34">
                  <c:v>1545.7502026047648</c:v>
                </c:pt>
                <c:pt idx="35">
                  <c:v>1567.5811315852297</c:v>
                </c:pt>
                <c:pt idx="36">
                  <c:v>1601.6676675891749</c:v>
                </c:pt>
                <c:pt idx="37">
                  <c:v>1622.7359138873423</c:v>
                </c:pt>
                <c:pt idx="38">
                  <c:v>1650.6790211527527</c:v>
                </c:pt>
                <c:pt idx="39">
                  <c:v>1668.4599527005234</c:v>
                </c:pt>
                <c:pt idx="40">
                  <c:v>1705.6134256459725</c:v>
                </c:pt>
                <c:pt idx="41">
                  <c:v>1767.629020531306</c:v>
                </c:pt>
                <c:pt idx="42">
                  <c:v>1816.3790648266449</c:v>
                </c:pt>
                <c:pt idx="43">
                  <c:v>1887.02759358611</c:v>
                </c:pt>
                <c:pt idx="44">
                  <c:v>1906.9959541947098</c:v>
                </c:pt>
                <c:pt idx="45">
                  <c:v>1933.1785565012967</c:v>
                </c:pt>
                <c:pt idx="46">
                  <c:v>1943.3800028452797</c:v>
                </c:pt>
                <c:pt idx="47">
                  <c:v>1943.3800028452797</c:v>
                </c:pt>
                <c:pt idx="48">
                  <c:v>1943.3800028452797</c:v>
                </c:pt>
                <c:pt idx="49">
                  <c:v>1943.3800028452797</c:v>
                </c:pt>
                <c:pt idx="50">
                  <c:v>1972.0288244479723</c:v>
                </c:pt>
                <c:pt idx="51">
                  <c:v>1972.0288244479723</c:v>
                </c:pt>
                <c:pt idx="52">
                  <c:v>1972.0288244479723</c:v>
                </c:pt>
                <c:pt idx="53">
                  <c:v>1972.0288244479723</c:v>
                </c:pt>
                <c:pt idx="54">
                  <c:v>1972.0288244479723</c:v>
                </c:pt>
                <c:pt idx="55">
                  <c:v>1986.690681503193</c:v>
                </c:pt>
                <c:pt idx="56">
                  <c:v>1960.377284887531</c:v>
                </c:pt>
                <c:pt idx="57">
                  <c:v>1971.9428991381037</c:v>
                </c:pt>
                <c:pt idx="58">
                  <c:v>1993.3768511958103</c:v>
                </c:pt>
                <c:pt idx="59">
                  <c:v>2005.4946064001942</c:v>
                </c:pt>
                <c:pt idx="60">
                  <c:v>2005.4946064001942</c:v>
                </c:pt>
                <c:pt idx="61">
                  <c:v>2005.4946064001942</c:v>
                </c:pt>
                <c:pt idx="62">
                  <c:v>2033.3482534948525</c:v>
                </c:pt>
                <c:pt idx="63">
                  <c:v>2033.3482534948525</c:v>
                </c:pt>
                <c:pt idx="64">
                  <c:v>2021.0621988216167</c:v>
                </c:pt>
                <c:pt idx="65">
                  <c:v>2021.0621988216167</c:v>
                </c:pt>
                <c:pt idx="66">
                  <c:v>2021.0621988216167</c:v>
                </c:pt>
                <c:pt idx="67">
                  <c:v>2021.0621988216167</c:v>
                </c:pt>
                <c:pt idx="68">
                  <c:v>2007.6332636833602</c:v>
                </c:pt>
                <c:pt idx="69">
                  <c:v>2020.627608521427</c:v>
                </c:pt>
                <c:pt idx="70">
                  <c:v>2020.627608521427</c:v>
                </c:pt>
                <c:pt idx="71">
                  <c:v>2020.627608521427</c:v>
                </c:pt>
                <c:pt idx="72">
                  <c:v>2020.627608521427</c:v>
                </c:pt>
                <c:pt idx="73">
                  <c:v>2033.706058858653</c:v>
                </c:pt>
                <c:pt idx="74">
                  <c:v>2020.1931116714682</c:v>
                </c:pt>
                <c:pt idx="75">
                  <c:v>2004.712780725934</c:v>
                </c:pt>
                <c:pt idx="76">
                  <c:v>1981.2661164703409</c:v>
                </c:pt>
                <c:pt idx="77">
                  <c:v>1959.3738971782013</c:v>
                </c:pt>
                <c:pt idx="78">
                  <c:v>1959.3738971782013</c:v>
                </c:pt>
                <c:pt idx="79">
                  <c:v>1959.3738971782013</c:v>
                </c:pt>
                <c:pt idx="80">
                  <c:v>1944.3596115640585</c:v>
                </c:pt>
                <c:pt idx="81">
                  <c:v>1944.3596115640585</c:v>
                </c:pt>
                <c:pt idx="82">
                  <c:v>1928.8667885917364</c:v>
                </c:pt>
                <c:pt idx="83">
                  <c:v>1928.8667885917364</c:v>
                </c:pt>
                <c:pt idx="84">
                  <c:v>1946.4818885354571</c:v>
                </c:pt>
                <c:pt idx="85">
                  <c:v>1933.1040589812733</c:v>
                </c:pt>
                <c:pt idx="86">
                  <c:v>1917.0617940971867</c:v>
                </c:pt>
                <c:pt idx="87">
                  <c:v>1917.0617940971867</c:v>
                </c:pt>
                <c:pt idx="88">
                  <c:v>1902.3717375653584</c:v>
                </c:pt>
                <c:pt idx="89">
                  <c:v>1885.9010899261507</c:v>
                </c:pt>
                <c:pt idx="90">
                  <c:v>1865.0626170522992</c:v>
                </c:pt>
                <c:pt idx="91">
                  <c:v>1865.0626170522992</c:v>
                </c:pt>
                <c:pt idx="92">
                  <c:v>1848.9149900749132</c:v>
                </c:pt>
                <c:pt idx="93">
                  <c:v>1834.1826779749613</c:v>
                </c:pt>
                <c:pt idx="94">
                  <c:v>1816.7971909608357</c:v>
                </c:pt>
                <c:pt idx="95">
                  <c:v>1803.8663048824628</c:v>
                </c:pt>
                <c:pt idx="96">
                  <c:v>1793.8726113745686</c:v>
                </c:pt>
                <c:pt idx="97">
                  <c:v>1780.1265286175435</c:v>
                </c:pt>
              </c:numCache>
            </c:numRef>
          </c:val>
          <c:smooth val="0"/>
          <c:extLst>
            <c:ext xmlns:c16="http://schemas.microsoft.com/office/drawing/2014/chart" uri="{C3380CC4-5D6E-409C-BE32-E72D297353CC}">
              <c16:uniqueId val="{00000002-7E4B-3D49-BD87-5802764BAE94}"/>
            </c:ext>
          </c:extLst>
        </c:ser>
        <c:ser>
          <c:idx val="3"/>
          <c:order val="3"/>
          <c:tx>
            <c:strRef>
              <c:f>Graphs!$A$48</c:f>
              <c:strCache>
                <c:ptCount val="1"/>
                <c:pt idx="0">
                  <c:v>Target: Mobile devices</c:v>
                </c:pt>
              </c:strCache>
            </c:strRef>
          </c:tx>
          <c:spPr>
            <a:ln w="28575" cap="rnd">
              <a:solidFill>
                <a:schemeClr val="accent4"/>
              </a:solidFill>
              <a:round/>
            </a:ln>
            <a:effectLst/>
          </c:spPr>
          <c:marker>
            <c:symbol val="none"/>
          </c:marker>
          <c:cat>
            <c:strRef>
              <c:f>Graphs!$B$44:$CU$44</c:f>
              <c:strCache>
                <c:ptCount val="98"/>
                <c:pt idx="0">
                  <c:v>Apr-11</c:v>
                </c:pt>
                <c:pt idx="1">
                  <c:v>May-11</c:v>
                </c:pt>
                <c:pt idx="2">
                  <c:v>Jun-11</c:v>
                </c:pt>
                <c:pt idx="3">
                  <c:v>Jul-11</c:v>
                </c:pt>
                <c:pt idx="4">
                  <c:v>Aug-11</c:v>
                </c:pt>
                <c:pt idx="5">
                  <c:v>Sep-11</c:v>
                </c:pt>
                <c:pt idx="6">
                  <c:v>Oct-11</c:v>
                </c:pt>
                <c:pt idx="7">
                  <c:v>Nov-11</c:v>
                </c:pt>
                <c:pt idx="8">
                  <c:v>Dec-11</c:v>
                </c:pt>
                <c:pt idx="9">
                  <c:v>Jan-12</c:v>
                </c:pt>
                <c:pt idx="10">
                  <c:v>Feb-12</c:v>
                </c:pt>
                <c:pt idx="11">
                  <c:v>Mar-12</c:v>
                </c:pt>
                <c:pt idx="12">
                  <c:v>Apr-12</c:v>
                </c:pt>
                <c:pt idx="13">
                  <c:v>May-12</c:v>
                </c:pt>
                <c:pt idx="14">
                  <c:v>Jun-12</c:v>
                </c:pt>
                <c:pt idx="15">
                  <c:v>Jul-12</c:v>
                </c:pt>
                <c:pt idx="16">
                  <c:v>Aug-12</c:v>
                </c:pt>
                <c:pt idx="17">
                  <c:v>Sep-12</c:v>
                </c:pt>
                <c:pt idx="18">
                  <c:v>Oct-12</c:v>
                </c:pt>
                <c:pt idx="19">
                  <c:v>Nov-12</c:v>
                </c:pt>
                <c:pt idx="20">
                  <c:v>Dec-12</c:v>
                </c:pt>
                <c:pt idx="21">
                  <c:v>Jan-13</c:v>
                </c:pt>
                <c:pt idx="22">
                  <c:v>Feb-13</c:v>
                </c:pt>
                <c:pt idx="23">
                  <c:v>Mar-13</c:v>
                </c:pt>
                <c:pt idx="24">
                  <c:v>Apr-13</c:v>
                </c:pt>
                <c:pt idx="25">
                  <c:v>May-13</c:v>
                </c:pt>
                <c:pt idx="26">
                  <c:v>Jun-13</c:v>
                </c:pt>
                <c:pt idx="27">
                  <c:v>Jul-13</c:v>
                </c:pt>
                <c:pt idx="28">
                  <c:v>Aug-13</c:v>
                </c:pt>
                <c:pt idx="29">
                  <c:v>Sep-13</c:v>
                </c:pt>
                <c:pt idx="30">
                  <c:v>Oct-13</c:v>
                </c:pt>
                <c:pt idx="31">
                  <c:v>Nov-13</c:v>
                </c:pt>
                <c:pt idx="32">
                  <c:v>Dec-13</c:v>
                </c:pt>
                <c:pt idx="33">
                  <c:v>Jan-14</c:v>
                </c:pt>
                <c:pt idx="34">
                  <c:v>Feb-14</c:v>
                </c:pt>
                <c:pt idx="35">
                  <c:v>Mar-14</c:v>
                </c:pt>
                <c:pt idx="36">
                  <c:v>Apr-14</c:v>
                </c:pt>
                <c:pt idx="37">
                  <c:v>May-14</c:v>
                </c:pt>
                <c:pt idx="38">
                  <c:v>Jun-14</c:v>
                </c:pt>
                <c:pt idx="39">
                  <c:v>Jul-14</c:v>
                </c:pt>
                <c:pt idx="40">
                  <c:v>Aug-14</c:v>
                </c:pt>
                <c:pt idx="41">
                  <c:v>Sep-14</c:v>
                </c:pt>
                <c:pt idx="42">
                  <c:v>Oct-14</c:v>
                </c:pt>
                <c:pt idx="43">
                  <c:v>Nov-14</c:v>
                </c:pt>
                <c:pt idx="44">
                  <c:v>12/31/14</c:v>
                </c:pt>
                <c:pt idx="45">
                  <c:v>01/31/15</c:v>
                </c:pt>
                <c:pt idx="46">
                  <c:v>02/28/15</c:v>
                </c:pt>
                <c:pt idx="47">
                  <c:v>03/31/15</c:v>
                </c:pt>
                <c:pt idx="48">
                  <c:v>04/30/15</c:v>
                </c:pt>
                <c:pt idx="49">
                  <c:v>05/31/15</c:v>
                </c:pt>
                <c:pt idx="50">
                  <c:v>06/30/15</c:v>
                </c:pt>
                <c:pt idx="51">
                  <c:v>07/31/15</c:v>
                </c:pt>
                <c:pt idx="52">
                  <c:v>08/31/15</c:v>
                </c:pt>
                <c:pt idx="53">
                  <c:v>09/30/15</c:v>
                </c:pt>
                <c:pt idx="54">
                  <c:v>10/31/15</c:v>
                </c:pt>
                <c:pt idx="55">
                  <c:v>11/30/15</c:v>
                </c:pt>
                <c:pt idx="56">
                  <c:v>12/31/15</c:v>
                </c:pt>
                <c:pt idx="57">
                  <c:v>01/31/16</c:v>
                </c:pt>
                <c:pt idx="58">
                  <c:v>02/29/16</c:v>
                </c:pt>
                <c:pt idx="59">
                  <c:v>03/31/16</c:v>
                </c:pt>
                <c:pt idx="60">
                  <c:v>04/30/16</c:v>
                </c:pt>
                <c:pt idx="61">
                  <c:v>05/31/16</c:v>
                </c:pt>
                <c:pt idx="62">
                  <c:v>06/30/16</c:v>
                </c:pt>
                <c:pt idx="63">
                  <c:v>07/31/16</c:v>
                </c:pt>
                <c:pt idx="64">
                  <c:v>08/31/16</c:v>
                </c:pt>
                <c:pt idx="65">
                  <c:v>09/30/16</c:v>
                </c:pt>
                <c:pt idx="66">
                  <c:v>10/31/16</c:v>
                </c:pt>
                <c:pt idx="67">
                  <c:v>11/30/16</c:v>
                </c:pt>
                <c:pt idx="68">
                  <c:v>12/31/16</c:v>
                </c:pt>
                <c:pt idx="69">
                  <c:v>01/31/17</c:v>
                </c:pt>
                <c:pt idx="70">
                  <c:v>02/28/17</c:v>
                </c:pt>
                <c:pt idx="71">
                  <c:v>03/31/17</c:v>
                </c:pt>
                <c:pt idx="72">
                  <c:v>04/30/17</c:v>
                </c:pt>
                <c:pt idx="73">
                  <c:v>05/31/17</c:v>
                </c:pt>
                <c:pt idx="74">
                  <c:v>06/30/17</c:v>
                </c:pt>
                <c:pt idx="75">
                  <c:v>07/31/17</c:v>
                </c:pt>
                <c:pt idx="76">
                  <c:v>08/31/17</c:v>
                </c:pt>
                <c:pt idx="77">
                  <c:v>09/30/17</c:v>
                </c:pt>
                <c:pt idx="78">
                  <c:v>10/31/17</c:v>
                </c:pt>
                <c:pt idx="79">
                  <c:v>11/30/17</c:v>
                </c:pt>
                <c:pt idx="80">
                  <c:v>12/31/17</c:v>
                </c:pt>
                <c:pt idx="81">
                  <c:v>01/31/18</c:v>
                </c:pt>
                <c:pt idx="82">
                  <c:v>02/28/18</c:v>
                </c:pt>
                <c:pt idx="83">
                  <c:v>03/31/18</c:v>
                </c:pt>
                <c:pt idx="84">
                  <c:v>04/30/18</c:v>
                </c:pt>
                <c:pt idx="85">
                  <c:v>05/31/18</c:v>
                </c:pt>
                <c:pt idx="86">
                  <c:v>06/30/18</c:v>
                </c:pt>
                <c:pt idx="87">
                  <c:v>07/31/18</c:v>
                </c:pt>
                <c:pt idx="88">
                  <c:v>08/31/18</c:v>
                </c:pt>
                <c:pt idx="89">
                  <c:v>09/30/18</c:v>
                </c:pt>
                <c:pt idx="90">
                  <c:v>10/31/18</c:v>
                </c:pt>
                <c:pt idx="91">
                  <c:v>11/30/18</c:v>
                </c:pt>
                <c:pt idx="92">
                  <c:v>12/31/18</c:v>
                </c:pt>
                <c:pt idx="93">
                  <c:v>01/31/19</c:v>
                </c:pt>
                <c:pt idx="94">
                  <c:v>02/28/19</c:v>
                </c:pt>
                <c:pt idx="95">
                  <c:v>03/31/19</c:v>
                </c:pt>
                <c:pt idx="96">
                  <c:v>04/30/19</c:v>
                </c:pt>
                <c:pt idx="97">
                  <c:v>05/31/19</c:v>
                </c:pt>
              </c:strCache>
            </c:strRef>
          </c:cat>
          <c:val>
            <c:numRef>
              <c:f>Graphs!$B$48:$CU$48</c:f>
              <c:numCache>
                <c:formatCode>General</c:formatCode>
                <c:ptCount val="98"/>
                <c:pt idx="0">
                  <c:v>1000</c:v>
                </c:pt>
                <c:pt idx="1">
                  <c:v>1000</c:v>
                </c:pt>
                <c:pt idx="2">
                  <c:v>1000</c:v>
                </c:pt>
                <c:pt idx="3">
                  <c:v>1000</c:v>
                </c:pt>
                <c:pt idx="4">
                  <c:v>1000</c:v>
                </c:pt>
                <c:pt idx="5">
                  <c:v>1000</c:v>
                </c:pt>
                <c:pt idx="6">
                  <c:v>1000</c:v>
                </c:pt>
                <c:pt idx="7">
                  <c:v>1000</c:v>
                </c:pt>
                <c:pt idx="8">
                  <c:v>1000</c:v>
                </c:pt>
                <c:pt idx="9">
                  <c:v>1000</c:v>
                </c:pt>
                <c:pt idx="10">
                  <c:v>1000</c:v>
                </c:pt>
                <c:pt idx="11">
                  <c:v>1000</c:v>
                </c:pt>
                <c:pt idx="12">
                  <c:v>1000</c:v>
                </c:pt>
                <c:pt idx="13">
                  <c:v>1031.9657899548642</c:v>
                </c:pt>
                <c:pt idx="14">
                  <c:v>1072.6960954214649</c:v>
                </c:pt>
                <c:pt idx="15">
                  <c:v>1109.2296448076622</c:v>
                </c:pt>
                <c:pt idx="16">
                  <c:v>1145.5413260882067</c:v>
                </c:pt>
                <c:pt idx="17">
                  <c:v>1193.1992781938879</c:v>
                </c:pt>
                <c:pt idx="18">
                  <c:v>1232.3585275435562</c:v>
                </c:pt>
                <c:pt idx="19">
                  <c:v>1260.9261644022947</c:v>
                </c:pt>
                <c:pt idx="20">
                  <c:v>1310.4961737533265</c:v>
                </c:pt>
                <c:pt idx="21">
                  <c:v>1337.3313446280679</c:v>
                </c:pt>
                <c:pt idx="22">
                  <c:v>1390.8293616864905</c:v>
                </c:pt>
                <c:pt idx="23">
                  <c:v>1427.6597938459108</c:v>
                </c:pt>
                <c:pt idx="24">
                  <c:v>1459.9541293638711</c:v>
                </c:pt>
                <c:pt idx="25">
                  <c:v>1484.7430866679167</c:v>
                </c:pt>
                <c:pt idx="26">
                  <c:v>1514.5823295113407</c:v>
                </c:pt>
                <c:pt idx="27">
                  <c:v>1542.9730996507415</c:v>
                </c:pt>
                <c:pt idx="28">
                  <c:v>1576.8185681638215</c:v>
                </c:pt>
                <c:pt idx="29">
                  <c:v>1626.0902004337788</c:v>
                </c:pt>
                <c:pt idx="30">
                  <c:v>1651.1707897912756</c:v>
                </c:pt>
                <c:pt idx="31">
                  <c:v>1666.839053141096</c:v>
                </c:pt>
                <c:pt idx="32">
                  <c:v>1692.6810054289058</c:v>
                </c:pt>
                <c:pt idx="33">
                  <c:v>1721.1287616446923</c:v>
                </c:pt>
                <c:pt idx="34">
                  <c:v>1769.836747174787</c:v>
                </c:pt>
                <c:pt idx="35">
                  <c:v>1795.9272375376936</c:v>
                </c:pt>
                <c:pt idx="36">
                  <c:v>1839.2514436480496</c:v>
                </c:pt>
                <c:pt idx="37">
                  <c:v>1858.158488727953</c:v>
                </c:pt>
                <c:pt idx="38">
                  <c:v>1885.5509960992117</c:v>
                </c:pt>
                <c:pt idx="39">
                  <c:v>1918.1533780270966</c:v>
                </c:pt>
                <c:pt idx="40">
                  <c:v>1944.5943932398343</c:v>
                </c:pt>
                <c:pt idx="41">
                  <c:v>1987.896862119695</c:v>
                </c:pt>
                <c:pt idx="42">
                  <c:v>2014.3821453979469</c:v>
                </c:pt>
                <c:pt idx="43">
                  <c:v>2077.6419514264135</c:v>
                </c:pt>
                <c:pt idx="44">
                  <c:v>2077.6419514264135</c:v>
                </c:pt>
                <c:pt idx="45">
                  <c:v>2077.6419514264135</c:v>
                </c:pt>
                <c:pt idx="46">
                  <c:v>2077.6419514264135</c:v>
                </c:pt>
                <c:pt idx="47">
                  <c:v>2077.6419514264135</c:v>
                </c:pt>
                <c:pt idx="48">
                  <c:v>2077.6419514264135</c:v>
                </c:pt>
                <c:pt idx="49">
                  <c:v>2077.6419514264135</c:v>
                </c:pt>
                <c:pt idx="50">
                  <c:v>2087.8015495756072</c:v>
                </c:pt>
                <c:pt idx="51">
                  <c:v>2099.1175195067417</c:v>
                </c:pt>
                <c:pt idx="52">
                  <c:v>2111.5016578480645</c:v>
                </c:pt>
                <c:pt idx="53">
                  <c:v>2111.5016578480645</c:v>
                </c:pt>
                <c:pt idx="54">
                  <c:v>2111.5016578480645</c:v>
                </c:pt>
                <c:pt idx="55">
                  <c:v>2143.0160272713701</c:v>
                </c:pt>
                <c:pt idx="56">
                  <c:v>2128.7767706828045</c:v>
                </c:pt>
                <c:pt idx="57">
                  <c:v>2116.2913123229009</c:v>
                </c:pt>
                <c:pt idx="58">
                  <c:v>2127.7616979352861</c:v>
                </c:pt>
                <c:pt idx="59">
                  <c:v>2127.7616979352861</c:v>
                </c:pt>
                <c:pt idx="60">
                  <c:v>2127.7616979352861</c:v>
                </c:pt>
                <c:pt idx="61">
                  <c:v>2100.4830778562205</c:v>
                </c:pt>
                <c:pt idx="62">
                  <c:v>2115.0192351140022</c:v>
                </c:pt>
                <c:pt idx="63">
                  <c:v>2129.655988215688</c:v>
                </c:pt>
                <c:pt idx="64">
                  <c:v>2116.7880154710142</c:v>
                </c:pt>
                <c:pt idx="65">
                  <c:v>2116.7880154710142</c:v>
                </c:pt>
                <c:pt idx="66">
                  <c:v>2116.7880154710142</c:v>
                </c:pt>
                <c:pt idx="67">
                  <c:v>2116.7880154710142</c:v>
                </c:pt>
                <c:pt idx="68">
                  <c:v>2116.7880154710142</c:v>
                </c:pt>
                <c:pt idx="69">
                  <c:v>2116.7880154710142</c:v>
                </c:pt>
                <c:pt idx="70">
                  <c:v>2103.1752778710143</c:v>
                </c:pt>
                <c:pt idx="71">
                  <c:v>2075.3190616245065</c:v>
                </c:pt>
                <c:pt idx="72">
                  <c:v>2075.3190616245065</c:v>
                </c:pt>
                <c:pt idx="73">
                  <c:v>2061.9730044776902</c:v>
                </c:pt>
                <c:pt idx="74">
                  <c:v>2048.2722377471505</c:v>
                </c:pt>
                <c:pt idx="75">
                  <c:v>2048.2722377471505</c:v>
                </c:pt>
                <c:pt idx="76">
                  <c:v>2048.2722377471505</c:v>
                </c:pt>
                <c:pt idx="77">
                  <c:v>2025.6396268999779</c:v>
                </c:pt>
                <c:pt idx="78">
                  <c:v>2025.6396268999779</c:v>
                </c:pt>
                <c:pt idx="79">
                  <c:v>2025.6396268999779</c:v>
                </c:pt>
                <c:pt idx="80">
                  <c:v>2010.1175604105742</c:v>
                </c:pt>
                <c:pt idx="81">
                  <c:v>2010.1175604105742</c:v>
                </c:pt>
                <c:pt idx="82">
                  <c:v>1994.100772501703</c:v>
                </c:pt>
                <c:pt idx="83">
                  <c:v>1994.100772501703</c:v>
                </c:pt>
                <c:pt idx="84">
                  <c:v>2012.3116124690985</c:v>
                </c:pt>
                <c:pt idx="85">
                  <c:v>1998.4813467368181</c:v>
                </c:pt>
                <c:pt idx="86">
                  <c:v>1981.8965348735842</c:v>
                </c:pt>
                <c:pt idx="87">
                  <c:v>1981.8965348735842</c:v>
                </c:pt>
                <c:pt idx="88">
                  <c:v>1981.8965348735842</c:v>
                </c:pt>
                <c:pt idx="89">
                  <c:v>1999.2055653723937</c:v>
                </c:pt>
                <c:pt idx="90">
                  <c:v>1999.2055653723937</c:v>
                </c:pt>
                <c:pt idx="91">
                  <c:v>2015.9352218374052</c:v>
                </c:pt>
                <c:pt idx="92">
                  <c:v>1998.4813467368185</c:v>
                </c:pt>
                <c:pt idx="93">
                  <c:v>1998.4813467368185</c:v>
                </c:pt>
                <c:pt idx="94">
                  <c:v>1979.5385380848334</c:v>
                </c:pt>
                <c:pt idx="95">
                  <c:v>1965.4493555106428</c:v>
                </c:pt>
                <c:pt idx="96">
                  <c:v>1954.5604673424361</c:v>
                </c:pt>
                <c:pt idx="97">
                  <c:v>1954.5604673424361</c:v>
                </c:pt>
              </c:numCache>
            </c:numRef>
          </c:val>
          <c:smooth val="0"/>
          <c:extLst>
            <c:ext xmlns:c16="http://schemas.microsoft.com/office/drawing/2014/chart" uri="{C3380CC4-5D6E-409C-BE32-E72D297353CC}">
              <c16:uniqueId val="{00000003-7E4B-3D49-BD87-5802764BAE94}"/>
            </c:ext>
          </c:extLst>
        </c:ser>
        <c:ser>
          <c:idx val="4"/>
          <c:order val="4"/>
          <c:tx>
            <c:strRef>
              <c:f>Graphs!$A$49</c:f>
              <c:strCache>
                <c:ptCount val="1"/>
                <c:pt idx="0">
                  <c:v>Target: Public infrastructure/cloud</c:v>
                </c:pt>
              </c:strCache>
            </c:strRef>
          </c:tx>
          <c:spPr>
            <a:ln w="28575" cap="rnd">
              <a:solidFill>
                <a:schemeClr val="accent5"/>
              </a:solidFill>
              <a:round/>
            </a:ln>
            <a:effectLst/>
          </c:spPr>
          <c:marker>
            <c:symbol val="none"/>
          </c:marker>
          <c:cat>
            <c:strRef>
              <c:f>Graphs!$B$44:$CU$44</c:f>
              <c:strCache>
                <c:ptCount val="98"/>
                <c:pt idx="0">
                  <c:v>Apr-11</c:v>
                </c:pt>
                <c:pt idx="1">
                  <c:v>May-11</c:v>
                </c:pt>
                <c:pt idx="2">
                  <c:v>Jun-11</c:v>
                </c:pt>
                <c:pt idx="3">
                  <c:v>Jul-11</c:v>
                </c:pt>
                <c:pt idx="4">
                  <c:v>Aug-11</c:v>
                </c:pt>
                <c:pt idx="5">
                  <c:v>Sep-11</c:v>
                </c:pt>
                <c:pt idx="6">
                  <c:v>Oct-11</c:v>
                </c:pt>
                <c:pt idx="7">
                  <c:v>Nov-11</c:v>
                </c:pt>
                <c:pt idx="8">
                  <c:v>Dec-11</c:v>
                </c:pt>
                <c:pt idx="9">
                  <c:v>Jan-12</c:v>
                </c:pt>
                <c:pt idx="10">
                  <c:v>Feb-12</c:v>
                </c:pt>
                <c:pt idx="11">
                  <c:v>Mar-12</c:v>
                </c:pt>
                <c:pt idx="12">
                  <c:v>Apr-12</c:v>
                </c:pt>
                <c:pt idx="13">
                  <c:v>May-12</c:v>
                </c:pt>
                <c:pt idx="14">
                  <c:v>Jun-12</c:v>
                </c:pt>
                <c:pt idx="15">
                  <c:v>Jul-12</c:v>
                </c:pt>
                <c:pt idx="16">
                  <c:v>Aug-12</c:v>
                </c:pt>
                <c:pt idx="17">
                  <c:v>Sep-12</c:v>
                </c:pt>
                <c:pt idx="18">
                  <c:v>Oct-12</c:v>
                </c:pt>
                <c:pt idx="19">
                  <c:v>Nov-12</c:v>
                </c:pt>
                <c:pt idx="20">
                  <c:v>Dec-12</c:v>
                </c:pt>
                <c:pt idx="21">
                  <c:v>Jan-13</c:v>
                </c:pt>
                <c:pt idx="22">
                  <c:v>Feb-13</c:v>
                </c:pt>
                <c:pt idx="23">
                  <c:v>Mar-13</c:v>
                </c:pt>
                <c:pt idx="24">
                  <c:v>Apr-13</c:v>
                </c:pt>
                <c:pt idx="25">
                  <c:v>May-13</c:v>
                </c:pt>
                <c:pt idx="26">
                  <c:v>Jun-13</c:v>
                </c:pt>
                <c:pt idx="27">
                  <c:v>Jul-13</c:v>
                </c:pt>
                <c:pt idx="28">
                  <c:v>Aug-13</c:v>
                </c:pt>
                <c:pt idx="29">
                  <c:v>Sep-13</c:v>
                </c:pt>
                <c:pt idx="30">
                  <c:v>Oct-13</c:v>
                </c:pt>
                <c:pt idx="31">
                  <c:v>Nov-13</c:v>
                </c:pt>
                <c:pt idx="32">
                  <c:v>Dec-13</c:v>
                </c:pt>
                <c:pt idx="33">
                  <c:v>Jan-14</c:v>
                </c:pt>
                <c:pt idx="34">
                  <c:v>Feb-14</c:v>
                </c:pt>
                <c:pt idx="35">
                  <c:v>Mar-14</c:v>
                </c:pt>
                <c:pt idx="36">
                  <c:v>Apr-14</c:v>
                </c:pt>
                <c:pt idx="37">
                  <c:v>May-14</c:v>
                </c:pt>
                <c:pt idx="38">
                  <c:v>Jun-14</c:v>
                </c:pt>
                <c:pt idx="39">
                  <c:v>Jul-14</c:v>
                </c:pt>
                <c:pt idx="40">
                  <c:v>Aug-14</c:v>
                </c:pt>
                <c:pt idx="41">
                  <c:v>Sep-14</c:v>
                </c:pt>
                <c:pt idx="42">
                  <c:v>Oct-14</c:v>
                </c:pt>
                <c:pt idx="43">
                  <c:v>Nov-14</c:v>
                </c:pt>
                <c:pt idx="44">
                  <c:v>12/31/14</c:v>
                </c:pt>
                <c:pt idx="45">
                  <c:v>01/31/15</c:v>
                </c:pt>
                <c:pt idx="46">
                  <c:v>02/28/15</c:v>
                </c:pt>
                <c:pt idx="47">
                  <c:v>03/31/15</c:v>
                </c:pt>
                <c:pt idx="48">
                  <c:v>04/30/15</c:v>
                </c:pt>
                <c:pt idx="49">
                  <c:v>05/31/15</c:v>
                </c:pt>
                <c:pt idx="50">
                  <c:v>06/30/15</c:v>
                </c:pt>
                <c:pt idx="51">
                  <c:v>07/31/15</c:v>
                </c:pt>
                <c:pt idx="52">
                  <c:v>08/31/15</c:v>
                </c:pt>
                <c:pt idx="53">
                  <c:v>09/30/15</c:v>
                </c:pt>
                <c:pt idx="54">
                  <c:v>10/31/15</c:v>
                </c:pt>
                <c:pt idx="55">
                  <c:v>11/30/15</c:v>
                </c:pt>
                <c:pt idx="56">
                  <c:v>12/31/15</c:v>
                </c:pt>
                <c:pt idx="57">
                  <c:v>01/31/16</c:v>
                </c:pt>
                <c:pt idx="58">
                  <c:v>02/29/16</c:v>
                </c:pt>
                <c:pt idx="59">
                  <c:v>03/31/16</c:v>
                </c:pt>
                <c:pt idx="60">
                  <c:v>04/30/16</c:v>
                </c:pt>
                <c:pt idx="61">
                  <c:v>05/31/16</c:v>
                </c:pt>
                <c:pt idx="62">
                  <c:v>06/30/16</c:v>
                </c:pt>
                <c:pt idx="63">
                  <c:v>07/31/16</c:v>
                </c:pt>
                <c:pt idx="64">
                  <c:v>08/31/16</c:v>
                </c:pt>
                <c:pt idx="65">
                  <c:v>09/30/16</c:v>
                </c:pt>
                <c:pt idx="66">
                  <c:v>10/31/16</c:v>
                </c:pt>
                <c:pt idx="67">
                  <c:v>11/30/16</c:v>
                </c:pt>
                <c:pt idx="68">
                  <c:v>12/31/16</c:v>
                </c:pt>
                <c:pt idx="69">
                  <c:v>01/31/17</c:v>
                </c:pt>
                <c:pt idx="70">
                  <c:v>02/28/17</c:v>
                </c:pt>
                <c:pt idx="71">
                  <c:v>03/31/17</c:v>
                </c:pt>
                <c:pt idx="72">
                  <c:v>04/30/17</c:v>
                </c:pt>
                <c:pt idx="73">
                  <c:v>05/31/17</c:v>
                </c:pt>
                <c:pt idx="74">
                  <c:v>06/30/17</c:v>
                </c:pt>
                <c:pt idx="75">
                  <c:v>07/31/17</c:v>
                </c:pt>
                <c:pt idx="76">
                  <c:v>08/31/17</c:v>
                </c:pt>
                <c:pt idx="77">
                  <c:v>09/30/17</c:v>
                </c:pt>
                <c:pt idx="78">
                  <c:v>10/31/17</c:v>
                </c:pt>
                <c:pt idx="79">
                  <c:v>11/30/17</c:v>
                </c:pt>
                <c:pt idx="80">
                  <c:v>12/31/17</c:v>
                </c:pt>
                <c:pt idx="81">
                  <c:v>01/31/18</c:v>
                </c:pt>
                <c:pt idx="82">
                  <c:v>02/28/18</c:v>
                </c:pt>
                <c:pt idx="83">
                  <c:v>03/31/18</c:v>
                </c:pt>
                <c:pt idx="84">
                  <c:v>04/30/18</c:v>
                </c:pt>
                <c:pt idx="85">
                  <c:v>05/31/18</c:v>
                </c:pt>
                <c:pt idx="86">
                  <c:v>06/30/18</c:v>
                </c:pt>
                <c:pt idx="87">
                  <c:v>07/31/18</c:v>
                </c:pt>
                <c:pt idx="88">
                  <c:v>08/31/18</c:v>
                </c:pt>
                <c:pt idx="89">
                  <c:v>09/30/18</c:v>
                </c:pt>
                <c:pt idx="90">
                  <c:v>10/31/18</c:v>
                </c:pt>
                <c:pt idx="91">
                  <c:v>11/30/18</c:v>
                </c:pt>
                <c:pt idx="92">
                  <c:v>12/31/18</c:v>
                </c:pt>
                <c:pt idx="93">
                  <c:v>01/31/19</c:v>
                </c:pt>
                <c:pt idx="94">
                  <c:v>02/28/19</c:v>
                </c:pt>
                <c:pt idx="95">
                  <c:v>03/31/19</c:v>
                </c:pt>
                <c:pt idx="96">
                  <c:v>04/30/19</c:v>
                </c:pt>
                <c:pt idx="97">
                  <c:v>05/31/19</c:v>
                </c:pt>
              </c:strCache>
            </c:strRef>
          </c:cat>
          <c:val>
            <c:numRef>
              <c:f>Graphs!$B$49:$CU$49</c:f>
              <c:numCache>
                <c:formatCode>General</c:formatCode>
                <c:ptCount val="98"/>
                <c:pt idx="0">
                  <c:v>1000</c:v>
                </c:pt>
                <c:pt idx="1">
                  <c:v>1000</c:v>
                </c:pt>
                <c:pt idx="2">
                  <c:v>1000</c:v>
                </c:pt>
                <c:pt idx="3">
                  <c:v>1000</c:v>
                </c:pt>
                <c:pt idx="4">
                  <c:v>1000</c:v>
                </c:pt>
                <c:pt idx="5">
                  <c:v>1000</c:v>
                </c:pt>
                <c:pt idx="6">
                  <c:v>1000</c:v>
                </c:pt>
                <c:pt idx="7">
                  <c:v>1000</c:v>
                </c:pt>
                <c:pt idx="8">
                  <c:v>1000</c:v>
                </c:pt>
                <c:pt idx="9">
                  <c:v>1000</c:v>
                </c:pt>
                <c:pt idx="10">
                  <c:v>1000</c:v>
                </c:pt>
                <c:pt idx="11">
                  <c:v>1000</c:v>
                </c:pt>
                <c:pt idx="12">
                  <c:v>1000</c:v>
                </c:pt>
                <c:pt idx="13">
                  <c:v>1029.3003610727915</c:v>
                </c:pt>
                <c:pt idx="14">
                  <c:v>1051.1103191546267</c:v>
                </c:pt>
                <c:pt idx="15">
                  <c:v>1073.1537779409803</c:v>
                </c:pt>
                <c:pt idx="16">
                  <c:v>1093.465236139217</c:v>
                </c:pt>
                <c:pt idx="17">
                  <c:v>1112.6483490281028</c:v>
                </c:pt>
                <c:pt idx="18">
                  <c:v>1147.9675989745058</c:v>
                </c:pt>
                <c:pt idx="19">
                  <c:v>1172.7451003187937</c:v>
                </c:pt>
                <c:pt idx="20">
                  <c:v>1202.9428974679149</c:v>
                </c:pt>
                <c:pt idx="21">
                  <c:v>1216.018235706033</c:v>
                </c:pt>
                <c:pt idx="22">
                  <c:v>1248.9533965426576</c:v>
                </c:pt>
                <c:pt idx="23">
                  <c:v>1279.116434713728</c:v>
                </c:pt>
                <c:pt idx="24">
                  <c:v>1306.9037398882863</c:v>
                </c:pt>
                <c:pt idx="25">
                  <c:v>1333.1689021360012</c:v>
                </c:pt>
                <c:pt idx="26">
                  <c:v>1357.1893193910901</c:v>
                </c:pt>
                <c:pt idx="27">
                  <c:v>1389.5602259548264</c:v>
                </c:pt>
                <c:pt idx="28">
                  <c:v>1434.1768866132627</c:v>
                </c:pt>
                <c:pt idx="29">
                  <c:v>1466.717607293027</c:v>
                </c:pt>
                <c:pt idx="30">
                  <c:v>1482.5169268705997</c:v>
                </c:pt>
                <c:pt idx="31">
                  <c:v>1499.9142447079003</c:v>
                </c:pt>
                <c:pt idx="32">
                  <c:v>1528.0580484849388</c:v>
                </c:pt>
                <c:pt idx="33">
                  <c:v>1553.7390968971617</c:v>
                </c:pt>
                <c:pt idx="34">
                  <c:v>1592.1462538307508</c:v>
                </c:pt>
                <c:pt idx="35">
                  <c:v>1615.6172754140803</c:v>
                </c:pt>
                <c:pt idx="36">
                  <c:v>1687.6242128846388</c:v>
                </c:pt>
                <c:pt idx="37">
                  <c:v>1727.3996810742901</c:v>
                </c:pt>
                <c:pt idx="38">
                  <c:v>1755.0035185243873</c:v>
                </c:pt>
                <c:pt idx="39">
                  <c:v>1760.024984398314</c:v>
                </c:pt>
                <c:pt idx="40">
                  <c:v>1793.8705855819039</c:v>
                </c:pt>
                <c:pt idx="41">
                  <c:v>1849.1623754555787</c:v>
                </c:pt>
                <c:pt idx="42">
                  <c:v>1880.7009088953459</c:v>
                </c:pt>
                <c:pt idx="43">
                  <c:v>1918.1887345103837</c:v>
                </c:pt>
                <c:pt idx="44">
                  <c:v>1928.3110790744345</c:v>
                </c:pt>
                <c:pt idx="45">
                  <c:v>1928.3110790744345</c:v>
                </c:pt>
                <c:pt idx="46">
                  <c:v>1928.3110790744345</c:v>
                </c:pt>
                <c:pt idx="47">
                  <c:v>1937.9767785817091</c:v>
                </c:pt>
                <c:pt idx="48">
                  <c:v>1937.9767785817091</c:v>
                </c:pt>
                <c:pt idx="49">
                  <c:v>1947.4534188080686</c:v>
                </c:pt>
                <c:pt idx="50">
                  <c:v>1956.976399481317</c:v>
                </c:pt>
                <c:pt idx="51">
                  <c:v>1967.5832917393345</c:v>
                </c:pt>
                <c:pt idx="52">
                  <c:v>1979.1914191817186</c:v>
                </c:pt>
                <c:pt idx="53">
                  <c:v>1990.2175267834175</c:v>
                </c:pt>
                <c:pt idx="54">
                  <c:v>2000.7199696354014</c:v>
                </c:pt>
                <c:pt idx="55">
                  <c:v>2000.7199696354014</c:v>
                </c:pt>
                <c:pt idx="56">
                  <c:v>2000.7199696354014</c:v>
                </c:pt>
                <c:pt idx="57">
                  <c:v>2000.7199696354014</c:v>
                </c:pt>
                <c:pt idx="58">
                  <c:v>2000.7199696354014</c:v>
                </c:pt>
                <c:pt idx="59">
                  <c:v>2012.8823637206042</c:v>
                </c:pt>
                <c:pt idx="60">
                  <c:v>2024.4174747281318</c:v>
                </c:pt>
                <c:pt idx="61">
                  <c:v>2037.5204548583588</c:v>
                </c:pt>
                <c:pt idx="62">
                  <c:v>2037.5204548583588</c:v>
                </c:pt>
                <c:pt idx="63">
                  <c:v>2051.6208863543347</c:v>
                </c:pt>
                <c:pt idx="64">
                  <c:v>2064.0927075546906</c:v>
                </c:pt>
                <c:pt idx="65">
                  <c:v>2076.6403450645257</c:v>
                </c:pt>
                <c:pt idx="66">
                  <c:v>2102.761265012246</c:v>
                </c:pt>
                <c:pt idx="67">
                  <c:v>2115.1669003150305</c:v>
                </c:pt>
                <c:pt idx="68">
                  <c:v>2129.3151213197002</c:v>
                </c:pt>
                <c:pt idx="69">
                  <c:v>2129.3151213197002</c:v>
                </c:pt>
                <c:pt idx="70">
                  <c:v>2129.3151213197002</c:v>
                </c:pt>
                <c:pt idx="71">
                  <c:v>2101.1126870763292</c:v>
                </c:pt>
                <c:pt idx="72">
                  <c:v>2101.1126870763292</c:v>
                </c:pt>
                <c:pt idx="73">
                  <c:v>2101.1126870763292</c:v>
                </c:pt>
                <c:pt idx="74">
                  <c:v>2101.1126870763292</c:v>
                </c:pt>
                <c:pt idx="75">
                  <c:v>2101.1126870763292</c:v>
                </c:pt>
                <c:pt idx="76">
                  <c:v>2101.1126870763292</c:v>
                </c:pt>
                <c:pt idx="77">
                  <c:v>2101.1126870763292</c:v>
                </c:pt>
                <c:pt idx="78">
                  <c:v>2101.1126870763292</c:v>
                </c:pt>
                <c:pt idx="79">
                  <c:v>2101.1126870763292</c:v>
                </c:pt>
                <c:pt idx="80">
                  <c:v>2101.1126870763292</c:v>
                </c:pt>
                <c:pt idx="81">
                  <c:v>2116.174362501426</c:v>
                </c:pt>
                <c:pt idx="82">
                  <c:v>2099.3125049613859</c:v>
                </c:pt>
                <c:pt idx="83">
                  <c:v>2099.3125049613859</c:v>
                </c:pt>
                <c:pt idx="84">
                  <c:v>2118.4841760206382</c:v>
                </c:pt>
                <c:pt idx="85">
                  <c:v>2133.1449078567584</c:v>
                </c:pt>
                <c:pt idx="86">
                  <c:v>2133.1449078567584</c:v>
                </c:pt>
                <c:pt idx="87">
                  <c:v>2133.1449078567584</c:v>
                </c:pt>
                <c:pt idx="88">
                  <c:v>2133.1449078567584</c:v>
                </c:pt>
                <c:pt idx="89">
                  <c:v>2151.7748764846756</c:v>
                </c:pt>
                <c:pt idx="90">
                  <c:v>2151.7748764846756</c:v>
                </c:pt>
                <c:pt idx="91">
                  <c:v>2169.7812561672599</c:v>
                </c:pt>
                <c:pt idx="92">
                  <c:v>2188.7311908777215</c:v>
                </c:pt>
                <c:pt idx="93">
                  <c:v>2206.3112669487218</c:v>
                </c:pt>
                <c:pt idx="94">
                  <c:v>2206.3112669487218</c:v>
                </c:pt>
                <c:pt idx="95">
                  <c:v>2222.1270508397588</c:v>
                </c:pt>
                <c:pt idx="96">
                  <c:v>2246.9550291863311</c:v>
                </c:pt>
                <c:pt idx="97">
                  <c:v>2246.9550291863311</c:v>
                </c:pt>
              </c:numCache>
            </c:numRef>
          </c:val>
          <c:smooth val="0"/>
          <c:extLst>
            <c:ext xmlns:c16="http://schemas.microsoft.com/office/drawing/2014/chart" uri="{C3380CC4-5D6E-409C-BE32-E72D297353CC}">
              <c16:uniqueId val="{00000004-7E4B-3D49-BD87-5802764BAE94}"/>
            </c:ext>
          </c:extLst>
        </c:ser>
        <c:ser>
          <c:idx val="5"/>
          <c:order val="5"/>
          <c:tx>
            <c:strRef>
              <c:f>Graphs!$A$50</c:f>
              <c:strCache>
                <c:ptCount val="1"/>
                <c:pt idx="0">
                  <c:v>Target: Counterparties</c:v>
                </c:pt>
              </c:strCache>
            </c:strRef>
          </c:tx>
          <c:spPr>
            <a:ln w="28575" cap="rnd">
              <a:solidFill>
                <a:schemeClr val="accent6"/>
              </a:solidFill>
              <a:round/>
            </a:ln>
            <a:effectLst/>
          </c:spPr>
          <c:marker>
            <c:symbol val="none"/>
          </c:marker>
          <c:cat>
            <c:strRef>
              <c:f>Graphs!$B$44:$CU$44</c:f>
              <c:strCache>
                <c:ptCount val="98"/>
                <c:pt idx="0">
                  <c:v>Apr-11</c:v>
                </c:pt>
                <c:pt idx="1">
                  <c:v>May-11</c:v>
                </c:pt>
                <c:pt idx="2">
                  <c:v>Jun-11</c:v>
                </c:pt>
                <c:pt idx="3">
                  <c:v>Jul-11</c:v>
                </c:pt>
                <c:pt idx="4">
                  <c:v>Aug-11</c:v>
                </c:pt>
                <c:pt idx="5">
                  <c:v>Sep-11</c:v>
                </c:pt>
                <c:pt idx="6">
                  <c:v>Oct-11</c:v>
                </c:pt>
                <c:pt idx="7">
                  <c:v>Nov-11</c:v>
                </c:pt>
                <c:pt idx="8">
                  <c:v>Dec-11</c:v>
                </c:pt>
                <c:pt idx="9">
                  <c:v>Jan-12</c:v>
                </c:pt>
                <c:pt idx="10">
                  <c:v>Feb-12</c:v>
                </c:pt>
                <c:pt idx="11">
                  <c:v>Mar-12</c:v>
                </c:pt>
                <c:pt idx="12">
                  <c:v>Apr-12</c:v>
                </c:pt>
                <c:pt idx="13">
                  <c:v>May-12</c:v>
                </c:pt>
                <c:pt idx="14">
                  <c:v>Jun-12</c:v>
                </c:pt>
                <c:pt idx="15">
                  <c:v>Jul-12</c:v>
                </c:pt>
                <c:pt idx="16">
                  <c:v>Aug-12</c:v>
                </c:pt>
                <c:pt idx="17">
                  <c:v>Sep-12</c:v>
                </c:pt>
                <c:pt idx="18">
                  <c:v>Oct-12</c:v>
                </c:pt>
                <c:pt idx="19">
                  <c:v>Nov-12</c:v>
                </c:pt>
                <c:pt idx="20">
                  <c:v>Dec-12</c:v>
                </c:pt>
                <c:pt idx="21">
                  <c:v>Jan-13</c:v>
                </c:pt>
                <c:pt idx="22">
                  <c:v>Feb-13</c:v>
                </c:pt>
                <c:pt idx="23">
                  <c:v>Mar-13</c:v>
                </c:pt>
                <c:pt idx="24">
                  <c:v>Apr-13</c:v>
                </c:pt>
                <c:pt idx="25">
                  <c:v>May-13</c:v>
                </c:pt>
                <c:pt idx="26">
                  <c:v>Jun-13</c:v>
                </c:pt>
                <c:pt idx="27">
                  <c:v>Jul-13</c:v>
                </c:pt>
                <c:pt idx="28">
                  <c:v>Aug-13</c:v>
                </c:pt>
                <c:pt idx="29">
                  <c:v>Sep-13</c:v>
                </c:pt>
                <c:pt idx="30">
                  <c:v>Oct-13</c:v>
                </c:pt>
                <c:pt idx="31">
                  <c:v>Nov-13</c:v>
                </c:pt>
                <c:pt idx="32">
                  <c:v>Dec-13</c:v>
                </c:pt>
                <c:pt idx="33">
                  <c:v>Jan-14</c:v>
                </c:pt>
                <c:pt idx="34">
                  <c:v>Feb-14</c:v>
                </c:pt>
                <c:pt idx="35">
                  <c:v>Mar-14</c:v>
                </c:pt>
                <c:pt idx="36">
                  <c:v>Apr-14</c:v>
                </c:pt>
                <c:pt idx="37">
                  <c:v>May-14</c:v>
                </c:pt>
                <c:pt idx="38">
                  <c:v>Jun-14</c:v>
                </c:pt>
                <c:pt idx="39">
                  <c:v>Jul-14</c:v>
                </c:pt>
                <c:pt idx="40">
                  <c:v>Aug-14</c:v>
                </c:pt>
                <c:pt idx="41">
                  <c:v>Sep-14</c:v>
                </c:pt>
                <c:pt idx="42">
                  <c:v>Oct-14</c:v>
                </c:pt>
                <c:pt idx="43">
                  <c:v>Nov-14</c:v>
                </c:pt>
                <c:pt idx="44">
                  <c:v>12/31/14</c:v>
                </c:pt>
                <c:pt idx="45">
                  <c:v>01/31/15</c:v>
                </c:pt>
                <c:pt idx="46">
                  <c:v>02/28/15</c:v>
                </c:pt>
                <c:pt idx="47">
                  <c:v>03/31/15</c:v>
                </c:pt>
                <c:pt idx="48">
                  <c:v>04/30/15</c:v>
                </c:pt>
                <c:pt idx="49">
                  <c:v>05/31/15</c:v>
                </c:pt>
                <c:pt idx="50">
                  <c:v>06/30/15</c:v>
                </c:pt>
                <c:pt idx="51">
                  <c:v>07/31/15</c:v>
                </c:pt>
                <c:pt idx="52">
                  <c:v>08/31/15</c:v>
                </c:pt>
                <c:pt idx="53">
                  <c:v>09/30/15</c:v>
                </c:pt>
                <c:pt idx="54">
                  <c:v>10/31/15</c:v>
                </c:pt>
                <c:pt idx="55">
                  <c:v>11/30/15</c:v>
                </c:pt>
                <c:pt idx="56">
                  <c:v>12/31/15</c:v>
                </c:pt>
                <c:pt idx="57">
                  <c:v>01/31/16</c:v>
                </c:pt>
                <c:pt idx="58">
                  <c:v>02/29/16</c:v>
                </c:pt>
                <c:pt idx="59">
                  <c:v>03/31/16</c:v>
                </c:pt>
                <c:pt idx="60">
                  <c:v>04/30/16</c:v>
                </c:pt>
                <c:pt idx="61">
                  <c:v>05/31/16</c:v>
                </c:pt>
                <c:pt idx="62">
                  <c:v>06/30/16</c:v>
                </c:pt>
                <c:pt idx="63">
                  <c:v>07/31/16</c:v>
                </c:pt>
                <c:pt idx="64">
                  <c:v>08/31/16</c:v>
                </c:pt>
                <c:pt idx="65">
                  <c:v>09/30/16</c:v>
                </c:pt>
                <c:pt idx="66">
                  <c:v>10/31/16</c:v>
                </c:pt>
                <c:pt idx="67">
                  <c:v>11/30/16</c:v>
                </c:pt>
                <c:pt idx="68">
                  <c:v>12/31/16</c:v>
                </c:pt>
                <c:pt idx="69">
                  <c:v>01/31/17</c:v>
                </c:pt>
                <c:pt idx="70">
                  <c:v>02/28/17</c:v>
                </c:pt>
                <c:pt idx="71">
                  <c:v>03/31/17</c:v>
                </c:pt>
                <c:pt idx="72">
                  <c:v>04/30/17</c:v>
                </c:pt>
                <c:pt idx="73">
                  <c:v>05/31/17</c:v>
                </c:pt>
                <c:pt idx="74">
                  <c:v>06/30/17</c:v>
                </c:pt>
                <c:pt idx="75">
                  <c:v>07/31/17</c:v>
                </c:pt>
                <c:pt idx="76">
                  <c:v>08/31/17</c:v>
                </c:pt>
                <c:pt idx="77">
                  <c:v>09/30/17</c:v>
                </c:pt>
                <c:pt idx="78">
                  <c:v>10/31/17</c:v>
                </c:pt>
                <c:pt idx="79">
                  <c:v>11/30/17</c:v>
                </c:pt>
                <c:pt idx="80">
                  <c:v>12/31/17</c:v>
                </c:pt>
                <c:pt idx="81">
                  <c:v>01/31/18</c:v>
                </c:pt>
                <c:pt idx="82">
                  <c:v>02/28/18</c:v>
                </c:pt>
                <c:pt idx="83">
                  <c:v>03/31/18</c:v>
                </c:pt>
                <c:pt idx="84">
                  <c:v>04/30/18</c:v>
                </c:pt>
                <c:pt idx="85">
                  <c:v>05/31/18</c:v>
                </c:pt>
                <c:pt idx="86">
                  <c:v>06/30/18</c:v>
                </c:pt>
                <c:pt idx="87">
                  <c:v>07/31/18</c:v>
                </c:pt>
                <c:pt idx="88">
                  <c:v>08/31/18</c:v>
                </c:pt>
                <c:pt idx="89">
                  <c:v>09/30/18</c:v>
                </c:pt>
                <c:pt idx="90">
                  <c:v>10/31/18</c:v>
                </c:pt>
                <c:pt idx="91">
                  <c:v>11/30/18</c:v>
                </c:pt>
                <c:pt idx="92">
                  <c:v>12/31/18</c:v>
                </c:pt>
                <c:pt idx="93">
                  <c:v>01/31/19</c:v>
                </c:pt>
                <c:pt idx="94">
                  <c:v>02/28/19</c:v>
                </c:pt>
                <c:pt idx="95">
                  <c:v>03/31/19</c:v>
                </c:pt>
                <c:pt idx="96">
                  <c:v>04/30/19</c:v>
                </c:pt>
                <c:pt idx="97">
                  <c:v>05/31/19</c:v>
                </c:pt>
              </c:strCache>
            </c:strRef>
          </c:cat>
          <c:val>
            <c:numRef>
              <c:f>Graphs!$B$50:$CU$50</c:f>
              <c:numCache>
                <c:formatCode>General</c:formatCode>
                <c:ptCount val="98"/>
                <c:pt idx="0">
                  <c:v>1039.4922724379753</c:v>
                </c:pt>
                <c:pt idx="1">
                  <c:v>1079.5988502931452</c:v>
                </c:pt>
                <c:pt idx="2">
                  <c:v>1125.9588590213673</c:v>
                </c:pt>
                <c:pt idx="3">
                  <c:v>1164.7812449994578</c:v>
                </c:pt>
                <c:pt idx="4">
                  <c:v>1205.578489914775</c:v>
                </c:pt>
                <c:pt idx="5">
                  <c:v>1244.5545916308945</c:v>
                </c:pt>
                <c:pt idx="6">
                  <c:v>1279.8754682985934</c:v>
                </c:pt>
                <c:pt idx="7">
                  <c:v>1315.2081284137432</c:v>
                </c:pt>
                <c:pt idx="8">
                  <c:v>1351.0985504099492</c:v>
                </c:pt>
                <c:pt idx="9">
                  <c:v>1391.5610844677647</c:v>
                </c:pt>
                <c:pt idx="10">
                  <c:v>1433.5696300506459</c:v>
                </c:pt>
                <c:pt idx="11">
                  <c:v>1463.8598345496052</c:v>
                </c:pt>
                <c:pt idx="12">
                  <c:v>1519.7968422756157</c:v>
                </c:pt>
                <c:pt idx="13">
                  <c:v>1563.5311786916795</c:v>
                </c:pt>
                <c:pt idx="14">
                  <c:v>1623.2768275291885</c:v>
                </c:pt>
                <c:pt idx="15">
                  <c:v>1680.9388888061176</c:v>
                </c:pt>
                <c:pt idx="16">
                  <c:v>1728.4708485737551</c:v>
                </c:pt>
                <c:pt idx="17">
                  <c:v>1800.3804157289528</c:v>
                </c:pt>
                <c:pt idx="18">
                  <c:v>1865.2864826721329</c:v>
                </c:pt>
                <c:pt idx="19">
                  <c:v>1910.5152778316187</c:v>
                </c:pt>
                <c:pt idx="20">
                  <c:v>1968.8659762080408</c:v>
                </c:pt>
                <c:pt idx="21">
                  <c:v>2020.0725085336039</c:v>
                </c:pt>
                <c:pt idx="22">
                  <c:v>2073.8909098956442</c:v>
                </c:pt>
                <c:pt idx="23">
                  <c:v>2135.2701576097024</c:v>
                </c:pt>
                <c:pt idx="24">
                  <c:v>2178.7876860380843</c:v>
                </c:pt>
                <c:pt idx="25">
                  <c:v>2223.7095682815784</c:v>
                </c:pt>
                <c:pt idx="26">
                  <c:v>2270.7158754391498</c:v>
                </c:pt>
                <c:pt idx="27">
                  <c:v>2314.9332644978617</c:v>
                </c:pt>
                <c:pt idx="28">
                  <c:v>2369.0619313554976</c:v>
                </c:pt>
                <c:pt idx="29">
                  <c:v>2410.4218159369966</c:v>
                </c:pt>
                <c:pt idx="30">
                  <c:v>2479.0191651823143</c:v>
                </c:pt>
                <c:pt idx="31">
                  <c:v>2510.8987626362486</c:v>
                </c:pt>
                <c:pt idx="32">
                  <c:v>2589.3580622649747</c:v>
                </c:pt>
                <c:pt idx="33">
                  <c:v>2657.6749437113986</c:v>
                </c:pt>
                <c:pt idx="34">
                  <c:v>2744.0320873510714</c:v>
                </c:pt>
                <c:pt idx="35">
                  <c:v>2813.4975903652639</c:v>
                </c:pt>
                <c:pt idx="36">
                  <c:v>2933.7717109143919</c:v>
                </c:pt>
                <c:pt idx="37">
                  <c:v>2984.2078152536642</c:v>
                </c:pt>
                <c:pt idx="38">
                  <c:v>3043.0080557603283</c:v>
                </c:pt>
                <c:pt idx="39">
                  <c:v>3093.4132398628772</c:v>
                </c:pt>
                <c:pt idx="40">
                  <c:v>3173.6118614341754</c:v>
                </c:pt>
                <c:pt idx="41">
                  <c:v>3312.5804261199164</c:v>
                </c:pt>
                <c:pt idx="42">
                  <c:v>3449.2908081993219</c:v>
                </c:pt>
                <c:pt idx="43">
                  <c:v>3538.9375033869401</c:v>
                </c:pt>
                <c:pt idx="44">
                  <c:v>3557.6125921075859</c:v>
                </c:pt>
                <c:pt idx="45">
                  <c:v>3557.6125921075859</c:v>
                </c:pt>
                <c:pt idx="46">
                  <c:v>3576.3862298809881</c:v>
                </c:pt>
                <c:pt idx="47">
                  <c:v>3576.3862298809881</c:v>
                </c:pt>
                <c:pt idx="48">
                  <c:v>3576.3862298809881</c:v>
                </c:pt>
                <c:pt idx="49">
                  <c:v>3611.4485605081095</c:v>
                </c:pt>
                <c:pt idx="50">
                  <c:v>3629.1084205653524</c:v>
                </c:pt>
                <c:pt idx="51">
                  <c:v>3648.7783368810542</c:v>
                </c:pt>
                <c:pt idx="52">
                  <c:v>3648.7783368810542</c:v>
                </c:pt>
                <c:pt idx="53">
                  <c:v>3648.7783368810542</c:v>
                </c:pt>
                <c:pt idx="54">
                  <c:v>3648.7783368810542</c:v>
                </c:pt>
                <c:pt idx="55">
                  <c:v>3675.9066758476574</c:v>
                </c:pt>
                <c:pt idx="56">
                  <c:v>3700.4945889975306</c:v>
                </c:pt>
                <c:pt idx="57">
                  <c:v>3722.3263523436012</c:v>
                </c:pt>
                <c:pt idx="58">
                  <c:v>3742.5015136684656</c:v>
                </c:pt>
                <c:pt idx="59">
                  <c:v>3765.2522128990026</c:v>
                </c:pt>
                <c:pt idx="60">
                  <c:v>3765.2522128990026</c:v>
                </c:pt>
                <c:pt idx="61">
                  <c:v>3789.6226925786123</c:v>
                </c:pt>
                <c:pt idx="62">
                  <c:v>3789.6226925786123</c:v>
                </c:pt>
                <c:pt idx="63">
                  <c:v>3842.2555008465247</c:v>
                </c:pt>
                <c:pt idx="64">
                  <c:v>3865.6126054321553</c:v>
                </c:pt>
                <c:pt idx="65">
                  <c:v>3936.5393052730274</c:v>
                </c:pt>
                <c:pt idx="66">
                  <c:v>3961.219721893076</c:v>
                </c:pt>
                <c:pt idx="67">
                  <c:v>4008.0975179093543</c:v>
                </c:pt>
                <c:pt idx="68">
                  <c:v>4034.9074351235481</c:v>
                </c:pt>
                <c:pt idx="69">
                  <c:v>4034.9074351235481</c:v>
                </c:pt>
                <c:pt idx="70">
                  <c:v>4008.9595670549529</c:v>
                </c:pt>
                <c:pt idx="71">
                  <c:v>3955.8615462678154</c:v>
                </c:pt>
                <c:pt idx="72">
                  <c:v>3955.8615462678154</c:v>
                </c:pt>
                <c:pt idx="73">
                  <c:v>3955.8615462678154</c:v>
                </c:pt>
                <c:pt idx="74">
                  <c:v>3982.3220602878368</c:v>
                </c:pt>
                <c:pt idx="75">
                  <c:v>4044.0622603885718</c:v>
                </c:pt>
                <c:pt idx="76">
                  <c:v>4044.0622603885718</c:v>
                </c:pt>
                <c:pt idx="77">
                  <c:v>3999.3769467401376</c:v>
                </c:pt>
                <c:pt idx="78">
                  <c:v>4028.0461932041308</c:v>
                </c:pt>
                <c:pt idx="79">
                  <c:v>4083.9903861171588</c:v>
                </c:pt>
                <c:pt idx="80">
                  <c:v>4083.9903861171588</c:v>
                </c:pt>
                <c:pt idx="81">
                  <c:v>4113.2661779455848</c:v>
                </c:pt>
                <c:pt idx="82">
                  <c:v>4113.2661779455848</c:v>
                </c:pt>
                <c:pt idx="83">
                  <c:v>4143.8479422603104</c:v>
                </c:pt>
                <c:pt idx="84">
                  <c:v>4181.6910406464822</c:v>
                </c:pt>
                <c:pt idx="85">
                  <c:v>4210.6299638928112</c:v>
                </c:pt>
                <c:pt idx="86">
                  <c:v>4210.6299638928112</c:v>
                </c:pt>
                <c:pt idx="87">
                  <c:v>4210.6299638928112</c:v>
                </c:pt>
                <c:pt idx="88">
                  <c:v>4275.9097510585189</c:v>
                </c:pt>
                <c:pt idx="89">
                  <c:v>4350.9238043144369</c:v>
                </c:pt>
                <c:pt idx="90">
                  <c:v>4399.5369751771386</c:v>
                </c:pt>
                <c:pt idx="91">
                  <c:v>4436.3529702277119</c:v>
                </c:pt>
                <c:pt idx="92">
                  <c:v>4475.0981658087985</c:v>
                </c:pt>
                <c:pt idx="93">
                  <c:v>4511.0425369165923</c:v>
                </c:pt>
                <c:pt idx="94">
                  <c:v>4468.2841615445604</c:v>
                </c:pt>
                <c:pt idx="95">
                  <c:v>4468.2841615445604</c:v>
                </c:pt>
                <c:pt idx="96">
                  <c:v>4568.6908632240766</c:v>
                </c:pt>
                <c:pt idx="97">
                  <c:v>4603.9701547168643</c:v>
                </c:pt>
              </c:numCache>
            </c:numRef>
          </c:val>
          <c:smooth val="0"/>
          <c:extLst>
            <c:ext xmlns:c16="http://schemas.microsoft.com/office/drawing/2014/chart" uri="{C3380CC4-5D6E-409C-BE32-E72D297353CC}">
              <c16:uniqueId val="{00000005-7E4B-3D49-BD87-5802764BAE94}"/>
            </c:ext>
          </c:extLst>
        </c:ser>
        <c:ser>
          <c:idx val="6"/>
          <c:order val="6"/>
          <c:tx>
            <c:strRef>
              <c:f>Graphs!$A$51</c:f>
              <c:strCache>
                <c:ptCount val="1"/>
                <c:pt idx="0">
                  <c:v>Target: Autonomous network connected devices</c:v>
                </c:pt>
              </c:strCache>
            </c:strRef>
          </c:tx>
          <c:spPr>
            <a:ln w="28575" cap="rnd">
              <a:solidFill>
                <a:schemeClr val="accent1">
                  <a:lumMod val="60000"/>
                </a:schemeClr>
              </a:solidFill>
              <a:round/>
            </a:ln>
            <a:effectLst/>
          </c:spPr>
          <c:marker>
            <c:symbol val="none"/>
          </c:marker>
          <c:cat>
            <c:strRef>
              <c:f>Graphs!$B$44:$CU$44</c:f>
              <c:strCache>
                <c:ptCount val="98"/>
                <c:pt idx="0">
                  <c:v>Apr-11</c:v>
                </c:pt>
                <c:pt idx="1">
                  <c:v>May-11</c:v>
                </c:pt>
                <c:pt idx="2">
                  <c:v>Jun-11</c:v>
                </c:pt>
                <c:pt idx="3">
                  <c:v>Jul-11</c:v>
                </c:pt>
                <c:pt idx="4">
                  <c:v>Aug-11</c:v>
                </c:pt>
                <c:pt idx="5">
                  <c:v>Sep-11</c:v>
                </c:pt>
                <c:pt idx="6">
                  <c:v>Oct-11</c:v>
                </c:pt>
                <c:pt idx="7">
                  <c:v>Nov-11</c:v>
                </c:pt>
                <c:pt idx="8">
                  <c:v>Dec-11</c:v>
                </c:pt>
                <c:pt idx="9">
                  <c:v>Jan-12</c:v>
                </c:pt>
                <c:pt idx="10">
                  <c:v>Feb-12</c:v>
                </c:pt>
                <c:pt idx="11">
                  <c:v>Mar-12</c:v>
                </c:pt>
                <c:pt idx="12">
                  <c:v>Apr-12</c:v>
                </c:pt>
                <c:pt idx="13">
                  <c:v>May-12</c:v>
                </c:pt>
                <c:pt idx="14">
                  <c:v>Jun-12</c:v>
                </c:pt>
                <c:pt idx="15">
                  <c:v>Jul-12</c:v>
                </c:pt>
                <c:pt idx="16">
                  <c:v>Aug-12</c:v>
                </c:pt>
                <c:pt idx="17">
                  <c:v>Sep-12</c:v>
                </c:pt>
                <c:pt idx="18">
                  <c:v>Oct-12</c:v>
                </c:pt>
                <c:pt idx="19">
                  <c:v>Nov-12</c:v>
                </c:pt>
                <c:pt idx="20">
                  <c:v>Dec-12</c:v>
                </c:pt>
                <c:pt idx="21">
                  <c:v>Jan-13</c:v>
                </c:pt>
                <c:pt idx="22">
                  <c:v>Feb-13</c:v>
                </c:pt>
                <c:pt idx="23">
                  <c:v>Mar-13</c:v>
                </c:pt>
                <c:pt idx="24">
                  <c:v>Apr-13</c:v>
                </c:pt>
                <c:pt idx="25">
                  <c:v>May-13</c:v>
                </c:pt>
                <c:pt idx="26">
                  <c:v>Jun-13</c:v>
                </c:pt>
                <c:pt idx="27">
                  <c:v>Jul-13</c:v>
                </c:pt>
                <c:pt idx="28">
                  <c:v>Aug-13</c:v>
                </c:pt>
                <c:pt idx="29">
                  <c:v>Sep-13</c:v>
                </c:pt>
                <c:pt idx="30">
                  <c:v>Oct-13</c:v>
                </c:pt>
                <c:pt idx="31">
                  <c:v>Nov-13</c:v>
                </c:pt>
                <c:pt idx="32">
                  <c:v>Dec-13</c:v>
                </c:pt>
                <c:pt idx="33">
                  <c:v>Jan-14</c:v>
                </c:pt>
                <c:pt idx="34">
                  <c:v>Feb-14</c:v>
                </c:pt>
                <c:pt idx="35">
                  <c:v>Mar-14</c:v>
                </c:pt>
                <c:pt idx="36">
                  <c:v>Apr-14</c:v>
                </c:pt>
                <c:pt idx="37">
                  <c:v>May-14</c:v>
                </c:pt>
                <c:pt idx="38">
                  <c:v>Jun-14</c:v>
                </c:pt>
                <c:pt idx="39">
                  <c:v>Jul-14</c:v>
                </c:pt>
                <c:pt idx="40">
                  <c:v>Aug-14</c:v>
                </c:pt>
                <c:pt idx="41">
                  <c:v>Sep-14</c:v>
                </c:pt>
                <c:pt idx="42">
                  <c:v>Oct-14</c:v>
                </c:pt>
                <c:pt idx="43">
                  <c:v>Nov-14</c:v>
                </c:pt>
                <c:pt idx="44">
                  <c:v>12/31/14</c:v>
                </c:pt>
                <c:pt idx="45">
                  <c:v>01/31/15</c:v>
                </c:pt>
                <c:pt idx="46">
                  <c:v>02/28/15</c:v>
                </c:pt>
                <c:pt idx="47">
                  <c:v>03/31/15</c:v>
                </c:pt>
                <c:pt idx="48">
                  <c:v>04/30/15</c:v>
                </c:pt>
                <c:pt idx="49">
                  <c:v>05/31/15</c:v>
                </c:pt>
                <c:pt idx="50">
                  <c:v>06/30/15</c:v>
                </c:pt>
                <c:pt idx="51">
                  <c:v>07/31/15</c:v>
                </c:pt>
                <c:pt idx="52">
                  <c:v>08/31/15</c:v>
                </c:pt>
                <c:pt idx="53">
                  <c:v>09/30/15</c:v>
                </c:pt>
                <c:pt idx="54">
                  <c:v>10/31/15</c:v>
                </c:pt>
                <c:pt idx="55">
                  <c:v>11/30/15</c:v>
                </c:pt>
                <c:pt idx="56">
                  <c:v>12/31/15</c:v>
                </c:pt>
                <c:pt idx="57">
                  <c:v>01/31/16</c:v>
                </c:pt>
                <c:pt idx="58">
                  <c:v>02/29/16</c:v>
                </c:pt>
                <c:pt idx="59">
                  <c:v>03/31/16</c:v>
                </c:pt>
                <c:pt idx="60">
                  <c:v>04/30/16</c:v>
                </c:pt>
                <c:pt idx="61">
                  <c:v>05/31/16</c:v>
                </c:pt>
                <c:pt idx="62">
                  <c:v>06/30/16</c:v>
                </c:pt>
                <c:pt idx="63">
                  <c:v>07/31/16</c:v>
                </c:pt>
                <c:pt idx="64">
                  <c:v>08/31/16</c:v>
                </c:pt>
                <c:pt idx="65">
                  <c:v>09/30/16</c:v>
                </c:pt>
                <c:pt idx="66">
                  <c:v>10/31/16</c:v>
                </c:pt>
                <c:pt idx="67">
                  <c:v>11/30/16</c:v>
                </c:pt>
                <c:pt idx="68">
                  <c:v>12/31/16</c:v>
                </c:pt>
                <c:pt idx="69">
                  <c:v>01/31/17</c:v>
                </c:pt>
                <c:pt idx="70">
                  <c:v>02/28/17</c:v>
                </c:pt>
                <c:pt idx="71">
                  <c:v>03/31/17</c:v>
                </c:pt>
                <c:pt idx="72">
                  <c:v>04/30/17</c:v>
                </c:pt>
                <c:pt idx="73">
                  <c:v>05/31/17</c:v>
                </c:pt>
                <c:pt idx="74">
                  <c:v>06/30/17</c:v>
                </c:pt>
                <c:pt idx="75">
                  <c:v>07/31/17</c:v>
                </c:pt>
                <c:pt idx="76">
                  <c:v>08/31/17</c:v>
                </c:pt>
                <c:pt idx="77">
                  <c:v>09/30/17</c:v>
                </c:pt>
                <c:pt idx="78">
                  <c:v>10/31/17</c:v>
                </c:pt>
                <c:pt idx="79">
                  <c:v>11/30/17</c:v>
                </c:pt>
                <c:pt idx="80">
                  <c:v>12/31/17</c:v>
                </c:pt>
                <c:pt idx="81">
                  <c:v>01/31/18</c:v>
                </c:pt>
                <c:pt idx="82">
                  <c:v>02/28/18</c:v>
                </c:pt>
                <c:pt idx="83">
                  <c:v>03/31/18</c:v>
                </c:pt>
                <c:pt idx="84">
                  <c:v>04/30/18</c:v>
                </c:pt>
                <c:pt idx="85">
                  <c:v>05/31/18</c:v>
                </c:pt>
                <c:pt idx="86">
                  <c:v>06/30/18</c:v>
                </c:pt>
                <c:pt idx="87">
                  <c:v>07/31/18</c:v>
                </c:pt>
                <c:pt idx="88">
                  <c:v>08/31/18</c:v>
                </c:pt>
                <c:pt idx="89">
                  <c:v>09/30/18</c:v>
                </c:pt>
                <c:pt idx="90">
                  <c:v>10/31/18</c:v>
                </c:pt>
                <c:pt idx="91">
                  <c:v>11/30/18</c:v>
                </c:pt>
                <c:pt idx="92">
                  <c:v>12/31/18</c:v>
                </c:pt>
                <c:pt idx="93">
                  <c:v>01/31/19</c:v>
                </c:pt>
                <c:pt idx="94">
                  <c:v>02/28/19</c:v>
                </c:pt>
                <c:pt idx="95">
                  <c:v>03/31/19</c:v>
                </c:pt>
                <c:pt idx="96">
                  <c:v>04/30/19</c:v>
                </c:pt>
                <c:pt idx="97">
                  <c:v>05/31/19</c:v>
                </c:pt>
              </c:strCache>
            </c:strRef>
          </c:cat>
          <c:val>
            <c:numRef>
              <c:f>Graphs!$B$51:$CU$51</c:f>
              <c:numCache>
                <c:formatCode>General</c:formatCode>
                <c:ptCount val="9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1000</c:v>
                </c:pt>
                <c:pt idx="26">
                  <c:v>1005.628023047493</c:v>
                </c:pt>
                <c:pt idx="27">
                  <c:v>1011.3909186280831</c:v>
                </c:pt>
                <c:pt idx="28">
                  <c:v>1014.2574001847328</c:v>
                </c:pt>
                <c:pt idx="29">
                  <c:v>1014.2574001847328</c:v>
                </c:pt>
                <c:pt idx="30">
                  <c:v>1017.3670269816038</c:v>
                </c:pt>
                <c:pt idx="31">
                  <c:v>1019.064052488332</c:v>
                </c:pt>
                <c:pt idx="32">
                  <c:v>1032.2130848033689</c:v>
                </c:pt>
                <c:pt idx="33">
                  <c:v>1036.5229452974168</c:v>
                </c:pt>
                <c:pt idx="34">
                  <c:v>1045.6019206014746</c:v>
                </c:pt>
                <c:pt idx="35">
                  <c:v>1060.3691586920945</c:v>
                </c:pt>
                <c:pt idx="36">
                  <c:v>1088.4774676484062</c:v>
                </c:pt>
                <c:pt idx="37">
                  <c:v>1101.5427743124544</c:v>
                </c:pt>
                <c:pt idx="38">
                  <c:v>1103.5596357104357</c:v>
                </c:pt>
                <c:pt idx="39">
                  <c:v>1101.1973969365174</c:v>
                </c:pt>
                <c:pt idx="40">
                  <c:v>1110.4123843645266</c:v>
                </c:pt>
                <c:pt idx="41">
                  <c:v>1131.0923471971896</c:v>
                </c:pt>
                <c:pt idx="42">
                  <c:v>1147.8489666371654</c:v>
                </c:pt>
                <c:pt idx="43">
                  <c:v>1159.2324999118175</c:v>
                </c:pt>
                <c:pt idx="44">
                  <c:v>1171.4993966260608</c:v>
                </c:pt>
                <c:pt idx="45">
                  <c:v>1171.4993966260608</c:v>
                </c:pt>
                <c:pt idx="46">
                  <c:v>1171.4993966260608</c:v>
                </c:pt>
                <c:pt idx="47">
                  <c:v>1171.4993966260608</c:v>
                </c:pt>
                <c:pt idx="48">
                  <c:v>1165.3498076526269</c:v>
                </c:pt>
                <c:pt idx="49">
                  <c:v>1165.3498076526269</c:v>
                </c:pt>
                <c:pt idx="50">
                  <c:v>1165.3498076526269</c:v>
                </c:pt>
                <c:pt idx="51">
                  <c:v>1165.3498076526269</c:v>
                </c:pt>
                <c:pt idx="52">
                  <c:v>1165.3498076526269</c:v>
                </c:pt>
                <c:pt idx="53">
                  <c:v>1165.3498076526269</c:v>
                </c:pt>
                <c:pt idx="54">
                  <c:v>1165.3498076526269</c:v>
                </c:pt>
                <c:pt idx="55">
                  <c:v>1174.0140787258019</c:v>
                </c:pt>
                <c:pt idx="56">
                  <c:v>1166.2133495232069</c:v>
                </c:pt>
                <c:pt idx="57">
                  <c:v>1166.2133495232069</c:v>
                </c:pt>
                <c:pt idx="58">
                  <c:v>1166.2133495232069</c:v>
                </c:pt>
                <c:pt idx="59">
                  <c:v>1173.3027706114117</c:v>
                </c:pt>
                <c:pt idx="60">
                  <c:v>1180.0265503753844</c:v>
                </c:pt>
                <c:pt idx="61">
                  <c:v>1180.0265503753844</c:v>
                </c:pt>
                <c:pt idx="62">
                  <c:v>1180.0265503753844</c:v>
                </c:pt>
                <c:pt idx="63">
                  <c:v>1180.0265503753844</c:v>
                </c:pt>
                <c:pt idx="64">
                  <c:v>1180.0265503753844</c:v>
                </c:pt>
                <c:pt idx="65">
                  <c:v>1187.1999420316306</c:v>
                </c:pt>
                <c:pt idx="66">
                  <c:v>1209.6699388682357</c:v>
                </c:pt>
                <c:pt idx="67">
                  <c:v>1202.5751209150492</c:v>
                </c:pt>
                <c:pt idx="68">
                  <c:v>1210.6190717649274</c:v>
                </c:pt>
                <c:pt idx="69">
                  <c:v>1226.3411778210502</c:v>
                </c:pt>
                <c:pt idx="70">
                  <c:v>1250.3080023531768</c:v>
                </c:pt>
                <c:pt idx="71">
                  <c:v>1225.5502451314032</c:v>
                </c:pt>
                <c:pt idx="72">
                  <c:v>1225.5502451314032</c:v>
                </c:pt>
                <c:pt idx="73">
                  <c:v>1225.5502451314032</c:v>
                </c:pt>
                <c:pt idx="74">
                  <c:v>1233.7478751708406</c:v>
                </c:pt>
                <c:pt idx="75">
                  <c:v>1233.7478751708406</c:v>
                </c:pt>
                <c:pt idx="76">
                  <c:v>1233.7478751708406</c:v>
                </c:pt>
                <c:pt idx="77">
                  <c:v>1233.7478751708406</c:v>
                </c:pt>
                <c:pt idx="78">
                  <c:v>1242.5919082236717</c:v>
                </c:pt>
                <c:pt idx="79">
                  <c:v>1234.0517913843973</c:v>
                </c:pt>
                <c:pt idx="80">
                  <c:v>1234.0517913843973</c:v>
                </c:pt>
                <c:pt idx="81">
                  <c:v>1234.0517913843973</c:v>
                </c:pt>
                <c:pt idx="82">
                  <c:v>1224.2187616151687</c:v>
                </c:pt>
                <c:pt idx="83">
                  <c:v>1233.3207180696568</c:v>
                </c:pt>
                <c:pt idx="84">
                  <c:v>1233.3207180696568</c:v>
                </c:pt>
                <c:pt idx="85">
                  <c:v>1241.8557755981556</c:v>
                </c:pt>
                <c:pt idx="86">
                  <c:v>1241.8557755981556</c:v>
                </c:pt>
                <c:pt idx="87">
                  <c:v>1241.8557755981556</c:v>
                </c:pt>
                <c:pt idx="88">
                  <c:v>1241.8557755981556</c:v>
                </c:pt>
                <c:pt idx="89">
                  <c:v>1241.8557755981556</c:v>
                </c:pt>
                <c:pt idx="90">
                  <c:v>1241.8557755981556</c:v>
                </c:pt>
                <c:pt idx="91">
                  <c:v>1252.2478137480582</c:v>
                </c:pt>
                <c:pt idx="92">
                  <c:v>1252.2478137480582</c:v>
                </c:pt>
                <c:pt idx="93">
                  <c:v>1242.2697965230091</c:v>
                </c:pt>
                <c:pt idx="94">
                  <c:v>1230.4948159418293</c:v>
                </c:pt>
                <c:pt idx="95">
                  <c:v>1221.7368828251685</c:v>
                </c:pt>
                <c:pt idx="96">
                  <c:v>1228.5431988795115</c:v>
                </c:pt>
                <c:pt idx="97">
                  <c:v>1228.5431988795115</c:v>
                </c:pt>
              </c:numCache>
            </c:numRef>
          </c:val>
          <c:smooth val="0"/>
          <c:extLst>
            <c:ext xmlns:c16="http://schemas.microsoft.com/office/drawing/2014/chart" uri="{C3380CC4-5D6E-409C-BE32-E72D297353CC}">
              <c16:uniqueId val="{00000006-7E4B-3D49-BD87-5802764BAE94}"/>
            </c:ext>
          </c:extLst>
        </c:ser>
        <c:ser>
          <c:idx val="7"/>
          <c:order val="7"/>
          <c:tx>
            <c:strRef>
              <c:f>Graphs!$A$52</c:f>
              <c:strCache>
                <c:ptCount val="1"/>
                <c:pt idx="0">
                  <c:v>Web facing applications</c:v>
                </c:pt>
              </c:strCache>
            </c:strRef>
          </c:tx>
          <c:spPr>
            <a:ln w="28575" cap="rnd">
              <a:solidFill>
                <a:schemeClr val="accent2">
                  <a:lumMod val="60000"/>
                </a:schemeClr>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Graphs!$B$44:$CU$44</c:f>
              <c:strCache>
                <c:ptCount val="98"/>
                <c:pt idx="0">
                  <c:v>Apr-11</c:v>
                </c:pt>
                <c:pt idx="1">
                  <c:v>May-11</c:v>
                </c:pt>
                <c:pt idx="2">
                  <c:v>Jun-11</c:v>
                </c:pt>
                <c:pt idx="3">
                  <c:v>Jul-11</c:v>
                </c:pt>
                <c:pt idx="4">
                  <c:v>Aug-11</c:v>
                </c:pt>
                <c:pt idx="5">
                  <c:v>Sep-11</c:v>
                </c:pt>
                <c:pt idx="6">
                  <c:v>Oct-11</c:v>
                </c:pt>
                <c:pt idx="7">
                  <c:v>Nov-11</c:v>
                </c:pt>
                <c:pt idx="8">
                  <c:v>Dec-11</c:v>
                </c:pt>
                <c:pt idx="9">
                  <c:v>Jan-12</c:v>
                </c:pt>
                <c:pt idx="10">
                  <c:v>Feb-12</c:v>
                </c:pt>
                <c:pt idx="11">
                  <c:v>Mar-12</c:v>
                </c:pt>
                <c:pt idx="12">
                  <c:v>Apr-12</c:v>
                </c:pt>
                <c:pt idx="13">
                  <c:v>May-12</c:v>
                </c:pt>
                <c:pt idx="14">
                  <c:v>Jun-12</c:v>
                </c:pt>
                <c:pt idx="15">
                  <c:v>Jul-12</c:v>
                </c:pt>
                <c:pt idx="16">
                  <c:v>Aug-12</c:v>
                </c:pt>
                <c:pt idx="17">
                  <c:v>Sep-12</c:v>
                </c:pt>
                <c:pt idx="18">
                  <c:v>Oct-12</c:v>
                </c:pt>
                <c:pt idx="19">
                  <c:v>Nov-12</c:v>
                </c:pt>
                <c:pt idx="20">
                  <c:v>Dec-12</c:v>
                </c:pt>
                <c:pt idx="21">
                  <c:v>Jan-13</c:v>
                </c:pt>
                <c:pt idx="22">
                  <c:v>Feb-13</c:v>
                </c:pt>
                <c:pt idx="23">
                  <c:v>Mar-13</c:v>
                </c:pt>
                <c:pt idx="24">
                  <c:v>Apr-13</c:v>
                </c:pt>
                <c:pt idx="25">
                  <c:v>May-13</c:v>
                </c:pt>
                <c:pt idx="26">
                  <c:v>Jun-13</c:v>
                </c:pt>
                <c:pt idx="27">
                  <c:v>Jul-13</c:v>
                </c:pt>
                <c:pt idx="28">
                  <c:v>Aug-13</c:v>
                </c:pt>
                <c:pt idx="29">
                  <c:v>Sep-13</c:v>
                </c:pt>
                <c:pt idx="30">
                  <c:v>Oct-13</c:v>
                </c:pt>
                <c:pt idx="31">
                  <c:v>Nov-13</c:v>
                </c:pt>
                <c:pt idx="32">
                  <c:v>Dec-13</c:v>
                </c:pt>
                <c:pt idx="33">
                  <c:v>Jan-14</c:v>
                </c:pt>
                <c:pt idx="34">
                  <c:v>Feb-14</c:v>
                </c:pt>
                <c:pt idx="35">
                  <c:v>Mar-14</c:v>
                </c:pt>
                <c:pt idx="36">
                  <c:v>Apr-14</c:v>
                </c:pt>
                <c:pt idx="37">
                  <c:v>May-14</c:v>
                </c:pt>
                <c:pt idx="38">
                  <c:v>Jun-14</c:v>
                </c:pt>
                <c:pt idx="39">
                  <c:v>Jul-14</c:v>
                </c:pt>
                <c:pt idx="40">
                  <c:v>Aug-14</c:v>
                </c:pt>
                <c:pt idx="41">
                  <c:v>Sep-14</c:v>
                </c:pt>
                <c:pt idx="42">
                  <c:v>Oct-14</c:v>
                </c:pt>
                <c:pt idx="43">
                  <c:v>Nov-14</c:v>
                </c:pt>
                <c:pt idx="44">
                  <c:v>12/31/14</c:v>
                </c:pt>
                <c:pt idx="45">
                  <c:v>01/31/15</c:v>
                </c:pt>
                <c:pt idx="46">
                  <c:v>02/28/15</c:v>
                </c:pt>
                <c:pt idx="47">
                  <c:v>03/31/15</c:v>
                </c:pt>
                <c:pt idx="48">
                  <c:v>04/30/15</c:v>
                </c:pt>
                <c:pt idx="49">
                  <c:v>05/31/15</c:v>
                </c:pt>
                <c:pt idx="50">
                  <c:v>06/30/15</c:v>
                </c:pt>
                <c:pt idx="51">
                  <c:v>07/31/15</c:v>
                </c:pt>
                <c:pt idx="52">
                  <c:v>08/31/15</c:v>
                </c:pt>
                <c:pt idx="53">
                  <c:v>09/30/15</c:v>
                </c:pt>
                <c:pt idx="54">
                  <c:v>10/31/15</c:v>
                </c:pt>
                <c:pt idx="55">
                  <c:v>11/30/15</c:v>
                </c:pt>
                <c:pt idx="56">
                  <c:v>12/31/15</c:v>
                </c:pt>
                <c:pt idx="57">
                  <c:v>01/31/16</c:v>
                </c:pt>
                <c:pt idx="58">
                  <c:v>02/29/16</c:v>
                </c:pt>
                <c:pt idx="59">
                  <c:v>03/31/16</c:v>
                </c:pt>
                <c:pt idx="60">
                  <c:v>04/30/16</c:v>
                </c:pt>
                <c:pt idx="61">
                  <c:v>05/31/16</c:v>
                </c:pt>
                <c:pt idx="62">
                  <c:v>06/30/16</c:v>
                </c:pt>
                <c:pt idx="63">
                  <c:v>07/31/16</c:v>
                </c:pt>
                <c:pt idx="64">
                  <c:v>08/31/16</c:v>
                </c:pt>
                <c:pt idx="65">
                  <c:v>09/30/16</c:v>
                </c:pt>
                <c:pt idx="66">
                  <c:v>10/31/16</c:v>
                </c:pt>
                <c:pt idx="67">
                  <c:v>11/30/16</c:v>
                </c:pt>
                <c:pt idx="68">
                  <c:v>12/31/16</c:v>
                </c:pt>
                <c:pt idx="69">
                  <c:v>01/31/17</c:v>
                </c:pt>
                <c:pt idx="70">
                  <c:v>02/28/17</c:v>
                </c:pt>
                <c:pt idx="71">
                  <c:v>03/31/17</c:v>
                </c:pt>
                <c:pt idx="72">
                  <c:v>04/30/17</c:v>
                </c:pt>
                <c:pt idx="73">
                  <c:v>05/31/17</c:v>
                </c:pt>
                <c:pt idx="74">
                  <c:v>06/30/17</c:v>
                </c:pt>
                <c:pt idx="75">
                  <c:v>07/31/17</c:v>
                </c:pt>
                <c:pt idx="76">
                  <c:v>08/31/17</c:v>
                </c:pt>
                <c:pt idx="77">
                  <c:v>09/30/17</c:v>
                </c:pt>
                <c:pt idx="78">
                  <c:v>10/31/17</c:v>
                </c:pt>
                <c:pt idx="79">
                  <c:v>11/30/17</c:v>
                </c:pt>
                <c:pt idx="80">
                  <c:v>12/31/17</c:v>
                </c:pt>
                <c:pt idx="81">
                  <c:v>01/31/18</c:v>
                </c:pt>
                <c:pt idx="82">
                  <c:v>02/28/18</c:v>
                </c:pt>
                <c:pt idx="83">
                  <c:v>03/31/18</c:v>
                </c:pt>
                <c:pt idx="84">
                  <c:v>04/30/18</c:v>
                </c:pt>
                <c:pt idx="85">
                  <c:v>05/31/18</c:v>
                </c:pt>
                <c:pt idx="86">
                  <c:v>06/30/18</c:v>
                </c:pt>
                <c:pt idx="87">
                  <c:v>07/31/18</c:v>
                </c:pt>
                <c:pt idx="88">
                  <c:v>08/31/18</c:v>
                </c:pt>
                <c:pt idx="89">
                  <c:v>09/30/18</c:v>
                </c:pt>
                <c:pt idx="90">
                  <c:v>10/31/18</c:v>
                </c:pt>
                <c:pt idx="91">
                  <c:v>11/30/18</c:v>
                </c:pt>
                <c:pt idx="92">
                  <c:v>12/31/18</c:v>
                </c:pt>
                <c:pt idx="93">
                  <c:v>01/31/19</c:v>
                </c:pt>
                <c:pt idx="94">
                  <c:v>02/28/19</c:v>
                </c:pt>
                <c:pt idx="95">
                  <c:v>03/31/19</c:v>
                </c:pt>
                <c:pt idx="96">
                  <c:v>04/30/19</c:v>
                </c:pt>
                <c:pt idx="97">
                  <c:v>05/31/19</c:v>
                </c:pt>
              </c:strCache>
            </c:strRef>
          </c:cat>
          <c:val>
            <c:numRef>
              <c:f>Graphs!$B$52:$CU$52</c:f>
              <c:numCache>
                <c:formatCode>General</c:formatCode>
                <c:ptCount val="98"/>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numCache>
            </c:numRef>
          </c:val>
          <c:smooth val="0"/>
          <c:extLst>
            <c:ext xmlns:c16="http://schemas.microsoft.com/office/drawing/2014/chart" uri="{C3380CC4-5D6E-409C-BE32-E72D297353CC}">
              <c16:uniqueId val="{00000007-7E4B-3D49-BD87-5802764BAE94}"/>
            </c:ext>
          </c:extLst>
        </c:ser>
        <c:ser>
          <c:idx val="8"/>
          <c:order val="8"/>
          <c:tx>
            <c:strRef>
              <c:f>Graphs!$A$53</c:f>
              <c:strCache>
                <c:ptCount val="1"/>
                <c:pt idx="0">
                  <c:v>Internet exposed devices/appliances</c:v>
                </c:pt>
              </c:strCache>
            </c:strRef>
          </c:tx>
          <c:spPr>
            <a:ln w="28575" cap="rnd">
              <a:solidFill>
                <a:schemeClr val="accent3">
                  <a:lumMod val="60000"/>
                </a:schemeClr>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Graphs!$B$44:$CU$44</c:f>
              <c:strCache>
                <c:ptCount val="98"/>
                <c:pt idx="0">
                  <c:v>Apr-11</c:v>
                </c:pt>
                <c:pt idx="1">
                  <c:v>May-11</c:v>
                </c:pt>
                <c:pt idx="2">
                  <c:v>Jun-11</c:v>
                </c:pt>
                <c:pt idx="3">
                  <c:v>Jul-11</c:v>
                </c:pt>
                <c:pt idx="4">
                  <c:v>Aug-11</c:v>
                </c:pt>
                <c:pt idx="5">
                  <c:v>Sep-11</c:v>
                </c:pt>
                <c:pt idx="6">
                  <c:v>Oct-11</c:v>
                </c:pt>
                <c:pt idx="7">
                  <c:v>Nov-11</c:v>
                </c:pt>
                <c:pt idx="8">
                  <c:v>Dec-11</c:v>
                </c:pt>
                <c:pt idx="9">
                  <c:v>Jan-12</c:v>
                </c:pt>
                <c:pt idx="10">
                  <c:v>Feb-12</c:v>
                </c:pt>
                <c:pt idx="11">
                  <c:v>Mar-12</c:v>
                </c:pt>
                <c:pt idx="12">
                  <c:v>Apr-12</c:v>
                </c:pt>
                <c:pt idx="13">
                  <c:v>May-12</c:v>
                </c:pt>
                <c:pt idx="14">
                  <c:v>Jun-12</c:v>
                </c:pt>
                <c:pt idx="15">
                  <c:v>Jul-12</c:v>
                </c:pt>
                <c:pt idx="16">
                  <c:v>Aug-12</c:v>
                </c:pt>
                <c:pt idx="17">
                  <c:v>Sep-12</c:v>
                </c:pt>
                <c:pt idx="18">
                  <c:v>Oct-12</c:v>
                </c:pt>
                <c:pt idx="19">
                  <c:v>Nov-12</c:v>
                </c:pt>
                <c:pt idx="20">
                  <c:v>Dec-12</c:v>
                </c:pt>
                <c:pt idx="21">
                  <c:v>Jan-13</c:v>
                </c:pt>
                <c:pt idx="22">
                  <c:v>Feb-13</c:v>
                </c:pt>
                <c:pt idx="23">
                  <c:v>Mar-13</c:v>
                </c:pt>
                <c:pt idx="24">
                  <c:v>Apr-13</c:v>
                </c:pt>
                <c:pt idx="25">
                  <c:v>May-13</c:v>
                </c:pt>
                <c:pt idx="26">
                  <c:v>Jun-13</c:v>
                </c:pt>
                <c:pt idx="27">
                  <c:v>Jul-13</c:v>
                </c:pt>
                <c:pt idx="28">
                  <c:v>Aug-13</c:v>
                </c:pt>
                <c:pt idx="29">
                  <c:v>Sep-13</c:v>
                </c:pt>
                <c:pt idx="30">
                  <c:v>Oct-13</c:v>
                </c:pt>
                <c:pt idx="31">
                  <c:v>Nov-13</c:v>
                </c:pt>
                <c:pt idx="32">
                  <c:v>Dec-13</c:v>
                </c:pt>
                <c:pt idx="33">
                  <c:v>Jan-14</c:v>
                </c:pt>
                <c:pt idx="34">
                  <c:v>Feb-14</c:v>
                </c:pt>
                <c:pt idx="35">
                  <c:v>Mar-14</c:v>
                </c:pt>
                <c:pt idx="36">
                  <c:v>Apr-14</c:v>
                </c:pt>
                <c:pt idx="37">
                  <c:v>May-14</c:v>
                </c:pt>
                <c:pt idx="38">
                  <c:v>Jun-14</c:v>
                </c:pt>
                <c:pt idx="39">
                  <c:v>Jul-14</c:v>
                </c:pt>
                <c:pt idx="40">
                  <c:v>Aug-14</c:v>
                </c:pt>
                <c:pt idx="41">
                  <c:v>Sep-14</c:v>
                </c:pt>
                <c:pt idx="42">
                  <c:v>Oct-14</c:v>
                </c:pt>
                <c:pt idx="43">
                  <c:v>Nov-14</c:v>
                </c:pt>
                <c:pt idx="44">
                  <c:v>12/31/14</c:v>
                </c:pt>
                <c:pt idx="45">
                  <c:v>01/31/15</c:v>
                </c:pt>
                <c:pt idx="46">
                  <c:v>02/28/15</c:v>
                </c:pt>
                <c:pt idx="47">
                  <c:v>03/31/15</c:v>
                </c:pt>
                <c:pt idx="48">
                  <c:v>04/30/15</c:v>
                </c:pt>
                <c:pt idx="49">
                  <c:v>05/31/15</c:v>
                </c:pt>
                <c:pt idx="50">
                  <c:v>06/30/15</c:v>
                </c:pt>
                <c:pt idx="51">
                  <c:v>07/31/15</c:v>
                </c:pt>
                <c:pt idx="52">
                  <c:v>08/31/15</c:v>
                </c:pt>
                <c:pt idx="53">
                  <c:v>09/30/15</c:v>
                </c:pt>
                <c:pt idx="54">
                  <c:v>10/31/15</c:v>
                </c:pt>
                <c:pt idx="55">
                  <c:v>11/30/15</c:v>
                </c:pt>
                <c:pt idx="56">
                  <c:v>12/31/15</c:v>
                </c:pt>
                <c:pt idx="57">
                  <c:v>01/31/16</c:v>
                </c:pt>
                <c:pt idx="58">
                  <c:v>02/29/16</c:v>
                </c:pt>
                <c:pt idx="59">
                  <c:v>03/31/16</c:v>
                </c:pt>
                <c:pt idx="60">
                  <c:v>04/30/16</c:v>
                </c:pt>
                <c:pt idx="61">
                  <c:v>05/31/16</c:v>
                </c:pt>
                <c:pt idx="62">
                  <c:v>06/30/16</c:v>
                </c:pt>
                <c:pt idx="63">
                  <c:v>07/31/16</c:v>
                </c:pt>
                <c:pt idx="64">
                  <c:v>08/31/16</c:v>
                </c:pt>
                <c:pt idx="65">
                  <c:v>09/30/16</c:v>
                </c:pt>
                <c:pt idx="66">
                  <c:v>10/31/16</c:v>
                </c:pt>
                <c:pt idx="67">
                  <c:v>11/30/16</c:v>
                </c:pt>
                <c:pt idx="68">
                  <c:v>12/31/16</c:v>
                </c:pt>
                <c:pt idx="69">
                  <c:v>01/31/17</c:v>
                </c:pt>
                <c:pt idx="70">
                  <c:v>02/28/17</c:v>
                </c:pt>
                <c:pt idx="71">
                  <c:v>03/31/17</c:v>
                </c:pt>
                <c:pt idx="72">
                  <c:v>04/30/17</c:v>
                </c:pt>
                <c:pt idx="73">
                  <c:v>05/31/17</c:v>
                </c:pt>
                <c:pt idx="74">
                  <c:v>06/30/17</c:v>
                </c:pt>
                <c:pt idx="75">
                  <c:v>07/31/17</c:v>
                </c:pt>
                <c:pt idx="76">
                  <c:v>08/31/17</c:v>
                </c:pt>
                <c:pt idx="77">
                  <c:v>09/30/17</c:v>
                </c:pt>
                <c:pt idx="78">
                  <c:v>10/31/17</c:v>
                </c:pt>
                <c:pt idx="79">
                  <c:v>11/30/17</c:v>
                </c:pt>
                <c:pt idx="80">
                  <c:v>12/31/17</c:v>
                </c:pt>
                <c:pt idx="81">
                  <c:v>01/31/18</c:v>
                </c:pt>
                <c:pt idx="82">
                  <c:v>02/28/18</c:v>
                </c:pt>
                <c:pt idx="83">
                  <c:v>03/31/18</c:v>
                </c:pt>
                <c:pt idx="84">
                  <c:v>04/30/18</c:v>
                </c:pt>
                <c:pt idx="85">
                  <c:v>05/31/18</c:v>
                </c:pt>
                <c:pt idx="86">
                  <c:v>06/30/18</c:v>
                </c:pt>
                <c:pt idx="87">
                  <c:v>07/31/18</c:v>
                </c:pt>
                <c:pt idx="88">
                  <c:v>08/31/18</c:v>
                </c:pt>
                <c:pt idx="89">
                  <c:v>09/30/18</c:v>
                </c:pt>
                <c:pt idx="90">
                  <c:v>10/31/18</c:v>
                </c:pt>
                <c:pt idx="91">
                  <c:v>11/30/18</c:v>
                </c:pt>
                <c:pt idx="92">
                  <c:v>12/31/18</c:v>
                </c:pt>
                <c:pt idx="93">
                  <c:v>01/31/19</c:v>
                </c:pt>
                <c:pt idx="94">
                  <c:v>02/28/19</c:v>
                </c:pt>
                <c:pt idx="95">
                  <c:v>03/31/19</c:v>
                </c:pt>
                <c:pt idx="96">
                  <c:v>04/30/19</c:v>
                </c:pt>
                <c:pt idx="97">
                  <c:v>05/31/19</c:v>
                </c:pt>
              </c:strCache>
            </c:strRef>
          </c:cat>
          <c:val>
            <c:numRef>
              <c:f>Graphs!$B$53:$CU$53</c:f>
              <c:numCache>
                <c:formatCode>General</c:formatCode>
                <c:ptCount val="98"/>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numCache>
            </c:numRef>
          </c:val>
          <c:smooth val="0"/>
          <c:extLst>
            <c:ext xmlns:c16="http://schemas.microsoft.com/office/drawing/2014/chart" uri="{C3380CC4-5D6E-409C-BE32-E72D297353CC}">
              <c16:uniqueId val="{00000008-7E4B-3D49-BD87-5802764BAE94}"/>
            </c:ext>
          </c:extLst>
        </c:ser>
        <c:ser>
          <c:idx val="9"/>
          <c:order val="9"/>
          <c:tx>
            <c:strRef>
              <c:f>Graphs!$A$54</c:f>
              <c:strCache>
                <c:ptCount val="1"/>
                <c:pt idx="0">
                  <c:v>End points</c:v>
                </c:pt>
              </c:strCache>
            </c:strRef>
          </c:tx>
          <c:spPr>
            <a:ln w="28575" cap="rnd">
              <a:solidFill>
                <a:schemeClr val="accent4">
                  <a:lumMod val="60000"/>
                </a:schemeClr>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Graphs!$B$44:$CU$44</c:f>
              <c:strCache>
                <c:ptCount val="98"/>
                <c:pt idx="0">
                  <c:v>Apr-11</c:v>
                </c:pt>
                <c:pt idx="1">
                  <c:v>May-11</c:v>
                </c:pt>
                <c:pt idx="2">
                  <c:v>Jun-11</c:v>
                </c:pt>
                <c:pt idx="3">
                  <c:v>Jul-11</c:v>
                </c:pt>
                <c:pt idx="4">
                  <c:v>Aug-11</c:v>
                </c:pt>
                <c:pt idx="5">
                  <c:v>Sep-11</c:v>
                </c:pt>
                <c:pt idx="6">
                  <c:v>Oct-11</c:v>
                </c:pt>
                <c:pt idx="7">
                  <c:v>Nov-11</c:v>
                </c:pt>
                <c:pt idx="8">
                  <c:v>Dec-11</c:v>
                </c:pt>
                <c:pt idx="9">
                  <c:v>Jan-12</c:v>
                </c:pt>
                <c:pt idx="10">
                  <c:v>Feb-12</c:v>
                </c:pt>
                <c:pt idx="11">
                  <c:v>Mar-12</c:v>
                </c:pt>
                <c:pt idx="12">
                  <c:v>Apr-12</c:v>
                </c:pt>
                <c:pt idx="13">
                  <c:v>May-12</c:v>
                </c:pt>
                <c:pt idx="14">
                  <c:v>Jun-12</c:v>
                </c:pt>
                <c:pt idx="15">
                  <c:v>Jul-12</c:v>
                </c:pt>
                <c:pt idx="16">
                  <c:v>Aug-12</c:v>
                </c:pt>
                <c:pt idx="17">
                  <c:v>Sep-12</c:v>
                </c:pt>
                <c:pt idx="18">
                  <c:v>Oct-12</c:v>
                </c:pt>
                <c:pt idx="19">
                  <c:v>Nov-12</c:v>
                </c:pt>
                <c:pt idx="20">
                  <c:v>Dec-12</c:v>
                </c:pt>
                <c:pt idx="21">
                  <c:v>Jan-13</c:v>
                </c:pt>
                <c:pt idx="22">
                  <c:v>Feb-13</c:v>
                </c:pt>
                <c:pt idx="23">
                  <c:v>Mar-13</c:v>
                </c:pt>
                <c:pt idx="24">
                  <c:v>Apr-13</c:v>
                </c:pt>
                <c:pt idx="25">
                  <c:v>May-13</c:v>
                </c:pt>
                <c:pt idx="26">
                  <c:v>Jun-13</c:v>
                </c:pt>
                <c:pt idx="27">
                  <c:v>Jul-13</c:v>
                </c:pt>
                <c:pt idx="28">
                  <c:v>Aug-13</c:v>
                </c:pt>
                <c:pt idx="29">
                  <c:v>Sep-13</c:v>
                </c:pt>
                <c:pt idx="30">
                  <c:v>Oct-13</c:v>
                </c:pt>
                <c:pt idx="31">
                  <c:v>Nov-13</c:v>
                </c:pt>
                <c:pt idx="32">
                  <c:v>Dec-13</c:v>
                </c:pt>
                <c:pt idx="33">
                  <c:v>Jan-14</c:v>
                </c:pt>
                <c:pt idx="34">
                  <c:v>Feb-14</c:v>
                </c:pt>
                <c:pt idx="35">
                  <c:v>Mar-14</c:v>
                </c:pt>
                <c:pt idx="36">
                  <c:v>Apr-14</c:v>
                </c:pt>
                <c:pt idx="37">
                  <c:v>May-14</c:v>
                </c:pt>
                <c:pt idx="38">
                  <c:v>Jun-14</c:v>
                </c:pt>
                <c:pt idx="39">
                  <c:v>Jul-14</c:v>
                </c:pt>
                <c:pt idx="40">
                  <c:v>Aug-14</c:v>
                </c:pt>
                <c:pt idx="41">
                  <c:v>Sep-14</c:v>
                </c:pt>
                <c:pt idx="42">
                  <c:v>Oct-14</c:v>
                </c:pt>
                <c:pt idx="43">
                  <c:v>Nov-14</c:v>
                </c:pt>
                <c:pt idx="44">
                  <c:v>12/31/14</c:v>
                </c:pt>
                <c:pt idx="45">
                  <c:v>01/31/15</c:v>
                </c:pt>
                <c:pt idx="46">
                  <c:v>02/28/15</c:v>
                </c:pt>
                <c:pt idx="47">
                  <c:v>03/31/15</c:v>
                </c:pt>
                <c:pt idx="48">
                  <c:v>04/30/15</c:v>
                </c:pt>
                <c:pt idx="49">
                  <c:v>05/31/15</c:v>
                </c:pt>
                <c:pt idx="50">
                  <c:v>06/30/15</c:v>
                </c:pt>
                <c:pt idx="51">
                  <c:v>07/31/15</c:v>
                </c:pt>
                <c:pt idx="52">
                  <c:v>08/31/15</c:v>
                </c:pt>
                <c:pt idx="53">
                  <c:v>09/30/15</c:v>
                </c:pt>
                <c:pt idx="54">
                  <c:v>10/31/15</c:v>
                </c:pt>
                <c:pt idx="55">
                  <c:v>11/30/15</c:v>
                </c:pt>
                <c:pt idx="56">
                  <c:v>12/31/15</c:v>
                </c:pt>
                <c:pt idx="57">
                  <c:v>01/31/16</c:v>
                </c:pt>
                <c:pt idx="58">
                  <c:v>02/29/16</c:v>
                </c:pt>
                <c:pt idx="59">
                  <c:v>03/31/16</c:v>
                </c:pt>
                <c:pt idx="60">
                  <c:v>04/30/16</c:v>
                </c:pt>
                <c:pt idx="61">
                  <c:v>05/31/16</c:v>
                </c:pt>
                <c:pt idx="62">
                  <c:v>06/30/16</c:v>
                </c:pt>
                <c:pt idx="63">
                  <c:v>07/31/16</c:v>
                </c:pt>
                <c:pt idx="64">
                  <c:v>08/31/16</c:v>
                </c:pt>
                <c:pt idx="65">
                  <c:v>09/30/16</c:v>
                </c:pt>
                <c:pt idx="66">
                  <c:v>10/31/16</c:v>
                </c:pt>
                <c:pt idx="67">
                  <c:v>11/30/16</c:v>
                </c:pt>
                <c:pt idx="68">
                  <c:v>12/31/16</c:v>
                </c:pt>
                <c:pt idx="69">
                  <c:v>01/31/17</c:v>
                </c:pt>
                <c:pt idx="70">
                  <c:v>02/28/17</c:v>
                </c:pt>
                <c:pt idx="71">
                  <c:v>03/31/17</c:v>
                </c:pt>
                <c:pt idx="72">
                  <c:v>04/30/17</c:v>
                </c:pt>
                <c:pt idx="73">
                  <c:v>05/31/17</c:v>
                </c:pt>
                <c:pt idx="74">
                  <c:v>06/30/17</c:v>
                </c:pt>
                <c:pt idx="75">
                  <c:v>07/31/17</c:v>
                </c:pt>
                <c:pt idx="76">
                  <c:v>08/31/17</c:v>
                </c:pt>
                <c:pt idx="77">
                  <c:v>09/30/17</c:v>
                </c:pt>
                <c:pt idx="78">
                  <c:v>10/31/17</c:v>
                </c:pt>
                <c:pt idx="79">
                  <c:v>11/30/17</c:v>
                </c:pt>
                <c:pt idx="80">
                  <c:v>12/31/17</c:v>
                </c:pt>
                <c:pt idx="81">
                  <c:v>01/31/18</c:v>
                </c:pt>
                <c:pt idx="82">
                  <c:v>02/28/18</c:v>
                </c:pt>
                <c:pt idx="83">
                  <c:v>03/31/18</c:v>
                </c:pt>
                <c:pt idx="84">
                  <c:v>04/30/18</c:v>
                </c:pt>
                <c:pt idx="85">
                  <c:v>05/31/18</c:v>
                </c:pt>
                <c:pt idx="86">
                  <c:v>06/30/18</c:v>
                </c:pt>
                <c:pt idx="87">
                  <c:v>07/31/18</c:v>
                </c:pt>
                <c:pt idx="88">
                  <c:v>08/31/18</c:v>
                </c:pt>
                <c:pt idx="89">
                  <c:v>09/30/18</c:v>
                </c:pt>
                <c:pt idx="90">
                  <c:v>10/31/18</c:v>
                </c:pt>
                <c:pt idx="91">
                  <c:v>11/30/18</c:v>
                </c:pt>
                <c:pt idx="92">
                  <c:v>12/31/18</c:v>
                </c:pt>
                <c:pt idx="93">
                  <c:v>01/31/19</c:v>
                </c:pt>
                <c:pt idx="94">
                  <c:v>02/28/19</c:v>
                </c:pt>
                <c:pt idx="95">
                  <c:v>03/31/19</c:v>
                </c:pt>
                <c:pt idx="96">
                  <c:v>04/30/19</c:v>
                </c:pt>
                <c:pt idx="97">
                  <c:v>05/31/19</c:v>
                </c:pt>
              </c:strCache>
            </c:strRef>
          </c:cat>
          <c:val>
            <c:numRef>
              <c:f>Graphs!$B$54:$CU$54</c:f>
              <c:numCache>
                <c:formatCode>General</c:formatCode>
                <c:ptCount val="98"/>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numCache>
            </c:numRef>
          </c:val>
          <c:smooth val="0"/>
          <c:extLst>
            <c:ext xmlns:c16="http://schemas.microsoft.com/office/drawing/2014/chart" uri="{C3380CC4-5D6E-409C-BE32-E72D297353CC}">
              <c16:uniqueId val="{00000009-7E4B-3D49-BD87-5802764BAE94}"/>
            </c:ext>
          </c:extLst>
        </c:ser>
        <c:ser>
          <c:idx val="10"/>
          <c:order val="10"/>
          <c:tx>
            <c:strRef>
              <c:f>Graphs!$A$55</c:f>
              <c:strCache>
                <c:ptCount val="1"/>
                <c:pt idx="0">
                  <c:v>Mobile devices</c:v>
                </c:pt>
              </c:strCache>
            </c:strRef>
          </c:tx>
          <c:spPr>
            <a:ln w="28575" cap="rnd">
              <a:solidFill>
                <a:schemeClr val="accent5">
                  <a:lumMod val="60000"/>
                </a:schemeClr>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Graphs!$B$44:$CU$44</c:f>
              <c:strCache>
                <c:ptCount val="98"/>
                <c:pt idx="0">
                  <c:v>Apr-11</c:v>
                </c:pt>
                <c:pt idx="1">
                  <c:v>May-11</c:v>
                </c:pt>
                <c:pt idx="2">
                  <c:v>Jun-11</c:v>
                </c:pt>
                <c:pt idx="3">
                  <c:v>Jul-11</c:v>
                </c:pt>
                <c:pt idx="4">
                  <c:v>Aug-11</c:v>
                </c:pt>
                <c:pt idx="5">
                  <c:v>Sep-11</c:v>
                </c:pt>
                <c:pt idx="6">
                  <c:v>Oct-11</c:v>
                </c:pt>
                <c:pt idx="7">
                  <c:v>Nov-11</c:v>
                </c:pt>
                <c:pt idx="8">
                  <c:v>Dec-11</c:v>
                </c:pt>
                <c:pt idx="9">
                  <c:v>Jan-12</c:v>
                </c:pt>
                <c:pt idx="10">
                  <c:v>Feb-12</c:v>
                </c:pt>
                <c:pt idx="11">
                  <c:v>Mar-12</c:v>
                </c:pt>
                <c:pt idx="12">
                  <c:v>Apr-12</c:v>
                </c:pt>
                <c:pt idx="13">
                  <c:v>May-12</c:v>
                </c:pt>
                <c:pt idx="14">
                  <c:v>Jun-12</c:v>
                </c:pt>
                <c:pt idx="15">
                  <c:v>Jul-12</c:v>
                </c:pt>
                <c:pt idx="16">
                  <c:v>Aug-12</c:v>
                </c:pt>
                <c:pt idx="17">
                  <c:v>Sep-12</c:v>
                </c:pt>
                <c:pt idx="18">
                  <c:v>Oct-12</c:v>
                </c:pt>
                <c:pt idx="19">
                  <c:v>Nov-12</c:v>
                </c:pt>
                <c:pt idx="20">
                  <c:v>Dec-12</c:v>
                </c:pt>
                <c:pt idx="21">
                  <c:v>Jan-13</c:v>
                </c:pt>
                <c:pt idx="22">
                  <c:v>Feb-13</c:v>
                </c:pt>
                <c:pt idx="23">
                  <c:v>Mar-13</c:v>
                </c:pt>
                <c:pt idx="24">
                  <c:v>Apr-13</c:v>
                </c:pt>
                <c:pt idx="25">
                  <c:v>May-13</c:v>
                </c:pt>
                <c:pt idx="26">
                  <c:v>Jun-13</c:v>
                </c:pt>
                <c:pt idx="27">
                  <c:v>Jul-13</c:v>
                </c:pt>
                <c:pt idx="28">
                  <c:v>Aug-13</c:v>
                </c:pt>
                <c:pt idx="29">
                  <c:v>Sep-13</c:v>
                </c:pt>
                <c:pt idx="30">
                  <c:v>Oct-13</c:v>
                </c:pt>
                <c:pt idx="31">
                  <c:v>Nov-13</c:v>
                </c:pt>
                <c:pt idx="32">
                  <c:v>Dec-13</c:v>
                </c:pt>
                <c:pt idx="33">
                  <c:v>Jan-14</c:v>
                </c:pt>
                <c:pt idx="34">
                  <c:v>Feb-14</c:v>
                </c:pt>
                <c:pt idx="35">
                  <c:v>Mar-14</c:v>
                </c:pt>
                <c:pt idx="36">
                  <c:v>Apr-14</c:v>
                </c:pt>
                <c:pt idx="37">
                  <c:v>May-14</c:v>
                </c:pt>
                <c:pt idx="38">
                  <c:v>Jun-14</c:v>
                </c:pt>
                <c:pt idx="39">
                  <c:v>Jul-14</c:v>
                </c:pt>
                <c:pt idx="40">
                  <c:v>Aug-14</c:v>
                </c:pt>
                <c:pt idx="41">
                  <c:v>Sep-14</c:v>
                </c:pt>
                <c:pt idx="42">
                  <c:v>Oct-14</c:v>
                </c:pt>
                <c:pt idx="43">
                  <c:v>Nov-14</c:v>
                </c:pt>
                <c:pt idx="44">
                  <c:v>12/31/14</c:v>
                </c:pt>
                <c:pt idx="45">
                  <c:v>01/31/15</c:v>
                </c:pt>
                <c:pt idx="46">
                  <c:v>02/28/15</c:v>
                </c:pt>
                <c:pt idx="47">
                  <c:v>03/31/15</c:v>
                </c:pt>
                <c:pt idx="48">
                  <c:v>04/30/15</c:v>
                </c:pt>
                <c:pt idx="49">
                  <c:v>05/31/15</c:v>
                </c:pt>
                <c:pt idx="50">
                  <c:v>06/30/15</c:v>
                </c:pt>
                <c:pt idx="51">
                  <c:v>07/31/15</c:v>
                </c:pt>
                <c:pt idx="52">
                  <c:v>08/31/15</c:v>
                </c:pt>
                <c:pt idx="53">
                  <c:v>09/30/15</c:v>
                </c:pt>
                <c:pt idx="54">
                  <c:v>10/31/15</c:v>
                </c:pt>
                <c:pt idx="55">
                  <c:v>11/30/15</c:v>
                </c:pt>
                <c:pt idx="56">
                  <c:v>12/31/15</c:v>
                </c:pt>
                <c:pt idx="57">
                  <c:v>01/31/16</c:v>
                </c:pt>
                <c:pt idx="58">
                  <c:v>02/29/16</c:v>
                </c:pt>
                <c:pt idx="59">
                  <c:v>03/31/16</c:v>
                </c:pt>
                <c:pt idx="60">
                  <c:v>04/30/16</c:v>
                </c:pt>
                <c:pt idx="61">
                  <c:v>05/31/16</c:v>
                </c:pt>
                <c:pt idx="62">
                  <c:v>06/30/16</c:v>
                </c:pt>
                <c:pt idx="63">
                  <c:v>07/31/16</c:v>
                </c:pt>
                <c:pt idx="64">
                  <c:v>08/31/16</c:v>
                </c:pt>
                <c:pt idx="65">
                  <c:v>09/30/16</c:v>
                </c:pt>
                <c:pt idx="66">
                  <c:v>10/31/16</c:v>
                </c:pt>
                <c:pt idx="67">
                  <c:v>11/30/16</c:v>
                </c:pt>
                <c:pt idx="68">
                  <c:v>12/31/16</c:v>
                </c:pt>
                <c:pt idx="69">
                  <c:v>01/31/17</c:v>
                </c:pt>
                <c:pt idx="70">
                  <c:v>02/28/17</c:v>
                </c:pt>
                <c:pt idx="71">
                  <c:v>03/31/17</c:v>
                </c:pt>
                <c:pt idx="72">
                  <c:v>04/30/17</c:v>
                </c:pt>
                <c:pt idx="73">
                  <c:v>05/31/17</c:v>
                </c:pt>
                <c:pt idx="74">
                  <c:v>06/30/17</c:v>
                </c:pt>
                <c:pt idx="75">
                  <c:v>07/31/17</c:v>
                </c:pt>
                <c:pt idx="76">
                  <c:v>08/31/17</c:v>
                </c:pt>
                <c:pt idx="77">
                  <c:v>09/30/17</c:v>
                </c:pt>
                <c:pt idx="78">
                  <c:v>10/31/17</c:v>
                </c:pt>
                <c:pt idx="79">
                  <c:v>11/30/17</c:v>
                </c:pt>
                <c:pt idx="80">
                  <c:v>12/31/17</c:v>
                </c:pt>
                <c:pt idx="81">
                  <c:v>01/31/18</c:v>
                </c:pt>
                <c:pt idx="82">
                  <c:v>02/28/18</c:v>
                </c:pt>
                <c:pt idx="83">
                  <c:v>03/31/18</c:v>
                </c:pt>
                <c:pt idx="84">
                  <c:v>04/30/18</c:v>
                </c:pt>
                <c:pt idx="85">
                  <c:v>05/31/18</c:v>
                </c:pt>
                <c:pt idx="86">
                  <c:v>06/30/18</c:v>
                </c:pt>
                <c:pt idx="87">
                  <c:v>07/31/18</c:v>
                </c:pt>
                <c:pt idx="88">
                  <c:v>08/31/18</c:v>
                </c:pt>
                <c:pt idx="89">
                  <c:v>09/30/18</c:v>
                </c:pt>
                <c:pt idx="90">
                  <c:v>10/31/18</c:v>
                </c:pt>
                <c:pt idx="91">
                  <c:v>11/30/18</c:v>
                </c:pt>
                <c:pt idx="92">
                  <c:v>12/31/18</c:v>
                </c:pt>
                <c:pt idx="93">
                  <c:v>01/31/19</c:v>
                </c:pt>
                <c:pt idx="94">
                  <c:v>02/28/19</c:v>
                </c:pt>
                <c:pt idx="95">
                  <c:v>03/31/19</c:v>
                </c:pt>
                <c:pt idx="96">
                  <c:v>04/30/19</c:v>
                </c:pt>
                <c:pt idx="97">
                  <c:v>05/31/19</c:v>
                </c:pt>
              </c:strCache>
            </c:strRef>
          </c:cat>
          <c:val>
            <c:numRef>
              <c:f>Graphs!$B$55:$CU$55</c:f>
              <c:numCache>
                <c:formatCode>General</c:formatCode>
                <c:ptCount val="98"/>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numCache>
            </c:numRef>
          </c:val>
          <c:smooth val="0"/>
          <c:extLst>
            <c:ext xmlns:c16="http://schemas.microsoft.com/office/drawing/2014/chart" uri="{C3380CC4-5D6E-409C-BE32-E72D297353CC}">
              <c16:uniqueId val="{0000000A-7E4B-3D49-BD87-5802764BAE94}"/>
            </c:ext>
          </c:extLst>
        </c:ser>
        <c:ser>
          <c:idx val="11"/>
          <c:order val="11"/>
          <c:tx>
            <c:strRef>
              <c:f>Graphs!$A$56</c:f>
              <c:strCache>
                <c:ptCount val="1"/>
                <c:pt idx="0">
                  <c:v>Public infrastructure/cloud</c:v>
                </c:pt>
              </c:strCache>
            </c:strRef>
          </c:tx>
          <c:spPr>
            <a:ln w="28575" cap="rnd">
              <a:solidFill>
                <a:schemeClr val="accent6">
                  <a:lumMod val="60000"/>
                </a:schemeClr>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Graphs!$B$44:$CU$44</c:f>
              <c:strCache>
                <c:ptCount val="98"/>
                <c:pt idx="0">
                  <c:v>Apr-11</c:v>
                </c:pt>
                <c:pt idx="1">
                  <c:v>May-11</c:v>
                </c:pt>
                <c:pt idx="2">
                  <c:v>Jun-11</c:v>
                </c:pt>
                <c:pt idx="3">
                  <c:v>Jul-11</c:v>
                </c:pt>
                <c:pt idx="4">
                  <c:v>Aug-11</c:v>
                </c:pt>
                <c:pt idx="5">
                  <c:v>Sep-11</c:v>
                </c:pt>
                <c:pt idx="6">
                  <c:v>Oct-11</c:v>
                </c:pt>
                <c:pt idx="7">
                  <c:v>Nov-11</c:v>
                </c:pt>
                <c:pt idx="8">
                  <c:v>Dec-11</c:v>
                </c:pt>
                <c:pt idx="9">
                  <c:v>Jan-12</c:v>
                </c:pt>
                <c:pt idx="10">
                  <c:v>Feb-12</c:v>
                </c:pt>
                <c:pt idx="11">
                  <c:v>Mar-12</c:v>
                </c:pt>
                <c:pt idx="12">
                  <c:v>Apr-12</c:v>
                </c:pt>
                <c:pt idx="13">
                  <c:v>May-12</c:v>
                </c:pt>
                <c:pt idx="14">
                  <c:v>Jun-12</c:v>
                </c:pt>
                <c:pt idx="15">
                  <c:v>Jul-12</c:v>
                </c:pt>
                <c:pt idx="16">
                  <c:v>Aug-12</c:v>
                </c:pt>
                <c:pt idx="17">
                  <c:v>Sep-12</c:v>
                </c:pt>
                <c:pt idx="18">
                  <c:v>Oct-12</c:v>
                </c:pt>
                <c:pt idx="19">
                  <c:v>Nov-12</c:v>
                </c:pt>
                <c:pt idx="20">
                  <c:v>Dec-12</c:v>
                </c:pt>
                <c:pt idx="21">
                  <c:v>Jan-13</c:v>
                </c:pt>
                <c:pt idx="22">
                  <c:v>Feb-13</c:v>
                </c:pt>
                <c:pt idx="23">
                  <c:v>Mar-13</c:v>
                </c:pt>
                <c:pt idx="24">
                  <c:v>Apr-13</c:v>
                </c:pt>
                <c:pt idx="25">
                  <c:v>May-13</c:v>
                </c:pt>
                <c:pt idx="26">
                  <c:v>Jun-13</c:v>
                </c:pt>
                <c:pt idx="27">
                  <c:v>Jul-13</c:v>
                </c:pt>
                <c:pt idx="28">
                  <c:v>Aug-13</c:v>
                </c:pt>
                <c:pt idx="29">
                  <c:v>Sep-13</c:v>
                </c:pt>
                <c:pt idx="30">
                  <c:v>Oct-13</c:v>
                </c:pt>
                <c:pt idx="31">
                  <c:v>Nov-13</c:v>
                </c:pt>
                <c:pt idx="32">
                  <c:v>Dec-13</c:v>
                </c:pt>
                <c:pt idx="33">
                  <c:v>Jan-14</c:v>
                </c:pt>
                <c:pt idx="34">
                  <c:v>Feb-14</c:v>
                </c:pt>
                <c:pt idx="35">
                  <c:v>Mar-14</c:v>
                </c:pt>
                <c:pt idx="36">
                  <c:v>Apr-14</c:v>
                </c:pt>
                <c:pt idx="37">
                  <c:v>May-14</c:v>
                </c:pt>
                <c:pt idx="38">
                  <c:v>Jun-14</c:v>
                </c:pt>
                <c:pt idx="39">
                  <c:v>Jul-14</c:v>
                </c:pt>
                <c:pt idx="40">
                  <c:v>Aug-14</c:v>
                </c:pt>
                <c:pt idx="41">
                  <c:v>Sep-14</c:v>
                </c:pt>
                <c:pt idx="42">
                  <c:v>Oct-14</c:v>
                </c:pt>
                <c:pt idx="43">
                  <c:v>Nov-14</c:v>
                </c:pt>
                <c:pt idx="44">
                  <c:v>12/31/14</c:v>
                </c:pt>
                <c:pt idx="45">
                  <c:v>01/31/15</c:v>
                </c:pt>
                <c:pt idx="46">
                  <c:v>02/28/15</c:v>
                </c:pt>
                <c:pt idx="47">
                  <c:v>03/31/15</c:v>
                </c:pt>
                <c:pt idx="48">
                  <c:v>04/30/15</c:v>
                </c:pt>
                <c:pt idx="49">
                  <c:v>05/31/15</c:v>
                </c:pt>
                <c:pt idx="50">
                  <c:v>06/30/15</c:v>
                </c:pt>
                <c:pt idx="51">
                  <c:v>07/31/15</c:v>
                </c:pt>
                <c:pt idx="52">
                  <c:v>08/31/15</c:v>
                </c:pt>
                <c:pt idx="53">
                  <c:v>09/30/15</c:v>
                </c:pt>
                <c:pt idx="54">
                  <c:v>10/31/15</c:v>
                </c:pt>
                <c:pt idx="55">
                  <c:v>11/30/15</c:v>
                </c:pt>
                <c:pt idx="56">
                  <c:v>12/31/15</c:v>
                </c:pt>
                <c:pt idx="57">
                  <c:v>01/31/16</c:v>
                </c:pt>
                <c:pt idx="58">
                  <c:v>02/29/16</c:v>
                </c:pt>
                <c:pt idx="59">
                  <c:v>03/31/16</c:v>
                </c:pt>
                <c:pt idx="60">
                  <c:v>04/30/16</c:v>
                </c:pt>
                <c:pt idx="61">
                  <c:v>05/31/16</c:v>
                </c:pt>
                <c:pt idx="62">
                  <c:v>06/30/16</c:v>
                </c:pt>
                <c:pt idx="63">
                  <c:v>07/31/16</c:v>
                </c:pt>
                <c:pt idx="64">
                  <c:v>08/31/16</c:v>
                </c:pt>
                <c:pt idx="65">
                  <c:v>09/30/16</c:v>
                </c:pt>
                <c:pt idx="66">
                  <c:v>10/31/16</c:v>
                </c:pt>
                <c:pt idx="67">
                  <c:v>11/30/16</c:v>
                </c:pt>
                <c:pt idx="68">
                  <c:v>12/31/16</c:v>
                </c:pt>
                <c:pt idx="69">
                  <c:v>01/31/17</c:v>
                </c:pt>
                <c:pt idx="70">
                  <c:v>02/28/17</c:v>
                </c:pt>
                <c:pt idx="71">
                  <c:v>03/31/17</c:v>
                </c:pt>
                <c:pt idx="72">
                  <c:v>04/30/17</c:v>
                </c:pt>
                <c:pt idx="73">
                  <c:v>05/31/17</c:v>
                </c:pt>
                <c:pt idx="74">
                  <c:v>06/30/17</c:v>
                </c:pt>
                <c:pt idx="75">
                  <c:v>07/31/17</c:v>
                </c:pt>
                <c:pt idx="76">
                  <c:v>08/31/17</c:v>
                </c:pt>
                <c:pt idx="77">
                  <c:v>09/30/17</c:v>
                </c:pt>
                <c:pt idx="78">
                  <c:v>10/31/17</c:v>
                </c:pt>
                <c:pt idx="79">
                  <c:v>11/30/17</c:v>
                </c:pt>
                <c:pt idx="80">
                  <c:v>12/31/17</c:v>
                </c:pt>
                <c:pt idx="81">
                  <c:v>01/31/18</c:v>
                </c:pt>
                <c:pt idx="82">
                  <c:v>02/28/18</c:v>
                </c:pt>
                <c:pt idx="83">
                  <c:v>03/31/18</c:v>
                </c:pt>
                <c:pt idx="84">
                  <c:v>04/30/18</c:v>
                </c:pt>
                <c:pt idx="85">
                  <c:v>05/31/18</c:v>
                </c:pt>
                <c:pt idx="86">
                  <c:v>06/30/18</c:v>
                </c:pt>
                <c:pt idx="87">
                  <c:v>07/31/18</c:v>
                </c:pt>
                <c:pt idx="88">
                  <c:v>08/31/18</c:v>
                </c:pt>
                <c:pt idx="89">
                  <c:v>09/30/18</c:v>
                </c:pt>
                <c:pt idx="90">
                  <c:v>10/31/18</c:v>
                </c:pt>
                <c:pt idx="91">
                  <c:v>11/30/18</c:v>
                </c:pt>
                <c:pt idx="92">
                  <c:v>12/31/18</c:v>
                </c:pt>
                <c:pt idx="93">
                  <c:v>01/31/19</c:v>
                </c:pt>
                <c:pt idx="94">
                  <c:v>02/28/19</c:v>
                </c:pt>
                <c:pt idx="95">
                  <c:v>03/31/19</c:v>
                </c:pt>
                <c:pt idx="96">
                  <c:v>04/30/19</c:v>
                </c:pt>
                <c:pt idx="97">
                  <c:v>05/31/19</c:v>
                </c:pt>
              </c:strCache>
            </c:strRef>
          </c:cat>
          <c:val>
            <c:numRef>
              <c:f>Graphs!$B$56:$CU$56</c:f>
              <c:numCache>
                <c:formatCode>General</c:formatCode>
                <c:ptCount val="98"/>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numCache>
            </c:numRef>
          </c:val>
          <c:smooth val="0"/>
          <c:extLst>
            <c:ext xmlns:c16="http://schemas.microsoft.com/office/drawing/2014/chart" uri="{C3380CC4-5D6E-409C-BE32-E72D297353CC}">
              <c16:uniqueId val="{0000000B-7E4B-3D49-BD87-5802764BAE94}"/>
            </c:ext>
          </c:extLst>
        </c:ser>
        <c:ser>
          <c:idx val="12"/>
          <c:order val="12"/>
          <c:tx>
            <c:strRef>
              <c:f>Graphs!$A$57</c:f>
              <c:strCache>
                <c:ptCount val="1"/>
                <c:pt idx="0">
                  <c:v>Counterparties</c:v>
                </c:pt>
              </c:strCache>
            </c:strRef>
          </c:tx>
          <c:spPr>
            <a:ln w="28575" cap="rnd">
              <a:solidFill>
                <a:schemeClr val="accent1">
                  <a:lumMod val="80000"/>
                  <a:lumOff val="20000"/>
                </a:schemeClr>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Graphs!$B$44:$CU$44</c:f>
              <c:strCache>
                <c:ptCount val="98"/>
                <c:pt idx="0">
                  <c:v>Apr-11</c:v>
                </c:pt>
                <c:pt idx="1">
                  <c:v>May-11</c:v>
                </c:pt>
                <c:pt idx="2">
                  <c:v>Jun-11</c:v>
                </c:pt>
                <c:pt idx="3">
                  <c:v>Jul-11</c:v>
                </c:pt>
                <c:pt idx="4">
                  <c:v>Aug-11</c:v>
                </c:pt>
                <c:pt idx="5">
                  <c:v>Sep-11</c:v>
                </c:pt>
                <c:pt idx="6">
                  <c:v>Oct-11</c:v>
                </c:pt>
                <c:pt idx="7">
                  <c:v>Nov-11</c:v>
                </c:pt>
                <c:pt idx="8">
                  <c:v>Dec-11</c:v>
                </c:pt>
                <c:pt idx="9">
                  <c:v>Jan-12</c:v>
                </c:pt>
                <c:pt idx="10">
                  <c:v>Feb-12</c:v>
                </c:pt>
                <c:pt idx="11">
                  <c:v>Mar-12</c:v>
                </c:pt>
                <c:pt idx="12">
                  <c:v>Apr-12</c:v>
                </c:pt>
                <c:pt idx="13">
                  <c:v>May-12</c:v>
                </c:pt>
                <c:pt idx="14">
                  <c:v>Jun-12</c:v>
                </c:pt>
                <c:pt idx="15">
                  <c:v>Jul-12</c:v>
                </c:pt>
                <c:pt idx="16">
                  <c:v>Aug-12</c:v>
                </c:pt>
                <c:pt idx="17">
                  <c:v>Sep-12</c:v>
                </c:pt>
                <c:pt idx="18">
                  <c:v>Oct-12</c:v>
                </c:pt>
                <c:pt idx="19">
                  <c:v>Nov-12</c:v>
                </c:pt>
                <c:pt idx="20">
                  <c:v>Dec-12</c:v>
                </c:pt>
                <c:pt idx="21">
                  <c:v>Jan-13</c:v>
                </c:pt>
                <c:pt idx="22">
                  <c:v>Feb-13</c:v>
                </c:pt>
                <c:pt idx="23">
                  <c:v>Mar-13</c:v>
                </c:pt>
                <c:pt idx="24">
                  <c:v>Apr-13</c:v>
                </c:pt>
                <c:pt idx="25">
                  <c:v>May-13</c:v>
                </c:pt>
                <c:pt idx="26">
                  <c:v>Jun-13</c:v>
                </c:pt>
                <c:pt idx="27">
                  <c:v>Jul-13</c:v>
                </c:pt>
                <c:pt idx="28">
                  <c:v>Aug-13</c:v>
                </c:pt>
                <c:pt idx="29">
                  <c:v>Sep-13</c:v>
                </c:pt>
                <c:pt idx="30">
                  <c:v>Oct-13</c:v>
                </c:pt>
                <c:pt idx="31">
                  <c:v>Nov-13</c:v>
                </c:pt>
                <c:pt idx="32">
                  <c:v>Dec-13</c:v>
                </c:pt>
                <c:pt idx="33">
                  <c:v>Jan-14</c:v>
                </c:pt>
                <c:pt idx="34">
                  <c:v>Feb-14</c:v>
                </c:pt>
                <c:pt idx="35">
                  <c:v>Mar-14</c:v>
                </c:pt>
                <c:pt idx="36">
                  <c:v>Apr-14</c:v>
                </c:pt>
                <c:pt idx="37">
                  <c:v>May-14</c:v>
                </c:pt>
                <c:pt idx="38">
                  <c:v>Jun-14</c:v>
                </c:pt>
                <c:pt idx="39">
                  <c:v>Jul-14</c:v>
                </c:pt>
                <c:pt idx="40">
                  <c:v>Aug-14</c:v>
                </c:pt>
                <c:pt idx="41">
                  <c:v>Sep-14</c:v>
                </c:pt>
                <c:pt idx="42">
                  <c:v>Oct-14</c:v>
                </c:pt>
                <c:pt idx="43">
                  <c:v>Nov-14</c:v>
                </c:pt>
                <c:pt idx="44">
                  <c:v>12/31/14</c:v>
                </c:pt>
                <c:pt idx="45">
                  <c:v>01/31/15</c:v>
                </c:pt>
                <c:pt idx="46">
                  <c:v>02/28/15</c:v>
                </c:pt>
                <c:pt idx="47">
                  <c:v>03/31/15</c:v>
                </c:pt>
                <c:pt idx="48">
                  <c:v>04/30/15</c:v>
                </c:pt>
                <c:pt idx="49">
                  <c:v>05/31/15</c:v>
                </c:pt>
                <c:pt idx="50">
                  <c:v>06/30/15</c:v>
                </c:pt>
                <c:pt idx="51">
                  <c:v>07/31/15</c:v>
                </c:pt>
                <c:pt idx="52">
                  <c:v>08/31/15</c:v>
                </c:pt>
                <c:pt idx="53">
                  <c:v>09/30/15</c:v>
                </c:pt>
                <c:pt idx="54">
                  <c:v>10/31/15</c:v>
                </c:pt>
                <c:pt idx="55">
                  <c:v>11/30/15</c:v>
                </c:pt>
                <c:pt idx="56">
                  <c:v>12/31/15</c:v>
                </c:pt>
                <c:pt idx="57">
                  <c:v>01/31/16</c:v>
                </c:pt>
                <c:pt idx="58">
                  <c:v>02/29/16</c:v>
                </c:pt>
                <c:pt idx="59">
                  <c:v>03/31/16</c:v>
                </c:pt>
                <c:pt idx="60">
                  <c:v>04/30/16</c:v>
                </c:pt>
                <c:pt idx="61">
                  <c:v>05/31/16</c:v>
                </c:pt>
                <c:pt idx="62">
                  <c:v>06/30/16</c:v>
                </c:pt>
                <c:pt idx="63">
                  <c:v>07/31/16</c:v>
                </c:pt>
                <c:pt idx="64">
                  <c:v>08/31/16</c:v>
                </c:pt>
                <c:pt idx="65">
                  <c:v>09/30/16</c:v>
                </c:pt>
                <c:pt idx="66">
                  <c:v>10/31/16</c:v>
                </c:pt>
                <c:pt idx="67">
                  <c:v>11/30/16</c:v>
                </c:pt>
                <c:pt idx="68">
                  <c:v>12/31/16</c:v>
                </c:pt>
                <c:pt idx="69">
                  <c:v>01/31/17</c:v>
                </c:pt>
                <c:pt idx="70">
                  <c:v>02/28/17</c:v>
                </c:pt>
                <c:pt idx="71">
                  <c:v>03/31/17</c:v>
                </c:pt>
                <c:pt idx="72">
                  <c:v>04/30/17</c:v>
                </c:pt>
                <c:pt idx="73">
                  <c:v>05/31/17</c:v>
                </c:pt>
                <c:pt idx="74">
                  <c:v>06/30/17</c:v>
                </c:pt>
                <c:pt idx="75">
                  <c:v>07/31/17</c:v>
                </c:pt>
                <c:pt idx="76">
                  <c:v>08/31/17</c:v>
                </c:pt>
                <c:pt idx="77">
                  <c:v>09/30/17</c:v>
                </c:pt>
                <c:pt idx="78">
                  <c:v>10/31/17</c:v>
                </c:pt>
                <c:pt idx="79">
                  <c:v>11/30/17</c:v>
                </c:pt>
                <c:pt idx="80">
                  <c:v>12/31/17</c:v>
                </c:pt>
                <c:pt idx="81">
                  <c:v>01/31/18</c:v>
                </c:pt>
                <c:pt idx="82">
                  <c:v>02/28/18</c:v>
                </c:pt>
                <c:pt idx="83">
                  <c:v>03/31/18</c:v>
                </c:pt>
                <c:pt idx="84">
                  <c:v>04/30/18</c:v>
                </c:pt>
                <c:pt idx="85">
                  <c:v>05/31/18</c:v>
                </c:pt>
                <c:pt idx="86">
                  <c:v>06/30/18</c:v>
                </c:pt>
                <c:pt idx="87">
                  <c:v>07/31/18</c:v>
                </c:pt>
                <c:pt idx="88">
                  <c:v>08/31/18</c:v>
                </c:pt>
                <c:pt idx="89">
                  <c:v>09/30/18</c:v>
                </c:pt>
                <c:pt idx="90">
                  <c:v>10/31/18</c:v>
                </c:pt>
                <c:pt idx="91">
                  <c:v>11/30/18</c:v>
                </c:pt>
                <c:pt idx="92">
                  <c:v>12/31/18</c:v>
                </c:pt>
                <c:pt idx="93">
                  <c:v>01/31/19</c:v>
                </c:pt>
                <c:pt idx="94">
                  <c:v>02/28/19</c:v>
                </c:pt>
                <c:pt idx="95">
                  <c:v>03/31/19</c:v>
                </c:pt>
                <c:pt idx="96">
                  <c:v>04/30/19</c:v>
                </c:pt>
                <c:pt idx="97">
                  <c:v>05/31/19</c:v>
                </c:pt>
              </c:strCache>
            </c:strRef>
          </c:cat>
          <c:val>
            <c:numRef>
              <c:f>Graphs!$B$57:$CU$57</c:f>
              <c:numCache>
                <c:formatCode>General</c:formatCode>
                <c:ptCount val="98"/>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numCache>
            </c:numRef>
          </c:val>
          <c:smooth val="0"/>
          <c:extLst>
            <c:ext xmlns:c16="http://schemas.microsoft.com/office/drawing/2014/chart" uri="{C3380CC4-5D6E-409C-BE32-E72D297353CC}">
              <c16:uniqueId val="{0000000C-7E4B-3D49-BD87-5802764BAE94}"/>
            </c:ext>
          </c:extLst>
        </c:ser>
        <c:ser>
          <c:idx val="13"/>
          <c:order val="13"/>
          <c:tx>
            <c:strRef>
              <c:f>Graphs!$A$58</c:f>
              <c:strCache>
                <c:ptCount val="1"/>
                <c:pt idx="0">
                  <c:v>Autonomous network connected devices</c:v>
                </c:pt>
              </c:strCache>
            </c:strRef>
          </c:tx>
          <c:spPr>
            <a:ln w="28575" cap="rnd">
              <a:no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Graphs!$B$44:$CU$44</c:f>
              <c:strCache>
                <c:ptCount val="98"/>
                <c:pt idx="0">
                  <c:v>Apr-11</c:v>
                </c:pt>
                <c:pt idx="1">
                  <c:v>May-11</c:v>
                </c:pt>
                <c:pt idx="2">
                  <c:v>Jun-11</c:v>
                </c:pt>
                <c:pt idx="3">
                  <c:v>Jul-11</c:v>
                </c:pt>
                <c:pt idx="4">
                  <c:v>Aug-11</c:v>
                </c:pt>
                <c:pt idx="5">
                  <c:v>Sep-11</c:v>
                </c:pt>
                <c:pt idx="6">
                  <c:v>Oct-11</c:v>
                </c:pt>
                <c:pt idx="7">
                  <c:v>Nov-11</c:v>
                </c:pt>
                <c:pt idx="8">
                  <c:v>Dec-11</c:v>
                </c:pt>
                <c:pt idx="9">
                  <c:v>Jan-12</c:v>
                </c:pt>
                <c:pt idx="10">
                  <c:v>Feb-12</c:v>
                </c:pt>
                <c:pt idx="11">
                  <c:v>Mar-12</c:v>
                </c:pt>
                <c:pt idx="12">
                  <c:v>Apr-12</c:v>
                </c:pt>
                <c:pt idx="13">
                  <c:v>May-12</c:v>
                </c:pt>
                <c:pt idx="14">
                  <c:v>Jun-12</c:v>
                </c:pt>
                <c:pt idx="15">
                  <c:v>Jul-12</c:v>
                </c:pt>
                <c:pt idx="16">
                  <c:v>Aug-12</c:v>
                </c:pt>
                <c:pt idx="17">
                  <c:v>Sep-12</c:v>
                </c:pt>
                <c:pt idx="18">
                  <c:v>Oct-12</c:v>
                </c:pt>
                <c:pt idx="19">
                  <c:v>Nov-12</c:v>
                </c:pt>
                <c:pt idx="20">
                  <c:v>Dec-12</c:v>
                </c:pt>
                <c:pt idx="21">
                  <c:v>Jan-13</c:v>
                </c:pt>
                <c:pt idx="22">
                  <c:v>Feb-13</c:v>
                </c:pt>
                <c:pt idx="23">
                  <c:v>Mar-13</c:v>
                </c:pt>
                <c:pt idx="24">
                  <c:v>Apr-13</c:v>
                </c:pt>
                <c:pt idx="25">
                  <c:v>May-13</c:v>
                </c:pt>
                <c:pt idx="26">
                  <c:v>Jun-13</c:v>
                </c:pt>
                <c:pt idx="27">
                  <c:v>Jul-13</c:v>
                </c:pt>
                <c:pt idx="28">
                  <c:v>Aug-13</c:v>
                </c:pt>
                <c:pt idx="29">
                  <c:v>Sep-13</c:v>
                </c:pt>
                <c:pt idx="30">
                  <c:v>Oct-13</c:v>
                </c:pt>
                <c:pt idx="31">
                  <c:v>Nov-13</c:v>
                </c:pt>
                <c:pt idx="32">
                  <c:v>Dec-13</c:v>
                </c:pt>
                <c:pt idx="33">
                  <c:v>Jan-14</c:v>
                </c:pt>
                <c:pt idx="34">
                  <c:v>Feb-14</c:v>
                </c:pt>
                <c:pt idx="35">
                  <c:v>Mar-14</c:v>
                </c:pt>
                <c:pt idx="36">
                  <c:v>Apr-14</c:v>
                </c:pt>
                <c:pt idx="37">
                  <c:v>May-14</c:v>
                </c:pt>
                <c:pt idx="38">
                  <c:v>Jun-14</c:v>
                </c:pt>
                <c:pt idx="39">
                  <c:v>Jul-14</c:v>
                </c:pt>
                <c:pt idx="40">
                  <c:v>Aug-14</c:v>
                </c:pt>
                <c:pt idx="41">
                  <c:v>Sep-14</c:v>
                </c:pt>
                <c:pt idx="42">
                  <c:v>Oct-14</c:v>
                </c:pt>
                <c:pt idx="43">
                  <c:v>Nov-14</c:v>
                </c:pt>
                <c:pt idx="44">
                  <c:v>12/31/14</c:v>
                </c:pt>
                <c:pt idx="45">
                  <c:v>01/31/15</c:v>
                </c:pt>
                <c:pt idx="46">
                  <c:v>02/28/15</c:v>
                </c:pt>
                <c:pt idx="47">
                  <c:v>03/31/15</c:v>
                </c:pt>
                <c:pt idx="48">
                  <c:v>04/30/15</c:v>
                </c:pt>
                <c:pt idx="49">
                  <c:v>05/31/15</c:v>
                </c:pt>
                <c:pt idx="50">
                  <c:v>06/30/15</c:v>
                </c:pt>
                <c:pt idx="51">
                  <c:v>07/31/15</c:v>
                </c:pt>
                <c:pt idx="52">
                  <c:v>08/31/15</c:v>
                </c:pt>
                <c:pt idx="53">
                  <c:v>09/30/15</c:v>
                </c:pt>
                <c:pt idx="54">
                  <c:v>10/31/15</c:v>
                </c:pt>
                <c:pt idx="55">
                  <c:v>11/30/15</c:v>
                </c:pt>
                <c:pt idx="56">
                  <c:v>12/31/15</c:v>
                </c:pt>
                <c:pt idx="57">
                  <c:v>01/31/16</c:v>
                </c:pt>
                <c:pt idx="58">
                  <c:v>02/29/16</c:v>
                </c:pt>
                <c:pt idx="59">
                  <c:v>03/31/16</c:v>
                </c:pt>
                <c:pt idx="60">
                  <c:v>04/30/16</c:v>
                </c:pt>
                <c:pt idx="61">
                  <c:v>05/31/16</c:v>
                </c:pt>
                <c:pt idx="62">
                  <c:v>06/30/16</c:v>
                </c:pt>
                <c:pt idx="63">
                  <c:v>07/31/16</c:v>
                </c:pt>
                <c:pt idx="64">
                  <c:v>08/31/16</c:v>
                </c:pt>
                <c:pt idx="65">
                  <c:v>09/30/16</c:v>
                </c:pt>
                <c:pt idx="66">
                  <c:v>10/31/16</c:v>
                </c:pt>
                <c:pt idx="67">
                  <c:v>11/30/16</c:v>
                </c:pt>
                <c:pt idx="68">
                  <c:v>12/31/16</c:v>
                </c:pt>
                <c:pt idx="69">
                  <c:v>01/31/17</c:v>
                </c:pt>
                <c:pt idx="70">
                  <c:v>02/28/17</c:v>
                </c:pt>
                <c:pt idx="71">
                  <c:v>03/31/17</c:v>
                </c:pt>
                <c:pt idx="72">
                  <c:v>04/30/17</c:v>
                </c:pt>
                <c:pt idx="73">
                  <c:v>05/31/17</c:v>
                </c:pt>
                <c:pt idx="74">
                  <c:v>06/30/17</c:v>
                </c:pt>
                <c:pt idx="75">
                  <c:v>07/31/17</c:v>
                </c:pt>
                <c:pt idx="76">
                  <c:v>08/31/17</c:v>
                </c:pt>
                <c:pt idx="77">
                  <c:v>09/30/17</c:v>
                </c:pt>
                <c:pt idx="78">
                  <c:v>10/31/17</c:v>
                </c:pt>
                <c:pt idx="79">
                  <c:v>11/30/17</c:v>
                </c:pt>
                <c:pt idx="80">
                  <c:v>12/31/17</c:v>
                </c:pt>
                <c:pt idx="81">
                  <c:v>01/31/18</c:v>
                </c:pt>
                <c:pt idx="82">
                  <c:v>02/28/18</c:v>
                </c:pt>
                <c:pt idx="83">
                  <c:v>03/31/18</c:v>
                </c:pt>
                <c:pt idx="84">
                  <c:v>04/30/18</c:v>
                </c:pt>
                <c:pt idx="85">
                  <c:v>05/31/18</c:v>
                </c:pt>
                <c:pt idx="86">
                  <c:v>06/30/18</c:v>
                </c:pt>
                <c:pt idx="87">
                  <c:v>07/31/18</c:v>
                </c:pt>
                <c:pt idx="88">
                  <c:v>08/31/18</c:v>
                </c:pt>
                <c:pt idx="89">
                  <c:v>09/30/18</c:v>
                </c:pt>
                <c:pt idx="90">
                  <c:v>10/31/18</c:v>
                </c:pt>
                <c:pt idx="91">
                  <c:v>11/30/18</c:v>
                </c:pt>
                <c:pt idx="92">
                  <c:v>12/31/18</c:v>
                </c:pt>
                <c:pt idx="93">
                  <c:v>01/31/19</c:v>
                </c:pt>
                <c:pt idx="94">
                  <c:v>02/28/19</c:v>
                </c:pt>
                <c:pt idx="95">
                  <c:v>03/31/19</c:v>
                </c:pt>
                <c:pt idx="96">
                  <c:v>04/30/19</c:v>
                </c:pt>
                <c:pt idx="97">
                  <c:v>05/31/19</c:v>
                </c:pt>
              </c:strCache>
            </c:strRef>
          </c:cat>
          <c:val>
            <c:numRef>
              <c:f>Graphs!$B$58:$CU$58</c:f>
              <c:numCache>
                <c:formatCode>General</c:formatCode>
                <c:ptCount val="98"/>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numCache>
            </c:numRef>
          </c:val>
          <c:smooth val="0"/>
          <c:extLst>
            <c:ext xmlns:c16="http://schemas.microsoft.com/office/drawing/2014/chart" uri="{C3380CC4-5D6E-409C-BE32-E72D297353CC}">
              <c16:uniqueId val="{0000000D-7E4B-3D49-BD87-5802764BAE94}"/>
            </c:ext>
          </c:extLst>
        </c:ser>
        <c:ser>
          <c:idx val="14"/>
          <c:order val="14"/>
          <c:tx>
            <c:strRef>
              <c:f>Graphs!$A$71</c:f>
              <c:strCache>
                <c:ptCount val="1"/>
                <c:pt idx="0">
                  <c:v>Total Index</c:v>
                </c:pt>
              </c:strCache>
            </c:strRef>
          </c:tx>
          <c:spPr>
            <a:ln w="28575" cap="rnd">
              <a:solidFill>
                <a:schemeClr val="accent3">
                  <a:lumMod val="80000"/>
                  <a:lumOff val="20000"/>
                </a:schemeClr>
              </a:solidFill>
              <a:round/>
            </a:ln>
            <a:effectLst/>
          </c:spPr>
          <c:marker>
            <c:symbol val="none"/>
          </c:marker>
          <c:cat>
            <c:strRef>
              <c:f>Graphs!$B$44:$CU$44</c:f>
              <c:strCache>
                <c:ptCount val="98"/>
                <c:pt idx="0">
                  <c:v>Apr-11</c:v>
                </c:pt>
                <c:pt idx="1">
                  <c:v>May-11</c:v>
                </c:pt>
                <c:pt idx="2">
                  <c:v>Jun-11</c:v>
                </c:pt>
                <c:pt idx="3">
                  <c:v>Jul-11</c:v>
                </c:pt>
                <c:pt idx="4">
                  <c:v>Aug-11</c:v>
                </c:pt>
                <c:pt idx="5">
                  <c:v>Sep-11</c:v>
                </c:pt>
                <c:pt idx="6">
                  <c:v>Oct-11</c:v>
                </c:pt>
                <c:pt idx="7">
                  <c:v>Nov-11</c:v>
                </c:pt>
                <c:pt idx="8">
                  <c:v>Dec-11</c:v>
                </c:pt>
                <c:pt idx="9">
                  <c:v>Jan-12</c:v>
                </c:pt>
                <c:pt idx="10">
                  <c:v>Feb-12</c:v>
                </c:pt>
                <c:pt idx="11">
                  <c:v>Mar-12</c:v>
                </c:pt>
                <c:pt idx="12">
                  <c:v>Apr-12</c:v>
                </c:pt>
                <c:pt idx="13">
                  <c:v>May-12</c:v>
                </c:pt>
                <c:pt idx="14">
                  <c:v>Jun-12</c:v>
                </c:pt>
                <c:pt idx="15">
                  <c:v>Jul-12</c:v>
                </c:pt>
                <c:pt idx="16">
                  <c:v>Aug-12</c:v>
                </c:pt>
                <c:pt idx="17">
                  <c:v>Sep-12</c:v>
                </c:pt>
                <c:pt idx="18">
                  <c:v>Oct-12</c:v>
                </c:pt>
                <c:pt idx="19">
                  <c:v>Nov-12</c:v>
                </c:pt>
                <c:pt idx="20">
                  <c:v>Dec-12</c:v>
                </c:pt>
                <c:pt idx="21">
                  <c:v>Jan-13</c:v>
                </c:pt>
                <c:pt idx="22">
                  <c:v>Feb-13</c:v>
                </c:pt>
                <c:pt idx="23">
                  <c:v>Mar-13</c:v>
                </c:pt>
                <c:pt idx="24">
                  <c:v>Apr-13</c:v>
                </c:pt>
                <c:pt idx="25">
                  <c:v>May-13</c:v>
                </c:pt>
                <c:pt idx="26">
                  <c:v>Jun-13</c:v>
                </c:pt>
                <c:pt idx="27">
                  <c:v>Jul-13</c:v>
                </c:pt>
                <c:pt idx="28">
                  <c:v>Aug-13</c:v>
                </c:pt>
                <c:pt idx="29">
                  <c:v>Sep-13</c:v>
                </c:pt>
                <c:pt idx="30">
                  <c:v>Oct-13</c:v>
                </c:pt>
                <c:pt idx="31">
                  <c:v>Nov-13</c:v>
                </c:pt>
                <c:pt idx="32">
                  <c:v>Dec-13</c:v>
                </c:pt>
                <c:pt idx="33">
                  <c:v>Jan-14</c:v>
                </c:pt>
                <c:pt idx="34">
                  <c:v>Feb-14</c:v>
                </c:pt>
                <c:pt idx="35">
                  <c:v>Mar-14</c:v>
                </c:pt>
                <c:pt idx="36">
                  <c:v>Apr-14</c:v>
                </c:pt>
                <c:pt idx="37">
                  <c:v>May-14</c:v>
                </c:pt>
                <c:pt idx="38">
                  <c:v>Jun-14</c:v>
                </c:pt>
                <c:pt idx="39">
                  <c:v>Jul-14</c:v>
                </c:pt>
                <c:pt idx="40">
                  <c:v>Aug-14</c:v>
                </c:pt>
                <c:pt idx="41">
                  <c:v>Sep-14</c:v>
                </c:pt>
                <c:pt idx="42">
                  <c:v>Oct-14</c:v>
                </c:pt>
                <c:pt idx="43">
                  <c:v>Nov-14</c:v>
                </c:pt>
                <c:pt idx="44">
                  <c:v>12/31/14</c:v>
                </c:pt>
                <c:pt idx="45">
                  <c:v>01/31/15</c:v>
                </c:pt>
                <c:pt idx="46">
                  <c:v>02/28/15</c:v>
                </c:pt>
                <c:pt idx="47">
                  <c:v>03/31/15</c:v>
                </c:pt>
                <c:pt idx="48">
                  <c:v>04/30/15</c:v>
                </c:pt>
                <c:pt idx="49">
                  <c:v>05/31/15</c:v>
                </c:pt>
                <c:pt idx="50">
                  <c:v>06/30/15</c:v>
                </c:pt>
                <c:pt idx="51">
                  <c:v>07/31/15</c:v>
                </c:pt>
                <c:pt idx="52">
                  <c:v>08/31/15</c:v>
                </c:pt>
                <c:pt idx="53">
                  <c:v>09/30/15</c:v>
                </c:pt>
                <c:pt idx="54">
                  <c:v>10/31/15</c:v>
                </c:pt>
                <c:pt idx="55">
                  <c:v>11/30/15</c:v>
                </c:pt>
                <c:pt idx="56">
                  <c:v>12/31/15</c:v>
                </c:pt>
                <c:pt idx="57">
                  <c:v>01/31/16</c:v>
                </c:pt>
                <c:pt idx="58">
                  <c:v>02/29/16</c:v>
                </c:pt>
                <c:pt idx="59">
                  <c:v>03/31/16</c:v>
                </c:pt>
                <c:pt idx="60">
                  <c:v>04/30/16</c:v>
                </c:pt>
                <c:pt idx="61">
                  <c:v>05/31/16</c:v>
                </c:pt>
                <c:pt idx="62">
                  <c:v>06/30/16</c:v>
                </c:pt>
                <c:pt idx="63">
                  <c:v>07/31/16</c:v>
                </c:pt>
                <c:pt idx="64">
                  <c:v>08/31/16</c:v>
                </c:pt>
                <c:pt idx="65">
                  <c:v>09/30/16</c:v>
                </c:pt>
                <c:pt idx="66">
                  <c:v>10/31/16</c:v>
                </c:pt>
                <c:pt idx="67">
                  <c:v>11/30/16</c:v>
                </c:pt>
                <c:pt idx="68">
                  <c:v>12/31/16</c:v>
                </c:pt>
                <c:pt idx="69">
                  <c:v>01/31/17</c:v>
                </c:pt>
                <c:pt idx="70">
                  <c:v>02/28/17</c:v>
                </c:pt>
                <c:pt idx="71">
                  <c:v>03/31/17</c:v>
                </c:pt>
                <c:pt idx="72">
                  <c:v>04/30/17</c:v>
                </c:pt>
                <c:pt idx="73">
                  <c:v>05/31/17</c:v>
                </c:pt>
                <c:pt idx="74">
                  <c:v>06/30/17</c:v>
                </c:pt>
                <c:pt idx="75">
                  <c:v>07/31/17</c:v>
                </c:pt>
                <c:pt idx="76">
                  <c:v>08/31/17</c:v>
                </c:pt>
                <c:pt idx="77">
                  <c:v>09/30/17</c:v>
                </c:pt>
                <c:pt idx="78">
                  <c:v>10/31/17</c:v>
                </c:pt>
                <c:pt idx="79">
                  <c:v>11/30/17</c:v>
                </c:pt>
                <c:pt idx="80">
                  <c:v>12/31/17</c:v>
                </c:pt>
                <c:pt idx="81">
                  <c:v>01/31/18</c:v>
                </c:pt>
                <c:pt idx="82">
                  <c:v>02/28/18</c:v>
                </c:pt>
                <c:pt idx="83">
                  <c:v>03/31/18</c:v>
                </c:pt>
                <c:pt idx="84">
                  <c:v>04/30/18</c:v>
                </c:pt>
                <c:pt idx="85">
                  <c:v>05/31/18</c:v>
                </c:pt>
                <c:pt idx="86">
                  <c:v>06/30/18</c:v>
                </c:pt>
                <c:pt idx="87">
                  <c:v>07/31/18</c:v>
                </c:pt>
                <c:pt idx="88">
                  <c:v>08/31/18</c:v>
                </c:pt>
                <c:pt idx="89">
                  <c:v>09/30/18</c:v>
                </c:pt>
                <c:pt idx="90">
                  <c:v>10/31/18</c:v>
                </c:pt>
                <c:pt idx="91">
                  <c:v>11/30/18</c:v>
                </c:pt>
                <c:pt idx="92">
                  <c:v>12/31/18</c:v>
                </c:pt>
                <c:pt idx="93">
                  <c:v>01/31/19</c:v>
                </c:pt>
                <c:pt idx="94">
                  <c:v>02/28/19</c:v>
                </c:pt>
                <c:pt idx="95">
                  <c:v>03/31/19</c:v>
                </c:pt>
                <c:pt idx="96">
                  <c:v>04/30/19</c:v>
                </c:pt>
                <c:pt idx="97">
                  <c:v>05/31/19</c:v>
                </c:pt>
              </c:strCache>
            </c:strRef>
          </c:cat>
          <c:val>
            <c:numRef>
              <c:f>Graphs!$B$71:$CU$71</c:f>
              <c:numCache>
                <c:formatCode>General</c:formatCode>
                <c:ptCount val="98"/>
                <c:pt idx="0">
                  <c:v>1021.6</c:v>
                </c:pt>
                <c:pt idx="1">
                  <c:v>1043.2</c:v>
                </c:pt>
                <c:pt idx="2">
                  <c:v>1069.5</c:v>
                </c:pt>
                <c:pt idx="3">
                  <c:v>1089.5</c:v>
                </c:pt>
                <c:pt idx="4">
                  <c:v>1109.3</c:v>
                </c:pt>
                <c:pt idx="5">
                  <c:v>1132.2</c:v>
                </c:pt>
                <c:pt idx="6">
                  <c:v>1153.0999999999999</c:v>
                </c:pt>
                <c:pt idx="7">
                  <c:v>1166.8</c:v>
                </c:pt>
                <c:pt idx="8">
                  <c:v>1192.2560174247362</c:v>
                </c:pt>
                <c:pt idx="9">
                  <c:v>1216.7345117069915</c:v>
                </c:pt>
                <c:pt idx="10">
                  <c:v>1241.6114644573483</c:v>
                </c:pt>
                <c:pt idx="11">
                  <c:v>1263.8372484064614</c:v>
                </c:pt>
                <c:pt idx="12">
                  <c:v>1291.954121772281</c:v>
                </c:pt>
                <c:pt idx="13">
                  <c:v>1320.9733833573141</c:v>
                </c:pt>
                <c:pt idx="14">
                  <c:v>1358.9727609702948</c:v>
                </c:pt>
                <c:pt idx="15">
                  <c:v>1388.7548449125165</c:v>
                </c:pt>
                <c:pt idx="16">
                  <c:v>1414.8695815673807</c:v>
                </c:pt>
                <c:pt idx="17">
                  <c:v>1453.2188864900245</c:v>
                </c:pt>
                <c:pt idx="18">
                  <c:v>1497.7879970747615</c:v>
                </c:pt>
                <c:pt idx="19">
                  <c:v>1524.6468181743567</c:v>
                </c:pt>
                <c:pt idx="20">
                  <c:v>1565.4806060155393</c:v>
                </c:pt>
                <c:pt idx="21">
                  <c:v>1599.1570667306562</c:v>
                </c:pt>
                <c:pt idx="22">
                  <c:v>1648.0539895661518</c:v>
                </c:pt>
                <c:pt idx="23">
                  <c:v>1687.9621269591769</c:v>
                </c:pt>
                <c:pt idx="24">
                  <c:v>1718.4333644783312</c:v>
                </c:pt>
                <c:pt idx="25">
                  <c:v>1746.2741650195942</c:v>
                </c:pt>
                <c:pt idx="26">
                  <c:v>1774.0047683103246</c:v>
                </c:pt>
                <c:pt idx="27">
                  <c:v>1800.249535371677</c:v>
                </c:pt>
                <c:pt idx="28">
                  <c:v>1834.8159082243142</c:v>
                </c:pt>
                <c:pt idx="29">
                  <c:v>1863.7877106606745</c:v>
                </c:pt>
                <c:pt idx="30">
                  <c:v>1897.8332894230011</c:v>
                </c:pt>
                <c:pt idx="31">
                  <c:v>1922.9652909559802</c:v>
                </c:pt>
                <c:pt idx="32">
                  <c:v>1966.1930009282819</c:v>
                </c:pt>
                <c:pt idx="33">
                  <c:v>2007.5013773011312</c:v>
                </c:pt>
                <c:pt idx="34">
                  <c:v>2044.6291622782524</c:v>
                </c:pt>
                <c:pt idx="35">
                  <c:v>2079.9893547158995</c:v>
                </c:pt>
                <c:pt idx="36">
                  <c:v>2139.4003221570006</c:v>
                </c:pt>
                <c:pt idx="37">
                  <c:v>2172.819355585284</c:v>
                </c:pt>
                <c:pt idx="38">
                  <c:v>2197.4953826670535</c:v>
                </c:pt>
                <c:pt idx="39">
                  <c:v>2222.2456738611081</c:v>
                </c:pt>
                <c:pt idx="40">
                  <c:v>2265.3034547996785</c:v>
                </c:pt>
                <c:pt idx="41">
                  <c:v>2334.4589568921333</c:v>
                </c:pt>
                <c:pt idx="42">
                  <c:v>2394.9644550933554</c:v>
                </c:pt>
                <c:pt idx="43">
                  <c:v>2446.3698492065882</c:v>
                </c:pt>
                <c:pt idx="44">
                  <c:v>2474.3398981101286</c:v>
                </c:pt>
                <c:pt idx="45">
                  <c:v>2485.6124977829641</c:v>
                </c:pt>
                <c:pt idx="46">
                  <c:v>2496.1002987021789</c:v>
                </c:pt>
                <c:pt idx="47">
                  <c:v>2503.5998432905103</c:v>
                </c:pt>
                <c:pt idx="48">
                  <c:v>2510.461185678937</c:v>
                </c:pt>
                <c:pt idx="49">
                  <c:v>2515.8552793266954</c:v>
                </c:pt>
                <c:pt idx="50">
                  <c:v>2532.6013178400613</c:v>
                </c:pt>
                <c:pt idx="51">
                  <c:v>2543.5768210370493</c:v>
                </c:pt>
                <c:pt idx="52">
                  <c:v>2552.5700119951453</c:v>
                </c:pt>
                <c:pt idx="53">
                  <c:v>2555.4077771416037</c:v>
                </c:pt>
                <c:pt idx="54">
                  <c:v>2562.4111038705155</c:v>
                </c:pt>
                <c:pt idx="55">
                  <c:v>2575.3506245691565</c:v>
                </c:pt>
                <c:pt idx="56">
                  <c:v>2580.1624353612174</c:v>
                </c:pt>
                <c:pt idx="57">
                  <c:v>2585.6320981173453</c:v>
                </c:pt>
                <c:pt idx="58">
                  <c:v>2591.789028446618</c:v>
                </c:pt>
                <c:pt idx="59">
                  <c:v>2597.4500142475131</c:v>
                </c:pt>
                <c:pt idx="60">
                  <c:v>2606.9666512575968</c:v>
                </c:pt>
                <c:pt idx="61">
                  <c:v>2612.354335523873</c:v>
                </c:pt>
                <c:pt idx="62">
                  <c:v>2625.3582849659269</c:v>
                </c:pt>
                <c:pt idx="63">
                  <c:v>2642.7976339607558</c:v>
                </c:pt>
                <c:pt idx="64">
                  <c:v>2647.9280329994463</c:v>
                </c:pt>
                <c:pt idx="65">
                  <c:v>2654.3550396368601</c:v>
                </c:pt>
                <c:pt idx="66">
                  <c:v>2673.6690423347254</c:v>
                </c:pt>
                <c:pt idx="67">
                  <c:v>2679.9674352849156</c:v>
                </c:pt>
                <c:pt idx="68">
                  <c:v>2679.9674352849156</c:v>
                </c:pt>
                <c:pt idx="69">
                  <c:v>2689.6674102611514</c:v>
                </c:pt>
                <c:pt idx="70">
                  <c:v>2688.973392096957</c:v>
                </c:pt>
                <c:pt idx="71">
                  <c:v>2676.8109683758216</c:v>
                </c:pt>
                <c:pt idx="72">
                  <c:v>2679.5755547229032</c:v>
                </c:pt>
                <c:pt idx="73">
                  <c:v>2694.1365454214911</c:v>
                </c:pt>
                <c:pt idx="74">
                  <c:v>2697.0118242793792</c:v>
                </c:pt>
                <c:pt idx="75">
                  <c:v>2706.1556374086172</c:v>
                </c:pt>
                <c:pt idx="76">
                  <c:v>2706.7924548282954</c:v>
                </c:pt>
                <c:pt idx="77">
                  <c:v>2691.1983026878206</c:v>
                </c:pt>
                <c:pt idx="78">
                  <c:v>2692.7365697523746</c:v>
                </c:pt>
                <c:pt idx="79">
                  <c:v>2703.1562118276292</c:v>
                </c:pt>
                <c:pt idx="80">
                  <c:v>2699.8312968573823</c:v>
                </c:pt>
                <c:pt idx="81">
                  <c:v>2701.3744984711984</c:v>
                </c:pt>
                <c:pt idx="82">
                  <c:v>2703.1039315097614</c:v>
                </c:pt>
                <c:pt idx="83">
                  <c:v>2710.3218282454964</c:v>
                </c:pt>
                <c:pt idx="84">
                  <c:v>2727.1284391866229</c:v>
                </c:pt>
                <c:pt idx="85">
                  <c:v>2741.4598792115489</c:v>
                </c:pt>
                <c:pt idx="86">
                  <c:v>2742.3738514915367</c:v>
                </c:pt>
                <c:pt idx="87">
                  <c:v>2749.4033224351347</c:v>
                </c:pt>
                <c:pt idx="88">
                  <c:v>2748.557482318</c:v>
                </c:pt>
                <c:pt idx="89">
                  <c:v>2760.0536976556182</c:v>
                </c:pt>
                <c:pt idx="90">
                  <c:v>2768.6539025413572</c:v>
                </c:pt>
                <c:pt idx="91">
                  <c:v>2772.3479031979246</c:v>
                </c:pt>
                <c:pt idx="92">
                  <c:v>2774.277164013065</c:v>
                </c:pt>
                <c:pt idx="93">
                  <c:v>2783.1690704003677</c:v>
                </c:pt>
                <c:pt idx="94">
                  <c:v>2769.4198307463785</c:v>
                </c:pt>
                <c:pt idx="95">
                  <c:v>2759.9409358604985</c:v>
                </c:pt>
                <c:pt idx="96">
                  <c:v>2767.3106002080485</c:v>
                </c:pt>
                <c:pt idx="97">
                  <c:v>2763.0564725296367</c:v>
                </c:pt>
              </c:numCache>
            </c:numRef>
          </c:val>
          <c:smooth val="0"/>
          <c:extLst>
            <c:ext xmlns:c16="http://schemas.microsoft.com/office/drawing/2014/chart" uri="{C3380CC4-5D6E-409C-BE32-E72D297353CC}">
              <c16:uniqueId val="{0000000E-7E4B-3D49-BD87-5802764BAE94}"/>
            </c:ext>
          </c:extLst>
        </c:ser>
        <c:ser>
          <c:idx val="15"/>
          <c:order val="15"/>
          <c:tx>
            <c:strRef>
              <c:f>Graphs!$A$72</c:f>
              <c:strCache>
                <c:ptCount val="1"/>
                <c:pt idx="0">
                  <c:v>Total Index</c:v>
                </c:pt>
              </c:strCache>
            </c:strRef>
          </c:tx>
          <c:spPr>
            <a:ln w="28575" cap="rnd">
              <a:solidFill>
                <a:schemeClr val="accent4">
                  <a:lumMod val="80000"/>
                  <a:lumOff val="20000"/>
                </a:schemeClr>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Graphs!$B$44:$CU$44</c:f>
              <c:strCache>
                <c:ptCount val="98"/>
                <c:pt idx="0">
                  <c:v>Apr-11</c:v>
                </c:pt>
                <c:pt idx="1">
                  <c:v>May-11</c:v>
                </c:pt>
                <c:pt idx="2">
                  <c:v>Jun-11</c:v>
                </c:pt>
                <c:pt idx="3">
                  <c:v>Jul-11</c:v>
                </c:pt>
                <c:pt idx="4">
                  <c:v>Aug-11</c:v>
                </c:pt>
                <c:pt idx="5">
                  <c:v>Sep-11</c:v>
                </c:pt>
                <c:pt idx="6">
                  <c:v>Oct-11</c:v>
                </c:pt>
                <c:pt idx="7">
                  <c:v>Nov-11</c:v>
                </c:pt>
                <c:pt idx="8">
                  <c:v>Dec-11</c:v>
                </c:pt>
                <c:pt idx="9">
                  <c:v>Jan-12</c:v>
                </c:pt>
                <c:pt idx="10">
                  <c:v>Feb-12</c:v>
                </c:pt>
                <c:pt idx="11">
                  <c:v>Mar-12</c:v>
                </c:pt>
                <c:pt idx="12">
                  <c:v>Apr-12</c:v>
                </c:pt>
                <c:pt idx="13">
                  <c:v>May-12</c:v>
                </c:pt>
                <c:pt idx="14">
                  <c:v>Jun-12</c:v>
                </c:pt>
                <c:pt idx="15">
                  <c:v>Jul-12</c:v>
                </c:pt>
                <c:pt idx="16">
                  <c:v>Aug-12</c:v>
                </c:pt>
                <c:pt idx="17">
                  <c:v>Sep-12</c:v>
                </c:pt>
                <c:pt idx="18">
                  <c:v>Oct-12</c:v>
                </c:pt>
                <c:pt idx="19">
                  <c:v>Nov-12</c:v>
                </c:pt>
                <c:pt idx="20">
                  <c:v>Dec-12</c:v>
                </c:pt>
                <c:pt idx="21">
                  <c:v>Jan-13</c:v>
                </c:pt>
                <c:pt idx="22">
                  <c:v>Feb-13</c:v>
                </c:pt>
                <c:pt idx="23">
                  <c:v>Mar-13</c:v>
                </c:pt>
                <c:pt idx="24">
                  <c:v>Apr-13</c:v>
                </c:pt>
                <c:pt idx="25">
                  <c:v>May-13</c:v>
                </c:pt>
                <c:pt idx="26">
                  <c:v>Jun-13</c:v>
                </c:pt>
                <c:pt idx="27">
                  <c:v>Jul-13</c:v>
                </c:pt>
                <c:pt idx="28">
                  <c:v>Aug-13</c:v>
                </c:pt>
                <c:pt idx="29">
                  <c:v>Sep-13</c:v>
                </c:pt>
                <c:pt idx="30">
                  <c:v>Oct-13</c:v>
                </c:pt>
                <c:pt idx="31">
                  <c:v>Nov-13</c:v>
                </c:pt>
                <c:pt idx="32">
                  <c:v>Dec-13</c:v>
                </c:pt>
                <c:pt idx="33">
                  <c:v>Jan-14</c:v>
                </c:pt>
                <c:pt idx="34">
                  <c:v>Feb-14</c:v>
                </c:pt>
                <c:pt idx="35">
                  <c:v>Mar-14</c:v>
                </c:pt>
                <c:pt idx="36">
                  <c:v>Apr-14</c:v>
                </c:pt>
                <c:pt idx="37">
                  <c:v>May-14</c:v>
                </c:pt>
                <c:pt idx="38">
                  <c:v>Jun-14</c:v>
                </c:pt>
                <c:pt idx="39">
                  <c:v>Jul-14</c:v>
                </c:pt>
                <c:pt idx="40">
                  <c:v>Aug-14</c:v>
                </c:pt>
                <c:pt idx="41">
                  <c:v>Sep-14</c:v>
                </c:pt>
                <c:pt idx="42">
                  <c:v>Oct-14</c:v>
                </c:pt>
                <c:pt idx="43">
                  <c:v>Nov-14</c:v>
                </c:pt>
                <c:pt idx="44">
                  <c:v>12/31/14</c:v>
                </c:pt>
                <c:pt idx="45">
                  <c:v>01/31/15</c:v>
                </c:pt>
                <c:pt idx="46">
                  <c:v>02/28/15</c:v>
                </c:pt>
                <c:pt idx="47">
                  <c:v>03/31/15</c:v>
                </c:pt>
                <c:pt idx="48">
                  <c:v>04/30/15</c:v>
                </c:pt>
                <c:pt idx="49">
                  <c:v>05/31/15</c:v>
                </c:pt>
                <c:pt idx="50">
                  <c:v>06/30/15</c:v>
                </c:pt>
                <c:pt idx="51">
                  <c:v>07/31/15</c:v>
                </c:pt>
                <c:pt idx="52">
                  <c:v>08/31/15</c:v>
                </c:pt>
                <c:pt idx="53">
                  <c:v>09/30/15</c:v>
                </c:pt>
                <c:pt idx="54">
                  <c:v>10/31/15</c:v>
                </c:pt>
                <c:pt idx="55">
                  <c:v>11/30/15</c:v>
                </c:pt>
                <c:pt idx="56">
                  <c:v>12/31/15</c:v>
                </c:pt>
                <c:pt idx="57">
                  <c:v>01/31/16</c:v>
                </c:pt>
                <c:pt idx="58">
                  <c:v>02/29/16</c:v>
                </c:pt>
                <c:pt idx="59">
                  <c:v>03/31/16</c:v>
                </c:pt>
                <c:pt idx="60">
                  <c:v>04/30/16</c:v>
                </c:pt>
                <c:pt idx="61">
                  <c:v>05/31/16</c:v>
                </c:pt>
                <c:pt idx="62">
                  <c:v>06/30/16</c:v>
                </c:pt>
                <c:pt idx="63">
                  <c:v>07/31/16</c:v>
                </c:pt>
                <c:pt idx="64">
                  <c:v>08/31/16</c:v>
                </c:pt>
                <c:pt idx="65">
                  <c:v>09/30/16</c:v>
                </c:pt>
                <c:pt idx="66">
                  <c:v>10/31/16</c:v>
                </c:pt>
                <c:pt idx="67">
                  <c:v>11/30/16</c:v>
                </c:pt>
                <c:pt idx="68">
                  <c:v>12/31/16</c:v>
                </c:pt>
                <c:pt idx="69">
                  <c:v>01/31/17</c:v>
                </c:pt>
                <c:pt idx="70">
                  <c:v>02/28/17</c:v>
                </c:pt>
                <c:pt idx="71">
                  <c:v>03/31/17</c:v>
                </c:pt>
                <c:pt idx="72">
                  <c:v>04/30/17</c:v>
                </c:pt>
                <c:pt idx="73">
                  <c:v>05/31/17</c:v>
                </c:pt>
                <c:pt idx="74">
                  <c:v>06/30/17</c:v>
                </c:pt>
                <c:pt idx="75">
                  <c:v>07/31/17</c:v>
                </c:pt>
                <c:pt idx="76">
                  <c:v>08/31/17</c:v>
                </c:pt>
                <c:pt idx="77">
                  <c:v>09/30/17</c:v>
                </c:pt>
                <c:pt idx="78">
                  <c:v>10/31/17</c:v>
                </c:pt>
                <c:pt idx="79">
                  <c:v>11/30/17</c:v>
                </c:pt>
                <c:pt idx="80">
                  <c:v>12/31/17</c:v>
                </c:pt>
                <c:pt idx="81">
                  <c:v>01/31/18</c:v>
                </c:pt>
                <c:pt idx="82">
                  <c:v>02/28/18</c:v>
                </c:pt>
                <c:pt idx="83">
                  <c:v>03/31/18</c:v>
                </c:pt>
                <c:pt idx="84">
                  <c:v>04/30/18</c:v>
                </c:pt>
                <c:pt idx="85">
                  <c:v>05/31/18</c:v>
                </c:pt>
                <c:pt idx="86">
                  <c:v>06/30/18</c:v>
                </c:pt>
                <c:pt idx="87">
                  <c:v>07/31/18</c:v>
                </c:pt>
                <c:pt idx="88">
                  <c:v>08/31/18</c:v>
                </c:pt>
                <c:pt idx="89">
                  <c:v>09/30/18</c:v>
                </c:pt>
                <c:pt idx="90">
                  <c:v>10/31/18</c:v>
                </c:pt>
                <c:pt idx="91">
                  <c:v>11/30/18</c:v>
                </c:pt>
                <c:pt idx="92">
                  <c:v>12/31/18</c:v>
                </c:pt>
                <c:pt idx="93">
                  <c:v>01/31/19</c:v>
                </c:pt>
                <c:pt idx="94">
                  <c:v>02/28/19</c:v>
                </c:pt>
                <c:pt idx="95">
                  <c:v>03/31/19</c:v>
                </c:pt>
                <c:pt idx="96">
                  <c:v>04/30/19</c:v>
                </c:pt>
                <c:pt idx="97">
                  <c:v>05/31/19</c:v>
                </c:pt>
              </c:strCache>
            </c:strRef>
          </c:cat>
          <c:val>
            <c:numRef>
              <c:f>Graphs!$B$72:$CU$72</c:f>
              <c:numCache>
                <c:formatCode>General</c:formatCode>
                <c:ptCount val="98"/>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numCache>
            </c:numRef>
          </c:val>
          <c:smooth val="0"/>
          <c:extLst>
            <c:ext xmlns:c16="http://schemas.microsoft.com/office/drawing/2014/chart" uri="{C3380CC4-5D6E-409C-BE32-E72D297353CC}">
              <c16:uniqueId val="{0000000F-7E4B-3D49-BD87-5802764BAE94}"/>
            </c:ext>
          </c:extLst>
        </c:ser>
        <c:dLbls>
          <c:showLegendKey val="0"/>
          <c:showVal val="0"/>
          <c:showCatName val="0"/>
          <c:showSerName val="0"/>
          <c:showPercent val="0"/>
          <c:showBubbleSize val="0"/>
        </c:dLbls>
        <c:smooth val="0"/>
        <c:axId val="445885760"/>
        <c:axId val="445884192"/>
      </c:lineChart>
      <c:catAx>
        <c:axId val="4458857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5884192"/>
        <c:crosses val="autoZero"/>
        <c:auto val="1"/>
        <c:lblAlgn val="ctr"/>
        <c:lblOffset val="100"/>
        <c:noMultiLvlLbl val="0"/>
      </c:catAx>
      <c:valAx>
        <c:axId val="4458841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5885760"/>
        <c:crosses val="autoZero"/>
        <c:crossBetween val="between"/>
      </c:valAx>
      <c:spPr>
        <a:noFill/>
        <a:ln>
          <a:noFill/>
        </a:ln>
        <a:effectLst/>
      </c:spPr>
    </c:plotArea>
    <c:legend>
      <c:legendPos val="r"/>
      <c:legendEntry>
        <c:idx val="0"/>
        <c:delete val="1"/>
      </c:legendEntry>
      <c:legendEntry>
        <c:idx val="1"/>
        <c:delete val="1"/>
      </c:legendEntry>
      <c:legendEntry>
        <c:idx val="2"/>
        <c:delete val="1"/>
      </c:legendEntry>
      <c:legendEntry>
        <c:idx val="3"/>
        <c:delete val="1"/>
      </c:legendEntry>
      <c:legendEntry>
        <c:idx val="4"/>
        <c:delete val="1"/>
      </c:legendEntry>
      <c:legendEntry>
        <c:idx val="5"/>
        <c:delete val="1"/>
      </c:legendEntry>
      <c:legendEntry>
        <c:idx val="6"/>
        <c:delete val="1"/>
      </c:legendEntry>
      <c:legendEntry>
        <c:idx val="7"/>
        <c:delete val="1"/>
      </c:legendEntry>
      <c:legendEntry>
        <c:idx val="8"/>
        <c:delete val="1"/>
      </c:legendEntry>
      <c:legendEntry>
        <c:idx val="9"/>
        <c:delete val="1"/>
      </c:legendEntry>
      <c:legendEntry>
        <c:idx val="10"/>
        <c:delete val="1"/>
      </c:legendEntry>
      <c:legendEntry>
        <c:idx val="11"/>
        <c:delete val="1"/>
      </c:legendEntry>
      <c:legendEntry>
        <c:idx val="12"/>
        <c:delete val="1"/>
      </c:legendEntry>
      <c:legendEntry>
        <c:idx val="13"/>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Entry>
      <c:legendEntry>
        <c:idx val="14"/>
        <c:delete val="1"/>
      </c:legendEntry>
      <c:legendEntry>
        <c:idx val="15"/>
        <c:delete val="1"/>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Defenses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Graphs!$A$60</c:f>
              <c:strCache>
                <c:ptCount val="1"/>
                <c:pt idx="0">
                  <c:v>Defenses: Vulnerability to known threats</c:v>
                </c:pt>
              </c:strCache>
            </c:strRef>
          </c:tx>
          <c:spPr>
            <a:ln w="28575" cap="rnd">
              <a:solidFill>
                <a:schemeClr val="accent1"/>
              </a:solidFill>
              <a:round/>
            </a:ln>
            <a:effectLst/>
          </c:spPr>
          <c:marker>
            <c:symbol val="none"/>
          </c:marker>
          <c:cat>
            <c:strRef>
              <c:f>Graphs!$B$59:$CU$59</c:f>
              <c:strCache>
                <c:ptCount val="98"/>
                <c:pt idx="0">
                  <c:v>Apr-11</c:v>
                </c:pt>
                <c:pt idx="1">
                  <c:v>May-11</c:v>
                </c:pt>
                <c:pt idx="2">
                  <c:v>Jun-11</c:v>
                </c:pt>
                <c:pt idx="3">
                  <c:v>Jul-11</c:v>
                </c:pt>
                <c:pt idx="4">
                  <c:v>Aug-11</c:v>
                </c:pt>
                <c:pt idx="5">
                  <c:v>Sep-11</c:v>
                </c:pt>
                <c:pt idx="6">
                  <c:v>Oct-11</c:v>
                </c:pt>
                <c:pt idx="7">
                  <c:v>Nov-11</c:v>
                </c:pt>
                <c:pt idx="8">
                  <c:v>Dec-11</c:v>
                </c:pt>
                <c:pt idx="9">
                  <c:v>Jan-12</c:v>
                </c:pt>
                <c:pt idx="10">
                  <c:v>Feb-12</c:v>
                </c:pt>
                <c:pt idx="11">
                  <c:v>Mar-12</c:v>
                </c:pt>
                <c:pt idx="12">
                  <c:v>Apr-12</c:v>
                </c:pt>
                <c:pt idx="13">
                  <c:v>May-12</c:v>
                </c:pt>
                <c:pt idx="14">
                  <c:v>Jun-12</c:v>
                </c:pt>
                <c:pt idx="15">
                  <c:v>Jul-12</c:v>
                </c:pt>
                <c:pt idx="16">
                  <c:v>Aug-12</c:v>
                </c:pt>
                <c:pt idx="17">
                  <c:v>Sep-12</c:v>
                </c:pt>
                <c:pt idx="18">
                  <c:v>Oct-12</c:v>
                </c:pt>
                <c:pt idx="19">
                  <c:v>Nov-12</c:v>
                </c:pt>
                <c:pt idx="20">
                  <c:v>Dec-12</c:v>
                </c:pt>
                <c:pt idx="21">
                  <c:v>Jan-13</c:v>
                </c:pt>
                <c:pt idx="22">
                  <c:v>Feb-13</c:v>
                </c:pt>
                <c:pt idx="23">
                  <c:v>Mar-13</c:v>
                </c:pt>
                <c:pt idx="24">
                  <c:v>Apr-13</c:v>
                </c:pt>
                <c:pt idx="25">
                  <c:v>May-13</c:v>
                </c:pt>
                <c:pt idx="26">
                  <c:v>Jun-13</c:v>
                </c:pt>
                <c:pt idx="27">
                  <c:v>Jul-13</c:v>
                </c:pt>
                <c:pt idx="28">
                  <c:v>Aug-13</c:v>
                </c:pt>
                <c:pt idx="29">
                  <c:v>Sep-13</c:v>
                </c:pt>
                <c:pt idx="30">
                  <c:v>Oct-13</c:v>
                </c:pt>
                <c:pt idx="31">
                  <c:v>Nov-13</c:v>
                </c:pt>
                <c:pt idx="32">
                  <c:v>Dec-13</c:v>
                </c:pt>
                <c:pt idx="33">
                  <c:v>Jan-14</c:v>
                </c:pt>
                <c:pt idx="34">
                  <c:v>Feb-14</c:v>
                </c:pt>
                <c:pt idx="35">
                  <c:v>Mar-14</c:v>
                </c:pt>
                <c:pt idx="36">
                  <c:v>Apr-14</c:v>
                </c:pt>
                <c:pt idx="37">
                  <c:v>May-14</c:v>
                </c:pt>
                <c:pt idx="38">
                  <c:v>Jun-14</c:v>
                </c:pt>
                <c:pt idx="39">
                  <c:v>Jul-14</c:v>
                </c:pt>
                <c:pt idx="40">
                  <c:v>Aug-14</c:v>
                </c:pt>
                <c:pt idx="41">
                  <c:v>Sep-14</c:v>
                </c:pt>
                <c:pt idx="42">
                  <c:v>Oct-14</c:v>
                </c:pt>
                <c:pt idx="43">
                  <c:v>Nov-14</c:v>
                </c:pt>
                <c:pt idx="44">
                  <c:v>12/31/14</c:v>
                </c:pt>
                <c:pt idx="45">
                  <c:v>01/31/15</c:v>
                </c:pt>
                <c:pt idx="46">
                  <c:v>02/28/15</c:v>
                </c:pt>
                <c:pt idx="47">
                  <c:v>03/31/15</c:v>
                </c:pt>
                <c:pt idx="48">
                  <c:v>04/30/15</c:v>
                </c:pt>
                <c:pt idx="49">
                  <c:v>05/31/15</c:v>
                </c:pt>
                <c:pt idx="50">
                  <c:v>06/30/15</c:v>
                </c:pt>
                <c:pt idx="51">
                  <c:v>07/31/15</c:v>
                </c:pt>
                <c:pt idx="52">
                  <c:v>08/31/15</c:v>
                </c:pt>
                <c:pt idx="53">
                  <c:v>09/30/15</c:v>
                </c:pt>
                <c:pt idx="54">
                  <c:v>10/31/15</c:v>
                </c:pt>
                <c:pt idx="55">
                  <c:v>11/30/15</c:v>
                </c:pt>
                <c:pt idx="56">
                  <c:v>12/31/15</c:v>
                </c:pt>
                <c:pt idx="57">
                  <c:v>01/31/16</c:v>
                </c:pt>
                <c:pt idx="58">
                  <c:v>02/29/16</c:v>
                </c:pt>
                <c:pt idx="59">
                  <c:v>03/31/16</c:v>
                </c:pt>
                <c:pt idx="60">
                  <c:v>04/30/16</c:v>
                </c:pt>
                <c:pt idx="61">
                  <c:v>05/31/16</c:v>
                </c:pt>
                <c:pt idx="62">
                  <c:v>06/30/16</c:v>
                </c:pt>
                <c:pt idx="63">
                  <c:v>07/31/16</c:v>
                </c:pt>
                <c:pt idx="64">
                  <c:v>08/31/16</c:v>
                </c:pt>
                <c:pt idx="65">
                  <c:v>09/30/16</c:v>
                </c:pt>
                <c:pt idx="66">
                  <c:v>10/31/16</c:v>
                </c:pt>
                <c:pt idx="67">
                  <c:v>11/30/16</c:v>
                </c:pt>
                <c:pt idx="68">
                  <c:v>12/31/16</c:v>
                </c:pt>
                <c:pt idx="69">
                  <c:v>01/31/17</c:v>
                </c:pt>
                <c:pt idx="70">
                  <c:v>02/28/17</c:v>
                </c:pt>
                <c:pt idx="71">
                  <c:v>03/31/17</c:v>
                </c:pt>
                <c:pt idx="72">
                  <c:v>04/30/17</c:v>
                </c:pt>
                <c:pt idx="73">
                  <c:v>05/31/17</c:v>
                </c:pt>
                <c:pt idx="74">
                  <c:v>06/30/17</c:v>
                </c:pt>
                <c:pt idx="75">
                  <c:v>07/31/17</c:v>
                </c:pt>
                <c:pt idx="76">
                  <c:v>08/31/17</c:v>
                </c:pt>
                <c:pt idx="77">
                  <c:v>09/30/17</c:v>
                </c:pt>
                <c:pt idx="78">
                  <c:v>10/31/17</c:v>
                </c:pt>
                <c:pt idx="79">
                  <c:v>11/30/17</c:v>
                </c:pt>
                <c:pt idx="80">
                  <c:v>12/31/17</c:v>
                </c:pt>
                <c:pt idx="81">
                  <c:v>01/31/18</c:v>
                </c:pt>
                <c:pt idx="82">
                  <c:v>02/28/18</c:v>
                </c:pt>
                <c:pt idx="83">
                  <c:v>03/31/18</c:v>
                </c:pt>
                <c:pt idx="84">
                  <c:v>04/30/18</c:v>
                </c:pt>
                <c:pt idx="85">
                  <c:v>05/31/18</c:v>
                </c:pt>
                <c:pt idx="86">
                  <c:v>06/30/18</c:v>
                </c:pt>
                <c:pt idx="87">
                  <c:v>07/31/18</c:v>
                </c:pt>
                <c:pt idx="88">
                  <c:v>08/31/18</c:v>
                </c:pt>
                <c:pt idx="89">
                  <c:v>09/30/18</c:v>
                </c:pt>
                <c:pt idx="90">
                  <c:v>10/31/18</c:v>
                </c:pt>
                <c:pt idx="91">
                  <c:v>11/30/18</c:v>
                </c:pt>
                <c:pt idx="92">
                  <c:v>12/31/18</c:v>
                </c:pt>
                <c:pt idx="93">
                  <c:v>01/31/19</c:v>
                </c:pt>
                <c:pt idx="94">
                  <c:v>02/28/19</c:v>
                </c:pt>
                <c:pt idx="95">
                  <c:v>03/31/19</c:v>
                </c:pt>
                <c:pt idx="96">
                  <c:v>04/30/19</c:v>
                </c:pt>
                <c:pt idx="97">
                  <c:v>05/31/19</c:v>
                </c:pt>
              </c:strCache>
            </c:strRef>
          </c:cat>
          <c:val>
            <c:numRef>
              <c:f>Graphs!$B$60:$CU$60</c:f>
              <c:numCache>
                <c:formatCode>General</c:formatCode>
                <c:ptCount val="98"/>
                <c:pt idx="0">
                  <c:v>1010.6193697555466</c:v>
                </c:pt>
                <c:pt idx="1">
                  <c:v>1013.8730154304494</c:v>
                </c:pt>
                <c:pt idx="2">
                  <c:v>1013.8730154304494</c:v>
                </c:pt>
                <c:pt idx="3">
                  <c:v>1008.7308133854847</c:v>
                </c:pt>
                <c:pt idx="4">
                  <c:v>1012.4584122392997</c:v>
                </c:pt>
                <c:pt idx="5">
                  <c:v>1017.9960014561888</c:v>
                </c:pt>
                <c:pt idx="6">
                  <c:v>1022.564412661091</c:v>
                </c:pt>
                <c:pt idx="7">
                  <c:v>1018.464137607309</c:v>
                </c:pt>
                <c:pt idx="8">
                  <c:v>1021.4062563276769</c:v>
                </c:pt>
                <c:pt idx="9">
                  <c:v>1023.9210016892142</c:v>
                </c:pt>
                <c:pt idx="10">
                  <c:v>1019.9565889205263</c:v>
                </c:pt>
                <c:pt idx="11">
                  <c:v>1019.9565889205263</c:v>
                </c:pt>
                <c:pt idx="12">
                  <c:v>1029.271196522438</c:v>
                </c:pt>
                <c:pt idx="13">
                  <c:v>1038.6301689737084</c:v>
                </c:pt>
                <c:pt idx="14">
                  <c:v>1061.0655801529399</c:v>
                </c:pt>
                <c:pt idx="15">
                  <c:v>1072.6398119144401</c:v>
                </c:pt>
                <c:pt idx="16">
                  <c:v>1088.2226847846321</c:v>
                </c:pt>
                <c:pt idx="17">
                  <c:v>1109.1207009991726</c:v>
                </c:pt>
                <c:pt idx="18">
                  <c:v>1124.8278932064832</c:v>
                </c:pt>
                <c:pt idx="19">
                  <c:v>1137.7906702325708</c:v>
                </c:pt>
                <c:pt idx="20">
                  <c:v>1146.5019132788304</c:v>
                </c:pt>
                <c:pt idx="21">
                  <c:v>1160.530994518605</c:v>
                </c:pt>
                <c:pt idx="22">
                  <c:v>1183.2610234404865</c:v>
                </c:pt>
                <c:pt idx="23">
                  <c:v>1201.7808628249968</c:v>
                </c:pt>
                <c:pt idx="24">
                  <c:v>1204.9476089866916</c:v>
                </c:pt>
                <c:pt idx="25">
                  <c:v>1214.2045234964073</c:v>
                </c:pt>
                <c:pt idx="26">
                  <c:v>1214.2045234964073</c:v>
                </c:pt>
                <c:pt idx="27">
                  <c:v>1228.1607445525708</c:v>
                </c:pt>
                <c:pt idx="28">
                  <c:v>1235.1323100553905</c:v>
                </c:pt>
                <c:pt idx="29">
                  <c:v>1241.4825907559634</c:v>
                </c:pt>
                <c:pt idx="30">
                  <c:v>1247.1963844860604</c:v>
                </c:pt>
                <c:pt idx="31">
                  <c:v>1255.5388042172435</c:v>
                </c:pt>
                <c:pt idx="32">
                  <c:v>1274.1870867652169</c:v>
                </c:pt>
                <c:pt idx="33">
                  <c:v>1276.1795603028693</c:v>
                </c:pt>
                <c:pt idx="34">
                  <c:v>1292.6076264795395</c:v>
                </c:pt>
                <c:pt idx="35">
                  <c:v>1295.7641758932257</c:v>
                </c:pt>
                <c:pt idx="36">
                  <c:v>1330.8858915546882</c:v>
                </c:pt>
                <c:pt idx="37">
                  <c:v>1326.3565054918492</c:v>
                </c:pt>
                <c:pt idx="38">
                  <c:v>1328.7849878878758</c:v>
                </c:pt>
                <c:pt idx="39">
                  <c:v>1320.2701969746945</c:v>
                </c:pt>
                <c:pt idx="40">
                  <c:v>1328.9431859932768</c:v>
                </c:pt>
                <c:pt idx="41">
                  <c:v>1358.5362575122685</c:v>
                </c:pt>
                <c:pt idx="42">
                  <c:v>1367.5563840697255</c:v>
                </c:pt>
                <c:pt idx="43">
                  <c:v>1374.7730237471837</c:v>
                </c:pt>
                <c:pt idx="44">
                  <c:v>1382.0277458677799</c:v>
                </c:pt>
                <c:pt idx="45">
                  <c:v>1388.3239889699576</c:v>
                </c:pt>
                <c:pt idx="46">
                  <c:v>1381.0362157805628</c:v>
                </c:pt>
                <c:pt idx="47">
                  <c:v>1381.0362157805628</c:v>
                </c:pt>
                <c:pt idx="48">
                  <c:v>1388.3239889699576</c:v>
                </c:pt>
                <c:pt idx="49">
                  <c:v>1388.3239889699576</c:v>
                </c:pt>
                <c:pt idx="50">
                  <c:v>1388.3239889699576</c:v>
                </c:pt>
                <c:pt idx="51">
                  <c:v>1403.4143193406555</c:v>
                </c:pt>
                <c:pt idx="52">
                  <c:v>1395.1831739772081</c:v>
                </c:pt>
                <c:pt idx="53">
                  <c:v>1395.1831739772081</c:v>
                </c:pt>
                <c:pt idx="54">
                  <c:v>1395.1831739772081</c:v>
                </c:pt>
                <c:pt idx="55">
                  <c:v>1395.1831739772081</c:v>
                </c:pt>
                <c:pt idx="56">
                  <c:v>1395.1831739772081</c:v>
                </c:pt>
                <c:pt idx="57">
                  <c:v>1395.1831739772081</c:v>
                </c:pt>
                <c:pt idx="58">
                  <c:v>1387.661989146708</c:v>
                </c:pt>
                <c:pt idx="59">
                  <c:v>1387.661989146708</c:v>
                </c:pt>
                <c:pt idx="60">
                  <c:v>1387.661989146708</c:v>
                </c:pt>
                <c:pt idx="61">
                  <c:v>1387.661989146708</c:v>
                </c:pt>
                <c:pt idx="62">
                  <c:v>1387.661989146708</c:v>
                </c:pt>
                <c:pt idx="63">
                  <c:v>1387.661989146708</c:v>
                </c:pt>
                <c:pt idx="64">
                  <c:v>1396.0975984399638</c:v>
                </c:pt>
                <c:pt idx="65">
                  <c:v>1396.0975984399638</c:v>
                </c:pt>
                <c:pt idx="66">
                  <c:v>1396.0975984399638</c:v>
                </c:pt>
                <c:pt idx="67">
                  <c:v>1387.9093662722044</c:v>
                </c:pt>
                <c:pt idx="68">
                  <c:v>1387.9093662722044</c:v>
                </c:pt>
                <c:pt idx="69">
                  <c:v>1387.9093662722044</c:v>
                </c:pt>
                <c:pt idx="70">
                  <c:v>1387.9093662722044</c:v>
                </c:pt>
                <c:pt idx="71">
                  <c:v>1387.9093662722044</c:v>
                </c:pt>
                <c:pt idx="72">
                  <c:v>1396.8925671563318</c:v>
                </c:pt>
                <c:pt idx="73">
                  <c:v>1396.8925671563318</c:v>
                </c:pt>
                <c:pt idx="74">
                  <c:v>1396.8925671563318</c:v>
                </c:pt>
                <c:pt idx="75">
                  <c:v>1396.8925671563318</c:v>
                </c:pt>
                <c:pt idx="76">
                  <c:v>1396.8925671563318</c:v>
                </c:pt>
                <c:pt idx="77">
                  <c:v>1381.4574480910408</c:v>
                </c:pt>
                <c:pt idx="78">
                  <c:v>1381.4574480910408</c:v>
                </c:pt>
                <c:pt idx="79">
                  <c:v>1381.4574480910408</c:v>
                </c:pt>
                <c:pt idx="80">
                  <c:v>1381.4574480910408</c:v>
                </c:pt>
                <c:pt idx="81">
                  <c:v>1391.3603266109369</c:v>
                </c:pt>
                <c:pt idx="82">
                  <c:v>1380.2738490361658</c:v>
                </c:pt>
                <c:pt idx="83">
                  <c:v>1380.2738490361658</c:v>
                </c:pt>
                <c:pt idx="84">
                  <c:v>1380.2738490361658</c:v>
                </c:pt>
                <c:pt idx="85">
                  <c:v>1380.2738490361658</c:v>
                </c:pt>
                <c:pt idx="86">
                  <c:v>1368.8193602848023</c:v>
                </c:pt>
                <c:pt idx="87">
                  <c:v>1357.9124910493729</c:v>
                </c:pt>
                <c:pt idx="88">
                  <c:v>1347.5070824599304</c:v>
                </c:pt>
                <c:pt idx="89">
                  <c:v>1347.5070824599304</c:v>
                </c:pt>
                <c:pt idx="90">
                  <c:v>1362.5628717553825</c:v>
                </c:pt>
                <c:pt idx="91">
                  <c:v>1351.2553612215518</c:v>
                </c:pt>
                <c:pt idx="92">
                  <c:v>1339.5562540040771</c:v>
                </c:pt>
                <c:pt idx="93">
                  <c:v>1328.8825556916247</c:v>
                </c:pt>
                <c:pt idx="94">
                  <c:v>1316.2866072658212</c:v>
                </c:pt>
                <c:pt idx="95">
                  <c:v>1306.9180590042288</c:v>
                </c:pt>
                <c:pt idx="96">
                  <c:v>1299.6775343121999</c:v>
                </c:pt>
                <c:pt idx="97">
                  <c:v>1289.7183684099946</c:v>
                </c:pt>
              </c:numCache>
            </c:numRef>
          </c:val>
          <c:smooth val="0"/>
          <c:extLst>
            <c:ext xmlns:c16="http://schemas.microsoft.com/office/drawing/2014/chart" uri="{C3380CC4-5D6E-409C-BE32-E72D297353CC}">
              <c16:uniqueId val="{00000000-1BC1-D940-BA47-01EA8A3A0241}"/>
            </c:ext>
          </c:extLst>
        </c:ser>
        <c:ser>
          <c:idx val="1"/>
          <c:order val="1"/>
          <c:tx>
            <c:strRef>
              <c:f>Graphs!$A$61</c:f>
              <c:strCache>
                <c:ptCount val="1"/>
                <c:pt idx="0">
                  <c:v>Defenses: Vulnerability to unknown threats</c:v>
                </c:pt>
              </c:strCache>
            </c:strRef>
          </c:tx>
          <c:spPr>
            <a:ln w="28575" cap="rnd">
              <a:solidFill>
                <a:schemeClr val="accent2"/>
              </a:solidFill>
              <a:round/>
            </a:ln>
            <a:effectLst/>
          </c:spPr>
          <c:marker>
            <c:symbol val="none"/>
          </c:marker>
          <c:cat>
            <c:strRef>
              <c:f>Graphs!$B$59:$CU$59</c:f>
              <c:strCache>
                <c:ptCount val="98"/>
                <c:pt idx="0">
                  <c:v>Apr-11</c:v>
                </c:pt>
                <c:pt idx="1">
                  <c:v>May-11</c:v>
                </c:pt>
                <c:pt idx="2">
                  <c:v>Jun-11</c:v>
                </c:pt>
                <c:pt idx="3">
                  <c:v>Jul-11</c:v>
                </c:pt>
                <c:pt idx="4">
                  <c:v>Aug-11</c:v>
                </c:pt>
                <c:pt idx="5">
                  <c:v>Sep-11</c:v>
                </c:pt>
                <c:pt idx="6">
                  <c:v>Oct-11</c:v>
                </c:pt>
                <c:pt idx="7">
                  <c:v>Nov-11</c:v>
                </c:pt>
                <c:pt idx="8">
                  <c:v>Dec-11</c:v>
                </c:pt>
                <c:pt idx="9">
                  <c:v>Jan-12</c:v>
                </c:pt>
                <c:pt idx="10">
                  <c:v>Feb-12</c:v>
                </c:pt>
                <c:pt idx="11">
                  <c:v>Mar-12</c:v>
                </c:pt>
                <c:pt idx="12">
                  <c:v>Apr-12</c:v>
                </c:pt>
                <c:pt idx="13">
                  <c:v>May-12</c:v>
                </c:pt>
                <c:pt idx="14">
                  <c:v>Jun-12</c:v>
                </c:pt>
                <c:pt idx="15">
                  <c:v>Jul-12</c:v>
                </c:pt>
                <c:pt idx="16">
                  <c:v>Aug-12</c:v>
                </c:pt>
                <c:pt idx="17">
                  <c:v>Sep-12</c:v>
                </c:pt>
                <c:pt idx="18">
                  <c:v>Oct-12</c:v>
                </c:pt>
                <c:pt idx="19">
                  <c:v>Nov-12</c:v>
                </c:pt>
                <c:pt idx="20">
                  <c:v>Dec-12</c:v>
                </c:pt>
                <c:pt idx="21">
                  <c:v>Jan-13</c:v>
                </c:pt>
                <c:pt idx="22">
                  <c:v>Feb-13</c:v>
                </c:pt>
                <c:pt idx="23">
                  <c:v>Mar-13</c:v>
                </c:pt>
                <c:pt idx="24">
                  <c:v>Apr-13</c:v>
                </c:pt>
                <c:pt idx="25">
                  <c:v>May-13</c:v>
                </c:pt>
                <c:pt idx="26">
                  <c:v>Jun-13</c:v>
                </c:pt>
                <c:pt idx="27">
                  <c:v>Jul-13</c:v>
                </c:pt>
                <c:pt idx="28">
                  <c:v>Aug-13</c:v>
                </c:pt>
                <c:pt idx="29">
                  <c:v>Sep-13</c:v>
                </c:pt>
                <c:pt idx="30">
                  <c:v>Oct-13</c:v>
                </c:pt>
                <c:pt idx="31">
                  <c:v>Nov-13</c:v>
                </c:pt>
                <c:pt idx="32">
                  <c:v>Dec-13</c:v>
                </c:pt>
                <c:pt idx="33">
                  <c:v>Jan-14</c:v>
                </c:pt>
                <c:pt idx="34">
                  <c:v>Feb-14</c:v>
                </c:pt>
                <c:pt idx="35">
                  <c:v>Mar-14</c:v>
                </c:pt>
                <c:pt idx="36">
                  <c:v>Apr-14</c:v>
                </c:pt>
                <c:pt idx="37">
                  <c:v>May-14</c:v>
                </c:pt>
                <c:pt idx="38">
                  <c:v>Jun-14</c:v>
                </c:pt>
                <c:pt idx="39">
                  <c:v>Jul-14</c:v>
                </c:pt>
                <c:pt idx="40">
                  <c:v>Aug-14</c:v>
                </c:pt>
                <c:pt idx="41">
                  <c:v>Sep-14</c:v>
                </c:pt>
                <c:pt idx="42">
                  <c:v>Oct-14</c:v>
                </c:pt>
                <c:pt idx="43">
                  <c:v>Nov-14</c:v>
                </c:pt>
                <c:pt idx="44">
                  <c:v>12/31/14</c:v>
                </c:pt>
                <c:pt idx="45">
                  <c:v>01/31/15</c:v>
                </c:pt>
                <c:pt idx="46">
                  <c:v>02/28/15</c:v>
                </c:pt>
                <c:pt idx="47">
                  <c:v>03/31/15</c:v>
                </c:pt>
                <c:pt idx="48">
                  <c:v>04/30/15</c:v>
                </c:pt>
                <c:pt idx="49">
                  <c:v>05/31/15</c:v>
                </c:pt>
                <c:pt idx="50">
                  <c:v>06/30/15</c:v>
                </c:pt>
                <c:pt idx="51">
                  <c:v>07/31/15</c:v>
                </c:pt>
                <c:pt idx="52">
                  <c:v>08/31/15</c:v>
                </c:pt>
                <c:pt idx="53">
                  <c:v>09/30/15</c:v>
                </c:pt>
                <c:pt idx="54">
                  <c:v>10/31/15</c:v>
                </c:pt>
                <c:pt idx="55">
                  <c:v>11/30/15</c:v>
                </c:pt>
                <c:pt idx="56">
                  <c:v>12/31/15</c:v>
                </c:pt>
                <c:pt idx="57">
                  <c:v>01/31/16</c:v>
                </c:pt>
                <c:pt idx="58">
                  <c:v>02/29/16</c:v>
                </c:pt>
                <c:pt idx="59">
                  <c:v>03/31/16</c:v>
                </c:pt>
                <c:pt idx="60">
                  <c:v>04/30/16</c:v>
                </c:pt>
                <c:pt idx="61">
                  <c:v>05/31/16</c:v>
                </c:pt>
                <c:pt idx="62">
                  <c:v>06/30/16</c:v>
                </c:pt>
                <c:pt idx="63">
                  <c:v>07/31/16</c:v>
                </c:pt>
                <c:pt idx="64">
                  <c:v>08/31/16</c:v>
                </c:pt>
                <c:pt idx="65">
                  <c:v>09/30/16</c:v>
                </c:pt>
                <c:pt idx="66">
                  <c:v>10/31/16</c:v>
                </c:pt>
                <c:pt idx="67">
                  <c:v>11/30/16</c:v>
                </c:pt>
                <c:pt idx="68">
                  <c:v>12/31/16</c:v>
                </c:pt>
                <c:pt idx="69">
                  <c:v>01/31/17</c:v>
                </c:pt>
                <c:pt idx="70">
                  <c:v>02/28/17</c:v>
                </c:pt>
                <c:pt idx="71">
                  <c:v>03/31/17</c:v>
                </c:pt>
                <c:pt idx="72">
                  <c:v>04/30/17</c:v>
                </c:pt>
                <c:pt idx="73">
                  <c:v>05/31/17</c:v>
                </c:pt>
                <c:pt idx="74">
                  <c:v>06/30/17</c:v>
                </c:pt>
                <c:pt idx="75">
                  <c:v>07/31/17</c:v>
                </c:pt>
                <c:pt idx="76">
                  <c:v>08/31/17</c:v>
                </c:pt>
                <c:pt idx="77">
                  <c:v>09/30/17</c:v>
                </c:pt>
                <c:pt idx="78">
                  <c:v>10/31/17</c:v>
                </c:pt>
                <c:pt idx="79">
                  <c:v>11/30/17</c:v>
                </c:pt>
                <c:pt idx="80">
                  <c:v>12/31/17</c:v>
                </c:pt>
                <c:pt idx="81">
                  <c:v>01/31/18</c:v>
                </c:pt>
                <c:pt idx="82">
                  <c:v>02/28/18</c:v>
                </c:pt>
                <c:pt idx="83">
                  <c:v>03/31/18</c:v>
                </c:pt>
                <c:pt idx="84">
                  <c:v>04/30/18</c:v>
                </c:pt>
                <c:pt idx="85">
                  <c:v>05/31/18</c:v>
                </c:pt>
                <c:pt idx="86">
                  <c:v>06/30/18</c:v>
                </c:pt>
                <c:pt idx="87">
                  <c:v>07/31/18</c:v>
                </c:pt>
                <c:pt idx="88">
                  <c:v>08/31/18</c:v>
                </c:pt>
                <c:pt idx="89">
                  <c:v>09/30/18</c:v>
                </c:pt>
                <c:pt idx="90">
                  <c:v>10/31/18</c:v>
                </c:pt>
                <c:pt idx="91">
                  <c:v>11/30/18</c:v>
                </c:pt>
                <c:pt idx="92">
                  <c:v>12/31/18</c:v>
                </c:pt>
                <c:pt idx="93">
                  <c:v>01/31/19</c:v>
                </c:pt>
                <c:pt idx="94">
                  <c:v>02/28/19</c:v>
                </c:pt>
                <c:pt idx="95">
                  <c:v>03/31/19</c:v>
                </c:pt>
                <c:pt idx="96">
                  <c:v>04/30/19</c:v>
                </c:pt>
                <c:pt idx="97">
                  <c:v>05/31/19</c:v>
                </c:pt>
              </c:strCache>
            </c:strRef>
          </c:cat>
          <c:val>
            <c:numRef>
              <c:f>Graphs!$B$61:$CU$61</c:f>
              <c:numCache>
                <c:formatCode>General</c:formatCode>
                <c:ptCount val="98"/>
                <c:pt idx="0">
                  <c:v>1028.9317485995875</c:v>
                </c:pt>
                <c:pt idx="1">
                  <c:v>1044.4820606013377</c:v>
                </c:pt>
                <c:pt idx="2">
                  <c:v>1057.6200275856736</c:v>
                </c:pt>
                <c:pt idx="3">
                  <c:v>1058.0682666243504</c:v>
                </c:pt>
                <c:pt idx="4">
                  <c:v>1071.1576050422977</c:v>
                </c:pt>
                <c:pt idx="5">
                  <c:v>1100.2727673242191</c:v>
                </c:pt>
                <c:pt idx="6">
                  <c:v>1106.4482765120074</c:v>
                </c:pt>
                <c:pt idx="7">
                  <c:v>1112.3915833513161</c:v>
                </c:pt>
                <c:pt idx="8">
                  <c:v>1120.4426333753265</c:v>
                </c:pt>
                <c:pt idx="9">
                  <c:v>1139.4288114923786</c:v>
                </c:pt>
                <c:pt idx="10">
                  <c:v>1146.8196752503163</c:v>
                </c:pt>
                <c:pt idx="11">
                  <c:v>1155.7157907391804</c:v>
                </c:pt>
                <c:pt idx="12">
                  <c:v>1182.2828131493418</c:v>
                </c:pt>
                <c:pt idx="13">
                  <c:v>1211.1678846359309</c:v>
                </c:pt>
                <c:pt idx="14">
                  <c:v>1259.4788083826684</c:v>
                </c:pt>
                <c:pt idx="15">
                  <c:v>1289.5365585775</c:v>
                </c:pt>
                <c:pt idx="16">
                  <c:v>1326.6384764879849</c:v>
                </c:pt>
                <c:pt idx="17">
                  <c:v>1371.3565815722384</c:v>
                </c:pt>
                <c:pt idx="18">
                  <c:v>1405.3404998950787</c:v>
                </c:pt>
                <c:pt idx="19">
                  <c:v>1424.5005894790531</c:v>
                </c:pt>
                <c:pt idx="20">
                  <c:v>1452.5386434780287</c:v>
                </c:pt>
                <c:pt idx="21">
                  <c:v>1487.2986126864892</c:v>
                </c:pt>
                <c:pt idx="22">
                  <c:v>1538.1527023957028</c:v>
                </c:pt>
                <c:pt idx="23">
                  <c:v>1587.8808591976187</c:v>
                </c:pt>
                <c:pt idx="24">
                  <c:v>1608.2065798509991</c:v>
                </c:pt>
                <c:pt idx="25">
                  <c:v>1643.0400320762794</c:v>
                </c:pt>
                <c:pt idx="26">
                  <c:v>1676.0606071231173</c:v>
                </c:pt>
                <c:pt idx="27">
                  <c:v>1690.4885867624514</c:v>
                </c:pt>
                <c:pt idx="28">
                  <c:v>1727.5698412884965</c:v>
                </c:pt>
                <c:pt idx="29">
                  <c:v>1753.2291123627906</c:v>
                </c:pt>
                <c:pt idx="30">
                  <c:v>1784.8179791262214</c:v>
                </c:pt>
                <c:pt idx="31">
                  <c:v>1820.8736940084173</c:v>
                </c:pt>
                <c:pt idx="32">
                  <c:v>1840.825060291935</c:v>
                </c:pt>
                <c:pt idx="33">
                  <c:v>1858.1639442571657</c:v>
                </c:pt>
                <c:pt idx="34">
                  <c:v>1871.1732071328136</c:v>
                </c:pt>
                <c:pt idx="35">
                  <c:v>1905.7169711189615</c:v>
                </c:pt>
                <c:pt idx="36">
                  <c:v>1942.6331509259078</c:v>
                </c:pt>
                <c:pt idx="37">
                  <c:v>1972.6646759642992</c:v>
                </c:pt>
                <c:pt idx="38">
                  <c:v>1983.5200335947718</c:v>
                </c:pt>
                <c:pt idx="39">
                  <c:v>2009.1870829108684</c:v>
                </c:pt>
                <c:pt idx="40">
                  <c:v>2064.9606205565105</c:v>
                </c:pt>
                <c:pt idx="41">
                  <c:v>2132.4125971030562</c:v>
                </c:pt>
                <c:pt idx="42">
                  <c:v>2183.1819554425833</c:v>
                </c:pt>
                <c:pt idx="43">
                  <c:v>2250.2618406890979</c:v>
                </c:pt>
                <c:pt idx="44">
                  <c:v>2262.1365458737282</c:v>
                </c:pt>
                <c:pt idx="45">
                  <c:v>2272.4423893459216</c:v>
                </c:pt>
                <c:pt idx="46">
                  <c:v>2308.6078238835171</c:v>
                </c:pt>
                <c:pt idx="47">
                  <c:v>2308.6078238835171</c:v>
                </c:pt>
                <c:pt idx="48">
                  <c:v>2320.7904227259492</c:v>
                </c:pt>
                <c:pt idx="49">
                  <c:v>2320.7904227259492</c:v>
                </c:pt>
                <c:pt idx="50">
                  <c:v>2332.1390085913845</c:v>
                </c:pt>
                <c:pt idx="51">
                  <c:v>2332.1390085913845</c:v>
                </c:pt>
                <c:pt idx="52">
                  <c:v>2304.8628417222267</c:v>
                </c:pt>
                <c:pt idx="53">
                  <c:v>2304.8628417222267</c:v>
                </c:pt>
                <c:pt idx="54">
                  <c:v>2317.025678171553</c:v>
                </c:pt>
                <c:pt idx="55">
                  <c:v>2317.025678171553</c:v>
                </c:pt>
                <c:pt idx="56">
                  <c:v>2317.025678171553</c:v>
                </c:pt>
                <c:pt idx="57">
                  <c:v>2303.4361238218221</c:v>
                </c:pt>
                <c:pt idx="58">
                  <c:v>2291.0187085636321</c:v>
                </c:pt>
                <c:pt idx="59">
                  <c:v>2291.0187085636321</c:v>
                </c:pt>
                <c:pt idx="60">
                  <c:v>2291.0187085636321</c:v>
                </c:pt>
                <c:pt idx="61">
                  <c:v>2276.2855202195797</c:v>
                </c:pt>
                <c:pt idx="62">
                  <c:v>2276.2855202195797</c:v>
                </c:pt>
                <c:pt idx="63">
                  <c:v>2276.2855202195797</c:v>
                </c:pt>
                <c:pt idx="64">
                  <c:v>2290.123079681935</c:v>
                </c:pt>
                <c:pt idx="65">
                  <c:v>2290.123079681935</c:v>
                </c:pt>
                <c:pt idx="66">
                  <c:v>2290.123079681935</c:v>
                </c:pt>
                <c:pt idx="67">
                  <c:v>2290.123079681935</c:v>
                </c:pt>
                <c:pt idx="68">
                  <c:v>2290.123079681935</c:v>
                </c:pt>
                <c:pt idx="69">
                  <c:v>2290.123079681935</c:v>
                </c:pt>
                <c:pt idx="70">
                  <c:v>2290.123079681935</c:v>
                </c:pt>
                <c:pt idx="71">
                  <c:v>2290.123079681935</c:v>
                </c:pt>
                <c:pt idx="72">
                  <c:v>2304.9458312059883</c:v>
                </c:pt>
                <c:pt idx="73">
                  <c:v>2319.8645225355012</c:v>
                </c:pt>
                <c:pt idx="74">
                  <c:v>2319.8645225355012</c:v>
                </c:pt>
                <c:pt idx="75">
                  <c:v>2337.7784456186118</c:v>
                </c:pt>
                <c:pt idx="76">
                  <c:v>2324.0671745076961</c:v>
                </c:pt>
                <c:pt idx="77">
                  <c:v>2298.3871369746121</c:v>
                </c:pt>
                <c:pt idx="78">
                  <c:v>2298.3871369746121</c:v>
                </c:pt>
                <c:pt idx="79">
                  <c:v>2282.5907242008411</c:v>
                </c:pt>
                <c:pt idx="80">
                  <c:v>2282.5907242008411</c:v>
                </c:pt>
                <c:pt idx="81">
                  <c:v>2282.5907242008411</c:v>
                </c:pt>
                <c:pt idx="82">
                  <c:v>2264.4028469182736</c:v>
                </c:pt>
                <c:pt idx="83">
                  <c:v>2264.4028469182736</c:v>
                </c:pt>
                <c:pt idx="84">
                  <c:v>2285.0821819025382</c:v>
                </c:pt>
                <c:pt idx="85">
                  <c:v>2316.8189277775377</c:v>
                </c:pt>
                <c:pt idx="86">
                  <c:v>2297.5923254871987</c:v>
                </c:pt>
                <c:pt idx="87">
                  <c:v>2297.5923254871987</c:v>
                </c:pt>
                <c:pt idx="88">
                  <c:v>2279.9863405093402</c:v>
                </c:pt>
                <c:pt idx="89">
                  <c:v>2279.9863405093402</c:v>
                </c:pt>
                <c:pt idx="90">
                  <c:v>2305.4607846781619</c:v>
                </c:pt>
                <c:pt idx="91">
                  <c:v>2305.4607846781619</c:v>
                </c:pt>
                <c:pt idx="92">
                  <c:v>2285.5002104745931</c:v>
                </c:pt>
                <c:pt idx="93">
                  <c:v>2267.2891501576159</c:v>
                </c:pt>
                <c:pt idx="94">
                  <c:v>2245.7984194083469</c:v>
                </c:pt>
                <c:pt idx="95">
                  <c:v>2229.81415673949</c:v>
                </c:pt>
                <c:pt idx="96">
                  <c:v>2229.81415673949</c:v>
                </c:pt>
                <c:pt idx="97">
                  <c:v>2212.727542151044</c:v>
                </c:pt>
              </c:numCache>
            </c:numRef>
          </c:val>
          <c:smooth val="0"/>
          <c:extLst>
            <c:ext xmlns:c16="http://schemas.microsoft.com/office/drawing/2014/chart" uri="{C3380CC4-5D6E-409C-BE32-E72D297353CC}">
              <c16:uniqueId val="{00000001-1BC1-D940-BA47-01EA8A3A0241}"/>
            </c:ext>
          </c:extLst>
        </c:ser>
        <c:ser>
          <c:idx val="2"/>
          <c:order val="2"/>
          <c:tx>
            <c:strRef>
              <c:f>Graphs!$A$62</c:f>
              <c:strCache>
                <c:ptCount val="1"/>
                <c:pt idx="0">
                  <c:v>Vulnerability to known threats</c:v>
                </c:pt>
              </c:strCache>
            </c:strRef>
          </c:tx>
          <c:spPr>
            <a:ln w="28575" cap="rnd">
              <a:solidFill>
                <a:schemeClr val="accent3"/>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Graphs!$B$59:$CU$59</c:f>
              <c:strCache>
                <c:ptCount val="98"/>
                <c:pt idx="0">
                  <c:v>Apr-11</c:v>
                </c:pt>
                <c:pt idx="1">
                  <c:v>May-11</c:v>
                </c:pt>
                <c:pt idx="2">
                  <c:v>Jun-11</c:v>
                </c:pt>
                <c:pt idx="3">
                  <c:v>Jul-11</c:v>
                </c:pt>
                <c:pt idx="4">
                  <c:v>Aug-11</c:v>
                </c:pt>
                <c:pt idx="5">
                  <c:v>Sep-11</c:v>
                </c:pt>
                <c:pt idx="6">
                  <c:v>Oct-11</c:v>
                </c:pt>
                <c:pt idx="7">
                  <c:v>Nov-11</c:v>
                </c:pt>
                <c:pt idx="8">
                  <c:v>Dec-11</c:v>
                </c:pt>
                <c:pt idx="9">
                  <c:v>Jan-12</c:v>
                </c:pt>
                <c:pt idx="10">
                  <c:v>Feb-12</c:v>
                </c:pt>
                <c:pt idx="11">
                  <c:v>Mar-12</c:v>
                </c:pt>
                <c:pt idx="12">
                  <c:v>Apr-12</c:v>
                </c:pt>
                <c:pt idx="13">
                  <c:v>May-12</c:v>
                </c:pt>
                <c:pt idx="14">
                  <c:v>Jun-12</c:v>
                </c:pt>
                <c:pt idx="15">
                  <c:v>Jul-12</c:v>
                </c:pt>
                <c:pt idx="16">
                  <c:v>Aug-12</c:v>
                </c:pt>
                <c:pt idx="17">
                  <c:v>Sep-12</c:v>
                </c:pt>
                <c:pt idx="18">
                  <c:v>Oct-12</c:v>
                </c:pt>
                <c:pt idx="19">
                  <c:v>Nov-12</c:v>
                </c:pt>
                <c:pt idx="20">
                  <c:v>Dec-12</c:v>
                </c:pt>
                <c:pt idx="21">
                  <c:v>Jan-13</c:v>
                </c:pt>
                <c:pt idx="22">
                  <c:v>Feb-13</c:v>
                </c:pt>
                <c:pt idx="23">
                  <c:v>Mar-13</c:v>
                </c:pt>
                <c:pt idx="24">
                  <c:v>Apr-13</c:v>
                </c:pt>
                <c:pt idx="25">
                  <c:v>May-13</c:v>
                </c:pt>
                <c:pt idx="26">
                  <c:v>Jun-13</c:v>
                </c:pt>
                <c:pt idx="27">
                  <c:v>Jul-13</c:v>
                </c:pt>
                <c:pt idx="28">
                  <c:v>Aug-13</c:v>
                </c:pt>
                <c:pt idx="29">
                  <c:v>Sep-13</c:v>
                </c:pt>
                <c:pt idx="30">
                  <c:v>Oct-13</c:v>
                </c:pt>
                <c:pt idx="31">
                  <c:v>Nov-13</c:v>
                </c:pt>
                <c:pt idx="32">
                  <c:v>Dec-13</c:v>
                </c:pt>
                <c:pt idx="33">
                  <c:v>Jan-14</c:v>
                </c:pt>
                <c:pt idx="34">
                  <c:v>Feb-14</c:v>
                </c:pt>
                <c:pt idx="35">
                  <c:v>Mar-14</c:v>
                </c:pt>
                <c:pt idx="36">
                  <c:v>Apr-14</c:v>
                </c:pt>
                <c:pt idx="37">
                  <c:v>May-14</c:v>
                </c:pt>
                <c:pt idx="38">
                  <c:v>Jun-14</c:v>
                </c:pt>
                <c:pt idx="39">
                  <c:v>Jul-14</c:v>
                </c:pt>
                <c:pt idx="40">
                  <c:v>Aug-14</c:v>
                </c:pt>
                <c:pt idx="41">
                  <c:v>Sep-14</c:v>
                </c:pt>
                <c:pt idx="42">
                  <c:v>Oct-14</c:v>
                </c:pt>
                <c:pt idx="43">
                  <c:v>Nov-14</c:v>
                </c:pt>
                <c:pt idx="44">
                  <c:v>12/31/14</c:v>
                </c:pt>
                <c:pt idx="45">
                  <c:v>01/31/15</c:v>
                </c:pt>
                <c:pt idx="46">
                  <c:v>02/28/15</c:v>
                </c:pt>
                <c:pt idx="47">
                  <c:v>03/31/15</c:v>
                </c:pt>
                <c:pt idx="48">
                  <c:v>04/30/15</c:v>
                </c:pt>
                <c:pt idx="49">
                  <c:v>05/31/15</c:v>
                </c:pt>
                <c:pt idx="50">
                  <c:v>06/30/15</c:v>
                </c:pt>
                <c:pt idx="51">
                  <c:v>07/31/15</c:v>
                </c:pt>
                <c:pt idx="52">
                  <c:v>08/31/15</c:v>
                </c:pt>
                <c:pt idx="53">
                  <c:v>09/30/15</c:v>
                </c:pt>
                <c:pt idx="54">
                  <c:v>10/31/15</c:v>
                </c:pt>
                <c:pt idx="55">
                  <c:v>11/30/15</c:v>
                </c:pt>
                <c:pt idx="56">
                  <c:v>12/31/15</c:v>
                </c:pt>
                <c:pt idx="57">
                  <c:v>01/31/16</c:v>
                </c:pt>
                <c:pt idx="58">
                  <c:v>02/29/16</c:v>
                </c:pt>
                <c:pt idx="59">
                  <c:v>03/31/16</c:v>
                </c:pt>
                <c:pt idx="60">
                  <c:v>04/30/16</c:v>
                </c:pt>
                <c:pt idx="61">
                  <c:v>05/31/16</c:v>
                </c:pt>
                <c:pt idx="62">
                  <c:v>06/30/16</c:v>
                </c:pt>
                <c:pt idx="63">
                  <c:v>07/31/16</c:v>
                </c:pt>
                <c:pt idx="64">
                  <c:v>08/31/16</c:v>
                </c:pt>
                <c:pt idx="65">
                  <c:v>09/30/16</c:v>
                </c:pt>
                <c:pt idx="66">
                  <c:v>10/31/16</c:v>
                </c:pt>
                <c:pt idx="67">
                  <c:v>11/30/16</c:v>
                </c:pt>
                <c:pt idx="68">
                  <c:v>12/31/16</c:v>
                </c:pt>
                <c:pt idx="69">
                  <c:v>01/31/17</c:v>
                </c:pt>
                <c:pt idx="70">
                  <c:v>02/28/17</c:v>
                </c:pt>
                <c:pt idx="71">
                  <c:v>03/31/17</c:v>
                </c:pt>
                <c:pt idx="72">
                  <c:v>04/30/17</c:v>
                </c:pt>
                <c:pt idx="73">
                  <c:v>05/31/17</c:v>
                </c:pt>
                <c:pt idx="74">
                  <c:v>06/30/17</c:v>
                </c:pt>
                <c:pt idx="75">
                  <c:v>07/31/17</c:v>
                </c:pt>
                <c:pt idx="76">
                  <c:v>08/31/17</c:v>
                </c:pt>
                <c:pt idx="77">
                  <c:v>09/30/17</c:v>
                </c:pt>
                <c:pt idx="78">
                  <c:v>10/31/17</c:v>
                </c:pt>
                <c:pt idx="79">
                  <c:v>11/30/17</c:v>
                </c:pt>
                <c:pt idx="80">
                  <c:v>12/31/17</c:v>
                </c:pt>
                <c:pt idx="81">
                  <c:v>01/31/18</c:v>
                </c:pt>
                <c:pt idx="82">
                  <c:v>02/28/18</c:v>
                </c:pt>
                <c:pt idx="83">
                  <c:v>03/31/18</c:v>
                </c:pt>
                <c:pt idx="84">
                  <c:v>04/30/18</c:v>
                </c:pt>
                <c:pt idx="85">
                  <c:v>05/31/18</c:v>
                </c:pt>
                <c:pt idx="86">
                  <c:v>06/30/18</c:v>
                </c:pt>
                <c:pt idx="87">
                  <c:v>07/31/18</c:v>
                </c:pt>
                <c:pt idx="88">
                  <c:v>08/31/18</c:v>
                </c:pt>
                <c:pt idx="89">
                  <c:v>09/30/18</c:v>
                </c:pt>
                <c:pt idx="90">
                  <c:v>10/31/18</c:v>
                </c:pt>
                <c:pt idx="91">
                  <c:v>11/30/18</c:v>
                </c:pt>
                <c:pt idx="92">
                  <c:v>12/31/18</c:v>
                </c:pt>
                <c:pt idx="93">
                  <c:v>01/31/19</c:v>
                </c:pt>
                <c:pt idx="94">
                  <c:v>02/28/19</c:v>
                </c:pt>
                <c:pt idx="95">
                  <c:v>03/31/19</c:v>
                </c:pt>
                <c:pt idx="96">
                  <c:v>04/30/19</c:v>
                </c:pt>
                <c:pt idx="97">
                  <c:v>05/31/19</c:v>
                </c:pt>
              </c:strCache>
            </c:strRef>
          </c:cat>
          <c:val>
            <c:numRef>
              <c:f>Graphs!$B$62:$CU$62</c:f>
              <c:numCache>
                <c:formatCode>General</c:formatCode>
                <c:ptCount val="98"/>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numCache>
            </c:numRef>
          </c:val>
          <c:smooth val="0"/>
          <c:extLst>
            <c:ext xmlns:c16="http://schemas.microsoft.com/office/drawing/2014/chart" uri="{C3380CC4-5D6E-409C-BE32-E72D297353CC}">
              <c16:uniqueId val="{00000002-1BC1-D940-BA47-01EA8A3A0241}"/>
            </c:ext>
          </c:extLst>
        </c:ser>
        <c:ser>
          <c:idx val="3"/>
          <c:order val="3"/>
          <c:tx>
            <c:strRef>
              <c:f>Graphs!$A$63</c:f>
              <c:strCache>
                <c:ptCount val="1"/>
                <c:pt idx="0">
                  <c:v>Vulnerability to unknown threats</c:v>
                </c:pt>
              </c:strCache>
            </c:strRef>
          </c:tx>
          <c:spPr>
            <a:ln w="28575" cap="rnd">
              <a:no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Graphs!$B$59:$CU$59</c:f>
              <c:strCache>
                <c:ptCount val="98"/>
                <c:pt idx="0">
                  <c:v>Apr-11</c:v>
                </c:pt>
                <c:pt idx="1">
                  <c:v>May-11</c:v>
                </c:pt>
                <c:pt idx="2">
                  <c:v>Jun-11</c:v>
                </c:pt>
                <c:pt idx="3">
                  <c:v>Jul-11</c:v>
                </c:pt>
                <c:pt idx="4">
                  <c:v>Aug-11</c:v>
                </c:pt>
                <c:pt idx="5">
                  <c:v>Sep-11</c:v>
                </c:pt>
                <c:pt idx="6">
                  <c:v>Oct-11</c:v>
                </c:pt>
                <c:pt idx="7">
                  <c:v>Nov-11</c:v>
                </c:pt>
                <c:pt idx="8">
                  <c:v>Dec-11</c:v>
                </c:pt>
                <c:pt idx="9">
                  <c:v>Jan-12</c:v>
                </c:pt>
                <c:pt idx="10">
                  <c:v>Feb-12</c:v>
                </c:pt>
                <c:pt idx="11">
                  <c:v>Mar-12</c:v>
                </c:pt>
                <c:pt idx="12">
                  <c:v>Apr-12</c:v>
                </c:pt>
                <c:pt idx="13">
                  <c:v>May-12</c:v>
                </c:pt>
                <c:pt idx="14">
                  <c:v>Jun-12</c:v>
                </c:pt>
                <c:pt idx="15">
                  <c:v>Jul-12</c:v>
                </c:pt>
                <c:pt idx="16">
                  <c:v>Aug-12</c:v>
                </c:pt>
                <c:pt idx="17">
                  <c:v>Sep-12</c:v>
                </c:pt>
                <c:pt idx="18">
                  <c:v>Oct-12</c:v>
                </c:pt>
                <c:pt idx="19">
                  <c:v>Nov-12</c:v>
                </c:pt>
                <c:pt idx="20">
                  <c:v>Dec-12</c:v>
                </c:pt>
                <c:pt idx="21">
                  <c:v>Jan-13</c:v>
                </c:pt>
                <c:pt idx="22">
                  <c:v>Feb-13</c:v>
                </c:pt>
                <c:pt idx="23">
                  <c:v>Mar-13</c:v>
                </c:pt>
                <c:pt idx="24">
                  <c:v>Apr-13</c:v>
                </c:pt>
                <c:pt idx="25">
                  <c:v>May-13</c:v>
                </c:pt>
                <c:pt idx="26">
                  <c:v>Jun-13</c:v>
                </c:pt>
                <c:pt idx="27">
                  <c:v>Jul-13</c:v>
                </c:pt>
                <c:pt idx="28">
                  <c:v>Aug-13</c:v>
                </c:pt>
                <c:pt idx="29">
                  <c:v>Sep-13</c:v>
                </c:pt>
                <c:pt idx="30">
                  <c:v>Oct-13</c:v>
                </c:pt>
                <c:pt idx="31">
                  <c:v>Nov-13</c:v>
                </c:pt>
                <c:pt idx="32">
                  <c:v>Dec-13</c:v>
                </c:pt>
                <c:pt idx="33">
                  <c:v>Jan-14</c:v>
                </c:pt>
                <c:pt idx="34">
                  <c:v>Feb-14</c:v>
                </c:pt>
                <c:pt idx="35">
                  <c:v>Mar-14</c:v>
                </c:pt>
                <c:pt idx="36">
                  <c:v>Apr-14</c:v>
                </c:pt>
                <c:pt idx="37">
                  <c:v>May-14</c:v>
                </c:pt>
                <c:pt idx="38">
                  <c:v>Jun-14</c:v>
                </c:pt>
                <c:pt idx="39">
                  <c:v>Jul-14</c:v>
                </c:pt>
                <c:pt idx="40">
                  <c:v>Aug-14</c:v>
                </c:pt>
                <c:pt idx="41">
                  <c:v>Sep-14</c:v>
                </c:pt>
                <c:pt idx="42">
                  <c:v>Oct-14</c:v>
                </c:pt>
                <c:pt idx="43">
                  <c:v>Nov-14</c:v>
                </c:pt>
                <c:pt idx="44">
                  <c:v>12/31/14</c:v>
                </c:pt>
                <c:pt idx="45">
                  <c:v>01/31/15</c:v>
                </c:pt>
                <c:pt idx="46">
                  <c:v>02/28/15</c:v>
                </c:pt>
                <c:pt idx="47">
                  <c:v>03/31/15</c:v>
                </c:pt>
                <c:pt idx="48">
                  <c:v>04/30/15</c:v>
                </c:pt>
                <c:pt idx="49">
                  <c:v>05/31/15</c:v>
                </c:pt>
                <c:pt idx="50">
                  <c:v>06/30/15</c:v>
                </c:pt>
                <c:pt idx="51">
                  <c:v>07/31/15</c:v>
                </c:pt>
                <c:pt idx="52">
                  <c:v>08/31/15</c:v>
                </c:pt>
                <c:pt idx="53">
                  <c:v>09/30/15</c:v>
                </c:pt>
                <c:pt idx="54">
                  <c:v>10/31/15</c:v>
                </c:pt>
                <c:pt idx="55">
                  <c:v>11/30/15</c:v>
                </c:pt>
                <c:pt idx="56">
                  <c:v>12/31/15</c:v>
                </c:pt>
                <c:pt idx="57">
                  <c:v>01/31/16</c:v>
                </c:pt>
                <c:pt idx="58">
                  <c:v>02/29/16</c:v>
                </c:pt>
                <c:pt idx="59">
                  <c:v>03/31/16</c:v>
                </c:pt>
                <c:pt idx="60">
                  <c:v>04/30/16</c:v>
                </c:pt>
                <c:pt idx="61">
                  <c:v>05/31/16</c:v>
                </c:pt>
                <c:pt idx="62">
                  <c:v>06/30/16</c:v>
                </c:pt>
                <c:pt idx="63">
                  <c:v>07/31/16</c:v>
                </c:pt>
                <c:pt idx="64">
                  <c:v>08/31/16</c:v>
                </c:pt>
                <c:pt idx="65">
                  <c:v>09/30/16</c:v>
                </c:pt>
                <c:pt idx="66">
                  <c:v>10/31/16</c:v>
                </c:pt>
                <c:pt idx="67">
                  <c:v>11/30/16</c:v>
                </c:pt>
                <c:pt idx="68">
                  <c:v>12/31/16</c:v>
                </c:pt>
                <c:pt idx="69">
                  <c:v>01/31/17</c:v>
                </c:pt>
                <c:pt idx="70">
                  <c:v>02/28/17</c:v>
                </c:pt>
                <c:pt idx="71">
                  <c:v>03/31/17</c:v>
                </c:pt>
                <c:pt idx="72">
                  <c:v>04/30/17</c:v>
                </c:pt>
                <c:pt idx="73">
                  <c:v>05/31/17</c:v>
                </c:pt>
                <c:pt idx="74">
                  <c:v>06/30/17</c:v>
                </c:pt>
                <c:pt idx="75">
                  <c:v>07/31/17</c:v>
                </c:pt>
                <c:pt idx="76">
                  <c:v>08/31/17</c:v>
                </c:pt>
                <c:pt idx="77">
                  <c:v>09/30/17</c:v>
                </c:pt>
                <c:pt idx="78">
                  <c:v>10/31/17</c:v>
                </c:pt>
                <c:pt idx="79">
                  <c:v>11/30/17</c:v>
                </c:pt>
                <c:pt idx="80">
                  <c:v>12/31/17</c:v>
                </c:pt>
                <c:pt idx="81">
                  <c:v>01/31/18</c:v>
                </c:pt>
                <c:pt idx="82">
                  <c:v>02/28/18</c:v>
                </c:pt>
                <c:pt idx="83">
                  <c:v>03/31/18</c:v>
                </c:pt>
                <c:pt idx="84">
                  <c:v>04/30/18</c:v>
                </c:pt>
                <c:pt idx="85">
                  <c:v>05/31/18</c:v>
                </c:pt>
                <c:pt idx="86">
                  <c:v>06/30/18</c:v>
                </c:pt>
                <c:pt idx="87">
                  <c:v>07/31/18</c:v>
                </c:pt>
                <c:pt idx="88">
                  <c:v>08/31/18</c:v>
                </c:pt>
                <c:pt idx="89">
                  <c:v>09/30/18</c:v>
                </c:pt>
                <c:pt idx="90">
                  <c:v>10/31/18</c:v>
                </c:pt>
                <c:pt idx="91">
                  <c:v>11/30/18</c:v>
                </c:pt>
                <c:pt idx="92">
                  <c:v>12/31/18</c:v>
                </c:pt>
                <c:pt idx="93">
                  <c:v>01/31/19</c:v>
                </c:pt>
                <c:pt idx="94">
                  <c:v>02/28/19</c:v>
                </c:pt>
                <c:pt idx="95">
                  <c:v>03/31/19</c:v>
                </c:pt>
                <c:pt idx="96">
                  <c:v>04/30/19</c:v>
                </c:pt>
                <c:pt idx="97">
                  <c:v>05/31/19</c:v>
                </c:pt>
              </c:strCache>
            </c:strRef>
          </c:cat>
          <c:val>
            <c:numRef>
              <c:f>Graphs!$B$63:$CU$63</c:f>
              <c:numCache>
                <c:formatCode>General</c:formatCode>
                <c:ptCount val="98"/>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numCache>
            </c:numRef>
          </c:val>
          <c:smooth val="0"/>
          <c:extLst>
            <c:ext xmlns:c16="http://schemas.microsoft.com/office/drawing/2014/chart" uri="{C3380CC4-5D6E-409C-BE32-E72D297353CC}">
              <c16:uniqueId val="{00000003-1BC1-D940-BA47-01EA8A3A0241}"/>
            </c:ext>
          </c:extLst>
        </c:ser>
        <c:ser>
          <c:idx val="4"/>
          <c:order val="4"/>
          <c:tx>
            <c:strRef>
              <c:f>Graphs!$A$71</c:f>
              <c:strCache>
                <c:ptCount val="1"/>
                <c:pt idx="0">
                  <c:v>Total Index</c:v>
                </c:pt>
              </c:strCache>
            </c:strRef>
          </c:tx>
          <c:spPr>
            <a:ln w="28575" cap="rnd">
              <a:solidFill>
                <a:schemeClr val="accent5"/>
              </a:solidFill>
              <a:round/>
            </a:ln>
            <a:effectLst/>
          </c:spPr>
          <c:marker>
            <c:symbol val="none"/>
          </c:marker>
          <c:cat>
            <c:strRef>
              <c:f>Graphs!$B$59:$CU$59</c:f>
              <c:strCache>
                <c:ptCount val="98"/>
                <c:pt idx="0">
                  <c:v>Apr-11</c:v>
                </c:pt>
                <c:pt idx="1">
                  <c:v>May-11</c:v>
                </c:pt>
                <c:pt idx="2">
                  <c:v>Jun-11</c:v>
                </c:pt>
                <c:pt idx="3">
                  <c:v>Jul-11</c:v>
                </c:pt>
                <c:pt idx="4">
                  <c:v>Aug-11</c:v>
                </c:pt>
                <c:pt idx="5">
                  <c:v>Sep-11</c:v>
                </c:pt>
                <c:pt idx="6">
                  <c:v>Oct-11</c:v>
                </c:pt>
                <c:pt idx="7">
                  <c:v>Nov-11</c:v>
                </c:pt>
                <c:pt idx="8">
                  <c:v>Dec-11</c:v>
                </c:pt>
                <c:pt idx="9">
                  <c:v>Jan-12</c:v>
                </c:pt>
                <c:pt idx="10">
                  <c:v>Feb-12</c:v>
                </c:pt>
                <c:pt idx="11">
                  <c:v>Mar-12</c:v>
                </c:pt>
                <c:pt idx="12">
                  <c:v>Apr-12</c:v>
                </c:pt>
                <c:pt idx="13">
                  <c:v>May-12</c:v>
                </c:pt>
                <c:pt idx="14">
                  <c:v>Jun-12</c:v>
                </c:pt>
                <c:pt idx="15">
                  <c:v>Jul-12</c:v>
                </c:pt>
                <c:pt idx="16">
                  <c:v>Aug-12</c:v>
                </c:pt>
                <c:pt idx="17">
                  <c:v>Sep-12</c:v>
                </c:pt>
                <c:pt idx="18">
                  <c:v>Oct-12</c:v>
                </c:pt>
                <c:pt idx="19">
                  <c:v>Nov-12</c:v>
                </c:pt>
                <c:pt idx="20">
                  <c:v>Dec-12</c:v>
                </c:pt>
                <c:pt idx="21">
                  <c:v>Jan-13</c:v>
                </c:pt>
                <c:pt idx="22">
                  <c:v>Feb-13</c:v>
                </c:pt>
                <c:pt idx="23">
                  <c:v>Mar-13</c:v>
                </c:pt>
                <c:pt idx="24">
                  <c:v>Apr-13</c:v>
                </c:pt>
                <c:pt idx="25">
                  <c:v>May-13</c:v>
                </c:pt>
                <c:pt idx="26">
                  <c:v>Jun-13</c:v>
                </c:pt>
                <c:pt idx="27">
                  <c:v>Jul-13</c:v>
                </c:pt>
                <c:pt idx="28">
                  <c:v>Aug-13</c:v>
                </c:pt>
                <c:pt idx="29">
                  <c:v>Sep-13</c:v>
                </c:pt>
                <c:pt idx="30">
                  <c:v>Oct-13</c:v>
                </c:pt>
                <c:pt idx="31">
                  <c:v>Nov-13</c:v>
                </c:pt>
                <c:pt idx="32">
                  <c:v>Dec-13</c:v>
                </c:pt>
                <c:pt idx="33">
                  <c:v>Jan-14</c:v>
                </c:pt>
                <c:pt idx="34">
                  <c:v>Feb-14</c:v>
                </c:pt>
                <c:pt idx="35">
                  <c:v>Mar-14</c:v>
                </c:pt>
                <c:pt idx="36">
                  <c:v>Apr-14</c:v>
                </c:pt>
                <c:pt idx="37">
                  <c:v>May-14</c:v>
                </c:pt>
                <c:pt idx="38">
                  <c:v>Jun-14</c:v>
                </c:pt>
                <c:pt idx="39">
                  <c:v>Jul-14</c:v>
                </c:pt>
                <c:pt idx="40">
                  <c:v>Aug-14</c:v>
                </c:pt>
                <c:pt idx="41">
                  <c:v>Sep-14</c:v>
                </c:pt>
                <c:pt idx="42">
                  <c:v>Oct-14</c:v>
                </c:pt>
                <c:pt idx="43">
                  <c:v>Nov-14</c:v>
                </c:pt>
                <c:pt idx="44">
                  <c:v>12/31/14</c:v>
                </c:pt>
                <c:pt idx="45">
                  <c:v>01/31/15</c:v>
                </c:pt>
                <c:pt idx="46">
                  <c:v>02/28/15</c:v>
                </c:pt>
                <c:pt idx="47">
                  <c:v>03/31/15</c:v>
                </c:pt>
                <c:pt idx="48">
                  <c:v>04/30/15</c:v>
                </c:pt>
                <c:pt idx="49">
                  <c:v>05/31/15</c:v>
                </c:pt>
                <c:pt idx="50">
                  <c:v>06/30/15</c:v>
                </c:pt>
                <c:pt idx="51">
                  <c:v>07/31/15</c:v>
                </c:pt>
                <c:pt idx="52">
                  <c:v>08/31/15</c:v>
                </c:pt>
                <c:pt idx="53">
                  <c:v>09/30/15</c:v>
                </c:pt>
                <c:pt idx="54">
                  <c:v>10/31/15</c:v>
                </c:pt>
                <c:pt idx="55">
                  <c:v>11/30/15</c:v>
                </c:pt>
                <c:pt idx="56">
                  <c:v>12/31/15</c:v>
                </c:pt>
                <c:pt idx="57">
                  <c:v>01/31/16</c:v>
                </c:pt>
                <c:pt idx="58">
                  <c:v>02/29/16</c:v>
                </c:pt>
                <c:pt idx="59">
                  <c:v>03/31/16</c:v>
                </c:pt>
                <c:pt idx="60">
                  <c:v>04/30/16</c:v>
                </c:pt>
                <c:pt idx="61">
                  <c:v>05/31/16</c:v>
                </c:pt>
                <c:pt idx="62">
                  <c:v>06/30/16</c:v>
                </c:pt>
                <c:pt idx="63">
                  <c:v>07/31/16</c:v>
                </c:pt>
                <c:pt idx="64">
                  <c:v>08/31/16</c:v>
                </c:pt>
                <c:pt idx="65">
                  <c:v>09/30/16</c:v>
                </c:pt>
                <c:pt idx="66">
                  <c:v>10/31/16</c:v>
                </c:pt>
                <c:pt idx="67">
                  <c:v>11/30/16</c:v>
                </c:pt>
                <c:pt idx="68">
                  <c:v>12/31/16</c:v>
                </c:pt>
                <c:pt idx="69">
                  <c:v>01/31/17</c:v>
                </c:pt>
                <c:pt idx="70">
                  <c:v>02/28/17</c:v>
                </c:pt>
                <c:pt idx="71">
                  <c:v>03/31/17</c:v>
                </c:pt>
                <c:pt idx="72">
                  <c:v>04/30/17</c:v>
                </c:pt>
                <c:pt idx="73">
                  <c:v>05/31/17</c:v>
                </c:pt>
                <c:pt idx="74">
                  <c:v>06/30/17</c:v>
                </c:pt>
                <c:pt idx="75">
                  <c:v>07/31/17</c:v>
                </c:pt>
                <c:pt idx="76">
                  <c:v>08/31/17</c:v>
                </c:pt>
                <c:pt idx="77">
                  <c:v>09/30/17</c:v>
                </c:pt>
                <c:pt idx="78">
                  <c:v>10/31/17</c:v>
                </c:pt>
                <c:pt idx="79">
                  <c:v>11/30/17</c:v>
                </c:pt>
                <c:pt idx="80">
                  <c:v>12/31/17</c:v>
                </c:pt>
                <c:pt idx="81">
                  <c:v>01/31/18</c:v>
                </c:pt>
                <c:pt idx="82">
                  <c:v>02/28/18</c:v>
                </c:pt>
                <c:pt idx="83">
                  <c:v>03/31/18</c:v>
                </c:pt>
                <c:pt idx="84">
                  <c:v>04/30/18</c:v>
                </c:pt>
                <c:pt idx="85">
                  <c:v>05/31/18</c:v>
                </c:pt>
                <c:pt idx="86">
                  <c:v>06/30/18</c:v>
                </c:pt>
                <c:pt idx="87">
                  <c:v>07/31/18</c:v>
                </c:pt>
                <c:pt idx="88">
                  <c:v>08/31/18</c:v>
                </c:pt>
                <c:pt idx="89">
                  <c:v>09/30/18</c:v>
                </c:pt>
                <c:pt idx="90">
                  <c:v>10/31/18</c:v>
                </c:pt>
                <c:pt idx="91">
                  <c:v>11/30/18</c:v>
                </c:pt>
                <c:pt idx="92">
                  <c:v>12/31/18</c:v>
                </c:pt>
                <c:pt idx="93">
                  <c:v>01/31/19</c:v>
                </c:pt>
                <c:pt idx="94">
                  <c:v>02/28/19</c:v>
                </c:pt>
                <c:pt idx="95">
                  <c:v>03/31/19</c:v>
                </c:pt>
                <c:pt idx="96">
                  <c:v>04/30/19</c:v>
                </c:pt>
                <c:pt idx="97">
                  <c:v>05/31/19</c:v>
                </c:pt>
              </c:strCache>
            </c:strRef>
          </c:cat>
          <c:val>
            <c:numRef>
              <c:f>Graphs!$B$71:$CU$71</c:f>
              <c:numCache>
                <c:formatCode>General</c:formatCode>
                <c:ptCount val="98"/>
                <c:pt idx="0">
                  <c:v>1021.6</c:v>
                </c:pt>
                <c:pt idx="1">
                  <c:v>1043.2</c:v>
                </c:pt>
                <c:pt idx="2">
                  <c:v>1069.5</c:v>
                </c:pt>
                <c:pt idx="3">
                  <c:v>1089.5</c:v>
                </c:pt>
                <c:pt idx="4">
                  <c:v>1109.3</c:v>
                </c:pt>
                <c:pt idx="5">
                  <c:v>1132.2</c:v>
                </c:pt>
                <c:pt idx="6">
                  <c:v>1153.0999999999999</c:v>
                </c:pt>
                <c:pt idx="7">
                  <c:v>1166.8</c:v>
                </c:pt>
                <c:pt idx="8">
                  <c:v>1192.2560174247362</c:v>
                </c:pt>
                <c:pt idx="9">
                  <c:v>1216.7345117069915</c:v>
                </c:pt>
                <c:pt idx="10">
                  <c:v>1241.6114644573483</c:v>
                </c:pt>
                <c:pt idx="11">
                  <c:v>1263.8372484064614</c:v>
                </c:pt>
                <c:pt idx="12">
                  <c:v>1291.954121772281</c:v>
                </c:pt>
                <c:pt idx="13">
                  <c:v>1320.9733833573141</c:v>
                </c:pt>
                <c:pt idx="14">
                  <c:v>1358.9727609702948</c:v>
                </c:pt>
                <c:pt idx="15">
                  <c:v>1388.7548449125165</c:v>
                </c:pt>
                <c:pt idx="16">
                  <c:v>1414.8695815673807</c:v>
                </c:pt>
                <c:pt idx="17">
                  <c:v>1453.2188864900245</c:v>
                </c:pt>
                <c:pt idx="18">
                  <c:v>1497.7879970747615</c:v>
                </c:pt>
                <c:pt idx="19">
                  <c:v>1524.6468181743567</c:v>
                </c:pt>
                <c:pt idx="20">
                  <c:v>1565.4806060155393</c:v>
                </c:pt>
                <c:pt idx="21">
                  <c:v>1599.1570667306562</c:v>
                </c:pt>
                <c:pt idx="22">
                  <c:v>1648.0539895661518</c:v>
                </c:pt>
                <c:pt idx="23">
                  <c:v>1687.9621269591769</c:v>
                </c:pt>
                <c:pt idx="24">
                  <c:v>1718.4333644783312</c:v>
                </c:pt>
                <c:pt idx="25">
                  <c:v>1746.2741650195942</c:v>
                </c:pt>
                <c:pt idx="26">
                  <c:v>1774.0047683103246</c:v>
                </c:pt>
                <c:pt idx="27">
                  <c:v>1800.249535371677</c:v>
                </c:pt>
                <c:pt idx="28">
                  <c:v>1834.8159082243142</c:v>
                </c:pt>
                <c:pt idx="29">
                  <c:v>1863.7877106606745</c:v>
                </c:pt>
                <c:pt idx="30">
                  <c:v>1897.8332894230011</c:v>
                </c:pt>
                <c:pt idx="31">
                  <c:v>1922.9652909559802</c:v>
                </c:pt>
                <c:pt idx="32">
                  <c:v>1966.1930009282819</c:v>
                </c:pt>
                <c:pt idx="33">
                  <c:v>2007.5013773011312</c:v>
                </c:pt>
                <c:pt idx="34">
                  <c:v>2044.6291622782524</c:v>
                </c:pt>
                <c:pt idx="35">
                  <c:v>2079.9893547158995</c:v>
                </c:pt>
                <c:pt idx="36">
                  <c:v>2139.4003221570006</c:v>
                </c:pt>
                <c:pt idx="37">
                  <c:v>2172.819355585284</c:v>
                </c:pt>
                <c:pt idx="38">
                  <c:v>2197.4953826670535</c:v>
                </c:pt>
                <c:pt idx="39">
                  <c:v>2222.2456738611081</c:v>
                </c:pt>
                <c:pt idx="40">
                  <c:v>2265.3034547996785</c:v>
                </c:pt>
                <c:pt idx="41">
                  <c:v>2334.4589568921333</c:v>
                </c:pt>
                <c:pt idx="42">
                  <c:v>2394.9644550933554</c:v>
                </c:pt>
                <c:pt idx="43">
                  <c:v>2446.3698492065882</c:v>
                </c:pt>
                <c:pt idx="44">
                  <c:v>2474.3398981101286</c:v>
                </c:pt>
                <c:pt idx="45">
                  <c:v>2485.6124977829641</c:v>
                </c:pt>
                <c:pt idx="46">
                  <c:v>2496.1002987021789</c:v>
                </c:pt>
                <c:pt idx="47">
                  <c:v>2503.5998432905103</c:v>
                </c:pt>
                <c:pt idx="48">
                  <c:v>2510.461185678937</c:v>
                </c:pt>
                <c:pt idx="49">
                  <c:v>2515.8552793266954</c:v>
                </c:pt>
                <c:pt idx="50">
                  <c:v>2532.6013178400613</c:v>
                </c:pt>
                <c:pt idx="51">
                  <c:v>2543.5768210370493</c:v>
                </c:pt>
                <c:pt idx="52">
                  <c:v>2552.5700119951453</c:v>
                </c:pt>
                <c:pt idx="53">
                  <c:v>2555.4077771416037</c:v>
                </c:pt>
                <c:pt idx="54">
                  <c:v>2562.4111038705155</c:v>
                </c:pt>
                <c:pt idx="55">
                  <c:v>2575.3506245691565</c:v>
                </c:pt>
                <c:pt idx="56">
                  <c:v>2580.1624353612174</c:v>
                </c:pt>
                <c:pt idx="57">
                  <c:v>2585.6320981173453</c:v>
                </c:pt>
                <c:pt idx="58">
                  <c:v>2591.789028446618</c:v>
                </c:pt>
                <c:pt idx="59">
                  <c:v>2597.4500142475131</c:v>
                </c:pt>
                <c:pt idx="60">
                  <c:v>2606.9666512575968</c:v>
                </c:pt>
                <c:pt idx="61">
                  <c:v>2612.354335523873</c:v>
                </c:pt>
                <c:pt idx="62">
                  <c:v>2625.3582849659269</c:v>
                </c:pt>
                <c:pt idx="63">
                  <c:v>2642.7976339607558</c:v>
                </c:pt>
                <c:pt idx="64">
                  <c:v>2647.9280329994463</c:v>
                </c:pt>
                <c:pt idx="65">
                  <c:v>2654.3550396368601</c:v>
                </c:pt>
                <c:pt idx="66">
                  <c:v>2673.6690423347254</c:v>
                </c:pt>
                <c:pt idx="67">
                  <c:v>2679.9674352849156</c:v>
                </c:pt>
                <c:pt idx="68">
                  <c:v>2679.9674352849156</c:v>
                </c:pt>
                <c:pt idx="69">
                  <c:v>2689.6674102611514</c:v>
                </c:pt>
                <c:pt idx="70">
                  <c:v>2688.973392096957</c:v>
                </c:pt>
                <c:pt idx="71">
                  <c:v>2676.8109683758216</c:v>
                </c:pt>
                <c:pt idx="72">
                  <c:v>2679.5755547229032</c:v>
                </c:pt>
                <c:pt idx="73">
                  <c:v>2694.1365454214911</c:v>
                </c:pt>
                <c:pt idx="74">
                  <c:v>2697.0118242793792</c:v>
                </c:pt>
                <c:pt idx="75">
                  <c:v>2706.1556374086172</c:v>
                </c:pt>
                <c:pt idx="76">
                  <c:v>2706.7924548282954</c:v>
                </c:pt>
                <c:pt idx="77">
                  <c:v>2691.1983026878206</c:v>
                </c:pt>
                <c:pt idx="78">
                  <c:v>2692.7365697523746</c:v>
                </c:pt>
                <c:pt idx="79">
                  <c:v>2703.1562118276292</c:v>
                </c:pt>
                <c:pt idx="80">
                  <c:v>2699.8312968573823</c:v>
                </c:pt>
                <c:pt idx="81">
                  <c:v>2701.3744984711984</c:v>
                </c:pt>
                <c:pt idx="82">
                  <c:v>2703.1039315097614</c:v>
                </c:pt>
                <c:pt idx="83">
                  <c:v>2710.3218282454964</c:v>
                </c:pt>
                <c:pt idx="84">
                  <c:v>2727.1284391866229</c:v>
                </c:pt>
                <c:pt idx="85">
                  <c:v>2741.4598792115489</c:v>
                </c:pt>
                <c:pt idx="86">
                  <c:v>2742.3738514915367</c:v>
                </c:pt>
                <c:pt idx="87">
                  <c:v>2749.4033224351347</c:v>
                </c:pt>
                <c:pt idx="88">
                  <c:v>2748.557482318</c:v>
                </c:pt>
                <c:pt idx="89">
                  <c:v>2760.0536976556182</c:v>
                </c:pt>
                <c:pt idx="90">
                  <c:v>2768.6539025413572</c:v>
                </c:pt>
                <c:pt idx="91">
                  <c:v>2772.3479031979246</c:v>
                </c:pt>
                <c:pt idx="92">
                  <c:v>2774.277164013065</c:v>
                </c:pt>
                <c:pt idx="93">
                  <c:v>2783.1690704003677</c:v>
                </c:pt>
                <c:pt idx="94">
                  <c:v>2769.4198307463785</c:v>
                </c:pt>
                <c:pt idx="95">
                  <c:v>2759.9409358604985</c:v>
                </c:pt>
                <c:pt idx="96">
                  <c:v>2767.3106002080485</c:v>
                </c:pt>
                <c:pt idx="97">
                  <c:v>2763.0564725296367</c:v>
                </c:pt>
              </c:numCache>
            </c:numRef>
          </c:val>
          <c:smooth val="0"/>
          <c:extLst>
            <c:ext xmlns:c16="http://schemas.microsoft.com/office/drawing/2014/chart" uri="{C3380CC4-5D6E-409C-BE32-E72D297353CC}">
              <c16:uniqueId val="{00000004-1BC1-D940-BA47-01EA8A3A0241}"/>
            </c:ext>
          </c:extLst>
        </c:ser>
        <c:ser>
          <c:idx val="5"/>
          <c:order val="5"/>
          <c:tx>
            <c:strRef>
              <c:f>Graphs!$A$72</c:f>
              <c:strCache>
                <c:ptCount val="1"/>
                <c:pt idx="0">
                  <c:v>Total Index</c:v>
                </c:pt>
              </c:strCache>
            </c:strRef>
          </c:tx>
          <c:spPr>
            <a:ln w="28575" cap="rnd">
              <a:solidFill>
                <a:schemeClr val="bg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cat>
            <c:strRef>
              <c:f>Graphs!$B$59:$CU$59</c:f>
              <c:strCache>
                <c:ptCount val="98"/>
                <c:pt idx="0">
                  <c:v>Apr-11</c:v>
                </c:pt>
                <c:pt idx="1">
                  <c:v>May-11</c:v>
                </c:pt>
                <c:pt idx="2">
                  <c:v>Jun-11</c:v>
                </c:pt>
                <c:pt idx="3">
                  <c:v>Jul-11</c:v>
                </c:pt>
                <c:pt idx="4">
                  <c:v>Aug-11</c:v>
                </c:pt>
                <c:pt idx="5">
                  <c:v>Sep-11</c:v>
                </c:pt>
                <c:pt idx="6">
                  <c:v>Oct-11</c:v>
                </c:pt>
                <c:pt idx="7">
                  <c:v>Nov-11</c:v>
                </c:pt>
                <c:pt idx="8">
                  <c:v>Dec-11</c:v>
                </c:pt>
                <c:pt idx="9">
                  <c:v>Jan-12</c:v>
                </c:pt>
                <c:pt idx="10">
                  <c:v>Feb-12</c:v>
                </c:pt>
                <c:pt idx="11">
                  <c:v>Mar-12</c:v>
                </c:pt>
                <c:pt idx="12">
                  <c:v>Apr-12</c:v>
                </c:pt>
                <c:pt idx="13">
                  <c:v>May-12</c:v>
                </c:pt>
                <c:pt idx="14">
                  <c:v>Jun-12</c:v>
                </c:pt>
                <c:pt idx="15">
                  <c:v>Jul-12</c:v>
                </c:pt>
                <c:pt idx="16">
                  <c:v>Aug-12</c:v>
                </c:pt>
                <c:pt idx="17">
                  <c:v>Sep-12</c:v>
                </c:pt>
                <c:pt idx="18">
                  <c:v>Oct-12</c:v>
                </c:pt>
                <c:pt idx="19">
                  <c:v>Nov-12</c:v>
                </c:pt>
                <c:pt idx="20">
                  <c:v>Dec-12</c:v>
                </c:pt>
                <c:pt idx="21">
                  <c:v>Jan-13</c:v>
                </c:pt>
                <c:pt idx="22">
                  <c:v>Feb-13</c:v>
                </c:pt>
                <c:pt idx="23">
                  <c:v>Mar-13</c:v>
                </c:pt>
                <c:pt idx="24">
                  <c:v>Apr-13</c:v>
                </c:pt>
                <c:pt idx="25">
                  <c:v>May-13</c:v>
                </c:pt>
                <c:pt idx="26">
                  <c:v>Jun-13</c:v>
                </c:pt>
                <c:pt idx="27">
                  <c:v>Jul-13</c:v>
                </c:pt>
                <c:pt idx="28">
                  <c:v>Aug-13</c:v>
                </c:pt>
                <c:pt idx="29">
                  <c:v>Sep-13</c:v>
                </c:pt>
                <c:pt idx="30">
                  <c:v>Oct-13</c:v>
                </c:pt>
                <c:pt idx="31">
                  <c:v>Nov-13</c:v>
                </c:pt>
                <c:pt idx="32">
                  <c:v>Dec-13</c:v>
                </c:pt>
                <c:pt idx="33">
                  <c:v>Jan-14</c:v>
                </c:pt>
                <c:pt idx="34">
                  <c:v>Feb-14</c:v>
                </c:pt>
                <c:pt idx="35">
                  <c:v>Mar-14</c:v>
                </c:pt>
                <c:pt idx="36">
                  <c:v>Apr-14</c:v>
                </c:pt>
                <c:pt idx="37">
                  <c:v>May-14</c:v>
                </c:pt>
                <c:pt idx="38">
                  <c:v>Jun-14</c:v>
                </c:pt>
                <c:pt idx="39">
                  <c:v>Jul-14</c:v>
                </c:pt>
                <c:pt idx="40">
                  <c:v>Aug-14</c:v>
                </c:pt>
                <c:pt idx="41">
                  <c:v>Sep-14</c:v>
                </c:pt>
                <c:pt idx="42">
                  <c:v>Oct-14</c:v>
                </c:pt>
                <c:pt idx="43">
                  <c:v>Nov-14</c:v>
                </c:pt>
                <c:pt idx="44">
                  <c:v>12/31/14</c:v>
                </c:pt>
                <c:pt idx="45">
                  <c:v>01/31/15</c:v>
                </c:pt>
                <c:pt idx="46">
                  <c:v>02/28/15</c:v>
                </c:pt>
                <c:pt idx="47">
                  <c:v>03/31/15</c:v>
                </c:pt>
                <c:pt idx="48">
                  <c:v>04/30/15</c:v>
                </c:pt>
                <c:pt idx="49">
                  <c:v>05/31/15</c:v>
                </c:pt>
                <c:pt idx="50">
                  <c:v>06/30/15</c:v>
                </c:pt>
                <c:pt idx="51">
                  <c:v>07/31/15</c:v>
                </c:pt>
                <c:pt idx="52">
                  <c:v>08/31/15</c:v>
                </c:pt>
                <c:pt idx="53">
                  <c:v>09/30/15</c:v>
                </c:pt>
                <c:pt idx="54">
                  <c:v>10/31/15</c:v>
                </c:pt>
                <c:pt idx="55">
                  <c:v>11/30/15</c:v>
                </c:pt>
                <c:pt idx="56">
                  <c:v>12/31/15</c:v>
                </c:pt>
                <c:pt idx="57">
                  <c:v>01/31/16</c:v>
                </c:pt>
                <c:pt idx="58">
                  <c:v>02/29/16</c:v>
                </c:pt>
                <c:pt idx="59">
                  <c:v>03/31/16</c:v>
                </c:pt>
                <c:pt idx="60">
                  <c:v>04/30/16</c:v>
                </c:pt>
                <c:pt idx="61">
                  <c:v>05/31/16</c:v>
                </c:pt>
                <c:pt idx="62">
                  <c:v>06/30/16</c:v>
                </c:pt>
                <c:pt idx="63">
                  <c:v>07/31/16</c:v>
                </c:pt>
                <c:pt idx="64">
                  <c:v>08/31/16</c:v>
                </c:pt>
                <c:pt idx="65">
                  <c:v>09/30/16</c:v>
                </c:pt>
                <c:pt idx="66">
                  <c:v>10/31/16</c:v>
                </c:pt>
                <c:pt idx="67">
                  <c:v>11/30/16</c:v>
                </c:pt>
                <c:pt idx="68">
                  <c:v>12/31/16</c:v>
                </c:pt>
                <c:pt idx="69">
                  <c:v>01/31/17</c:v>
                </c:pt>
                <c:pt idx="70">
                  <c:v>02/28/17</c:v>
                </c:pt>
                <c:pt idx="71">
                  <c:v>03/31/17</c:v>
                </c:pt>
                <c:pt idx="72">
                  <c:v>04/30/17</c:v>
                </c:pt>
                <c:pt idx="73">
                  <c:v>05/31/17</c:v>
                </c:pt>
                <c:pt idx="74">
                  <c:v>06/30/17</c:v>
                </c:pt>
                <c:pt idx="75">
                  <c:v>07/31/17</c:v>
                </c:pt>
                <c:pt idx="76">
                  <c:v>08/31/17</c:v>
                </c:pt>
                <c:pt idx="77">
                  <c:v>09/30/17</c:v>
                </c:pt>
                <c:pt idx="78">
                  <c:v>10/31/17</c:v>
                </c:pt>
                <c:pt idx="79">
                  <c:v>11/30/17</c:v>
                </c:pt>
                <c:pt idx="80">
                  <c:v>12/31/17</c:v>
                </c:pt>
                <c:pt idx="81">
                  <c:v>01/31/18</c:v>
                </c:pt>
                <c:pt idx="82">
                  <c:v>02/28/18</c:v>
                </c:pt>
                <c:pt idx="83">
                  <c:v>03/31/18</c:v>
                </c:pt>
                <c:pt idx="84">
                  <c:v>04/30/18</c:v>
                </c:pt>
                <c:pt idx="85">
                  <c:v>05/31/18</c:v>
                </c:pt>
                <c:pt idx="86">
                  <c:v>06/30/18</c:v>
                </c:pt>
                <c:pt idx="87">
                  <c:v>07/31/18</c:v>
                </c:pt>
                <c:pt idx="88">
                  <c:v>08/31/18</c:v>
                </c:pt>
                <c:pt idx="89">
                  <c:v>09/30/18</c:v>
                </c:pt>
                <c:pt idx="90">
                  <c:v>10/31/18</c:v>
                </c:pt>
                <c:pt idx="91">
                  <c:v>11/30/18</c:v>
                </c:pt>
                <c:pt idx="92">
                  <c:v>12/31/18</c:v>
                </c:pt>
                <c:pt idx="93">
                  <c:v>01/31/19</c:v>
                </c:pt>
                <c:pt idx="94">
                  <c:v>02/28/19</c:v>
                </c:pt>
                <c:pt idx="95">
                  <c:v>03/31/19</c:v>
                </c:pt>
                <c:pt idx="96">
                  <c:v>04/30/19</c:v>
                </c:pt>
                <c:pt idx="97">
                  <c:v>05/31/19</c:v>
                </c:pt>
              </c:strCache>
            </c:strRef>
          </c:cat>
          <c:val>
            <c:numRef>
              <c:f>Graphs!$B$72:$CU$72</c:f>
              <c:numCache>
                <c:formatCode>General</c:formatCode>
                <c:ptCount val="98"/>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numCache>
            </c:numRef>
          </c:val>
          <c:smooth val="0"/>
          <c:extLst>
            <c:ext xmlns:c16="http://schemas.microsoft.com/office/drawing/2014/chart" uri="{C3380CC4-5D6E-409C-BE32-E72D297353CC}">
              <c16:uniqueId val="{00000005-1BC1-D940-BA47-01EA8A3A0241}"/>
            </c:ext>
          </c:extLst>
        </c:ser>
        <c:dLbls>
          <c:showLegendKey val="0"/>
          <c:showVal val="0"/>
          <c:showCatName val="0"/>
          <c:showSerName val="0"/>
          <c:showPercent val="0"/>
          <c:showBubbleSize val="0"/>
        </c:dLbls>
        <c:smooth val="0"/>
        <c:axId val="560505696"/>
        <c:axId val="560511184"/>
      </c:lineChart>
      <c:catAx>
        <c:axId val="5605056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0511184"/>
        <c:crosses val="autoZero"/>
        <c:auto val="1"/>
        <c:lblAlgn val="ctr"/>
        <c:lblOffset val="100"/>
        <c:noMultiLvlLbl val="0"/>
      </c:catAx>
      <c:valAx>
        <c:axId val="5605111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0505696"/>
        <c:crosses val="autoZero"/>
        <c:crossBetween val="between"/>
      </c:valAx>
      <c:spPr>
        <a:noFill/>
        <a:ln>
          <a:noFill/>
        </a:ln>
        <a:effectLst/>
      </c:spPr>
    </c:plotArea>
    <c:legend>
      <c:legendPos val="r"/>
      <c:legendEntry>
        <c:idx val="0"/>
        <c:delete val="1"/>
      </c:legendEntry>
      <c:legendEntry>
        <c:idx val="1"/>
        <c:delete val="1"/>
      </c:legendEntry>
      <c:legendEntry>
        <c:idx val="2"/>
        <c:delete val="1"/>
      </c:legendEntry>
      <c:legendEntry>
        <c:idx val="3"/>
        <c:txPr>
          <a:bodyPr rot="0" spcFirstLastPara="1" vertOverflow="ellipsis" vert="horz" wrap="square" anchor="ctr" anchorCtr="1"/>
          <a:lstStyle/>
          <a:p>
            <a:pPr>
              <a:defRPr sz="900" b="0" i="0" u="none" strike="noStrike" kern="1200" baseline="0">
                <a:noFill/>
                <a:latin typeface="+mn-lt"/>
                <a:ea typeface="+mn-ea"/>
                <a:cs typeface="+mn-cs"/>
              </a:defRPr>
            </a:pPr>
            <a:endParaRPr lang="en-US"/>
          </a:p>
        </c:txPr>
      </c:legendEntry>
      <c:legendEntry>
        <c:idx val="4"/>
        <c:delete val="1"/>
      </c:legendEntry>
      <c:legendEntry>
        <c:idx val="5"/>
        <c:txPr>
          <a:bodyPr rot="0" spcFirstLastPara="1" vertOverflow="ellipsis" vert="horz" wrap="square" anchor="ctr" anchorCtr="1"/>
          <a:lstStyle/>
          <a:p>
            <a:pPr>
              <a:defRPr sz="900" b="0" i="0" u="none" strike="noStrike" kern="1200" baseline="0">
                <a:noFill/>
                <a:latin typeface="+mn-lt"/>
                <a:ea typeface="+mn-ea"/>
                <a:cs typeface="+mn-cs"/>
              </a:defRPr>
            </a:pPr>
            <a:endParaRPr lang="en-US"/>
          </a:p>
        </c:txPr>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Overall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Graphs!$A$65</c:f>
              <c:strCache>
                <c:ptCount val="1"/>
                <c:pt idx="0">
                  <c:v>Overall: False claims of digital identity</c:v>
                </c:pt>
              </c:strCache>
            </c:strRef>
          </c:tx>
          <c:spPr>
            <a:ln w="28575" cap="rnd">
              <a:solidFill>
                <a:schemeClr val="accent1"/>
              </a:solidFill>
              <a:round/>
            </a:ln>
            <a:effectLst/>
          </c:spPr>
          <c:marker>
            <c:symbol val="none"/>
          </c:marker>
          <c:cat>
            <c:strRef>
              <c:f>Graphs!$B$64:$CU$64</c:f>
              <c:strCache>
                <c:ptCount val="98"/>
                <c:pt idx="0">
                  <c:v>Apr-11</c:v>
                </c:pt>
                <c:pt idx="1">
                  <c:v>May-11</c:v>
                </c:pt>
                <c:pt idx="2">
                  <c:v>Jun-11</c:v>
                </c:pt>
                <c:pt idx="3">
                  <c:v>Jul-11</c:v>
                </c:pt>
                <c:pt idx="4">
                  <c:v>Aug-11</c:v>
                </c:pt>
                <c:pt idx="5">
                  <c:v>Sep-11</c:v>
                </c:pt>
                <c:pt idx="6">
                  <c:v>Oct-11</c:v>
                </c:pt>
                <c:pt idx="7">
                  <c:v>Nov-11</c:v>
                </c:pt>
                <c:pt idx="8">
                  <c:v>Dec-11</c:v>
                </c:pt>
                <c:pt idx="9">
                  <c:v>Jan-12</c:v>
                </c:pt>
                <c:pt idx="10">
                  <c:v>Feb-12</c:v>
                </c:pt>
                <c:pt idx="11">
                  <c:v>Mar-12</c:v>
                </c:pt>
                <c:pt idx="12">
                  <c:v>Apr-12</c:v>
                </c:pt>
                <c:pt idx="13">
                  <c:v>May-12</c:v>
                </c:pt>
                <c:pt idx="14">
                  <c:v>Jun-12</c:v>
                </c:pt>
                <c:pt idx="15">
                  <c:v>Jul-12</c:v>
                </c:pt>
                <c:pt idx="16">
                  <c:v>Aug-12</c:v>
                </c:pt>
                <c:pt idx="17">
                  <c:v>Sep-12</c:v>
                </c:pt>
                <c:pt idx="18">
                  <c:v>Oct-12</c:v>
                </c:pt>
                <c:pt idx="19">
                  <c:v>Nov-12</c:v>
                </c:pt>
                <c:pt idx="20">
                  <c:v>Dec-12</c:v>
                </c:pt>
                <c:pt idx="21">
                  <c:v>Jan-13</c:v>
                </c:pt>
                <c:pt idx="22">
                  <c:v>Feb-13</c:v>
                </c:pt>
                <c:pt idx="23">
                  <c:v>Mar-13</c:v>
                </c:pt>
                <c:pt idx="24">
                  <c:v>Apr-13</c:v>
                </c:pt>
                <c:pt idx="25">
                  <c:v>May-13</c:v>
                </c:pt>
                <c:pt idx="26">
                  <c:v>Jun-13</c:v>
                </c:pt>
                <c:pt idx="27">
                  <c:v>Jul-13</c:v>
                </c:pt>
                <c:pt idx="28">
                  <c:v>Aug-13</c:v>
                </c:pt>
                <c:pt idx="29">
                  <c:v>Sep-13</c:v>
                </c:pt>
                <c:pt idx="30">
                  <c:v>Oct-13</c:v>
                </c:pt>
                <c:pt idx="31">
                  <c:v>Nov-13</c:v>
                </c:pt>
                <c:pt idx="32">
                  <c:v>Dec-13</c:v>
                </c:pt>
                <c:pt idx="33">
                  <c:v>Jan-14</c:v>
                </c:pt>
                <c:pt idx="34">
                  <c:v>Feb-14</c:v>
                </c:pt>
                <c:pt idx="35">
                  <c:v>Mar-14</c:v>
                </c:pt>
                <c:pt idx="36">
                  <c:v>Apr-14</c:v>
                </c:pt>
                <c:pt idx="37">
                  <c:v>May-14</c:v>
                </c:pt>
                <c:pt idx="38">
                  <c:v>Jun-14</c:v>
                </c:pt>
                <c:pt idx="39">
                  <c:v>Jul-14</c:v>
                </c:pt>
                <c:pt idx="40">
                  <c:v>Aug-14</c:v>
                </c:pt>
                <c:pt idx="41">
                  <c:v>Sep-14</c:v>
                </c:pt>
                <c:pt idx="42">
                  <c:v>Oct-14</c:v>
                </c:pt>
                <c:pt idx="43">
                  <c:v>Nov-14</c:v>
                </c:pt>
                <c:pt idx="44">
                  <c:v>12/31/14</c:v>
                </c:pt>
                <c:pt idx="45">
                  <c:v>01/31/15</c:v>
                </c:pt>
                <c:pt idx="46">
                  <c:v>02/28/15</c:v>
                </c:pt>
                <c:pt idx="47">
                  <c:v>03/31/15</c:v>
                </c:pt>
                <c:pt idx="48">
                  <c:v>04/30/15</c:v>
                </c:pt>
                <c:pt idx="49">
                  <c:v>05/31/15</c:v>
                </c:pt>
                <c:pt idx="50">
                  <c:v>06/30/15</c:v>
                </c:pt>
                <c:pt idx="51">
                  <c:v>07/31/15</c:v>
                </c:pt>
                <c:pt idx="52">
                  <c:v>08/31/15</c:v>
                </c:pt>
                <c:pt idx="53">
                  <c:v>09/30/15</c:v>
                </c:pt>
                <c:pt idx="54">
                  <c:v>10/31/15</c:v>
                </c:pt>
                <c:pt idx="55">
                  <c:v>11/30/15</c:v>
                </c:pt>
                <c:pt idx="56">
                  <c:v>12/31/15</c:v>
                </c:pt>
                <c:pt idx="57">
                  <c:v>01/31/16</c:v>
                </c:pt>
                <c:pt idx="58">
                  <c:v>02/29/16</c:v>
                </c:pt>
                <c:pt idx="59">
                  <c:v>03/31/16</c:v>
                </c:pt>
                <c:pt idx="60">
                  <c:v>04/30/16</c:v>
                </c:pt>
                <c:pt idx="61">
                  <c:v>05/31/16</c:v>
                </c:pt>
                <c:pt idx="62">
                  <c:v>06/30/16</c:v>
                </c:pt>
                <c:pt idx="63">
                  <c:v>07/31/16</c:v>
                </c:pt>
                <c:pt idx="64">
                  <c:v>08/31/16</c:v>
                </c:pt>
                <c:pt idx="65">
                  <c:v>09/30/16</c:v>
                </c:pt>
                <c:pt idx="66">
                  <c:v>10/31/16</c:v>
                </c:pt>
                <c:pt idx="67">
                  <c:v>11/30/16</c:v>
                </c:pt>
                <c:pt idx="68">
                  <c:v>12/31/16</c:v>
                </c:pt>
                <c:pt idx="69">
                  <c:v>01/31/17</c:v>
                </c:pt>
                <c:pt idx="70">
                  <c:v>02/28/17</c:v>
                </c:pt>
                <c:pt idx="71">
                  <c:v>03/31/17</c:v>
                </c:pt>
                <c:pt idx="72">
                  <c:v>04/30/17</c:v>
                </c:pt>
                <c:pt idx="73">
                  <c:v>05/31/17</c:v>
                </c:pt>
                <c:pt idx="74">
                  <c:v>06/30/17</c:v>
                </c:pt>
                <c:pt idx="75">
                  <c:v>07/31/17</c:v>
                </c:pt>
                <c:pt idx="76">
                  <c:v>08/31/17</c:v>
                </c:pt>
                <c:pt idx="77">
                  <c:v>09/30/17</c:v>
                </c:pt>
                <c:pt idx="78">
                  <c:v>10/31/17</c:v>
                </c:pt>
                <c:pt idx="79">
                  <c:v>11/30/17</c:v>
                </c:pt>
                <c:pt idx="80">
                  <c:v>12/31/17</c:v>
                </c:pt>
                <c:pt idx="81">
                  <c:v>01/31/18</c:v>
                </c:pt>
                <c:pt idx="82">
                  <c:v>02/28/18</c:v>
                </c:pt>
                <c:pt idx="83">
                  <c:v>03/31/18</c:v>
                </c:pt>
                <c:pt idx="84">
                  <c:v>04/30/18</c:v>
                </c:pt>
                <c:pt idx="85">
                  <c:v>05/31/18</c:v>
                </c:pt>
                <c:pt idx="86">
                  <c:v>06/30/18</c:v>
                </c:pt>
                <c:pt idx="87">
                  <c:v>07/31/18</c:v>
                </c:pt>
                <c:pt idx="88">
                  <c:v>08/31/18</c:v>
                </c:pt>
                <c:pt idx="89">
                  <c:v>09/30/18</c:v>
                </c:pt>
                <c:pt idx="90">
                  <c:v>10/31/18</c:v>
                </c:pt>
                <c:pt idx="91">
                  <c:v>11/30/18</c:v>
                </c:pt>
                <c:pt idx="92">
                  <c:v>12/31/18</c:v>
                </c:pt>
                <c:pt idx="93">
                  <c:v>01/31/19</c:v>
                </c:pt>
                <c:pt idx="94">
                  <c:v>02/28/19</c:v>
                </c:pt>
                <c:pt idx="95">
                  <c:v>03/31/19</c:v>
                </c:pt>
                <c:pt idx="96">
                  <c:v>04/30/19</c:v>
                </c:pt>
                <c:pt idx="97">
                  <c:v>05/31/19</c:v>
                </c:pt>
              </c:strCache>
            </c:strRef>
          </c:cat>
          <c:val>
            <c:numRef>
              <c:f>Graphs!$B$65:$CU$65</c:f>
              <c:numCache>
                <c:formatCode>General</c:formatCode>
                <c:ptCount val="9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1000</c:v>
                </c:pt>
                <c:pt idx="26">
                  <c:v>1009.2259727871328</c:v>
                </c:pt>
                <c:pt idx="27">
                  <c:v>1009.2259727871328</c:v>
                </c:pt>
                <c:pt idx="28">
                  <c:v>1014.9547709168886</c:v>
                </c:pt>
                <c:pt idx="29">
                  <c:v>1028.0507809748431</c:v>
                </c:pt>
                <c:pt idx="30">
                  <c:v>1037.5355495039078</c:v>
                </c:pt>
                <c:pt idx="31">
                  <c:v>1042.7362180881662</c:v>
                </c:pt>
                <c:pt idx="32">
                  <c:v>1050.7881953589722</c:v>
                </c:pt>
                <c:pt idx="33">
                  <c:v>1058.4781950017762</c:v>
                </c:pt>
                <c:pt idx="34">
                  <c:v>1070.8579166295483</c:v>
                </c:pt>
                <c:pt idx="35">
                  <c:v>1076.7507304453347</c:v>
                </c:pt>
                <c:pt idx="36">
                  <c:v>1077.3769303290835</c:v>
                </c:pt>
                <c:pt idx="37">
                  <c:v>1086.5983601238859</c:v>
                </c:pt>
                <c:pt idx="38">
                  <c:v>1096.5823486419915</c:v>
                </c:pt>
                <c:pt idx="39">
                  <c:v>1119.5341632662598</c:v>
                </c:pt>
                <c:pt idx="40">
                  <c:v>1132.2674294088413</c:v>
                </c:pt>
                <c:pt idx="41">
                  <c:v>1142.4222264829784</c:v>
                </c:pt>
                <c:pt idx="42">
                  <c:v>1156.7921290977383</c:v>
                </c:pt>
                <c:pt idx="43">
                  <c:v>1161.3674380920518</c:v>
                </c:pt>
                <c:pt idx="44">
                  <c:v>1167.4960119713251</c:v>
                </c:pt>
                <c:pt idx="45">
                  <c:v>1167.4960119713251</c:v>
                </c:pt>
                <c:pt idx="46">
                  <c:v>1173.6569265350035</c:v>
                </c:pt>
                <c:pt idx="47">
                  <c:v>1173.6569265350035</c:v>
                </c:pt>
                <c:pt idx="48">
                  <c:v>1173.6569265350035</c:v>
                </c:pt>
                <c:pt idx="49">
                  <c:v>1173.6569265350035</c:v>
                </c:pt>
                <c:pt idx="50">
                  <c:v>1173.6569265350035</c:v>
                </c:pt>
                <c:pt idx="51">
                  <c:v>1173.6569265350035</c:v>
                </c:pt>
                <c:pt idx="52">
                  <c:v>1166.7733279882357</c:v>
                </c:pt>
                <c:pt idx="53">
                  <c:v>1166.7733279882357</c:v>
                </c:pt>
                <c:pt idx="54">
                  <c:v>1166.7733279882357</c:v>
                </c:pt>
                <c:pt idx="55">
                  <c:v>1158.1624939464391</c:v>
                </c:pt>
                <c:pt idx="56">
                  <c:v>1158.1624939464391</c:v>
                </c:pt>
                <c:pt idx="57">
                  <c:v>1158.1624939464391</c:v>
                </c:pt>
                <c:pt idx="58">
                  <c:v>1158.1624939464391</c:v>
                </c:pt>
                <c:pt idx="59">
                  <c:v>1151.1645546132922</c:v>
                </c:pt>
                <c:pt idx="60">
                  <c:v>1138.0832807918787</c:v>
                </c:pt>
                <c:pt idx="61">
                  <c:v>1138.0832807918787</c:v>
                </c:pt>
                <c:pt idx="62">
                  <c:v>1138.0832807918787</c:v>
                </c:pt>
                <c:pt idx="63">
                  <c:v>1138.0832807918787</c:v>
                </c:pt>
                <c:pt idx="64">
                  <c:v>1138.0832807918787</c:v>
                </c:pt>
                <c:pt idx="65">
                  <c:v>1145.0016989477658</c:v>
                </c:pt>
                <c:pt idx="66">
                  <c:v>1145.0016989477658</c:v>
                </c:pt>
                <c:pt idx="67">
                  <c:v>1145.0016989477658</c:v>
                </c:pt>
                <c:pt idx="68">
                  <c:v>1152.660544727275</c:v>
                </c:pt>
                <c:pt idx="69">
                  <c:v>1152.660544727275</c:v>
                </c:pt>
                <c:pt idx="70">
                  <c:v>1152.660544727275</c:v>
                </c:pt>
                <c:pt idx="71">
                  <c:v>1152.660544727275</c:v>
                </c:pt>
                <c:pt idx="72">
                  <c:v>1152.660544727275</c:v>
                </c:pt>
                <c:pt idx="73">
                  <c:v>1152.660544727275</c:v>
                </c:pt>
                <c:pt idx="74">
                  <c:v>1152.660544727275</c:v>
                </c:pt>
                <c:pt idx="75">
                  <c:v>1152.660544727275</c:v>
                </c:pt>
                <c:pt idx="76">
                  <c:v>1145.9000917608137</c:v>
                </c:pt>
                <c:pt idx="77">
                  <c:v>1145.9000917608137</c:v>
                </c:pt>
                <c:pt idx="78">
                  <c:v>1154.1143942862559</c:v>
                </c:pt>
                <c:pt idx="79">
                  <c:v>1154.1143942862559</c:v>
                </c:pt>
                <c:pt idx="80">
                  <c:v>1154.1143942862559</c:v>
                </c:pt>
                <c:pt idx="81">
                  <c:v>1154.1143942862559</c:v>
                </c:pt>
                <c:pt idx="82">
                  <c:v>1154.1143942862559</c:v>
                </c:pt>
                <c:pt idx="83">
                  <c:v>1154.1143942862559</c:v>
                </c:pt>
                <c:pt idx="84">
                  <c:v>1143.6699917353874</c:v>
                </c:pt>
                <c:pt idx="85">
                  <c:v>1143.6699917353874</c:v>
                </c:pt>
                <c:pt idx="86">
                  <c:v>1143.6699917353874</c:v>
                </c:pt>
                <c:pt idx="87">
                  <c:v>1143.6699917353874</c:v>
                </c:pt>
                <c:pt idx="88">
                  <c:v>1143.6699917353874</c:v>
                </c:pt>
                <c:pt idx="89">
                  <c:v>1143.6699917353874</c:v>
                </c:pt>
                <c:pt idx="90">
                  <c:v>1143.6699917353874</c:v>
                </c:pt>
                <c:pt idx="91">
                  <c:v>1143.6699917353874</c:v>
                </c:pt>
                <c:pt idx="92">
                  <c:v>1143.6699917353874</c:v>
                </c:pt>
                <c:pt idx="93">
                  <c:v>1152.8560468976777</c:v>
                </c:pt>
                <c:pt idx="94">
                  <c:v>1152.8560468976777</c:v>
                </c:pt>
                <c:pt idx="95">
                  <c:v>1152.8560468976777</c:v>
                </c:pt>
                <c:pt idx="96">
                  <c:v>1152.8560468976777</c:v>
                </c:pt>
                <c:pt idx="97">
                  <c:v>1152.8560468976777</c:v>
                </c:pt>
              </c:numCache>
            </c:numRef>
          </c:val>
          <c:smooth val="0"/>
          <c:extLst>
            <c:ext xmlns:c16="http://schemas.microsoft.com/office/drawing/2014/chart" uri="{C3380CC4-5D6E-409C-BE32-E72D297353CC}">
              <c16:uniqueId val="{00000000-DC07-024C-B284-2635FFB0E8ED}"/>
            </c:ext>
          </c:extLst>
        </c:ser>
        <c:ser>
          <c:idx val="1"/>
          <c:order val="1"/>
          <c:tx>
            <c:strRef>
              <c:f>Graphs!$A$66</c:f>
              <c:strCache>
                <c:ptCount val="1"/>
                <c:pt idx="0">
                  <c:v>Overall: Media &amp; public perception</c:v>
                </c:pt>
              </c:strCache>
            </c:strRef>
          </c:tx>
          <c:spPr>
            <a:ln w="28575" cap="rnd">
              <a:solidFill>
                <a:schemeClr val="accent2"/>
              </a:solidFill>
              <a:round/>
            </a:ln>
            <a:effectLst/>
          </c:spPr>
          <c:marker>
            <c:symbol val="none"/>
          </c:marker>
          <c:cat>
            <c:strRef>
              <c:f>Graphs!$B$64:$CU$64</c:f>
              <c:strCache>
                <c:ptCount val="98"/>
                <c:pt idx="0">
                  <c:v>Apr-11</c:v>
                </c:pt>
                <c:pt idx="1">
                  <c:v>May-11</c:v>
                </c:pt>
                <c:pt idx="2">
                  <c:v>Jun-11</c:v>
                </c:pt>
                <c:pt idx="3">
                  <c:v>Jul-11</c:v>
                </c:pt>
                <c:pt idx="4">
                  <c:v>Aug-11</c:v>
                </c:pt>
                <c:pt idx="5">
                  <c:v>Sep-11</c:v>
                </c:pt>
                <c:pt idx="6">
                  <c:v>Oct-11</c:v>
                </c:pt>
                <c:pt idx="7">
                  <c:v>Nov-11</c:v>
                </c:pt>
                <c:pt idx="8">
                  <c:v>Dec-11</c:v>
                </c:pt>
                <c:pt idx="9">
                  <c:v>Jan-12</c:v>
                </c:pt>
                <c:pt idx="10">
                  <c:v>Feb-12</c:v>
                </c:pt>
                <c:pt idx="11">
                  <c:v>Mar-12</c:v>
                </c:pt>
                <c:pt idx="12">
                  <c:v>Apr-12</c:v>
                </c:pt>
                <c:pt idx="13">
                  <c:v>May-12</c:v>
                </c:pt>
                <c:pt idx="14">
                  <c:v>Jun-12</c:v>
                </c:pt>
                <c:pt idx="15">
                  <c:v>Jul-12</c:v>
                </c:pt>
                <c:pt idx="16">
                  <c:v>Aug-12</c:v>
                </c:pt>
                <c:pt idx="17">
                  <c:v>Sep-12</c:v>
                </c:pt>
                <c:pt idx="18">
                  <c:v>Oct-12</c:v>
                </c:pt>
                <c:pt idx="19">
                  <c:v>Nov-12</c:v>
                </c:pt>
                <c:pt idx="20">
                  <c:v>Dec-12</c:v>
                </c:pt>
                <c:pt idx="21">
                  <c:v>Jan-13</c:v>
                </c:pt>
                <c:pt idx="22">
                  <c:v>Feb-13</c:v>
                </c:pt>
                <c:pt idx="23">
                  <c:v>Mar-13</c:v>
                </c:pt>
                <c:pt idx="24">
                  <c:v>Apr-13</c:v>
                </c:pt>
                <c:pt idx="25">
                  <c:v>May-13</c:v>
                </c:pt>
                <c:pt idx="26">
                  <c:v>Jun-13</c:v>
                </c:pt>
                <c:pt idx="27">
                  <c:v>Jul-13</c:v>
                </c:pt>
                <c:pt idx="28">
                  <c:v>Aug-13</c:v>
                </c:pt>
                <c:pt idx="29">
                  <c:v>Sep-13</c:v>
                </c:pt>
                <c:pt idx="30">
                  <c:v>Oct-13</c:v>
                </c:pt>
                <c:pt idx="31">
                  <c:v>Nov-13</c:v>
                </c:pt>
                <c:pt idx="32">
                  <c:v>Dec-13</c:v>
                </c:pt>
                <c:pt idx="33">
                  <c:v>Jan-14</c:v>
                </c:pt>
                <c:pt idx="34">
                  <c:v>Feb-14</c:v>
                </c:pt>
                <c:pt idx="35">
                  <c:v>Mar-14</c:v>
                </c:pt>
                <c:pt idx="36">
                  <c:v>Apr-14</c:v>
                </c:pt>
                <c:pt idx="37">
                  <c:v>May-14</c:v>
                </c:pt>
                <c:pt idx="38">
                  <c:v>Jun-14</c:v>
                </c:pt>
                <c:pt idx="39">
                  <c:v>Jul-14</c:v>
                </c:pt>
                <c:pt idx="40">
                  <c:v>Aug-14</c:v>
                </c:pt>
                <c:pt idx="41">
                  <c:v>Sep-14</c:v>
                </c:pt>
                <c:pt idx="42">
                  <c:v>Oct-14</c:v>
                </c:pt>
                <c:pt idx="43">
                  <c:v>Nov-14</c:v>
                </c:pt>
                <c:pt idx="44">
                  <c:v>12/31/14</c:v>
                </c:pt>
                <c:pt idx="45">
                  <c:v>01/31/15</c:v>
                </c:pt>
                <c:pt idx="46">
                  <c:v>02/28/15</c:v>
                </c:pt>
                <c:pt idx="47">
                  <c:v>03/31/15</c:v>
                </c:pt>
                <c:pt idx="48">
                  <c:v>04/30/15</c:v>
                </c:pt>
                <c:pt idx="49">
                  <c:v>05/31/15</c:v>
                </c:pt>
                <c:pt idx="50">
                  <c:v>06/30/15</c:v>
                </c:pt>
                <c:pt idx="51">
                  <c:v>07/31/15</c:v>
                </c:pt>
                <c:pt idx="52">
                  <c:v>08/31/15</c:v>
                </c:pt>
                <c:pt idx="53">
                  <c:v>09/30/15</c:v>
                </c:pt>
                <c:pt idx="54">
                  <c:v>10/31/15</c:v>
                </c:pt>
                <c:pt idx="55">
                  <c:v>11/30/15</c:v>
                </c:pt>
                <c:pt idx="56">
                  <c:v>12/31/15</c:v>
                </c:pt>
                <c:pt idx="57">
                  <c:v>01/31/16</c:v>
                </c:pt>
                <c:pt idx="58">
                  <c:v>02/29/16</c:v>
                </c:pt>
                <c:pt idx="59">
                  <c:v>03/31/16</c:v>
                </c:pt>
                <c:pt idx="60">
                  <c:v>04/30/16</c:v>
                </c:pt>
                <c:pt idx="61">
                  <c:v>05/31/16</c:v>
                </c:pt>
                <c:pt idx="62">
                  <c:v>06/30/16</c:v>
                </c:pt>
                <c:pt idx="63">
                  <c:v>07/31/16</c:v>
                </c:pt>
                <c:pt idx="64">
                  <c:v>08/31/16</c:v>
                </c:pt>
                <c:pt idx="65">
                  <c:v>09/30/16</c:v>
                </c:pt>
                <c:pt idx="66">
                  <c:v>10/31/16</c:v>
                </c:pt>
                <c:pt idx="67">
                  <c:v>11/30/16</c:v>
                </c:pt>
                <c:pt idx="68">
                  <c:v>12/31/16</c:v>
                </c:pt>
                <c:pt idx="69">
                  <c:v>01/31/17</c:v>
                </c:pt>
                <c:pt idx="70">
                  <c:v>02/28/17</c:v>
                </c:pt>
                <c:pt idx="71">
                  <c:v>03/31/17</c:v>
                </c:pt>
                <c:pt idx="72">
                  <c:v>04/30/17</c:v>
                </c:pt>
                <c:pt idx="73">
                  <c:v>05/31/17</c:v>
                </c:pt>
                <c:pt idx="74">
                  <c:v>06/30/17</c:v>
                </c:pt>
                <c:pt idx="75">
                  <c:v>07/31/17</c:v>
                </c:pt>
                <c:pt idx="76">
                  <c:v>08/31/17</c:v>
                </c:pt>
                <c:pt idx="77">
                  <c:v>09/30/17</c:v>
                </c:pt>
                <c:pt idx="78">
                  <c:v>10/31/17</c:v>
                </c:pt>
                <c:pt idx="79">
                  <c:v>11/30/17</c:v>
                </c:pt>
                <c:pt idx="80">
                  <c:v>12/31/17</c:v>
                </c:pt>
                <c:pt idx="81">
                  <c:v>01/31/18</c:v>
                </c:pt>
                <c:pt idx="82">
                  <c:v>02/28/18</c:v>
                </c:pt>
                <c:pt idx="83">
                  <c:v>03/31/18</c:v>
                </c:pt>
                <c:pt idx="84">
                  <c:v>04/30/18</c:v>
                </c:pt>
                <c:pt idx="85">
                  <c:v>05/31/18</c:v>
                </c:pt>
                <c:pt idx="86">
                  <c:v>06/30/18</c:v>
                </c:pt>
                <c:pt idx="87">
                  <c:v>07/31/18</c:v>
                </c:pt>
                <c:pt idx="88">
                  <c:v>08/31/18</c:v>
                </c:pt>
                <c:pt idx="89">
                  <c:v>09/30/18</c:v>
                </c:pt>
                <c:pt idx="90">
                  <c:v>10/31/18</c:v>
                </c:pt>
                <c:pt idx="91">
                  <c:v>11/30/18</c:v>
                </c:pt>
                <c:pt idx="92">
                  <c:v>12/31/18</c:v>
                </c:pt>
                <c:pt idx="93">
                  <c:v>01/31/19</c:v>
                </c:pt>
                <c:pt idx="94">
                  <c:v>02/28/19</c:v>
                </c:pt>
                <c:pt idx="95">
                  <c:v>03/31/19</c:v>
                </c:pt>
                <c:pt idx="96">
                  <c:v>04/30/19</c:v>
                </c:pt>
                <c:pt idx="97">
                  <c:v>05/31/19</c:v>
                </c:pt>
              </c:strCache>
            </c:strRef>
          </c:cat>
          <c:val>
            <c:numRef>
              <c:f>Graphs!$B$66:$CU$66</c:f>
              <c:numCache>
                <c:formatCode>General</c:formatCode>
                <c:ptCount val="98"/>
                <c:pt idx="0">
                  <c:v>1028.5695124658184</c:v>
                </c:pt>
                <c:pt idx="1">
                  <c:v>1055.7384161887585</c:v>
                </c:pt>
                <c:pt idx="2">
                  <c:v>1108.1869384878678</c:v>
                </c:pt>
                <c:pt idx="3">
                  <c:v>1141.5492237994727</c:v>
                </c:pt>
                <c:pt idx="4">
                  <c:v>1169.9680865964463</c:v>
                </c:pt>
                <c:pt idx="5">
                  <c:v>1200.1313600111916</c:v>
                </c:pt>
                <c:pt idx="6">
                  <c:v>1215.0004538295789</c:v>
                </c:pt>
                <c:pt idx="7">
                  <c:v>1224.8031835521952</c:v>
                </c:pt>
                <c:pt idx="8">
                  <c:v>1264.8982739067767</c:v>
                </c:pt>
                <c:pt idx="9">
                  <c:v>1282.6472795067928</c:v>
                </c:pt>
                <c:pt idx="10">
                  <c:v>1306.0790764012095</c:v>
                </c:pt>
                <c:pt idx="11">
                  <c:v>1327.6271006647587</c:v>
                </c:pt>
                <c:pt idx="12">
                  <c:v>1363.3001830042147</c:v>
                </c:pt>
                <c:pt idx="13">
                  <c:v>1409.914487096017</c:v>
                </c:pt>
                <c:pt idx="14">
                  <c:v>1488.7912349039511</c:v>
                </c:pt>
                <c:pt idx="15">
                  <c:v>1558.4928865985678</c:v>
                </c:pt>
                <c:pt idx="16">
                  <c:v>1605.6472531197646</c:v>
                </c:pt>
                <c:pt idx="17">
                  <c:v>1676.9978639890169</c:v>
                </c:pt>
                <c:pt idx="18">
                  <c:v>1775.8814226184659</c:v>
                </c:pt>
                <c:pt idx="19">
                  <c:v>1836.0751250247663</c:v>
                </c:pt>
                <c:pt idx="20">
                  <c:v>1896.1653291711934</c:v>
                </c:pt>
                <c:pt idx="21">
                  <c:v>1967.291892744722</c:v>
                </c:pt>
                <c:pt idx="22">
                  <c:v>2134.2673805887748</c:v>
                </c:pt>
                <c:pt idx="23">
                  <c:v>2277.085117485768</c:v>
                </c:pt>
                <c:pt idx="24">
                  <c:v>2382.3123851547857</c:v>
                </c:pt>
                <c:pt idx="25">
                  <c:v>2463.8990522653257</c:v>
                </c:pt>
                <c:pt idx="26">
                  <c:v>2594.1935251555024</c:v>
                </c:pt>
                <c:pt idx="27">
                  <c:v>2682.7626861513477</c:v>
                </c:pt>
                <c:pt idx="28">
                  <c:v>2799.1056257722189</c:v>
                </c:pt>
                <c:pt idx="29">
                  <c:v>2936.9653954398609</c:v>
                </c:pt>
                <c:pt idx="30">
                  <c:v>3079.6804741894789</c:v>
                </c:pt>
                <c:pt idx="31">
                  <c:v>3171.7081581170337</c:v>
                </c:pt>
                <c:pt idx="32">
                  <c:v>3327.9191106817002</c:v>
                </c:pt>
                <c:pt idx="33">
                  <c:v>3588.9800385645631</c:v>
                </c:pt>
                <c:pt idx="34">
                  <c:v>3759.8523131743123</c:v>
                </c:pt>
                <c:pt idx="35">
                  <c:v>3883.3444398628553</c:v>
                </c:pt>
                <c:pt idx="36">
                  <c:v>4207.7552449864788</c:v>
                </c:pt>
                <c:pt idx="37">
                  <c:v>4504.6541943858947</c:v>
                </c:pt>
                <c:pt idx="38">
                  <c:v>4644.1062037069578</c:v>
                </c:pt>
                <c:pt idx="39">
                  <c:v>4868.2853442695096</c:v>
                </c:pt>
                <c:pt idx="40">
                  <c:v>5060.3328710228079</c:v>
                </c:pt>
                <c:pt idx="41">
                  <c:v>5399.5370494067256</c:v>
                </c:pt>
                <c:pt idx="42">
                  <c:v>5777.4376839948782</c:v>
                </c:pt>
                <c:pt idx="43">
                  <c:v>6021.9290340914531</c:v>
                </c:pt>
                <c:pt idx="44">
                  <c:v>6482.4067670472577</c:v>
                </c:pt>
                <c:pt idx="45">
                  <c:v>6601.346703854867</c:v>
                </c:pt>
                <c:pt idx="46">
                  <c:v>6671.2015761063412</c:v>
                </c:pt>
                <c:pt idx="47">
                  <c:v>6671.2015761063412</c:v>
                </c:pt>
                <c:pt idx="48">
                  <c:v>6706.4057245796785</c:v>
                </c:pt>
                <c:pt idx="49">
                  <c:v>6838.547416429994</c:v>
                </c:pt>
                <c:pt idx="50">
                  <c:v>6973.2928020385125</c:v>
                </c:pt>
                <c:pt idx="51">
                  <c:v>7049.0887207076448</c:v>
                </c:pt>
                <c:pt idx="52">
                  <c:v>7132.5089211382492</c:v>
                </c:pt>
                <c:pt idx="53">
                  <c:v>7172.24424439822</c:v>
                </c:pt>
                <c:pt idx="54">
                  <c:v>7286.3889773624242</c:v>
                </c:pt>
                <c:pt idx="55">
                  <c:v>7450.1212419008652</c:v>
                </c:pt>
                <c:pt idx="56">
                  <c:v>7450.1212419008652</c:v>
                </c:pt>
                <c:pt idx="57">
                  <c:v>7450.1212419008652</c:v>
                </c:pt>
                <c:pt idx="58">
                  <c:v>7490.5012042463259</c:v>
                </c:pt>
                <c:pt idx="59">
                  <c:v>7536.036026172621</c:v>
                </c:pt>
                <c:pt idx="60">
                  <c:v>7579.2223611941808</c:v>
                </c:pt>
                <c:pt idx="61">
                  <c:v>7579.2223611941808</c:v>
                </c:pt>
                <c:pt idx="62">
                  <c:v>7684.4876579578458</c:v>
                </c:pt>
                <c:pt idx="63">
                  <c:v>7791.2149493925572</c:v>
                </c:pt>
                <c:pt idx="64">
                  <c:v>7934.1690476213171</c:v>
                </c:pt>
                <c:pt idx="65">
                  <c:v>7982.4009302237455</c:v>
                </c:pt>
                <c:pt idx="66">
                  <c:v>8082.8071735024796</c:v>
                </c:pt>
                <c:pt idx="67">
                  <c:v>8130.4932136087109</c:v>
                </c:pt>
                <c:pt idx="68">
                  <c:v>8130.4932136087109</c:v>
                </c:pt>
                <c:pt idx="69">
                  <c:v>8183.1175820291455</c:v>
                </c:pt>
                <c:pt idx="70">
                  <c:v>8236.0825600631542</c:v>
                </c:pt>
                <c:pt idx="71">
                  <c:v>8236.0825600631542</c:v>
                </c:pt>
                <c:pt idx="72">
                  <c:v>8289.3903522960336</c:v>
                </c:pt>
                <c:pt idx="73">
                  <c:v>8343.0431775821889</c:v>
                </c:pt>
                <c:pt idx="74">
                  <c:v>8455.0286641544353</c:v>
                </c:pt>
                <c:pt idx="75">
                  <c:v>8586.1117743799841</c:v>
                </c:pt>
                <c:pt idx="76">
                  <c:v>8687.7213857094957</c:v>
                </c:pt>
                <c:pt idx="77">
                  <c:v>8784.7898941748117</c:v>
                </c:pt>
                <c:pt idx="78">
                  <c:v>8847.7630297317828</c:v>
                </c:pt>
                <c:pt idx="79">
                  <c:v>8970.6466656292996</c:v>
                </c:pt>
                <c:pt idx="80">
                  <c:v>9039.9177255609411</c:v>
                </c:pt>
                <c:pt idx="81">
                  <c:v>9104.7197266575295</c:v>
                </c:pt>
                <c:pt idx="82">
                  <c:v>9177.8496139944873</c:v>
                </c:pt>
                <c:pt idx="83">
                  <c:v>9314.8299200112669</c:v>
                </c:pt>
                <c:pt idx="84">
                  <c:v>9399.8962713892979</c:v>
                </c:pt>
                <c:pt idx="85">
                  <c:v>9464.9471979348273</c:v>
                </c:pt>
                <c:pt idx="86">
                  <c:v>9624.0182276318337</c:v>
                </c:pt>
                <c:pt idx="87">
                  <c:v>9779.2409899678314</c:v>
                </c:pt>
                <c:pt idx="88">
                  <c:v>9854.7559906084789</c:v>
                </c:pt>
                <c:pt idx="89">
                  <c:v>10115.219156408226</c:v>
                </c:pt>
                <c:pt idx="90">
                  <c:v>10228.237195629354</c:v>
                </c:pt>
                <c:pt idx="91">
                  <c:v>10400.136329208142</c:v>
                </c:pt>
                <c:pt idx="92">
                  <c:v>10582.590222271459</c:v>
                </c:pt>
                <c:pt idx="93">
                  <c:v>10753.273490748092</c:v>
                </c:pt>
                <c:pt idx="94">
                  <c:v>10856.174847907208</c:v>
                </c:pt>
                <c:pt idx="95">
                  <c:v>10933.996557767427</c:v>
                </c:pt>
                <c:pt idx="96">
                  <c:v>11056.162853198262</c:v>
                </c:pt>
                <c:pt idx="97">
                  <c:v>11141.538205518435</c:v>
                </c:pt>
              </c:numCache>
            </c:numRef>
          </c:val>
          <c:smooth val="0"/>
          <c:extLst>
            <c:ext xmlns:c16="http://schemas.microsoft.com/office/drawing/2014/chart" uri="{C3380CC4-5D6E-409C-BE32-E72D297353CC}">
              <c16:uniqueId val="{00000001-DC07-024C-B284-2635FFB0E8ED}"/>
            </c:ext>
          </c:extLst>
        </c:ser>
        <c:ser>
          <c:idx val="2"/>
          <c:order val="2"/>
          <c:tx>
            <c:strRef>
              <c:f>Graphs!$A$67</c:f>
              <c:strCache>
                <c:ptCount val="1"/>
                <c:pt idx="0">
                  <c:v>Overall: Personal risk</c:v>
                </c:pt>
              </c:strCache>
            </c:strRef>
          </c:tx>
          <c:spPr>
            <a:ln w="28575" cap="rnd">
              <a:solidFill>
                <a:schemeClr val="accent3"/>
              </a:solidFill>
              <a:round/>
            </a:ln>
            <a:effectLst/>
          </c:spPr>
          <c:marker>
            <c:symbol val="none"/>
          </c:marker>
          <c:cat>
            <c:strRef>
              <c:f>Graphs!$B$64:$CU$64</c:f>
              <c:strCache>
                <c:ptCount val="98"/>
                <c:pt idx="0">
                  <c:v>Apr-11</c:v>
                </c:pt>
                <c:pt idx="1">
                  <c:v>May-11</c:v>
                </c:pt>
                <c:pt idx="2">
                  <c:v>Jun-11</c:v>
                </c:pt>
                <c:pt idx="3">
                  <c:v>Jul-11</c:v>
                </c:pt>
                <c:pt idx="4">
                  <c:v>Aug-11</c:v>
                </c:pt>
                <c:pt idx="5">
                  <c:v>Sep-11</c:v>
                </c:pt>
                <c:pt idx="6">
                  <c:v>Oct-11</c:v>
                </c:pt>
                <c:pt idx="7">
                  <c:v>Nov-11</c:v>
                </c:pt>
                <c:pt idx="8">
                  <c:v>Dec-11</c:v>
                </c:pt>
                <c:pt idx="9">
                  <c:v>Jan-12</c:v>
                </c:pt>
                <c:pt idx="10">
                  <c:v>Feb-12</c:v>
                </c:pt>
                <c:pt idx="11">
                  <c:v>Mar-12</c:v>
                </c:pt>
                <c:pt idx="12">
                  <c:v>Apr-12</c:v>
                </c:pt>
                <c:pt idx="13">
                  <c:v>May-12</c:v>
                </c:pt>
                <c:pt idx="14">
                  <c:v>Jun-12</c:v>
                </c:pt>
                <c:pt idx="15">
                  <c:v>Jul-12</c:v>
                </c:pt>
                <c:pt idx="16">
                  <c:v>Aug-12</c:v>
                </c:pt>
                <c:pt idx="17">
                  <c:v>Sep-12</c:v>
                </c:pt>
                <c:pt idx="18">
                  <c:v>Oct-12</c:v>
                </c:pt>
                <c:pt idx="19">
                  <c:v>Nov-12</c:v>
                </c:pt>
                <c:pt idx="20">
                  <c:v>Dec-12</c:v>
                </c:pt>
                <c:pt idx="21">
                  <c:v>Jan-13</c:v>
                </c:pt>
                <c:pt idx="22">
                  <c:v>Feb-13</c:v>
                </c:pt>
                <c:pt idx="23">
                  <c:v>Mar-13</c:v>
                </c:pt>
                <c:pt idx="24">
                  <c:v>Apr-13</c:v>
                </c:pt>
                <c:pt idx="25">
                  <c:v>May-13</c:v>
                </c:pt>
                <c:pt idx="26">
                  <c:v>Jun-13</c:v>
                </c:pt>
                <c:pt idx="27">
                  <c:v>Jul-13</c:v>
                </c:pt>
                <c:pt idx="28">
                  <c:v>Aug-13</c:v>
                </c:pt>
                <c:pt idx="29">
                  <c:v>Sep-13</c:v>
                </c:pt>
                <c:pt idx="30">
                  <c:v>Oct-13</c:v>
                </c:pt>
                <c:pt idx="31">
                  <c:v>Nov-13</c:v>
                </c:pt>
                <c:pt idx="32">
                  <c:v>Dec-13</c:v>
                </c:pt>
                <c:pt idx="33">
                  <c:v>Jan-14</c:v>
                </c:pt>
                <c:pt idx="34">
                  <c:v>Feb-14</c:v>
                </c:pt>
                <c:pt idx="35">
                  <c:v>Mar-14</c:v>
                </c:pt>
                <c:pt idx="36">
                  <c:v>Apr-14</c:v>
                </c:pt>
                <c:pt idx="37">
                  <c:v>May-14</c:v>
                </c:pt>
                <c:pt idx="38">
                  <c:v>Jun-14</c:v>
                </c:pt>
                <c:pt idx="39">
                  <c:v>Jul-14</c:v>
                </c:pt>
                <c:pt idx="40">
                  <c:v>Aug-14</c:v>
                </c:pt>
                <c:pt idx="41">
                  <c:v>Sep-14</c:v>
                </c:pt>
                <c:pt idx="42">
                  <c:v>Oct-14</c:v>
                </c:pt>
                <c:pt idx="43">
                  <c:v>Nov-14</c:v>
                </c:pt>
                <c:pt idx="44">
                  <c:v>12/31/14</c:v>
                </c:pt>
                <c:pt idx="45">
                  <c:v>01/31/15</c:v>
                </c:pt>
                <c:pt idx="46">
                  <c:v>02/28/15</c:v>
                </c:pt>
                <c:pt idx="47">
                  <c:v>03/31/15</c:v>
                </c:pt>
                <c:pt idx="48">
                  <c:v>04/30/15</c:v>
                </c:pt>
                <c:pt idx="49">
                  <c:v>05/31/15</c:v>
                </c:pt>
                <c:pt idx="50">
                  <c:v>06/30/15</c:v>
                </c:pt>
                <c:pt idx="51">
                  <c:v>07/31/15</c:v>
                </c:pt>
                <c:pt idx="52">
                  <c:v>08/31/15</c:v>
                </c:pt>
                <c:pt idx="53">
                  <c:v>09/30/15</c:v>
                </c:pt>
                <c:pt idx="54">
                  <c:v>10/31/15</c:v>
                </c:pt>
                <c:pt idx="55">
                  <c:v>11/30/15</c:v>
                </c:pt>
                <c:pt idx="56">
                  <c:v>12/31/15</c:v>
                </c:pt>
                <c:pt idx="57">
                  <c:v>01/31/16</c:v>
                </c:pt>
                <c:pt idx="58">
                  <c:v>02/29/16</c:v>
                </c:pt>
                <c:pt idx="59">
                  <c:v>03/31/16</c:v>
                </c:pt>
                <c:pt idx="60">
                  <c:v>04/30/16</c:v>
                </c:pt>
                <c:pt idx="61">
                  <c:v>05/31/16</c:v>
                </c:pt>
                <c:pt idx="62">
                  <c:v>06/30/16</c:v>
                </c:pt>
                <c:pt idx="63">
                  <c:v>07/31/16</c:v>
                </c:pt>
                <c:pt idx="64">
                  <c:v>08/31/16</c:v>
                </c:pt>
                <c:pt idx="65">
                  <c:v>09/30/16</c:v>
                </c:pt>
                <c:pt idx="66">
                  <c:v>10/31/16</c:v>
                </c:pt>
                <c:pt idx="67">
                  <c:v>11/30/16</c:v>
                </c:pt>
                <c:pt idx="68">
                  <c:v>12/31/16</c:v>
                </c:pt>
                <c:pt idx="69">
                  <c:v>01/31/17</c:v>
                </c:pt>
                <c:pt idx="70">
                  <c:v>02/28/17</c:v>
                </c:pt>
                <c:pt idx="71">
                  <c:v>03/31/17</c:v>
                </c:pt>
                <c:pt idx="72">
                  <c:v>04/30/17</c:v>
                </c:pt>
                <c:pt idx="73">
                  <c:v>05/31/17</c:v>
                </c:pt>
                <c:pt idx="74">
                  <c:v>06/30/17</c:v>
                </c:pt>
                <c:pt idx="75">
                  <c:v>07/31/17</c:v>
                </c:pt>
                <c:pt idx="76">
                  <c:v>08/31/17</c:v>
                </c:pt>
                <c:pt idx="77">
                  <c:v>09/30/17</c:v>
                </c:pt>
                <c:pt idx="78">
                  <c:v>10/31/17</c:v>
                </c:pt>
                <c:pt idx="79">
                  <c:v>11/30/17</c:v>
                </c:pt>
                <c:pt idx="80">
                  <c:v>12/31/17</c:v>
                </c:pt>
                <c:pt idx="81">
                  <c:v>01/31/18</c:v>
                </c:pt>
                <c:pt idx="82">
                  <c:v>02/28/18</c:v>
                </c:pt>
                <c:pt idx="83">
                  <c:v>03/31/18</c:v>
                </c:pt>
                <c:pt idx="84">
                  <c:v>04/30/18</c:v>
                </c:pt>
                <c:pt idx="85">
                  <c:v>05/31/18</c:v>
                </c:pt>
                <c:pt idx="86">
                  <c:v>06/30/18</c:v>
                </c:pt>
                <c:pt idx="87">
                  <c:v>07/31/18</c:v>
                </c:pt>
                <c:pt idx="88">
                  <c:v>08/31/18</c:v>
                </c:pt>
                <c:pt idx="89">
                  <c:v>09/30/18</c:v>
                </c:pt>
                <c:pt idx="90">
                  <c:v>10/31/18</c:v>
                </c:pt>
                <c:pt idx="91">
                  <c:v>11/30/18</c:v>
                </c:pt>
                <c:pt idx="92">
                  <c:v>12/31/18</c:v>
                </c:pt>
                <c:pt idx="93">
                  <c:v>01/31/19</c:v>
                </c:pt>
                <c:pt idx="94">
                  <c:v>02/28/19</c:v>
                </c:pt>
                <c:pt idx="95">
                  <c:v>03/31/19</c:v>
                </c:pt>
                <c:pt idx="96">
                  <c:v>04/30/19</c:v>
                </c:pt>
                <c:pt idx="97">
                  <c:v>05/31/19</c:v>
                </c:pt>
              </c:strCache>
            </c:strRef>
          </c:cat>
          <c:val>
            <c:numRef>
              <c:f>Graphs!$B$67:$CU$67</c:f>
              <c:numCache>
                <c:formatCode>General</c:formatCode>
                <c:ptCount val="98"/>
                <c:pt idx="0">
                  <c:v>1013.8271167856134</c:v>
                </c:pt>
                <c:pt idx="1">
                  <c:v>1032.4624530225403</c:v>
                </c:pt>
                <c:pt idx="2">
                  <c:v>1057.7976989417766</c:v>
                </c:pt>
                <c:pt idx="3">
                  <c:v>1060.9398922181988</c:v>
                </c:pt>
                <c:pt idx="4">
                  <c:v>1074.5050361397721</c:v>
                </c:pt>
                <c:pt idx="5">
                  <c:v>1100.2049577629436</c:v>
                </c:pt>
                <c:pt idx="6">
                  <c:v>1111.3451345248029</c:v>
                </c:pt>
                <c:pt idx="7">
                  <c:v>1120.3115640828773</c:v>
                </c:pt>
                <c:pt idx="8">
                  <c:v>1144.2629008513709</c:v>
                </c:pt>
                <c:pt idx="9">
                  <c:v>1162.6992964006292</c:v>
                </c:pt>
                <c:pt idx="10">
                  <c:v>1188.0294446443952</c:v>
                </c:pt>
                <c:pt idx="11">
                  <c:v>1212.0292314174544</c:v>
                </c:pt>
                <c:pt idx="12">
                  <c:v>1225.8808441533192</c:v>
                </c:pt>
                <c:pt idx="13">
                  <c:v>1248.2756142634635</c:v>
                </c:pt>
                <c:pt idx="14">
                  <c:v>1283.4935178833066</c:v>
                </c:pt>
                <c:pt idx="15">
                  <c:v>1314.7444008314585</c:v>
                </c:pt>
                <c:pt idx="16">
                  <c:v>1337.6976533204925</c:v>
                </c:pt>
                <c:pt idx="17">
                  <c:v>1376.041414243163</c:v>
                </c:pt>
                <c:pt idx="18">
                  <c:v>1410.1414285347573</c:v>
                </c:pt>
                <c:pt idx="19">
                  <c:v>1432.3479248173353</c:v>
                </c:pt>
                <c:pt idx="20">
                  <c:v>1468.6079851670017</c:v>
                </c:pt>
                <c:pt idx="21">
                  <c:v>1491.1053729996265</c:v>
                </c:pt>
                <c:pt idx="22">
                  <c:v>1521.6211714899075</c:v>
                </c:pt>
                <c:pt idx="23">
                  <c:v>1567.8426546635474</c:v>
                </c:pt>
                <c:pt idx="24">
                  <c:v>1582.3500183614847</c:v>
                </c:pt>
                <c:pt idx="25">
                  <c:v>1599.3949174609174</c:v>
                </c:pt>
                <c:pt idx="26">
                  <c:v>1624.8925778572739</c:v>
                </c:pt>
                <c:pt idx="27">
                  <c:v>1645.9189336403495</c:v>
                </c:pt>
                <c:pt idx="28">
                  <c:v>1668.5885606464697</c:v>
                </c:pt>
                <c:pt idx="29">
                  <c:v>1690.1184388232809</c:v>
                </c:pt>
                <c:pt idx="30">
                  <c:v>1725.8453285220091</c:v>
                </c:pt>
                <c:pt idx="31">
                  <c:v>1753.8758091492316</c:v>
                </c:pt>
                <c:pt idx="32">
                  <c:v>1815.6498935488466</c:v>
                </c:pt>
                <c:pt idx="33">
                  <c:v>1878.1695113799476</c:v>
                </c:pt>
                <c:pt idx="34">
                  <c:v>1907.8850269184595</c:v>
                </c:pt>
                <c:pt idx="35">
                  <c:v>1941.922068602945</c:v>
                </c:pt>
                <c:pt idx="36">
                  <c:v>2026.1148658063726</c:v>
                </c:pt>
                <c:pt idx="37">
                  <c:v>2073.8681907339105</c:v>
                </c:pt>
                <c:pt idx="38">
                  <c:v>2100.5945688302759</c:v>
                </c:pt>
                <c:pt idx="39">
                  <c:v>2114.1418893620416</c:v>
                </c:pt>
                <c:pt idx="40">
                  <c:v>2147.1152447751469</c:v>
                </c:pt>
                <c:pt idx="41">
                  <c:v>2191.0114572074831</c:v>
                </c:pt>
                <c:pt idx="42">
                  <c:v>2233.3013949821716</c:v>
                </c:pt>
                <c:pt idx="43">
                  <c:v>2270.3370605478103</c:v>
                </c:pt>
                <c:pt idx="44">
                  <c:v>2282.3177033229149</c:v>
                </c:pt>
                <c:pt idx="45">
                  <c:v>2292.7154881282422</c:v>
                </c:pt>
                <c:pt idx="46">
                  <c:v>2292.7154881282422</c:v>
                </c:pt>
                <c:pt idx="47">
                  <c:v>2292.7154881282422</c:v>
                </c:pt>
                <c:pt idx="48">
                  <c:v>2292.7154881282422</c:v>
                </c:pt>
                <c:pt idx="49">
                  <c:v>2303.9267885228187</c:v>
                </c:pt>
                <c:pt idx="50">
                  <c:v>2315.1929117932332</c:v>
                </c:pt>
                <c:pt idx="51">
                  <c:v>2315.1929117932332</c:v>
                </c:pt>
                <c:pt idx="52">
                  <c:v>2315.1929117932332</c:v>
                </c:pt>
                <c:pt idx="53">
                  <c:v>2315.1929117932332</c:v>
                </c:pt>
                <c:pt idx="54">
                  <c:v>2315.1929117932332</c:v>
                </c:pt>
                <c:pt idx="55">
                  <c:v>2315.1929117932332</c:v>
                </c:pt>
                <c:pt idx="56">
                  <c:v>2299.8096269724342</c:v>
                </c:pt>
                <c:pt idx="57">
                  <c:v>2272.9115771900224</c:v>
                </c:pt>
                <c:pt idx="58">
                  <c:v>2272.9115771900224</c:v>
                </c:pt>
                <c:pt idx="59">
                  <c:v>2272.9115771900224</c:v>
                </c:pt>
                <c:pt idx="60">
                  <c:v>2272.9115771900224</c:v>
                </c:pt>
                <c:pt idx="61">
                  <c:v>2287.6229277911048</c:v>
                </c:pt>
                <c:pt idx="62">
                  <c:v>2271.9004955442479</c:v>
                </c:pt>
                <c:pt idx="63">
                  <c:v>2287.6229277911043</c:v>
                </c:pt>
                <c:pt idx="64">
                  <c:v>2287.6229277911043</c:v>
                </c:pt>
                <c:pt idx="65">
                  <c:v>2287.6229277911043</c:v>
                </c:pt>
                <c:pt idx="66">
                  <c:v>2287.6229277911043</c:v>
                </c:pt>
                <c:pt idx="67">
                  <c:v>2287.6229277911043</c:v>
                </c:pt>
                <c:pt idx="68">
                  <c:v>2287.6229277911043</c:v>
                </c:pt>
                <c:pt idx="69">
                  <c:v>2287.6229277911043</c:v>
                </c:pt>
                <c:pt idx="70">
                  <c:v>2302.4294971585832</c:v>
                </c:pt>
                <c:pt idx="71">
                  <c:v>2287.131018766489</c:v>
                </c:pt>
                <c:pt idx="72">
                  <c:v>2272.422831556557</c:v>
                </c:pt>
                <c:pt idx="73">
                  <c:v>2272.422831556557</c:v>
                </c:pt>
                <c:pt idx="74">
                  <c:v>2287.6229277911048</c:v>
                </c:pt>
                <c:pt idx="75">
                  <c:v>2287.6229277911048</c:v>
                </c:pt>
                <c:pt idx="76">
                  <c:v>2287.6229277911048</c:v>
                </c:pt>
                <c:pt idx="77">
                  <c:v>2339.0280454071126</c:v>
                </c:pt>
                <c:pt idx="78">
                  <c:v>2372.6825487259393</c:v>
                </c:pt>
                <c:pt idx="79">
                  <c:v>2356.3755165824632</c:v>
                </c:pt>
                <c:pt idx="80">
                  <c:v>2356.3755165824632</c:v>
                </c:pt>
                <c:pt idx="81">
                  <c:v>2356.3755165824632</c:v>
                </c:pt>
                <c:pt idx="82">
                  <c:v>2356.3755165824632</c:v>
                </c:pt>
                <c:pt idx="83">
                  <c:v>2373.8949567469472</c:v>
                </c:pt>
                <c:pt idx="84">
                  <c:v>2373.8949567469472</c:v>
                </c:pt>
                <c:pt idx="85">
                  <c:v>2373.8949567469472</c:v>
                </c:pt>
                <c:pt idx="86">
                  <c:v>2373.8949567469472</c:v>
                </c:pt>
                <c:pt idx="87">
                  <c:v>2373.8949567469472</c:v>
                </c:pt>
                <c:pt idx="88">
                  <c:v>2392.2261011950159</c:v>
                </c:pt>
                <c:pt idx="89">
                  <c:v>2392.2261011950159</c:v>
                </c:pt>
                <c:pt idx="90">
                  <c:v>2392.2261011950159</c:v>
                </c:pt>
                <c:pt idx="91">
                  <c:v>2392.2261011950159</c:v>
                </c:pt>
                <c:pt idx="92">
                  <c:v>2392.2261011950159</c:v>
                </c:pt>
                <c:pt idx="93">
                  <c:v>2392.2261011950159</c:v>
                </c:pt>
                <c:pt idx="94">
                  <c:v>2392.2261011950159</c:v>
                </c:pt>
                <c:pt idx="95">
                  <c:v>2392.2261011950159</c:v>
                </c:pt>
                <c:pt idx="96">
                  <c:v>2392.2261011950159</c:v>
                </c:pt>
                <c:pt idx="97">
                  <c:v>2392.2261011950159</c:v>
                </c:pt>
              </c:numCache>
            </c:numRef>
          </c:val>
          <c:smooth val="0"/>
          <c:extLst>
            <c:ext xmlns:c16="http://schemas.microsoft.com/office/drawing/2014/chart" uri="{C3380CC4-5D6E-409C-BE32-E72D297353CC}">
              <c16:uniqueId val="{00000002-DC07-024C-B284-2635FFB0E8ED}"/>
            </c:ext>
          </c:extLst>
        </c:ser>
        <c:ser>
          <c:idx val="3"/>
          <c:order val="3"/>
          <c:tx>
            <c:strRef>
              <c:f>Graphs!$A$68</c:f>
              <c:strCache>
                <c:ptCount val="1"/>
                <c:pt idx="0">
                  <c:v>False claims of digital identity</c:v>
                </c:pt>
              </c:strCache>
            </c:strRef>
          </c:tx>
          <c:spPr>
            <a:ln w="28575" cap="rnd">
              <a:no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Graphs!$B$64:$CU$64</c:f>
              <c:strCache>
                <c:ptCount val="98"/>
                <c:pt idx="0">
                  <c:v>Apr-11</c:v>
                </c:pt>
                <c:pt idx="1">
                  <c:v>May-11</c:v>
                </c:pt>
                <c:pt idx="2">
                  <c:v>Jun-11</c:v>
                </c:pt>
                <c:pt idx="3">
                  <c:v>Jul-11</c:v>
                </c:pt>
                <c:pt idx="4">
                  <c:v>Aug-11</c:v>
                </c:pt>
                <c:pt idx="5">
                  <c:v>Sep-11</c:v>
                </c:pt>
                <c:pt idx="6">
                  <c:v>Oct-11</c:v>
                </c:pt>
                <c:pt idx="7">
                  <c:v>Nov-11</c:v>
                </c:pt>
                <c:pt idx="8">
                  <c:v>Dec-11</c:v>
                </c:pt>
                <c:pt idx="9">
                  <c:v>Jan-12</c:v>
                </c:pt>
                <c:pt idx="10">
                  <c:v>Feb-12</c:v>
                </c:pt>
                <c:pt idx="11">
                  <c:v>Mar-12</c:v>
                </c:pt>
                <c:pt idx="12">
                  <c:v>Apr-12</c:v>
                </c:pt>
                <c:pt idx="13">
                  <c:v>May-12</c:v>
                </c:pt>
                <c:pt idx="14">
                  <c:v>Jun-12</c:v>
                </c:pt>
                <c:pt idx="15">
                  <c:v>Jul-12</c:v>
                </c:pt>
                <c:pt idx="16">
                  <c:v>Aug-12</c:v>
                </c:pt>
                <c:pt idx="17">
                  <c:v>Sep-12</c:v>
                </c:pt>
                <c:pt idx="18">
                  <c:v>Oct-12</c:v>
                </c:pt>
                <c:pt idx="19">
                  <c:v>Nov-12</c:v>
                </c:pt>
                <c:pt idx="20">
                  <c:v>Dec-12</c:v>
                </c:pt>
                <c:pt idx="21">
                  <c:v>Jan-13</c:v>
                </c:pt>
                <c:pt idx="22">
                  <c:v>Feb-13</c:v>
                </c:pt>
                <c:pt idx="23">
                  <c:v>Mar-13</c:v>
                </c:pt>
                <c:pt idx="24">
                  <c:v>Apr-13</c:v>
                </c:pt>
                <c:pt idx="25">
                  <c:v>May-13</c:v>
                </c:pt>
                <c:pt idx="26">
                  <c:v>Jun-13</c:v>
                </c:pt>
                <c:pt idx="27">
                  <c:v>Jul-13</c:v>
                </c:pt>
                <c:pt idx="28">
                  <c:v>Aug-13</c:v>
                </c:pt>
                <c:pt idx="29">
                  <c:v>Sep-13</c:v>
                </c:pt>
                <c:pt idx="30">
                  <c:v>Oct-13</c:v>
                </c:pt>
                <c:pt idx="31">
                  <c:v>Nov-13</c:v>
                </c:pt>
                <c:pt idx="32">
                  <c:v>Dec-13</c:v>
                </c:pt>
                <c:pt idx="33">
                  <c:v>Jan-14</c:v>
                </c:pt>
                <c:pt idx="34">
                  <c:v>Feb-14</c:v>
                </c:pt>
                <c:pt idx="35">
                  <c:v>Mar-14</c:v>
                </c:pt>
                <c:pt idx="36">
                  <c:v>Apr-14</c:v>
                </c:pt>
                <c:pt idx="37">
                  <c:v>May-14</c:v>
                </c:pt>
                <c:pt idx="38">
                  <c:v>Jun-14</c:v>
                </c:pt>
                <c:pt idx="39">
                  <c:v>Jul-14</c:v>
                </c:pt>
                <c:pt idx="40">
                  <c:v>Aug-14</c:v>
                </c:pt>
                <c:pt idx="41">
                  <c:v>Sep-14</c:v>
                </c:pt>
                <c:pt idx="42">
                  <c:v>Oct-14</c:v>
                </c:pt>
                <c:pt idx="43">
                  <c:v>Nov-14</c:v>
                </c:pt>
                <c:pt idx="44">
                  <c:v>12/31/14</c:v>
                </c:pt>
                <c:pt idx="45">
                  <c:v>01/31/15</c:v>
                </c:pt>
                <c:pt idx="46">
                  <c:v>02/28/15</c:v>
                </c:pt>
                <c:pt idx="47">
                  <c:v>03/31/15</c:v>
                </c:pt>
                <c:pt idx="48">
                  <c:v>04/30/15</c:v>
                </c:pt>
                <c:pt idx="49">
                  <c:v>05/31/15</c:v>
                </c:pt>
                <c:pt idx="50">
                  <c:v>06/30/15</c:v>
                </c:pt>
                <c:pt idx="51">
                  <c:v>07/31/15</c:v>
                </c:pt>
                <c:pt idx="52">
                  <c:v>08/31/15</c:v>
                </c:pt>
                <c:pt idx="53">
                  <c:v>09/30/15</c:v>
                </c:pt>
                <c:pt idx="54">
                  <c:v>10/31/15</c:v>
                </c:pt>
                <c:pt idx="55">
                  <c:v>11/30/15</c:v>
                </c:pt>
                <c:pt idx="56">
                  <c:v>12/31/15</c:v>
                </c:pt>
                <c:pt idx="57">
                  <c:v>01/31/16</c:v>
                </c:pt>
                <c:pt idx="58">
                  <c:v>02/29/16</c:v>
                </c:pt>
                <c:pt idx="59">
                  <c:v>03/31/16</c:v>
                </c:pt>
                <c:pt idx="60">
                  <c:v>04/30/16</c:v>
                </c:pt>
                <c:pt idx="61">
                  <c:v>05/31/16</c:v>
                </c:pt>
                <c:pt idx="62">
                  <c:v>06/30/16</c:v>
                </c:pt>
                <c:pt idx="63">
                  <c:v>07/31/16</c:v>
                </c:pt>
                <c:pt idx="64">
                  <c:v>08/31/16</c:v>
                </c:pt>
                <c:pt idx="65">
                  <c:v>09/30/16</c:v>
                </c:pt>
                <c:pt idx="66">
                  <c:v>10/31/16</c:v>
                </c:pt>
                <c:pt idx="67">
                  <c:v>11/30/16</c:v>
                </c:pt>
                <c:pt idx="68">
                  <c:v>12/31/16</c:v>
                </c:pt>
                <c:pt idx="69">
                  <c:v>01/31/17</c:v>
                </c:pt>
                <c:pt idx="70">
                  <c:v>02/28/17</c:v>
                </c:pt>
                <c:pt idx="71">
                  <c:v>03/31/17</c:v>
                </c:pt>
                <c:pt idx="72">
                  <c:v>04/30/17</c:v>
                </c:pt>
                <c:pt idx="73">
                  <c:v>05/31/17</c:v>
                </c:pt>
                <c:pt idx="74">
                  <c:v>06/30/17</c:v>
                </c:pt>
                <c:pt idx="75">
                  <c:v>07/31/17</c:v>
                </c:pt>
                <c:pt idx="76">
                  <c:v>08/31/17</c:v>
                </c:pt>
                <c:pt idx="77">
                  <c:v>09/30/17</c:v>
                </c:pt>
                <c:pt idx="78">
                  <c:v>10/31/17</c:v>
                </c:pt>
                <c:pt idx="79">
                  <c:v>11/30/17</c:v>
                </c:pt>
                <c:pt idx="80">
                  <c:v>12/31/17</c:v>
                </c:pt>
                <c:pt idx="81">
                  <c:v>01/31/18</c:v>
                </c:pt>
                <c:pt idx="82">
                  <c:v>02/28/18</c:v>
                </c:pt>
                <c:pt idx="83">
                  <c:v>03/31/18</c:v>
                </c:pt>
                <c:pt idx="84">
                  <c:v>04/30/18</c:v>
                </c:pt>
                <c:pt idx="85">
                  <c:v>05/31/18</c:v>
                </c:pt>
                <c:pt idx="86">
                  <c:v>06/30/18</c:v>
                </c:pt>
                <c:pt idx="87">
                  <c:v>07/31/18</c:v>
                </c:pt>
                <c:pt idx="88">
                  <c:v>08/31/18</c:v>
                </c:pt>
                <c:pt idx="89">
                  <c:v>09/30/18</c:v>
                </c:pt>
                <c:pt idx="90">
                  <c:v>10/31/18</c:v>
                </c:pt>
                <c:pt idx="91">
                  <c:v>11/30/18</c:v>
                </c:pt>
                <c:pt idx="92">
                  <c:v>12/31/18</c:v>
                </c:pt>
                <c:pt idx="93">
                  <c:v>01/31/19</c:v>
                </c:pt>
                <c:pt idx="94">
                  <c:v>02/28/19</c:v>
                </c:pt>
                <c:pt idx="95">
                  <c:v>03/31/19</c:v>
                </c:pt>
                <c:pt idx="96">
                  <c:v>04/30/19</c:v>
                </c:pt>
                <c:pt idx="97">
                  <c:v>05/31/19</c:v>
                </c:pt>
              </c:strCache>
            </c:strRef>
          </c:cat>
          <c:val>
            <c:numRef>
              <c:f>Graphs!$B$68:$CU$68</c:f>
              <c:numCache>
                <c:formatCode>General</c:formatCode>
                <c:ptCount val="98"/>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numCache>
            </c:numRef>
          </c:val>
          <c:smooth val="0"/>
          <c:extLst>
            <c:ext xmlns:c16="http://schemas.microsoft.com/office/drawing/2014/chart" uri="{C3380CC4-5D6E-409C-BE32-E72D297353CC}">
              <c16:uniqueId val="{00000003-DC07-024C-B284-2635FFB0E8ED}"/>
            </c:ext>
          </c:extLst>
        </c:ser>
        <c:ser>
          <c:idx val="4"/>
          <c:order val="4"/>
          <c:tx>
            <c:strRef>
              <c:f>Graphs!$A$69</c:f>
              <c:strCache>
                <c:ptCount val="1"/>
                <c:pt idx="0">
                  <c:v>Media &amp; public perception</c:v>
                </c:pt>
              </c:strCache>
            </c:strRef>
          </c:tx>
          <c:spPr>
            <a:ln w="28575" cap="rnd">
              <a:solidFill>
                <a:schemeClr val="accent5"/>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Graphs!$B$64:$CU$64</c:f>
              <c:strCache>
                <c:ptCount val="98"/>
                <c:pt idx="0">
                  <c:v>Apr-11</c:v>
                </c:pt>
                <c:pt idx="1">
                  <c:v>May-11</c:v>
                </c:pt>
                <c:pt idx="2">
                  <c:v>Jun-11</c:v>
                </c:pt>
                <c:pt idx="3">
                  <c:v>Jul-11</c:v>
                </c:pt>
                <c:pt idx="4">
                  <c:v>Aug-11</c:v>
                </c:pt>
                <c:pt idx="5">
                  <c:v>Sep-11</c:v>
                </c:pt>
                <c:pt idx="6">
                  <c:v>Oct-11</c:v>
                </c:pt>
                <c:pt idx="7">
                  <c:v>Nov-11</c:v>
                </c:pt>
                <c:pt idx="8">
                  <c:v>Dec-11</c:v>
                </c:pt>
                <c:pt idx="9">
                  <c:v>Jan-12</c:v>
                </c:pt>
                <c:pt idx="10">
                  <c:v>Feb-12</c:v>
                </c:pt>
                <c:pt idx="11">
                  <c:v>Mar-12</c:v>
                </c:pt>
                <c:pt idx="12">
                  <c:v>Apr-12</c:v>
                </c:pt>
                <c:pt idx="13">
                  <c:v>May-12</c:v>
                </c:pt>
                <c:pt idx="14">
                  <c:v>Jun-12</c:v>
                </c:pt>
                <c:pt idx="15">
                  <c:v>Jul-12</c:v>
                </c:pt>
                <c:pt idx="16">
                  <c:v>Aug-12</c:v>
                </c:pt>
                <c:pt idx="17">
                  <c:v>Sep-12</c:v>
                </c:pt>
                <c:pt idx="18">
                  <c:v>Oct-12</c:v>
                </c:pt>
                <c:pt idx="19">
                  <c:v>Nov-12</c:v>
                </c:pt>
                <c:pt idx="20">
                  <c:v>Dec-12</c:v>
                </c:pt>
                <c:pt idx="21">
                  <c:v>Jan-13</c:v>
                </c:pt>
                <c:pt idx="22">
                  <c:v>Feb-13</c:v>
                </c:pt>
                <c:pt idx="23">
                  <c:v>Mar-13</c:v>
                </c:pt>
                <c:pt idx="24">
                  <c:v>Apr-13</c:v>
                </c:pt>
                <c:pt idx="25">
                  <c:v>May-13</c:v>
                </c:pt>
                <c:pt idx="26">
                  <c:v>Jun-13</c:v>
                </c:pt>
                <c:pt idx="27">
                  <c:v>Jul-13</c:v>
                </c:pt>
                <c:pt idx="28">
                  <c:v>Aug-13</c:v>
                </c:pt>
                <c:pt idx="29">
                  <c:v>Sep-13</c:v>
                </c:pt>
                <c:pt idx="30">
                  <c:v>Oct-13</c:v>
                </c:pt>
                <c:pt idx="31">
                  <c:v>Nov-13</c:v>
                </c:pt>
                <c:pt idx="32">
                  <c:v>Dec-13</c:v>
                </c:pt>
                <c:pt idx="33">
                  <c:v>Jan-14</c:v>
                </c:pt>
                <c:pt idx="34">
                  <c:v>Feb-14</c:v>
                </c:pt>
                <c:pt idx="35">
                  <c:v>Mar-14</c:v>
                </c:pt>
                <c:pt idx="36">
                  <c:v>Apr-14</c:v>
                </c:pt>
                <c:pt idx="37">
                  <c:v>May-14</c:v>
                </c:pt>
                <c:pt idx="38">
                  <c:v>Jun-14</c:v>
                </c:pt>
                <c:pt idx="39">
                  <c:v>Jul-14</c:v>
                </c:pt>
                <c:pt idx="40">
                  <c:v>Aug-14</c:v>
                </c:pt>
                <c:pt idx="41">
                  <c:v>Sep-14</c:v>
                </c:pt>
                <c:pt idx="42">
                  <c:v>Oct-14</c:v>
                </c:pt>
                <c:pt idx="43">
                  <c:v>Nov-14</c:v>
                </c:pt>
                <c:pt idx="44">
                  <c:v>12/31/14</c:v>
                </c:pt>
                <c:pt idx="45">
                  <c:v>01/31/15</c:v>
                </c:pt>
                <c:pt idx="46">
                  <c:v>02/28/15</c:v>
                </c:pt>
                <c:pt idx="47">
                  <c:v>03/31/15</c:v>
                </c:pt>
                <c:pt idx="48">
                  <c:v>04/30/15</c:v>
                </c:pt>
                <c:pt idx="49">
                  <c:v>05/31/15</c:v>
                </c:pt>
                <c:pt idx="50">
                  <c:v>06/30/15</c:v>
                </c:pt>
                <c:pt idx="51">
                  <c:v>07/31/15</c:v>
                </c:pt>
                <c:pt idx="52">
                  <c:v>08/31/15</c:v>
                </c:pt>
                <c:pt idx="53">
                  <c:v>09/30/15</c:v>
                </c:pt>
                <c:pt idx="54">
                  <c:v>10/31/15</c:v>
                </c:pt>
                <c:pt idx="55">
                  <c:v>11/30/15</c:v>
                </c:pt>
                <c:pt idx="56">
                  <c:v>12/31/15</c:v>
                </c:pt>
                <c:pt idx="57">
                  <c:v>01/31/16</c:v>
                </c:pt>
                <c:pt idx="58">
                  <c:v>02/29/16</c:v>
                </c:pt>
                <c:pt idx="59">
                  <c:v>03/31/16</c:v>
                </c:pt>
                <c:pt idx="60">
                  <c:v>04/30/16</c:v>
                </c:pt>
                <c:pt idx="61">
                  <c:v>05/31/16</c:v>
                </c:pt>
                <c:pt idx="62">
                  <c:v>06/30/16</c:v>
                </c:pt>
                <c:pt idx="63">
                  <c:v>07/31/16</c:v>
                </c:pt>
                <c:pt idx="64">
                  <c:v>08/31/16</c:v>
                </c:pt>
                <c:pt idx="65">
                  <c:v>09/30/16</c:v>
                </c:pt>
                <c:pt idx="66">
                  <c:v>10/31/16</c:v>
                </c:pt>
                <c:pt idx="67">
                  <c:v>11/30/16</c:v>
                </c:pt>
                <c:pt idx="68">
                  <c:v>12/31/16</c:v>
                </c:pt>
                <c:pt idx="69">
                  <c:v>01/31/17</c:v>
                </c:pt>
                <c:pt idx="70">
                  <c:v>02/28/17</c:v>
                </c:pt>
                <c:pt idx="71">
                  <c:v>03/31/17</c:v>
                </c:pt>
                <c:pt idx="72">
                  <c:v>04/30/17</c:v>
                </c:pt>
                <c:pt idx="73">
                  <c:v>05/31/17</c:v>
                </c:pt>
                <c:pt idx="74">
                  <c:v>06/30/17</c:v>
                </c:pt>
                <c:pt idx="75">
                  <c:v>07/31/17</c:v>
                </c:pt>
                <c:pt idx="76">
                  <c:v>08/31/17</c:v>
                </c:pt>
                <c:pt idx="77">
                  <c:v>09/30/17</c:v>
                </c:pt>
                <c:pt idx="78">
                  <c:v>10/31/17</c:v>
                </c:pt>
                <c:pt idx="79">
                  <c:v>11/30/17</c:v>
                </c:pt>
                <c:pt idx="80">
                  <c:v>12/31/17</c:v>
                </c:pt>
                <c:pt idx="81">
                  <c:v>01/31/18</c:v>
                </c:pt>
                <c:pt idx="82">
                  <c:v>02/28/18</c:v>
                </c:pt>
                <c:pt idx="83">
                  <c:v>03/31/18</c:v>
                </c:pt>
                <c:pt idx="84">
                  <c:v>04/30/18</c:v>
                </c:pt>
                <c:pt idx="85">
                  <c:v>05/31/18</c:v>
                </c:pt>
                <c:pt idx="86">
                  <c:v>06/30/18</c:v>
                </c:pt>
                <c:pt idx="87">
                  <c:v>07/31/18</c:v>
                </c:pt>
                <c:pt idx="88">
                  <c:v>08/31/18</c:v>
                </c:pt>
                <c:pt idx="89">
                  <c:v>09/30/18</c:v>
                </c:pt>
                <c:pt idx="90">
                  <c:v>10/31/18</c:v>
                </c:pt>
                <c:pt idx="91">
                  <c:v>11/30/18</c:v>
                </c:pt>
                <c:pt idx="92">
                  <c:v>12/31/18</c:v>
                </c:pt>
                <c:pt idx="93">
                  <c:v>01/31/19</c:v>
                </c:pt>
                <c:pt idx="94">
                  <c:v>02/28/19</c:v>
                </c:pt>
                <c:pt idx="95">
                  <c:v>03/31/19</c:v>
                </c:pt>
                <c:pt idx="96">
                  <c:v>04/30/19</c:v>
                </c:pt>
                <c:pt idx="97">
                  <c:v>05/31/19</c:v>
                </c:pt>
              </c:strCache>
            </c:strRef>
          </c:cat>
          <c:val>
            <c:numRef>
              <c:f>Graphs!$B$69:$CU$69</c:f>
              <c:numCache>
                <c:formatCode>General</c:formatCode>
                <c:ptCount val="98"/>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numCache>
            </c:numRef>
          </c:val>
          <c:smooth val="0"/>
          <c:extLst>
            <c:ext xmlns:c16="http://schemas.microsoft.com/office/drawing/2014/chart" uri="{C3380CC4-5D6E-409C-BE32-E72D297353CC}">
              <c16:uniqueId val="{00000004-DC07-024C-B284-2635FFB0E8ED}"/>
            </c:ext>
          </c:extLst>
        </c:ser>
        <c:ser>
          <c:idx val="5"/>
          <c:order val="5"/>
          <c:tx>
            <c:strRef>
              <c:f>Graphs!$A$70</c:f>
              <c:strCache>
                <c:ptCount val="1"/>
                <c:pt idx="0">
                  <c:v>Personal risk</c:v>
                </c:pt>
              </c:strCache>
            </c:strRef>
          </c:tx>
          <c:spPr>
            <a:ln w="28575" cap="rnd">
              <a:solidFill>
                <a:schemeClr val="accent6"/>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Graphs!$B$64:$CU$64</c:f>
              <c:strCache>
                <c:ptCount val="98"/>
                <c:pt idx="0">
                  <c:v>Apr-11</c:v>
                </c:pt>
                <c:pt idx="1">
                  <c:v>May-11</c:v>
                </c:pt>
                <c:pt idx="2">
                  <c:v>Jun-11</c:v>
                </c:pt>
                <c:pt idx="3">
                  <c:v>Jul-11</c:v>
                </c:pt>
                <c:pt idx="4">
                  <c:v>Aug-11</c:v>
                </c:pt>
                <c:pt idx="5">
                  <c:v>Sep-11</c:v>
                </c:pt>
                <c:pt idx="6">
                  <c:v>Oct-11</c:v>
                </c:pt>
                <c:pt idx="7">
                  <c:v>Nov-11</c:v>
                </c:pt>
                <c:pt idx="8">
                  <c:v>Dec-11</c:v>
                </c:pt>
                <c:pt idx="9">
                  <c:v>Jan-12</c:v>
                </c:pt>
                <c:pt idx="10">
                  <c:v>Feb-12</c:v>
                </c:pt>
                <c:pt idx="11">
                  <c:v>Mar-12</c:v>
                </c:pt>
                <c:pt idx="12">
                  <c:v>Apr-12</c:v>
                </c:pt>
                <c:pt idx="13">
                  <c:v>May-12</c:v>
                </c:pt>
                <c:pt idx="14">
                  <c:v>Jun-12</c:v>
                </c:pt>
                <c:pt idx="15">
                  <c:v>Jul-12</c:v>
                </c:pt>
                <c:pt idx="16">
                  <c:v>Aug-12</c:v>
                </c:pt>
                <c:pt idx="17">
                  <c:v>Sep-12</c:v>
                </c:pt>
                <c:pt idx="18">
                  <c:v>Oct-12</c:v>
                </c:pt>
                <c:pt idx="19">
                  <c:v>Nov-12</c:v>
                </c:pt>
                <c:pt idx="20">
                  <c:v>Dec-12</c:v>
                </c:pt>
                <c:pt idx="21">
                  <c:v>Jan-13</c:v>
                </c:pt>
                <c:pt idx="22">
                  <c:v>Feb-13</c:v>
                </c:pt>
                <c:pt idx="23">
                  <c:v>Mar-13</c:v>
                </c:pt>
                <c:pt idx="24">
                  <c:v>Apr-13</c:v>
                </c:pt>
                <c:pt idx="25">
                  <c:v>May-13</c:v>
                </c:pt>
                <c:pt idx="26">
                  <c:v>Jun-13</c:v>
                </c:pt>
                <c:pt idx="27">
                  <c:v>Jul-13</c:v>
                </c:pt>
                <c:pt idx="28">
                  <c:v>Aug-13</c:v>
                </c:pt>
                <c:pt idx="29">
                  <c:v>Sep-13</c:v>
                </c:pt>
                <c:pt idx="30">
                  <c:v>Oct-13</c:v>
                </c:pt>
                <c:pt idx="31">
                  <c:v>Nov-13</c:v>
                </c:pt>
                <c:pt idx="32">
                  <c:v>Dec-13</c:v>
                </c:pt>
                <c:pt idx="33">
                  <c:v>Jan-14</c:v>
                </c:pt>
                <c:pt idx="34">
                  <c:v>Feb-14</c:v>
                </c:pt>
                <c:pt idx="35">
                  <c:v>Mar-14</c:v>
                </c:pt>
                <c:pt idx="36">
                  <c:v>Apr-14</c:v>
                </c:pt>
                <c:pt idx="37">
                  <c:v>May-14</c:v>
                </c:pt>
                <c:pt idx="38">
                  <c:v>Jun-14</c:v>
                </c:pt>
                <c:pt idx="39">
                  <c:v>Jul-14</c:v>
                </c:pt>
                <c:pt idx="40">
                  <c:v>Aug-14</c:v>
                </c:pt>
                <c:pt idx="41">
                  <c:v>Sep-14</c:v>
                </c:pt>
                <c:pt idx="42">
                  <c:v>Oct-14</c:v>
                </c:pt>
                <c:pt idx="43">
                  <c:v>Nov-14</c:v>
                </c:pt>
                <c:pt idx="44">
                  <c:v>12/31/14</c:v>
                </c:pt>
                <c:pt idx="45">
                  <c:v>01/31/15</c:v>
                </c:pt>
                <c:pt idx="46">
                  <c:v>02/28/15</c:v>
                </c:pt>
                <c:pt idx="47">
                  <c:v>03/31/15</c:v>
                </c:pt>
                <c:pt idx="48">
                  <c:v>04/30/15</c:v>
                </c:pt>
                <c:pt idx="49">
                  <c:v>05/31/15</c:v>
                </c:pt>
                <c:pt idx="50">
                  <c:v>06/30/15</c:v>
                </c:pt>
                <c:pt idx="51">
                  <c:v>07/31/15</c:v>
                </c:pt>
                <c:pt idx="52">
                  <c:v>08/31/15</c:v>
                </c:pt>
                <c:pt idx="53">
                  <c:v>09/30/15</c:v>
                </c:pt>
                <c:pt idx="54">
                  <c:v>10/31/15</c:v>
                </c:pt>
                <c:pt idx="55">
                  <c:v>11/30/15</c:v>
                </c:pt>
                <c:pt idx="56">
                  <c:v>12/31/15</c:v>
                </c:pt>
                <c:pt idx="57">
                  <c:v>01/31/16</c:v>
                </c:pt>
                <c:pt idx="58">
                  <c:v>02/29/16</c:v>
                </c:pt>
                <c:pt idx="59">
                  <c:v>03/31/16</c:v>
                </c:pt>
                <c:pt idx="60">
                  <c:v>04/30/16</c:v>
                </c:pt>
                <c:pt idx="61">
                  <c:v>05/31/16</c:v>
                </c:pt>
                <c:pt idx="62">
                  <c:v>06/30/16</c:v>
                </c:pt>
                <c:pt idx="63">
                  <c:v>07/31/16</c:v>
                </c:pt>
                <c:pt idx="64">
                  <c:v>08/31/16</c:v>
                </c:pt>
                <c:pt idx="65">
                  <c:v>09/30/16</c:v>
                </c:pt>
                <c:pt idx="66">
                  <c:v>10/31/16</c:v>
                </c:pt>
                <c:pt idx="67">
                  <c:v>11/30/16</c:v>
                </c:pt>
                <c:pt idx="68">
                  <c:v>12/31/16</c:v>
                </c:pt>
                <c:pt idx="69">
                  <c:v>01/31/17</c:v>
                </c:pt>
                <c:pt idx="70">
                  <c:v>02/28/17</c:v>
                </c:pt>
                <c:pt idx="71">
                  <c:v>03/31/17</c:v>
                </c:pt>
                <c:pt idx="72">
                  <c:v>04/30/17</c:v>
                </c:pt>
                <c:pt idx="73">
                  <c:v>05/31/17</c:v>
                </c:pt>
                <c:pt idx="74">
                  <c:v>06/30/17</c:v>
                </c:pt>
                <c:pt idx="75">
                  <c:v>07/31/17</c:v>
                </c:pt>
                <c:pt idx="76">
                  <c:v>08/31/17</c:v>
                </c:pt>
                <c:pt idx="77">
                  <c:v>09/30/17</c:v>
                </c:pt>
                <c:pt idx="78">
                  <c:v>10/31/17</c:v>
                </c:pt>
                <c:pt idx="79">
                  <c:v>11/30/17</c:v>
                </c:pt>
                <c:pt idx="80">
                  <c:v>12/31/17</c:v>
                </c:pt>
                <c:pt idx="81">
                  <c:v>01/31/18</c:v>
                </c:pt>
                <c:pt idx="82">
                  <c:v>02/28/18</c:v>
                </c:pt>
                <c:pt idx="83">
                  <c:v>03/31/18</c:v>
                </c:pt>
                <c:pt idx="84">
                  <c:v>04/30/18</c:v>
                </c:pt>
                <c:pt idx="85">
                  <c:v>05/31/18</c:v>
                </c:pt>
                <c:pt idx="86">
                  <c:v>06/30/18</c:v>
                </c:pt>
                <c:pt idx="87">
                  <c:v>07/31/18</c:v>
                </c:pt>
                <c:pt idx="88">
                  <c:v>08/31/18</c:v>
                </c:pt>
                <c:pt idx="89">
                  <c:v>09/30/18</c:v>
                </c:pt>
                <c:pt idx="90">
                  <c:v>10/31/18</c:v>
                </c:pt>
                <c:pt idx="91">
                  <c:v>11/30/18</c:v>
                </c:pt>
                <c:pt idx="92">
                  <c:v>12/31/18</c:v>
                </c:pt>
                <c:pt idx="93">
                  <c:v>01/31/19</c:v>
                </c:pt>
                <c:pt idx="94">
                  <c:v>02/28/19</c:v>
                </c:pt>
                <c:pt idx="95">
                  <c:v>03/31/19</c:v>
                </c:pt>
                <c:pt idx="96">
                  <c:v>04/30/19</c:v>
                </c:pt>
                <c:pt idx="97">
                  <c:v>05/31/19</c:v>
                </c:pt>
              </c:strCache>
            </c:strRef>
          </c:cat>
          <c:val>
            <c:numRef>
              <c:f>Graphs!$B$70:$CU$70</c:f>
              <c:numCache>
                <c:formatCode>General</c:formatCode>
                <c:ptCount val="98"/>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numCache>
            </c:numRef>
          </c:val>
          <c:smooth val="0"/>
          <c:extLst>
            <c:ext xmlns:c16="http://schemas.microsoft.com/office/drawing/2014/chart" uri="{C3380CC4-5D6E-409C-BE32-E72D297353CC}">
              <c16:uniqueId val="{00000005-DC07-024C-B284-2635FFB0E8ED}"/>
            </c:ext>
          </c:extLst>
        </c:ser>
        <c:dLbls>
          <c:showLegendKey val="0"/>
          <c:showVal val="0"/>
          <c:showCatName val="0"/>
          <c:showSerName val="0"/>
          <c:showPercent val="0"/>
          <c:showBubbleSize val="0"/>
        </c:dLbls>
        <c:smooth val="0"/>
        <c:axId val="560510008"/>
        <c:axId val="560507264"/>
      </c:lineChart>
      <c:catAx>
        <c:axId val="560510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0507264"/>
        <c:crosses val="autoZero"/>
        <c:auto val="1"/>
        <c:lblAlgn val="ctr"/>
        <c:lblOffset val="100"/>
        <c:noMultiLvlLbl val="0"/>
      </c:catAx>
      <c:valAx>
        <c:axId val="5605072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0510008"/>
        <c:crosses val="autoZero"/>
        <c:crossBetween val="between"/>
      </c:valAx>
      <c:spPr>
        <a:noFill/>
        <a:ln>
          <a:noFill/>
        </a:ln>
        <a:effectLst/>
      </c:spPr>
    </c:plotArea>
    <c:legend>
      <c:legendPos val="r"/>
      <c:legendEntry>
        <c:idx val="0"/>
        <c:delete val="1"/>
      </c:legendEntry>
      <c:legendEntry>
        <c:idx val="1"/>
        <c:delete val="1"/>
      </c:legendEntry>
      <c:legendEntry>
        <c:idx val="2"/>
        <c:delete val="1"/>
      </c:legendEntry>
      <c:legendEntry>
        <c:idx val="3"/>
        <c:txPr>
          <a:bodyPr rot="0" spcFirstLastPara="1" vertOverflow="ellipsis" vert="horz" wrap="square" anchor="ctr" anchorCtr="1"/>
          <a:lstStyle/>
          <a:p>
            <a:pPr>
              <a:defRPr sz="900" b="0" i="0" u="none" strike="noStrike" kern="1200" baseline="0">
                <a:noFill/>
                <a:latin typeface="+mn-lt"/>
                <a:ea typeface="+mn-ea"/>
                <a:cs typeface="+mn-cs"/>
              </a:defRPr>
            </a:pPr>
            <a:endParaRPr lang="en-US"/>
          </a:p>
        </c:txPr>
      </c:legendEntry>
      <c:legendEntry>
        <c:idx val="4"/>
        <c:delete val="1"/>
      </c:legendEntry>
      <c:legendEntry>
        <c:idx val="5"/>
        <c:delete val="1"/>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800"/>
              <a:t>Unexpected Increases and Decreases (%)</a:t>
            </a: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r>
              <a:rPr lang="en-US" sz="1400" b="0" i="0" baseline="0">
                <a:effectLst/>
              </a:rPr>
              <a:t>Monthly Increase Reduced by Secular Upward Trend</a:t>
            </a:r>
            <a:endParaRPr lang="en-US" sz="1100">
              <a:effectLst/>
            </a:endParaRP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'alpha-beta'!$D$154:$D$178</c:f>
              <c:strCache>
                <c:ptCount val="25"/>
                <c:pt idx="0">
                  <c:v>Weapons: Botnets</c:v>
                </c:pt>
                <c:pt idx="1">
                  <c:v>Weapons: Mass malware</c:v>
                </c:pt>
                <c:pt idx="2">
                  <c:v>Effect desired: Data modification</c:v>
                </c:pt>
                <c:pt idx="3">
                  <c:v>Attackers: Strategic rivals</c:v>
                </c:pt>
                <c:pt idx="4">
                  <c:v>Effect desired: Business disruption</c:v>
                </c:pt>
                <c:pt idx="5">
                  <c:v>Target: Mobile devices</c:v>
                </c:pt>
                <c:pt idx="6">
                  <c:v>Attackers: Activist/hacktivists</c:v>
                </c:pt>
                <c:pt idx="7">
                  <c:v>Target: End points</c:v>
                </c:pt>
                <c:pt idx="8">
                  <c:v>Defenses: Vulnerability to known threats</c:v>
                </c:pt>
                <c:pt idx="9">
                  <c:v>Target: Autonomous network connected devices</c:v>
                </c:pt>
                <c:pt idx="10">
                  <c:v>Overall: False claims of digital identity</c:v>
                </c:pt>
                <c:pt idx="11">
                  <c:v>Target: Internet exposed devices/appliances</c:v>
                </c:pt>
                <c:pt idx="12">
                  <c:v>Target: Public infrastructure/cloud</c:v>
                </c:pt>
                <c:pt idx="13">
                  <c:v>Overall: Personal risk</c:v>
                </c:pt>
                <c:pt idx="14">
                  <c:v>Weapons: Customized to target</c:v>
                </c:pt>
                <c:pt idx="15">
                  <c:v>Defenses: Vulnerability to unknown threats</c:v>
                </c:pt>
                <c:pt idx="16">
                  <c:v>Weapons: Vulnerability exploitation</c:v>
                </c:pt>
                <c:pt idx="17">
                  <c:v>Target: Web facing applications</c:v>
                </c:pt>
                <c:pt idx="18">
                  <c:v>Target: Counterparties</c:v>
                </c:pt>
                <c:pt idx="19">
                  <c:v>Effect desired: Data theft</c:v>
                </c:pt>
                <c:pt idx="20">
                  <c:v>Overall: Media &amp; public perception</c:v>
                </c:pt>
                <c:pt idx="21">
                  <c:v>Attackers: Nation states</c:v>
                </c:pt>
                <c:pt idx="22">
                  <c:v>Attackers: Criminals</c:v>
                </c:pt>
                <c:pt idx="23">
                  <c:v>Attackers: Insider threat</c:v>
                </c:pt>
                <c:pt idx="24">
                  <c:v>Weapons: Phishing/social engineering</c:v>
                </c:pt>
              </c:strCache>
            </c:strRef>
          </c:cat>
          <c:val>
            <c:numRef>
              <c:f>'alpha-beta'!$E$154:$E$178</c:f>
              <c:numCache>
                <c:formatCode>General</c:formatCode>
                <c:ptCount val="25"/>
                <c:pt idx="0">
                  <c:v>-1.3</c:v>
                </c:pt>
                <c:pt idx="1">
                  <c:v>-1.3</c:v>
                </c:pt>
                <c:pt idx="2">
                  <c:v>-0.70000000000000007</c:v>
                </c:pt>
                <c:pt idx="3">
                  <c:v>-0.6</c:v>
                </c:pt>
                <c:pt idx="4">
                  <c:v>-0.6</c:v>
                </c:pt>
                <c:pt idx="5">
                  <c:v>-0.6</c:v>
                </c:pt>
                <c:pt idx="6">
                  <c:v>-0.6</c:v>
                </c:pt>
                <c:pt idx="7">
                  <c:v>-0.5</c:v>
                </c:pt>
                <c:pt idx="8">
                  <c:v>0</c:v>
                </c:pt>
                <c:pt idx="9">
                  <c:v>0</c:v>
                </c:pt>
                <c:pt idx="10">
                  <c:v>0</c:v>
                </c:pt>
                <c:pt idx="11">
                  <c:v>0.1</c:v>
                </c:pt>
                <c:pt idx="12">
                  <c:v>0.1</c:v>
                </c:pt>
                <c:pt idx="13">
                  <c:v>0.1</c:v>
                </c:pt>
                <c:pt idx="14">
                  <c:v>0.1</c:v>
                </c:pt>
                <c:pt idx="15">
                  <c:v>0.1</c:v>
                </c:pt>
                <c:pt idx="16">
                  <c:v>0.1</c:v>
                </c:pt>
                <c:pt idx="17">
                  <c:v>0.1</c:v>
                </c:pt>
                <c:pt idx="18">
                  <c:v>0.1</c:v>
                </c:pt>
                <c:pt idx="19">
                  <c:v>0.2</c:v>
                </c:pt>
                <c:pt idx="20">
                  <c:v>0.2</c:v>
                </c:pt>
                <c:pt idx="21">
                  <c:v>0.8</c:v>
                </c:pt>
                <c:pt idx="22">
                  <c:v>0.8</c:v>
                </c:pt>
                <c:pt idx="23">
                  <c:v>1.4000000000000001</c:v>
                </c:pt>
                <c:pt idx="24">
                  <c:v>1.5</c:v>
                </c:pt>
              </c:numCache>
            </c:numRef>
          </c:val>
          <c:extLst>
            <c:ext xmlns:c16="http://schemas.microsoft.com/office/drawing/2014/chart" uri="{C3380CC4-5D6E-409C-BE32-E72D297353CC}">
              <c16:uniqueId val="{00000000-FEDD-BA4B-989D-97158AFA2BEE}"/>
            </c:ext>
          </c:extLst>
        </c:ser>
        <c:dLbls>
          <c:dLblPos val="outEnd"/>
          <c:showLegendKey val="0"/>
          <c:showVal val="1"/>
          <c:showCatName val="0"/>
          <c:showSerName val="0"/>
          <c:showPercent val="0"/>
          <c:showBubbleSize val="0"/>
        </c:dLbls>
        <c:gapWidth val="182"/>
        <c:axId val="560510792"/>
        <c:axId val="560508048"/>
      </c:barChart>
      <c:catAx>
        <c:axId val="56051079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0508048"/>
        <c:crosses val="autoZero"/>
        <c:auto val="1"/>
        <c:lblAlgn val="ctr"/>
        <c:lblOffset val="100"/>
        <c:noMultiLvlLbl val="0"/>
      </c:catAx>
      <c:valAx>
        <c:axId val="56050804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051079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defRPr sz="1200"/>
            </a:pPr>
            <a:r>
              <a:rPr lang="en-US" sz="1200"/>
              <a:t>Top Trending: 3 months </a:t>
            </a:r>
          </a:p>
        </c:rich>
      </c:tx>
      <c:overlay val="0"/>
      <c:spPr>
        <a:noFill/>
        <a:ln>
          <a:noFill/>
        </a:ln>
        <a:effectLst/>
      </c:spPr>
    </c:title>
    <c:autoTitleDeleted val="0"/>
    <c:plotArea>
      <c:layout/>
      <c:lineChart>
        <c:grouping val="standard"/>
        <c:varyColors val="0"/>
        <c:ser>
          <c:idx val="0"/>
          <c:order val="0"/>
          <c:tx>
            <c:strRef>
              <c:f>'Rolling 12 mos'!$E$75</c:f>
              <c:strCache>
                <c:ptCount val="1"/>
                <c:pt idx="0">
                  <c:v>Weapons: Phishing/social engineering (+1.1%/mo)</c:v>
                </c:pt>
              </c:strCache>
            </c:strRef>
          </c:tx>
          <c:spPr>
            <a:ln w="28575" cap="rnd">
              <a:solidFill>
                <a:schemeClr val="accent1"/>
              </a:solidFill>
              <a:round/>
            </a:ln>
            <a:effectLst/>
          </c:spPr>
          <c:marker>
            <c:symbol val="none"/>
          </c:marker>
          <c:cat>
            <c:strRef>
              <c:f>'Rolling 12 mos'!$F$74:$I$74</c:f>
              <c:strCache>
                <c:ptCount val="4"/>
                <c:pt idx="0">
                  <c:v>May-19</c:v>
                </c:pt>
                <c:pt idx="1">
                  <c:v>Jun-19</c:v>
                </c:pt>
                <c:pt idx="2">
                  <c:v>Jul-19</c:v>
                </c:pt>
                <c:pt idx="3">
                  <c:v>Aug-19</c:v>
                </c:pt>
              </c:strCache>
            </c:strRef>
          </c:cat>
          <c:val>
            <c:numRef>
              <c:f>'Rolling 12 mos'!$F$75:$I$75</c:f>
              <c:numCache>
                <c:formatCode>General</c:formatCode>
                <c:ptCount val="4"/>
                <c:pt idx="0">
                  <c:v>100</c:v>
                </c:pt>
                <c:pt idx="1">
                  <c:v>101.83481137611157</c:v>
                </c:pt>
                <c:pt idx="2">
                  <c:v>101.83481137611157</c:v>
                </c:pt>
                <c:pt idx="3">
                  <c:v>103.20170120985826</c:v>
                </c:pt>
              </c:numCache>
            </c:numRef>
          </c:val>
          <c:smooth val="0"/>
          <c:extLst>
            <c:ext xmlns:c16="http://schemas.microsoft.com/office/drawing/2014/chart" uri="{C3380CC4-5D6E-409C-BE32-E72D297353CC}">
              <c16:uniqueId val="{00000000-B45D-4604-AEC7-A7C900BE9083}"/>
            </c:ext>
          </c:extLst>
        </c:ser>
        <c:ser>
          <c:idx val="1"/>
          <c:order val="1"/>
          <c:tx>
            <c:strRef>
              <c:f>'Rolling 12 mos'!$E$76</c:f>
              <c:strCache>
                <c:ptCount val="1"/>
                <c:pt idx="0">
                  <c:v>Attackers: Insider threat (+0.9%/mo)</c:v>
                </c:pt>
              </c:strCache>
            </c:strRef>
          </c:tx>
          <c:spPr>
            <a:ln w="28575" cap="rnd">
              <a:solidFill>
                <a:schemeClr val="accent2"/>
              </a:solidFill>
              <a:round/>
            </a:ln>
            <a:effectLst/>
          </c:spPr>
          <c:marker>
            <c:symbol val="none"/>
          </c:marker>
          <c:cat>
            <c:strRef>
              <c:f>'Rolling 12 mos'!$F$74:$I$74</c:f>
              <c:strCache>
                <c:ptCount val="4"/>
                <c:pt idx="0">
                  <c:v>May-19</c:v>
                </c:pt>
                <c:pt idx="1">
                  <c:v>Jun-19</c:v>
                </c:pt>
                <c:pt idx="2">
                  <c:v>Jul-19</c:v>
                </c:pt>
                <c:pt idx="3">
                  <c:v>Aug-19</c:v>
                </c:pt>
              </c:strCache>
            </c:strRef>
          </c:cat>
          <c:val>
            <c:numRef>
              <c:f>'Rolling 12 mos'!$F$76:$I$76</c:f>
              <c:numCache>
                <c:formatCode>General</c:formatCode>
                <c:ptCount val="4"/>
                <c:pt idx="0">
                  <c:v>100</c:v>
                </c:pt>
                <c:pt idx="1">
                  <c:v>100.60790086917656</c:v>
                </c:pt>
                <c:pt idx="2">
                  <c:v>101.32910138232009</c:v>
                </c:pt>
                <c:pt idx="3">
                  <c:v>102.68920326369575</c:v>
                </c:pt>
              </c:numCache>
            </c:numRef>
          </c:val>
          <c:smooth val="0"/>
          <c:extLst>
            <c:ext xmlns:c16="http://schemas.microsoft.com/office/drawing/2014/chart" uri="{C3380CC4-5D6E-409C-BE32-E72D297353CC}">
              <c16:uniqueId val="{00000001-B45D-4604-AEC7-A7C900BE9083}"/>
            </c:ext>
          </c:extLst>
        </c:ser>
        <c:ser>
          <c:idx val="2"/>
          <c:order val="2"/>
          <c:tx>
            <c:strRef>
              <c:f>'Rolling 12 mos'!$E$77</c:f>
              <c:strCache>
                <c:ptCount val="1"/>
                <c:pt idx="0">
                  <c:v>Target: Public infrastructure/cloud (+0.4%/mo)</c:v>
                </c:pt>
              </c:strCache>
            </c:strRef>
          </c:tx>
          <c:spPr>
            <a:ln w="28575" cap="rnd">
              <a:solidFill>
                <a:schemeClr val="accent3"/>
              </a:solidFill>
              <a:round/>
            </a:ln>
            <a:effectLst/>
          </c:spPr>
          <c:marker>
            <c:symbol val="none"/>
          </c:marker>
          <c:cat>
            <c:strRef>
              <c:f>'Rolling 12 mos'!$F$74:$I$74</c:f>
              <c:strCache>
                <c:ptCount val="4"/>
                <c:pt idx="0">
                  <c:v>May-19</c:v>
                </c:pt>
                <c:pt idx="1">
                  <c:v>Jun-19</c:v>
                </c:pt>
                <c:pt idx="2">
                  <c:v>Jul-19</c:v>
                </c:pt>
                <c:pt idx="3">
                  <c:v>Aug-19</c:v>
                </c:pt>
              </c:strCache>
            </c:strRef>
          </c:cat>
          <c:val>
            <c:numRef>
              <c:f>'Rolling 12 mos'!$F$77:$I$77</c:f>
              <c:numCache>
                <c:formatCode>General</c:formatCode>
                <c:ptCount val="4"/>
                <c:pt idx="0">
                  <c:v>100</c:v>
                </c:pt>
                <c:pt idx="1">
                  <c:v>100.60790086917658</c:v>
                </c:pt>
                <c:pt idx="2">
                  <c:v>101.3291013823201</c:v>
                </c:pt>
                <c:pt idx="3">
                  <c:v>101.3291013823201</c:v>
                </c:pt>
              </c:numCache>
            </c:numRef>
          </c:val>
          <c:smooth val="0"/>
          <c:extLst>
            <c:ext xmlns:c16="http://schemas.microsoft.com/office/drawing/2014/chart" uri="{C3380CC4-5D6E-409C-BE32-E72D297353CC}">
              <c16:uniqueId val="{00000002-B45D-4604-AEC7-A7C900BE9083}"/>
            </c:ext>
          </c:extLst>
        </c:ser>
        <c:dLbls>
          <c:showLegendKey val="0"/>
          <c:showVal val="0"/>
          <c:showCatName val="0"/>
          <c:showSerName val="0"/>
          <c:showPercent val="0"/>
          <c:showBubbleSize val="0"/>
        </c:dLbls>
        <c:smooth val="0"/>
        <c:axId val="560506088"/>
        <c:axId val="560508440"/>
      </c:lineChart>
      <c:catAx>
        <c:axId val="5605060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n-US"/>
          </a:p>
        </c:txPr>
        <c:crossAx val="560508440"/>
        <c:crosses val="autoZero"/>
        <c:auto val="1"/>
        <c:lblAlgn val="ctr"/>
        <c:lblOffset val="100"/>
        <c:noMultiLvlLbl val="0"/>
      </c:catAx>
      <c:valAx>
        <c:axId val="560508440"/>
        <c:scaling>
          <c:orientation val="minMax"/>
          <c:min val="1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vert="horz"/>
          <a:lstStyle/>
          <a:p>
            <a:pPr>
              <a:defRPr/>
            </a:pPr>
            <a:endParaRPr lang="en-US"/>
          </a:p>
        </c:txPr>
        <c:crossAx val="560506088"/>
        <c:crosses val="autoZero"/>
        <c:crossBetween val="between"/>
      </c:valAx>
      <c:spPr>
        <a:noFill/>
        <a:ln>
          <a:noFill/>
        </a:ln>
        <a:effectLst/>
      </c:spPr>
    </c:plotArea>
    <c:legend>
      <c:legendPos val="b"/>
      <c:overlay val="0"/>
      <c:spPr>
        <a:noFill/>
        <a:ln>
          <a:noFill/>
        </a:ln>
        <a:effectLst/>
      </c:spPr>
      <c:txPr>
        <a:bodyPr rot="0" vert="horz"/>
        <a:lstStyle/>
        <a:p>
          <a:pPr>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solidFill>
            <a:schemeClr val="tx1"/>
          </a:solidFill>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defRPr sz="1200"/>
            </a:pPr>
            <a:r>
              <a:rPr lang="en-US" sz="1200"/>
              <a:t>Top Trending: 6 months</a:t>
            </a:r>
          </a:p>
        </c:rich>
      </c:tx>
      <c:overlay val="0"/>
      <c:spPr>
        <a:noFill/>
        <a:ln>
          <a:noFill/>
        </a:ln>
        <a:effectLst/>
      </c:spPr>
    </c:title>
    <c:autoTitleDeleted val="0"/>
    <c:plotArea>
      <c:layout/>
      <c:lineChart>
        <c:grouping val="standard"/>
        <c:varyColors val="0"/>
        <c:ser>
          <c:idx val="0"/>
          <c:order val="0"/>
          <c:tx>
            <c:strRef>
              <c:f>'Rolling 12 mos'!$E$80</c:f>
              <c:strCache>
                <c:ptCount val="1"/>
                <c:pt idx="0">
                  <c:v>Weapons: Phishing/social engineering (+0.8%/mo)</c:v>
                </c:pt>
              </c:strCache>
            </c:strRef>
          </c:tx>
          <c:spPr>
            <a:ln w="28575" cap="rnd">
              <a:solidFill>
                <a:schemeClr val="accent1"/>
              </a:solidFill>
              <a:round/>
            </a:ln>
            <a:effectLst/>
          </c:spPr>
          <c:marker>
            <c:symbol val="none"/>
          </c:marker>
          <c:cat>
            <c:strRef>
              <c:f>'Rolling 12 mos'!$F$79:$L$79</c:f>
              <c:strCache>
                <c:ptCount val="7"/>
                <c:pt idx="0">
                  <c:v>Feb-19</c:v>
                </c:pt>
                <c:pt idx="1">
                  <c:v>Mar-19</c:v>
                </c:pt>
                <c:pt idx="2">
                  <c:v>Apr-19</c:v>
                </c:pt>
                <c:pt idx="3">
                  <c:v>May-19</c:v>
                </c:pt>
                <c:pt idx="4">
                  <c:v>Jun-19</c:v>
                </c:pt>
                <c:pt idx="5">
                  <c:v>Jul-19</c:v>
                </c:pt>
                <c:pt idx="6">
                  <c:v>Aug-19</c:v>
                </c:pt>
              </c:strCache>
            </c:strRef>
          </c:cat>
          <c:val>
            <c:numRef>
              <c:f>'Rolling 12 mos'!$F$80:$L$80</c:f>
              <c:numCache>
                <c:formatCode>General</c:formatCode>
                <c:ptCount val="7"/>
                <c:pt idx="0">
                  <c:v>100</c:v>
                </c:pt>
                <c:pt idx="1">
                  <c:v>100</c:v>
                </c:pt>
                <c:pt idx="2">
                  <c:v>101.6806330386261</c:v>
                </c:pt>
                <c:pt idx="3">
                  <c:v>101.6806330386261</c:v>
                </c:pt>
                <c:pt idx="4">
                  <c:v>103.54628086092107</c:v>
                </c:pt>
                <c:pt idx="5">
                  <c:v>103.54628086092107</c:v>
                </c:pt>
                <c:pt idx="6">
                  <c:v>104.93614309681533</c:v>
                </c:pt>
              </c:numCache>
            </c:numRef>
          </c:val>
          <c:smooth val="0"/>
          <c:extLst>
            <c:ext xmlns:c16="http://schemas.microsoft.com/office/drawing/2014/chart" uri="{C3380CC4-5D6E-409C-BE32-E72D297353CC}">
              <c16:uniqueId val="{00000000-28FC-482A-B078-71A4DA73242B}"/>
            </c:ext>
          </c:extLst>
        </c:ser>
        <c:ser>
          <c:idx val="1"/>
          <c:order val="1"/>
          <c:tx>
            <c:strRef>
              <c:f>'Rolling 12 mos'!$E$81</c:f>
              <c:strCache>
                <c:ptCount val="1"/>
                <c:pt idx="0">
                  <c:v>Overall: Media &amp; public perception (+0.7%/mo)</c:v>
                </c:pt>
              </c:strCache>
            </c:strRef>
          </c:tx>
          <c:spPr>
            <a:ln w="28575" cap="rnd">
              <a:solidFill>
                <a:schemeClr val="accent2"/>
              </a:solidFill>
              <a:round/>
            </a:ln>
            <a:effectLst/>
          </c:spPr>
          <c:marker>
            <c:symbol val="none"/>
          </c:marker>
          <c:cat>
            <c:strRef>
              <c:f>'Rolling 12 mos'!$F$79:$L$79</c:f>
              <c:strCache>
                <c:ptCount val="7"/>
                <c:pt idx="0">
                  <c:v>Feb-19</c:v>
                </c:pt>
                <c:pt idx="1">
                  <c:v>Mar-19</c:v>
                </c:pt>
                <c:pt idx="2">
                  <c:v>Apr-19</c:v>
                </c:pt>
                <c:pt idx="3">
                  <c:v>May-19</c:v>
                </c:pt>
                <c:pt idx="4">
                  <c:v>Jun-19</c:v>
                </c:pt>
                <c:pt idx="5">
                  <c:v>Jul-19</c:v>
                </c:pt>
                <c:pt idx="6">
                  <c:v>Aug-19</c:v>
                </c:pt>
              </c:strCache>
            </c:strRef>
          </c:cat>
          <c:val>
            <c:numRef>
              <c:f>'Rolling 12 mos'!$F$81:$L$81</c:f>
              <c:numCache>
                <c:formatCode>General</c:formatCode>
                <c:ptCount val="7"/>
                <c:pt idx="0">
                  <c:v>99.999999999999986</c:v>
                </c:pt>
                <c:pt idx="1">
                  <c:v>100.71684281941369</c:v>
                </c:pt>
                <c:pt idx="2">
                  <c:v>101.84215903016344</c:v>
                </c:pt>
                <c:pt idx="3">
                  <c:v>102.62858107583111</c:v>
                </c:pt>
                <c:pt idx="4">
                  <c:v>103.25246111221466</c:v>
                </c:pt>
                <c:pt idx="5">
                  <c:v>103.9926189655655</c:v>
                </c:pt>
                <c:pt idx="6">
                  <c:v>103.9926189655655</c:v>
                </c:pt>
              </c:numCache>
            </c:numRef>
          </c:val>
          <c:smooth val="0"/>
          <c:extLst>
            <c:ext xmlns:c16="http://schemas.microsoft.com/office/drawing/2014/chart" uri="{C3380CC4-5D6E-409C-BE32-E72D297353CC}">
              <c16:uniqueId val="{00000001-28FC-482A-B078-71A4DA73242B}"/>
            </c:ext>
          </c:extLst>
        </c:ser>
        <c:ser>
          <c:idx val="2"/>
          <c:order val="2"/>
          <c:tx>
            <c:strRef>
              <c:f>'Rolling 12 mos'!$E$82</c:f>
              <c:strCache>
                <c:ptCount val="1"/>
                <c:pt idx="0">
                  <c:v>Attackers: Insider threat (+0.5%/mo)</c:v>
                </c:pt>
              </c:strCache>
            </c:strRef>
          </c:tx>
          <c:spPr>
            <a:ln w="28575" cap="rnd">
              <a:solidFill>
                <a:schemeClr val="accent3"/>
              </a:solidFill>
              <a:round/>
            </a:ln>
            <a:effectLst/>
          </c:spPr>
          <c:marker>
            <c:symbol val="none"/>
          </c:marker>
          <c:cat>
            <c:strRef>
              <c:f>'Rolling 12 mos'!$F$79:$L$79</c:f>
              <c:strCache>
                <c:ptCount val="7"/>
                <c:pt idx="0">
                  <c:v>Feb-19</c:v>
                </c:pt>
                <c:pt idx="1">
                  <c:v>Mar-19</c:v>
                </c:pt>
                <c:pt idx="2">
                  <c:v>Apr-19</c:v>
                </c:pt>
                <c:pt idx="3">
                  <c:v>May-19</c:v>
                </c:pt>
                <c:pt idx="4">
                  <c:v>Jun-19</c:v>
                </c:pt>
                <c:pt idx="5">
                  <c:v>Jul-19</c:v>
                </c:pt>
                <c:pt idx="6">
                  <c:v>Aug-19</c:v>
                </c:pt>
              </c:strCache>
            </c:strRef>
          </c:cat>
          <c:val>
            <c:numRef>
              <c:f>'Rolling 12 mos'!$F$82:$L$82</c:f>
              <c:numCache>
                <c:formatCode>General</c:formatCode>
                <c:ptCount val="7"/>
                <c:pt idx="0">
                  <c:v>100</c:v>
                </c:pt>
                <c:pt idx="1">
                  <c:v>99.288259243095041</c:v>
                </c:pt>
                <c:pt idx="2">
                  <c:v>99.841395750958597</c:v>
                </c:pt>
                <c:pt idx="3">
                  <c:v>100.61236796361104</c:v>
                </c:pt>
                <c:pt idx="4">
                  <c:v>101.22399142296095</c:v>
                </c:pt>
                <c:pt idx="5">
                  <c:v>101.94960833700037</c:v>
                </c:pt>
                <c:pt idx="6">
                  <c:v>103.31803904657004</c:v>
                </c:pt>
              </c:numCache>
            </c:numRef>
          </c:val>
          <c:smooth val="0"/>
          <c:extLst>
            <c:ext xmlns:c16="http://schemas.microsoft.com/office/drawing/2014/chart" uri="{C3380CC4-5D6E-409C-BE32-E72D297353CC}">
              <c16:uniqueId val="{00000002-28FC-482A-B078-71A4DA73242B}"/>
            </c:ext>
          </c:extLst>
        </c:ser>
        <c:dLbls>
          <c:showLegendKey val="0"/>
          <c:showVal val="0"/>
          <c:showCatName val="0"/>
          <c:showSerName val="0"/>
          <c:showPercent val="0"/>
          <c:showBubbleSize val="0"/>
        </c:dLbls>
        <c:smooth val="0"/>
        <c:axId val="560511576"/>
        <c:axId val="560509224"/>
      </c:lineChart>
      <c:catAx>
        <c:axId val="5605115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n-US"/>
          </a:p>
        </c:txPr>
        <c:crossAx val="560509224"/>
        <c:crosses val="autoZero"/>
        <c:auto val="1"/>
        <c:lblAlgn val="ctr"/>
        <c:lblOffset val="100"/>
        <c:noMultiLvlLbl val="0"/>
      </c:catAx>
      <c:valAx>
        <c:axId val="560509224"/>
        <c:scaling>
          <c:orientation val="minMax"/>
          <c:min val="1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vert="horz"/>
          <a:lstStyle/>
          <a:p>
            <a:pPr>
              <a:defRPr/>
            </a:pPr>
            <a:endParaRPr lang="en-US"/>
          </a:p>
        </c:txPr>
        <c:crossAx val="560511576"/>
        <c:crosses val="autoZero"/>
        <c:crossBetween val="between"/>
      </c:valAx>
      <c:spPr>
        <a:noFill/>
        <a:ln>
          <a:noFill/>
        </a:ln>
        <a:effectLst/>
      </c:spPr>
    </c:plotArea>
    <c:legend>
      <c:legendPos val="b"/>
      <c:overlay val="0"/>
      <c:spPr>
        <a:noFill/>
        <a:ln>
          <a:noFill/>
        </a:ln>
        <a:effectLst/>
      </c:spPr>
      <c:txPr>
        <a:bodyPr rot="0" vert="horz"/>
        <a:lstStyle/>
        <a:p>
          <a:pPr>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solidFill>
            <a:schemeClr val="tx1"/>
          </a:solidFill>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05"/>
    </mc:Choice>
    <mc:Fallback>
      <c:style val="5"/>
    </mc:Fallback>
  </mc:AlternateContent>
  <c:chart>
    <c:title>
      <c:tx>
        <c:rich>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r>
              <a:rPr lang="en-US"/>
              <a:t>Index value</a:t>
            </a:r>
          </a:p>
        </c:rich>
      </c:tx>
      <c:layout>
        <c:manualLayout>
          <c:xMode val="edge"/>
          <c:yMode val="edge"/>
          <c:x val="0.454055364954223"/>
          <c:y val="2.8003452572468758E-2"/>
        </c:manualLayout>
      </c:layout>
      <c:overlay val="1"/>
      <c:spPr>
        <a:noFill/>
        <a:ln>
          <a:noFill/>
        </a:ln>
        <a:effectLst/>
      </c:spPr>
      <c:txPr>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endParaRPr lang="en-US"/>
        </a:p>
      </c:txPr>
    </c:title>
    <c:autoTitleDeleted val="0"/>
    <c:plotArea>
      <c:layout>
        <c:manualLayout>
          <c:layoutTarget val="inner"/>
          <c:xMode val="edge"/>
          <c:yMode val="edge"/>
          <c:x val="6.1624649859944022E-2"/>
          <c:y val="0.13836736659759596"/>
          <c:w val="0.91946272200644508"/>
          <c:h val="0.57482564863254715"/>
        </c:manualLayout>
      </c:layout>
      <c:lineChart>
        <c:grouping val="stacked"/>
        <c:varyColors val="0"/>
        <c:ser>
          <c:idx val="0"/>
          <c:order val="0"/>
          <c:spPr>
            <a:ln w="22225" cap="rnd" cmpd="sng" algn="ctr">
              <a:solidFill>
                <a:schemeClr val="accent3"/>
              </a:solidFill>
              <a:round/>
            </a:ln>
            <a:effectLst/>
          </c:spPr>
          <c:marker>
            <c:symbol val="none"/>
          </c:marker>
          <c:dLbls>
            <c:dLbl>
              <c:idx val="59"/>
              <c:layout>
                <c:manualLayout>
                  <c:x val="-1.9748653035603816E-2"/>
                  <c:y val="-9.1400091064237729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0-1342-42E7-9FDB-35A772C71B4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0"/>
              </c:ext>
            </c:extLst>
          </c:dLbls>
          <c:cat>
            <c:strRef>
              <c:f>main_chart!$O$10:$O$69</c:f>
              <c:strCache>
                <c:ptCount val="60"/>
                <c:pt idx="0">
                  <c:v>Sep-14</c:v>
                </c:pt>
                <c:pt idx="1">
                  <c:v>Oct-14</c:v>
                </c:pt>
                <c:pt idx="2">
                  <c:v>Nov-14</c:v>
                </c:pt>
                <c:pt idx="3">
                  <c:v>Dec-14</c:v>
                </c:pt>
                <c:pt idx="4">
                  <c:v>Jan-15</c:v>
                </c:pt>
                <c:pt idx="5">
                  <c:v>Feb-15</c:v>
                </c:pt>
                <c:pt idx="6">
                  <c:v>Mar-15</c:v>
                </c:pt>
                <c:pt idx="7">
                  <c:v>Apr-15</c:v>
                </c:pt>
                <c:pt idx="8">
                  <c:v>May-15</c:v>
                </c:pt>
                <c:pt idx="9">
                  <c:v>Jun-15</c:v>
                </c:pt>
                <c:pt idx="10">
                  <c:v>Jul-15</c:v>
                </c:pt>
                <c:pt idx="11">
                  <c:v>Aug-15</c:v>
                </c:pt>
                <c:pt idx="12">
                  <c:v>Sep-15</c:v>
                </c:pt>
                <c:pt idx="13">
                  <c:v>Oct-15</c:v>
                </c:pt>
                <c:pt idx="14">
                  <c:v>Nov-15</c:v>
                </c:pt>
                <c:pt idx="15">
                  <c:v>Dec-15</c:v>
                </c:pt>
                <c:pt idx="16">
                  <c:v>Jan-16</c:v>
                </c:pt>
                <c:pt idx="17">
                  <c:v>Feb-16</c:v>
                </c:pt>
                <c:pt idx="18">
                  <c:v>Mar-16</c:v>
                </c:pt>
                <c:pt idx="19">
                  <c:v>Apr-16</c:v>
                </c:pt>
                <c:pt idx="20">
                  <c:v>May-16</c:v>
                </c:pt>
                <c:pt idx="21">
                  <c:v>Jun-16</c:v>
                </c:pt>
                <c:pt idx="22">
                  <c:v>Jul-16</c:v>
                </c:pt>
                <c:pt idx="23">
                  <c:v>Aug-16</c:v>
                </c:pt>
                <c:pt idx="24">
                  <c:v>Sep-16</c:v>
                </c:pt>
                <c:pt idx="25">
                  <c:v>Oct-16</c:v>
                </c:pt>
                <c:pt idx="26">
                  <c:v>Nov-16</c:v>
                </c:pt>
                <c:pt idx="27">
                  <c:v>Dec-16</c:v>
                </c:pt>
                <c:pt idx="28">
                  <c:v>Jan-17</c:v>
                </c:pt>
                <c:pt idx="29">
                  <c:v>Feb-17</c:v>
                </c:pt>
                <c:pt idx="30">
                  <c:v>Mar-17</c:v>
                </c:pt>
                <c:pt idx="31">
                  <c:v>Apr-17</c:v>
                </c:pt>
                <c:pt idx="32">
                  <c:v>May-17</c:v>
                </c:pt>
                <c:pt idx="33">
                  <c:v>Jun-17</c:v>
                </c:pt>
                <c:pt idx="34">
                  <c:v>Jul-17</c:v>
                </c:pt>
                <c:pt idx="35">
                  <c:v>Aug-17</c:v>
                </c:pt>
                <c:pt idx="36">
                  <c:v>Sep-17</c:v>
                </c:pt>
                <c:pt idx="37">
                  <c:v>Oct-17</c:v>
                </c:pt>
                <c:pt idx="38">
                  <c:v>Nov-17</c:v>
                </c:pt>
                <c:pt idx="39">
                  <c:v>Dec-17</c:v>
                </c:pt>
                <c:pt idx="40">
                  <c:v>Jan-18</c:v>
                </c:pt>
                <c:pt idx="41">
                  <c:v>Feb-18</c:v>
                </c:pt>
                <c:pt idx="42">
                  <c:v>Mar-18</c:v>
                </c:pt>
                <c:pt idx="43">
                  <c:v>Apr-18</c:v>
                </c:pt>
                <c:pt idx="44">
                  <c:v>May-18</c:v>
                </c:pt>
                <c:pt idx="45">
                  <c:v>Jun-18</c:v>
                </c:pt>
                <c:pt idx="46">
                  <c:v>Jul-18</c:v>
                </c:pt>
                <c:pt idx="47">
                  <c:v>Aug-18</c:v>
                </c:pt>
                <c:pt idx="48">
                  <c:v>Sep-18</c:v>
                </c:pt>
                <c:pt idx="49">
                  <c:v>Oct-18</c:v>
                </c:pt>
                <c:pt idx="50">
                  <c:v>Nov-18</c:v>
                </c:pt>
                <c:pt idx="51">
                  <c:v>Dec-18</c:v>
                </c:pt>
                <c:pt idx="52">
                  <c:v>Jan-19</c:v>
                </c:pt>
                <c:pt idx="53">
                  <c:v>Feb-19</c:v>
                </c:pt>
                <c:pt idx="54">
                  <c:v>Mar-19</c:v>
                </c:pt>
                <c:pt idx="55">
                  <c:v>Apr-19</c:v>
                </c:pt>
                <c:pt idx="56">
                  <c:v>May-19</c:v>
                </c:pt>
                <c:pt idx="57">
                  <c:v>Jun-19</c:v>
                </c:pt>
                <c:pt idx="58">
                  <c:v>Jul-19</c:v>
                </c:pt>
                <c:pt idx="59">
                  <c:v>Aug-19</c:v>
                </c:pt>
              </c:strCache>
            </c:strRef>
          </c:cat>
          <c:val>
            <c:numRef>
              <c:f>main_chart!$P$10:$P$69</c:f>
              <c:numCache>
                <c:formatCode>0</c:formatCode>
                <c:ptCount val="60"/>
                <c:pt idx="0">
                  <c:v>2334.4589568921333</c:v>
                </c:pt>
                <c:pt idx="1">
                  <c:v>2394.9644550933554</c:v>
                </c:pt>
                <c:pt idx="2">
                  <c:v>2446.3698492065882</c:v>
                </c:pt>
                <c:pt idx="3">
                  <c:v>2474.3398981101286</c:v>
                </c:pt>
                <c:pt idx="4">
                  <c:v>2485.6124977829641</c:v>
                </c:pt>
                <c:pt idx="5">
                  <c:v>2496.1002987021789</c:v>
                </c:pt>
                <c:pt idx="6">
                  <c:v>2503.5998432905103</c:v>
                </c:pt>
                <c:pt idx="7">
                  <c:v>2510.461185678937</c:v>
                </c:pt>
                <c:pt idx="8">
                  <c:v>2515.8552793266954</c:v>
                </c:pt>
                <c:pt idx="9">
                  <c:v>2532.6013178400613</c:v>
                </c:pt>
                <c:pt idx="10">
                  <c:v>2543.5768210370493</c:v>
                </c:pt>
                <c:pt idx="11">
                  <c:v>2552.5700119951453</c:v>
                </c:pt>
                <c:pt idx="12">
                  <c:v>2555.4077771416037</c:v>
                </c:pt>
                <c:pt idx="13">
                  <c:v>2562.4111038705155</c:v>
                </c:pt>
                <c:pt idx="14">
                  <c:v>2575.3506245691565</c:v>
                </c:pt>
                <c:pt idx="15">
                  <c:v>2580.1624353612174</c:v>
                </c:pt>
                <c:pt idx="16">
                  <c:v>2585.6320981173453</c:v>
                </c:pt>
                <c:pt idx="17">
                  <c:v>2591.789028446618</c:v>
                </c:pt>
                <c:pt idx="18">
                  <c:v>2597.4500142475131</c:v>
                </c:pt>
                <c:pt idx="19">
                  <c:v>2606.9666512575968</c:v>
                </c:pt>
                <c:pt idx="20">
                  <c:v>2612.354335523873</c:v>
                </c:pt>
                <c:pt idx="21">
                  <c:v>2625.3582849659269</c:v>
                </c:pt>
                <c:pt idx="22">
                  <c:v>2642.7976339607558</c:v>
                </c:pt>
                <c:pt idx="23">
                  <c:v>2647.9280329994463</c:v>
                </c:pt>
                <c:pt idx="24">
                  <c:v>2654.3550396368601</c:v>
                </c:pt>
                <c:pt idx="25">
                  <c:v>2673.6690423347254</c:v>
                </c:pt>
                <c:pt idx="26">
                  <c:v>2679.9674352849156</c:v>
                </c:pt>
                <c:pt idx="27">
                  <c:v>2679.9674352849156</c:v>
                </c:pt>
                <c:pt idx="28">
                  <c:v>2689.6674102611514</c:v>
                </c:pt>
                <c:pt idx="29">
                  <c:v>2688.973392096957</c:v>
                </c:pt>
                <c:pt idx="30">
                  <c:v>2676.8109683758216</c:v>
                </c:pt>
                <c:pt idx="31">
                  <c:v>2679.5755547229032</c:v>
                </c:pt>
                <c:pt idx="32">
                  <c:v>2694.1365454214911</c:v>
                </c:pt>
                <c:pt idx="33">
                  <c:v>2697.0118242793792</c:v>
                </c:pt>
                <c:pt idx="34">
                  <c:v>2706.1556374086172</c:v>
                </c:pt>
                <c:pt idx="35">
                  <c:v>2706.7924548282954</c:v>
                </c:pt>
                <c:pt idx="36">
                  <c:v>2691.1983026878206</c:v>
                </c:pt>
                <c:pt idx="37">
                  <c:v>2692.7365697523746</c:v>
                </c:pt>
                <c:pt idx="38">
                  <c:v>2703.1562118276292</c:v>
                </c:pt>
                <c:pt idx="39">
                  <c:v>2699.8312968573823</c:v>
                </c:pt>
                <c:pt idx="40">
                  <c:v>2701.3744984711984</c:v>
                </c:pt>
                <c:pt idx="41">
                  <c:v>2703.1039315097614</c:v>
                </c:pt>
                <c:pt idx="42">
                  <c:v>2710.3218282454964</c:v>
                </c:pt>
                <c:pt idx="43">
                  <c:v>2727.1284391866229</c:v>
                </c:pt>
                <c:pt idx="44">
                  <c:v>2741.4598792115489</c:v>
                </c:pt>
                <c:pt idx="45">
                  <c:v>2742.3738514915367</c:v>
                </c:pt>
                <c:pt idx="46">
                  <c:v>2749.4033224351347</c:v>
                </c:pt>
                <c:pt idx="47">
                  <c:v>2748.557482318</c:v>
                </c:pt>
                <c:pt idx="48">
                  <c:v>2760.0536976556182</c:v>
                </c:pt>
                <c:pt idx="49">
                  <c:v>2768.6539025413572</c:v>
                </c:pt>
                <c:pt idx="50">
                  <c:v>2772.3479031979246</c:v>
                </c:pt>
                <c:pt idx="51">
                  <c:v>2774.277164013065</c:v>
                </c:pt>
                <c:pt idx="52">
                  <c:v>2783.1690704003677</c:v>
                </c:pt>
                <c:pt idx="53">
                  <c:v>2769.4198307463785</c:v>
                </c:pt>
                <c:pt idx="54">
                  <c:v>2759.9409358604985</c:v>
                </c:pt>
                <c:pt idx="55">
                  <c:v>2767.3106002080485</c:v>
                </c:pt>
                <c:pt idx="56">
                  <c:v>2763.0564725296367</c:v>
                </c:pt>
                <c:pt idx="57">
                  <c:v>2766.407662504198</c:v>
                </c:pt>
                <c:pt idx="58">
                  <c:v>2757.7268867864263</c:v>
                </c:pt>
                <c:pt idx="59">
                  <c:v>2754.786879723044</c:v>
                </c:pt>
              </c:numCache>
            </c:numRef>
          </c:val>
          <c:smooth val="0"/>
          <c:extLst>
            <c:ext xmlns:c16="http://schemas.microsoft.com/office/drawing/2014/chart" uri="{C3380CC4-5D6E-409C-BE32-E72D297353CC}">
              <c16:uniqueId val="{00000001-1342-42E7-9FDB-35A772C71B4E}"/>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smooth val="0"/>
        <c:axId val="560504912"/>
        <c:axId val="560509616"/>
      </c:lineChart>
      <c:catAx>
        <c:axId val="560504912"/>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700" b="0" i="0" u="none" strike="noStrike" kern="1200" spc="20" baseline="0">
                <a:solidFill>
                  <a:sysClr val="windowText" lastClr="000000"/>
                </a:solidFill>
                <a:latin typeface="+mn-lt"/>
                <a:ea typeface="+mn-ea"/>
                <a:cs typeface="+mn-cs"/>
              </a:defRPr>
            </a:pPr>
            <a:endParaRPr lang="en-US"/>
          </a:p>
        </c:txPr>
        <c:crossAx val="560509616"/>
        <c:crosses val="autoZero"/>
        <c:auto val="1"/>
        <c:lblAlgn val="ctr"/>
        <c:lblOffset val="100"/>
        <c:noMultiLvlLbl val="1"/>
      </c:catAx>
      <c:valAx>
        <c:axId val="560509616"/>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560504912"/>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zero"/>
    <c:showDLblsOverMax val="0"/>
  </c:chart>
  <c:spPr>
    <a:solidFill>
      <a:schemeClr val="lt1"/>
    </a:solidFill>
    <a:ln w="9525" cap="flat" cmpd="sng" algn="ctr">
      <a:noFill/>
      <a:round/>
    </a:ln>
    <a:effectLst/>
  </c:spPr>
  <c:txPr>
    <a:bodyPr/>
    <a:lstStyle/>
    <a:p>
      <a:pPr>
        <a:defRPr/>
      </a:pPr>
      <a:endParaRPr lang="en-US"/>
    </a:p>
  </c:txPr>
  <c:printSettings>
    <c:headerFooter/>
    <c:pageMargins b="0.75000000000000444" l="0.70000000000000062" r="0.70000000000000062" t="0.75000000000000444" header="0.30000000000000032" footer="0.30000000000000032"/>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en-US" sz="1100"/>
              <a:t>Continuously compounded</a:t>
            </a:r>
            <a:r>
              <a:rPr lang="en-US" sz="1100" baseline="0"/>
              <a:t> rate of change (month over month)</a:t>
            </a:r>
          </a:p>
          <a:p>
            <a:pPr>
              <a:defRPr sz="1100"/>
            </a:pPr>
            <a:r>
              <a:rPr lang="en-US" sz="1100" baseline="0"/>
              <a:t>Red line describes mean since inception</a:t>
            </a:r>
            <a:endParaRPr lang="en-US" sz="1100"/>
          </a:p>
        </c:rich>
      </c:tx>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dLbls>
            <c:dLbl>
              <c:idx val="59"/>
              <c:layout>
                <c:manualLayout>
                  <c:x val="-1.6240246955277207E-3"/>
                  <c:y val="-0.37070254110612855"/>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0-F206-4630-B493-C20BB69313E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0"/>
              </c:ext>
            </c:extLst>
          </c:dLbls>
          <c:cat>
            <c:strRef>
              <c:f>main_chart!$O$10:$O$69</c:f>
              <c:strCache>
                <c:ptCount val="60"/>
                <c:pt idx="0">
                  <c:v>Sep-14</c:v>
                </c:pt>
                <c:pt idx="1">
                  <c:v>Oct-14</c:v>
                </c:pt>
                <c:pt idx="2">
                  <c:v>Nov-14</c:v>
                </c:pt>
                <c:pt idx="3">
                  <c:v>Dec-14</c:v>
                </c:pt>
                <c:pt idx="4">
                  <c:v>Jan-15</c:v>
                </c:pt>
                <c:pt idx="5">
                  <c:v>Feb-15</c:v>
                </c:pt>
                <c:pt idx="6">
                  <c:v>Mar-15</c:v>
                </c:pt>
                <c:pt idx="7">
                  <c:v>Apr-15</c:v>
                </c:pt>
                <c:pt idx="8">
                  <c:v>May-15</c:v>
                </c:pt>
                <c:pt idx="9">
                  <c:v>Jun-15</c:v>
                </c:pt>
                <c:pt idx="10">
                  <c:v>Jul-15</c:v>
                </c:pt>
                <c:pt idx="11">
                  <c:v>Aug-15</c:v>
                </c:pt>
                <c:pt idx="12">
                  <c:v>Sep-15</c:v>
                </c:pt>
                <c:pt idx="13">
                  <c:v>Oct-15</c:v>
                </c:pt>
                <c:pt idx="14">
                  <c:v>Nov-15</c:v>
                </c:pt>
                <c:pt idx="15">
                  <c:v>Dec-15</c:v>
                </c:pt>
                <c:pt idx="16">
                  <c:v>Jan-16</c:v>
                </c:pt>
                <c:pt idx="17">
                  <c:v>Feb-16</c:v>
                </c:pt>
                <c:pt idx="18">
                  <c:v>Mar-16</c:v>
                </c:pt>
                <c:pt idx="19">
                  <c:v>Apr-16</c:v>
                </c:pt>
                <c:pt idx="20">
                  <c:v>May-16</c:v>
                </c:pt>
                <c:pt idx="21">
                  <c:v>Jun-16</c:v>
                </c:pt>
                <c:pt idx="22">
                  <c:v>Jul-16</c:v>
                </c:pt>
                <c:pt idx="23">
                  <c:v>Aug-16</c:v>
                </c:pt>
                <c:pt idx="24">
                  <c:v>Sep-16</c:v>
                </c:pt>
                <c:pt idx="25">
                  <c:v>Oct-16</c:v>
                </c:pt>
                <c:pt idx="26">
                  <c:v>Nov-16</c:v>
                </c:pt>
                <c:pt idx="27">
                  <c:v>Dec-16</c:v>
                </c:pt>
                <c:pt idx="28">
                  <c:v>Jan-17</c:v>
                </c:pt>
                <c:pt idx="29">
                  <c:v>Feb-17</c:v>
                </c:pt>
                <c:pt idx="30">
                  <c:v>Mar-17</c:v>
                </c:pt>
                <c:pt idx="31">
                  <c:v>Apr-17</c:v>
                </c:pt>
                <c:pt idx="32">
                  <c:v>May-17</c:v>
                </c:pt>
                <c:pt idx="33">
                  <c:v>Jun-17</c:v>
                </c:pt>
                <c:pt idx="34">
                  <c:v>Jul-17</c:v>
                </c:pt>
                <c:pt idx="35">
                  <c:v>Aug-17</c:v>
                </c:pt>
                <c:pt idx="36">
                  <c:v>Sep-17</c:v>
                </c:pt>
                <c:pt idx="37">
                  <c:v>Oct-17</c:v>
                </c:pt>
                <c:pt idx="38">
                  <c:v>Nov-17</c:v>
                </c:pt>
                <c:pt idx="39">
                  <c:v>Dec-17</c:v>
                </c:pt>
                <c:pt idx="40">
                  <c:v>Jan-18</c:v>
                </c:pt>
                <c:pt idx="41">
                  <c:v>Feb-18</c:v>
                </c:pt>
                <c:pt idx="42">
                  <c:v>Mar-18</c:v>
                </c:pt>
                <c:pt idx="43">
                  <c:v>Apr-18</c:v>
                </c:pt>
                <c:pt idx="44">
                  <c:v>May-18</c:v>
                </c:pt>
                <c:pt idx="45">
                  <c:v>Jun-18</c:v>
                </c:pt>
                <c:pt idx="46">
                  <c:v>Jul-18</c:v>
                </c:pt>
                <c:pt idx="47">
                  <c:v>Aug-18</c:v>
                </c:pt>
                <c:pt idx="48">
                  <c:v>Sep-18</c:v>
                </c:pt>
                <c:pt idx="49">
                  <c:v>Oct-18</c:v>
                </c:pt>
                <c:pt idx="50">
                  <c:v>Nov-18</c:v>
                </c:pt>
                <c:pt idx="51">
                  <c:v>Dec-18</c:v>
                </c:pt>
                <c:pt idx="52">
                  <c:v>Jan-19</c:v>
                </c:pt>
                <c:pt idx="53">
                  <c:v>Feb-19</c:v>
                </c:pt>
                <c:pt idx="54">
                  <c:v>Mar-19</c:v>
                </c:pt>
                <c:pt idx="55">
                  <c:v>Apr-19</c:v>
                </c:pt>
                <c:pt idx="56">
                  <c:v>May-19</c:v>
                </c:pt>
                <c:pt idx="57">
                  <c:v>Jun-19</c:v>
                </c:pt>
                <c:pt idx="58">
                  <c:v>Jul-19</c:v>
                </c:pt>
                <c:pt idx="59">
                  <c:v>Aug-19</c:v>
                </c:pt>
              </c:strCache>
            </c:strRef>
          </c:cat>
          <c:val>
            <c:numRef>
              <c:f>main_chart!$Q$10:$Q$69</c:f>
              <c:numCache>
                <c:formatCode>0.00%</c:formatCode>
                <c:ptCount val="60"/>
                <c:pt idx="0">
                  <c:v>3.0071428571428541E-2</c:v>
                </c:pt>
                <c:pt idx="1">
                  <c:v>2.5588235294117658E-2</c:v>
                </c:pt>
                <c:pt idx="2">
                  <c:v>2.1236842105263162E-2</c:v>
                </c:pt>
                <c:pt idx="3">
                  <c:v>1.1368421052631588E-2</c:v>
                </c:pt>
                <c:pt idx="4">
                  <c:v>4.5454545454544403E-3</c:v>
                </c:pt>
                <c:pt idx="5">
                  <c:v>4.2105263157894259E-3</c:v>
                </c:pt>
                <c:pt idx="6">
                  <c:v>3.0000000000000551E-3</c:v>
                </c:pt>
                <c:pt idx="7">
                  <c:v>2.7368421052631768E-3</c:v>
                </c:pt>
                <c:pt idx="8">
                  <c:v>2.1463414634145775E-3</c:v>
                </c:pt>
                <c:pt idx="9">
                  <c:v>6.6341463414633095E-3</c:v>
                </c:pt>
                <c:pt idx="10">
                  <c:v>4.3243243243243435E-3</c:v>
                </c:pt>
                <c:pt idx="11">
                  <c:v>3.5294117647059883E-3</c:v>
                </c:pt>
                <c:pt idx="12">
                  <c:v>1.1111111111111519E-3</c:v>
                </c:pt>
                <c:pt idx="13">
                  <c:v>2.7368421052631768E-3</c:v>
                </c:pt>
                <c:pt idx="14">
                  <c:v>5.0370370370371202E-3</c:v>
                </c:pt>
                <c:pt idx="15">
                  <c:v>1.8666666666666016E-3</c:v>
                </c:pt>
                <c:pt idx="16">
                  <c:v>2.1176470588236069E-3</c:v>
                </c:pt>
                <c:pt idx="17">
                  <c:v>2.3783783783783343E-3</c:v>
                </c:pt>
                <c:pt idx="18">
                  <c:v>2.1818181818180995E-3</c:v>
                </c:pt>
                <c:pt idx="19">
                  <c:v>3.6571428571428215E-3</c:v>
                </c:pt>
                <c:pt idx="20">
                  <c:v>2.0645161290323405E-3</c:v>
                </c:pt>
                <c:pt idx="21">
                  <c:v>4.9655172413793367E-3</c:v>
                </c:pt>
                <c:pt idx="22">
                  <c:v>6.6206896551724674E-3</c:v>
                </c:pt>
                <c:pt idx="23">
                  <c:v>1.9393939393939253E-3</c:v>
                </c:pt>
                <c:pt idx="24">
                  <c:v>2.4242424242424242E-3</c:v>
                </c:pt>
                <c:pt idx="25">
                  <c:v>7.2500000000000021E-3</c:v>
                </c:pt>
                <c:pt idx="26">
                  <c:v>2.3529411764704948E-3</c:v>
                </c:pt>
                <c:pt idx="27">
                  <c:v>0</c:v>
                </c:pt>
                <c:pt idx="28">
                  <c:v>3.6129032258063625E-3</c:v>
                </c:pt>
                <c:pt idx="29">
                  <c:v>-2.580645161289831E-4</c:v>
                </c:pt>
                <c:pt idx="30">
                  <c:v>-4.5333333333333527E-3</c:v>
                </c:pt>
                <c:pt idx="31">
                  <c:v>1.0322580645160931E-3</c:v>
                </c:pt>
                <c:pt idx="32">
                  <c:v>5.4193548387097253E-3</c:v>
                </c:pt>
                <c:pt idx="33">
                  <c:v>1.0666666666667021E-3</c:v>
                </c:pt>
                <c:pt idx="34">
                  <c:v>3.3846153846154086E-3</c:v>
                </c:pt>
                <c:pt idx="35">
                  <c:v>2.3529411764708884E-4</c:v>
                </c:pt>
                <c:pt idx="36">
                  <c:v>-5.7777777777777983E-3</c:v>
                </c:pt>
                <c:pt idx="37">
                  <c:v>5.714285714285654E-4</c:v>
                </c:pt>
                <c:pt idx="38">
                  <c:v>3.8620689655171343E-3</c:v>
                </c:pt>
                <c:pt idx="39">
                  <c:v>-1.2307692307692054E-3</c:v>
                </c:pt>
                <c:pt idx="40">
                  <c:v>5.714285714285654E-4</c:v>
                </c:pt>
                <c:pt idx="41">
                  <c:v>6.4000000000009774E-4</c:v>
                </c:pt>
                <c:pt idx="42">
                  <c:v>2.666666666666585E-3</c:v>
                </c:pt>
                <c:pt idx="43">
                  <c:v>6.181818181818185E-3</c:v>
                </c:pt>
                <c:pt idx="44">
                  <c:v>5.2413793103447204E-3</c:v>
                </c:pt>
                <c:pt idx="45">
                  <c:v>3.3333333333338254E-4</c:v>
                </c:pt>
                <c:pt idx="46">
                  <c:v>2.5599999999999204E-3</c:v>
                </c:pt>
                <c:pt idx="47">
                  <c:v>-3.0769230769229149E-4</c:v>
                </c:pt>
                <c:pt idx="48">
                  <c:v>4.1739130434781989E-3</c:v>
                </c:pt>
                <c:pt idx="49">
                  <c:v>3.1111111111110589E-3</c:v>
                </c:pt>
                <c:pt idx="50">
                  <c:v>1.3333333333334415E-3</c:v>
                </c:pt>
                <c:pt idx="51">
                  <c:v>6.9565217391311899E-4</c:v>
                </c:pt>
                <c:pt idx="52">
                  <c:v>3.2000000000000852E-3</c:v>
                </c:pt>
                <c:pt idx="53">
                  <c:v>-4.9523809523809208E-3</c:v>
                </c:pt>
                <c:pt idx="54">
                  <c:v>-3.428571428571526E-3</c:v>
                </c:pt>
                <c:pt idx="55">
                  <c:v>2.666666666666585E-3</c:v>
                </c:pt>
                <c:pt idx="56">
                  <c:v>-1.5384615384613873E-3</c:v>
                </c:pt>
                <c:pt idx="57">
                  <c:v>1.2121212121212911E-3</c:v>
                </c:pt>
                <c:pt idx="58">
                  <c:v>-3.1428571428571217E-3</c:v>
                </c:pt>
                <c:pt idx="59">
                  <c:v>-1.0666666666667845E-3</c:v>
                </c:pt>
              </c:numCache>
            </c:numRef>
          </c:val>
          <c:smooth val="0"/>
          <c:extLst>
            <c:ext xmlns:c16="http://schemas.microsoft.com/office/drawing/2014/chart" uri="{C3380CC4-5D6E-409C-BE32-E72D297353CC}">
              <c16:uniqueId val="{00000001-6D23-466F-8401-D3DAC0AFE9D3}"/>
            </c:ext>
          </c:extLst>
        </c:ser>
        <c:ser>
          <c:idx val="1"/>
          <c:order val="1"/>
          <c:spPr>
            <a:ln w="28575" cap="rnd">
              <a:solidFill>
                <a:schemeClr val="accent2"/>
              </a:solidFill>
              <a:round/>
            </a:ln>
            <a:effectLst/>
          </c:spPr>
          <c:marker>
            <c:symbol val="none"/>
          </c:marker>
          <c:cat>
            <c:strRef>
              <c:f>main_chart!$O$10:$O$69</c:f>
              <c:strCache>
                <c:ptCount val="60"/>
                <c:pt idx="0">
                  <c:v>Sep-14</c:v>
                </c:pt>
                <c:pt idx="1">
                  <c:v>Oct-14</c:v>
                </c:pt>
                <c:pt idx="2">
                  <c:v>Nov-14</c:v>
                </c:pt>
                <c:pt idx="3">
                  <c:v>Dec-14</c:v>
                </c:pt>
                <c:pt idx="4">
                  <c:v>Jan-15</c:v>
                </c:pt>
                <c:pt idx="5">
                  <c:v>Feb-15</c:v>
                </c:pt>
                <c:pt idx="6">
                  <c:v>Mar-15</c:v>
                </c:pt>
                <c:pt idx="7">
                  <c:v>Apr-15</c:v>
                </c:pt>
                <c:pt idx="8">
                  <c:v>May-15</c:v>
                </c:pt>
                <c:pt idx="9">
                  <c:v>Jun-15</c:v>
                </c:pt>
                <c:pt idx="10">
                  <c:v>Jul-15</c:v>
                </c:pt>
                <c:pt idx="11">
                  <c:v>Aug-15</c:v>
                </c:pt>
                <c:pt idx="12">
                  <c:v>Sep-15</c:v>
                </c:pt>
                <c:pt idx="13">
                  <c:v>Oct-15</c:v>
                </c:pt>
                <c:pt idx="14">
                  <c:v>Nov-15</c:v>
                </c:pt>
                <c:pt idx="15">
                  <c:v>Dec-15</c:v>
                </c:pt>
                <c:pt idx="16">
                  <c:v>Jan-16</c:v>
                </c:pt>
                <c:pt idx="17">
                  <c:v>Feb-16</c:v>
                </c:pt>
                <c:pt idx="18">
                  <c:v>Mar-16</c:v>
                </c:pt>
                <c:pt idx="19">
                  <c:v>Apr-16</c:v>
                </c:pt>
                <c:pt idx="20">
                  <c:v>May-16</c:v>
                </c:pt>
                <c:pt idx="21">
                  <c:v>Jun-16</c:v>
                </c:pt>
                <c:pt idx="22">
                  <c:v>Jul-16</c:v>
                </c:pt>
                <c:pt idx="23">
                  <c:v>Aug-16</c:v>
                </c:pt>
                <c:pt idx="24">
                  <c:v>Sep-16</c:v>
                </c:pt>
                <c:pt idx="25">
                  <c:v>Oct-16</c:v>
                </c:pt>
                <c:pt idx="26">
                  <c:v>Nov-16</c:v>
                </c:pt>
                <c:pt idx="27">
                  <c:v>Dec-16</c:v>
                </c:pt>
                <c:pt idx="28">
                  <c:v>Jan-17</c:v>
                </c:pt>
                <c:pt idx="29">
                  <c:v>Feb-17</c:v>
                </c:pt>
                <c:pt idx="30">
                  <c:v>Mar-17</c:v>
                </c:pt>
                <c:pt idx="31">
                  <c:v>Apr-17</c:v>
                </c:pt>
                <c:pt idx="32">
                  <c:v>May-17</c:v>
                </c:pt>
                <c:pt idx="33">
                  <c:v>Jun-17</c:v>
                </c:pt>
                <c:pt idx="34">
                  <c:v>Jul-17</c:v>
                </c:pt>
                <c:pt idx="35">
                  <c:v>Aug-17</c:v>
                </c:pt>
                <c:pt idx="36">
                  <c:v>Sep-17</c:v>
                </c:pt>
                <c:pt idx="37">
                  <c:v>Oct-17</c:v>
                </c:pt>
                <c:pt idx="38">
                  <c:v>Nov-17</c:v>
                </c:pt>
                <c:pt idx="39">
                  <c:v>Dec-17</c:v>
                </c:pt>
                <c:pt idx="40">
                  <c:v>Jan-18</c:v>
                </c:pt>
                <c:pt idx="41">
                  <c:v>Feb-18</c:v>
                </c:pt>
                <c:pt idx="42">
                  <c:v>Mar-18</c:v>
                </c:pt>
                <c:pt idx="43">
                  <c:v>Apr-18</c:v>
                </c:pt>
                <c:pt idx="44">
                  <c:v>May-18</c:v>
                </c:pt>
                <c:pt idx="45">
                  <c:v>Jun-18</c:v>
                </c:pt>
                <c:pt idx="46">
                  <c:v>Jul-18</c:v>
                </c:pt>
                <c:pt idx="47">
                  <c:v>Aug-18</c:v>
                </c:pt>
                <c:pt idx="48">
                  <c:v>Sep-18</c:v>
                </c:pt>
                <c:pt idx="49">
                  <c:v>Oct-18</c:v>
                </c:pt>
                <c:pt idx="50">
                  <c:v>Nov-18</c:v>
                </c:pt>
                <c:pt idx="51">
                  <c:v>Dec-18</c:v>
                </c:pt>
                <c:pt idx="52">
                  <c:v>Jan-19</c:v>
                </c:pt>
                <c:pt idx="53">
                  <c:v>Feb-19</c:v>
                </c:pt>
                <c:pt idx="54">
                  <c:v>Mar-19</c:v>
                </c:pt>
                <c:pt idx="55">
                  <c:v>Apr-19</c:v>
                </c:pt>
                <c:pt idx="56">
                  <c:v>May-19</c:v>
                </c:pt>
                <c:pt idx="57">
                  <c:v>Jun-19</c:v>
                </c:pt>
                <c:pt idx="58">
                  <c:v>Jul-19</c:v>
                </c:pt>
                <c:pt idx="59">
                  <c:v>Aug-19</c:v>
                </c:pt>
              </c:strCache>
            </c:strRef>
          </c:cat>
          <c:val>
            <c:numRef>
              <c:f>main_chart!$V$10:$V$69</c:f>
              <c:numCache>
                <c:formatCode>0.00%</c:formatCode>
                <c:ptCount val="60"/>
                <c:pt idx="0">
                  <c:v>1.0033070118617149E-2</c:v>
                </c:pt>
                <c:pt idx="1">
                  <c:v>1.0033070118617149E-2</c:v>
                </c:pt>
                <c:pt idx="2">
                  <c:v>1.0033070118617149E-2</c:v>
                </c:pt>
                <c:pt idx="3">
                  <c:v>1.0033070118617149E-2</c:v>
                </c:pt>
                <c:pt idx="4">
                  <c:v>1.0033070118617149E-2</c:v>
                </c:pt>
                <c:pt idx="5">
                  <c:v>1.0033070118617149E-2</c:v>
                </c:pt>
                <c:pt idx="6">
                  <c:v>1.0033070118617149E-2</c:v>
                </c:pt>
                <c:pt idx="7">
                  <c:v>1.0033070118617149E-2</c:v>
                </c:pt>
                <c:pt idx="8">
                  <c:v>1.0033070118617149E-2</c:v>
                </c:pt>
                <c:pt idx="9">
                  <c:v>1.0033070118617149E-2</c:v>
                </c:pt>
                <c:pt idx="10">
                  <c:v>1.0033070118617149E-2</c:v>
                </c:pt>
                <c:pt idx="11">
                  <c:v>1.0033070118617149E-2</c:v>
                </c:pt>
                <c:pt idx="12">
                  <c:v>1.0033070118617149E-2</c:v>
                </c:pt>
                <c:pt idx="13">
                  <c:v>1.0033070118617149E-2</c:v>
                </c:pt>
                <c:pt idx="14">
                  <c:v>1.0033070118617149E-2</c:v>
                </c:pt>
                <c:pt idx="15">
                  <c:v>1.0033070118617149E-2</c:v>
                </c:pt>
                <c:pt idx="16">
                  <c:v>1.0033070118617149E-2</c:v>
                </c:pt>
                <c:pt idx="17">
                  <c:v>1.0033070118617149E-2</c:v>
                </c:pt>
                <c:pt idx="18">
                  <c:v>1.0033070118617149E-2</c:v>
                </c:pt>
                <c:pt idx="19">
                  <c:v>1.0033070118617149E-2</c:v>
                </c:pt>
                <c:pt idx="20">
                  <c:v>1.0033070118617149E-2</c:v>
                </c:pt>
                <c:pt idx="21">
                  <c:v>1.0033070118617149E-2</c:v>
                </c:pt>
                <c:pt idx="22">
                  <c:v>1.0033070118617149E-2</c:v>
                </c:pt>
                <c:pt idx="23">
                  <c:v>1.0033070118617149E-2</c:v>
                </c:pt>
                <c:pt idx="24">
                  <c:v>1.0033070118617149E-2</c:v>
                </c:pt>
                <c:pt idx="25">
                  <c:v>1.0033070118617149E-2</c:v>
                </c:pt>
                <c:pt idx="26">
                  <c:v>1.0033070118617149E-2</c:v>
                </c:pt>
                <c:pt idx="27">
                  <c:v>1.0033070118617149E-2</c:v>
                </c:pt>
                <c:pt idx="28">
                  <c:v>1.0033070118617149E-2</c:v>
                </c:pt>
                <c:pt idx="29">
                  <c:v>1.0033070118617149E-2</c:v>
                </c:pt>
                <c:pt idx="30">
                  <c:v>1.0033070118617149E-2</c:v>
                </c:pt>
                <c:pt idx="31">
                  <c:v>1.0033070118617149E-2</c:v>
                </c:pt>
                <c:pt idx="32">
                  <c:v>1.0033070118617149E-2</c:v>
                </c:pt>
                <c:pt idx="33">
                  <c:v>1.0033070118617149E-2</c:v>
                </c:pt>
                <c:pt idx="34">
                  <c:v>1.0033070118617149E-2</c:v>
                </c:pt>
                <c:pt idx="35">
                  <c:v>1.0033070118617149E-2</c:v>
                </c:pt>
                <c:pt idx="36">
                  <c:v>1.0033070118617149E-2</c:v>
                </c:pt>
                <c:pt idx="37">
                  <c:v>1.0033070118617149E-2</c:v>
                </c:pt>
                <c:pt idx="38">
                  <c:v>1.0033070118617149E-2</c:v>
                </c:pt>
                <c:pt idx="39">
                  <c:v>1.0033070118617149E-2</c:v>
                </c:pt>
                <c:pt idx="40">
                  <c:v>1.0033070118617149E-2</c:v>
                </c:pt>
                <c:pt idx="41">
                  <c:v>1.0033070118617149E-2</c:v>
                </c:pt>
                <c:pt idx="42">
                  <c:v>1.0033070118617149E-2</c:v>
                </c:pt>
                <c:pt idx="43">
                  <c:v>1.0033070118617149E-2</c:v>
                </c:pt>
                <c:pt idx="44">
                  <c:v>1.0033070118617149E-2</c:v>
                </c:pt>
                <c:pt idx="45">
                  <c:v>1.0033070118617149E-2</c:v>
                </c:pt>
                <c:pt idx="46">
                  <c:v>1.0033070118617149E-2</c:v>
                </c:pt>
                <c:pt idx="47">
                  <c:v>1.0033070118617149E-2</c:v>
                </c:pt>
                <c:pt idx="48">
                  <c:v>1.0033070118617149E-2</c:v>
                </c:pt>
                <c:pt idx="49">
                  <c:v>1.0033070118617149E-2</c:v>
                </c:pt>
                <c:pt idx="50">
                  <c:v>1.0033070118617149E-2</c:v>
                </c:pt>
                <c:pt idx="51">
                  <c:v>1.0033070118617149E-2</c:v>
                </c:pt>
                <c:pt idx="52">
                  <c:v>1.0033070118617149E-2</c:v>
                </c:pt>
                <c:pt idx="53">
                  <c:v>1.0033070118617149E-2</c:v>
                </c:pt>
                <c:pt idx="54">
                  <c:v>1.0033070118617149E-2</c:v>
                </c:pt>
                <c:pt idx="55">
                  <c:v>1.0033070118617149E-2</c:v>
                </c:pt>
                <c:pt idx="56">
                  <c:v>1.0033070118617149E-2</c:v>
                </c:pt>
                <c:pt idx="57">
                  <c:v>1.0033070118617149E-2</c:v>
                </c:pt>
                <c:pt idx="58">
                  <c:v>1.0033070118617149E-2</c:v>
                </c:pt>
                <c:pt idx="59">
                  <c:v>1.0033070118617149E-2</c:v>
                </c:pt>
              </c:numCache>
            </c:numRef>
          </c:val>
          <c:smooth val="0"/>
          <c:extLst>
            <c:ext xmlns:c16="http://schemas.microsoft.com/office/drawing/2014/chart" uri="{C3380CC4-5D6E-409C-BE32-E72D297353CC}">
              <c16:uniqueId val="{00000002-6D23-466F-8401-D3DAC0AFE9D3}"/>
            </c:ext>
          </c:extLst>
        </c:ser>
        <c:dLbls>
          <c:showLegendKey val="0"/>
          <c:showVal val="0"/>
          <c:showCatName val="0"/>
          <c:showSerName val="0"/>
          <c:showPercent val="0"/>
          <c:showBubbleSize val="0"/>
        </c:dLbls>
        <c:smooth val="0"/>
        <c:axId val="560508832"/>
        <c:axId val="445881840"/>
      </c:lineChart>
      <c:catAx>
        <c:axId val="56050883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ysClr val="windowText" lastClr="000000"/>
                </a:solidFill>
                <a:latin typeface="+mn-lt"/>
                <a:ea typeface="+mn-ea"/>
                <a:cs typeface="+mn-cs"/>
              </a:defRPr>
            </a:pPr>
            <a:endParaRPr lang="en-US"/>
          </a:p>
        </c:txPr>
        <c:crossAx val="445881840"/>
        <c:crosses val="autoZero"/>
        <c:auto val="1"/>
        <c:lblAlgn val="ctr"/>
        <c:lblOffset val="100"/>
        <c:noMultiLvlLbl val="0"/>
      </c:catAx>
      <c:valAx>
        <c:axId val="445881840"/>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0508832"/>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190591229418718"/>
          <c:y val="0.1155008076750426"/>
          <c:w val="0.82263608353303663"/>
          <c:h val="0.54592853140758324"/>
        </c:manualLayout>
      </c:layout>
      <c:lineChart>
        <c:grouping val="stacked"/>
        <c:varyColors val="0"/>
        <c:ser>
          <c:idx val="0"/>
          <c:order val="0"/>
          <c:tx>
            <c:strRef>
              <c:f>subindex_charts!$A$30</c:f>
              <c:strCache>
                <c:ptCount val="1"/>
                <c:pt idx="0">
                  <c:v>Attackers: Insider threat</c:v>
                </c:pt>
              </c:strCache>
            </c:strRef>
          </c:tx>
          <c:marker>
            <c:symbol val="none"/>
          </c:marker>
          <c:dLbls>
            <c:spPr>
              <a:noFill/>
              <a:ln>
                <a:noFill/>
              </a:ln>
              <a:effectLst/>
            </c:spPr>
            <c:txPr>
              <a:bodyPr/>
              <a:lstStyle/>
              <a:p>
                <a:pPr>
                  <a:defRPr sz="700">
                    <a:latin typeface="Arial Narrow" pitchFamily="34" charset="0"/>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subindex_charts!$DQ$29:$EC$29</c:f>
              <c:strCache>
                <c:ptCount val="13"/>
                <c:pt idx="0">
                  <c:v>Aug</c:v>
                </c:pt>
                <c:pt idx="1">
                  <c:v>Sep</c:v>
                </c:pt>
                <c:pt idx="2">
                  <c:v>Oct</c:v>
                </c:pt>
                <c:pt idx="3">
                  <c:v>Nov</c:v>
                </c:pt>
                <c:pt idx="4">
                  <c:v>Dec-18</c:v>
                </c:pt>
                <c:pt idx="5">
                  <c:v>Jan-19</c:v>
                </c:pt>
                <c:pt idx="6">
                  <c:v>Feb-19</c:v>
                </c:pt>
                <c:pt idx="7">
                  <c:v>Mar-19</c:v>
                </c:pt>
                <c:pt idx="8">
                  <c:v>Apr-19</c:v>
                </c:pt>
                <c:pt idx="9">
                  <c:v>May-19</c:v>
                </c:pt>
                <c:pt idx="10">
                  <c:v>June-19</c:v>
                </c:pt>
                <c:pt idx="11">
                  <c:v>July-19</c:v>
                </c:pt>
                <c:pt idx="12">
                  <c:v>Aug-19</c:v>
                </c:pt>
              </c:strCache>
            </c:strRef>
          </c:cat>
          <c:val>
            <c:numRef>
              <c:f>subindex_charts!$DQ$30:$EC$30</c:f>
              <c:numCache>
                <c:formatCode>0.0_);\(0.0\)</c:formatCode>
                <c:ptCount val="13"/>
                <c:pt idx="0">
                  <c:v>2760.1224378145971</c:v>
                </c:pt>
                <c:pt idx="1">
                  <c:v>2802.4455076332943</c:v>
                </c:pt>
                <c:pt idx="2">
                  <c:v>2877.383345209807</c:v>
                </c:pt>
                <c:pt idx="3">
                  <c:v>2934.8988435988272</c:v>
                </c:pt>
                <c:pt idx="4">
                  <c:v>2925.3441081223091</c:v>
                </c:pt>
                <c:pt idx="5">
                  <c:v>2984.4399791457545</c:v>
                </c:pt>
                <c:pt idx="6">
                  <c:v>3068.5032295905617</c:v>
                </c:pt>
                <c:pt idx="7">
                  <c:v>3093.3342547152065</c:v>
                </c:pt>
                <c:pt idx="8">
                  <c:v>3057.8671805367285</c:v>
                </c:pt>
                <c:pt idx="9">
                  <c:v>3099.3090872927996</c:v>
                </c:pt>
                <c:pt idx="10">
                  <c:v>3160.9612718151184</c:v>
                </c:pt>
                <c:pt idx="11">
                  <c:v>3209.3061229772106</c:v>
                </c:pt>
                <c:pt idx="12">
                  <c:v>3209.3061229772106</c:v>
                </c:pt>
              </c:numCache>
            </c:numRef>
          </c:val>
          <c:smooth val="0"/>
          <c:extLst>
            <c:ext xmlns:c16="http://schemas.microsoft.com/office/drawing/2014/chart" uri="{C3380CC4-5D6E-409C-BE32-E72D297353CC}">
              <c16:uniqueId val="{00000000-99CC-433F-96CE-7E615C1F6B95}"/>
            </c:ext>
          </c:extLst>
        </c:ser>
        <c:dLbls>
          <c:showLegendKey val="0"/>
          <c:showVal val="0"/>
          <c:showCatName val="0"/>
          <c:showSerName val="0"/>
          <c:showPercent val="0"/>
          <c:showBubbleSize val="0"/>
        </c:dLbls>
        <c:marker val="1"/>
        <c:smooth val="0"/>
        <c:axId val="445882232"/>
        <c:axId val="445884584"/>
      </c:lineChart>
      <c:lineChart>
        <c:grouping val="stacked"/>
        <c:varyColors val="0"/>
        <c:ser>
          <c:idx val="1"/>
          <c:order val="1"/>
          <c:tx>
            <c:strRef>
              <c:f>subindex_charts!$A$31</c:f>
              <c:strCache>
                <c:ptCount val="1"/>
                <c:pt idx="0">
                  <c:v>Rate of change</c:v>
                </c:pt>
              </c:strCache>
            </c:strRef>
          </c:tx>
          <c:marker>
            <c:symbol val="none"/>
          </c:marker>
          <c:cat>
            <c:strRef>
              <c:f>subindex_charts!$DQ$29:$EC$29</c:f>
              <c:strCache>
                <c:ptCount val="13"/>
                <c:pt idx="0">
                  <c:v>Aug</c:v>
                </c:pt>
                <c:pt idx="1">
                  <c:v>Sep</c:v>
                </c:pt>
                <c:pt idx="2">
                  <c:v>Oct</c:v>
                </c:pt>
                <c:pt idx="3">
                  <c:v>Nov</c:v>
                </c:pt>
                <c:pt idx="4">
                  <c:v>Dec-18</c:v>
                </c:pt>
                <c:pt idx="5">
                  <c:v>Jan-19</c:v>
                </c:pt>
                <c:pt idx="6">
                  <c:v>Feb-19</c:v>
                </c:pt>
                <c:pt idx="7">
                  <c:v>Mar-19</c:v>
                </c:pt>
                <c:pt idx="8">
                  <c:v>Apr-19</c:v>
                </c:pt>
                <c:pt idx="9">
                  <c:v>May-19</c:v>
                </c:pt>
                <c:pt idx="10">
                  <c:v>June-19</c:v>
                </c:pt>
                <c:pt idx="11">
                  <c:v>July-19</c:v>
                </c:pt>
                <c:pt idx="12">
                  <c:v>Aug-19</c:v>
                </c:pt>
              </c:strCache>
            </c:strRef>
          </c:cat>
          <c:val>
            <c:numRef>
              <c:f>subindex_charts!$DQ$31:$EC$31</c:f>
              <c:numCache>
                <c:formatCode>0.0%</c:formatCode>
                <c:ptCount val="13"/>
                <c:pt idx="0">
                  <c:v>2.4038461538461675E-2</c:v>
                </c:pt>
                <c:pt idx="1">
                  <c:v>1.5217391304346961E-2</c:v>
                </c:pt>
                <c:pt idx="2">
                  <c:v>2.6388888888889461E-2</c:v>
                </c:pt>
                <c:pt idx="3">
                  <c:v>1.979166666666643E-2</c:v>
                </c:pt>
                <c:pt idx="4">
                  <c:v>-3.2608695652172059E-3</c:v>
                </c:pt>
                <c:pt idx="5">
                  <c:v>2.0000000000000462E-2</c:v>
                </c:pt>
                <c:pt idx="6">
                  <c:v>2.7777777777776791E-2</c:v>
                </c:pt>
                <c:pt idx="7">
                  <c:v>8.0596606458680498E-3</c:v>
                </c:pt>
                <c:pt idx="8">
                  <c:v>-1.1531882868089482E-2</c:v>
                </c:pt>
                <c:pt idx="9">
                  <c:v>1.346153846153797E-2</c:v>
                </c:pt>
                <c:pt idx="10">
                  <c:v>1.9696969696969546E-2</c:v>
                </c:pt>
                <c:pt idx="11">
                  <c:v>1.5178571428572596E-2</c:v>
                </c:pt>
                <c:pt idx="12">
                  <c:v>0</c:v>
                </c:pt>
              </c:numCache>
            </c:numRef>
          </c:val>
          <c:smooth val="0"/>
          <c:extLst>
            <c:ext xmlns:c16="http://schemas.microsoft.com/office/drawing/2014/chart" uri="{C3380CC4-5D6E-409C-BE32-E72D297353CC}">
              <c16:uniqueId val="{00000001-99CC-433F-96CE-7E615C1F6B95}"/>
            </c:ext>
          </c:extLst>
        </c:ser>
        <c:dLbls>
          <c:showLegendKey val="0"/>
          <c:showVal val="0"/>
          <c:showCatName val="0"/>
          <c:showSerName val="0"/>
          <c:showPercent val="0"/>
          <c:showBubbleSize val="0"/>
        </c:dLbls>
        <c:marker val="1"/>
        <c:smooth val="0"/>
        <c:axId val="561912664"/>
        <c:axId val="561906392"/>
      </c:lineChart>
      <c:catAx>
        <c:axId val="445882232"/>
        <c:scaling>
          <c:orientation val="minMax"/>
        </c:scaling>
        <c:delete val="0"/>
        <c:axPos val="b"/>
        <c:numFmt formatCode="m/d/yyyy" sourceLinked="0"/>
        <c:majorTickMark val="out"/>
        <c:minorTickMark val="none"/>
        <c:tickLblPos val="nextTo"/>
        <c:txPr>
          <a:bodyPr/>
          <a:lstStyle/>
          <a:p>
            <a:pPr>
              <a:defRPr sz="900">
                <a:latin typeface="Arial Narrow" pitchFamily="34" charset="0"/>
              </a:defRPr>
            </a:pPr>
            <a:endParaRPr lang="en-US"/>
          </a:p>
        </c:txPr>
        <c:crossAx val="445884584"/>
        <c:crosses val="autoZero"/>
        <c:auto val="1"/>
        <c:lblAlgn val="ctr"/>
        <c:lblOffset val="100"/>
        <c:noMultiLvlLbl val="0"/>
      </c:catAx>
      <c:valAx>
        <c:axId val="445884584"/>
        <c:scaling>
          <c:orientation val="minMax"/>
          <c:max val="2800"/>
          <c:min val="2000"/>
        </c:scaling>
        <c:delete val="0"/>
        <c:axPos val="l"/>
        <c:numFmt formatCode="0.0_);\(0.0\)" sourceLinked="1"/>
        <c:majorTickMark val="out"/>
        <c:minorTickMark val="none"/>
        <c:tickLblPos val="nextTo"/>
        <c:spPr>
          <a:ln>
            <a:noFill/>
          </a:ln>
        </c:spPr>
        <c:txPr>
          <a:bodyPr/>
          <a:lstStyle/>
          <a:p>
            <a:pPr>
              <a:defRPr>
                <a:solidFill>
                  <a:schemeClr val="bg1"/>
                </a:solidFill>
              </a:defRPr>
            </a:pPr>
            <a:endParaRPr lang="en-US"/>
          </a:p>
        </c:txPr>
        <c:crossAx val="445882232"/>
        <c:crosses val="autoZero"/>
        <c:crossBetween val="between"/>
      </c:valAx>
      <c:valAx>
        <c:axId val="561906392"/>
        <c:scaling>
          <c:orientation val="minMax"/>
          <c:max val="6.0000000000000019E-2"/>
        </c:scaling>
        <c:delete val="0"/>
        <c:axPos val="r"/>
        <c:numFmt formatCode="0%" sourceLinked="0"/>
        <c:majorTickMark val="out"/>
        <c:minorTickMark val="none"/>
        <c:tickLblPos val="nextTo"/>
        <c:spPr>
          <a:ln>
            <a:noFill/>
          </a:ln>
        </c:spPr>
        <c:txPr>
          <a:bodyPr/>
          <a:lstStyle/>
          <a:p>
            <a:pPr>
              <a:defRPr>
                <a:solidFill>
                  <a:srgbClr val="C00000"/>
                </a:solidFill>
              </a:defRPr>
            </a:pPr>
            <a:endParaRPr lang="en-US"/>
          </a:p>
        </c:txPr>
        <c:crossAx val="561912664"/>
        <c:crosses val="max"/>
        <c:crossBetween val="between"/>
      </c:valAx>
      <c:catAx>
        <c:axId val="561912664"/>
        <c:scaling>
          <c:orientation val="minMax"/>
        </c:scaling>
        <c:delete val="1"/>
        <c:axPos val="b"/>
        <c:numFmt formatCode="General" sourceLinked="1"/>
        <c:majorTickMark val="out"/>
        <c:minorTickMark val="none"/>
        <c:tickLblPos val="none"/>
        <c:crossAx val="561906392"/>
        <c:crosses val="autoZero"/>
        <c:auto val="1"/>
        <c:lblAlgn val="ctr"/>
        <c:lblOffset val="100"/>
        <c:noMultiLvlLbl val="0"/>
      </c:catAx>
    </c:plotArea>
    <c:plotVisOnly val="1"/>
    <c:dispBlanksAs val="zero"/>
    <c:showDLblsOverMax val="0"/>
  </c:chart>
  <c:spPr>
    <a:ln>
      <a:noFill/>
    </a:ln>
  </c:spPr>
  <c:printSettings>
    <c:headerFooter/>
    <c:pageMargins b="0.75000000000000056" l="0.70000000000000051" r="0.70000000000000051" t="0.75000000000000056" header="0.30000000000000027" footer="0.30000000000000027"/>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190591229418718"/>
          <c:y val="0.1155008076750426"/>
          <c:w val="0.82263608353303663"/>
          <c:h val="0.54592853140758324"/>
        </c:manualLayout>
      </c:layout>
      <c:lineChart>
        <c:grouping val="stacked"/>
        <c:varyColors val="0"/>
        <c:ser>
          <c:idx val="0"/>
          <c:order val="0"/>
          <c:tx>
            <c:strRef>
              <c:f>subindex_charts!$A$35</c:f>
              <c:strCache>
                <c:ptCount val="1"/>
                <c:pt idx="0">
                  <c:v>Attackers: Strategic rivals</c:v>
                </c:pt>
              </c:strCache>
            </c:strRef>
          </c:tx>
          <c:marker>
            <c:symbol val="none"/>
          </c:marker>
          <c:dLbls>
            <c:spPr>
              <a:noFill/>
              <a:ln>
                <a:noFill/>
              </a:ln>
              <a:effectLst/>
            </c:spPr>
            <c:txPr>
              <a:bodyPr/>
              <a:lstStyle/>
              <a:p>
                <a:pPr>
                  <a:defRPr sz="700">
                    <a:latin typeface="Arial Narrow" pitchFamily="34" charset="0"/>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subindex_charts!$DQ$34:$EC$34</c:f>
              <c:strCache>
                <c:ptCount val="13"/>
                <c:pt idx="0">
                  <c:v>Aug</c:v>
                </c:pt>
                <c:pt idx="1">
                  <c:v>Sep</c:v>
                </c:pt>
                <c:pt idx="2">
                  <c:v>Oct</c:v>
                </c:pt>
                <c:pt idx="3">
                  <c:v>Nov</c:v>
                </c:pt>
                <c:pt idx="4">
                  <c:v>Dec-18</c:v>
                </c:pt>
                <c:pt idx="5">
                  <c:v>Jan-19</c:v>
                </c:pt>
                <c:pt idx="6">
                  <c:v>Feb-19</c:v>
                </c:pt>
                <c:pt idx="7">
                  <c:v>Mar-19</c:v>
                </c:pt>
                <c:pt idx="8">
                  <c:v>Apr-19</c:v>
                </c:pt>
                <c:pt idx="9">
                  <c:v>May-19</c:v>
                </c:pt>
                <c:pt idx="10">
                  <c:v>June-19</c:v>
                </c:pt>
                <c:pt idx="11">
                  <c:v>July-19</c:v>
                </c:pt>
                <c:pt idx="12">
                  <c:v>Aug-19</c:v>
                </c:pt>
              </c:strCache>
            </c:strRef>
          </c:cat>
          <c:val>
            <c:numRef>
              <c:f>subindex_charts!$DQ$35:$EC$35</c:f>
              <c:numCache>
                <c:formatCode>0.0_);\(0.0\)</c:formatCode>
                <c:ptCount val="13"/>
                <c:pt idx="0">
                  <c:v>2502.043544997181</c:v>
                </c:pt>
                <c:pt idx="1">
                  <c:v>2504.7646361320608</c:v>
                </c:pt>
                <c:pt idx="2">
                  <c:v>2494.3498293965899</c:v>
                </c:pt>
                <c:pt idx="3">
                  <c:v>2489.1586765804509</c:v>
                </c:pt>
                <c:pt idx="4">
                  <c:v>2497.2887466969105</c:v>
                </c:pt>
                <c:pt idx="5">
                  <c:v>2529.9654387065839</c:v>
                </c:pt>
                <c:pt idx="6">
                  <c:v>2561.7884863768345</c:v>
                </c:pt>
                <c:pt idx="7">
                  <c:v>2572.9073197272546</c:v>
                </c:pt>
                <c:pt idx="8">
                  <c:v>2570.954088375116</c:v>
                </c:pt>
                <c:pt idx="9">
                  <c:v>2558.623397016861</c:v>
                </c:pt>
                <c:pt idx="10">
                  <c:v>2543.1634840924812</c:v>
                </c:pt>
                <c:pt idx="11">
                  <c:v>2518.3082423739315</c:v>
                </c:pt>
                <c:pt idx="12">
                  <c:v>2518.3082423739315</c:v>
                </c:pt>
              </c:numCache>
            </c:numRef>
          </c:val>
          <c:smooth val="0"/>
          <c:extLst>
            <c:ext xmlns:c16="http://schemas.microsoft.com/office/drawing/2014/chart" uri="{C3380CC4-5D6E-409C-BE32-E72D297353CC}">
              <c16:uniqueId val="{00000000-1E61-494D-856D-42B271CC2787}"/>
            </c:ext>
          </c:extLst>
        </c:ser>
        <c:dLbls>
          <c:showLegendKey val="0"/>
          <c:showVal val="0"/>
          <c:showCatName val="0"/>
          <c:showSerName val="0"/>
          <c:showPercent val="0"/>
          <c:showBubbleSize val="0"/>
        </c:dLbls>
        <c:marker val="1"/>
        <c:smooth val="0"/>
        <c:axId val="561907568"/>
        <c:axId val="561910312"/>
      </c:lineChart>
      <c:lineChart>
        <c:grouping val="stacked"/>
        <c:varyColors val="0"/>
        <c:ser>
          <c:idx val="1"/>
          <c:order val="1"/>
          <c:tx>
            <c:strRef>
              <c:f>subindex_charts!$A$36</c:f>
              <c:strCache>
                <c:ptCount val="1"/>
                <c:pt idx="0">
                  <c:v>Rate of change</c:v>
                </c:pt>
              </c:strCache>
            </c:strRef>
          </c:tx>
          <c:marker>
            <c:symbol val="none"/>
          </c:marker>
          <c:cat>
            <c:strRef>
              <c:f>subindex_charts!$DQ$34:$EC$34</c:f>
              <c:strCache>
                <c:ptCount val="13"/>
                <c:pt idx="0">
                  <c:v>Aug</c:v>
                </c:pt>
                <c:pt idx="1">
                  <c:v>Sep</c:v>
                </c:pt>
                <c:pt idx="2">
                  <c:v>Oct</c:v>
                </c:pt>
                <c:pt idx="3">
                  <c:v>Nov</c:v>
                </c:pt>
                <c:pt idx="4">
                  <c:v>Dec-18</c:v>
                </c:pt>
                <c:pt idx="5">
                  <c:v>Jan-19</c:v>
                </c:pt>
                <c:pt idx="6">
                  <c:v>Feb-19</c:v>
                </c:pt>
                <c:pt idx="7">
                  <c:v>Mar-19</c:v>
                </c:pt>
                <c:pt idx="8">
                  <c:v>Apr-19</c:v>
                </c:pt>
                <c:pt idx="9">
                  <c:v>May-19</c:v>
                </c:pt>
                <c:pt idx="10">
                  <c:v>June-19</c:v>
                </c:pt>
                <c:pt idx="11">
                  <c:v>July-19</c:v>
                </c:pt>
                <c:pt idx="12">
                  <c:v>Aug-19</c:v>
                </c:pt>
              </c:strCache>
            </c:strRef>
          </c:cat>
          <c:val>
            <c:numRef>
              <c:f>subindex_charts!$DQ$36:$EC$36</c:f>
              <c:numCache>
                <c:formatCode>0.0%</c:formatCode>
                <c:ptCount val="13"/>
                <c:pt idx="0">
                  <c:v>1.1538461538461497E-2</c:v>
                </c:pt>
                <c:pt idx="1">
                  <c:v>1.0869565217390686E-3</c:v>
                </c:pt>
                <c:pt idx="2">
                  <c:v>-4.1666666666664298E-3</c:v>
                </c:pt>
                <c:pt idx="3">
                  <c:v>-2.0833333333332149E-3</c:v>
                </c:pt>
                <c:pt idx="4">
                  <c:v>3.2608695652172059E-3</c:v>
                </c:pt>
                <c:pt idx="5">
                  <c:v>1.3000000000000789E-2</c:v>
                </c:pt>
                <c:pt idx="6">
                  <c:v>1.2499999999999289E-2</c:v>
                </c:pt>
                <c:pt idx="7">
                  <c:v>4.3308702791469145E-3</c:v>
                </c:pt>
                <c:pt idx="8">
                  <c:v>-7.5944170771791164E-4</c:v>
                </c:pt>
                <c:pt idx="9">
                  <c:v>-4.8076923076925127E-3</c:v>
                </c:pt>
                <c:pt idx="10">
                  <c:v>-6.0606060606058776E-3</c:v>
                </c:pt>
                <c:pt idx="11">
                  <c:v>-9.8214285714286476E-3</c:v>
                </c:pt>
                <c:pt idx="12">
                  <c:v>0</c:v>
                </c:pt>
              </c:numCache>
            </c:numRef>
          </c:val>
          <c:smooth val="0"/>
          <c:extLst>
            <c:ext xmlns:c16="http://schemas.microsoft.com/office/drawing/2014/chart" uri="{C3380CC4-5D6E-409C-BE32-E72D297353CC}">
              <c16:uniqueId val="{00000001-1E61-494D-856D-42B271CC2787}"/>
            </c:ext>
          </c:extLst>
        </c:ser>
        <c:dLbls>
          <c:showLegendKey val="0"/>
          <c:showVal val="0"/>
          <c:showCatName val="0"/>
          <c:showSerName val="0"/>
          <c:showPercent val="0"/>
          <c:showBubbleSize val="0"/>
        </c:dLbls>
        <c:marker val="1"/>
        <c:smooth val="0"/>
        <c:axId val="561911488"/>
        <c:axId val="561907960"/>
      </c:lineChart>
      <c:catAx>
        <c:axId val="561907568"/>
        <c:scaling>
          <c:orientation val="minMax"/>
        </c:scaling>
        <c:delete val="0"/>
        <c:axPos val="b"/>
        <c:numFmt formatCode="General" sourceLinked="0"/>
        <c:majorTickMark val="out"/>
        <c:minorTickMark val="none"/>
        <c:tickLblPos val="nextTo"/>
        <c:txPr>
          <a:bodyPr/>
          <a:lstStyle/>
          <a:p>
            <a:pPr>
              <a:defRPr sz="900">
                <a:latin typeface="Arial Narrow" pitchFamily="34" charset="0"/>
              </a:defRPr>
            </a:pPr>
            <a:endParaRPr lang="en-US"/>
          </a:p>
        </c:txPr>
        <c:crossAx val="561910312"/>
        <c:crosses val="autoZero"/>
        <c:auto val="1"/>
        <c:lblAlgn val="ctr"/>
        <c:lblOffset val="100"/>
        <c:noMultiLvlLbl val="0"/>
      </c:catAx>
      <c:valAx>
        <c:axId val="561910312"/>
        <c:scaling>
          <c:orientation val="minMax"/>
        </c:scaling>
        <c:delete val="0"/>
        <c:axPos val="l"/>
        <c:numFmt formatCode="0.0_);\(0.0\)" sourceLinked="1"/>
        <c:majorTickMark val="out"/>
        <c:minorTickMark val="none"/>
        <c:tickLblPos val="nextTo"/>
        <c:spPr>
          <a:ln>
            <a:noFill/>
          </a:ln>
        </c:spPr>
        <c:txPr>
          <a:bodyPr/>
          <a:lstStyle/>
          <a:p>
            <a:pPr>
              <a:defRPr>
                <a:solidFill>
                  <a:schemeClr val="bg1"/>
                </a:solidFill>
              </a:defRPr>
            </a:pPr>
            <a:endParaRPr lang="en-US"/>
          </a:p>
        </c:txPr>
        <c:crossAx val="561907568"/>
        <c:crosses val="autoZero"/>
        <c:crossBetween val="between"/>
      </c:valAx>
      <c:valAx>
        <c:axId val="561907960"/>
        <c:scaling>
          <c:orientation val="minMax"/>
          <c:max val="4.0000000000000008E-2"/>
          <c:min val="-2.0000000000000004E-2"/>
        </c:scaling>
        <c:delete val="0"/>
        <c:axPos val="r"/>
        <c:numFmt formatCode="0%" sourceLinked="0"/>
        <c:majorTickMark val="out"/>
        <c:minorTickMark val="none"/>
        <c:tickLblPos val="nextTo"/>
        <c:spPr>
          <a:ln>
            <a:noFill/>
          </a:ln>
        </c:spPr>
        <c:txPr>
          <a:bodyPr/>
          <a:lstStyle/>
          <a:p>
            <a:pPr>
              <a:defRPr>
                <a:solidFill>
                  <a:srgbClr val="C00000"/>
                </a:solidFill>
              </a:defRPr>
            </a:pPr>
            <a:endParaRPr lang="en-US"/>
          </a:p>
        </c:txPr>
        <c:crossAx val="561911488"/>
        <c:crosses val="max"/>
        <c:crossBetween val="between"/>
        <c:majorUnit val="2.0000000000000011E-2"/>
        <c:minorUnit val="1.0000000000000005E-2"/>
      </c:valAx>
      <c:catAx>
        <c:axId val="561911488"/>
        <c:scaling>
          <c:orientation val="minMax"/>
        </c:scaling>
        <c:delete val="1"/>
        <c:axPos val="b"/>
        <c:numFmt formatCode="General" sourceLinked="1"/>
        <c:majorTickMark val="out"/>
        <c:minorTickMark val="none"/>
        <c:tickLblPos val="none"/>
        <c:crossAx val="561907960"/>
        <c:crosses val="autoZero"/>
        <c:auto val="1"/>
        <c:lblAlgn val="ctr"/>
        <c:lblOffset val="100"/>
        <c:noMultiLvlLbl val="0"/>
      </c:catAx>
    </c:plotArea>
    <c:plotVisOnly val="1"/>
    <c:dispBlanksAs val="zero"/>
    <c:showDLblsOverMax val="0"/>
  </c:chart>
  <c:spPr>
    <a:ln>
      <a:noFill/>
    </a:ln>
  </c:spPr>
  <c:printSettings>
    <c:headerFooter/>
    <c:pageMargins b="0.75000000000000056" l="0.70000000000000051" r="0.70000000000000051" t="0.75000000000000056" header="0.30000000000000027" footer="0.30000000000000027"/>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190591229418718"/>
          <c:y val="0.1155008076750426"/>
          <c:w val="0.82263608353303663"/>
          <c:h val="0.54592853140758324"/>
        </c:manualLayout>
      </c:layout>
      <c:lineChart>
        <c:grouping val="stacked"/>
        <c:varyColors val="0"/>
        <c:ser>
          <c:idx val="0"/>
          <c:order val="0"/>
          <c:tx>
            <c:strRef>
              <c:f>subindex_charts!$A$40</c:f>
              <c:strCache>
                <c:ptCount val="1"/>
                <c:pt idx="0">
                  <c:v>Attackers: Activist/hacktivists</c:v>
                </c:pt>
              </c:strCache>
            </c:strRef>
          </c:tx>
          <c:marker>
            <c:symbol val="none"/>
          </c:marker>
          <c:dLbls>
            <c:spPr>
              <a:noFill/>
              <a:ln>
                <a:noFill/>
              </a:ln>
              <a:effectLst/>
            </c:spPr>
            <c:txPr>
              <a:bodyPr/>
              <a:lstStyle/>
              <a:p>
                <a:pPr>
                  <a:defRPr sz="700">
                    <a:latin typeface="Arial Narrow" pitchFamily="34" charset="0"/>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subindex_charts!$DQ$39:$EC$39</c:f>
              <c:strCache>
                <c:ptCount val="13"/>
                <c:pt idx="0">
                  <c:v>Aug</c:v>
                </c:pt>
                <c:pt idx="1">
                  <c:v>Sep</c:v>
                </c:pt>
                <c:pt idx="2">
                  <c:v>Oct</c:v>
                </c:pt>
                <c:pt idx="3">
                  <c:v>Nov</c:v>
                </c:pt>
                <c:pt idx="4">
                  <c:v>Dec-18</c:v>
                </c:pt>
                <c:pt idx="5">
                  <c:v>Jan-19</c:v>
                </c:pt>
                <c:pt idx="6">
                  <c:v>Feb-19</c:v>
                </c:pt>
                <c:pt idx="7">
                  <c:v>Mar-19</c:v>
                </c:pt>
                <c:pt idx="8">
                  <c:v>Apr-19</c:v>
                </c:pt>
                <c:pt idx="9">
                  <c:v>May-19</c:v>
                </c:pt>
                <c:pt idx="10">
                  <c:v>June-19</c:v>
                </c:pt>
                <c:pt idx="11">
                  <c:v>July-19</c:v>
                </c:pt>
                <c:pt idx="12">
                  <c:v>Aug-19</c:v>
                </c:pt>
              </c:strCache>
            </c:strRef>
          </c:cat>
          <c:val>
            <c:numRef>
              <c:f>subindex_charts!$DQ$40:$EC$40</c:f>
              <c:numCache>
                <c:formatCode>0.0_);\(0.0\)</c:formatCode>
                <c:ptCount val="13"/>
                <c:pt idx="0">
                  <c:v>3483.751569109334</c:v>
                </c:pt>
                <c:pt idx="1">
                  <c:v>3476.1864220982338</c:v>
                </c:pt>
                <c:pt idx="2">
                  <c:v>3476.1864220982338</c:v>
                </c:pt>
                <c:pt idx="3">
                  <c:v>3490.7007493734013</c:v>
                </c:pt>
                <c:pt idx="4">
                  <c:v>3468.0093837149948</c:v>
                </c:pt>
                <c:pt idx="5">
                  <c:v>3440.3759895996809</c:v>
                </c:pt>
                <c:pt idx="6">
                  <c:v>3469.1655795314973</c:v>
                </c:pt>
                <c:pt idx="7">
                  <c:v>3479.8629672432553</c:v>
                </c:pt>
                <c:pt idx="8">
                  <c:v>3410.1333620472215</c:v>
                </c:pt>
                <c:pt idx="9">
                  <c:v>3423.2745148415966</c:v>
                </c:pt>
                <c:pt idx="10">
                  <c:v>3402.5901398071919</c:v>
                </c:pt>
                <c:pt idx="11">
                  <c:v>3378.3725189917545</c:v>
                </c:pt>
                <c:pt idx="12">
                  <c:v>3378.3725189917545</c:v>
                </c:pt>
              </c:numCache>
            </c:numRef>
          </c:val>
          <c:smooth val="0"/>
          <c:extLst>
            <c:ext xmlns:c16="http://schemas.microsoft.com/office/drawing/2014/chart" uri="{C3380CC4-5D6E-409C-BE32-E72D297353CC}">
              <c16:uniqueId val="{00000000-8AE6-4165-8500-66F388A9DDE9}"/>
            </c:ext>
          </c:extLst>
        </c:ser>
        <c:dLbls>
          <c:showLegendKey val="0"/>
          <c:showVal val="0"/>
          <c:showCatName val="0"/>
          <c:showSerName val="0"/>
          <c:showPercent val="0"/>
          <c:showBubbleSize val="0"/>
        </c:dLbls>
        <c:marker val="1"/>
        <c:smooth val="0"/>
        <c:axId val="561906000"/>
        <c:axId val="561912272"/>
      </c:lineChart>
      <c:lineChart>
        <c:grouping val="stacked"/>
        <c:varyColors val="0"/>
        <c:ser>
          <c:idx val="1"/>
          <c:order val="1"/>
          <c:tx>
            <c:strRef>
              <c:f>subindex_charts!$A$41</c:f>
              <c:strCache>
                <c:ptCount val="1"/>
                <c:pt idx="0">
                  <c:v>Rate of change</c:v>
                </c:pt>
              </c:strCache>
            </c:strRef>
          </c:tx>
          <c:marker>
            <c:symbol val="none"/>
          </c:marker>
          <c:cat>
            <c:strRef>
              <c:f>subindex_charts!$DQ$39:$EC$39</c:f>
              <c:strCache>
                <c:ptCount val="13"/>
                <c:pt idx="0">
                  <c:v>Aug</c:v>
                </c:pt>
                <c:pt idx="1">
                  <c:v>Sep</c:v>
                </c:pt>
                <c:pt idx="2">
                  <c:v>Oct</c:v>
                </c:pt>
                <c:pt idx="3">
                  <c:v>Nov</c:v>
                </c:pt>
                <c:pt idx="4">
                  <c:v>Dec-18</c:v>
                </c:pt>
                <c:pt idx="5">
                  <c:v>Jan-19</c:v>
                </c:pt>
                <c:pt idx="6">
                  <c:v>Feb-19</c:v>
                </c:pt>
                <c:pt idx="7">
                  <c:v>Mar-19</c:v>
                </c:pt>
                <c:pt idx="8">
                  <c:v>Apr-19</c:v>
                </c:pt>
                <c:pt idx="9">
                  <c:v>May-19</c:v>
                </c:pt>
                <c:pt idx="10">
                  <c:v>June-19</c:v>
                </c:pt>
                <c:pt idx="11">
                  <c:v>July-19</c:v>
                </c:pt>
                <c:pt idx="12">
                  <c:v>Aug-19</c:v>
                </c:pt>
              </c:strCache>
            </c:strRef>
          </c:cat>
          <c:val>
            <c:numRef>
              <c:f>subindex_charts!$DQ$41:$EC$41</c:f>
              <c:numCache>
                <c:formatCode>0.0%</c:formatCode>
                <c:ptCount val="13"/>
                <c:pt idx="0">
                  <c:v>-6.7307692307689848E-3</c:v>
                </c:pt>
                <c:pt idx="1">
                  <c:v>-2.1739130434781373E-3</c:v>
                </c:pt>
                <c:pt idx="2">
                  <c:v>0</c:v>
                </c:pt>
                <c:pt idx="3">
                  <c:v>4.1666666666664298E-3</c:v>
                </c:pt>
                <c:pt idx="4">
                  <c:v>-6.5217391304344119E-3</c:v>
                </c:pt>
                <c:pt idx="5">
                  <c:v>-8.0000000000008953E-3</c:v>
                </c:pt>
                <c:pt idx="6">
                  <c:v>8.333333333334636E-3</c:v>
                </c:pt>
                <c:pt idx="7">
                  <c:v>3.0788177339893252E-3</c:v>
                </c:pt>
                <c:pt idx="8">
                  <c:v>-2.0241516146688454E-2</c:v>
                </c:pt>
                <c:pt idx="9">
                  <c:v>3.8461538461547207E-3</c:v>
                </c:pt>
                <c:pt idx="10">
                  <c:v>-6.0606060606058776E-3</c:v>
                </c:pt>
                <c:pt idx="11">
                  <c:v>-7.1428571428580057E-3</c:v>
                </c:pt>
                <c:pt idx="12">
                  <c:v>0</c:v>
                </c:pt>
              </c:numCache>
            </c:numRef>
          </c:val>
          <c:smooth val="0"/>
          <c:extLst>
            <c:ext xmlns:c16="http://schemas.microsoft.com/office/drawing/2014/chart" uri="{C3380CC4-5D6E-409C-BE32-E72D297353CC}">
              <c16:uniqueId val="{00000001-8AE6-4165-8500-66F388A9DDE9}"/>
            </c:ext>
          </c:extLst>
        </c:ser>
        <c:dLbls>
          <c:showLegendKey val="0"/>
          <c:showVal val="0"/>
          <c:showCatName val="0"/>
          <c:showSerName val="0"/>
          <c:showPercent val="0"/>
          <c:showBubbleSize val="0"/>
        </c:dLbls>
        <c:marker val="1"/>
        <c:smooth val="0"/>
        <c:axId val="561905216"/>
        <c:axId val="561906784"/>
      </c:lineChart>
      <c:catAx>
        <c:axId val="561906000"/>
        <c:scaling>
          <c:orientation val="minMax"/>
        </c:scaling>
        <c:delete val="0"/>
        <c:axPos val="b"/>
        <c:numFmt formatCode="General" sourceLinked="0"/>
        <c:majorTickMark val="out"/>
        <c:minorTickMark val="none"/>
        <c:tickLblPos val="nextTo"/>
        <c:txPr>
          <a:bodyPr/>
          <a:lstStyle/>
          <a:p>
            <a:pPr>
              <a:defRPr sz="900">
                <a:latin typeface="Arial Narrow" pitchFamily="34" charset="0"/>
              </a:defRPr>
            </a:pPr>
            <a:endParaRPr lang="en-US"/>
          </a:p>
        </c:txPr>
        <c:crossAx val="561912272"/>
        <c:crosses val="autoZero"/>
        <c:auto val="1"/>
        <c:lblAlgn val="ctr"/>
        <c:lblOffset val="100"/>
        <c:noMultiLvlLbl val="0"/>
      </c:catAx>
      <c:valAx>
        <c:axId val="561912272"/>
        <c:scaling>
          <c:orientation val="minMax"/>
          <c:max val="3800"/>
          <c:min val="3100"/>
        </c:scaling>
        <c:delete val="0"/>
        <c:axPos val="l"/>
        <c:numFmt formatCode="0.0_);\(0.0\)" sourceLinked="1"/>
        <c:majorTickMark val="out"/>
        <c:minorTickMark val="none"/>
        <c:tickLblPos val="nextTo"/>
        <c:spPr>
          <a:ln>
            <a:noFill/>
          </a:ln>
        </c:spPr>
        <c:txPr>
          <a:bodyPr/>
          <a:lstStyle/>
          <a:p>
            <a:pPr>
              <a:defRPr>
                <a:solidFill>
                  <a:schemeClr val="bg1"/>
                </a:solidFill>
              </a:defRPr>
            </a:pPr>
            <a:endParaRPr lang="en-US"/>
          </a:p>
        </c:txPr>
        <c:crossAx val="561906000"/>
        <c:crosses val="autoZero"/>
        <c:crossBetween val="between"/>
      </c:valAx>
      <c:valAx>
        <c:axId val="561906784"/>
        <c:scaling>
          <c:orientation val="minMax"/>
          <c:max val="5.000000000000001E-2"/>
          <c:min val="-1.0000000000000002E-2"/>
        </c:scaling>
        <c:delete val="0"/>
        <c:axPos val="r"/>
        <c:numFmt formatCode="0%" sourceLinked="0"/>
        <c:majorTickMark val="out"/>
        <c:minorTickMark val="none"/>
        <c:tickLblPos val="nextTo"/>
        <c:spPr>
          <a:ln>
            <a:noFill/>
          </a:ln>
        </c:spPr>
        <c:txPr>
          <a:bodyPr/>
          <a:lstStyle/>
          <a:p>
            <a:pPr>
              <a:defRPr>
                <a:solidFill>
                  <a:srgbClr val="C00000"/>
                </a:solidFill>
              </a:defRPr>
            </a:pPr>
            <a:endParaRPr lang="en-US"/>
          </a:p>
        </c:txPr>
        <c:crossAx val="561905216"/>
        <c:crosses val="max"/>
        <c:crossBetween val="between"/>
      </c:valAx>
      <c:catAx>
        <c:axId val="561905216"/>
        <c:scaling>
          <c:orientation val="minMax"/>
        </c:scaling>
        <c:delete val="1"/>
        <c:axPos val="b"/>
        <c:numFmt formatCode="General" sourceLinked="1"/>
        <c:majorTickMark val="out"/>
        <c:minorTickMark val="none"/>
        <c:tickLblPos val="none"/>
        <c:crossAx val="561906784"/>
        <c:crosses val="autoZero"/>
        <c:auto val="1"/>
        <c:lblAlgn val="ctr"/>
        <c:lblOffset val="100"/>
        <c:noMultiLvlLbl val="0"/>
      </c:catAx>
    </c:plotArea>
    <c:plotVisOnly val="1"/>
    <c:dispBlanksAs val="zero"/>
    <c:showDLblsOverMax val="0"/>
  </c:chart>
  <c:spPr>
    <a:ln>
      <a:noFill/>
    </a:ln>
  </c:spPr>
  <c:printSettings>
    <c:headerFooter/>
    <c:pageMargins b="0.75000000000000056" l="0.70000000000000051" r="0.70000000000000051" t="0.75000000000000056" header="0.30000000000000027" footer="0.30000000000000027"/>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190591229418718"/>
          <c:y val="0.1155008076750426"/>
          <c:w val="0.82263608353303663"/>
          <c:h val="0.54592853140758324"/>
        </c:manualLayout>
      </c:layout>
      <c:lineChart>
        <c:grouping val="stacked"/>
        <c:varyColors val="0"/>
        <c:ser>
          <c:idx val="0"/>
          <c:order val="0"/>
          <c:tx>
            <c:strRef>
              <c:f>subindex_charts!$A$45</c:f>
              <c:strCache>
                <c:ptCount val="1"/>
                <c:pt idx="0">
                  <c:v>Attackers: Criminals</c:v>
                </c:pt>
              </c:strCache>
            </c:strRef>
          </c:tx>
          <c:marker>
            <c:symbol val="none"/>
          </c:marker>
          <c:dLbls>
            <c:spPr>
              <a:noFill/>
              <a:ln>
                <a:noFill/>
              </a:ln>
              <a:effectLst/>
            </c:spPr>
            <c:txPr>
              <a:bodyPr/>
              <a:lstStyle/>
              <a:p>
                <a:pPr>
                  <a:defRPr sz="700">
                    <a:latin typeface="Arial Narrow" pitchFamily="34" charset="0"/>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subindex_charts!$DQ$44:$EC$44</c:f>
              <c:strCache>
                <c:ptCount val="13"/>
                <c:pt idx="0">
                  <c:v>Aug</c:v>
                </c:pt>
                <c:pt idx="1">
                  <c:v>Sep</c:v>
                </c:pt>
                <c:pt idx="2">
                  <c:v>Oct</c:v>
                </c:pt>
                <c:pt idx="3">
                  <c:v>Nov</c:v>
                </c:pt>
                <c:pt idx="4">
                  <c:v>Dec-18</c:v>
                </c:pt>
                <c:pt idx="5">
                  <c:v>Jan-19</c:v>
                </c:pt>
                <c:pt idx="6">
                  <c:v>Feb-19</c:v>
                </c:pt>
                <c:pt idx="7">
                  <c:v>Mar-19</c:v>
                </c:pt>
                <c:pt idx="8">
                  <c:v>Apr-19</c:v>
                </c:pt>
                <c:pt idx="9">
                  <c:v>May-19</c:v>
                </c:pt>
                <c:pt idx="10">
                  <c:v>June-19</c:v>
                </c:pt>
                <c:pt idx="11">
                  <c:v>July-19</c:v>
                </c:pt>
                <c:pt idx="12">
                  <c:v>Aug-19</c:v>
                </c:pt>
              </c:strCache>
            </c:strRef>
          </c:cat>
          <c:val>
            <c:numRef>
              <c:f>subindex_charts!$DQ$45:$EC$45</c:f>
              <c:numCache>
                <c:formatCode>0.0_);\(0.0\)</c:formatCode>
                <c:ptCount val="13"/>
                <c:pt idx="0">
                  <c:v>5970.7595432185017</c:v>
                </c:pt>
                <c:pt idx="1">
                  <c:v>6088.7290378966654</c:v>
                </c:pt>
                <c:pt idx="2">
                  <c:v>6063.4121137914653</c:v>
                </c:pt>
                <c:pt idx="3">
                  <c:v>6152.4847833884733</c:v>
                </c:pt>
                <c:pt idx="4">
                  <c:v>6192.7408111210452</c:v>
                </c:pt>
                <c:pt idx="5">
                  <c:v>6317.8424739440688</c:v>
                </c:pt>
                <c:pt idx="6">
                  <c:v>6370.7111413887069</c:v>
                </c:pt>
                <c:pt idx="7">
                  <c:v>6153.2600971489301</c:v>
                </c:pt>
                <c:pt idx="8">
                  <c:v>6483.5657320408773</c:v>
                </c:pt>
                <c:pt idx="9">
                  <c:v>6634.9262298636941</c:v>
                </c:pt>
                <c:pt idx="10">
                  <c:v>6700.5930287808469</c:v>
                </c:pt>
                <c:pt idx="11">
                  <c:v>6688.6383610737776</c:v>
                </c:pt>
                <c:pt idx="12">
                  <c:v>6688.6383610737776</c:v>
                </c:pt>
              </c:numCache>
            </c:numRef>
          </c:val>
          <c:smooth val="0"/>
          <c:extLst>
            <c:ext xmlns:c16="http://schemas.microsoft.com/office/drawing/2014/chart" uri="{C3380CC4-5D6E-409C-BE32-E72D297353CC}">
              <c16:uniqueId val="{00000000-2EE0-490A-8117-C92DA39170C6}"/>
            </c:ext>
          </c:extLst>
        </c:ser>
        <c:dLbls>
          <c:showLegendKey val="0"/>
          <c:showVal val="0"/>
          <c:showCatName val="0"/>
          <c:showSerName val="0"/>
          <c:showPercent val="0"/>
          <c:showBubbleSize val="0"/>
        </c:dLbls>
        <c:marker val="1"/>
        <c:smooth val="0"/>
        <c:axId val="561909136"/>
        <c:axId val="561907176"/>
      </c:lineChart>
      <c:lineChart>
        <c:grouping val="stacked"/>
        <c:varyColors val="0"/>
        <c:ser>
          <c:idx val="1"/>
          <c:order val="1"/>
          <c:tx>
            <c:strRef>
              <c:f>subindex_charts!$A$46</c:f>
              <c:strCache>
                <c:ptCount val="1"/>
                <c:pt idx="0">
                  <c:v>Rate of change</c:v>
                </c:pt>
              </c:strCache>
            </c:strRef>
          </c:tx>
          <c:marker>
            <c:symbol val="none"/>
          </c:marker>
          <c:cat>
            <c:strRef>
              <c:f>subindex_charts!$DQ$44:$EC$44</c:f>
              <c:strCache>
                <c:ptCount val="13"/>
                <c:pt idx="0">
                  <c:v>Aug</c:v>
                </c:pt>
                <c:pt idx="1">
                  <c:v>Sep</c:v>
                </c:pt>
                <c:pt idx="2">
                  <c:v>Oct</c:v>
                </c:pt>
                <c:pt idx="3">
                  <c:v>Nov</c:v>
                </c:pt>
                <c:pt idx="4">
                  <c:v>Dec-18</c:v>
                </c:pt>
                <c:pt idx="5">
                  <c:v>Jan-19</c:v>
                </c:pt>
                <c:pt idx="6">
                  <c:v>Feb-19</c:v>
                </c:pt>
                <c:pt idx="7">
                  <c:v>Mar-19</c:v>
                </c:pt>
                <c:pt idx="8">
                  <c:v>Apr-19</c:v>
                </c:pt>
                <c:pt idx="9">
                  <c:v>May-19</c:v>
                </c:pt>
                <c:pt idx="10">
                  <c:v>June-19</c:v>
                </c:pt>
                <c:pt idx="11">
                  <c:v>July-19</c:v>
                </c:pt>
                <c:pt idx="12">
                  <c:v>Aug-19</c:v>
                </c:pt>
              </c:strCache>
            </c:strRef>
          </c:cat>
          <c:val>
            <c:numRef>
              <c:f>subindex_charts!$DQ$46:$EC$46</c:f>
              <c:numCache>
                <c:formatCode>0.0%</c:formatCode>
                <c:ptCount val="13"/>
                <c:pt idx="0">
                  <c:v>2.3076923076922995E-2</c:v>
                </c:pt>
                <c:pt idx="1">
                  <c:v>1.9565217391303236E-2</c:v>
                </c:pt>
                <c:pt idx="2">
                  <c:v>-4.1666666666664298E-3</c:v>
                </c:pt>
                <c:pt idx="3">
                  <c:v>1.4583333333334281E-2</c:v>
                </c:pt>
                <c:pt idx="4">
                  <c:v>6.5217391304344119E-3</c:v>
                </c:pt>
                <c:pt idx="5">
                  <c:v>1.9999999999999574E-2</c:v>
                </c:pt>
                <c:pt idx="6">
                  <c:v>8.3333333333328596E-3</c:v>
                </c:pt>
                <c:pt idx="7">
                  <c:v>-3.4729064039408897E-2</c:v>
                </c:pt>
                <c:pt idx="8">
                  <c:v>5.2288587848932977E-2</c:v>
                </c:pt>
                <c:pt idx="9">
                  <c:v>2.3076923076922995E-2</c:v>
                </c:pt>
                <c:pt idx="10">
                  <c:v>9.8484848484847731E-3</c:v>
                </c:pt>
                <c:pt idx="11">
                  <c:v>-1.7857142857131691E-3</c:v>
                </c:pt>
                <c:pt idx="12">
                  <c:v>0</c:v>
                </c:pt>
              </c:numCache>
            </c:numRef>
          </c:val>
          <c:smooth val="0"/>
          <c:extLst>
            <c:ext xmlns:c16="http://schemas.microsoft.com/office/drawing/2014/chart" uri="{C3380CC4-5D6E-409C-BE32-E72D297353CC}">
              <c16:uniqueId val="{00000001-2EE0-490A-8117-C92DA39170C6}"/>
            </c:ext>
          </c:extLst>
        </c:ser>
        <c:dLbls>
          <c:showLegendKey val="0"/>
          <c:showVal val="0"/>
          <c:showCatName val="0"/>
          <c:showSerName val="0"/>
          <c:showPercent val="0"/>
          <c:showBubbleSize val="0"/>
        </c:dLbls>
        <c:marker val="1"/>
        <c:smooth val="0"/>
        <c:axId val="561908352"/>
        <c:axId val="561905608"/>
      </c:lineChart>
      <c:catAx>
        <c:axId val="561909136"/>
        <c:scaling>
          <c:orientation val="minMax"/>
        </c:scaling>
        <c:delete val="0"/>
        <c:axPos val="b"/>
        <c:numFmt formatCode="General" sourceLinked="0"/>
        <c:majorTickMark val="out"/>
        <c:minorTickMark val="none"/>
        <c:tickLblPos val="nextTo"/>
        <c:txPr>
          <a:bodyPr/>
          <a:lstStyle/>
          <a:p>
            <a:pPr>
              <a:defRPr sz="900">
                <a:latin typeface="Arial Narrow" pitchFamily="34" charset="0"/>
              </a:defRPr>
            </a:pPr>
            <a:endParaRPr lang="en-US"/>
          </a:p>
        </c:txPr>
        <c:crossAx val="561907176"/>
        <c:crosses val="autoZero"/>
        <c:auto val="1"/>
        <c:lblAlgn val="ctr"/>
        <c:lblOffset val="100"/>
        <c:noMultiLvlLbl val="0"/>
      </c:catAx>
      <c:valAx>
        <c:axId val="561907176"/>
        <c:scaling>
          <c:orientation val="minMax"/>
          <c:min val="1100"/>
        </c:scaling>
        <c:delete val="0"/>
        <c:axPos val="l"/>
        <c:numFmt formatCode="0.0_);\(0.0\)" sourceLinked="1"/>
        <c:majorTickMark val="out"/>
        <c:minorTickMark val="none"/>
        <c:tickLblPos val="nextTo"/>
        <c:spPr>
          <a:ln>
            <a:noFill/>
          </a:ln>
        </c:spPr>
        <c:txPr>
          <a:bodyPr/>
          <a:lstStyle/>
          <a:p>
            <a:pPr>
              <a:defRPr>
                <a:solidFill>
                  <a:schemeClr val="bg1"/>
                </a:solidFill>
              </a:defRPr>
            </a:pPr>
            <a:endParaRPr lang="en-US"/>
          </a:p>
        </c:txPr>
        <c:crossAx val="561909136"/>
        <c:crosses val="autoZero"/>
        <c:crossBetween val="between"/>
      </c:valAx>
      <c:valAx>
        <c:axId val="561905608"/>
        <c:scaling>
          <c:orientation val="minMax"/>
          <c:max val="6.0000000000000032E-2"/>
          <c:min val="0"/>
        </c:scaling>
        <c:delete val="0"/>
        <c:axPos val="r"/>
        <c:numFmt formatCode="0%" sourceLinked="0"/>
        <c:majorTickMark val="out"/>
        <c:minorTickMark val="none"/>
        <c:tickLblPos val="nextTo"/>
        <c:spPr>
          <a:ln>
            <a:noFill/>
          </a:ln>
        </c:spPr>
        <c:txPr>
          <a:bodyPr/>
          <a:lstStyle/>
          <a:p>
            <a:pPr>
              <a:defRPr>
                <a:solidFill>
                  <a:srgbClr val="C00000"/>
                </a:solidFill>
              </a:defRPr>
            </a:pPr>
            <a:endParaRPr lang="en-US"/>
          </a:p>
        </c:txPr>
        <c:crossAx val="561908352"/>
        <c:crosses val="max"/>
        <c:crossBetween val="between"/>
        <c:majorUnit val="2.0000000000000011E-2"/>
        <c:minorUnit val="1.0000000000000005E-2"/>
      </c:valAx>
      <c:catAx>
        <c:axId val="561908352"/>
        <c:scaling>
          <c:orientation val="minMax"/>
        </c:scaling>
        <c:delete val="1"/>
        <c:axPos val="b"/>
        <c:numFmt formatCode="General" sourceLinked="1"/>
        <c:majorTickMark val="out"/>
        <c:minorTickMark val="none"/>
        <c:tickLblPos val="none"/>
        <c:crossAx val="561905608"/>
        <c:crosses val="autoZero"/>
        <c:auto val="1"/>
        <c:lblAlgn val="ctr"/>
        <c:lblOffset val="100"/>
        <c:noMultiLvlLbl val="0"/>
      </c:catAx>
    </c:plotArea>
    <c:plotVisOnly val="1"/>
    <c:dispBlanksAs val="zero"/>
    <c:showDLblsOverMax val="0"/>
  </c:chart>
  <c:spPr>
    <a:ln>
      <a:noFill/>
    </a:ln>
  </c:spPr>
  <c:printSettings>
    <c:headerFooter/>
    <c:pageMargins b="0.75000000000000056" l="0.70000000000000051" r="0.70000000000000051" t="0.75000000000000056" header="0.30000000000000027" footer="0.30000000000000027"/>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190591229418718"/>
          <c:y val="0.1155008076750426"/>
          <c:w val="0.82263608353303663"/>
          <c:h val="0.54592853140758324"/>
        </c:manualLayout>
      </c:layout>
      <c:lineChart>
        <c:grouping val="stacked"/>
        <c:varyColors val="0"/>
        <c:ser>
          <c:idx val="0"/>
          <c:order val="0"/>
          <c:tx>
            <c:strRef>
              <c:f>subindex_charts!$A$50</c:f>
              <c:strCache>
                <c:ptCount val="1"/>
                <c:pt idx="0">
                  <c:v>Attackers: Nation states</c:v>
                </c:pt>
              </c:strCache>
            </c:strRef>
          </c:tx>
          <c:marker>
            <c:symbol val="none"/>
          </c:marker>
          <c:dLbls>
            <c:spPr>
              <a:noFill/>
              <a:ln>
                <a:noFill/>
              </a:ln>
              <a:effectLst/>
            </c:spPr>
            <c:txPr>
              <a:bodyPr/>
              <a:lstStyle/>
              <a:p>
                <a:pPr>
                  <a:defRPr sz="700">
                    <a:latin typeface="Arial Narrow" pitchFamily="34" charset="0"/>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subindex_charts!$DQ$49:$EC$49</c:f>
              <c:strCache>
                <c:ptCount val="13"/>
                <c:pt idx="0">
                  <c:v>Aug</c:v>
                </c:pt>
                <c:pt idx="1">
                  <c:v>Sep</c:v>
                </c:pt>
                <c:pt idx="2">
                  <c:v>Oct</c:v>
                </c:pt>
                <c:pt idx="3">
                  <c:v>Nov</c:v>
                </c:pt>
                <c:pt idx="4">
                  <c:v>Dec-18</c:v>
                </c:pt>
                <c:pt idx="5">
                  <c:v>Jan-19</c:v>
                </c:pt>
                <c:pt idx="6">
                  <c:v>Feb-19</c:v>
                </c:pt>
                <c:pt idx="7">
                  <c:v>Mar-19</c:v>
                </c:pt>
                <c:pt idx="8">
                  <c:v>Apr-19</c:v>
                </c:pt>
                <c:pt idx="9">
                  <c:v>May-19</c:v>
                </c:pt>
                <c:pt idx="10">
                  <c:v>June-19</c:v>
                </c:pt>
                <c:pt idx="11">
                  <c:v>July-19</c:v>
                </c:pt>
                <c:pt idx="12">
                  <c:v>Aug-19</c:v>
                </c:pt>
              </c:strCache>
            </c:strRef>
          </c:cat>
          <c:val>
            <c:numRef>
              <c:f>subindex_charts!$DQ$50:$EC$50</c:f>
              <c:numCache>
                <c:formatCode>0.0_);\(0.0\)</c:formatCode>
                <c:ptCount val="13"/>
                <c:pt idx="0">
                  <c:v>6854.2342041454795</c:v>
                </c:pt>
                <c:pt idx="1">
                  <c:v>7221.3398201372802</c:v>
                </c:pt>
                <c:pt idx="2">
                  <c:v>7332.5129217320382</c:v>
                </c:pt>
                <c:pt idx="3">
                  <c:v>7401.5784692769548</c:v>
                </c:pt>
                <c:pt idx="4">
                  <c:v>7474.340536313789</c:v>
                </c:pt>
                <c:pt idx="5">
                  <c:v>7671.2217552537895</c:v>
                </c:pt>
                <c:pt idx="6">
                  <c:v>7767.7138463597103</c:v>
                </c:pt>
                <c:pt idx="7">
                  <c:v>7627.8869573062466</c:v>
                </c:pt>
                <c:pt idx="8">
                  <c:v>7932.025555701297</c:v>
                </c:pt>
                <c:pt idx="9">
                  <c:v>8024.0789836663207</c:v>
                </c:pt>
                <c:pt idx="10">
                  <c:v>8183.6958480026142</c:v>
                </c:pt>
                <c:pt idx="11">
                  <c:v>8235.0041183785543</c:v>
                </c:pt>
                <c:pt idx="12">
                  <c:v>8235.0041183785543</c:v>
                </c:pt>
              </c:numCache>
            </c:numRef>
          </c:val>
          <c:smooth val="0"/>
          <c:extLst>
            <c:ext xmlns:c16="http://schemas.microsoft.com/office/drawing/2014/chart" uri="{C3380CC4-5D6E-409C-BE32-E72D297353CC}">
              <c16:uniqueId val="{00000000-2973-4B19-B89E-F96FCFA815F8}"/>
            </c:ext>
          </c:extLst>
        </c:ser>
        <c:dLbls>
          <c:showLegendKey val="0"/>
          <c:showVal val="0"/>
          <c:showCatName val="0"/>
          <c:showSerName val="0"/>
          <c:showPercent val="0"/>
          <c:showBubbleSize val="0"/>
        </c:dLbls>
        <c:marker val="1"/>
        <c:smooth val="0"/>
        <c:axId val="561909528"/>
        <c:axId val="561909920"/>
      </c:lineChart>
      <c:lineChart>
        <c:grouping val="stacked"/>
        <c:varyColors val="0"/>
        <c:ser>
          <c:idx val="1"/>
          <c:order val="1"/>
          <c:tx>
            <c:strRef>
              <c:f>subindex_charts!$A$51</c:f>
              <c:strCache>
                <c:ptCount val="1"/>
                <c:pt idx="0">
                  <c:v>Rate of change</c:v>
                </c:pt>
              </c:strCache>
            </c:strRef>
          </c:tx>
          <c:marker>
            <c:symbol val="none"/>
          </c:marker>
          <c:cat>
            <c:strRef>
              <c:f>subindex_charts!$DQ$49:$EC$49</c:f>
              <c:strCache>
                <c:ptCount val="13"/>
                <c:pt idx="0">
                  <c:v>Aug</c:v>
                </c:pt>
                <c:pt idx="1">
                  <c:v>Sep</c:v>
                </c:pt>
                <c:pt idx="2">
                  <c:v>Oct</c:v>
                </c:pt>
                <c:pt idx="3">
                  <c:v>Nov</c:v>
                </c:pt>
                <c:pt idx="4">
                  <c:v>Dec-18</c:v>
                </c:pt>
                <c:pt idx="5">
                  <c:v>Jan-19</c:v>
                </c:pt>
                <c:pt idx="6">
                  <c:v>Feb-19</c:v>
                </c:pt>
                <c:pt idx="7">
                  <c:v>Mar-19</c:v>
                </c:pt>
                <c:pt idx="8">
                  <c:v>Apr-19</c:v>
                </c:pt>
                <c:pt idx="9">
                  <c:v>May-19</c:v>
                </c:pt>
                <c:pt idx="10">
                  <c:v>June-19</c:v>
                </c:pt>
                <c:pt idx="11">
                  <c:v>July-19</c:v>
                </c:pt>
                <c:pt idx="12">
                  <c:v>Aug-19</c:v>
                </c:pt>
              </c:strCache>
            </c:strRef>
          </c:cat>
          <c:val>
            <c:numRef>
              <c:f>subindex_charts!$DQ$51:$EC$51</c:f>
              <c:numCache>
                <c:formatCode>0.0%</c:formatCode>
                <c:ptCount val="13"/>
                <c:pt idx="0">
                  <c:v>8.6538461538463451E-3</c:v>
                </c:pt>
                <c:pt idx="1">
                  <c:v>5.2173913043478848E-2</c:v>
                </c:pt>
                <c:pt idx="2">
                  <c:v>1.5277777777777501E-2</c:v>
                </c:pt>
                <c:pt idx="3">
                  <c:v>9.3750000000003553E-3</c:v>
                </c:pt>
                <c:pt idx="4">
                  <c:v>9.7826086956516178E-3</c:v>
                </c:pt>
                <c:pt idx="5">
                  <c:v>2.5999999999999801E-2</c:v>
                </c:pt>
                <c:pt idx="6">
                  <c:v>1.2500000000001066E-2</c:v>
                </c:pt>
                <c:pt idx="7">
                  <c:v>-1.8165024630542703E-2</c:v>
                </c:pt>
                <c:pt idx="8">
                  <c:v>3.9097564313081534E-2</c:v>
                </c:pt>
                <c:pt idx="9">
                  <c:v>1.1538461538460609E-2</c:v>
                </c:pt>
                <c:pt idx="10">
                  <c:v>1.9696969696971323E-2</c:v>
                </c:pt>
                <c:pt idx="11">
                  <c:v>6.2499999999996447E-3</c:v>
                </c:pt>
                <c:pt idx="12">
                  <c:v>0</c:v>
                </c:pt>
              </c:numCache>
            </c:numRef>
          </c:val>
          <c:smooth val="0"/>
          <c:extLst>
            <c:ext xmlns:c16="http://schemas.microsoft.com/office/drawing/2014/chart" uri="{C3380CC4-5D6E-409C-BE32-E72D297353CC}">
              <c16:uniqueId val="{00000001-2973-4B19-B89E-F96FCFA815F8}"/>
            </c:ext>
          </c:extLst>
        </c:ser>
        <c:dLbls>
          <c:showLegendKey val="0"/>
          <c:showVal val="0"/>
          <c:showCatName val="0"/>
          <c:showSerName val="0"/>
          <c:showPercent val="0"/>
          <c:showBubbleSize val="0"/>
        </c:dLbls>
        <c:marker val="1"/>
        <c:smooth val="0"/>
        <c:axId val="563688624"/>
        <c:axId val="563686272"/>
      </c:lineChart>
      <c:catAx>
        <c:axId val="561909528"/>
        <c:scaling>
          <c:orientation val="minMax"/>
        </c:scaling>
        <c:delete val="0"/>
        <c:axPos val="b"/>
        <c:numFmt formatCode="General" sourceLinked="0"/>
        <c:majorTickMark val="out"/>
        <c:minorTickMark val="none"/>
        <c:tickLblPos val="nextTo"/>
        <c:txPr>
          <a:bodyPr/>
          <a:lstStyle/>
          <a:p>
            <a:pPr>
              <a:defRPr sz="900">
                <a:latin typeface="Arial Narrow" pitchFamily="34" charset="0"/>
              </a:defRPr>
            </a:pPr>
            <a:endParaRPr lang="en-US"/>
          </a:p>
        </c:txPr>
        <c:crossAx val="561909920"/>
        <c:crosses val="autoZero"/>
        <c:auto val="1"/>
        <c:lblAlgn val="ctr"/>
        <c:lblOffset val="100"/>
        <c:noMultiLvlLbl val="0"/>
      </c:catAx>
      <c:valAx>
        <c:axId val="561909920"/>
        <c:scaling>
          <c:orientation val="minMax"/>
          <c:min val="1700"/>
        </c:scaling>
        <c:delete val="0"/>
        <c:axPos val="l"/>
        <c:numFmt formatCode="0.0_);\(0.0\)" sourceLinked="1"/>
        <c:majorTickMark val="out"/>
        <c:minorTickMark val="none"/>
        <c:tickLblPos val="nextTo"/>
        <c:spPr>
          <a:ln>
            <a:noFill/>
          </a:ln>
        </c:spPr>
        <c:txPr>
          <a:bodyPr/>
          <a:lstStyle/>
          <a:p>
            <a:pPr>
              <a:defRPr>
                <a:solidFill>
                  <a:schemeClr val="bg1"/>
                </a:solidFill>
              </a:defRPr>
            </a:pPr>
            <a:endParaRPr lang="en-US"/>
          </a:p>
        </c:txPr>
        <c:crossAx val="561909528"/>
        <c:crosses val="autoZero"/>
        <c:crossBetween val="between"/>
      </c:valAx>
      <c:valAx>
        <c:axId val="563686272"/>
        <c:scaling>
          <c:orientation val="minMax"/>
          <c:max val="6.0000000000000019E-2"/>
        </c:scaling>
        <c:delete val="0"/>
        <c:axPos val="r"/>
        <c:numFmt formatCode="0%" sourceLinked="0"/>
        <c:majorTickMark val="out"/>
        <c:minorTickMark val="none"/>
        <c:tickLblPos val="nextTo"/>
        <c:spPr>
          <a:ln>
            <a:noFill/>
          </a:ln>
        </c:spPr>
        <c:txPr>
          <a:bodyPr/>
          <a:lstStyle/>
          <a:p>
            <a:pPr>
              <a:defRPr>
                <a:solidFill>
                  <a:srgbClr val="C00000"/>
                </a:solidFill>
              </a:defRPr>
            </a:pPr>
            <a:endParaRPr lang="en-US"/>
          </a:p>
        </c:txPr>
        <c:crossAx val="563688624"/>
        <c:crosses val="max"/>
        <c:crossBetween val="between"/>
      </c:valAx>
      <c:catAx>
        <c:axId val="563688624"/>
        <c:scaling>
          <c:orientation val="minMax"/>
        </c:scaling>
        <c:delete val="1"/>
        <c:axPos val="b"/>
        <c:numFmt formatCode="General" sourceLinked="1"/>
        <c:majorTickMark val="out"/>
        <c:minorTickMark val="none"/>
        <c:tickLblPos val="none"/>
        <c:crossAx val="563686272"/>
        <c:crosses val="autoZero"/>
        <c:auto val="1"/>
        <c:lblAlgn val="ctr"/>
        <c:lblOffset val="100"/>
        <c:noMultiLvlLbl val="0"/>
      </c:catAx>
    </c:plotArea>
    <c:plotVisOnly val="1"/>
    <c:dispBlanksAs val="zero"/>
    <c:showDLblsOverMax val="0"/>
  </c:chart>
  <c:spPr>
    <a:ln>
      <a:noFill/>
    </a:ln>
  </c:spPr>
  <c:printSettings>
    <c:headerFooter/>
    <c:pageMargins b="0.75000000000000056" l="0.70000000000000051" r="0.70000000000000051" t="0.75000000000000056" header="0.30000000000000027" footer="0.30000000000000027"/>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190591229418718"/>
          <c:y val="0.1155008076750426"/>
          <c:w val="0.82263608353303663"/>
          <c:h val="0.54592853140758324"/>
        </c:manualLayout>
      </c:layout>
      <c:lineChart>
        <c:grouping val="stacked"/>
        <c:varyColors val="0"/>
        <c:ser>
          <c:idx val="0"/>
          <c:order val="0"/>
          <c:tx>
            <c:strRef>
              <c:f>subindex_charts!$A$55</c:f>
              <c:strCache>
                <c:ptCount val="1"/>
                <c:pt idx="0">
                  <c:v>Weapons: Botnets</c:v>
                </c:pt>
              </c:strCache>
            </c:strRef>
          </c:tx>
          <c:marker>
            <c:symbol val="none"/>
          </c:marker>
          <c:dLbls>
            <c:spPr>
              <a:noFill/>
              <a:ln>
                <a:noFill/>
              </a:ln>
              <a:effectLst/>
            </c:spPr>
            <c:txPr>
              <a:bodyPr/>
              <a:lstStyle/>
              <a:p>
                <a:pPr>
                  <a:defRPr sz="700">
                    <a:latin typeface="Arial Narrow" pitchFamily="34" charset="0"/>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subindex_charts!$DQ$54:$EC$54</c:f>
              <c:strCache>
                <c:ptCount val="13"/>
                <c:pt idx="0">
                  <c:v>Aug</c:v>
                </c:pt>
                <c:pt idx="1">
                  <c:v>Sep</c:v>
                </c:pt>
                <c:pt idx="2">
                  <c:v>Oct</c:v>
                </c:pt>
                <c:pt idx="3">
                  <c:v>Nov</c:v>
                </c:pt>
                <c:pt idx="4">
                  <c:v>Dec-18</c:v>
                </c:pt>
                <c:pt idx="5">
                  <c:v>Jan-19</c:v>
                </c:pt>
                <c:pt idx="6">
                  <c:v>Feb-19</c:v>
                </c:pt>
                <c:pt idx="7">
                  <c:v>Mar-19</c:v>
                </c:pt>
                <c:pt idx="8">
                  <c:v>Apr-19</c:v>
                </c:pt>
                <c:pt idx="9">
                  <c:v>May-19</c:v>
                </c:pt>
                <c:pt idx="10">
                  <c:v>June-19</c:v>
                </c:pt>
                <c:pt idx="11">
                  <c:v>July-19</c:v>
                </c:pt>
                <c:pt idx="12">
                  <c:v>Aug-19</c:v>
                </c:pt>
              </c:strCache>
            </c:strRef>
          </c:cat>
          <c:val>
            <c:numRef>
              <c:f>subindex_charts!$DQ$55:$EC$55</c:f>
              <c:numCache>
                <c:formatCode>0.0_);\(0.0\)</c:formatCode>
                <c:ptCount val="13"/>
                <c:pt idx="0">
                  <c:v>1838.0540578752946</c:v>
                </c:pt>
                <c:pt idx="1">
                  <c:v>1810.295412788314</c:v>
                </c:pt>
                <c:pt idx="2">
                  <c:v>1782.8483209126275</c:v>
                </c:pt>
                <c:pt idx="3">
                  <c:v>1762.5364429372162</c:v>
                </c:pt>
                <c:pt idx="4">
                  <c:v>1758.7090037416449</c:v>
                </c:pt>
                <c:pt idx="5">
                  <c:v>1748.1883432625948</c:v>
                </c:pt>
                <c:pt idx="6">
                  <c:v>1748.1883432625948</c:v>
                </c:pt>
                <c:pt idx="7">
                  <c:v>1766.0768952262902</c:v>
                </c:pt>
                <c:pt idx="8">
                  <c:v>1705.8713758054519</c:v>
                </c:pt>
                <c:pt idx="9">
                  <c:v>1692.7996287059218</c:v>
                </c:pt>
                <c:pt idx="10">
                  <c:v>1712.1457008042225</c:v>
                </c:pt>
                <c:pt idx="11">
                  <c:v>1699.9596620340028</c:v>
                </c:pt>
                <c:pt idx="12">
                  <c:v>1699.9596620340028</c:v>
                </c:pt>
              </c:numCache>
            </c:numRef>
          </c:val>
          <c:smooth val="0"/>
          <c:extLst>
            <c:ext xmlns:c16="http://schemas.microsoft.com/office/drawing/2014/chart" uri="{C3380CC4-5D6E-409C-BE32-E72D297353CC}">
              <c16:uniqueId val="{00000000-596C-4A54-85F2-6ACB175B3599}"/>
            </c:ext>
          </c:extLst>
        </c:ser>
        <c:dLbls>
          <c:showLegendKey val="0"/>
          <c:showVal val="0"/>
          <c:showCatName val="0"/>
          <c:showSerName val="0"/>
          <c:showPercent val="0"/>
          <c:showBubbleSize val="0"/>
        </c:dLbls>
        <c:marker val="1"/>
        <c:smooth val="0"/>
        <c:axId val="563690976"/>
        <c:axId val="563688232"/>
      </c:lineChart>
      <c:lineChart>
        <c:grouping val="stacked"/>
        <c:varyColors val="0"/>
        <c:ser>
          <c:idx val="1"/>
          <c:order val="1"/>
          <c:tx>
            <c:strRef>
              <c:f>subindex_charts!$A$56</c:f>
              <c:strCache>
                <c:ptCount val="1"/>
                <c:pt idx="0">
                  <c:v>Rate of change</c:v>
                </c:pt>
              </c:strCache>
            </c:strRef>
          </c:tx>
          <c:marker>
            <c:symbol val="none"/>
          </c:marker>
          <c:cat>
            <c:strRef>
              <c:f>subindex_charts!$DQ$54:$EC$54</c:f>
              <c:strCache>
                <c:ptCount val="13"/>
                <c:pt idx="0">
                  <c:v>Aug</c:v>
                </c:pt>
                <c:pt idx="1">
                  <c:v>Sep</c:v>
                </c:pt>
                <c:pt idx="2">
                  <c:v>Oct</c:v>
                </c:pt>
                <c:pt idx="3">
                  <c:v>Nov</c:v>
                </c:pt>
                <c:pt idx="4">
                  <c:v>Dec-18</c:v>
                </c:pt>
                <c:pt idx="5">
                  <c:v>Jan-19</c:v>
                </c:pt>
                <c:pt idx="6">
                  <c:v>Feb-19</c:v>
                </c:pt>
                <c:pt idx="7">
                  <c:v>Mar-19</c:v>
                </c:pt>
                <c:pt idx="8">
                  <c:v>Apr-19</c:v>
                </c:pt>
                <c:pt idx="9">
                  <c:v>May-19</c:v>
                </c:pt>
                <c:pt idx="10">
                  <c:v>June-19</c:v>
                </c:pt>
                <c:pt idx="11">
                  <c:v>July-19</c:v>
                </c:pt>
                <c:pt idx="12">
                  <c:v>Aug-19</c:v>
                </c:pt>
              </c:strCache>
            </c:strRef>
          </c:cat>
          <c:val>
            <c:numRef>
              <c:f>subindex_charts!$DQ$56:$EC$56</c:f>
              <c:numCache>
                <c:formatCode>0.0%</c:formatCode>
                <c:ptCount val="13"/>
                <c:pt idx="0">
                  <c:v>-1.9230769230764722E-3</c:v>
                </c:pt>
                <c:pt idx="1">
                  <c:v>-1.5217391304347849E-2</c:v>
                </c:pt>
                <c:pt idx="2">
                  <c:v>-1.5277777777777501E-2</c:v>
                </c:pt>
                <c:pt idx="3">
                  <c:v>-1.145833333333357E-2</c:v>
                </c:pt>
                <c:pt idx="4">
                  <c:v>-2.1739130434781373E-3</c:v>
                </c:pt>
                <c:pt idx="5">
                  <c:v>-6.0000000000002274E-3</c:v>
                </c:pt>
                <c:pt idx="6">
                  <c:v>0</c:v>
                </c:pt>
                <c:pt idx="7">
                  <c:v>1.0180623973727876E-2</c:v>
                </c:pt>
                <c:pt idx="8">
                  <c:v>-3.468459222769571E-2</c:v>
                </c:pt>
                <c:pt idx="9">
                  <c:v>-7.692307692307665E-3</c:v>
                </c:pt>
                <c:pt idx="10">
                  <c:v>1.1363636363635798E-2</c:v>
                </c:pt>
                <c:pt idx="11">
                  <c:v>-7.1428571428571175E-3</c:v>
                </c:pt>
                <c:pt idx="12">
                  <c:v>0</c:v>
                </c:pt>
              </c:numCache>
            </c:numRef>
          </c:val>
          <c:smooth val="0"/>
          <c:extLst>
            <c:ext xmlns:c16="http://schemas.microsoft.com/office/drawing/2014/chart" uri="{C3380CC4-5D6E-409C-BE32-E72D297353CC}">
              <c16:uniqueId val="{00000001-596C-4A54-85F2-6ACB175B3599}"/>
            </c:ext>
          </c:extLst>
        </c:ser>
        <c:dLbls>
          <c:showLegendKey val="0"/>
          <c:showVal val="0"/>
          <c:showCatName val="0"/>
          <c:showSerName val="0"/>
          <c:showPercent val="0"/>
          <c:showBubbleSize val="0"/>
        </c:dLbls>
        <c:marker val="1"/>
        <c:smooth val="0"/>
        <c:axId val="563684704"/>
        <c:axId val="563689408"/>
      </c:lineChart>
      <c:catAx>
        <c:axId val="563690976"/>
        <c:scaling>
          <c:orientation val="minMax"/>
        </c:scaling>
        <c:delete val="0"/>
        <c:axPos val="b"/>
        <c:numFmt formatCode="General" sourceLinked="0"/>
        <c:majorTickMark val="out"/>
        <c:minorTickMark val="none"/>
        <c:tickLblPos val="nextTo"/>
        <c:txPr>
          <a:bodyPr/>
          <a:lstStyle/>
          <a:p>
            <a:pPr>
              <a:defRPr sz="900">
                <a:latin typeface="Arial Narrow" pitchFamily="34" charset="0"/>
              </a:defRPr>
            </a:pPr>
            <a:endParaRPr lang="en-US"/>
          </a:p>
        </c:txPr>
        <c:crossAx val="563688232"/>
        <c:crosses val="autoZero"/>
        <c:auto val="1"/>
        <c:lblAlgn val="ctr"/>
        <c:lblOffset val="100"/>
        <c:noMultiLvlLbl val="0"/>
      </c:catAx>
      <c:valAx>
        <c:axId val="563688232"/>
        <c:scaling>
          <c:orientation val="minMax"/>
          <c:max val="2100"/>
          <c:min val="1600"/>
        </c:scaling>
        <c:delete val="0"/>
        <c:axPos val="l"/>
        <c:numFmt formatCode="0.0_);\(0.0\)" sourceLinked="1"/>
        <c:majorTickMark val="out"/>
        <c:minorTickMark val="none"/>
        <c:tickLblPos val="nextTo"/>
        <c:spPr>
          <a:ln>
            <a:noFill/>
          </a:ln>
        </c:spPr>
        <c:txPr>
          <a:bodyPr/>
          <a:lstStyle/>
          <a:p>
            <a:pPr>
              <a:defRPr>
                <a:solidFill>
                  <a:schemeClr val="bg1"/>
                </a:solidFill>
              </a:defRPr>
            </a:pPr>
            <a:endParaRPr lang="en-US"/>
          </a:p>
        </c:txPr>
        <c:crossAx val="563690976"/>
        <c:crosses val="autoZero"/>
        <c:crossBetween val="between"/>
      </c:valAx>
      <c:valAx>
        <c:axId val="563689408"/>
        <c:scaling>
          <c:orientation val="minMax"/>
          <c:max val="5.3000000000000012E-2"/>
          <c:min val="-1.0000000000000002E-2"/>
        </c:scaling>
        <c:delete val="0"/>
        <c:axPos val="r"/>
        <c:numFmt formatCode="0%" sourceLinked="0"/>
        <c:majorTickMark val="out"/>
        <c:minorTickMark val="none"/>
        <c:tickLblPos val="nextTo"/>
        <c:spPr>
          <a:ln>
            <a:noFill/>
          </a:ln>
        </c:spPr>
        <c:txPr>
          <a:bodyPr/>
          <a:lstStyle/>
          <a:p>
            <a:pPr>
              <a:defRPr>
                <a:solidFill>
                  <a:srgbClr val="C00000"/>
                </a:solidFill>
              </a:defRPr>
            </a:pPr>
            <a:endParaRPr lang="en-US"/>
          </a:p>
        </c:txPr>
        <c:crossAx val="563684704"/>
        <c:crosses val="max"/>
        <c:crossBetween val="between"/>
        <c:majorUnit val="2.0000000000000011E-2"/>
        <c:minorUnit val="1.0000000000000005E-2"/>
      </c:valAx>
      <c:catAx>
        <c:axId val="563684704"/>
        <c:scaling>
          <c:orientation val="minMax"/>
        </c:scaling>
        <c:delete val="1"/>
        <c:axPos val="b"/>
        <c:numFmt formatCode="General" sourceLinked="1"/>
        <c:majorTickMark val="out"/>
        <c:minorTickMark val="none"/>
        <c:tickLblPos val="none"/>
        <c:crossAx val="563689408"/>
        <c:crosses val="autoZero"/>
        <c:auto val="1"/>
        <c:lblAlgn val="ctr"/>
        <c:lblOffset val="100"/>
        <c:noMultiLvlLbl val="0"/>
      </c:catAx>
    </c:plotArea>
    <c:plotVisOnly val="1"/>
    <c:dispBlanksAs val="zero"/>
    <c:showDLblsOverMax val="0"/>
  </c:chart>
  <c:spPr>
    <a:ln>
      <a:noFill/>
    </a:ln>
  </c:spPr>
  <c:printSettings>
    <c:headerFooter/>
    <c:pageMargins b="0.75000000000000056" l="0.70000000000000051" r="0.70000000000000051" t="0.75000000000000056" header="0.30000000000000027" footer="0.30000000000000027"/>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190591229418718"/>
          <c:y val="0.1155008076750426"/>
          <c:w val="0.82263608353303663"/>
          <c:h val="0.54592853140758324"/>
        </c:manualLayout>
      </c:layout>
      <c:lineChart>
        <c:grouping val="stacked"/>
        <c:varyColors val="0"/>
        <c:ser>
          <c:idx val="0"/>
          <c:order val="0"/>
          <c:tx>
            <c:strRef>
              <c:f>subindex_charts!$A$60</c:f>
              <c:strCache>
                <c:ptCount val="1"/>
                <c:pt idx="0">
                  <c:v>Weapons: Mass malware</c:v>
                </c:pt>
              </c:strCache>
            </c:strRef>
          </c:tx>
          <c:marker>
            <c:symbol val="none"/>
          </c:marker>
          <c:dLbls>
            <c:spPr>
              <a:noFill/>
              <a:ln>
                <a:noFill/>
              </a:ln>
              <a:effectLst/>
            </c:spPr>
            <c:txPr>
              <a:bodyPr/>
              <a:lstStyle/>
              <a:p>
                <a:pPr>
                  <a:defRPr sz="700">
                    <a:latin typeface="Arial Narrow" pitchFamily="34" charset="0"/>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subindex_charts!$DQ$59:$EC$59</c:f>
              <c:strCache>
                <c:ptCount val="13"/>
                <c:pt idx="0">
                  <c:v>Aug</c:v>
                </c:pt>
                <c:pt idx="1">
                  <c:v>Sep</c:v>
                </c:pt>
                <c:pt idx="2">
                  <c:v>Oct</c:v>
                </c:pt>
                <c:pt idx="3">
                  <c:v>Nov</c:v>
                </c:pt>
                <c:pt idx="4">
                  <c:v>Dec-18</c:v>
                </c:pt>
                <c:pt idx="5">
                  <c:v>Jan-19</c:v>
                </c:pt>
                <c:pt idx="6">
                  <c:v>Feb-19</c:v>
                </c:pt>
                <c:pt idx="7">
                  <c:v>Mar-19</c:v>
                </c:pt>
                <c:pt idx="8">
                  <c:v>Apr-19</c:v>
                </c:pt>
                <c:pt idx="9">
                  <c:v>May-19</c:v>
                </c:pt>
                <c:pt idx="10">
                  <c:v>June-19</c:v>
                </c:pt>
                <c:pt idx="11">
                  <c:v>July-19</c:v>
                </c:pt>
                <c:pt idx="12">
                  <c:v>Aug-19</c:v>
                </c:pt>
              </c:strCache>
            </c:strRef>
          </c:cat>
          <c:val>
            <c:numRef>
              <c:f>subindex_charts!$DQ$60:$EC$60</c:f>
              <c:numCache>
                <c:formatCode>0.0_);\(0.0\)</c:formatCode>
                <c:ptCount val="13"/>
                <c:pt idx="0">
                  <c:v>3447.0715245333868</c:v>
                </c:pt>
                <c:pt idx="1">
                  <c:v>3450.8203784593939</c:v>
                </c:pt>
                <c:pt idx="2">
                  <c:v>3384.3692397365016</c:v>
                </c:pt>
                <c:pt idx="3">
                  <c:v>3345.8113353904523</c:v>
                </c:pt>
                <c:pt idx="4">
                  <c:v>3360.3900110037998</c:v>
                </c:pt>
                <c:pt idx="5">
                  <c:v>3357.0313006278766</c:v>
                </c:pt>
                <c:pt idx="6">
                  <c:v>3371.0481124595285</c:v>
                </c:pt>
                <c:pt idx="7">
                  <c:v>3348.2230897464733</c:v>
                </c:pt>
                <c:pt idx="8">
                  <c:v>3290.4270520318728</c:v>
                </c:pt>
                <c:pt idx="9">
                  <c:v>3237.0784354430384</c:v>
                </c:pt>
                <c:pt idx="10">
                  <c:v>3251.825919949993</c:v>
                </c:pt>
                <c:pt idx="11">
                  <c:v>3220.0446680672244</c:v>
                </c:pt>
                <c:pt idx="12">
                  <c:v>3220.0446680672244</c:v>
                </c:pt>
              </c:numCache>
            </c:numRef>
          </c:val>
          <c:smooth val="0"/>
          <c:extLst>
            <c:ext xmlns:c16="http://schemas.microsoft.com/office/drawing/2014/chart" uri="{C3380CC4-5D6E-409C-BE32-E72D297353CC}">
              <c16:uniqueId val="{00000000-6BFA-440C-85C7-8941A3F0B3C6}"/>
            </c:ext>
          </c:extLst>
        </c:ser>
        <c:dLbls>
          <c:showLegendKey val="0"/>
          <c:showVal val="0"/>
          <c:showCatName val="0"/>
          <c:showSerName val="0"/>
          <c:showPercent val="0"/>
          <c:showBubbleSize val="0"/>
        </c:dLbls>
        <c:marker val="1"/>
        <c:smooth val="0"/>
        <c:axId val="563685880"/>
        <c:axId val="563689800"/>
      </c:lineChart>
      <c:lineChart>
        <c:grouping val="stacked"/>
        <c:varyColors val="0"/>
        <c:ser>
          <c:idx val="1"/>
          <c:order val="1"/>
          <c:tx>
            <c:strRef>
              <c:f>subindex_charts!$A$61</c:f>
              <c:strCache>
                <c:ptCount val="1"/>
                <c:pt idx="0">
                  <c:v>Rate of change</c:v>
                </c:pt>
              </c:strCache>
            </c:strRef>
          </c:tx>
          <c:marker>
            <c:symbol val="none"/>
          </c:marker>
          <c:cat>
            <c:strRef>
              <c:f>subindex_charts!$DQ$59:$EC$59</c:f>
              <c:strCache>
                <c:ptCount val="13"/>
                <c:pt idx="0">
                  <c:v>Aug</c:v>
                </c:pt>
                <c:pt idx="1">
                  <c:v>Sep</c:v>
                </c:pt>
                <c:pt idx="2">
                  <c:v>Oct</c:v>
                </c:pt>
                <c:pt idx="3">
                  <c:v>Nov</c:v>
                </c:pt>
                <c:pt idx="4">
                  <c:v>Dec-18</c:v>
                </c:pt>
                <c:pt idx="5">
                  <c:v>Jan-19</c:v>
                </c:pt>
                <c:pt idx="6">
                  <c:v>Feb-19</c:v>
                </c:pt>
                <c:pt idx="7">
                  <c:v>Mar-19</c:v>
                </c:pt>
                <c:pt idx="8">
                  <c:v>Apr-19</c:v>
                </c:pt>
                <c:pt idx="9">
                  <c:v>May-19</c:v>
                </c:pt>
                <c:pt idx="10">
                  <c:v>June-19</c:v>
                </c:pt>
                <c:pt idx="11">
                  <c:v>July-19</c:v>
                </c:pt>
                <c:pt idx="12">
                  <c:v>Aug-19</c:v>
                </c:pt>
              </c:strCache>
            </c:strRef>
          </c:cat>
          <c:val>
            <c:numRef>
              <c:f>subindex_charts!$DQ$61:$EC$61</c:f>
              <c:numCache>
                <c:formatCode>0.0%</c:formatCode>
                <c:ptCount val="13"/>
                <c:pt idx="0">
                  <c:v>0</c:v>
                </c:pt>
                <c:pt idx="1">
                  <c:v>1.0869565217390686E-3</c:v>
                </c:pt>
                <c:pt idx="2">
                  <c:v>-1.9444444444443931E-2</c:v>
                </c:pt>
                <c:pt idx="3">
                  <c:v>-1.145833333333357E-2</c:v>
                </c:pt>
                <c:pt idx="4">
                  <c:v>4.3478260869562746E-3</c:v>
                </c:pt>
                <c:pt idx="5">
                  <c:v>-9.9999999999944578E-4</c:v>
                </c:pt>
                <c:pt idx="6">
                  <c:v>4.1666666666664298E-3</c:v>
                </c:pt>
                <c:pt idx="7">
                  <c:v>-6.793924466338197E-3</c:v>
                </c:pt>
                <c:pt idx="8">
                  <c:v>-1.7412424740010479E-2</c:v>
                </c:pt>
                <c:pt idx="9">
                  <c:v>-1.634615384615401E-2</c:v>
                </c:pt>
                <c:pt idx="10">
                  <c:v>4.5454545454539641E-3</c:v>
                </c:pt>
                <c:pt idx="11">
                  <c:v>-9.8214285714277594E-3</c:v>
                </c:pt>
                <c:pt idx="12">
                  <c:v>0</c:v>
                </c:pt>
              </c:numCache>
            </c:numRef>
          </c:val>
          <c:smooth val="0"/>
          <c:extLst>
            <c:ext xmlns:c16="http://schemas.microsoft.com/office/drawing/2014/chart" uri="{C3380CC4-5D6E-409C-BE32-E72D297353CC}">
              <c16:uniqueId val="{00000001-6BFA-440C-85C7-8941A3F0B3C6}"/>
            </c:ext>
          </c:extLst>
        </c:ser>
        <c:dLbls>
          <c:showLegendKey val="0"/>
          <c:showVal val="0"/>
          <c:showCatName val="0"/>
          <c:showSerName val="0"/>
          <c:showPercent val="0"/>
          <c:showBubbleSize val="0"/>
        </c:dLbls>
        <c:marker val="1"/>
        <c:smooth val="0"/>
        <c:axId val="563690584"/>
        <c:axId val="563685096"/>
      </c:lineChart>
      <c:catAx>
        <c:axId val="563685880"/>
        <c:scaling>
          <c:orientation val="minMax"/>
        </c:scaling>
        <c:delete val="0"/>
        <c:axPos val="b"/>
        <c:numFmt formatCode="General" sourceLinked="0"/>
        <c:majorTickMark val="out"/>
        <c:minorTickMark val="none"/>
        <c:tickLblPos val="nextTo"/>
        <c:txPr>
          <a:bodyPr/>
          <a:lstStyle/>
          <a:p>
            <a:pPr>
              <a:defRPr sz="900">
                <a:latin typeface="Arial Narrow" pitchFamily="34" charset="0"/>
              </a:defRPr>
            </a:pPr>
            <a:endParaRPr lang="en-US"/>
          </a:p>
        </c:txPr>
        <c:crossAx val="563689800"/>
        <c:crosses val="autoZero"/>
        <c:auto val="1"/>
        <c:lblAlgn val="ctr"/>
        <c:lblOffset val="100"/>
        <c:noMultiLvlLbl val="0"/>
      </c:catAx>
      <c:valAx>
        <c:axId val="563689800"/>
        <c:scaling>
          <c:orientation val="minMax"/>
          <c:max val="3500"/>
          <c:min val="2500"/>
        </c:scaling>
        <c:delete val="0"/>
        <c:axPos val="l"/>
        <c:numFmt formatCode="0.0_);\(0.0\)" sourceLinked="1"/>
        <c:majorTickMark val="out"/>
        <c:minorTickMark val="none"/>
        <c:tickLblPos val="nextTo"/>
        <c:spPr>
          <a:ln>
            <a:noFill/>
          </a:ln>
        </c:spPr>
        <c:txPr>
          <a:bodyPr/>
          <a:lstStyle/>
          <a:p>
            <a:pPr>
              <a:defRPr>
                <a:solidFill>
                  <a:schemeClr val="bg1"/>
                </a:solidFill>
              </a:defRPr>
            </a:pPr>
            <a:endParaRPr lang="en-US"/>
          </a:p>
        </c:txPr>
        <c:crossAx val="563685880"/>
        <c:crosses val="autoZero"/>
        <c:crossBetween val="between"/>
      </c:valAx>
      <c:valAx>
        <c:axId val="563685096"/>
        <c:scaling>
          <c:orientation val="minMax"/>
          <c:min val="-1.0000000000000002E-2"/>
        </c:scaling>
        <c:delete val="0"/>
        <c:axPos val="r"/>
        <c:numFmt formatCode="0%" sourceLinked="0"/>
        <c:majorTickMark val="out"/>
        <c:minorTickMark val="none"/>
        <c:tickLblPos val="nextTo"/>
        <c:spPr>
          <a:ln>
            <a:noFill/>
          </a:ln>
        </c:spPr>
        <c:txPr>
          <a:bodyPr/>
          <a:lstStyle/>
          <a:p>
            <a:pPr>
              <a:defRPr>
                <a:solidFill>
                  <a:srgbClr val="C00000"/>
                </a:solidFill>
              </a:defRPr>
            </a:pPr>
            <a:endParaRPr lang="en-US"/>
          </a:p>
        </c:txPr>
        <c:crossAx val="563690584"/>
        <c:crosses val="max"/>
        <c:crossBetween val="between"/>
      </c:valAx>
      <c:catAx>
        <c:axId val="563690584"/>
        <c:scaling>
          <c:orientation val="minMax"/>
        </c:scaling>
        <c:delete val="1"/>
        <c:axPos val="b"/>
        <c:numFmt formatCode="General" sourceLinked="1"/>
        <c:majorTickMark val="out"/>
        <c:minorTickMark val="none"/>
        <c:tickLblPos val="none"/>
        <c:crossAx val="563685096"/>
        <c:crosses val="autoZero"/>
        <c:auto val="1"/>
        <c:lblAlgn val="ctr"/>
        <c:lblOffset val="100"/>
        <c:noMultiLvlLbl val="0"/>
      </c:catAx>
    </c:plotArea>
    <c:plotVisOnly val="1"/>
    <c:dispBlanksAs val="zero"/>
    <c:showDLblsOverMax val="0"/>
  </c:chart>
  <c:spPr>
    <a:ln>
      <a:noFill/>
    </a:ln>
  </c:spPr>
  <c:printSettings>
    <c:headerFooter/>
    <c:pageMargins b="0.75000000000000056" l="0.70000000000000051" r="0.70000000000000051" t="0.75000000000000056" header="0.30000000000000027" footer="0.30000000000000027"/>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190591229418718"/>
          <c:y val="0.1155008076750426"/>
          <c:w val="0.82263608353303663"/>
          <c:h val="0.54592853140758324"/>
        </c:manualLayout>
      </c:layout>
      <c:lineChart>
        <c:grouping val="stacked"/>
        <c:varyColors val="0"/>
        <c:ser>
          <c:idx val="0"/>
          <c:order val="0"/>
          <c:tx>
            <c:strRef>
              <c:f>subindex_charts!$A$65</c:f>
              <c:strCache>
                <c:ptCount val="1"/>
                <c:pt idx="0">
                  <c:v>Weapons: Vulnerability exploitation</c:v>
                </c:pt>
              </c:strCache>
            </c:strRef>
          </c:tx>
          <c:marker>
            <c:symbol val="none"/>
          </c:marker>
          <c:dLbls>
            <c:spPr>
              <a:noFill/>
              <a:ln>
                <a:noFill/>
              </a:ln>
              <a:effectLst/>
            </c:spPr>
            <c:txPr>
              <a:bodyPr/>
              <a:lstStyle/>
              <a:p>
                <a:pPr>
                  <a:defRPr sz="700">
                    <a:latin typeface="Arial Narrow" pitchFamily="34" charset="0"/>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subindex_charts!$DQ$64:$EC$64</c:f>
              <c:strCache>
                <c:ptCount val="13"/>
                <c:pt idx="0">
                  <c:v>Aug</c:v>
                </c:pt>
                <c:pt idx="1">
                  <c:v>Sep</c:v>
                </c:pt>
                <c:pt idx="2">
                  <c:v>Oct</c:v>
                </c:pt>
                <c:pt idx="3">
                  <c:v>Nov</c:v>
                </c:pt>
                <c:pt idx="4">
                  <c:v>Dec-18</c:v>
                </c:pt>
                <c:pt idx="5">
                  <c:v>Jan-19</c:v>
                </c:pt>
                <c:pt idx="6">
                  <c:v>Feb-19</c:v>
                </c:pt>
                <c:pt idx="7">
                  <c:v>Mar-19</c:v>
                </c:pt>
                <c:pt idx="8">
                  <c:v>Apr-19</c:v>
                </c:pt>
                <c:pt idx="9">
                  <c:v>May-19</c:v>
                </c:pt>
                <c:pt idx="10">
                  <c:v>June-19</c:v>
                </c:pt>
                <c:pt idx="11">
                  <c:v>July-19</c:v>
                </c:pt>
                <c:pt idx="12">
                  <c:v>Aug-19</c:v>
                </c:pt>
              </c:strCache>
            </c:strRef>
          </c:cat>
          <c:val>
            <c:numRef>
              <c:f>subindex_charts!$DQ$65:$EC$65</c:f>
              <c:numCache>
                <c:formatCode>0.0_);\(0.0\)</c:formatCode>
                <c:ptCount val="13"/>
                <c:pt idx="0">
                  <c:v>4481.945775901786</c:v>
                </c:pt>
                <c:pt idx="1">
                  <c:v>4600.4044964268496</c:v>
                </c:pt>
                <c:pt idx="2">
                  <c:v>4568.5679146102839</c:v>
                </c:pt>
                <c:pt idx="3">
                  <c:v>4573.3293189889127</c:v>
                </c:pt>
                <c:pt idx="4">
                  <c:v>4608.2591064417229</c:v>
                </c:pt>
                <c:pt idx="5">
                  <c:v>4649.9206340590445</c:v>
                </c:pt>
                <c:pt idx="6">
                  <c:v>4708.4094354223525</c:v>
                </c:pt>
                <c:pt idx="7">
                  <c:v>4732.9235145327712</c:v>
                </c:pt>
                <c:pt idx="8">
                  <c:v>4744.9848857068582</c:v>
                </c:pt>
                <c:pt idx="9">
                  <c:v>4851.0910157995386</c:v>
                </c:pt>
                <c:pt idx="10">
                  <c:v>4928.8846358803494</c:v>
                </c:pt>
                <c:pt idx="11">
                  <c:v>4986.4282162052705</c:v>
                </c:pt>
                <c:pt idx="12">
                  <c:v>4986.4282162052705</c:v>
                </c:pt>
              </c:numCache>
            </c:numRef>
          </c:val>
          <c:smooth val="0"/>
          <c:extLst>
            <c:ext xmlns:c16="http://schemas.microsoft.com/office/drawing/2014/chart" uri="{C3380CC4-5D6E-409C-BE32-E72D297353CC}">
              <c16:uniqueId val="{00000000-7581-48B2-852B-F291948D2F0E}"/>
            </c:ext>
          </c:extLst>
        </c:ser>
        <c:dLbls>
          <c:showLegendKey val="0"/>
          <c:showVal val="0"/>
          <c:showCatName val="0"/>
          <c:showSerName val="0"/>
          <c:showPercent val="0"/>
          <c:showBubbleSize val="0"/>
        </c:dLbls>
        <c:marker val="1"/>
        <c:smooth val="0"/>
        <c:axId val="563690192"/>
        <c:axId val="563686664"/>
      </c:lineChart>
      <c:lineChart>
        <c:grouping val="stacked"/>
        <c:varyColors val="0"/>
        <c:ser>
          <c:idx val="1"/>
          <c:order val="1"/>
          <c:tx>
            <c:strRef>
              <c:f>subindex_charts!$A$66</c:f>
              <c:strCache>
                <c:ptCount val="1"/>
                <c:pt idx="0">
                  <c:v>Rate of change</c:v>
                </c:pt>
              </c:strCache>
            </c:strRef>
          </c:tx>
          <c:marker>
            <c:symbol val="none"/>
          </c:marker>
          <c:cat>
            <c:strRef>
              <c:f>subindex_charts!$DQ$64:$EC$64</c:f>
              <c:strCache>
                <c:ptCount val="13"/>
                <c:pt idx="0">
                  <c:v>Aug</c:v>
                </c:pt>
                <c:pt idx="1">
                  <c:v>Sep</c:v>
                </c:pt>
                <c:pt idx="2">
                  <c:v>Oct</c:v>
                </c:pt>
                <c:pt idx="3">
                  <c:v>Nov</c:v>
                </c:pt>
                <c:pt idx="4">
                  <c:v>Dec-18</c:v>
                </c:pt>
                <c:pt idx="5">
                  <c:v>Jan-19</c:v>
                </c:pt>
                <c:pt idx="6">
                  <c:v>Feb-19</c:v>
                </c:pt>
                <c:pt idx="7">
                  <c:v>Mar-19</c:v>
                </c:pt>
                <c:pt idx="8">
                  <c:v>Apr-19</c:v>
                </c:pt>
                <c:pt idx="9">
                  <c:v>May-19</c:v>
                </c:pt>
                <c:pt idx="10">
                  <c:v>June-19</c:v>
                </c:pt>
                <c:pt idx="11">
                  <c:v>July-19</c:v>
                </c:pt>
                <c:pt idx="12">
                  <c:v>Aug-19</c:v>
                </c:pt>
              </c:strCache>
            </c:strRef>
          </c:cat>
          <c:val>
            <c:numRef>
              <c:f>subindex_charts!$DQ$66:$EC$66</c:f>
              <c:numCache>
                <c:formatCode>0.0%</c:formatCode>
                <c:ptCount val="13"/>
                <c:pt idx="0">
                  <c:v>6.7307692307689848E-3</c:v>
                </c:pt>
                <c:pt idx="1">
                  <c:v>2.6086956521739424E-2</c:v>
                </c:pt>
                <c:pt idx="2">
                  <c:v>-6.9444444444446418E-3</c:v>
                </c:pt>
                <c:pt idx="3">
                  <c:v>1.0416666666674956E-3</c:v>
                </c:pt>
                <c:pt idx="4">
                  <c:v>7.6086956521734805E-3</c:v>
                </c:pt>
                <c:pt idx="5">
                  <c:v>9.0000000000003411E-3</c:v>
                </c:pt>
                <c:pt idx="6">
                  <c:v>1.2499999999999289E-2</c:v>
                </c:pt>
                <c:pt idx="7">
                  <c:v>5.1929392446634637E-3</c:v>
                </c:pt>
                <c:pt idx="8">
                  <c:v>2.5451559934328571E-3</c:v>
                </c:pt>
                <c:pt idx="9">
                  <c:v>2.2115384615384315E-2</c:v>
                </c:pt>
                <c:pt idx="10">
                  <c:v>1.5909090909090651E-2</c:v>
                </c:pt>
                <c:pt idx="11">
                  <c:v>1.1607142857142705E-2</c:v>
                </c:pt>
                <c:pt idx="12">
                  <c:v>0</c:v>
                </c:pt>
              </c:numCache>
            </c:numRef>
          </c:val>
          <c:smooth val="0"/>
          <c:extLst>
            <c:ext xmlns:c16="http://schemas.microsoft.com/office/drawing/2014/chart" uri="{C3380CC4-5D6E-409C-BE32-E72D297353CC}">
              <c16:uniqueId val="{00000001-7581-48B2-852B-F291948D2F0E}"/>
            </c:ext>
          </c:extLst>
        </c:ser>
        <c:dLbls>
          <c:showLegendKey val="0"/>
          <c:showVal val="0"/>
          <c:showCatName val="0"/>
          <c:showSerName val="0"/>
          <c:showPercent val="0"/>
          <c:showBubbleSize val="0"/>
        </c:dLbls>
        <c:marker val="1"/>
        <c:smooth val="0"/>
        <c:axId val="563685488"/>
        <c:axId val="563691368"/>
      </c:lineChart>
      <c:catAx>
        <c:axId val="563690192"/>
        <c:scaling>
          <c:orientation val="minMax"/>
        </c:scaling>
        <c:delete val="0"/>
        <c:axPos val="b"/>
        <c:numFmt formatCode="General" sourceLinked="0"/>
        <c:majorTickMark val="out"/>
        <c:minorTickMark val="none"/>
        <c:tickLblPos val="nextTo"/>
        <c:txPr>
          <a:bodyPr/>
          <a:lstStyle/>
          <a:p>
            <a:pPr>
              <a:defRPr sz="900">
                <a:latin typeface="Arial Narrow" pitchFamily="34" charset="0"/>
              </a:defRPr>
            </a:pPr>
            <a:endParaRPr lang="en-US"/>
          </a:p>
        </c:txPr>
        <c:crossAx val="563686664"/>
        <c:crosses val="autoZero"/>
        <c:auto val="1"/>
        <c:lblAlgn val="ctr"/>
        <c:lblOffset val="100"/>
        <c:noMultiLvlLbl val="0"/>
      </c:catAx>
      <c:valAx>
        <c:axId val="563686664"/>
        <c:scaling>
          <c:orientation val="minMax"/>
          <c:min val="900"/>
        </c:scaling>
        <c:delete val="0"/>
        <c:axPos val="l"/>
        <c:numFmt formatCode="0.0_);\(0.0\)" sourceLinked="1"/>
        <c:majorTickMark val="out"/>
        <c:minorTickMark val="none"/>
        <c:tickLblPos val="nextTo"/>
        <c:spPr>
          <a:ln>
            <a:noFill/>
          </a:ln>
        </c:spPr>
        <c:txPr>
          <a:bodyPr/>
          <a:lstStyle/>
          <a:p>
            <a:pPr>
              <a:defRPr>
                <a:solidFill>
                  <a:schemeClr val="bg1"/>
                </a:solidFill>
              </a:defRPr>
            </a:pPr>
            <a:endParaRPr lang="en-US"/>
          </a:p>
        </c:txPr>
        <c:crossAx val="563690192"/>
        <c:crosses val="autoZero"/>
        <c:crossBetween val="between"/>
      </c:valAx>
      <c:valAx>
        <c:axId val="563691368"/>
        <c:scaling>
          <c:orientation val="minMax"/>
          <c:max val="6.0000000000000019E-2"/>
          <c:min val="0"/>
        </c:scaling>
        <c:delete val="0"/>
        <c:axPos val="r"/>
        <c:numFmt formatCode="0%" sourceLinked="0"/>
        <c:majorTickMark val="out"/>
        <c:minorTickMark val="none"/>
        <c:tickLblPos val="nextTo"/>
        <c:spPr>
          <a:ln>
            <a:noFill/>
          </a:ln>
        </c:spPr>
        <c:txPr>
          <a:bodyPr/>
          <a:lstStyle/>
          <a:p>
            <a:pPr>
              <a:defRPr>
                <a:solidFill>
                  <a:srgbClr val="C00000"/>
                </a:solidFill>
              </a:defRPr>
            </a:pPr>
            <a:endParaRPr lang="en-US"/>
          </a:p>
        </c:txPr>
        <c:crossAx val="563685488"/>
        <c:crosses val="max"/>
        <c:crossBetween val="between"/>
        <c:majorUnit val="2.0000000000000011E-2"/>
        <c:minorUnit val="1.0000000000000005E-2"/>
      </c:valAx>
      <c:catAx>
        <c:axId val="563685488"/>
        <c:scaling>
          <c:orientation val="minMax"/>
        </c:scaling>
        <c:delete val="1"/>
        <c:axPos val="b"/>
        <c:numFmt formatCode="General" sourceLinked="1"/>
        <c:majorTickMark val="out"/>
        <c:minorTickMark val="none"/>
        <c:tickLblPos val="none"/>
        <c:crossAx val="563691368"/>
        <c:crosses val="autoZero"/>
        <c:auto val="1"/>
        <c:lblAlgn val="ctr"/>
        <c:lblOffset val="100"/>
        <c:noMultiLvlLbl val="0"/>
      </c:catAx>
    </c:plotArea>
    <c:plotVisOnly val="1"/>
    <c:dispBlanksAs val="zero"/>
    <c:showDLblsOverMax val="0"/>
  </c:chart>
  <c:spPr>
    <a:ln>
      <a:noFill/>
    </a:ln>
  </c:spPr>
  <c:printSettings>
    <c:headerFooter/>
    <c:pageMargins b="0.75000000000000056" l="0.70000000000000051" r="0.70000000000000051" t="0.75000000000000056" header="0.30000000000000027" footer="0.30000000000000027"/>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190591229418718"/>
          <c:y val="0.1155008076750426"/>
          <c:w val="0.82263608353303663"/>
          <c:h val="0.54592853140758324"/>
        </c:manualLayout>
      </c:layout>
      <c:lineChart>
        <c:grouping val="stacked"/>
        <c:varyColors val="0"/>
        <c:ser>
          <c:idx val="0"/>
          <c:order val="0"/>
          <c:tx>
            <c:strRef>
              <c:f>subindex_charts!$A$70</c:f>
              <c:strCache>
                <c:ptCount val="1"/>
                <c:pt idx="0">
                  <c:v>Weapons: Phishing/social engineering</c:v>
                </c:pt>
              </c:strCache>
            </c:strRef>
          </c:tx>
          <c:marker>
            <c:symbol val="none"/>
          </c:marker>
          <c:dLbls>
            <c:spPr>
              <a:noFill/>
              <a:ln>
                <a:noFill/>
              </a:ln>
              <a:effectLst/>
            </c:spPr>
            <c:txPr>
              <a:bodyPr/>
              <a:lstStyle/>
              <a:p>
                <a:pPr>
                  <a:defRPr sz="700">
                    <a:latin typeface="Arial Narrow" pitchFamily="34" charset="0"/>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subindex_charts!$DQ$69:$EC$69</c:f>
              <c:strCache>
                <c:ptCount val="13"/>
                <c:pt idx="0">
                  <c:v>Aug</c:v>
                </c:pt>
                <c:pt idx="1">
                  <c:v>Sep</c:v>
                </c:pt>
                <c:pt idx="2">
                  <c:v>Oct</c:v>
                </c:pt>
                <c:pt idx="3">
                  <c:v>Nov</c:v>
                </c:pt>
                <c:pt idx="4">
                  <c:v>Dec-18</c:v>
                </c:pt>
                <c:pt idx="5">
                  <c:v>Jan-19</c:v>
                </c:pt>
                <c:pt idx="6">
                  <c:v>Feb-19</c:v>
                </c:pt>
                <c:pt idx="7">
                  <c:v>Mar-19</c:v>
                </c:pt>
                <c:pt idx="8">
                  <c:v>Apr-19</c:v>
                </c:pt>
                <c:pt idx="9">
                  <c:v>May-19</c:v>
                </c:pt>
                <c:pt idx="10">
                  <c:v>June-19</c:v>
                </c:pt>
                <c:pt idx="11">
                  <c:v>July-19</c:v>
                </c:pt>
                <c:pt idx="12">
                  <c:v>Aug-19</c:v>
                </c:pt>
              </c:strCache>
            </c:strRef>
          </c:cat>
          <c:val>
            <c:numRef>
              <c:f>subindex_charts!$DQ$70:$EC$70</c:f>
              <c:numCache>
                <c:formatCode>0.0_);\(0.0\)</c:formatCode>
                <c:ptCount val="13"/>
                <c:pt idx="0">
                  <c:v>13773.898930806195</c:v>
                </c:pt>
                <c:pt idx="1">
                  <c:v>14417.28153071089</c:v>
                </c:pt>
                <c:pt idx="2">
                  <c:v>14700.360801068182</c:v>
                </c:pt>
                <c:pt idx="3">
                  <c:v>15151.209611436185</c:v>
                </c:pt>
                <c:pt idx="4">
                  <c:v>15928.028739637472</c:v>
                </c:pt>
                <c:pt idx="5">
                  <c:v>16845.446301530767</c:v>
                </c:pt>
                <c:pt idx="6">
                  <c:v>17247.918718848272</c:v>
                </c:pt>
                <c:pt idx="7">
                  <c:v>17493.093590707718</c:v>
                </c:pt>
                <c:pt idx="8">
                  <c:v>18473.592425541021</c:v>
                </c:pt>
                <c:pt idx="9">
                  <c:v>18687.983755682089</c:v>
                </c:pt>
                <c:pt idx="10">
                  <c:v>19248.366345293689</c:v>
                </c:pt>
                <c:pt idx="11">
                  <c:v>19718.027815359957</c:v>
                </c:pt>
                <c:pt idx="12">
                  <c:v>19718.027815359957</c:v>
                </c:pt>
              </c:numCache>
            </c:numRef>
          </c:val>
          <c:smooth val="0"/>
          <c:extLst>
            <c:ext xmlns:c16="http://schemas.microsoft.com/office/drawing/2014/chart" uri="{C3380CC4-5D6E-409C-BE32-E72D297353CC}">
              <c16:uniqueId val="{00000000-82E0-4DB8-9B87-BD610D9586B5}"/>
            </c:ext>
          </c:extLst>
        </c:ser>
        <c:dLbls>
          <c:showLegendKey val="0"/>
          <c:showVal val="0"/>
          <c:showCatName val="0"/>
          <c:showSerName val="0"/>
          <c:showPercent val="0"/>
          <c:showBubbleSize val="0"/>
        </c:dLbls>
        <c:marker val="1"/>
        <c:smooth val="0"/>
        <c:axId val="563683920"/>
        <c:axId val="563687056"/>
      </c:lineChart>
      <c:lineChart>
        <c:grouping val="stacked"/>
        <c:varyColors val="0"/>
        <c:ser>
          <c:idx val="1"/>
          <c:order val="1"/>
          <c:tx>
            <c:strRef>
              <c:f>subindex_charts!$A$71</c:f>
              <c:strCache>
                <c:ptCount val="1"/>
                <c:pt idx="0">
                  <c:v>Rate of change</c:v>
                </c:pt>
              </c:strCache>
            </c:strRef>
          </c:tx>
          <c:marker>
            <c:symbol val="none"/>
          </c:marker>
          <c:cat>
            <c:strRef>
              <c:f>subindex_charts!$DQ$69:$EC$69</c:f>
              <c:strCache>
                <c:ptCount val="13"/>
                <c:pt idx="0">
                  <c:v>Aug</c:v>
                </c:pt>
                <c:pt idx="1">
                  <c:v>Sep</c:v>
                </c:pt>
                <c:pt idx="2">
                  <c:v>Oct</c:v>
                </c:pt>
                <c:pt idx="3">
                  <c:v>Nov</c:v>
                </c:pt>
                <c:pt idx="4">
                  <c:v>Dec-18</c:v>
                </c:pt>
                <c:pt idx="5">
                  <c:v>Jan-19</c:v>
                </c:pt>
                <c:pt idx="6">
                  <c:v>Feb-19</c:v>
                </c:pt>
                <c:pt idx="7">
                  <c:v>Mar-19</c:v>
                </c:pt>
                <c:pt idx="8">
                  <c:v>Apr-19</c:v>
                </c:pt>
                <c:pt idx="9">
                  <c:v>May-19</c:v>
                </c:pt>
                <c:pt idx="10">
                  <c:v>June-19</c:v>
                </c:pt>
                <c:pt idx="11">
                  <c:v>July-19</c:v>
                </c:pt>
                <c:pt idx="12">
                  <c:v>Aug-19</c:v>
                </c:pt>
              </c:strCache>
            </c:strRef>
          </c:cat>
          <c:val>
            <c:numRef>
              <c:f>subindex_charts!$DQ$71:$EC$71</c:f>
              <c:numCache>
                <c:formatCode>0.0%</c:formatCode>
                <c:ptCount val="13"/>
                <c:pt idx="0">
                  <c:v>3.076923076923066E-2</c:v>
                </c:pt>
                <c:pt idx="1">
                  <c:v>4.565217391304266E-2</c:v>
                </c:pt>
                <c:pt idx="2">
                  <c:v>1.9444444444445708E-2</c:v>
                </c:pt>
                <c:pt idx="3">
                  <c:v>3.0208333333332504E-2</c:v>
                </c:pt>
                <c:pt idx="4">
                  <c:v>5.0000000000000711E-2</c:v>
                </c:pt>
                <c:pt idx="5">
                  <c:v>5.5999999999999162E-2</c:v>
                </c:pt>
                <c:pt idx="6">
                  <c:v>2.3611111111112137E-2</c:v>
                </c:pt>
                <c:pt idx="7">
                  <c:v>1.4114668856047174E-2</c:v>
                </c:pt>
                <c:pt idx="8">
                  <c:v>5.4536124794745788E-2</c:v>
                </c:pt>
                <c:pt idx="9">
                  <c:v>1.1538461538462386E-2</c:v>
                </c:pt>
                <c:pt idx="10">
                  <c:v>2.9545454545454319E-2</c:v>
                </c:pt>
                <c:pt idx="11">
                  <c:v>2.4107142857141994E-2</c:v>
                </c:pt>
                <c:pt idx="12">
                  <c:v>0</c:v>
                </c:pt>
              </c:numCache>
            </c:numRef>
          </c:val>
          <c:smooth val="0"/>
          <c:extLst>
            <c:ext xmlns:c16="http://schemas.microsoft.com/office/drawing/2014/chart" uri="{C3380CC4-5D6E-409C-BE32-E72D297353CC}">
              <c16:uniqueId val="{00000001-82E0-4DB8-9B87-BD610D9586B5}"/>
            </c:ext>
          </c:extLst>
        </c:ser>
        <c:dLbls>
          <c:showLegendKey val="0"/>
          <c:showVal val="0"/>
          <c:showCatName val="0"/>
          <c:showSerName val="0"/>
          <c:showPercent val="0"/>
          <c:showBubbleSize val="0"/>
        </c:dLbls>
        <c:marker val="1"/>
        <c:smooth val="0"/>
        <c:axId val="563472872"/>
        <c:axId val="563471304"/>
      </c:lineChart>
      <c:catAx>
        <c:axId val="563683920"/>
        <c:scaling>
          <c:orientation val="minMax"/>
        </c:scaling>
        <c:delete val="0"/>
        <c:axPos val="b"/>
        <c:numFmt formatCode="General" sourceLinked="0"/>
        <c:majorTickMark val="out"/>
        <c:minorTickMark val="none"/>
        <c:tickLblPos val="nextTo"/>
        <c:txPr>
          <a:bodyPr/>
          <a:lstStyle/>
          <a:p>
            <a:pPr>
              <a:defRPr sz="900">
                <a:latin typeface="Arial Narrow" pitchFamily="34" charset="0"/>
              </a:defRPr>
            </a:pPr>
            <a:endParaRPr lang="en-US"/>
          </a:p>
        </c:txPr>
        <c:crossAx val="563687056"/>
        <c:crosses val="autoZero"/>
        <c:auto val="1"/>
        <c:lblAlgn val="ctr"/>
        <c:lblOffset val="100"/>
        <c:noMultiLvlLbl val="0"/>
      </c:catAx>
      <c:valAx>
        <c:axId val="563687056"/>
        <c:scaling>
          <c:orientation val="minMax"/>
          <c:min val="900"/>
        </c:scaling>
        <c:delete val="0"/>
        <c:axPos val="l"/>
        <c:numFmt formatCode="0.0_);\(0.0\)" sourceLinked="1"/>
        <c:majorTickMark val="out"/>
        <c:minorTickMark val="none"/>
        <c:tickLblPos val="nextTo"/>
        <c:spPr>
          <a:ln>
            <a:noFill/>
          </a:ln>
        </c:spPr>
        <c:txPr>
          <a:bodyPr/>
          <a:lstStyle/>
          <a:p>
            <a:pPr>
              <a:defRPr>
                <a:solidFill>
                  <a:schemeClr val="bg1"/>
                </a:solidFill>
              </a:defRPr>
            </a:pPr>
            <a:endParaRPr lang="en-US"/>
          </a:p>
        </c:txPr>
        <c:crossAx val="563683920"/>
        <c:crosses val="autoZero"/>
        <c:crossBetween val="between"/>
      </c:valAx>
      <c:valAx>
        <c:axId val="563471304"/>
        <c:scaling>
          <c:orientation val="minMax"/>
        </c:scaling>
        <c:delete val="0"/>
        <c:axPos val="r"/>
        <c:numFmt formatCode="0%" sourceLinked="0"/>
        <c:majorTickMark val="out"/>
        <c:minorTickMark val="none"/>
        <c:tickLblPos val="nextTo"/>
        <c:spPr>
          <a:ln>
            <a:noFill/>
          </a:ln>
        </c:spPr>
        <c:txPr>
          <a:bodyPr/>
          <a:lstStyle/>
          <a:p>
            <a:pPr>
              <a:defRPr>
                <a:solidFill>
                  <a:srgbClr val="C00000"/>
                </a:solidFill>
              </a:defRPr>
            </a:pPr>
            <a:endParaRPr lang="en-US"/>
          </a:p>
        </c:txPr>
        <c:crossAx val="563472872"/>
        <c:crosses val="max"/>
        <c:crossBetween val="between"/>
      </c:valAx>
      <c:catAx>
        <c:axId val="563472872"/>
        <c:scaling>
          <c:orientation val="minMax"/>
        </c:scaling>
        <c:delete val="1"/>
        <c:axPos val="b"/>
        <c:numFmt formatCode="General" sourceLinked="1"/>
        <c:majorTickMark val="out"/>
        <c:minorTickMark val="none"/>
        <c:tickLblPos val="none"/>
        <c:crossAx val="563471304"/>
        <c:crosses val="autoZero"/>
        <c:auto val="1"/>
        <c:lblAlgn val="ctr"/>
        <c:lblOffset val="100"/>
        <c:noMultiLvlLbl val="0"/>
      </c:catAx>
    </c:plotArea>
    <c:plotVisOnly val="1"/>
    <c:dispBlanksAs val="zero"/>
    <c:showDLblsOverMax val="0"/>
  </c:chart>
  <c:spPr>
    <a:ln>
      <a:noFill/>
    </a:ln>
  </c:spPr>
  <c:printSettings>
    <c:headerFooter/>
    <c:pageMargins b="0.75000000000000056" l="0.70000000000000051" r="0.70000000000000051" t="0.75000000000000056" header="0.30000000000000027" footer="0.30000000000000027"/>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190591229418718"/>
          <c:y val="0.1155008076750426"/>
          <c:w val="0.82263608353303663"/>
          <c:h val="0.54592853140758324"/>
        </c:manualLayout>
      </c:layout>
      <c:lineChart>
        <c:grouping val="stacked"/>
        <c:varyColors val="0"/>
        <c:ser>
          <c:idx val="0"/>
          <c:order val="0"/>
          <c:tx>
            <c:strRef>
              <c:f>subindex_charts!$A$75</c:f>
              <c:strCache>
                <c:ptCount val="1"/>
                <c:pt idx="0">
                  <c:v>Weapons: Customized to target</c:v>
                </c:pt>
              </c:strCache>
            </c:strRef>
          </c:tx>
          <c:marker>
            <c:symbol val="none"/>
          </c:marker>
          <c:dLbls>
            <c:spPr>
              <a:noFill/>
              <a:ln>
                <a:noFill/>
              </a:ln>
              <a:effectLst/>
            </c:spPr>
            <c:txPr>
              <a:bodyPr/>
              <a:lstStyle/>
              <a:p>
                <a:pPr>
                  <a:defRPr sz="700">
                    <a:latin typeface="Arial Narrow" pitchFamily="34" charset="0"/>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subindex_charts!$DQ$74:$EC$74</c:f>
              <c:strCache>
                <c:ptCount val="13"/>
                <c:pt idx="0">
                  <c:v>Aug</c:v>
                </c:pt>
                <c:pt idx="1">
                  <c:v>Sep</c:v>
                </c:pt>
                <c:pt idx="2">
                  <c:v>Oct</c:v>
                </c:pt>
                <c:pt idx="3">
                  <c:v>Nov</c:v>
                </c:pt>
                <c:pt idx="4">
                  <c:v>Dec-18</c:v>
                </c:pt>
                <c:pt idx="5">
                  <c:v>Jan-19</c:v>
                </c:pt>
                <c:pt idx="6">
                  <c:v>Feb-19</c:v>
                </c:pt>
                <c:pt idx="7">
                  <c:v>Mar-19</c:v>
                </c:pt>
                <c:pt idx="8">
                  <c:v>Apr-19</c:v>
                </c:pt>
                <c:pt idx="9">
                  <c:v>May-19</c:v>
                </c:pt>
                <c:pt idx="10">
                  <c:v>June-19</c:v>
                </c:pt>
                <c:pt idx="11">
                  <c:v>July-19</c:v>
                </c:pt>
                <c:pt idx="12">
                  <c:v>Aug-19</c:v>
                </c:pt>
              </c:strCache>
            </c:strRef>
          </c:cat>
          <c:val>
            <c:numRef>
              <c:f>subindex_charts!$DQ$75:$EC$75</c:f>
              <c:numCache>
                <c:formatCode>0.0_);\(0.0\)</c:formatCode>
                <c:ptCount val="13"/>
                <c:pt idx="0">
                  <c:v>3568.6469633383895</c:v>
                </c:pt>
                <c:pt idx="1">
                  <c:v>3735.3394425665829</c:v>
                </c:pt>
                <c:pt idx="2">
                  <c:v>3777.0746470239933</c:v>
                </c:pt>
                <c:pt idx="3">
                  <c:v>3856.5891018049228</c:v>
                </c:pt>
                <c:pt idx="4">
                  <c:v>3949.9233905281144</c:v>
                </c:pt>
                <c:pt idx="5">
                  <c:v>4013.6304622721182</c:v>
                </c:pt>
                <c:pt idx="6">
                  <c:v>4115.2360011650562</c:v>
                </c:pt>
                <c:pt idx="7">
                  <c:v>4241.1206849679884</c:v>
                </c:pt>
                <c:pt idx="8">
                  <c:v>4199.3690136598079</c:v>
                </c:pt>
                <c:pt idx="9">
                  <c:v>4260.3757306845009</c:v>
                </c:pt>
                <c:pt idx="10">
                  <c:v>4325.4183811645007</c:v>
                </c:pt>
                <c:pt idx="11">
                  <c:v>4348.6524438797378</c:v>
                </c:pt>
                <c:pt idx="12">
                  <c:v>4348.6524438797378</c:v>
                </c:pt>
              </c:numCache>
            </c:numRef>
          </c:val>
          <c:smooth val="0"/>
          <c:extLst>
            <c:ext xmlns:c16="http://schemas.microsoft.com/office/drawing/2014/chart" uri="{C3380CC4-5D6E-409C-BE32-E72D297353CC}">
              <c16:uniqueId val="{00000000-C4D4-49CC-9E69-D0EE2746F5D1}"/>
            </c:ext>
          </c:extLst>
        </c:ser>
        <c:dLbls>
          <c:showLegendKey val="0"/>
          <c:showVal val="0"/>
          <c:showCatName val="0"/>
          <c:showSerName val="0"/>
          <c:showPercent val="0"/>
          <c:showBubbleSize val="0"/>
        </c:dLbls>
        <c:marker val="1"/>
        <c:smooth val="0"/>
        <c:axId val="563476400"/>
        <c:axId val="563476792"/>
      </c:lineChart>
      <c:lineChart>
        <c:grouping val="stacked"/>
        <c:varyColors val="0"/>
        <c:ser>
          <c:idx val="1"/>
          <c:order val="1"/>
          <c:tx>
            <c:strRef>
              <c:f>subindex_charts!$A$76</c:f>
              <c:strCache>
                <c:ptCount val="1"/>
                <c:pt idx="0">
                  <c:v>Rate of change</c:v>
                </c:pt>
              </c:strCache>
            </c:strRef>
          </c:tx>
          <c:marker>
            <c:symbol val="none"/>
          </c:marker>
          <c:cat>
            <c:strRef>
              <c:f>subindex_charts!$DQ$74:$EC$74</c:f>
              <c:strCache>
                <c:ptCount val="13"/>
                <c:pt idx="0">
                  <c:v>Aug</c:v>
                </c:pt>
                <c:pt idx="1">
                  <c:v>Sep</c:v>
                </c:pt>
                <c:pt idx="2">
                  <c:v>Oct</c:v>
                </c:pt>
                <c:pt idx="3">
                  <c:v>Nov</c:v>
                </c:pt>
                <c:pt idx="4">
                  <c:v>Dec-18</c:v>
                </c:pt>
                <c:pt idx="5">
                  <c:v>Jan-19</c:v>
                </c:pt>
                <c:pt idx="6">
                  <c:v>Feb-19</c:v>
                </c:pt>
                <c:pt idx="7">
                  <c:v>Mar-19</c:v>
                </c:pt>
                <c:pt idx="8">
                  <c:v>Apr-19</c:v>
                </c:pt>
                <c:pt idx="9">
                  <c:v>May-19</c:v>
                </c:pt>
                <c:pt idx="10">
                  <c:v>June-19</c:v>
                </c:pt>
                <c:pt idx="11">
                  <c:v>July-19</c:v>
                </c:pt>
                <c:pt idx="12">
                  <c:v>Aug-19</c:v>
                </c:pt>
              </c:strCache>
            </c:strRef>
          </c:cat>
          <c:val>
            <c:numRef>
              <c:f>subindex_charts!$DQ$76:$EC$76</c:f>
              <c:numCache>
                <c:formatCode>0.0%</c:formatCode>
                <c:ptCount val="13"/>
                <c:pt idx="0">
                  <c:v>2.1153846153845635E-2</c:v>
                </c:pt>
                <c:pt idx="1">
                  <c:v>4.5652173913044436E-2</c:v>
                </c:pt>
                <c:pt idx="2">
                  <c:v>1.1111111111111072E-2</c:v>
                </c:pt>
                <c:pt idx="3">
                  <c:v>2.0833333333332149E-2</c:v>
                </c:pt>
                <c:pt idx="4">
                  <c:v>2.3913043478261287E-2</c:v>
                </c:pt>
                <c:pt idx="5">
                  <c:v>1.6000000000000014E-2</c:v>
                </c:pt>
                <c:pt idx="6">
                  <c:v>2.5000000000000355E-2</c:v>
                </c:pt>
                <c:pt idx="7">
                  <c:v>3.0131362889983748E-2</c:v>
                </c:pt>
                <c:pt idx="8">
                  <c:v>-9.8932676518881379E-3</c:v>
                </c:pt>
                <c:pt idx="9">
                  <c:v>1.442307692307665E-2</c:v>
                </c:pt>
                <c:pt idx="10">
                  <c:v>1.5151515151515582E-2</c:v>
                </c:pt>
                <c:pt idx="11">
                  <c:v>5.3571428571430602E-3</c:v>
                </c:pt>
                <c:pt idx="12">
                  <c:v>0</c:v>
                </c:pt>
              </c:numCache>
            </c:numRef>
          </c:val>
          <c:smooth val="0"/>
          <c:extLst>
            <c:ext xmlns:c16="http://schemas.microsoft.com/office/drawing/2014/chart" uri="{C3380CC4-5D6E-409C-BE32-E72D297353CC}">
              <c16:uniqueId val="{00000001-C4D4-49CC-9E69-D0EE2746F5D1}"/>
            </c:ext>
          </c:extLst>
        </c:ser>
        <c:dLbls>
          <c:showLegendKey val="0"/>
          <c:showVal val="0"/>
          <c:showCatName val="0"/>
          <c:showSerName val="0"/>
          <c:showPercent val="0"/>
          <c:showBubbleSize val="0"/>
        </c:dLbls>
        <c:marker val="1"/>
        <c:smooth val="0"/>
        <c:axId val="563478360"/>
        <c:axId val="563472480"/>
      </c:lineChart>
      <c:catAx>
        <c:axId val="563476400"/>
        <c:scaling>
          <c:orientation val="minMax"/>
        </c:scaling>
        <c:delete val="0"/>
        <c:axPos val="b"/>
        <c:numFmt formatCode="General" sourceLinked="0"/>
        <c:majorTickMark val="out"/>
        <c:minorTickMark val="none"/>
        <c:tickLblPos val="nextTo"/>
        <c:txPr>
          <a:bodyPr/>
          <a:lstStyle/>
          <a:p>
            <a:pPr>
              <a:defRPr sz="900">
                <a:latin typeface="Arial Narrow" pitchFamily="34" charset="0"/>
              </a:defRPr>
            </a:pPr>
            <a:endParaRPr lang="en-US"/>
          </a:p>
        </c:txPr>
        <c:crossAx val="563476792"/>
        <c:crosses val="autoZero"/>
        <c:auto val="1"/>
        <c:lblAlgn val="ctr"/>
        <c:lblOffset val="100"/>
        <c:noMultiLvlLbl val="0"/>
      </c:catAx>
      <c:valAx>
        <c:axId val="563476792"/>
        <c:scaling>
          <c:orientation val="minMax"/>
          <c:min val="900"/>
        </c:scaling>
        <c:delete val="0"/>
        <c:axPos val="l"/>
        <c:numFmt formatCode="0.0_);\(0.0\)" sourceLinked="1"/>
        <c:majorTickMark val="out"/>
        <c:minorTickMark val="none"/>
        <c:tickLblPos val="nextTo"/>
        <c:spPr>
          <a:ln>
            <a:noFill/>
          </a:ln>
        </c:spPr>
        <c:txPr>
          <a:bodyPr/>
          <a:lstStyle/>
          <a:p>
            <a:pPr>
              <a:defRPr>
                <a:solidFill>
                  <a:schemeClr val="bg1"/>
                </a:solidFill>
              </a:defRPr>
            </a:pPr>
            <a:endParaRPr lang="en-US"/>
          </a:p>
        </c:txPr>
        <c:crossAx val="563476400"/>
        <c:crosses val="autoZero"/>
        <c:crossBetween val="between"/>
      </c:valAx>
      <c:valAx>
        <c:axId val="563472480"/>
        <c:scaling>
          <c:orientation val="minMax"/>
          <c:max val="4.5000000000000012E-2"/>
          <c:min val="-1.5000000000000003E-2"/>
        </c:scaling>
        <c:delete val="0"/>
        <c:axPos val="r"/>
        <c:numFmt formatCode="0%" sourceLinked="0"/>
        <c:majorTickMark val="out"/>
        <c:minorTickMark val="none"/>
        <c:tickLblPos val="nextTo"/>
        <c:spPr>
          <a:ln>
            <a:noFill/>
          </a:ln>
        </c:spPr>
        <c:txPr>
          <a:bodyPr/>
          <a:lstStyle/>
          <a:p>
            <a:pPr>
              <a:defRPr>
                <a:solidFill>
                  <a:srgbClr val="C00000"/>
                </a:solidFill>
              </a:defRPr>
            </a:pPr>
            <a:endParaRPr lang="en-US"/>
          </a:p>
        </c:txPr>
        <c:crossAx val="563478360"/>
        <c:crosses val="max"/>
        <c:crossBetween val="between"/>
        <c:majorUnit val="2.0000000000000011E-2"/>
        <c:minorUnit val="1.0000000000000005E-2"/>
      </c:valAx>
      <c:catAx>
        <c:axId val="563478360"/>
        <c:scaling>
          <c:orientation val="minMax"/>
        </c:scaling>
        <c:delete val="1"/>
        <c:axPos val="b"/>
        <c:numFmt formatCode="General" sourceLinked="1"/>
        <c:majorTickMark val="out"/>
        <c:minorTickMark val="none"/>
        <c:tickLblPos val="none"/>
        <c:crossAx val="563472480"/>
        <c:crosses val="autoZero"/>
        <c:auto val="1"/>
        <c:lblAlgn val="ctr"/>
        <c:lblOffset val="100"/>
        <c:noMultiLvlLbl val="0"/>
      </c:catAx>
    </c:plotArea>
    <c:plotVisOnly val="1"/>
    <c:dispBlanksAs val="zero"/>
    <c:showDLblsOverMax val="0"/>
  </c:chart>
  <c:spPr>
    <a:ln>
      <a:noFill/>
    </a:ln>
  </c:spPr>
  <c:printSettings>
    <c:headerFooter/>
    <c:pageMargins b="0.75000000000000056" l="0.70000000000000051" r="0.70000000000000051" t="0.75000000000000056" header="0.30000000000000027" footer="0.30000000000000027"/>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190591229418718"/>
          <c:y val="0.1155008076750426"/>
          <c:w val="0.82263608353303663"/>
          <c:h val="0.54592853140758324"/>
        </c:manualLayout>
      </c:layout>
      <c:lineChart>
        <c:grouping val="stacked"/>
        <c:varyColors val="0"/>
        <c:ser>
          <c:idx val="0"/>
          <c:order val="0"/>
          <c:tx>
            <c:strRef>
              <c:f>subindex_charts!$A$80</c:f>
              <c:strCache>
                <c:ptCount val="1"/>
                <c:pt idx="0">
                  <c:v>Effect desired: Data theft</c:v>
                </c:pt>
              </c:strCache>
            </c:strRef>
          </c:tx>
          <c:marker>
            <c:symbol val="none"/>
          </c:marker>
          <c:dLbls>
            <c:spPr>
              <a:noFill/>
              <a:ln>
                <a:noFill/>
              </a:ln>
              <a:effectLst/>
            </c:spPr>
            <c:txPr>
              <a:bodyPr/>
              <a:lstStyle/>
              <a:p>
                <a:pPr>
                  <a:defRPr sz="700">
                    <a:latin typeface="Arial Narrow" pitchFamily="34" charset="0"/>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subindex_charts!$DQ$79:$EC$79</c:f>
              <c:strCache>
                <c:ptCount val="13"/>
                <c:pt idx="0">
                  <c:v>Aug</c:v>
                </c:pt>
                <c:pt idx="1">
                  <c:v>Sep</c:v>
                </c:pt>
                <c:pt idx="2">
                  <c:v>Oct</c:v>
                </c:pt>
                <c:pt idx="3">
                  <c:v>Nov</c:v>
                </c:pt>
                <c:pt idx="4">
                  <c:v>Dec-18</c:v>
                </c:pt>
                <c:pt idx="5">
                  <c:v>Jan-19</c:v>
                </c:pt>
                <c:pt idx="6">
                  <c:v>Feb-19</c:v>
                </c:pt>
                <c:pt idx="7">
                  <c:v>Mar-19</c:v>
                </c:pt>
                <c:pt idx="8">
                  <c:v>Apr-19</c:v>
                </c:pt>
                <c:pt idx="9">
                  <c:v>May-19</c:v>
                </c:pt>
                <c:pt idx="10">
                  <c:v>June-19</c:v>
                </c:pt>
                <c:pt idx="11">
                  <c:v>July-19</c:v>
                </c:pt>
                <c:pt idx="12">
                  <c:v>Aug-19</c:v>
                </c:pt>
              </c:strCache>
            </c:strRef>
          </c:cat>
          <c:val>
            <c:numRef>
              <c:f>subindex_charts!$DQ$80:$EC$80</c:f>
              <c:numCache>
                <c:formatCode>0.0_);\(0.0\)</c:formatCode>
                <c:ptCount val="13"/>
                <c:pt idx="0">
                  <c:v>7888.374852075156</c:v>
                </c:pt>
                <c:pt idx="1">
                  <c:v>8114.4872016375339</c:v>
                </c:pt>
                <c:pt idx="2">
                  <c:v>8171.0339227376517</c:v>
                </c:pt>
                <c:pt idx="3">
                  <c:v>8343.0494024621221</c:v>
                </c:pt>
                <c:pt idx="4">
                  <c:v>8480.1923570005038</c:v>
                </c:pt>
                <c:pt idx="5">
                  <c:v>8747.1954864153031</c:v>
                </c:pt>
                <c:pt idx="6">
                  <c:v>8968.6317944046459</c:v>
                </c:pt>
                <c:pt idx="7">
                  <c:v>9007.3731243342427</c:v>
                </c:pt>
                <c:pt idx="8">
                  <c:v>9395.7824300227931</c:v>
                </c:pt>
                <c:pt idx="9">
                  <c:v>9605.8884971349562</c:v>
                </c:pt>
                <c:pt idx="10">
                  <c:v>9804.3958477944943</c:v>
                </c:pt>
                <c:pt idx="11">
                  <c:v>10115.620780473546</c:v>
                </c:pt>
                <c:pt idx="12">
                  <c:v>10115.620780473546</c:v>
                </c:pt>
              </c:numCache>
            </c:numRef>
          </c:val>
          <c:smooth val="0"/>
          <c:extLst>
            <c:ext xmlns:c16="http://schemas.microsoft.com/office/drawing/2014/chart" uri="{C3380CC4-5D6E-409C-BE32-E72D297353CC}">
              <c16:uniqueId val="{00000000-7ECB-47ED-AB1D-1F71C9E51253}"/>
            </c:ext>
          </c:extLst>
        </c:ser>
        <c:dLbls>
          <c:showLegendKey val="0"/>
          <c:showVal val="0"/>
          <c:showCatName val="0"/>
          <c:showSerName val="0"/>
          <c:showPercent val="0"/>
          <c:showBubbleSize val="0"/>
        </c:dLbls>
        <c:marker val="1"/>
        <c:smooth val="0"/>
        <c:axId val="563473264"/>
        <c:axId val="563477968"/>
      </c:lineChart>
      <c:lineChart>
        <c:grouping val="stacked"/>
        <c:varyColors val="0"/>
        <c:ser>
          <c:idx val="1"/>
          <c:order val="1"/>
          <c:tx>
            <c:strRef>
              <c:f>subindex_charts!$A$81</c:f>
              <c:strCache>
                <c:ptCount val="1"/>
                <c:pt idx="0">
                  <c:v>Rate of change</c:v>
                </c:pt>
              </c:strCache>
            </c:strRef>
          </c:tx>
          <c:marker>
            <c:symbol val="none"/>
          </c:marker>
          <c:cat>
            <c:strRef>
              <c:f>subindex_charts!$DQ$79:$EC$79</c:f>
              <c:strCache>
                <c:ptCount val="13"/>
                <c:pt idx="0">
                  <c:v>Aug</c:v>
                </c:pt>
                <c:pt idx="1">
                  <c:v>Sep</c:v>
                </c:pt>
                <c:pt idx="2">
                  <c:v>Oct</c:v>
                </c:pt>
                <c:pt idx="3">
                  <c:v>Nov</c:v>
                </c:pt>
                <c:pt idx="4">
                  <c:v>Dec-18</c:v>
                </c:pt>
                <c:pt idx="5">
                  <c:v>Jan-19</c:v>
                </c:pt>
                <c:pt idx="6">
                  <c:v>Feb-19</c:v>
                </c:pt>
                <c:pt idx="7">
                  <c:v>Mar-19</c:v>
                </c:pt>
                <c:pt idx="8">
                  <c:v>Apr-19</c:v>
                </c:pt>
                <c:pt idx="9">
                  <c:v>May-19</c:v>
                </c:pt>
                <c:pt idx="10">
                  <c:v>June-19</c:v>
                </c:pt>
                <c:pt idx="11">
                  <c:v>July-19</c:v>
                </c:pt>
                <c:pt idx="12">
                  <c:v>Aug-19</c:v>
                </c:pt>
              </c:strCache>
            </c:strRef>
          </c:cat>
          <c:val>
            <c:numRef>
              <c:f>subindex_charts!$DQ$81:$EC$81</c:f>
              <c:numCache>
                <c:formatCode>0.0%</c:formatCode>
                <c:ptCount val="13"/>
                <c:pt idx="0">
                  <c:v>3.6538461538460965E-2</c:v>
                </c:pt>
                <c:pt idx="1">
                  <c:v>2.8260869565217561E-2</c:v>
                </c:pt>
                <c:pt idx="2">
                  <c:v>6.9444444444446418E-3</c:v>
                </c:pt>
                <c:pt idx="3">
                  <c:v>2.0833333333332149E-2</c:v>
                </c:pt>
                <c:pt idx="4">
                  <c:v>1.6304347826087806E-2</c:v>
                </c:pt>
                <c:pt idx="5">
                  <c:v>3.0999999999998806E-2</c:v>
                </c:pt>
                <c:pt idx="6">
                  <c:v>2.5000000000000355E-2</c:v>
                </c:pt>
                <c:pt idx="7">
                  <c:v>4.310344827587187E-3</c:v>
                </c:pt>
                <c:pt idx="8">
                  <c:v>4.2217432950192091E-2</c:v>
                </c:pt>
                <c:pt idx="9">
                  <c:v>2.2115384615384315E-2</c:v>
                </c:pt>
                <c:pt idx="10">
                  <c:v>2.0454545454544615E-2</c:v>
                </c:pt>
                <c:pt idx="11">
                  <c:v>3.125E-2</c:v>
                </c:pt>
                <c:pt idx="12">
                  <c:v>0</c:v>
                </c:pt>
              </c:numCache>
            </c:numRef>
          </c:val>
          <c:smooth val="0"/>
          <c:extLst>
            <c:ext xmlns:c16="http://schemas.microsoft.com/office/drawing/2014/chart" uri="{C3380CC4-5D6E-409C-BE32-E72D297353CC}">
              <c16:uniqueId val="{00000001-7ECB-47ED-AB1D-1F71C9E51253}"/>
            </c:ext>
          </c:extLst>
        </c:ser>
        <c:dLbls>
          <c:showLegendKey val="0"/>
          <c:showVal val="0"/>
          <c:showCatName val="0"/>
          <c:showSerName val="0"/>
          <c:showPercent val="0"/>
          <c:showBubbleSize val="0"/>
        </c:dLbls>
        <c:marker val="1"/>
        <c:smooth val="0"/>
        <c:axId val="563477576"/>
        <c:axId val="563477184"/>
      </c:lineChart>
      <c:catAx>
        <c:axId val="563473264"/>
        <c:scaling>
          <c:orientation val="minMax"/>
        </c:scaling>
        <c:delete val="0"/>
        <c:axPos val="b"/>
        <c:numFmt formatCode="General" sourceLinked="0"/>
        <c:majorTickMark val="out"/>
        <c:minorTickMark val="none"/>
        <c:tickLblPos val="nextTo"/>
        <c:txPr>
          <a:bodyPr/>
          <a:lstStyle/>
          <a:p>
            <a:pPr>
              <a:defRPr sz="900">
                <a:latin typeface="Arial Narrow" pitchFamily="34" charset="0"/>
              </a:defRPr>
            </a:pPr>
            <a:endParaRPr lang="en-US"/>
          </a:p>
        </c:txPr>
        <c:crossAx val="563477968"/>
        <c:crosses val="autoZero"/>
        <c:auto val="1"/>
        <c:lblAlgn val="ctr"/>
        <c:lblOffset val="100"/>
        <c:noMultiLvlLbl val="0"/>
      </c:catAx>
      <c:valAx>
        <c:axId val="563477968"/>
        <c:scaling>
          <c:orientation val="minMax"/>
          <c:min val="900"/>
        </c:scaling>
        <c:delete val="0"/>
        <c:axPos val="l"/>
        <c:numFmt formatCode="0.0_);\(0.0\)" sourceLinked="1"/>
        <c:majorTickMark val="out"/>
        <c:minorTickMark val="none"/>
        <c:tickLblPos val="nextTo"/>
        <c:spPr>
          <a:ln>
            <a:noFill/>
          </a:ln>
        </c:spPr>
        <c:txPr>
          <a:bodyPr/>
          <a:lstStyle/>
          <a:p>
            <a:pPr>
              <a:defRPr>
                <a:solidFill>
                  <a:schemeClr val="bg1"/>
                </a:solidFill>
              </a:defRPr>
            </a:pPr>
            <a:endParaRPr lang="en-US"/>
          </a:p>
        </c:txPr>
        <c:crossAx val="563473264"/>
        <c:crosses val="autoZero"/>
        <c:crossBetween val="between"/>
      </c:valAx>
      <c:valAx>
        <c:axId val="563477184"/>
        <c:scaling>
          <c:orientation val="minMax"/>
          <c:max val="6.0000000000000032E-2"/>
          <c:min val="0"/>
        </c:scaling>
        <c:delete val="0"/>
        <c:axPos val="r"/>
        <c:numFmt formatCode="0%" sourceLinked="0"/>
        <c:majorTickMark val="out"/>
        <c:minorTickMark val="none"/>
        <c:tickLblPos val="nextTo"/>
        <c:spPr>
          <a:ln>
            <a:noFill/>
          </a:ln>
        </c:spPr>
        <c:txPr>
          <a:bodyPr/>
          <a:lstStyle/>
          <a:p>
            <a:pPr>
              <a:defRPr>
                <a:solidFill>
                  <a:srgbClr val="C00000"/>
                </a:solidFill>
              </a:defRPr>
            </a:pPr>
            <a:endParaRPr lang="en-US"/>
          </a:p>
        </c:txPr>
        <c:crossAx val="563477576"/>
        <c:crosses val="max"/>
        <c:crossBetween val="between"/>
        <c:majorUnit val="2.0000000000000011E-2"/>
      </c:valAx>
      <c:catAx>
        <c:axId val="563477576"/>
        <c:scaling>
          <c:orientation val="minMax"/>
        </c:scaling>
        <c:delete val="1"/>
        <c:axPos val="b"/>
        <c:numFmt formatCode="General" sourceLinked="1"/>
        <c:majorTickMark val="out"/>
        <c:minorTickMark val="none"/>
        <c:tickLblPos val="none"/>
        <c:crossAx val="563477184"/>
        <c:crosses val="autoZero"/>
        <c:auto val="1"/>
        <c:lblAlgn val="ctr"/>
        <c:lblOffset val="100"/>
        <c:noMultiLvlLbl val="0"/>
      </c:catAx>
    </c:plotArea>
    <c:plotVisOnly val="1"/>
    <c:dispBlanksAs val="zero"/>
    <c:showDLblsOverMax val="0"/>
  </c:chart>
  <c:spPr>
    <a:ln>
      <a:noFill/>
    </a:ln>
  </c:spPr>
  <c:printSettings>
    <c:headerFooter/>
    <c:pageMargins b="0.75000000000000056" l="0.70000000000000051" r="0.70000000000000051" t="0.75000000000000056" header="0.30000000000000027" footer="0.30000000000000027"/>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190591229418718"/>
          <c:y val="0.1155008076750426"/>
          <c:w val="0.82263608353303663"/>
          <c:h val="0.54592853140758324"/>
        </c:manualLayout>
      </c:layout>
      <c:lineChart>
        <c:grouping val="stacked"/>
        <c:varyColors val="0"/>
        <c:ser>
          <c:idx val="0"/>
          <c:order val="0"/>
          <c:tx>
            <c:strRef>
              <c:f>subindex_charts!$A$85</c:f>
              <c:strCache>
                <c:ptCount val="1"/>
                <c:pt idx="0">
                  <c:v>Effect desired: Data modification</c:v>
                </c:pt>
              </c:strCache>
            </c:strRef>
          </c:tx>
          <c:marker>
            <c:symbol val="none"/>
          </c:marker>
          <c:dLbls>
            <c:spPr>
              <a:noFill/>
              <a:ln>
                <a:noFill/>
              </a:ln>
              <a:effectLst/>
            </c:spPr>
            <c:txPr>
              <a:bodyPr/>
              <a:lstStyle/>
              <a:p>
                <a:pPr>
                  <a:defRPr sz="700">
                    <a:latin typeface="Arial Narrow" pitchFamily="34" charset="0"/>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subindex_charts!$DQ$84:$EC$84</c:f>
              <c:strCache>
                <c:ptCount val="13"/>
                <c:pt idx="0">
                  <c:v>Aug</c:v>
                </c:pt>
                <c:pt idx="1">
                  <c:v>Sep</c:v>
                </c:pt>
                <c:pt idx="2">
                  <c:v>Oct</c:v>
                </c:pt>
                <c:pt idx="3">
                  <c:v>Nov</c:v>
                </c:pt>
                <c:pt idx="4">
                  <c:v>Dec-18</c:v>
                </c:pt>
                <c:pt idx="5">
                  <c:v>Jan-19</c:v>
                </c:pt>
                <c:pt idx="6">
                  <c:v>Feb-19</c:v>
                </c:pt>
                <c:pt idx="7">
                  <c:v>Mar-19</c:v>
                </c:pt>
                <c:pt idx="8">
                  <c:v>Apr-19</c:v>
                </c:pt>
                <c:pt idx="9">
                  <c:v>May-19</c:v>
                </c:pt>
                <c:pt idx="10">
                  <c:v>June-19</c:v>
                </c:pt>
                <c:pt idx="11">
                  <c:v>July-19</c:v>
                </c:pt>
                <c:pt idx="12">
                  <c:v>Aug-19</c:v>
                </c:pt>
              </c:strCache>
            </c:strRef>
          </c:cat>
          <c:val>
            <c:numRef>
              <c:f>subindex_charts!$DQ$85:$EC$85</c:f>
              <c:numCache>
                <c:formatCode>0.0_);\(0.0\)</c:formatCode>
                <c:ptCount val="13"/>
                <c:pt idx="0">
                  <c:v>1242.4499234185728</c:v>
                </c:pt>
                <c:pt idx="1">
                  <c:v>1257.3944672825726</c:v>
                </c:pt>
                <c:pt idx="2">
                  <c:v>1252.1662234076427</c:v>
                </c:pt>
                <c:pt idx="3">
                  <c:v>1241.7748623520988</c:v>
                </c:pt>
                <c:pt idx="4">
                  <c:v>1237.7321913901876</c:v>
                </c:pt>
                <c:pt idx="5">
                  <c:v>1237.7321913901876</c:v>
                </c:pt>
                <c:pt idx="6">
                  <c:v>1258.5339275284018</c:v>
                </c:pt>
                <c:pt idx="7">
                  <c:v>1217.1743413939673</c:v>
                </c:pt>
                <c:pt idx="8">
                  <c:v>1260.0330743762916</c:v>
                </c:pt>
                <c:pt idx="9">
                  <c:v>1267.32350582873</c:v>
                </c:pt>
                <c:pt idx="10">
                  <c:v>1273.0971792630442</c:v>
                </c:pt>
                <c:pt idx="11">
                  <c:v>1273.0971792630442</c:v>
                </c:pt>
                <c:pt idx="12">
                  <c:v>1273.0971792630442</c:v>
                </c:pt>
              </c:numCache>
            </c:numRef>
          </c:val>
          <c:smooth val="0"/>
          <c:extLst>
            <c:ext xmlns:c16="http://schemas.microsoft.com/office/drawing/2014/chart" uri="{C3380CC4-5D6E-409C-BE32-E72D297353CC}">
              <c16:uniqueId val="{00000000-0FBC-40C1-83B3-53D2FD48A726}"/>
            </c:ext>
          </c:extLst>
        </c:ser>
        <c:dLbls>
          <c:showLegendKey val="0"/>
          <c:showVal val="0"/>
          <c:showCatName val="0"/>
          <c:showSerName val="0"/>
          <c:showPercent val="0"/>
          <c:showBubbleSize val="0"/>
        </c:dLbls>
        <c:marker val="1"/>
        <c:smooth val="0"/>
        <c:axId val="563473656"/>
        <c:axId val="563474048"/>
      </c:lineChart>
      <c:lineChart>
        <c:grouping val="stacked"/>
        <c:varyColors val="0"/>
        <c:ser>
          <c:idx val="1"/>
          <c:order val="1"/>
          <c:tx>
            <c:strRef>
              <c:f>subindex_charts!$A$86</c:f>
              <c:strCache>
                <c:ptCount val="1"/>
                <c:pt idx="0">
                  <c:v>Rate of change</c:v>
                </c:pt>
              </c:strCache>
            </c:strRef>
          </c:tx>
          <c:marker>
            <c:symbol val="none"/>
          </c:marker>
          <c:cat>
            <c:strRef>
              <c:f>subindex_charts!$DQ$84:$EC$84</c:f>
              <c:strCache>
                <c:ptCount val="13"/>
                <c:pt idx="0">
                  <c:v>Aug</c:v>
                </c:pt>
                <c:pt idx="1">
                  <c:v>Sep</c:v>
                </c:pt>
                <c:pt idx="2">
                  <c:v>Oct</c:v>
                </c:pt>
                <c:pt idx="3">
                  <c:v>Nov</c:v>
                </c:pt>
                <c:pt idx="4">
                  <c:v>Dec-18</c:v>
                </c:pt>
                <c:pt idx="5">
                  <c:v>Jan-19</c:v>
                </c:pt>
                <c:pt idx="6">
                  <c:v>Feb-19</c:v>
                </c:pt>
                <c:pt idx="7">
                  <c:v>Mar-19</c:v>
                </c:pt>
                <c:pt idx="8">
                  <c:v>Apr-19</c:v>
                </c:pt>
                <c:pt idx="9">
                  <c:v>May-19</c:v>
                </c:pt>
                <c:pt idx="10">
                  <c:v>June-19</c:v>
                </c:pt>
                <c:pt idx="11">
                  <c:v>July-19</c:v>
                </c:pt>
                <c:pt idx="12">
                  <c:v>Aug-19</c:v>
                </c:pt>
              </c:strCache>
            </c:strRef>
          </c:cat>
          <c:val>
            <c:numRef>
              <c:f>subindex_charts!$DQ$86:$EC$86</c:f>
              <c:numCache>
                <c:formatCode>0.0%</c:formatCode>
                <c:ptCount val="13"/>
                <c:pt idx="0">
                  <c:v>2.8846153846151523E-3</c:v>
                </c:pt>
                <c:pt idx="1">
                  <c:v>1.1956521739130643E-2</c:v>
                </c:pt>
                <c:pt idx="2">
                  <c:v>-4.166666666667318E-3</c:v>
                </c:pt>
                <c:pt idx="3">
                  <c:v>-8.3333333333328596E-3</c:v>
                </c:pt>
                <c:pt idx="4">
                  <c:v>-3.2608695652172059E-3</c:v>
                </c:pt>
                <c:pt idx="5">
                  <c:v>0</c:v>
                </c:pt>
                <c:pt idx="6">
                  <c:v>1.6666666666666607E-2</c:v>
                </c:pt>
                <c:pt idx="7">
                  <c:v>-3.3415435139573013E-2</c:v>
                </c:pt>
                <c:pt idx="8">
                  <c:v>3.4605911330048755E-2</c:v>
                </c:pt>
                <c:pt idx="9">
                  <c:v>5.7692307692311928E-3</c:v>
                </c:pt>
                <c:pt idx="10">
                  <c:v>4.5454545454539641E-3</c:v>
                </c:pt>
                <c:pt idx="11">
                  <c:v>0</c:v>
                </c:pt>
                <c:pt idx="12">
                  <c:v>0</c:v>
                </c:pt>
              </c:numCache>
            </c:numRef>
          </c:val>
          <c:smooth val="0"/>
          <c:extLst>
            <c:ext xmlns:c16="http://schemas.microsoft.com/office/drawing/2014/chart" uri="{C3380CC4-5D6E-409C-BE32-E72D297353CC}">
              <c16:uniqueId val="{00000001-0FBC-40C1-83B3-53D2FD48A726}"/>
            </c:ext>
          </c:extLst>
        </c:ser>
        <c:dLbls>
          <c:showLegendKey val="0"/>
          <c:showVal val="0"/>
          <c:showCatName val="0"/>
          <c:showSerName val="0"/>
          <c:showPercent val="0"/>
          <c:showBubbleSize val="0"/>
        </c:dLbls>
        <c:marker val="1"/>
        <c:smooth val="0"/>
        <c:axId val="563476008"/>
        <c:axId val="563474440"/>
      </c:lineChart>
      <c:catAx>
        <c:axId val="563473656"/>
        <c:scaling>
          <c:orientation val="minMax"/>
        </c:scaling>
        <c:delete val="0"/>
        <c:axPos val="b"/>
        <c:numFmt formatCode="General" sourceLinked="0"/>
        <c:majorTickMark val="out"/>
        <c:minorTickMark val="none"/>
        <c:tickLblPos val="nextTo"/>
        <c:txPr>
          <a:bodyPr/>
          <a:lstStyle/>
          <a:p>
            <a:pPr>
              <a:defRPr sz="900">
                <a:latin typeface="Arial Narrow" pitchFamily="34" charset="0"/>
              </a:defRPr>
            </a:pPr>
            <a:endParaRPr lang="en-US"/>
          </a:p>
        </c:txPr>
        <c:crossAx val="563474048"/>
        <c:crosses val="autoZero"/>
        <c:auto val="1"/>
        <c:lblAlgn val="ctr"/>
        <c:lblOffset val="100"/>
        <c:noMultiLvlLbl val="0"/>
      </c:catAx>
      <c:valAx>
        <c:axId val="563474048"/>
        <c:scaling>
          <c:orientation val="minMax"/>
          <c:min val="900"/>
        </c:scaling>
        <c:delete val="0"/>
        <c:axPos val="l"/>
        <c:numFmt formatCode="0.0_);\(0.0\)" sourceLinked="1"/>
        <c:majorTickMark val="out"/>
        <c:minorTickMark val="none"/>
        <c:tickLblPos val="nextTo"/>
        <c:spPr>
          <a:ln>
            <a:noFill/>
          </a:ln>
        </c:spPr>
        <c:txPr>
          <a:bodyPr/>
          <a:lstStyle/>
          <a:p>
            <a:pPr>
              <a:defRPr>
                <a:solidFill>
                  <a:schemeClr val="bg1"/>
                </a:solidFill>
              </a:defRPr>
            </a:pPr>
            <a:endParaRPr lang="en-US"/>
          </a:p>
        </c:txPr>
        <c:crossAx val="563473656"/>
        <c:crosses val="autoZero"/>
        <c:crossBetween val="between"/>
      </c:valAx>
      <c:valAx>
        <c:axId val="563474440"/>
        <c:scaling>
          <c:orientation val="minMax"/>
          <c:max val="4.0000000000000008E-2"/>
          <c:min val="-2.0000000000000004E-2"/>
        </c:scaling>
        <c:delete val="0"/>
        <c:axPos val="r"/>
        <c:numFmt formatCode="0%" sourceLinked="0"/>
        <c:majorTickMark val="out"/>
        <c:minorTickMark val="none"/>
        <c:tickLblPos val="nextTo"/>
        <c:spPr>
          <a:ln>
            <a:noFill/>
          </a:ln>
        </c:spPr>
        <c:txPr>
          <a:bodyPr/>
          <a:lstStyle/>
          <a:p>
            <a:pPr>
              <a:defRPr>
                <a:solidFill>
                  <a:srgbClr val="C00000"/>
                </a:solidFill>
              </a:defRPr>
            </a:pPr>
            <a:endParaRPr lang="en-US"/>
          </a:p>
        </c:txPr>
        <c:crossAx val="563476008"/>
        <c:crosses val="max"/>
        <c:crossBetween val="between"/>
        <c:majorUnit val="2.0000000000000011E-2"/>
        <c:minorUnit val="1.0000000000000005E-2"/>
      </c:valAx>
      <c:catAx>
        <c:axId val="563476008"/>
        <c:scaling>
          <c:orientation val="minMax"/>
        </c:scaling>
        <c:delete val="1"/>
        <c:axPos val="b"/>
        <c:numFmt formatCode="General" sourceLinked="1"/>
        <c:majorTickMark val="out"/>
        <c:minorTickMark val="none"/>
        <c:tickLblPos val="none"/>
        <c:crossAx val="563474440"/>
        <c:crosses val="autoZero"/>
        <c:auto val="1"/>
        <c:lblAlgn val="ctr"/>
        <c:lblOffset val="100"/>
        <c:noMultiLvlLbl val="0"/>
      </c:catAx>
    </c:plotArea>
    <c:plotVisOnly val="1"/>
    <c:dispBlanksAs val="zero"/>
    <c:showDLblsOverMax val="0"/>
  </c:chart>
  <c:spPr>
    <a:ln>
      <a:noFill/>
    </a:ln>
  </c:spPr>
  <c:printSettings>
    <c:headerFooter/>
    <c:pageMargins b="0.75000000000000056" l="0.70000000000000051" r="0.70000000000000051" t="0.75000000000000056" header="0.30000000000000027" footer="0.30000000000000027"/>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190591229418718"/>
          <c:y val="0.1155008076750426"/>
          <c:w val="0.82263608353303663"/>
          <c:h val="0.54592853140758324"/>
        </c:manualLayout>
      </c:layout>
      <c:lineChart>
        <c:grouping val="stacked"/>
        <c:varyColors val="0"/>
        <c:ser>
          <c:idx val="0"/>
          <c:order val="0"/>
          <c:tx>
            <c:strRef>
              <c:f>subindex_charts!$A$90</c:f>
              <c:strCache>
                <c:ptCount val="1"/>
                <c:pt idx="0">
                  <c:v>Effect desired: Business disruption</c:v>
                </c:pt>
              </c:strCache>
            </c:strRef>
          </c:tx>
          <c:marker>
            <c:symbol val="none"/>
          </c:marker>
          <c:dLbls>
            <c:spPr>
              <a:noFill/>
              <a:ln>
                <a:noFill/>
              </a:ln>
              <a:effectLst/>
            </c:spPr>
            <c:txPr>
              <a:bodyPr/>
              <a:lstStyle/>
              <a:p>
                <a:pPr>
                  <a:defRPr sz="700">
                    <a:latin typeface="Arial Narrow" pitchFamily="34" charset="0"/>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subindex_charts!$DQ$89:$EC$89</c:f>
              <c:strCache>
                <c:ptCount val="13"/>
                <c:pt idx="0">
                  <c:v>Aug</c:v>
                </c:pt>
                <c:pt idx="1">
                  <c:v>Sep</c:v>
                </c:pt>
                <c:pt idx="2">
                  <c:v>Oct</c:v>
                </c:pt>
                <c:pt idx="3">
                  <c:v>Nov</c:v>
                </c:pt>
                <c:pt idx="4">
                  <c:v>Dec-18</c:v>
                </c:pt>
                <c:pt idx="5">
                  <c:v>Jan-19</c:v>
                </c:pt>
                <c:pt idx="6">
                  <c:v>Feb-19</c:v>
                </c:pt>
                <c:pt idx="7">
                  <c:v>Mar-19</c:v>
                </c:pt>
                <c:pt idx="8">
                  <c:v>Apr-19</c:v>
                </c:pt>
                <c:pt idx="9">
                  <c:v>May-19</c:v>
                </c:pt>
                <c:pt idx="10">
                  <c:v>June-19</c:v>
                </c:pt>
                <c:pt idx="11">
                  <c:v>July-19</c:v>
                </c:pt>
                <c:pt idx="12">
                  <c:v>Aug-19</c:v>
                </c:pt>
              </c:strCache>
            </c:strRef>
          </c:cat>
          <c:val>
            <c:numRef>
              <c:f>subindex_charts!$DQ$90:$EC$90</c:f>
              <c:numCache>
                <c:formatCode>0.0_);\(0.0\)</c:formatCode>
                <c:ptCount val="13"/>
                <c:pt idx="0">
                  <c:v>2829.1410501668006</c:v>
                </c:pt>
                <c:pt idx="1">
                  <c:v>2850.7492241388854</c:v>
                </c:pt>
                <c:pt idx="2">
                  <c:v>2838.8958141248618</c:v>
                </c:pt>
                <c:pt idx="3">
                  <c:v>2815.3366485347196</c:v>
                </c:pt>
                <c:pt idx="4">
                  <c:v>2843.0131387323504</c:v>
                </c:pt>
                <c:pt idx="5">
                  <c:v>2834.496880091308</c:v>
                </c:pt>
                <c:pt idx="6">
                  <c:v>2882.1343711369482</c:v>
                </c:pt>
                <c:pt idx="7">
                  <c:v>2774.9733323204937</c:v>
                </c:pt>
                <c:pt idx="8">
                  <c:v>2854.2493919327621</c:v>
                </c:pt>
                <c:pt idx="9">
                  <c:v>2835.1026065298815</c:v>
                </c:pt>
                <c:pt idx="10">
                  <c:v>2874.0278931210037</c:v>
                </c:pt>
                <c:pt idx="11">
                  <c:v>2868.9002800432459</c:v>
                </c:pt>
                <c:pt idx="12">
                  <c:v>2868.9002800432459</c:v>
                </c:pt>
              </c:numCache>
            </c:numRef>
          </c:val>
          <c:smooth val="0"/>
          <c:extLst>
            <c:ext xmlns:c16="http://schemas.microsoft.com/office/drawing/2014/chart" uri="{C3380CC4-5D6E-409C-BE32-E72D297353CC}">
              <c16:uniqueId val="{00000000-1A3B-4225-9586-702442A176F6}"/>
            </c:ext>
          </c:extLst>
        </c:ser>
        <c:dLbls>
          <c:showLegendKey val="0"/>
          <c:showVal val="0"/>
          <c:showCatName val="0"/>
          <c:showSerName val="0"/>
          <c:showPercent val="0"/>
          <c:showBubbleSize val="0"/>
        </c:dLbls>
        <c:marker val="1"/>
        <c:smooth val="0"/>
        <c:axId val="563474832"/>
        <c:axId val="563475224"/>
      </c:lineChart>
      <c:lineChart>
        <c:grouping val="stacked"/>
        <c:varyColors val="0"/>
        <c:ser>
          <c:idx val="1"/>
          <c:order val="1"/>
          <c:tx>
            <c:strRef>
              <c:f>subindex_charts!$A$91</c:f>
              <c:strCache>
                <c:ptCount val="1"/>
                <c:pt idx="0">
                  <c:v>Rate of change</c:v>
                </c:pt>
              </c:strCache>
            </c:strRef>
          </c:tx>
          <c:marker>
            <c:symbol val="none"/>
          </c:marker>
          <c:cat>
            <c:strRef>
              <c:f>subindex_charts!$DQ$89:$EC$89</c:f>
              <c:strCache>
                <c:ptCount val="13"/>
                <c:pt idx="0">
                  <c:v>Aug</c:v>
                </c:pt>
                <c:pt idx="1">
                  <c:v>Sep</c:v>
                </c:pt>
                <c:pt idx="2">
                  <c:v>Oct</c:v>
                </c:pt>
                <c:pt idx="3">
                  <c:v>Nov</c:v>
                </c:pt>
                <c:pt idx="4">
                  <c:v>Dec-18</c:v>
                </c:pt>
                <c:pt idx="5">
                  <c:v>Jan-19</c:v>
                </c:pt>
                <c:pt idx="6">
                  <c:v>Feb-19</c:v>
                </c:pt>
                <c:pt idx="7">
                  <c:v>Mar-19</c:v>
                </c:pt>
                <c:pt idx="8">
                  <c:v>Apr-19</c:v>
                </c:pt>
                <c:pt idx="9">
                  <c:v>May-19</c:v>
                </c:pt>
                <c:pt idx="10">
                  <c:v>June-19</c:v>
                </c:pt>
                <c:pt idx="11">
                  <c:v>July-19</c:v>
                </c:pt>
                <c:pt idx="12">
                  <c:v>Aug-19</c:v>
                </c:pt>
              </c:strCache>
            </c:strRef>
          </c:cat>
          <c:val>
            <c:numRef>
              <c:f>subindex_charts!$DQ$91:$EC$91</c:f>
              <c:numCache>
                <c:formatCode>0.0%</c:formatCode>
                <c:ptCount val="13"/>
                <c:pt idx="0">
                  <c:v>-4.8076923076925127E-3</c:v>
                </c:pt>
                <c:pt idx="1">
                  <c:v>7.6086956521743687E-3</c:v>
                </c:pt>
                <c:pt idx="2">
                  <c:v>-4.1666666666664298E-3</c:v>
                </c:pt>
                <c:pt idx="3">
                  <c:v>-8.3333333333337478E-3</c:v>
                </c:pt>
                <c:pt idx="4">
                  <c:v>9.782608695652506E-3</c:v>
                </c:pt>
                <c:pt idx="5">
                  <c:v>-3.0000000000001137E-3</c:v>
                </c:pt>
                <c:pt idx="6">
                  <c:v>1.6666666666666607E-2</c:v>
                </c:pt>
                <c:pt idx="7">
                  <c:v>-3.7889983579638908E-2</c:v>
                </c:pt>
                <c:pt idx="8">
                  <c:v>2.8167761357416055E-2</c:v>
                </c:pt>
                <c:pt idx="9">
                  <c:v>-6.7307692307689848E-3</c:v>
                </c:pt>
                <c:pt idx="10">
                  <c:v>1.3636363636363669E-2</c:v>
                </c:pt>
                <c:pt idx="11">
                  <c:v>-1.7857142857140573E-3</c:v>
                </c:pt>
                <c:pt idx="12">
                  <c:v>0</c:v>
                </c:pt>
              </c:numCache>
            </c:numRef>
          </c:val>
          <c:smooth val="0"/>
          <c:extLst>
            <c:ext xmlns:c16="http://schemas.microsoft.com/office/drawing/2014/chart" uri="{C3380CC4-5D6E-409C-BE32-E72D297353CC}">
              <c16:uniqueId val="{00000001-1A3B-4225-9586-702442A176F6}"/>
            </c:ext>
          </c:extLst>
        </c:ser>
        <c:dLbls>
          <c:showLegendKey val="0"/>
          <c:showVal val="0"/>
          <c:showCatName val="0"/>
          <c:showSerName val="0"/>
          <c:showPercent val="0"/>
          <c:showBubbleSize val="0"/>
        </c:dLbls>
        <c:marker val="1"/>
        <c:smooth val="0"/>
        <c:axId val="563563808"/>
        <c:axId val="563563024"/>
      </c:lineChart>
      <c:catAx>
        <c:axId val="563474832"/>
        <c:scaling>
          <c:orientation val="minMax"/>
        </c:scaling>
        <c:delete val="0"/>
        <c:axPos val="b"/>
        <c:numFmt formatCode="General" sourceLinked="0"/>
        <c:majorTickMark val="out"/>
        <c:minorTickMark val="none"/>
        <c:tickLblPos val="nextTo"/>
        <c:txPr>
          <a:bodyPr/>
          <a:lstStyle/>
          <a:p>
            <a:pPr>
              <a:defRPr sz="900">
                <a:latin typeface="Arial Narrow" pitchFamily="34" charset="0"/>
              </a:defRPr>
            </a:pPr>
            <a:endParaRPr lang="en-US"/>
          </a:p>
        </c:txPr>
        <c:crossAx val="563475224"/>
        <c:crosses val="autoZero"/>
        <c:auto val="1"/>
        <c:lblAlgn val="ctr"/>
        <c:lblOffset val="100"/>
        <c:noMultiLvlLbl val="0"/>
      </c:catAx>
      <c:valAx>
        <c:axId val="563475224"/>
        <c:scaling>
          <c:orientation val="minMax"/>
          <c:min val="1400"/>
        </c:scaling>
        <c:delete val="0"/>
        <c:axPos val="l"/>
        <c:numFmt formatCode="0.0_);\(0.0\)" sourceLinked="1"/>
        <c:majorTickMark val="out"/>
        <c:minorTickMark val="none"/>
        <c:tickLblPos val="nextTo"/>
        <c:spPr>
          <a:ln>
            <a:noFill/>
          </a:ln>
        </c:spPr>
        <c:txPr>
          <a:bodyPr/>
          <a:lstStyle/>
          <a:p>
            <a:pPr>
              <a:defRPr>
                <a:solidFill>
                  <a:schemeClr val="bg1"/>
                </a:solidFill>
              </a:defRPr>
            </a:pPr>
            <a:endParaRPr lang="en-US"/>
          </a:p>
        </c:txPr>
        <c:crossAx val="563474832"/>
        <c:crosses val="autoZero"/>
        <c:crossBetween val="between"/>
      </c:valAx>
      <c:valAx>
        <c:axId val="563563024"/>
        <c:scaling>
          <c:orientation val="minMax"/>
          <c:max val="5.000000000000001E-2"/>
          <c:min val="-1.0000000000000002E-2"/>
        </c:scaling>
        <c:delete val="0"/>
        <c:axPos val="r"/>
        <c:numFmt formatCode="0%" sourceLinked="0"/>
        <c:majorTickMark val="out"/>
        <c:minorTickMark val="none"/>
        <c:tickLblPos val="nextTo"/>
        <c:spPr>
          <a:ln>
            <a:noFill/>
          </a:ln>
        </c:spPr>
        <c:txPr>
          <a:bodyPr/>
          <a:lstStyle/>
          <a:p>
            <a:pPr>
              <a:defRPr>
                <a:solidFill>
                  <a:srgbClr val="C00000"/>
                </a:solidFill>
              </a:defRPr>
            </a:pPr>
            <a:endParaRPr lang="en-US"/>
          </a:p>
        </c:txPr>
        <c:crossAx val="563563808"/>
        <c:crosses val="max"/>
        <c:crossBetween val="between"/>
        <c:majorUnit val="2.0000000000000011E-2"/>
      </c:valAx>
      <c:catAx>
        <c:axId val="563563808"/>
        <c:scaling>
          <c:orientation val="minMax"/>
        </c:scaling>
        <c:delete val="1"/>
        <c:axPos val="b"/>
        <c:numFmt formatCode="General" sourceLinked="1"/>
        <c:majorTickMark val="out"/>
        <c:minorTickMark val="none"/>
        <c:tickLblPos val="none"/>
        <c:crossAx val="563563024"/>
        <c:crosses val="autoZero"/>
        <c:auto val="1"/>
        <c:lblAlgn val="ctr"/>
        <c:lblOffset val="100"/>
        <c:noMultiLvlLbl val="0"/>
      </c:catAx>
    </c:plotArea>
    <c:plotVisOnly val="1"/>
    <c:dispBlanksAs val="zero"/>
    <c:showDLblsOverMax val="0"/>
  </c:chart>
  <c:spPr>
    <a:ln>
      <a:noFill/>
    </a:ln>
  </c:spPr>
  <c:printSettings>
    <c:headerFooter/>
    <c:pageMargins b="0.75000000000000056" l="0.70000000000000051" r="0.70000000000000051" t="0.75000000000000056" header="0.30000000000000027" footer="0.30000000000000027"/>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190591229418718"/>
          <c:y val="0.1155008076750426"/>
          <c:w val="0.82263608353303663"/>
          <c:h val="0.54592853140758324"/>
        </c:manualLayout>
      </c:layout>
      <c:lineChart>
        <c:grouping val="stacked"/>
        <c:varyColors val="0"/>
        <c:ser>
          <c:idx val="0"/>
          <c:order val="0"/>
          <c:tx>
            <c:strRef>
              <c:f>subindex_charts!$A$95</c:f>
              <c:strCache>
                <c:ptCount val="1"/>
                <c:pt idx="0">
                  <c:v>Target: Web facing applications</c:v>
                </c:pt>
              </c:strCache>
            </c:strRef>
          </c:tx>
          <c:marker>
            <c:symbol val="none"/>
          </c:marker>
          <c:dLbls>
            <c:spPr>
              <a:noFill/>
              <a:ln>
                <a:noFill/>
              </a:ln>
              <a:effectLst/>
            </c:spPr>
            <c:txPr>
              <a:bodyPr/>
              <a:lstStyle/>
              <a:p>
                <a:pPr>
                  <a:defRPr sz="700">
                    <a:latin typeface="Arial Narrow" pitchFamily="34" charset="0"/>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subindex_charts!$DQ$94:$EC$94</c:f>
              <c:strCache>
                <c:ptCount val="13"/>
                <c:pt idx="0">
                  <c:v>Aug</c:v>
                </c:pt>
                <c:pt idx="1">
                  <c:v>Sep</c:v>
                </c:pt>
                <c:pt idx="2">
                  <c:v>Oct</c:v>
                </c:pt>
                <c:pt idx="3">
                  <c:v>Nov</c:v>
                </c:pt>
                <c:pt idx="4">
                  <c:v>Dec-18</c:v>
                </c:pt>
                <c:pt idx="5">
                  <c:v>Jan-19</c:v>
                </c:pt>
                <c:pt idx="6">
                  <c:v>Feb-19</c:v>
                </c:pt>
                <c:pt idx="7">
                  <c:v>Mar-19</c:v>
                </c:pt>
                <c:pt idx="8">
                  <c:v>Apr-19</c:v>
                </c:pt>
                <c:pt idx="9">
                  <c:v>May-19</c:v>
                </c:pt>
                <c:pt idx="10">
                  <c:v>June-19</c:v>
                </c:pt>
                <c:pt idx="11">
                  <c:v>July-19</c:v>
                </c:pt>
                <c:pt idx="12">
                  <c:v>Aug-19</c:v>
                </c:pt>
              </c:strCache>
            </c:strRef>
          </c:cat>
          <c:val>
            <c:numRef>
              <c:f>subindex_charts!$DQ$95:$EC$95</c:f>
              <c:numCache>
                <c:formatCode>0.0_);\(0.0\)</c:formatCode>
                <c:ptCount val="13"/>
                <c:pt idx="0">
                  <c:v>7675.7316006423007</c:v>
                </c:pt>
                <c:pt idx="1">
                  <c:v>7751.1887615169644</c:v>
                </c:pt>
                <c:pt idx="2">
                  <c:v>7837.7933265702586</c:v>
                </c:pt>
                <c:pt idx="3">
                  <c:v>8011.1340577035216</c:v>
                </c:pt>
                <c:pt idx="4">
                  <c:v>8240.7651767127827</c:v>
                </c:pt>
                <c:pt idx="5">
                  <c:v>8315.2668178027052</c:v>
                </c:pt>
                <c:pt idx="6">
                  <c:v>8513.9356732842589</c:v>
                </c:pt>
                <c:pt idx="7">
                  <c:v>8728.6905850950589</c:v>
                </c:pt>
                <c:pt idx="8">
                  <c:v>8494.5311808279384</c:v>
                </c:pt>
                <c:pt idx="9">
                  <c:v>8568.3605400236047</c:v>
                </c:pt>
                <c:pt idx="10">
                  <c:v>8725.5737939582123</c:v>
                </c:pt>
                <c:pt idx="11">
                  <c:v>8780.279407133572</c:v>
                </c:pt>
                <c:pt idx="12">
                  <c:v>8780.279407133572</c:v>
                </c:pt>
              </c:numCache>
            </c:numRef>
          </c:val>
          <c:smooth val="0"/>
          <c:extLst>
            <c:ext xmlns:c16="http://schemas.microsoft.com/office/drawing/2014/chart" uri="{C3380CC4-5D6E-409C-BE32-E72D297353CC}">
              <c16:uniqueId val="{00000000-E095-4088-847F-8EB34697C0A0}"/>
            </c:ext>
          </c:extLst>
        </c:ser>
        <c:dLbls>
          <c:showLegendKey val="0"/>
          <c:showVal val="0"/>
          <c:showCatName val="0"/>
          <c:showSerName val="0"/>
          <c:showPercent val="0"/>
          <c:showBubbleSize val="0"/>
        </c:dLbls>
        <c:marker val="1"/>
        <c:smooth val="0"/>
        <c:axId val="563565376"/>
        <c:axId val="563562632"/>
      </c:lineChart>
      <c:lineChart>
        <c:grouping val="stacked"/>
        <c:varyColors val="0"/>
        <c:ser>
          <c:idx val="1"/>
          <c:order val="1"/>
          <c:tx>
            <c:strRef>
              <c:f>subindex_charts!$A$96</c:f>
              <c:strCache>
                <c:ptCount val="1"/>
                <c:pt idx="0">
                  <c:v>Rate of change</c:v>
                </c:pt>
              </c:strCache>
            </c:strRef>
          </c:tx>
          <c:marker>
            <c:symbol val="none"/>
          </c:marker>
          <c:cat>
            <c:strRef>
              <c:f>subindex_charts!$DQ$94:$EC$94</c:f>
              <c:strCache>
                <c:ptCount val="13"/>
                <c:pt idx="0">
                  <c:v>Aug</c:v>
                </c:pt>
                <c:pt idx="1">
                  <c:v>Sep</c:v>
                </c:pt>
                <c:pt idx="2">
                  <c:v>Oct</c:v>
                </c:pt>
                <c:pt idx="3">
                  <c:v>Nov</c:v>
                </c:pt>
                <c:pt idx="4">
                  <c:v>Dec-18</c:v>
                </c:pt>
                <c:pt idx="5">
                  <c:v>Jan-19</c:v>
                </c:pt>
                <c:pt idx="6">
                  <c:v>Feb-19</c:v>
                </c:pt>
                <c:pt idx="7">
                  <c:v>Mar-19</c:v>
                </c:pt>
                <c:pt idx="8">
                  <c:v>Apr-19</c:v>
                </c:pt>
                <c:pt idx="9">
                  <c:v>May-19</c:v>
                </c:pt>
                <c:pt idx="10">
                  <c:v>June-19</c:v>
                </c:pt>
                <c:pt idx="11">
                  <c:v>July-19</c:v>
                </c:pt>
                <c:pt idx="12">
                  <c:v>Aug-19</c:v>
                </c:pt>
              </c:strCache>
            </c:strRef>
          </c:cat>
          <c:val>
            <c:numRef>
              <c:f>subindex_charts!$DQ$96:$EC$96</c:f>
              <c:numCache>
                <c:formatCode>0.0%</c:formatCode>
                <c:ptCount val="13"/>
                <c:pt idx="0">
                  <c:v>2.3076923076922995E-2</c:v>
                </c:pt>
                <c:pt idx="1">
                  <c:v>9.7826086956516178E-3</c:v>
                </c:pt>
                <c:pt idx="2">
                  <c:v>1.1111111111111072E-2</c:v>
                </c:pt>
                <c:pt idx="3">
                  <c:v>2.1875000000001421E-2</c:v>
                </c:pt>
                <c:pt idx="4">
                  <c:v>2.8260869565215785E-2</c:v>
                </c:pt>
                <c:pt idx="5">
                  <c:v>9.0000000000003411E-3</c:v>
                </c:pt>
                <c:pt idx="6">
                  <c:v>2.3611111111112137E-2</c:v>
                </c:pt>
                <c:pt idx="7">
                  <c:v>2.4911056376573981E-2</c:v>
                </c:pt>
                <c:pt idx="8">
                  <c:v>-2.719280240832056E-2</c:v>
                </c:pt>
                <c:pt idx="9">
                  <c:v>8.6538461538463451E-3</c:v>
                </c:pt>
                <c:pt idx="10">
                  <c:v>1.8181818181817633E-2</c:v>
                </c:pt>
                <c:pt idx="11">
                  <c:v>6.2500000000014211E-3</c:v>
                </c:pt>
                <c:pt idx="12">
                  <c:v>0</c:v>
                </c:pt>
              </c:numCache>
            </c:numRef>
          </c:val>
          <c:smooth val="0"/>
          <c:extLst>
            <c:ext xmlns:c16="http://schemas.microsoft.com/office/drawing/2014/chart" uri="{C3380CC4-5D6E-409C-BE32-E72D297353CC}">
              <c16:uniqueId val="{00000001-E095-4088-847F-8EB34697C0A0}"/>
            </c:ext>
          </c:extLst>
        </c:ser>
        <c:dLbls>
          <c:showLegendKey val="0"/>
          <c:showVal val="0"/>
          <c:showCatName val="0"/>
          <c:showSerName val="0"/>
          <c:showPercent val="0"/>
          <c:showBubbleSize val="0"/>
        </c:dLbls>
        <c:marker val="1"/>
        <c:smooth val="0"/>
        <c:axId val="563567336"/>
        <c:axId val="563563416"/>
      </c:lineChart>
      <c:catAx>
        <c:axId val="563565376"/>
        <c:scaling>
          <c:orientation val="minMax"/>
        </c:scaling>
        <c:delete val="0"/>
        <c:axPos val="b"/>
        <c:numFmt formatCode="General" sourceLinked="0"/>
        <c:majorTickMark val="out"/>
        <c:minorTickMark val="none"/>
        <c:tickLblPos val="nextTo"/>
        <c:txPr>
          <a:bodyPr/>
          <a:lstStyle/>
          <a:p>
            <a:pPr>
              <a:defRPr sz="900">
                <a:latin typeface="Arial Narrow" pitchFamily="34" charset="0"/>
              </a:defRPr>
            </a:pPr>
            <a:endParaRPr lang="en-US"/>
          </a:p>
        </c:txPr>
        <c:crossAx val="563562632"/>
        <c:crosses val="autoZero"/>
        <c:auto val="1"/>
        <c:lblAlgn val="ctr"/>
        <c:lblOffset val="100"/>
        <c:noMultiLvlLbl val="0"/>
      </c:catAx>
      <c:valAx>
        <c:axId val="563562632"/>
        <c:scaling>
          <c:orientation val="minMax"/>
          <c:min val="2000"/>
        </c:scaling>
        <c:delete val="0"/>
        <c:axPos val="l"/>
        <c:numFmt formatCode="0.0_);\(0.0\)" sourceLinked="1"/>
        <c:majorTickMark val="out"/>
        <c:minorTickMark val="none"/>
        <c:tickLblPos val="nextTo"/>
        <c:spPr>
          <a:ln>
            <a:noFill/>
          </a:ln>
        </c:spPr>
        <c:txPr>
          <a:bodyPr/>
          <a:lstStyle/>
          <a:p>
            <a:pPr>
              <a:defRPr>
                <a:solidFill>
                  <a:schemeClr val="bg1"/>
                </a:solidFill>
              </a:defRPr>
            </a:pPr>
            <a:endParaRPr lang="en-US"/>
          </a:p>
        </c:txPr>
        <c:crossAx val="563565376"/>
        <c:crosses val="autoZero"/>
        <c:crossBetween val="between"/>
      </c:valAx>
      <c:valAx>
        <c:axId val="563563416"/>
        <c:scaling>
          <c:orientation val="minMax"/>
          <c:max val="6.0000000000000012E-2"/>
          <c:min val="0"/>
        </c:scaling>
        <c:delete val="0"/>
        <c:axPos val="r"/>
        <c:numFmt formatCode="0%" sourceLinked="0"/>
        <c:majorTickMark val="out"/>
        <c:minorTickMark val="none"/>
        <c:tickLblPos val="nextTo"/>
        <c:spPr>
          <a:ln>
            <a:noFill/>
          </a:ln>
        </c:spPr>
        <c:txPr>
          <a:bodyPr/>
          <a:lstStyle/>
          <a:p>
            <a:pPr>
              <a:defRPr>
                <a:solidFill>
                  <a:srgbClr val="C00000"/>
                </a:solidFill>
              </a:defRPr>
            </a:pPr>
            <a:endParaRPr lang="en-US"/>
          </a:p>
        </c:txPr>
        <c:crossAx val="563567336"/>
        <c:crosses val="max"/>
        <c:crossBetween val="between"/>
        <c:majorUnit val="2.0000000000000011E-2"/>
        <c:minorUnit val="1.0000000000000005E-2"/>
      </c:valAx>
      <c:catAx>
        <c:axId val="563567336"/>
        <c:scaling>
          <c:orientation val="minMax"/>
        </c:scaling>
        <c:delete val="1"/>
        <c:axPos val="b"/>
        <c:numFmt formatCode="General" sourceLinked="1"/>
        <c:majorTickMark val="out"/>
        <c:minorTickMark val="none"/>
        <c:tickLblPos val="none"/>
        <c:crossAx val="563563416"/>
        <c:crosses val="autoZero"/>
        <c:auto val="1"/>
        <c:lblAlgn val="ctr"/>
        <c:lblOffset val="100"/>
        <c:noMultiLvlLbl val="0"/>
      </c:catAx>
    </c:plotArea>
    <c:plotVisOnly val="1"/>
    <c:dispBlanksAs val="zero"/>
    <c:showDLblsOverMax val="0"/>
  </c:chart>
  <c:spPr>
    <a:ln>
      <a:noFill/>
    </a:ln>
  </c:spPr>
  <c:printSettings>
    <c:headerFooter/>
    <c:pageMargins b="0.75000000000000056" l="0.70000000000000051" r="0.70000000000000051" t="0.75000000000000056" header="0.30000000000000027" footer="0.30000000000000027"/>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190591229418718"/>
          <c:y val="0.1155008076750426"/>
          <c:w val="0.82263608353303663"/>
          <c:h val="0.54592853140758324"/>
        </c:manualLayout>
      </c:layout>
      <c:lineChart>
        <c:grouping val="stacked"/>
        <c:varyColors val="0"/>
        <c:ser>
          <c:idx val="0"/>
          <c:order val="0"/>
          <c:tx>
            <c:strRef>
              <c:f>subindex_charts!$A$100</c:f>
              <c:strCache>
                <c:ptCount val="1"/>
                <c:pt idx="0">
                  <c:v>Target: Internet exposed devices/appliances</c:v>
                </c:pt>
              </c:strCache>
            </c:strRef>
          </c:tx>
          <c:marker>
            <c:symbol val="none"/>
          </c:marker>
          <c:dLbls>
            <c:spPr>
              <a:noFill/>
              <a:ln>
                <a:noFill/>
              </a:ln>
              <a:effectLst/>
            </c:spPr>
            <c:txPr>
              <a:bodyPr/>
              <a:lstStyle/>
              <a:p>
                <a:pPr>
                  <a:defRPr sz="700">
                    <a:latin typeface="Arial Narrow" pitchFamily="34" charset="0"/>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subindex_charts!$DQ$99:$EC$99</c:f>
              <c:strCache>
                <c:ptCount val="13"/>
                <c:pt idx="0">
                  <c:v>Aug</c:v>
                </c:pt>
                <c:pt idx="1">
                  <c:v>Sep</c:v>
                </c:pt>
                <c:pt idx="2">
                  <c:v>Oct</c:v>
                </c:pt>
                <c:pt idx="3">
                  <c:v>Nov</c:v>
                </c:pt>
                <c:pt idx="4">
                  <c:v>Dec-18</c:v>
                </c:pt>
                <c:pt idx="5">
                  <c:v>Jan-19</c:v>
                </c:pt>
                <c:pt idx="6">
                  <c:v>Feb-19</c:v>
                </c:pt>
                <c:pt idx="7">
                  <c:v>Mar-19</c:v>
                </c:pt>
                <c:pt idx="8">
                  <c:v>Apr-19</c:v>
                </c:pt>
                <c:pt idx="9">
                  <c:v>May-19</c:v>
                </c:pt>
                <c:pt idx="10">
                  <c:v>June-19</c:v>
                </c:pt>
                <c:pt idx="11">
                  <c:v>July-19</c:v>
                </c:pt>
                <c:pt idx="12">
                  <c:v>Aug-19</c:v>
                </c:pt>
              </c:strCache>
            </c:strRef>
          </c:cat>
          <c:val>
            <c:numRef>
              <c:f>subindex_charts!$DQ$100:$EC$100</c:f>
              <c:numCache>
                <c:formatCode>0.0_);\(0.0\)</c:formatCode>
                <c:ptCount val="13"/>
                <c:pt idx="0">
                  <c:v>3745.7101769222663</c:v>
                </c:pt>
                <c:pt idx="1">
                  <c:v>3762.0313283970522</c:v>
                </c:pt>
                <c:pt idx="2">
                  <c:v>3746.3888090749388</c:v>
                </c:pt>
                <c:pt idx="3">
                  <c:v>3793.5125791622631</c:v>
                </c:pt>
                <c:pt idx="4">
                  <c:v>3818.33372914754</c:v>
                </c:pt>
                <c:pt idx="5">
                  <c:v>3833.6376515036181</c:v>
                </c:pt>
                <c:pt idx="6">
                  <c:v>3865.7181148796003</c:v>
                </c:pt>
                <c:pt idx="7">
                  <c:v>3907.8404336591566</c:v>
                </c:pt>
                <c:pt idx="8">
                  <c:v>3827.9370761213331</c:v>
                </c:pt>
                <c:pt idx="9">
                  <c:v>3831.6195549871827</c:v>
                </c:pt>
                <c:pt idx="10">
                  <c:v>3875.4090188475384</c:v>
                </c:pt>
                <c:pt idx="11">
                  <c:v>3868.4948208280039</c:v>
                </c:pt>
                <c:pt idx="12">
                  <c:v>3868.4948208280039</c:v>
                </c:pt>
              </c:numCache>
            </c:numRef>
          </c:val>
          <c:smooth val="0"/>
          <c:extLst>
            <c:ext xmlns:c16="http://schemas.microsoft.com/office/drawing/2014/chart" uri="{C3380CC4-5D6E-409C-BE32-E72D297353CC}">
              <c16:uniqueId val="{00000000-50C0-47C9-92F4-76AFC17EDAD7}"/>
            </c:ext>
          </c:extLst>
        </c:ser>
        <c:dLbls>
          <c:showLegendKey val="0"/>
          <c:showVal val="0"/>
          <c:showCatName val="0"/>
          <c:showSerName val="0"/>
          <c:showPercent val="0"/>
          <c:showBubbleSize val="0"/>
        </c:dLbls>
        <c:marker val="1"/>
        <c:smooth val="0"/>
        <c:axId val="563567728"/>
        <c:axId val="563564200"/>
      </c:lineChart>
      <c:lineChart>
        <c:grouping val="stacked"/>
        <c:varyColors val="0"/>
        <c:ser>
          <c:idx val="1"/>
          <c:order val="1"/>
          <c:tx>
            <c:strRef>
              <c:f>subindex_charts!$A$101</c:f>
              <c:strCache>
                <c:ptCount val="1"/>
                <c:pt idx="0">
                  <c:v>Rate of change</c:v>
                </c:pt>
              </c:strCache>
            </c:strRef>
          </c:tx>
          <c:marker>
            <c:symbol val="none"/>
          </c:marker>
          <c:cat>
            <c:strRef>
              <c:f>subindex_charts!$DQ$99:$EC$99</c:f>
              <c:strCache>
                <c:ptCount val="13"/>
                <c:pt idx="0">
                  <c:v>Aug</c:v>
                </c:pt>
                <c:pt idx="1">
                  <c:v>Sep</c:v>
                </c:pt>
                <c:pt idx="2">
                  <c:v>Oct</c:v>
                </c:pt>
                <c:pt idx="3">
                  <c:v>Nov</c:v>
                </c:pt>
                <c:pt idx="4">
                  <c:v>Dec-18</c:v>
                </c:pt>
                <c:pt idx="5">
                  <c:v>Jan-19</c:v>
                </c:pt>
                <c:pt idx="6">
                  <c:v>Feb-19</c:v>
                </c:pt>
                <c:pt idx="7">
                  <c:v>Mar-19</c:v>
                </c:pt>
                <c:pt idx="8">
                  <c:v>Apr-19</c:v>
                </c:pt>
                <c:pt idx="9">
                  <c:v>May-19</c:v>
                </c:pt>
                <c:pt idx="10">
                  <c:v>June-19</c:v>
                </c:pt>
                <c:pt idx="11">
                  <c:v>July-19</c:v>
                </c:pt>
                <c:pt idx="12">
                  <c:v>Aug-19</c:v>
                </c:pt>
              </c:strCache>
            </c:strRef>
          </c:cat>
          <c:val>
            <c:numRef>
              <c:f>subindex_charts!$DQ$101:$EC$101</c:f>
              <c:numCache>
                <c:formatCode>0.0%</c:formatCode>
                <c:ptCount val="13"/>
                <c:pt idx="0">
                  <c:v>5.7692307692303046E-3</c:v>
                </c:pt>
                <c:pt idx="1">
                  <c:v>4.3478260869562746E-3</c:v>
                </c:pt>
                <c:pt idx="2">
                  <c:v>-4.1666666666664298E-3</c:v>
                </c:pt>
                <c:pt idx="3">
                  <c:v>1.2499999999999289E-2</c:v>
                </c:pt>
                <c:pt idx="4">
                  <c:v>6.5217391304361882E-3</c:v>
                </c:pt>
                <c:pt idx="5">
                  <c:v>3.9999999999995595E-3</c:v>
                </c:pt>
                <c:pt idx="6">
                  <c:v>8.3333333333328596E-3</c:v>
                </c:pt>
                <c:pt idx="7">
                  <c:v>1.0837438423646262E-2</c:v>
                </c:pt>
                <c:pt idx="8">
                  <c:v>-2.0658866995074021E-2</c:v>
                </c:pt>
                <c:pt idx="9">
                  <c:v>9.6153846153868017E-4</c:v>
                </c:pt>
                <c:pt idx="10">
                  <c:v>1.136363636363491E-2</c:v>
                </c:pt>
                <c:pt idx="11">
                  <c:v>-1.7857142857131691E-3</c:v>
                </c:pt>
                <c:pt idx="12">
                  <c:v>0</c:v>
                </c:pt>
              </c:numCache>
            </c:numRef>
          </c:val>
          <c:smooth val="0"/>
          <c:extLst>
            <c:ext xmlns:c16="http://schemas.microsoft.com/office/drawing/2014/chart" uri="{C3380CC4-5D6E-409C-BE32-E72D297353CC}">
              <c16:uniqueId val="{00000001-50C0-47C9-92F4-76AFC17EDAD7}"/>
            </c:ext>
          </c:extLst>
        </c:ser>
        <c:dLbls>
          <c:showLegendKey val="0"/>
          <c:showVal val="0"/>
          <c:showCatName val="0"/>
          <c:showSerName val="0"/>
          <c:showPercent val="0"/>
          <c:showBubbleSize val="0"/>
        </c:dLbls>
        <c:marker val="1"/>
        <c:smooth val="0"/>
        <c:axId val="563568120"/>
        <c:axId val="563566160"/>
      </c:lineChart>
      <c:catAx>
        <c:axId val="563567728"/>
        <c:scaling>
          <c:orientation val="minMax"/>
        </c:scaling>
        <c:delete val="0"/>
        <c:axPos val="b"/>
        <c:numFmt formatCode="General" sourceLinked="0"/>
        <c:majorTickMark val="out"/>
        <c:minorTickMark val="none"/>
        <c:tickLblPos val="nextTo"/>
        <c:txPr>
          <a:bodyPr/>
          <a:lstStyle/>
          <a:p>
            <a:pPr>
              <a:defRPr sz="900">
                <a:latin typeface="Arial Narrow" pitchFamily="34" charset="0"/>
              </a:defRPr>
            </a:pPr>
            <a:endParaRPr lang="en-US"/>
          </a:p>
        </c:txPr>
        <c:crossAx val="563564200"/>
        <c:crosses val="autoZero"/>
        <c:auto val="1"/>
        <c:lblAlgn val="ctr"/>
        <c:lblOffset val="100"/>
        <c:noMultiLvlLbl val="0"/>
      </c:catAx>
      <c:valAx>
        <c:axId val="563564200"/>
        <c:scaling>
          <c:orientation val="minMax"/>
          <c:min val="1300"/>
        </c:scaling>
        <c:delete val="0"/>
        <c:axPos val="l"/>
        <c:numFmt formatCode="0.0_);\(0.0\)" sourceLinked="1"/>
        <c:majorTickMark val="out"/>
        <c:minorTickMark val="none"/>
        <c:tickLblPos val="nextTo"/>
        <c:spPr>
          <a:ln>
            <a:noFill/>
          </a:ln>
        </c:spPr>
        <c:txPr>
          <a:bodyPr/>
          <a:lstStyle/>
          <a:p>
            <a:pPr>
              <a:defRPr>
                <a:solidFill>
                  <a:schemeClr val="bg1"/>
                </a:solidFill>
              </a:defRPr>
            </a:pPr>
            <a:endParaRPr lang="en-US"/>
          </a:p>
        </c:txPr>
        <c:crossAx val="563567728"/>
        <c:crosses val="autoZero"/>
        <c:crossBetween val="between"/>
      </c:valAx>
      <c:valAx>
        <c:axId val="563566160"/>
        <c:scaling>
          <c:orientation val="minMax"/>
          <c:max val="5.000000000000001E-2"/>
          <c:min val="-1.0000000000000002E-2"/>
        </c:scaling>
        <c:delete val="0"/>
        <c:axPos val="r"/>
        <c:numFmt formatCode="0%" sourceLinked="0"/>
        <c:majorTickMark val="out"/>
        <c:minorTickMark val="none"/>
        <c:tickLblPos val="nextTo"/>
        <c:spPr>
          <a:ln>
            <a:noFill/>
          </a:ln>
        </c:spPr>
        <c:txPr>
          <a:bodyPr/>
          <a:lstStyle/>
          <a:p>
            <a:pPr>
              <a:defRPr>
                <a:solidFill>
                  <a:srgbClr val="C00000"/>
                </a:solidFill>
              </a:defRPr>
            </a:pPr>
            <a:endParaRPr lang="en-US"/>
          </a:p>
        </c:txPr>
        <c:crossAx val="563568120"/>
        <c:crosses val="max"/>
        <c:crossBetween val="between"/>
        <c:majorUnit val="2.0000000000000011E-2"/>
      </c:valAx>
      <c:catAx>
        <c:axId val="563568120"/>
        <c:scaling>
          <c:orientation val="minMax"/>
        </c:scaling>
        <c:delete val="1"/>
        <c:axPos val="b"/>
        <c:numFmt formatCode="General" sourceLinked="1"/>
        <c:majorTickMark val="out"/>
        <c:minorTickMark val="none"/>
        <c:tickLblPos val="none"/>
        <c:crossAx val="563566160"/>
        <c:crosses val="autoZero"/>
        <c:auto val="1"/>
        <c:lblAlgn val="ctr"/>
        <c:lblOffset val="100"/>
        <c:noMultiLvlLbl val="0"/>
      </c:catAx>
    </c:plotArea>
    <c:plotVisOnly val="1"/>
    <c:dispBlanksAs val="zero"/>
    <c:showDLblsOverMax val="0"/>
  </c:chart>
  <c:spPr>
    <a:ln>
      <a:noFill/>
    </a:ln>
  </c:spPr>
  <c:printSettings>
    <c:headerFooter/>
    <c:pageMargins b="0.75000000000000056" l="0.70000000000000051" r="0.70000000000000051" t="0.75000000000000056" header="0.30000000000000027" footer="0.30000000000000027"/>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190591229418718"/>
          <c:y val="0.1155008076750426"/>
          <c:w val="0.82263608353303663"/>
          <c:h val="0.54592853140758324"/>
        </c:manualLayout>
      </c:layout>
      <c:lineChart>
        <c:grouping val="stacked"/>
        <c:varyColors val="0"/>
        <c:ser>
          <c:idx val="0"/>
          <c:order val="0"/>
          <c:tx>
            <c:strRef>
              <c:f>subindex_charts!$A$105</c:f>
              <c:strCache>
                <c:ptCount val="1"/>
                <c:pt idx="0">
                  <c:v>Target: End points</c:v>
                </c:pt>
              </c:strCache>
            </c:strRef>
          </c:tx>
          <c:marker>
            <c:symbol val="none"/>
          </c:marker>
          <c:dLbls>
            <c:spPr>
              <a:noFill/>
              <a:ln>
                <a:noFill/>
              </a:ln>
              <a:effectLst/>
            </c:spPr>
            <c:txPr>
              <a:bodyPr/>
              <a:lstStyle/>
              <a:p>
                <a:pPr>
                  <a:defRPr sz="700">
                    <a:latin typeface="Arial Narrow" pitchFamily="34" charset="0"/>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subindex_charts!$DQ$104:$EC$104</c:f>
              <c:strCache>
                <c:ptCount val="13"/>
                <c:pt idx="0">
                  <c:v>Aug</c:v>
                </c:pt>
                <c:pt idx="1">
                  <c:v>Sep</c:v>
                </c:pt>
                <c:pt idx="2">
                  <c:v>Oct</c:v>
                </c:pt>
                <c:pt idx="3">
                  <c:v>Nov</c:v>
                </c:pt>
                <c:pt idx="4">
                  <c:v>Dec-18</c:v>
                </c:pt>
                <c:pt idx="5">
                  <c:v>Jan-19</c:v>
                </c:pt>
                <c:pt idx="6">
                  <c:v>Feb-19</c:v>
                </c:pt>
                <c:pt idx="7">
                  <c:v>Mar-19</c:v>
                </c:pt>
                <c:pt idx="8">
                  <c:v>Apr-19</c:v>
                </c:pt>
                <c:pt idx="9">
                  <c:v>May-19</c:v>
                </c:pt>
                <c:pt idx="10">
                  <c:v>June-19</c:v>
                </c:pt>
                <c:pt idx="11">
                  <c:v>July-19</c:v>
                </c:pt>
                <c:pt idx="12">
                  <c:v>Aug-19</c:v>
                </c:pt>
              </c:strCache>
            </c:strRef>
          </c:cat>
          <c:val>
            <c:numRef>
              <c:f>subindex_charts!$DQ$105:$EC$105</c:f>
              <c:numCache>
                <c:formatCode>0.0_);\(0.0\)</c:formatCode>
                <c:ptCount val="13"/>
                <c:pt idx="0">
                  <c:v>3544.135773748686</c:v>
                </c:pt>
                <c:pt idx="1">
                  <c:v>3582.8691146150236</c:v>
                </c:pt>
                <c:pt idx="2">
                  <c:v>3543.2798056876982</c:v>
                </c:pt>
                <c:pt idx="3">
                  <c:v>3565.4946535589329</c:v>
                </c:pt>
                <c:pt idx="4">
                  <c:v>3616.2342854998592</c:v>
                </c:pt>
                <c:pt idx="5">
                  <c:v>3609.0090445781948</c:v>
                </c:pt>
                <c:pt idx="6">
                  <c:v>3594.0027916298573</c:v>
                </c:pt>
                <c:pt idx="7">
                  <c:v>3474.1088277453118</c:v>
                </c:pt>
                <c:pt idx="8">
                  <c:v>3624.4375034017585</c:v>
                </c:pt>
                <c:pt idx="9">
                  <c:v>3627.9242154979756</c:v>
                </c:pt>
                <c:pt idx="10">
                  <c:v>3652.744581151534</c:v>
                </c:pt>
                <c:pt idx="11">
                  <c:v>3656.0074166480781</c:v>
                </c:pt>
                <c:pt idx="12">
                  <c:v>3656.0074166480781</c:v>
                </c:pt>
              </c:numCache>
            </c:numRef>
          </c:val>
          <c:smooth val="0"/>
          <c:extLst>
            <c:ext xmlns:c16="http://schemas.microsoft.com/office/drawing/2014/chart" uri="{C3380CC4-5D6E-409C-BE32-E72D297353CC}">
              <c16:uniqueId val="{00000000-87F8-4F55-AFD1-C1DACDF5F181}"/>
            </c:ext>
          </c:extLst>
        </c:ser>
        <c:dLbls>
          <c:showLegendKey val="0"/>
          <c:showVal val="0"/>
          <c:showCatName val="0"/>
          <c:showSerName val="0"/>
          <c:showPercent val="0"/>
          <c:showBubbleSize val="0"/>
        </c:dLbls>
        <c:marker val="1"/>
        <c:smooth val="0"/>
        <c:axId val="563564984"/>
        <c:axId val="563561848"/>
      </c:lineChart>
      <c:lineChart>
        <c:grouping val="stacked"/>
        <c:varyColors val="0"/>
        <c:ser>
          <c:idx val="1"/>
          <c:order val="1"/>
          <c:tx>
            <c:strRef>
              <c:f>subindex_charts!$A$106</c:f>
              <c:strCache>
                <c:ptCount val="1"/>
                <c:pt idx="0">
                  <c:v>Rate of change</c:v>
                </c:pt>
              </c:strCache>
            </c:strRef>
          </c:tx>
          <c:marker>
            <c:symbol val="none"/>
          </c:marker>
          <c:cat>
            <c:strRef>
              <c:f>subindex_charts!$DQ$104:$EC$104</c:f>
              <c:strCache>
                <c:ptCount val="13"/>
                <c:pt idx="0">
                  <c:v>Aug</c:v>
                </c:pt>
                <c:pt idx="1">
                  <c:v>Sep</c:v>
                </c:pt>
                <c:pt idx="2">
                  <c:v>Oct</c:v>
                </c:pt>
                <c:pt idx="3">
                  <c:v>Nov</c:v>
                </c:pt>
                <c:pt idx="4">
                  <c:v>Dec-18</c:v>
                </c:pt>
                <c:pt idx="5">
                  <c:v>Jan-19</c:v>
                </c:pt>
                <c:pt idx="6">
                  <c:v>Feb-19</c:v>
                </c:pt>
                <c:pt idx="7">
                  <c:v>Mar-19</c:v>
                </c:pt>
                <c:pt idx="8">
                  <c:v>Apr-19</c:v>
                </c:pt>
                <c:pt idx="9">
                  <c:v>May-19</c:v>
                </c:pt>
                <c:pt idx="10">
                  <c:v>June-19</c:v>
                </c:pt>
                <c:pt idx="11">
                  <c:v>July-19</c:v>
                </c:pt>
                <c:pt idx="12">
                  <c:v>Aug-19</c:v>
                </c:pt>
              </c:strCache>
            </c:strRef>
          </c:cat>
          <c:val>
            <c:numRef>
              <c:f>subindex_charts!$DQ$106:$EC$106</c:f>
              <c:numCache>
                <c:formatCode>0.0%</c:formatCode>
                <c:ptCount val="13"/>
                <c:pt idx="0">
                  <c:v>3.8461538461547207E-3</c:v>
                </c:pt>
                <c:pt idx="1">
                  <c:v>1.0869565217390686E-2</c:v>
                </c:pt>
                <c:pt idx="2">
                  <c:v>-1.1111111111111072E-2</c:v>
                </c:pt>
                <c:pt idx="3">
                  <c:v>6.2499999999996447E-3</c:v>
                </c:pt>
                <c:pt idx="4">
                  <c:v>1.4130434782609669E-2</c:v>
                </c:pt>
                <c:pt idx="5">
                  <c:v>-2.0000000000006679E-3</c:v>
                </c:pt>
                <c:pt idx="6">
                  <c:v>-4.1666666666664298E-3</c:v>
                </c:pt>
                <c:pt idx="7">
                  <c:v>-3.392857142857153E-2</c:v>
                </c:pt>
                <c:pt idx="8">
                  <c:v>4.2361111111111072E-2</c:v>
                </c:pt>
                <c:pt idx="9">
                  <c:v>9.6153846153868017E-4</c:v>
                </c:pt>
                <c:pt idx="10">
                  <c:v>6.8181818181809462E-3</c:v>
                </c:pt>
                <c:pt idx="11">
                  <c:v>8.9285714285836093E-4</c:v>
                </c:pt>
                <c:pt idx="12">
                  <c:v>0</c:v>
                </c:pt>
              </c:numCache>
            </c:numRef>
          </c:val>
          <c:smooth val="0"/>
          <c:extLst>
            <c:ext xmlns:c16="http://schemas.microsoft.com/office/drawing/2014/chart" uri="{C3380CC4-5D6E-409C-BE32-E72D297353CC}">
              <c16:uniqueId val="{00000001-87F8-4F55-AFD1-C1DACDF5F181}"/>
            </c:ext>
          </c:extLst>
        </c:ser>
        <c:dLbls>
          <c:showLegendKey val="0"/>
          <c:showVal val="0"/>
          <c:showCatName val="0"/>
          <c:showSerName val="0"/>
          <c:showPercent val="0"/>
          <c:showBubbleSize val="0"/>
        </c:dLbls>
        <c:marker val="1"/>
        <c:smooth val="0"/>
        <c:axId val="563566552"/>
        <c:axId val="563564592"/>
      </c:lineChart>
      <c:catAx>
        <c:axId val="563564984"/>
        <c:scaling>
          <c:orientation val="minMax"/>
        </c:scaling>
        <c:delete val="0"/>
        <c:axPos val="b"/>
        <c:numFmt formatCode="General" sourceLinked="0"/>
        <c:majorTickMark val="out"/>
        <c:minorTickMark val="none"/>
        <c:tickLblPos val="nextTo"/>
        <c:txPr>
          <a:bodyPr/>
          <a:lstStyle/>
          <a:p>
            <a:pPr>
              <a:defRPr sz="900">
                <a:latin typeface="Arial Narrow" pitchFamily="34" charset="0"/>
              </a:defRPr>
            </a:pPr>
            <a:endParaRPr lang="en-US"/>
          </a:p>
        </c:txPr>
        <c:crossAx val="563561848"/>
        <c:crosses val="autoZero"/>
        <c:auto val="1"/>
        <c:lblAlgn val="ctr"/>
        <c:lblOffset val="100"/>
        <c:noMultiLvlLbl val="0"/>
      </c:catAx>
      <c:valAx>
        <c:axId val="563561848"/>
        <c:scaling>
          <c:orientation val="minMax"/>
          <c:min val="1300"/>
        </c:scaling>
        <c:delete val="0"/>
        <c:axPos val="l"/>
        <c:numFmt formatCode="0.0_);\(0.0\)" sourceLinked="1"/>
        <c:majorTickMark val="out"/>
        <c:minorTickMark val="none"/>
        <c:tickLblPos val="nextTo"/>
        <c:spPr>
          <a:ln>
            <a:noFill/>
          </a:ln>
        </c:spPr>
        <c:txPr>
          <a:bodyPr/>
          <a:lstStyle/>
          <a:p>
            <a:pPr>
              <a:defRPr>
                <a:solidFill>
                  <a:schemeClr val="bg1"/>
                </a:solidFill>
              </a:defRPr>
            </a:pPr>
            <a:endParaRPr lang="en-US"/>
          </a:p>
        </c:txPr>
        <c:crossAx val="563564984"/>
        <c:crosses val="autoZero"/>
        <c:crossBetween val="between"/>
      </c:valAx>
      <c:valAx>
        <c:axId val="563564592"/>
        <c:scaling>
          <c:orientation val="minMax"/>
          <c:max val="4.0000000000000008E-2"/>
          <c:min val="-2.0000000000000004E-2"/>
        </c:scaling>
        <c:delete val="0"/>
        <c:axPos val="r"/>
        <c:numFmt formatCode="0%" sourceLinked="0"/>
        <c:majorTickMark val="out"/>
        <c:minorTickMark val="none"/>
        <c:tickLblPos val="nextTo"/>
        <c:spPr>
          <a:ln>
            <a:noFill/>
          </a:ln>
        </c:spPr>
        <c:txPr>
          <a:bodyPr/>
          <a:lstStyle/>
          <a:p>
            <a:pPr>
              <a:defRPr>
                <a:solidFill>
                  <a:srgbClr val="C00000"/>
                </a:solidFill>
              </a:defRPr>
            </a:pPr>
            <a:endParaRPr lang="en-US"/>
          </a:p>
        </c:txPr>
        <c:crossAx val="563566552"/>
        <c:crosses val="max"/>
        <c:crossBetween val="between"/>
        <c:majorUnit val="2.0000000000000011E-2"/>
        <c:minorUnit val="1.0000000000000005E-2"/>
      </c:valAx>
      <c:catAx>
        <c:axId val="563566552"/>
        <c:scaling>
          <c:orientation val="minMax"/>
        </c:scaling>
        <c:delete val="1"/>
        <c:axPos val="b"/>
        <c:numFmt formatCode="General" sourceLinked="1"/>
        <c:majorTickMark val="out"/>
        <c:minorTickMark val="none"/>
        <c:tickLblPos val="none"/>
        <c:crossAx val="563564592"/>
        <c:crosses val="autoZero"/>
        <c:auto val="1"/>
        <c:lblAlgn val="ctr"/>
        <c:lblOffset val="100"/>
        <c:noMultiLvlLbl val="0"/>
      </c:catAx>
    </c:plotArea>
    <c:plotVisOnly val="1"/>
    <c:dispBlanksAs val="zero"/>
    <c:showDLblsOverMax val="0"/>
  </c:chart>
  <c:spPr>
    <a:ln>
      <a:noFill/>
    </a:ln>
  </c:spPr>
  <c:printSettings>
    <c:headerFooter/>
    <c:pageMargins b="0.75000000000000056" l="0.70000000000000051" r="0.70000000000000051" t="0.75000000000000056" header="0.30000000000000027" footer="0.30000000000000027"/>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190591229418718"/>
          <c:y val="0.1155008076750426"/>
          <c:w val="0.82263608353303663"/>
          <c:h val="0.54592853140758324"/>
        </c:manualLayout>
      </c:layout>
      <c:lineChart>
        <c:grouping val="stacked"/>
        <c:varyColors val="0"/>
        <c:ser>
          <c:idx val="0"/>
          <c:order val="0"/>
          <c:tx>
            <c:strRef>
              <c:f>subindex_charts!$A$110</c:f>
              <c:strCache>
                <c:ptCount val="1"/>
                <c:pt idx="0">
                  <c:v>Target: Mobile devices</c:v>
                </c:pt>
              </c:strCache>
            </c:strRef>
          </c:tx>
          <c:marker>
            <c:symbol val="none"/>
          </c:marker>
          <c:dLbls>
            <c:spPr>
              <a:noFill/>
              <a:ln>
                <a:noFill/>
              </a:ln>
              <a:effectLst/>
            </c:spPr>
            <c:txPr>
              <a:bodyPr/>
              <a:lstStyle/>
              <a:p>
                <a:pPr>
                  <a:defRPr sz="700">
                    <a:latin typeface="Arial Narrow" pitchFamily="34" charset="0"/>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subindex_charts!$DQ$109:$EC$109</c:f>
              <c:strCache>
                <c:ptCount val="13"/>
                <c:pt idx="0">
                  <c:v>Aug</c:v>
                </c:pt>
                <c:pt idx="1">
                  <c:v>Sep</c:v>
                </c:pt>
                <c:pt idx="2">
                  <c:v>Oct</c:v>
                </c:pt>
                <c:pt idx="3">
                  <c:v>Nov</c:v>
                </c:pt>
                <c:pt idx="4">
                  <c:v>Dec-18</c:v>
                </c:pt>
                <c:pt idx="5">
                  <c:v>Jan-19</c:v>
                </c:pt>
                <c:pt idx="6">
                  <c:v>Feb-19</c:v>
                </c:pt>
                <c:pt idx="7">
                  <c:v>Mar-19</c:v>
                </c:pt>
                <c:pt idx="8">
                  <c:v>Apr-19</c:v>
                </c:pt>
                <c:pt idx="9">
                  <c:v>May-19</c:v>
                </c:pt>
                <c:pt idx="10">
                  <c:v>June-19</c:v>
                </c:pt>
                <c:pt idx="11">
                  <c:v>July-19</c:v>
                </c:pt>
                <c:pt idx="12">
                  <c:v>Aug-19</c:v>
                </c:pt>
              </c:strCache>
            </c:strRef>
          </c:cat>
          <c:val>
            <c:numRef>
              <c:f>subindex_charts!$DQ$110:$EC$110</c:f>
              <c:numCache>
                <c:formatCode>0.0_);\(0.0\)</c:formatCode>
                <c:ptCount val="13"/>
                <c:pt idx="0">
                  <c:v>2825.9677614866073</c:v>
                </c:pt>
                <c:pt idx="1">
                  <c:v>2897.5074759667914</c:v>
                </c:pt>
                <c:pt idx="2">
                  <c:v>2885.4596452279416</c:v>
                </c:pt>
                <c:pt idx="3">
                  <c:v>2918.7123501304131</c:v>
                </c:pt>
                <c:pt idx="4">
                  <c:v>2950.6105299873361</c:v>
                </c:pt>
                <c:pt idx="5">
                  <c:v>2968.3674105383034</c:v>
                </c:pt>
                <c:pt idx="6">
                  <c:v>2968.3674105383034</c:v>
                </c:pt>
                <c:pt idx="7">
                  <c:v>2965.6878291261655</c:v>
                </c:pt>
                <c:pt idx="8">
                  <c:v>2937.0246023968775</c:v>
                </c:pt>
                <c:pt idx="9">
                  <c:v>2937.0246023968775</c:v>
                </c:pt>
                <c:pt idx="10">
                  <c:v>2943.7072493519267</c:v>
                </c:pt>
                <c:pt idx="11">
                  <c:v>2930.5949893462225</c:v>
                </c:pt>
                <c:pt idx="12">
                  <c:v>2930.5949893462225</c:v>
                </c:pt>
              </c:numCache>
            </c:numRef>
          </c:val>
          <c:smooth val="0"/>
          <c:extLst>
            <c:ext xmlns:c16="http://schemas.microsoft.com/office/drawing/2014/chart" uri="{C3380CC4-5D6E-409C-BE32-E72D297353CC}">
              <c16:uniqueId val="{00000000-7935-4860-BAE1-6B9CF610B333}"/>
            </c:ext>
          </c:extLst>
        </c:ser>
        <c:dLbls>
          <c:showLegendKey val="0"/>
          <c:showVal val="0"/>
          <c:showCatName val="0"/>
          <c:showSerName val="0"/>
          <c:showPercent val="0"/>
          <c:showBubbleSize val="0"/>
        </c:dLbls>
        <c:marker val="1"/>
        <c:smooth val="0"/>
        <c:axId val="563561456"/>
        <c:axId val="563562240"/>
      </c:lineChart>
      <c:lineChart>
        <c:grouping val="stacked"/>
        <c:varyColors val="0"/>
        <c:ser>
          <c:idx val="1"/>
          <c:order val="1"/>
          <c:tx>
            <c:strRef>
              <c:f>subindex_charts!$A$111</c:f>
              <c:strCache>
                <c:ptCount val="1"/>
                <c:pt idx="0">
                  <c:v>Rate of change</c:v>
                </c:pt>
              </c:strCache>
            </c:strRef>
          </c:tx>
          <c:marker>
            <c:symbol val="none"/>
          </c:marker>
          <c:cat>
            <c:strRef>
              <c:f>subindex_charts!$DQ$109:$EC$109</c:f>
              <c:strCache>
                <c:ptCount val="13"/>
                <c:pt idx="0">
                  <c:v>Aug</c:v>
                </c:pt>
                <c:pt idx="1">
                  <c:v>Sep</c:v>
                </c:pt>
                <c:pt idx="2">
                  <c:v>Oct</c:v>
                </c:pt>
                <c:pt idx="3">
                  <c:v>Nov</c:v>
                </c:pt>
                <c:pt idx="4">
                  <c:v>Dec-18</c:v>
                </c:pt>
                <c:pt idx="5">
                  <c:v>Jan-19</c:v>
                </c:pt>
                <c:pt idx="6">
                  <c:v>Feb-19</c:v>
                </c:pt>
                <c:pt idx="7">
                  <c:v>Mar-19</c:v>
                </c:pt>
                <c:pt idx="8">
                  <c:v>Apr-19</c:v>
                </c:pt>
                <c:pt idx="9">
                  <c:v>May-19</c:v>
                </c:pt>
                <c:pt idx="10">
                  <c:v>June-19</c:v>
                </c:pt>
                <c:pt idx="11">
                  <c:v>July-19</c:v>
                </c:pt>
                <c:pt idx="12">
                  <c:v>Aug-19</c:v>
                </c:pt>
              </c:strCache>
            </c:strRef>
          </c:cat>
          <c:val>
            <c:numRef>
              <c:f>subindex_charts!$DQ$111:$EC$111</c:f>
              <c:numCache>
                <c:formatCode>0.0%</c:formatCode>
                <c:ptCount val="13"/>
                <c:pt idx="0">
                  <c:v>5.7692307692311928E-3</c:v>
                </c:pt>
                <c:pt idx="1">
                  <c:v>2.4999999999999467E-2</c:v>
                </c:pt>
                <c:pt idx="2">
                  <c:v>-4.1666666666664298E-3</c:v>
                </c:pt>
                <c:pt idx="3">
                  <c:v>1.145833333333357E-2</c:v>
                </c:pt>
                <c:pt idx="4">
                  <c:v>1.0869565217391575E-2</c:v>
                </c:pt>
                <c:pt idx="5">
                  <c:v>5.9999999999993392E-3</c:v>
                </c:pt>
                <c:pt idx="6">
                  <c:v>0</c:v>
                </c:pt>
                <c:pt idx="7">
                  <c:v>-9.0311986863689242E-4</c:v>
                </c:pt>
                <c:pt idx="8">
                  <c:v>-9.711959496442546E-3</c:v>
                </c:pt>
                <c:pt idx="9">
                  <c:v>0</c:v>
                </c:pt>
                <c:pt idx="10">
                  <c:v>2.2727272727278702E-3</c:v>
                </c:pt>
                <c:pt idx="11">
                  <c:v>-4.4642857142855874E-3</c:v>
                </c:pt>
                <c:pt idx="12">
                  <c:v>0</c:v>
                </c:pt>
              </c:numCache>
            </c:numRef>
          </c:val>
          <c:smooth val="0"/>
          <c:extLst>
            <c:ext xmlns:c16="http://schemas.microsoft.com/office/drawing/2014/chart" uri="{C3380CC4-5D6E-409C-BE32-E72D297353CC}">
              <c16:uniqueId val="{00000001-7935-4860-BAE1-6B9CF610B333}"/>
            </c:ext>
          </c:extLst>
        </c:ser>
        <c:dLbls>
          <c:showLegendKey val="0"/>
          <c:showVal val="0"/>
          <c:showCatName val="0"/>
          <c:showSerName val="0"/>
          <c:showPercent val="0"/>
          <c:showBubbleSize val="0"/>
        </c:dLbls>
        <c:marker val="1"/>
        <c:smooth val="0"/>
        <c:axId val="564232104"/>
        <c:axId val="564234456"/>
      </c:lineChart>
      <c:catAx>
        <c:axId val="563561456"/>
        <c:scaling>
          <c:orientation val="minMax"/>
        </c:scaling>
        <c:delete val="0"/>
        <c:axPos val="b"/>
        <c:numFmt formatCode="General" sourceLinked="0"/>
        <c:majorTickMark val="out"/>
        <c:minorTickMark val="none"/>
        <c:tickLblPos val="nextTo"/>
        <c:txPr>
          <a:bodyPr/>
          <a:lstStyle/>
          <a:p>
            <a:pPr>
              <a:defRPr sz="900">
                <a:latin typeface="Arial Narrow" pitchFamily="34" charset="0"/>
              </a:defRPr>
            </a:pPr>
            <a:endParaRPr lang="en-US"/>
          </a:p>
        </c:txPr>
        <c:crossAx val="563562240"/>
        <c:crosses val="autoZero"/>
        <c:auto val="1"/>
        <c:lblAlgn val="ctr"/>
        <c:lblOffset val="100"/>
        <c:noMultiLvlLbl val="0"/>
      </c:catAx>
      <c:valAx>
        <c:axId val="563562240"/>
        <c:scaling>
          <c:orientation val="minMax"/>
          <c:min val="1300"/>
        </c:scaling>
        <c:delete val="0"/>
        <c:axPos val="l"/>
        <c:numFmt formatCode="0.0_);\(0.0\)" sourceLinked="1"/>
        <c:majorTickMark val="out"/>
        <c:minorTickMark val="none"/>
        <c:tickLblPos val="nextTo"/>
        <c:spPr>
          <a:ln>
            <a:noFill/>
          </a:ln>
        </c:spPr>
        <c:txPr>
          <a:bodyPr/>
          <a:lstStyle/>
          <a:p>
            <a:pPr>
              <a:defRPr>
                <a:solidFill>
                  <a:schemeClr val="bg1"/>
                </a:solidFill>
              </a:defRPr>
            </a:pPr>
            <a:endParaRPr lang="en-US"/>
          </a:p>
        </c:txPr>
        <c:crossAx val="563561456"/>
        <c:crosses val="autoZero"/>
        <c:crossBetween val="between"/>
      </c:valAx>
      <c:valAx>
        <c:axId val="564234456"/>
        <c:scaling>
          <c:orientation val="minMax"/>
          <c:max val="4.0000000000000008E-2"/>
          <c:min val="-2.0000000000000004E-2"/>
        </c:scaling>
        <c:delete val="0"/>
        <c:axPos val="r"/>
        <c:numFmt formatCode="0%" sourceLinked="0"/>
        <c:majorTickMark val="out"/>
        <c:minorTickMark val="none"/>
        <c:tickLblPos val="nextTo"/>
        <c:spPr>
          <a:ln>
            <a:noFill/>
          </a:ln>
        </c:spPr>
        <c:txPr>
          <a:bodyPr/>
          <a:lstStyle/>
          <a:p>
            <a:pPr>
              <a:defRPr>
                <a:solidFill>
                  <a:srgbClr val="C00000"/>
                </a:solidFill>
              </a:defRPr>
            </a:pPr>
            <a:endParaRPr lang="en-US"/>
          </a:p>
        </c:txPr>
        <c:crossAx val="564232104"/>
        <c:crosses val="max"/>
        <c:crossBetween val="between"/>
        <c:majorUnit val="2.0000000000000011E-2"/>
      </c:valAx>
      <c:catAx>
        <c:axId val="564232104"/>
        <c:scaling>
          <c:orientation val="minMax"/>
        </c:scaling>
        <c:delete val="1"/>
        <c:axPos val="b"/>
        <c:numFmt formatCode="General" sourceLinked="1"/>
        <c:majorTickMark val="out"/>
        <c:minorTickMark val="none"/>
        <c:tickLblPos val="none"/>
        <c:crossAx val="564234456"/>
        <c:crosses val="autoZero"/>
        <c:auto val="1"/>
        <c:lblAlgn val="ctr"/>
        <c:lblOffset val="100"/>
        <c:noMultiLvlLbl val="0"/>
      </c:catAx>
    </c:plotArea>
    <c:plotVisOnly val="1"/>
    <c:dispBlanksAs val="zero"/>
    <c:showDLblsOverMax val="0"/>
  </c:chart>
  <c:spPr>
    <a:ln>
      <a:noFill/>
    </a:ln>
  </c:spPr>
  <c:printSettings>
    <c:headerFooter/>
    <c:pageMargins b="0.75000000000000056" l="0.70000000000000051" r="0.70000000000000051" t="0.75000000000000056" header="0.30000000000000027" footer="0.30000000000000027"/>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190591229418718"/>
          <c:y val="0.1155008076750426"/>
          <c:w val="0.82263608353303663"/>
          <c:h val="0.54592853140758324"/>
        </c:manualLayout>
      </c:layout>
      <c:lineChart>
        <c:grouping val="stacked"/>
        <c:varyColors val="0"/>
        <c:ser>
          <c:idx val="0"/>
          <c:order val="0"/>
          <c:tx>
            <c:strRef>
              <c:f>subindex_charts!$A$115</c:f>
              <c:strCache>
                <c:ptCount val="1"/>
                <c:pt idx="0">
                  <c:v>Target: Public infrastructure/cloud</c:v>
                </c:pt>
              </c:strCache>
            </c:strRef>
          </c:tx>
          <c:marker>
            <c:symbol val="none"/>
          </c:marker>
          <c:dLbls>
            <c:spPr>
              <a:noFill/>
              <a:ln>
                <a:noFill/>
              </a:ln>
              <a:effectLst/>
            </c:spPr>
            <c:txPr>
              <a:bodyPr/>
              <a:lstStyle/>
              <a:p>
                <a:pPr>
                  <a:defRPr sz="700">
                    <a:latin typeface="Arial Narrow" pitchFamily="34" charset="0"/>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subindex_charts!$DQ$114:$EC$114</c:f>
              <c:strCache>
                <c:ptCount val="13"/>
                <c:pt idx="0">
                  <c:v>Aug</c:v>
                </c:pt>
                <c:pt idx="1">
                  <c:v>Sep</c:v>
                </c:pt>
                <c:pt idx="2">
                  <c:v>Oct</c:v>
                </c:pt>
                <c:pt idx="3">
                  <c:v>Nov</c:v>
                </c:pt>
                <c:pt idx="4">
                  <c:v>Dec-18</c:v>
                </c:pt>
                <c:pt idx="5">
                  <c:v>Jan-19</c:v>
                </c:pt>
                <c:pt idx="6">
                  <c:v>Feb-19</c:v>
                </c:pt>
                <c:pt idx="7">
                  <c:v>Mar-19</c:v>
                </c:pt>
                <c:pt idx="8">
                  <c:v>Apr-19</c:v>
                </c:pt>
                <c:pt idx="9">
                  <c:v>May-19</c:v>
                </c:pt>
                <c:pt idx="10">
                  <c:v>June-19</c:v>
                </c:pt>
                <c:pt idx="11">
                  <c:v>July-19</c:v>
                </c:pt>
                <c:pt idx="12">
                  <c:v>Aug-19</c:v>
                </c:pt>
              </c:strCache>
            </c:strRef>
          </c:cat>
          <c:val>
            <c:numRef>
              <c:f>subindex_charts!$DQ$115:$EC$115</c:f>
              <c:numCache>
                <c:formatCode>0.0_);\(0.0\)</c:formatCode>
                <c:ptCount val="13"/>
                <c:pt idx="0">
                  <c:v>3481.0743162765457</c:v>
                </c:pt>
                <c:pt idx="1">
                  <c:v>3557.5783981010959</c:v>
                </c:pt>
                <c:pt idx="2">
                  <c:v>3542.7859936859149</c:v>
                </c:pt>
                <c:pt idx="3">
                  <c:v>3606.0816048433189</c:v>
                </c:pt>
                <c:pt idx="4">
                  <c:v>3673.3351723251135</c:v>
                </c:pt>
                <c:pt idx="5">
                  <c:v>3736.3156878632713</c:v>
                </c:pt>
                <c:pt idx="6">
                  <c:v>3751.9161482851428</c:v>
                </c:pt>
                <c:pt idx="7">
                  <c:v>3603.898844711794</c:v>
                </c:pt>
                <c:pt idx="8">
                  <c:v>3921.261870544568</c:v>
                </c:pt>
                <c:pt idx="9">
                  <c:v>3966.7692374330568</c:v>
                </c:pt>
                <c:pt idx="10">
                  <c:v>4036.4928629203696</c:v>
                </c:pt>
                <c:pt idx="11">
                  <c:v>4120.2421091901333</c:v>
                </c:pt>
                <c:pt idx="12">
                  <c:v>4120.2421091901333</c:v>
                </c:pt>
              </c:numCache>
            </c:numRef>
          </c:val>
          <c:smooth val="0"/>
          <c:extLst>
            <c:ext xmlns:c16="http://schemas.microsoft.com/office/drawing/2014/chart" uri="{C3380CC4-5D6E-409C-BE32-E72D297353CC}">
              <c16:uniqueId val="{00000000-E5F9-4116-BC49-7BB582A07273}"/>
            </c:ext>
          </c:extLst>
        </c:ser>
        <c:dLbls>
          <c:showLegendKey val="0"/>
          <c:showVal val="0"/>
          <c:showCatName val="0"/>
          <c:showSerName val="0"/>
          <c:showPercent val="0"/>
          <c:showBubbleSize val="0"/>
        </c:dLbls>
        <c:marker val="1"/>
        <c:smooth val="0"/>
        <c:axId val="564231320"/>
        <c:axId val="564233672"/>
      </c:lineChart>
      <c:lineChart>
        <c:grouping val="stacked"/>
        <c:varyColors val="0"/>
        <c:ser>
          <c:idx val="1"/>
          <c:order val="1"/>
          <c:tx>
            <c:strRef>
              <c:f>subindex_charts!$A$116</c:f>
              <c:strCache>
                <c:ptCount val="1"/>
                <c:pt idx="0">
                  <c:v>Rate of change</c:v>
                </c:pt>
              </c:strCache>
            </c:strRef>
          </c:tx>
          <c:marker>
            <c:symbol val="none"/>
          </c:marker>
          <c:cat>
            <c:strRef>
              <c:f>subindex_charts!$DQ$114:$EC$114</c:f>
              <c:strCache>
                <c:ptCount val="13"/>
                <c:pt idx="0">
                  <c:v>Aug</c:v>
                </c:pt>
                <c:pt idx="1">
                  <c:v>Sep</c:v>
                </c:pt>
                <c:pt idx="2">
                  <c:v>Oct</c:v>
                </c:pt>
                <c:pt idx="3">
                  <c:v>Nov</c:v>
                </c:pt>
                <c:pt idx="4">
                  <c:v>Dec-18</c:v>
                </c:pt>
                <c:pt idx="5">
                  <c:v>Jan-19</c:v>
                </c:pt>
                <c:pt idx="6">
                  <c:v>Feb-19</c:v>
                </c:pt>
                <c:pt idx="7">
                  <c:v>Mar-19</c:v>
                </c:pt>
                <c:pt idx="8">
                  <c:v>Apr-19</c:v>
                </c:pt>
                <c:pt idx="9">
                  <c:v>May-19</c:v>
                </c:pt>
                <c:pt idx="10">
                  <c:v>June-19</c:v>
                </c:pt>
                <c:pt idx="11">
                  <c:v>July-19</c:v>
                </c:pt>
                <c:pt idx="12">
                  <c:v>Aug-19</c:v>
                </c:pt>
              </c:strCache>
            </c:strRef>
          </c:cat>
          <c:val>
            <c:numRef>
              <c:f>subindex_charts!$DQ$116:$EC$116</c:f>
              <c:numCache>
                <c:formatCode>0.0%</c:formatCode>
                <c:ptCount val="13"/>
                <c:pt idx="0">
                  <c:v>2.0192307692308731E-2</c:v>
                </c:pt>
                <c:pt idx="1">
                  <c:v>2.1739130434781373E-2</c:v>
                </c:pt>
                <c:pt idx="2">
                  <c:v>-4.1666666666664298E-3</c:v>
                </c:pt>
                <c:pt idx="3">
                  <c:v>1.7708333333333215E-2</c:v>
                </c:pt>
                <c:pt idx="4">
                  <c:v>1.8478260869565943E-2</c:v>
                </c:pt>
                <c:pt idx="5">
                  <c:v>1.699999999999946E-2</c:v>
                </c:pt>
                <c:pt idx="6">
                  <c:v>4.1666666666664298E-3</c:v>
                </c:pt>
                <c:pt idx="7">
                  <c:v>-4.0250410509029777E-2</c:v>
                </c:pt>
                <c:pt idx="8">
                  <c:v>8.4397235905855794E-2</c:v>
                </c:pt>
                <c:pt idx="9">
                  <c:v>1.1538461538462386E-2</c:v>
                </c:pt>
                <c:pt idx="10">
                  <c:v>1.7424242424240788E-2</c:v>
                </c:pt>
                <c:pt idx="11">
                  <c:v>2.0535714285715656E-2</c:v>
                </c:pt>
                <c:pt idx="12">
                  <c:v>0</c:v>
                </c:pt>
              </c:numCache>
            </c:numRef>
          </c:val>
          <c:smooth val="0"/>
          <c:extLst>
            <c:ext xmlns:c16="http://schemas.microsoft.com/office/drawing/2014/chart" uri="{C3380CC4-5D6E-409C-BE32-E72D297353CC}">
              <c16:uniqueId val="{00000001-E5F9-4116-BC49-7BB582A07273}"/>
            </c:ext>
          </c:extLst>
        </c:ser>
        <c:dLbls>
          <c:showLegendKey val="0"/>
          <c:showVal val="0"/>
          <c:showCatName val="0"/>
          <c:showSerName val="0"/>
          <c:showPercent val="0"/>
          <c:showBubbleSize val="0"/>
        </c:dLbls>
        <c:marker val="1"/>
        <c:smooth val="0"/>
        <c:axId val="564233280"/>
        <c:axId val="564234848"/>
      </c:lineChart>
      <c:catAx>
        <c:axId val="564231320"/>
        <c:scaling>
          <c:orientation val="minMax"/>
        </c:scaling>
        <c:delete val="0"/>
        <c:axPos val="b"/>
        <c:numFmt formatCode="General" sourceLinked="0"/>
        <c:majorTickMark val="out"/>
        <c:minorTickMark val="none"/>
        <c:tickLblPos val="nextTo"/>
        <c:txPr>
          <a:bodyPr/>
          <a:lstStyle/>
          <a:p>
            <a:pPr>
              <a:defRPr sz="900">
                <a:latin typeface="Arial Narrow" pitchFamily="34" charset="0"/>
              </a:defRPr>
            </a:pPr>
            <a:endParaRPr lang="en-US"/>
          </a:p>
        </c:txPr>
        <c:crossAx val="564233672"/>
        <c:crosses val="autoZero"/>
        <c:auto val="1"/>
        <c:lblAlgn val="ctr"/>
        <c:lblOffset val="100"/>
        <c:noMultiLvlLbl val="0"/>
      </c:catAx>
      <c:valAx>
        <c:axId val="564233672"/>
        <c:scaling>
          <c:orientation val="minMax"/>
          <c:min val="900"/>
        </c:scaling>
        <c:delete val="0"/>
        <c:axPos val="l"/>
        <c:numFmt formatCode="0.0_);\(0.0\)" sourceLinked="1"/>
        <c:majorTickMark val="out"/>
        <c:minorTickMark val="none"/>
        <c:tickLblPos val="nextTo"/>
        <c:spPr>
          <a:ln>
            <a:noFill/>
          </a:ln>
        </c:spPr>
        <c:txPr>
          <a:bodyPr/>
          <a:lstStyle/>
          <a:p>
            <a:pPr>
              <a:defRPr>
                <a:solidFill>
                  <a:schemeClr val="bg1"/>
                </a:solidFill>
              </a:defRPr>
            </a:pPr>
            <a:endParaRPr lang="en-US"/>
          </a:p>
        </c:txPr>
        <c:crossAx val="564231320"/>
        <c:crosses val="autoZero"/>
        <c:crossBetween val="between"/>
      </c:valAx>
      <c:valAx>
        <c:axId val="564234848"/>
        <c:scaling>
          <c:orientation val="minMax"/>
          <c:max val="4.5000000000000012E-2"/>
          <c:min val="-1.5000000000000003E-2"/>
        </c:scaling>
        <c:delete val="0"/>
        <c:axPos val="r"/>
        <c:numFmt formatCode="0%" sourceLinked="0"/>
        <c:majorTickMark val="out"/>
        <c:minorTickMark val="none"/>
        <c:tickLblPos val="nextTo"/>
        <c:spPr>
          <a:ln>
            <a:noFill/>
          </a:ln>
        </c:spPr>
        <c:txPr>
          <a:bodyPr/>
          <a:lstStyle/>
          <a:p>
            <a:pPr>
              <a:defRPr>
                <a:solidFill>
                  <a:srgbClr val="C00000"/>
                </a:solidFill>
              </a:defRPr>
            </a:pPr>
            <a:endParaRPr lang="en-US"/>
          </a:p>
        </c:txPr>
        <c:crossAx val="564233280"/>
        <c:crosses val="max"/>
        <c:crossBetween val="between"/>
        <c:majorUnit val="2.0000000000000011E-2"/>
        <c:minorUnit val="1.0000000000000005E-2"/>
      </c:valAx>
      <c:catAx>
        <c:axId val="564233280"/>
        <c:scaling>
          <c:orientation val="minMax"/>
        </c:scaling>
        <c:delete val="1"/>
        <c:axPos val="b"/>
        <c:numFmt formatCode="General" sourceLinked="1"/>
        <c:majorTickMark val="out"/>
        <c:minorTickMark val="none"/>
        <c:tickLblPos val="none"/>
        <c:crossAx val="564234848"/>
        <c:crosses val="autoZero"/>
        <c:auto val="1"/>
        <c:lblAlgn val="ctr"/>
        <c:lblOffset val="100"/>
        <c:noMultiLvlLbl val="0"/>
      </c:catAx>
    </c:plotArea>
    <c:plotVisOnly val="1"/>
    <c:dispBlanksAs val="zero"/>
    <c:showDLblsOverMax val="0"/>
  </c:chart>
  <c:spPr>
    <a:ln>
      <a:noFill/>
    </a:ln>
  </c:spPr>
  <c:printSettings>
    <c:headerFooter/>
    <c:pageMargins b="0.75000000000000056" l="0.70000000000000051" r="0.70000000000000051" t="0.75000000000000056" header="0.30000000000000027" footer="0.30000000000000027"/>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190591229418718"/>
          <c:y val="0.1155008076750426"/>
          <c:w val="0.82263608353303663"/>
          <c:h val="0.54592853140758324"/>
        </c:manualLayout>
      </c:layout>
      <c:lineChart>
        <c:grouping val="stacked"/>
        <c:varyColors val="0"/>
        <c:ser>
          <c:idx val="0"/>
          <c:order val="0"/>
          <c:tx>
            <c:strRef>
              <c:f>subindex_charts!$A$120</c:f>
              <c:strCache>
                <c:ptCount val="1"/>
                <c:pt idx="0">
                  <c:v>Target: Autonomous network connected devices</c:v>
                </c:pt>
              </c:strCache>
            </c:strRef>
          </c:tx>
          <c:marker>
            <c:symbol val="none"/>
          </c:marker>
          <c:dLbls>
            <c:spPr>
              <a:noFill/>
              <a:ln>
                <a:noFill/>
              </a:ln>
              <a:effectLst/>
            </c:spPr>
            <c:txPr>
              <a:bodyPr/>
              <a:lstStyle/>
              <a:p>
                <a:pPr>
                  <a:defRPr sz="700">
                    <a:latin typeface="Arial Narrow" pitchFamily="34" charset="0"/>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subindex_charts!$DQ$119:$EC$119</c:f>
              <c:strCache>
                <c:ptCount val="13"/>
                <c:pt idx="0">
                  <c:v>Aug</c:v>
                </c:pt>
                <c:pt idx="1">
                  <c:v>Sep</c:v>
                </c:pt>
                <c:pt idx="2">
                  <c:v>Oct</c:v>
                </c:pt>
                <c:pt idx="3">
                  <c:v>Nov</c:v>
                </c:pt>
                <c:pt idx="4">
                  <c:v>Dec-18</c:v>
                </c:pt>
                <c:pt idx="5">
                  <c:v>Jan-19</c:v>
                </c:pt>
                <c:pt idx="6">
                  <c:v>Feb-19</c:v>
                </c:pt>
                <c:pt idx="7">
                  <c:v>Mar-19</c:v>
                </c:pt>
                <c:pt idx="8">
                  <c:v>Apr-19</c:v>
                </c:pt>
                <c:pt idx="9">
                  <c:v>May-19</c:v>
                </c:pt>
                <c:pt idx="10">
                  <c:v>June-19</c:v>
                </c:pt>
                <c:pt idx="11">
                  <c:v>July-19</c:v>
                </c:pt>
                <c:pt idx="12">
                  <c:v>Aug-19</c:v>
                </c:pt>
              </c:strCache>
            </c:strRef>
          </c:cat>
          <c:val>
            <c:numRef>
              <c:f>subindex_charts!$DQ$120:$EC$120</c:f>
              <c:numCache>
                <c:formatCode>0.0_);\(0.0\)</c:formatCode>
                <c:ptCount val="13"/>
                <c:pt idx="0">
                  <c:v>1671.900076452233</c:v>
                </c:pt>
                <c:pt idx="1">
                  <c:v>1677.360823080063</c:v>
                </c:pt>
                <c:pt idx="2">
                  <c:v>1677.360823080063</c:v>
                </c:pt>
                <c:pt idx="3">
                  <c:v>1702.0015704983928</c:v>
                </c:pt>
                <c:pt idx="4">
                  <c:v>1702.0015704983928</c:v>
                </c:pt>
                <c:pt idx="5">
                  <c:v>1703.7044233534143</c:v>
                </c:pt>
                <c:pt idx="6">
                  <c:v>1717.9612812845364</c:v>
                </c:pt>
                <c:pt idx="7">
                  <c:v>1705.7338506577876</c:v>
                </c:pt>
                <c:pt idx="8">
                  <c:v>1699.4842015275076</c:v>
                </c:pt>
                <c:pt idx="9">
                  <c:v>1694.5889071690603</c:v>
                </c:pt>
                <c:pt idx="10">
                  <c:v>1710.0644978836981</c:v>
                </c:pt>
                <c:pt idx="11">
                  <c:v>1693.3514290168819</c:v>
                </c:pt>
                <c:pt idx="12">
                  <c:v>1693.3514290168819</c:v>
                </c:pt>
              </c:numCache>
            </c:numRef>
          </c:val>
          <c:smooth val="0"/>
          <c:extLst>
            <c:ext xmlns:c16="http://schemas.microsoft.com/office/drawing/2014/chart" uri="{C3380CC4-5D6E-409C-BE32-E72D297353CC}">
              <c16:uniqueId val="{00000000-A4A8-4C41-B16F-79EFE03C8517}"/>
            </c:ext>
          </c:extLst>
        </c:ser>
        <c:dLbls>
          <c:showLegendKey val="0"/>
          <c:showVal val="0"/>
          <c:showCatName val="0"/>
          <c:showSerName val="0"/>
          <c:showPercent val="0"/>
          <c:showBubbleSize val="0"/>
        </c:dLbls>
        <c:marker val="1"/>
        <c:smooth val="0"/>
        <c:axId val="564234064"/>
        <c:axId val="564235632"/>
      </c:lineChart>
      <c:lineChart>
        <c:grouping val="stacked"/>
        <c:varyColors val="0"/>
        <c:ser>
          <c:idx val="1"/>
          <c:order val="1"/>
          <c:tx>
            <c:strRef>
              <c:f>subindex_charts!$A$121</c:f>
              <c:strCache>
                <c:ptCount val="1"/>
                <c:pt idx="0">
                  <c:v>Rate of change</c:v>
                </c:pt>
              </c:strCache>
            </c:strRef>
          </c:tx>
          <c:marker>
            <c:symbol val="none"/>
          </c:marker>
          <c:cat>
            <c:strRef>
              <c:f>subindex_charts!$DQ$119:$EC$119</c:f>
              <c:strCache>
                <c:ptCount val="13"/>
                <c:pt idx="0">
                  <c:v>Aug</c:v>
                </c:pt>
                <c:pt idx="1">
                  <c:v>Sep</c:v>
                </c:pt>
                <c:pt idx="2">
                  <c:v>Oct</c:v>
                </c:pt>
                <c:pt idx="3">
                  <c:v>Nov</c:v>
                </c:pt>
                <c:pt idx="4">
                  <c:v>Dec-18</c:v>
                </c:pt>
                <c:pt idx="5">
                  <c:v>Jan-19</c:v>
                </c:pt>
                <c:pt idx="6">
                  <c:v>Feb-19</c:v>
                </c:pt>
                <c:pt idx="7">
                  <c:v>Mar-19</c:v>
                </c:pt>
                <c:pt idx="8">
                  <c:v>Apr-19</c:v>
                </c:pt>
                <c:pt idx="9">
                  <c:v>May-19</c:v>
                </c:pt>
                <c:pt idx="10">
                  <c:v>June-19</c:v>
                </c:pt>
                <c:pt idx="11">
                  <c:v>July-19</c:v>
                </c:pt>
                <c:pt idx="12">
                  <c:v>Aug-19</c:v>
                </c:pt>
              </c:strCache>
            </c:strRef>
          </c:cat>
          <c:val>
            <c:numRef>
              <c:f>subindex_charts!$DQ$121:$EC$121</c:f>
              <c:numCache>
                <c:formatCode>0.0%</c:formatCode>
                <c:ptCount val="13"/>
                <c:pt idx="0">
                  <c:v>5.7692307692311928E-3</c:v>
                </c:pt>
                <c:pt idx="1">
                  <c:v>3.2608695652172059E-3</c:v>
                </c:pt>
                <c:pt idx="2">
                  <c:v>0</c:v>
                </c:pt>
                <c:pt idx="3">
                  <c:v>1.4583333333333393E-2</c:v>
                </c:pt>
                <c:pt idx="4">
                  <c:v>0</c:v>
                </c:pt>
                <c:pt idx="5">
                  <c:v>1.000000000000334E-3</c:v>
                </c:pt>
                <c:pt idx="6">
                  <c:v>8.3333333333328596E-3</c:v>
                </c:pt>
                <c:pt idx="7">
                  <c:v>-7.1428571428571175E-3</c:v>
                </c:pt>
                <c:pt idx="8">
                  <c:v>-3.6706349206347966E-3</c:v>
                </c:pt>
                <c:pt idx="9">
                  <c:v>-2.8846153846151523E-3</c:v>
                </c:pt>
                <c:pt idx="10">
                  <c:v>9.0909090909088164E-3</c:v>
                </c:pt>
                <c:pt idx="11">
                  <c:v>-9.8214285714286476E-3</c:v>
                </c:pt>
                <c:pt idx="12">
                  <c:v>0</c:v>
                </c:pt>
              </c:numCache>
            </c:numRef>
          </c:val>
          <c:smooth val="0"/>
          <c:extLst>
            <c:ext xmlns:c16="http://schemas.microsoft.com/office/drawing/2014/chart" uri="{C3380CC4-5D6E-409C-BE32-E72D297353CC}">
              <c16:uniqueId val="{00000001-A4A8-4C41-B16F-79EFE03C8517}"/>
            </c:ext>
          </c:extLst>
        </c:ser>
        <c:dLbls>
          <c:showLegendKey val="0"/>
          <c:showVal val="0"/>
          <c:showCatName val="0"/>
          <c:showSerName val="0"/>
          <c:showPercent val="0"/>
          <c:showBubbleSize val="0"/>
        </c:dLbls>
        <c:marker val="1"/>
        <c:smooth val="0"/>
        <c:axId val="564232888"/>
        <c:axId val="564228184"/>
      </c:lineChart>
      <c:catAx>
        <c:axId val="564234064"/>
        <c:scaling>
          <c:orientation val="minMax"/>
        </c:scaling>
        <c:delete val="0"/>
        <c:axPos val="b"/>
        <c:numFmt formatCode="General" sourceLinked="0"/>
        <c:majorTickMark val="out"/>
        <c:minorTickMark val="none"/>
        <c:tickLblPos val="nextTo"/>
        <c:txPr>
          <a:bodyPr/>
          <a:lstStyle/>
          <a:p>
            <a:pPr>
              <a:defRPr sz="900">
                <a:latin typeface="Arial Narrow" pitchFamily="34" charset="0"/>
              </a:defRPr>
            </a:pPr>
            <a:endParaRPr lang="en-US"/>
          </a:p>
        </c:txPr>
        <c:crossAx val="564235632"/>
        <c:crosses val="autoZero"/>
        <c:auto val="1"/>
        <c:lblAlgn val="ctr"/>
        <c:lblOffset val="100"/>
        <c:noMultiLvlLbl val="0"/>
      </c:catAx>
      <c:valAx>
        <c:axId val="564235632"/>
        <c:scaling>
          <c:orientation val="minMax"/>
          <c:min val="950"/>
        </c:scaling>
        <c:delete val="0"/>
        <c:axPos val="l"/>
        <c:numFmt formatCode="0.0_);\(0.0\)" sourceLinked="1"/>
        <c:majorTickMark val="out"/>
        <c:minorTickMark val="none"/>
        <c:tickLblPos val="nextTo"/>
        <c:spPr>
          <a:ln>
            <a:noFill/>
          </a:ln>
        </c:spPr>
        <c:txPr>
          <a:bodyPr/>
          <a:lstStyle/>
          <a:p>
            <a:pPr>
              <a:defRPr>
                <a:solidFill>
                  <a:schemeClr val="bg1"/>
                </a:solidFill>
              </a:defRPr>
            </a:pPr>
            <a:endParaRPr lang="en-US"/>
          </a:p>
        </c:txPr>
        <c:crossAx val="564234064"/>
        <c:crosses val="autoZero"/>
        <c:crossBetween val="between"/>
      </c:valAx>
      <c:valAx>
        <c:axId val="564228184"/>
        <c:scaling>
          <c:orientation val="minMax"/>
          <c:max val="5.000000000000001E-2"/>
          <c:min val="-1.0000000000000002E-2"/>
        </c:scaling>
        <c:delete val="0"/>
        <c:axPos val="r"/>
        <c:numFmt formatCode="0%" sourceLinked="0"/>
        <c:majorTickMark val="out"/>
        <c:minorTickMark val="none"/>
        <c:tickLblPos val="nextTo"/>
        <c:spPr>
          <a:ln>
            <a:noFill/>
          </a:ln>
        </c:spPr>
        <c:txPr>
          <a:bodyPr/>
          <a:lstStyle/>
          <a:p>
            <a:pPr>
              <a:defRPr>
                <a:solidFill>
                  <a:srgbClr val="C00000"/>
                </a:solidFill>
              </a:defRPr>
            </a:pPr>
            <a:endParaRPr lang="en-US"/>
          </a:p>
        </c:txPr>
        <c:crossAx val="564232888"/>
        <c:crosses val="max"/>
        <c:crossBetween val="between"/>
        <c:majorUnit val="2.0000000000000011E-2"/>
      </c:valAx>
      <c:catAx>
        <c:axId val="564232888"/>
        <c:scaling>
          <c:orientation val="minMax"/>
        </c:scaling>
        <c:delete val="1"/>
        <c:axPos val="b"/>
        <c:numFmt formatCode="General" sourceLinked="1"/>
        <c:majorTickMark val="out"/>
        <c:minorTickMark val="none"/>
        <c:tickLblPos val="none"/>
        <c:crossAx val="564228184"/>
        <c:crosses val="autoZero"/>
        <c:auto val="1"/>
        <c:lblAlgn val="ctr"/>
        <c:lblOffset val="100"/>
        <c:noMultiLvlLbl val="0"/>
      </c:catAx>
    </c:plotArea>
    <c:plotVisOnly val="1"/>
    <c:dispBlanksAs val="zero"/>
    <c:showDLblsOverMax val="0"/>
  </c:chart>
  <c:spPr>
    <a:ln>
      <a:noFill/>
    </a:ln>
  </c:spPr>
  <c:printSettings>
    <c:headerFooter/>
    <c:pageMargins b="0.75000000000000056" l="0.70000000000000051" r="0.70000000000000051" t="0.75000000000000056" header="0.30000000000000027" footer="0.30000000000000027"/>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190591229418718"/>
          <c:y val="0.1155008076750426"/>
          <c:w val="0.82263608353303663"/>
          <c:h val="0.54592853140758324"/>
        </c:manualLayout>
      </c:layout>
      <c:lineChart>
        <c:grouping val="stacked"/>
        <c:varyColors val="0"/>
        <c:ser>
          <c:idx val="0"/>
          <c:order val="0"/>
          <c:tx>
            <c:strRef>
              <c:f>subindex_charts!$A$125</c:f>
              <c:strCache>
                <c:ptCount val="1"/>
                <c:pt idx="0">
                  <c:v>Target: Counterparties</c:v>
                </c:pt>
              </c:strCache>
            </c:strRef>
          </c:tx>
          <c:marker>
            <c:symbol val="none"/>
          </c:marker>
          <c:dLbls>
            <c:spPr>
              <a:noFill/>
              <a:ln>
                <a:noFill/>
              </a:ln>
              <a:effectLst/>
            </c:spPr>
            <c:txPr>
              <a:bodyPr/>
              <a:lstStyle/>
              <a:p>
                <a:pPr>
                  <a:defRPr sz="700">
                    <a:latin typeface="Arial Narrow" pitchFamily="34" charset="0"/>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subindex_charts!$DQ$124:$EC$124</c:f>
              <c:strCache>
                <c:ptCount val="13"/>
                <c:pt idx="0">
                  <c:v>Aug</c:v>
                </c:pt>
                <c:pt idx="1">
                  <c:v>Sep</c:v>
                </c:pt>
                <c:pt idx="2">
                  <c:v>Oct</c:v>
                </c:pt>
                <c:pt idx="3">
                  <c:v>Nov</c:v>
                </c:pt>
                <c:pt idx="4">
                  <c:v>Dec-18</c:v>
                </c:pt>
                <c:pt idx="5">
                  <c:v>Jan-19</c:v>
                </c:pt>
                <c:pt idx="6">
                  <c:v>Feb-19</c:v>
                </c:pt>
                <c:pt idx="7">
                  <c:v>Mar-19</c:v>
                </c:pt>
                <c:pt idx="8">
                  <c:v>Apr-19</c:v>
                </c:pt>
                <c:pt idx="9">
                  <c:v>May-19</c:v>
                </c:pt>
                <c:pt idx="10">
                  <c:v>June-19</c:v>
                </c:pt>
                <c:pt idx="11">
                  <c:v>July-19</c:v>
                </c:pt>
                <c:pt idx="12">
                  <c:v>Aug-19</c:v>
                </c:pt>
              </c:strCache>
            </c:strRef>
          </c:cat>
          <c:val>
            <c:numRef>
              <c:f>subindex_charts!$DQ$125:$EC$125</c:f>
              <c:numCache>
                <c:formatCode>0.0_);\(0.0\)</c:formatCode>
                <c:ptCount val="13"/>
                <c:pt idx="0">
                  <c:v>7391.1683063224591</c:v>
                </c:pt>
                <c:pt idx="1">
                  <c:v>7457.9890634469202</c:v>
                </c:pt>
                <c:pt idx="2">
                  <c:v>7705.8372265316157</c:v>
                </c:pt>
                <c:pt idx="3">
                  <c:v>7943.9680564034188</c:v>
                </c:pt>
                <c:pt idx="4">
                  <c:v>8066.2660772412282</c:v>
                </c:pt>
                <c:pt idx="5">
                  <c:v>8261.8539933595166</c:v>
                </c:pt>
                <c:pt idx="6">
                  <c:v>8526.4300412774737</c:v>
                </c:pt>
                <c:pt idx="7">
                  <c:v>8672.6184326187904</c:v>
                </c:pt>
                <c:pt idx="8">
                  <c:v>8818.373323311358</c:v>
                </c:pt>
                <c:pt idx="9">
                  <c:v>9059.8169603472106</c:v>
                </c:pt>
                <c:pt idx="10">
                  <c:v>9225.5454120343366</c:v>
                </c:pt>
                <c:pt idx="11">
                  <c:v>9296.784792310862</c:v>
                </c:pt>
                <c:pt idx="12">
                  <c:v>9445.8709549391442</c:v>
                </c:pt>
              </c:numCache>
            </c:numRef>
          </c:val>
          <c:smooth val="0"/>
          <c:extLst>
            <c:ext xmlns:c16="http://schemas.microsoft.com/office/drawing/2014/chart" uri="{C3380CC4-5D6E-409C-BE32-E72D297353CC}">
              <c16:uniqueId val="{00000000-36BD-4E70-A896-A6C8C7DE7D14}"/>
            </c:ext>
          </c:extLst>
        </c:ser>
        <c:dLbls>
          <c:showLegendKey val="0"/>
          <c:showVal val="0"/>
          <c:showCatName val="0"/>
          <c:showSerName val="0"/>
          <c:showPercent val="0"/>
          <c:showBubbleSize val="0"/>
        </c:dLbls>
        <c:marker val="1"/>
        <c:smooth val="0"/>
        <c:axId val="564228576"/>
        <c:axId val="564231712"/>
      </c:lineChart>
      <c:lineChart>
        <c:grouping val="stacked"/>
        <c:varyColors val="0"/>
        <c:ser>
          <c:idx val="1"/>
          <c:order val="1"/>
          <c:tx>
            <c:strRef>
              <c:f>subindex_charts!$A$126</c:f>
              <c:strCache>
                <c:ptCount val="1"/>
                <c:pt idx="0">
                  <c:v>Rate of change</c:v>
                </c:pt>
              </c:strCache>
            </c:strRef>
          </c:tx>
          <c:marker>
            <c:symbol val="none"/>
          </c:marker>
          <c:cat>
            <c:strRef>
              <c:f>subindex_charts!$DQ$124:$EC$124</c:f>
              <c:strCache>
                <c:ptCount val="13"/>
                <c:pt idx="0">
                  <c:v>Aug</c:v>
                </c:pt>
                <c:pt idx="1">
                  <c:v>Sep</c:v>
                </c:pt>
                <c:pt idx="2">
                  <c:v>Oct</c:v>
                </c:pt>
                <c:pt idx="3">
                  <c:v>Nov</c:v>
                </c:pt>
                <c:pt idx="4">
                  <c:v>Dec-18</c:v>
                </c:pt>
                <c:pt idx="5">
                  <c:v>Jan-19</c:v>
                </c:pt>
                <c:pt idx="6">
                  <c:v>Feb-19</c:v>
                </c:pt>
                <c:pt idx="7">
                  <c:v>Mar-19</c:v>
                </c:pt>
                <c:pt idx="8">
                  <c:v>Apr-19</c:v>
                </c:pt>
                <c:pt idx="9">
                  <c:v>May-19</c:v>
                </c:pt>
                <c:pt idx="10">
                  <c:v>June-19</c:v>
                </c:pt>
                <c:pt idx="11">
                  <c:v>July-19</c:v>
                </c:pt>
                <c:pt idx="12">
                  <c:v>Aug-19</c:v>
                </c:pt>
              </c:strCache>
            </c:strRef>
          </c:cat>
          <c:val>
            <c:numRef>
              <c:f>subindex_charts!$DQ$126:$EC$126</c:f>
              <c:numCache>
                <c:formatCode>0.0%</c:formatCode>
                <c:ptCount val="13"/>
                <c:pt idx="0">
                  <c:v>2.1875000000001421E-2</c:v>
                </c:pt>
                <c:pt idx="1">
                  <c:v>9.0000000000003411E-3</c:v>
                </c:pt>
                <c:pt idx="2">
                  <c:v>3.2692307692306244E-2</c:v>
                </c:pt>
                <c:pt idx="3">
                  <c:v>3.0434782608695699E-2</c:v>
                </c:pt>
                <c:pt idx="4">
                  <c:v>1.5277777777779278E-2</c:v>
                </c:pt>
                <c:pt idx="5">
                  <c:v>2.395833333333286E-2</c:v>
                </c:pt>
                <c:pt idx="6">
                  <c:v>3.1521739130434767E-2</c:v>
                </c:pt>
                <c:pt idx="7">
                  <c:v>1.699999999999946E-2</c:v>
                </c:pt>
                <c:pt idx="8">
                  <c:v>1.6666666666667496E-2</c:v>
                </c:pt>
                <c:pt idx="9">
                  <c:v>2.7011494252873192E-2</c:v>
                </c:pt>
                <c:pt idx="10">
                  <c:v>1.8127394636014316E-2</c:v>
                </c:pt>
                <c:pt idx="11">
                  <c:v>7.692307692307665E-3</c:v>
                </c:pt>
                <c:pt idx="12">
                  <c:v>1.5909090909092427E-2</c:v>
                </c:pt>
              </c:numCache>
            </c:numRef>
          </c:val>
          <c:smooth val="0"/>
          <c:extLst>
            <c:ext xmlns:c16="http://schemas.microsoft.com/office/drawing/2014/chart" uri="{C3380CC4-5D6E-409C-BE32-E72D297353CC}">
              <c16:uniqueId val="{00000001-36BD-4E70-A896-A6C8C7DE7D14}"/>
            </c:ext>
          </c:extLst>
        </c:ser>
        <c:dLbls>
          <c:showLegendKey val="0"/>
          <c:showVal val="0"/>
          <c:showCatName val="0"/>
          <c:showSerName val="0"/>
          <c:showPercent val="0"/>
          <c:showBubbleSize val="0"/>
        </c:dLbls>
        <c:marker val="1"/>
        <c:smooth val="0"/>
        <c:axId val="564229360"/>
        <c:axId val="564228968"/>
      </c:lineChart>
      <c:catAx>
        <c:axId val="564228576"/>
        <c:scaling>
          <c:orientation val="minMax"/>
        </c:scaling>
        <c:delete val="0"/>
        <c:axPos val="b"/>
        <c:numFmt formatCode="General" sourceLinked="0"/>
        <c:majorTickMark val="out"/>
        <c:minorTickMark val="none"/>
        <c:tickLblPos val="nextTo"/>
        <c:txPr>
          <a:bodyPr/>
          <a:lstStyle/>
          <a:p>
            <a:pPr>
              <a:defRPr sz="900">
                <a:latin typeface="Arial Narrow" pitchFamily="34" charset="0"/>
              </a:defRPr>
            </a:pPr>
            <a:endParaRPr lang="en-US"/>
          </a:p>
        </c:txPr>
        <c:crossAx val="564231712"/>
        <c:crosses val="autoZero"/>
        <c:auto val="1"/>
        <c:lblAlgn val="ctr"/>
        <c:lblOffset val="100"/>
        <c:noMultiLvlLbl val="0"/>
      </c:catAx>
      <c:valAx>
        <c:axId val="564231712"/>
        <c:scaling>
          <c:orientation val="minMax"/>
          <c:min val="1400"/>
        </c:scaling>
        <c:delete val="0"/>
        <c:axPos val="l"/>
        <c:numFmt formatCode="0.0_);\(0.0\)" sourceLinked="1"/>
        <c:majorTickMark val="out"/>
        <c:minorTickMark val="none"/>
        <c:tickLblPos val="nextTo"/>
        <c:spPr>
          <a:ln>
            <a:noFill/>
          </a:ln>
        </c:spPr>
        <c:txPr>
          <a:bodyPr/>
          <a:lstStyle/>
          <a:p>
            <a:pPr>
              <a:defRPr>
                <a:solidFill>
                  <a:schemeClr val="bg1"/>
                </a:solidFill>
              </a:defRPr>
            </a:pPr>
            <a:endParaRPr lang="en-US"/>
          </a:p>
        </c:txPr>
        <c:crossAx val="564228576"/>
        <c:crosses val="autoZero"/>
        <c:crossBetween val="between"/>
      </c:valAx>
      <c:valAx>
        <c:axId val="564228968"/>
        <c:scaling>
          <c:orientation val="minMax"/>
          <c:max val="6.0000000000000012E-2"/>
          <c:min val="0"/>
        </c:scaling>
        <c:delete val="0"/>
        <c:axPos val="r"/>
        <c:numFmt formatCode="0%" sourceLinked="0"/>
        <c:majorTickMark val="out"/>
        <c:minorTickMark val="none"/>
        <c:tickLblPos val="nextTo"/>
        <c:spPr>
          <a:ln>
            <a:noFill/>
          </a:ln>
        </c:spPr>
        <c:txPr>
          <a:bodyPr/>
          <a:lstStyle/>
          <a:p>
            <a:pPr>
              <a:defRPr>
                <a:solidFill>
                  <a:srgbClr val="C00000"/>
                </a:solidFill>
              </a:defRPr>
            </a:pPr>
            <a:endParaRPr lang="en-US"/>
          </a:p>
        </c:txPr>
        <c:crossAx val="564229360"/>
        <c:crosses val="max"/>
        <c:crossBetween val="between"/>
        <c:majorUnit val="2.0000000000000011E-2"/>
        <c:minorUnit val="1.0000000000000005E-2"/>
      </c:valAx>
      <c:catAx>
        <c:axId val="564229360"/>
        <c:scaling>
          <c:orientation val="minMax"/>
        </c:scaling>
        <c:delete val="1"/>
        <c:axPos val="b"/>
        <c:numFmt formatCode="General" sourceLinked="1"/>
        <c:majorTickMark val="out"/>
        <c:minorTickMark val="none"/>
        <c:tickLblPos val="none"/>
        <c:crossAx val="564228968"/>
        <c:crosses val="autoZero"/>
        <c:auto val="1"/>
        <c:lblAlgn val="ctr"/>
        <c:lblOffset val="100"/>
        <c:noMultiLvlLbl val="0"/>
      </c:catAx>
    </c:plotArea>
    <c:plotVisOnly val="1"/>
    <c:dispBlanksAs val="zero"/>
    <c:showDLblsOverMax val="0"/>
  </c:chart>
  <c:spPr>
    <a:ln>
      <a:noFill/>
    </a:ln>
  </c:spPr>
  <c:printSettings>
    <c:headerFooter/>
    <c:pageMargins b="0.75000000000000056" l="0.70000000000000051" r="0.70000000000000051" t="0.75000000000000056" header="0.30000000000000027" footer="0.30000000000000027"/>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190591229418718"/>
          <c:y val="0.11550080767504259"/>
          <c:w val="0.82263608353303663"/>
          <c:h val="0.54592853140758335"/>
        </c:manualLayout>
      </c:layout>
      <c:lineChart>
        <c:grouping val="stacked"/>
        <c:varyColors val="0"/>
        <c:ser>
          <c:idx val="0"/>
          <c:order val="0"/>
          <c:tx>
            <c:strRef>
              <c:f>subindex_charts!$DA$5</c:f>
              <c:strCache>
                <c:ptCount val="1"/>
                <c:pt idx="0">
                  <c:v>Sub index value</c:v>
                </c:pt>
              </c:strCache>
            </c:strRef>
          </c:tx>
          <c:marker>
            <c:symbol val="none"/>
          </c:marker>
          <c:dLbls>
            <c:spPr>
              <a:noFill/>
              <a:ln>
                <a:noFill/>
              </a:ln>
              <a:effectLst/>
            </c:spPr>
            <c:txPr>
              <a:bodyPr/>
              <a:lstStyle/>
              <a:p>
                <a:pPr>
                  <a:defRPr sz="700">
                    <a:latin typeface="Arial Narrow" pitchFamily="34" charset="0"/>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subindex_charts!$DB$5:$DE$5</c:f>
              <c:numCache>
                <c:formatCode>0.0%</c:formatCode>
                <c:ptCount val="4"/>
                <c:pt idx="0">
                  <c:v>0.01</c:v>
                </c:pt>
                <c:pt idx="1">
                  <c:v>0.02</c:v>
                </c:pt>
                <c:pt idx="3">
                  <c:v>0.03</c:v>
                </c:pt>
              </c:numCache>
            </c:numRef>
          </c:val>
          <c:smooth val="0"/>
          <c:extLst>
            <c:ext xmlns:c16="http://schemas.microsoft.com/office/drawing/2014/chart" uri="{C3380CC4-5D6E-409C-BE32-E72D297353CC}">
              <c16:uniqueId val="{00000000-2303-4470-967C-2A66F5EC9B13}"/>
            </c:ext>
          </c:extLst>
        </c:ser>
        <c:dLbls>
          <c:showLegendKey val="0"/>
          <c:showVal val="0"/>
          <c:showCatName val="0"/>
          <c:showSerName val="0"/>
          <c:showPercent val="0"/>
          <c:showBubbleSize val="0"/>
        </c:dLbls>
        <c:marker val="1"/>
        <c:smooth val="0"/>
        <c:axId val="564230144"/>
        <c:axId val="564230536"/>
      </c:lineChart>
      <c:lineChart>
        <c:grouping val="stacked"/>
        <c:varyColors val="0"/>
        <c:ser>
          <c:idx val="1"/>
          <c:order val="1"/>
          <c:tx>
            <c:strRef>
              <c:f>subindex_charts!$DA$6</c:f>
              <c:strCache>
                <c:ptCount val="1"/>
                <c:pt idx="0">
                  <c:v>Rate of change</c:v>
                </c:pt>
              </c:strCache>
            </c:strRef>
          </c:tx>
          <c:marker>
            <c:symbol val="none"/>
          </c:marker>
          <c:val>
            <c:numRef>
              <c:f>subindex_charts!$DB$6:$DE$6</c:f>
              <c:numCache>
                <c:formatCode>0.0%</c:formatCode>
                <c:ptCount val="4"/>
                <c:pt idx="0">
                  <c:v>0.01</c:v>
                </c:pt>
                <c:pt idx="1">
                  <c:v>0.02</c:v>
                </c:pt>
                <c:pt idx="3">
                  <c:v>0.03</c:v>
                </c:pt>
              </c:numCache>
            </c:numRef>
          </c:val>
          <c:smooth val="0"/>
          <c:extLst>
            <c:ext xmlns:c16="http://schemas.microsoft.com/office/drawing/2014/chart" uri="{C3380CC4-5D6E-409C-BE32-E72D297353CC}">
              <c16:uniqueId val="{00000001-2303-4470-967C-2A66F5EC9B13}"/>
            </c:ext>
          </c:extLst>
        </c:ser>
        <c:dLbls>
          <c:showLegendKey val="0"/>
          <c:showVal val="0"/>
          <c:showCatName val="0"/>
          <c:showSerName val="0"/>
          <c:showPercent val="0"/>
          <c:showBubbleSize val="0"/>
        </c:dLbls>
        <c:marker val="1"/>
        <c:smooth val="0"/>
        <c:axId val="564635072"/>
        <c:axId val="564632328"/>
      </c:lineChart>
      <c:catAx>
        <c:axId val="564230144"/>
        <c:scaling>
          <c:orientation val="minMax"/>
        </c:scaling>
        <c:delete val="0"/>
        <c:axPos val="b"/>
        <c:majorTickMark val="out"/>
        <c:minorTickMark val="none"/>
        <c:tickLblPos val="nextTo"/>
        <c:txPr>
          <a:bodyPr/>
          <a:lstStyle/>
          <a:p>
            <a:pPr>
              <a:defRPr sz="900">
                <a:latin typeface="Arial Narrow" pitchFamily="34" charset="0"/>
              </a:defRPr>
            </a:pPr>
            <a:endParaRPr lang="en-US"/>
          </a:p>
        </c:txPr>
        <c:crossAx val="564230536"/>
        <c:crosses val="autoZero"/>
        <c:auto val="1"/>
        <c:lblAlgn val="ctr"/>
        <c:lblOffset val="100"/>
        <c:noMultiLvlLbl val="0"/>
      </c:catAx>
      <c:valAx>
        <c:axId val="564230536"/>
        <c:scaling>
          <c:orientation val="minMax"/>
          <c:min val="900"/>
        </c:scaling>
        <c:delete val="0"/>
        <c:axPos val="l"/>
        <c:numFmt formatCode="0.0%" sourceLinked="1"/>
        <c:majorTickMark val="out"/>
        <c:minorTickMark val="none"/>
        <c:tickLblPos val="nextTo"/>
        <c:spPr>
          <a:ln>
            <a:noFill/>
          </a:ln>
        </c:spPr>
        <c:txPr>
          <a:bodyPr/>
          <a:lstStyle/>
          <a:p>
            <a:pPr>
              <a:defRPr>
                <a:solidFill>
                  <a:schemeClr val="bg1"/>
                </a:solidFill>
              </a:defRPr>
            </a:pPr>
            <a:endParaRPr lang="en-US"/>
          </a:p>
        </c:txPr>
        <c:crossAx val="564230144"/>
        <c:crosses val="autoZero"/>
        <c:crossBetween val="between"/>
      </c:valAx>
      <c:valAx>
        <c:axId val="564632328"/>
        <c:scaling>
          <c:orientation val="minMax"/>
        </c:scaling>
        <c:delete val="0"/>
        <c:axPos val="r"/>
        <c:numFmt formatCode="0%" sourceLinked="0"/>
        <c:majorTickMark val="out"/>
        <c:minorTickMark val="none"/>
        <c:tickLblPos val="nextTo"/>
        <c:spPr>
          <a:ln>
            <a:noFill/>
          </a:ln>
        </c:spPr>
        <c:txPr>
          <a:bodyPr/>
          <a:lstStyle/>
          <a:p>
            <a:pPr>
              <a:defRPr>
                <a:solidFill>
                  <a:srgbClr val="C00000"/>
                </a:solidFill>
              </a:defRPr>
            </a:pPr>
            <a:endParaRPr lang="en-US"/>
          </a:p>
        </c:txPr>
        <c:crossAx val="564635072"/>
        <c:crosses val="max"/>
        <c:crossBetween val="between"/>
      </c:valAx>
      <c:catAx>
        <c:axId val="564635072"/>
        <c:scaling>
          <c:orientation val="minMax"/>
        </c:scaling>
        <c:delete val="1"/>
        <c:axPos val="b"/>
        <c:majorTickMark val="out"/>
        <c:minorTickMark val="none"/>
        <c:tickLblPos val="none"/>
        <c:crossAx val="564632328"/>
        <c:crosses val="autoZero"/>
        <c:auto val="1"/>
        <c:lblAlgn val="ctr"/>
        <c:lblOffset val="100"/>
        <c:noMultiLvlLbl val="0"/>
      </c:catAx>
    </c:plotArea>
    <c:legend>
      <c:legendPos val="t"/>
      <c:overlay val="0"/>
    </c:legend>
    <c:plotVisOnly val="1"/>
    <c:dispBlanksAs val="zero"/>
    <c:showDLblsOverMax val="0"/>
  </c:chart>
  <c:spPr>
    <a:ln>
      <a:noFill/>
    </a:ln>
  </c:spPr>
  <c:printSettings>
    <c:headerFooter/>
    <c:pageMargins b="0.75000000000000078" l="0.70000000000000062" r="0.70000000000000062" t="0.75000000000000078" header="0.30000000000000032" footer="0.30000000000000032"/>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190591229418718"/>
          <c:y val="0.1155008076750426"/>
          <c:w val="0.82263608353303663"/>
          <c:h val="0.54592853140758324"/>
        </c:manualLayout>
      </c:layout>
      <c:lineChart>
        <c:grouping val="stacked"/>
        <c:varyColors val="0"/>
        <c:ser>
          <c:idx val="0"/>
          <c:order val="0"/>
          <c:tx>
            <c:strRef>
              <c:f>subindex_charts!$A$130</c:f>
              <c:strCache>
                <c:ptCount val="1"/>
                <c:pt idx="0">
                  <c:v>Defenses: Vulnerability to known threats</c:v>
                </c:pt>
              </c:strCache>
            </c:strRef>
          </c:tx>
          <c:marker>
            <c:symbol val="none"/>
          </c:marker>
          <c:dLbls>
            <c:spPr>
              <a:noFill/>
              <a:ln>
                <a:noFill/>
              </a:ln>
              <a:effectLst/>
            </c:spPr>
            <c:txPr>
              <a:bodyPr/>
              <a:lstStyle/>
              <a:p>
                <a:pPr>
                  <a:defRPr sz="700">
                    <a:latin typeface="Arial Narrow" pitchFamily="34" charset="0"/>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subindex_charts!$DQ$129:$EC$129</c:f>
              <c:strCache>
                <c:ptCount val="13"/>
                <c:pt idx="0">
                  <c:v>Aug</c:v>
                </c:pt>
                <c:pt idx="1">
                  <c:v>Sep</c:v>
                </c:pt>
                <c:pt idx="2">
                  <c:v>Oct</c:v>
                </c:pt>
                <c:pt idx="3">
                  <c:v>Nov</c:v>
                </c:pt>
                <c:pt idx="4">
                  <c:v>Dec-18</c:v>
                </c:pt>
                <c:pt idx="5">
                  <c:v>Jan-19</c:v>
                </c:pt>
                <c:pt idx="6">
                  <c:v>Feb-19</c:v>
                </c:pt>
                <c:pt idx="7">
                  <c:v>Mar-19</c:v>
                </c:pt>
                <c:pt idx="8">
                  <c:v>Apr-19</c:v>
                </c:pt>
                <c:pt idx="9">
                  <c:v>May-19</c:v>
                </c:pt>
                <c:pt idx="10">
                  <c:v>June-19</c:v>
                </c:pt>
                <c:pt idx="11">
                  <c:v>July-19</c:v>
                </c:pt>
                <c:pt idx="12">
                  <c:v>Aug-19</c:v>
                </c:pt>
              </c:strCache>
            </c:strRef>
          </c:cat>
          <c:val>
            <c:numRef>
              <c:f>subindex_charts!$DQ$130:$EC$130</c:f>
              <c:numCache>
                <c:formatCode>0.0_);\(0.0\)</c:formatCode>
                <c:ptCount val="13"/>
                <c:pt idx="0">
                  <c:v>1539.6157081396257</c:v>
                </c:pt>
                <c:pt idx="1">
                  <c:v>1559.8291926519641</c:v>
                </c:pt>
                <c:pt idx="2">
                  <c:v>1564.168074955945</c:v>
                </c:pt>
                <c:pt idx="3">
                  <c:v>1551.187501838273</c:v>
                </c:pt>
                <c:pt idx="4">
                  <c:v>1537.7573912764863</c:v>
                </c:pt>
                <c:pt idx="5">
                  <c:v>1525.5044094228558</c:v>
                </c:pt>
                <c:pt idx="6">
                  <c:v>1531.8739384323817</c:v>
                </c:pt>
                <c:pt idx="7">
                  <c:v>1544.1539929116939</c:v>
                </c:pt>
                <c:pt idx="8">
                  <c:v>1511.6445006887748</c:v>
                </c:pt>
                <c:pt idx="9">
                  <c:v>1504.3944210916018</c:v>
                </c:pt>
                <c:pt idx="10">
                  <c:v>1518.1330878772185</c:v>
                </c:pt>
                <c:pt idx="11">
                  <c:v>1515.4245549872601</c:v>
                </c:pt>
                <c:pt idx="12">
                  <c:v>1515.4245549872601</c:v>
                </c:pt>
              </c:numCache>
            </c:numRef>
          </c:val>
          <c:smooth val="0"/>
          <c:extLst>
            <c:ext xmlns:c16="http://schemas.microsoft.com/office/drawing/2014/chart" uri="{C3380CC4-5D6E-409C-BE32-E72D297353CC}">
              <c16:uniqueId val="{00000000-2FD6-4B6B-B822-CD51E47BE208}"/>
            </c:ext>
          </c:extLst>
        </c:ser>
        <c:dLbls>
          <c:showLegendKey val="0"/>
          <c:showVal val="0"/>
          <c:showCatName val="0"/>
          <c:showSerName val="0"/>
          <c:showPercent val="0"/>
          <c:showBubbleSize val="0"/>
        </c:dLbls>
        <c:marker val="1"/>
        <c:smooth val="0"/>
        <c:axId val="564637424"/>
        <c:axId val="564636248"/>
      </c:lineChart>
      <c:lineChart>
        <c:grouping val="stacked"/>
        <c:varyColors val="0"/>
        <c:ser>
          <c:idx val="1"/>
          <c:order val="1"/>
          <c:tx>
            <c:strRef>
              <c:f>subindex_charts!$A$131</c:f>
              <c:strCache>
                <c:ptCount val="1"/>
                <c:pt idx="0">
                  <c:v>Rate of change</c:v>
                </c:pt>
              </c:strCache>
            </c:strRef>
          </c:tx>
          <c:marker>
            <c:symbol val="none"/>
          </c:marker>
          <c:cat>
            <c:strRef>
              <c:f>subindex_charts!$DQ$129:$EC$129</c:f>
              <c:strCache>
                <c:ptCount val="13"/>
                <c:pt idx="0">
                  <c:v>Aug</c:v>
                </c:pt>
                <c:pt idx="1">
                  <c:v>Sep</c:v>
                </c:pt>
                <c:pt idx="2">
                  <c:v>Oct</c:v>
                </c:pt>
                <c:pt idx="3">
                  <c:v>Nov</c:v>
                </c:pt>
                <c:pt idx="4">
                  <c:v>Dec-18</c:v>
                </c:pt>
                <c:pt idx="5">
                  <c:v>Jan-19</c:v>
                </c:pt>
                <c:pt idx="6">
                  <c:v>Feb-19</c:v>
                </c:pt>
                <c:pt idx="7">
                  <c:v>Mar-19</c:v>
                </c:pt>
                <c:pt idx="8">
                  <c:v>Apr-19</c:v>
                </c:pt>
                <c:pt idx="9">
                  <c:v>May-19</c:v>
                </c:pt>
                <c:pt idx="10">
                  <c:v>June-19</c:v>
                </c:pt>
                <c:pt idx="11">
                  <c:v>July-19</c:v>
                </c:pt>
                <c:pt idx="12">
                  <c:v>Aug-19</c:v>
                </c:pt>
              </c:strCache>
            </c:strRef>
          </c:cat>
          <c:val>
            <c:numRef>
              <c:f>subindex_charts!$DQ$131:$EC$131</c:f>
              <c:numCache>
                <c:formatCode>0.0%</c:formatCode>
                <c:ptCount val="13"/>
                <c:pt idx="0">
                  <c:v>-4.8076923076925127E-3</c:v>
                </c:pt>
                <c:pt idx="1">
                  <c:v>1.3043478260869712E-2</c:v>
                </c:pt>
                <c:pt idx="2">
                  <c:v>2.7777777777773238E-3</c:v>
                </c:pt>
                <c:pt idx="3">
                  <c:v>-8.3333333333328596E-3</c:v>
                </c:pt>
                <c:pt idx="4">
                  <c:v>-8.6956521739134374E-3</c:v>
                </c:pt>
                <c:pt idx="5">
                  <c:v>-8.0000000000000071E-3</c:v>
                </c:pt>
                <c:pt idx="6">
                  <c:v>4.166666666667318E-3</c:v>
                </c:pt>
                <c:pt idx="7">
                  <c:v>7.9844006568139392E-3</c:v>
                </c:pt>
                <c:pt idx="8">
                  <c:v>-2.1278051450464908E-2</c:v>
                </c:pt>
                <c:pt idx="9">
                  <c:v>-4.8076923076925127E-3</c:v>
                </c:pt>
                <c:pt idx="10">
                  <c:v>9.0909090909088164E-3</c:v>
                </c:pt>
                <c:pt idx="11">
                  <c:v>-1.7857142857140573E-3</c:v>
                </c:pt>
                <c:pt idx="12">
                  <c:v>0</c:v>
                </c:pt>
              </c:numCache>
            </c:numRef>
          </c:val>
          <c:smooth val="0"/>
          <c:extLst>
            <c:ext xmlns:c16="http://schemas.microsoft.com/office/drawing/2014/chart" uri="{C3380CC4-5D6E-409C-BE32-E72D297353CC}">
              <c16:uniqueId val="{00000001-2FD6-4B6B-B822-CD51E47BE208}"/>
            </c:ext>
          </c:extLst>
        </c:ser>
        <c:dLbls>
          <c:showLegendKey val="0"/>
          <c:showVal val="0"/>
          <c:showCatName val="0"/>
          <c:showSerName val="0"/>
          <c:showPercent val="0"/>
          <c:showBubbleSize val="0"/>
        </c:dLbls>
        <c:marker val="1"/>
        <c:smooth val="0"/>
        <c:axId val="564631544"/>
        <c:axId val="564641344"/>
      </c:lineChart>
      <c:catAx>
        <c:axId val="564637424"/>
        <c:scaling>
          <c:orientation val="minMax"/>
        </c:scaling>
        <c:delete val="0"/>
        <c:axPos val="b"/>
        <c:numFmt formatCode="General" sourceLinked="0"/>
        <c:majorTickMark val="out"/>
        <c:minorTickMark val="none"/>
        <c:tickLblPos val="nextTo"/>
        <c:txPr>
          <a:bodyPr/>
          <a:lstStyle/>
          <a:p>
            <a:pPr>
              <a:defRPr sz="900">
                <a:latin typeface="Arial Narrow" pitchFamily="34" charset="0"/>
              </a:defRPr>
            </a:pPr>
            <a:endParaRPr lang="en-US"/>
          </a:p>
        </c:txPr>
        <c:crossAx val="564636248"/>
        <c:crosses val="autoZero"/>
        <c:auto val="1"/>
        <c:lblAlgn val="ctr"/>
        <c:lblOffset val="100"/>
        <c:noMultiLvlLbl val="0"/>
      </c:catAx>
      <c:valAx>
        <c:axId val="564636248"/>
        <c:scaling>
          <c:orientation val="minMax"/>
        </c:scaling>
        <c:delete val="0"/>
        <c:axPos val="l"/>
        <c:numFmt formatCode="0.0_);\(0.0\)" sourceLinked="1"/>
        <c:majorTickMark val="out"/>
        <c:minorTickMark val="none"/>
        <c:tickLblPos val="nextTo"/>
        <c:spPr>
          <a:ln>
            <a:noFill/>
          </a:ln>
        </c:spPr>
        <c:txPr>
          <a:bodyPr/>
          <a:lstStyle/>
          <a:p>
            <a:pPr>
              <a:defRPr>
                <a:solidFill>
                  <a:schemeClr val="bg1"/>
                </a:solidFill>
              </a:defRPr>
            </a:pPr>
            <a:endParaRPr lang="en-US"/>
          </a:p>
        </c:txPr>
        <c:crossAx val="564637424"/>
        <c:crosses val="autoZero"/>
        <c:crossBetween val="between"/>
      </c:valAx>
      <c:valAx>
        <c:axId val="564641344"/>
        <c:scaling>
          <c:orientation val="minMax"/>
          <c:max val="4.0000000000000008E-2"/>
          <c:min val="-2.0000000000000004E-2"/>
        </c:scaling>
        <c:delete val="0"/>
        <c:axPos val="r"/>
        <c:numFmt formatCode="0%" sourceLinked="0"/>
        <c:majorTickMark val="out"/>
        <c:minorTickMark val="none"/>
        <c:tickLblPos val="nextTo"/>
        <c:spPr>
          <a:ln>
            <a:noFill/>
          </a:ln>
        </c:spPr>
        <c:txPr>
          <a:bodyPr/>
          <a:lstStyle/>
          <a:p>
            <a:pPr>
              <a:defRPr>
                <a:solidFill>
                  <a:srgbClr val="C00000"/>
                </a:solidFill>
              </a:defRPr>
            </a:pPr>
            <a:endParaRPr lang="en-US"/>
          </a:p>
        </c:txPr>
        <c:crossAx val="564631544"/>
        <c:crosses val="max"/>
        <c:crossBetween val="between"/>
        <c:majorUnit val="2.0000000000000011E-2"/>
      </c:valAx>
      <c:catAx>
        <c:axId val="564631544"/>
        <c:scaling>
          <c:orientation val="minMax"/>
        </c:scaling>
        <c:delete val="1"/>
        <c:axPos val="b"/>
        <c:numFmt formatCode="General" sourceLinked="1"/>
        <c:majorTickMark val="out"/>
        <c:minorTickMark val="none"/>
        <c:tickLblPos val="none"/>
        <c:crossAx val="564641344"/>
        <c:crosses val="autoZero"/>
        <c:auto val="1"/>
        <c:lblAlgn val="ctr"/>
        <c:lblOffset val="100"/>
        <c:noMultiLvlLbl val="0"/>
      </c:catAx>
    </c:plotArea>
    <c:plotVisOnly val="1"/>
    <c:dispBlanksAs val="zero"/>
    <c:showDLblsOverMax val="0"/>
  </c:chart>
  <c:spPr>
    <a:ln>
      <a:noFill/>
    </a:ln>
  </c:spPr>
  <c:printSettings>
    <c:headerFooter/>
    <c:pageMargins b="0.75000000000000056" l="0.70000000000000051" r="0.70000000000000051" t="0.75000000000000056" header="0.30000000000000027" footer="0.30000000000000027"/>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190591229418718"/>
          <c:y val="0.1155008076750426"/>
          <c:w val="0.82263608353303663"/>
          <c:h val="0.54592853140758324"/>
        </c:manualLayout>
      </c:layout>
      <c:lineChart>
        <c:grouping val="stacked"/>
        <c:varyColors val="0"/>
        <c:ser>
          <c:idx val="0"/>
          <c:order val="0"/>
          <c:tx>
            <c:strRef>
              <c:f>subindex_charts!$A$135</c:f>
              <c:strCache>
                <c:ptCount val="1"/>
                <c:pt idx="0">
                  <c:v>Defenses: Vulnerability to unknown threats</c:v>
                </c:pt>
              </c:strCache>
            </c:strRef>
          </c:tx>
          <c:marker>
            <c:symbol val="none"/>
          </c:marker>
          <c:dLbls>
            <c:spPr>
              <a:noFill/>
              <a:ln>
                <a:noFill/>
              </a:ln>
              <a:effectLst/>
            </c:spPr>
            <c:txPr>
              <a:bodyPr/>
              <a:lstStyle/>
              <a:p>
                <a:pPr>
                  <a:defRPr sz="700">
                    <a:latin typeface="Arial Narrow" pitchFamily="34" charset="0"/>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subindex_charts!$DQ$134:$EC$134</c:f>
              <c:strCache>
                <c:ptCount val="13"/>
                <c:pt idx="0">
                  <c:v>Aug</c:v>
                </c:pt>
                <c:pt idx="1">
                  <c:v>Sep</c:v>
                </c:pt>
                <c:pt idx="2">
                  <c:v>Oct</c:v>
                </c:pt>
                <c:pt idx="3">
                  <c:v>Nov</c:v>
                </c:pt>
                <c:pt idx="4">
                  <c:v>Dec-18</c:v>
                </c:pt>
                <c:pt idx="5">
                  <c:v>Jan-19</c:v>
                </c:pt>
                <c:pt idx="6">
                  <c:v>Feb-19</c:v>
                </c:pt>
                <c:pt idx="7">
                  <c:v>Mar-19</c:v>
                </c:pt>
                <c:pt idx="8">
                  <c:v>Apr-19</c:v>
                </c:pt>
                <c:pt idx="9">
                  <c:v>May-19</c:v>
                </c:pt>
                <c:pt idx="10">
                  <c:v>June-19</c:v>
                </c:pt>
                <c:pt idx="11">
                  <c:v>July-19</c:v>
                </c:pt>
                <c:pt idx="12">
                  <c:v>Aug-19</c:v>
                </c:pt>
              </c:strCache>
            </c:strRef>
          </c:cat>
          <c:val>
            <c:numRef>
              <c:f>subindex_charts!$DQ$135:$EC$135</c:f>
              <c:numCache>
                <c:formatCode>0.0</c:formatCode>
                <c:ptCount val="13"/>
                <c:pt idx="0">
                  <c:v>3851.0627245778669</c:v>
                </c:pt>
                <c:pt idx="1">
                  <c:v>3901.6230016182717</c:v>
                </c:pt>
                <c:pt idx="2">
                  <c:v>3912.4759097945475</c:v>
                </c:pt>
                <c:pt idx="3">
                  <c:v>3961.6887984297978</c:v>
                </c:pt>
                <c:pt idx="4">
                  <c:v>3927.3886777085754</c:v>
                </c:pt>
                <c:pt idx="5">
                  <c:v>3931.3180307353514</c:v>
                </c:pt>
                <c:pt idx="6">
                  <c:v>3980.7679240757784</c:v>
                </c:pt>
                <c:pt idx="7">
                  <c:v>3997.5531602126057</c:v>
                </c:pt>
                <c:pt idx="8">
                  <c:v>3943.0358105402406</c:v>
                </c:pt>
                <c:pt idx="9">
                  <c:v>3935.4603358110921</c:v>
                </c:pt>
                <c:pt idx="10">
                  <c:v>4007.6686097549127</c:v>
                </c:pt>
                <c:pt idx="11">
                  <c:v>4043.6115861361181</c:v>
                </c:pt>
                <c:pt idx="12">
                  <c:v>4043.6115861361181</c:v>
                </c:pt>
              </c:numCache>
            </c:numRef>
          </c:val>
          <c:smooth val="0"/>
          <c:extLst>
            <c:ext xmlns:c16="http://schemas.microsoft.com/office/drawing/2014/chart" uri="{C3380CC4-5D6E-409C-BE32-E72D297353CC}">
              <c16:uniqueId val="{00000000-37EF-41E0-884A-9050DA06F053}"/>
            </c:ext>
          </c:extLst>
        </c:ser>
        <c:dLbls>
          <c:showLegendKey val="0"/>
          <c:showVal val="0"/>
          <c:showCatName val="0"/>
          <c:showSerName val="0"/>
          <c:showPercent val="0"/>
          <c:showBubbleSize val="0"/>
        </c:dLbls>
        <c:marker val="1"/>
        <c:smooth val="0"/>
        <c:axId val="564636640"/>
        <c:axId val="564637032"/>
      </c:lineChart>
      <c:lineChart>
        <c:grouping val="stacked"/>
        <c:varyColors val="0"/>
        <c:ser>
          <c:idx val="1"/>
          <c:order val="1"/>
          <c:tx>
            <c:strRef>
              <c:f>subindex_charts!$A$136</c:f>
              <c:strCache>
                <c:ptCount val="1"/>
                <c:pt idx="0">
                  <c:v>Rate of change</c:v>
                </c:pt>
              </c:strCache>
            </c:strRef>
          </c:tx>
          <c:marker>
            <c:symbol val="none"/>
          </c:marker>
          <c:cat>
            <c:strRef>
              <c:f>subindex_charts!$DQ$134:$EC$134</c:f>
              <c:strCache>
                <c:ptCount val="13"/>
                <c:pt idx="0">
                  <c:v>Aug</c:v>
                </c:pt>
                <c:pt idx="1">
                  <c:v>Sep</c:v>
                </c:pt>
                <c:pt idx="2">
                  <c:v>Oct</c:v>
                </c:pt>
                <c:pt idx="3">
                  <c:v>Nov</c:v>
                </c:pt>
                <c:pt idx="4">
                  <c:v>Dec-18</c:v>
                </c:pt>
                <c:pt idx="5">
                  <c:v>Jan-19</c:v>
                </c:pt>
                <c:pt idx="6">
                  <c:v>Feb-19</c:v>
                </c:pt>
                <c:pt idx="7">
                  <c:v>Mar-19</c:v>
                </c:pt>
                <c:pt idx="8">
                  <c:v>Apr-19</c:v>
                </c:pt>
                <c:pt idx="9">
                  <c:v>May-19</c:v>
                </c:pt>
                <c:pt idx="10">
                  <c:v>June-19</c:v>
                </c:pt>
                <c:pt idx="11">
                  <c:v>July-19</c:v>
                </c:pt>
                <c:pt idx="12">
                  <c:v>Aug-19</c:v>
                </c:pt>
              </c:strCache>
            </c:strRef>
          </c:cat>
          <c:val>
            <c:numRef>
              <c:f>subindex_charts!$DQ$136:$EC$136</c:f>
              <c:numCache>
                <c:formatCode>0.0%</c:formatCode>
                <c:ptCount val="13"/>
                <c:pt idx="0">
                  <c:v>9.6153846153868017E-4</c:v>
                </c:pt>
                <c:pt idx="1">
                  <c:v>1.30434782608706E-2</c:v>
                </c:pt>
                <c:pt idx="2">
                  <c:v>2.7777777777764356E-3</c:v>
                </c:pt>
                <c:pt idx="3">
                  <c:v>1.2500000000001066E-2</c:v>
                </c:pt>
                <c:pt idx="4">
                  <c:v>-8.6956521739125492E-3</c:v>
                </c:pt>
                <c:pt idx="5">
                  <c:v>9.9999999999944578E-4</c:v>
                </c:pt>
                <c:pt idx="6">
                  <c:v>1.2499999999999289E-2</c:v>
                </c:pt>
                <c:pt idx="7">
                  <c:v>4.2077175697876612E-3</c:v>
                </c:pt>
                <c:pt idx="8">
                  <c:v>-1.3731527093597151E-2</c:v>
                </c:pt>
                <c:pt idx="9">
                  <c:v>-1.923076923075584E-3</c:v>
                </c:pt>
                <c:pt idx="10">
                  <c:v>1.8181818181817633E-2</c:v>
                </c:pt>
                <c:pt idx="11">
                  <c:v>8.9285714285711748E-3</c:v>
                </c:pt>
                <c:pt idx="12">
                  <c:v>0</c:v>
                </c:pt>
              </c:numCache>
            </c:numRef>
          </c:val>
          <c:smooth val="0"/>
          <c:extLst>
            <c:ext xmlns:c16="http://schemas.microsoft.com/office/drawing/2014/chart" uri="{C3380CC4-5D6E-409C-BE32-E72D297353CC}">
              <c16:uniqueId val="{00000001-37EF-41E0-884A-9050DA06F053}"/>
            </c:ext>
          </c:extLst>
        </c:ser>
        <c:dLbls>
          <c:showLegendKey val="0"/>
          <c:showVal val="0"/>
          <c:showCatName val="0"/>
          <c:showSerName val="0"/>
          <c:showPercent val="0"/>
          <c:showBubbleSize val="0"/>
        </c:dLbls>
        <c:marker val="1"/>
        <c:smooth val="0"/>
        <c:axId val="564637816"/>
        <c:axId val="564633896"/>
      </c:lineChart>
      <c:catAx>
        <c:axId val="564636640"/>
        <c:scaling>
          <c:orientation val="minMax"/>
        </c:scaling>
        <c:delete val="0"/>
        <c:axPos val="b"/>
        <c:numFmt formatCode="General" sourceLinked="0"/>
        <c:majorTickMark val="out"/>
        <c:minorTickMark val="none"/>
        <c:tickLblPos val="nextTo"/>
        <c:txPr>
          <a:bodyPr/>
          <a:lstStyle/>
          <a:p>
            <a:pPr>
              <a:defRPr sz="900">
                <a:latin typeface="Arial Narrow" pitchFamily="34" charset="0"/>
              </a:defRPr>
            </a:pPr>
            <a:endParaRPr lang="en-US"/>
          </a:p>
        </c:txPr>
        <c:crossAx val="564637032"/>
        <c:crosses val="autoZero"/>
        <c:auto val="1"/>
        <c:lblAlgn val="ctr"/>
        <c:lblOffset val="100"/>
        <c:noMultiLvlLbl val="0"/>
      </c:catAx>
      <c:valAx>
        <c:axId val="564637032"/>
        <c:scaling>
          <c:orientation val="minMax"/>
          <c:min val="1600"/>
        </c:scaling>
        <c:delete val="0"/>
        <c:axPos val="l"/>
        <c:numFmt formatCode="0.0" sourceLinked="1"/>
        <c:majorTickMark val="out"/>
        <c:minorTickMark val="none"/>
        <c:tickLblPos val="nextTo"/>
        <c:spPr>
          <a:ln>
            <a:noFill/>
          </a:ln>
        </c:spPr>
        <c:txPr>
          <a:bodyPr/>
          <a:lstStyle/>
          <a:p>
            <a:pPr>
              <a:defRPr>
                <a:solidFill>
                  <a:schemeClr val="bg1"/>
                </a:solidFill>
              </a:defRPr>
            </a:pPr>
            <a:endParaRPr lang="en-US"/>
          </a:p>
        </c:txPr>
        <c:crossAx val="564636640"/>
        <c:crosses val="autoZero"/>
        <c:crossBetween val="between"/>
      </c:valAx>
      <c:valAx>
        <c:axId val="564633896"/>
        <c:scaling>
          <c:orientation val="minMax"/>
          <c:max val="5.000000000000001E-2"/>
          <c:min val="-1.0000000000000002E-2"/>
        </c:scaling>
        <c:delete val="0"/>
        <c:axPos val="r"/>
        <c:numFmt formatCode="0%" sourceLinked="0"/>
        <c:majorTickMark val="out"/>
        <c:minorTickMark val="none"/>
        <c:tickLblPos val="nextTo"/>
        <c:spPr>
          <a:ln>
            <a:noFill/>
          </a:ln>
        </c:spPr>
        <c:txPr>
          <a:bodyPr/>
          <a:lstStyle/>
          <a:p>
            <a:pPr>
              <a:defRPr>
                <a:solidFill>
                  <a:srgbClr val="C00000"/>
                </a:solidFill>
              </a:defRPr>
            </a:pPr>
            <a:endParaRPr lang="en-US"/>
          </a:p>
        </c:txPr>
        <c:crossAx val="564637816"/>
        <c:crosses val="max"/>
        <c:crossBetween val="between"/>
        <c:majorUnit val="2.0000000000000011E-2"/>
        <c:minorUnit val="1.0000000000000005E-2"/>
      </c:valAx>
      <c:catAx>
        <c:axId val="564637816"/>
        <c:scaling>
          <c:orientation val="minMax"/>
        </c:scaling>
        <c:delete val="1"/>
        <c:axPos val="b"/>
        <c:numFmt formatCode="General" sourceLinked="1"/>
        <c:majorTickMark val="out"/>
        <c:minorTickMark val="none"/>
        <c:tickLblPos val="none"/>
        <c:crossAx val="564633896"/>
        <c:crosses val="autoZero"/>
        <c:auto val="1"/>
        <c:lblAlgn val="ctr"/>
        <c:lblOffset val="100"/>
        <c:noMultiLvlLbl val="0"/>
      </c:catAx>
    </c:plotArea>
    <c:plotVisOnly val="1"/>
    <c:dispBlanksAs val="zero"/>
    <c:showDLblsOverMax val="0"/>
  </c:chart>
  <c:spPr>
    <a:ln>
      <a:noFill/>
    </a:ln>
  </c:spPr>
  <c:printSettings>
    <c:headerFooter/>
    <c:pageMargins b="0.75000000000000056" l="0.70000000000000051" r="0.70000000000000051" t="0.75000000000000056" header="0.30000000000000027" footer="0.30000000000000027"/>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190591229418718"/>
          <c:y val="0.1155008076750426"/>
          <c:w val="0.82263608353303663"/>
          <c:h val="0.54592853140758324"/>
        </c:manualLayout>
      </c:layout>
      <c:lineChart>
        <c:grouping val="stacked"/>
        <c:varyColors val="0"/>
        <c:ser>
          <c:idx val="0"/>
          <c:order val="0"/>
          <c:tx>
            <c:strRef>
              <c:f>subindex_charts!$A$140</c:f>
              <c:strCache>
                <c:ptCount val="1"/>
                <c:pt idx="0">
                  <c:v>Overall: False claims of digital identity</c:v>
                </c:pt>
              </c:strCache>
            </c:strRef>
          </c:tx>
          <c:marker>
            <c:symbol val="none"/>
          </c:marker>
          <c:dLbls>
            <c:spPr>
              <a:noFill/>
              <a:ln>
                <a:noFill/>
              </a:ln>
              <a:effectLst/>
            </c:spPr>
            <c:txPr>
              <a:bodyPr/>
              <a:lstStyle/>
              <a:p>
                <a:pPr>
                  <a:defRPr sz="700">
                    <a:latin typeface="Arial Narrow" pitchFamily="34" charset="0"/>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subindex_charts!$DQ$139:$EC$139</c:f>
              <c:strCache>
                <c:ptCount val="13"/>
                <c:pt idx="0">
                  <c:v>Aug</c:v>
                </c:pt>
                <c:pt idx="1">
                  <c:v>Sep</c:v>
                </c:pt>
                <c:pt idx="2">
                  <c:v>Oct</c:v>
                </c:pt>
                <c:pt idx="3">
                  <c:v>Nov</c:v>
                </c:pt>
                <c:pt idx="4">
                  <c:v>Dec-18</c:v>
                </c:pt>
                <c:pt idx="5">
                  <c:v>Jan-19</c:v>
                </c:pt>
                <c:pt idx="6">
                  <c:v>Feb-19</c:v>
                </c:pt>
                <c:pt idx="7">
                  <c:v>Mar-19</c:v>
                </c:pt>
                <c:pt idx="8">
                  <c:v>Apr-19</c:v>
                </c:pt>
                <c:pt idx="9">
                  <c:v>May-19</c:v>
                </c:pt>
                <c:pt idx="10">
                  <c:v>June-19</c:v>
                </c:pt>
                <c:pt idx="11">
                  <c:v>July-19</c:v>
                </c:pt>
                <c:pt idx="12">
                  <c:v>Aug-19</c:v>
                </c:pt>
              </c:strCache>
            </c:strRef>
          </c:cat>
          <c:val>
            <c:numRef>
              <c:f>subindex_charts!$DQ$140:$EC$140</c:f>
              <c:numCache>
                <c:formatCode>0.0</c:formatCode>
                <c:ptCount val="13"/>
                <c:pt idx="0">
                  <c:v>1518.2622936437847</c:v>
                </c:pt>
                <c:pt idx="1">
                  <c:v>1533.1877454576324</c:v>
                </c:pt>
                <c:pt idx="2">
                  <c:v>1514.1421814032217</c:v>
                </c:pt>
                <c:pt idx="3">
                  <c:v>1509.4178726633943</c:v>
                </c:pt>
                <c:pt idx="4">
                  <c:v>1529.2348923459199</c:v>
                </c:pt>
                <c:pt idx="5">
                  <c:v>1569.5163898489934</c:v>
                </c:pt>
                <c:pt idx="6">
                  <c:v>1576.069684689912</c:v>
                </c:pt>
                <c:pt idx="7">
                  <c:v>1557.7698649475046</c:v>
                </c:pt>
                <c:pt idx="8">
                  <c:v>1612.6049829898598</c:v>
                </c:pt>
                <c:pt idx="9">
                  <c:v>1621.9353619516723</c:v>
                </c:pt>
                <c:pt idx="10">
                  <c:v>1636.7474545606663</c:v>
                </c:pt>
                <c:pt idx="11">
                  <c:v>1663.2648397329897</c:v>
                </c:pt>
                <c:pt idx="12">
                  <c:v>1663.2648397329897</c:v>
                </c:pt>
              </c:numCache>
            </c:numRef>
          </c:val>
          <c:smooth val="0"/>
          <c:extLst>
            <c:ext xmlns:c16="http://schemas.microsoft.com/office/drawing/2014/chart" uri="{C3380CC4-5D6E-409C-BE32-E72D297353CC}">
              <c16:uniqueId val="{00000000-5162-48CE-9C89-E61887C50A16}"/>
            </c:ext>
          </c:extLst>
        </c:ser>
        <c:dLbls>
          <c:showLegendKey val="0"/>
          <c:showVal val="0"/>
          <c:showCatName val="0"/>
          <c:showSerName val="0"/>
          <c:showPercent val="0"/>
          <c:showBubbleSize val="0"/>
        </c:dLbls>
        <c:marker val="1"/>
        <c:smooth val="0"/>
        <c:axId val="564631152"/>
        <c:axId val="564632720"/>
      </c:lineChart>
      <c:lineChart>
        <c:grouping val="stacked"/>
        <c:varyColors val="0"/>
        <c:ser>
          <c:idx val="1"/>
          <c:order val="1"/>
          <c:tx>
            <c:strRef>
              <c:f>subindex_charts!$A$141</c:f>
              <c:strCache>
                <c:ptCount val="1"/>
                <c:pt idx="0">
                  <c:v>Rate of change</c:v>
                </c:pt>
              </c:strCache>
            </c:strRef>
          </c:tx>
          <c:marker>
            <c:symbol val="none"/>
          </c:marker>
          <c:cat>
            <c:strRef>
              <c:f>subindex_charts!$DQ$139:$EC$139</c:f>
              <c:strCache>
                <c:ptCount val="13"/>
                <c:pt idx="0">
                  <c:v>Aug</c:v>
                </c:pt>
                <c:pt idx="1">
                  <c:v>Sep</c:v>
                </c:pt>
                <c:pt idx="2">
                  <c:v>Oct</c:v>
                </c:pt>
                <c:pt idx="3">
                  <c:v>Nov</c:v>
                </c:pt>
                <c:pt idx="4">
                  <c:v>Dec-18</c:v>
                </c:pt>
                <c:pt idx="5">
                  <c:v>Jan-19</c:v>
                </c:pt>
                <c:pt idx="6">
                  <c:v>Feb-19</c:v>
                </c:pt>
                <c:pt idx="7">
                  <c:v>Mar-19</c:v>
                </c:pt>
                <c:pt idx="8">
                  <c:v>Apr-19</c:v>
                </c:pt>
                <c:pt idx="9">
                  <c:v>May-19</c:v>
                </c:pt>
                <c:pt idx="10">
                  <c:v>June-19</c:v>
                </c:pt>
                <c:pt idx="11">
                  <c:v>July-19</c:v>
                </c:pt>
                <c:pt idx="12">
                  <c:v>Aug-19</c:v>
                </c:pt>
              </c:strCache>
            </c:strRef>
          </c:cat>
          <c:val>
            <c:numRef>
              <c:f>subindex_charts!$DQ$141:$EC$141</c:f>
              <c:numCache>
                <c:formatCode>0.0%</c:formatCode>
                <c:ptCount val="13"/>
                <c:pt idx="0">
                  <c:v>5.7692307692303046E-3</c:v>
                </c:pt>
                <c:pt idx="1">
                  <c:v>9.782608695652506E-3</c:v>
                </c:pt>
                <c:pt idx="2">
                  <c:v>-1.2500000000000178E-2</c:v>
                </c:pt>
                <c:pt idx="3">
                  <c:v>-3.1249999999998224E-3</c:v>
                </c:pt>
                <c:pt idx="4">
                  <c:v>1.3043478260869712E-2</c:v>
                </c:pt>
                <c:pt idx="5">
                  <c:v>2.5999999999999801E-2</c:v>
                </c:pt>
                <c:pt idx="6">
                  <c:v>4.1666666666664298E-3</c:v>
                </c:pt>
                <c:pt idx="7">
                  <c:v>-1.1678981937602195E-2</c:v>
                </c:pt>
                <c:pt idx="8">
                  <c:v>3.4595648604269336E-2</c:v>
                </c:pt>
                <c:pt idx="9">
                  <c:v>5.7692307692311928E-3</c:v>
                </c:pt>
                <c:pt idx="10">
                  <c:v>9.0909090909088164E-3</c:v>
                </c:pt>
                <c:pt idx="11">
                  <c:v>1.6071428571428292E-2</c:v>
                </c:pt>
                <c:pt idx="12">
                  <c:v>0</c:v>
                </c:pt>
              </c:numCache>
            </c:numRef>
          </c:val>
          <c:smooth val="0"/>
          <c:extLst>
            <c:ext xmlns:c16="http://schemas.microsoft.com/office/drawing/2014/chart" uri="{C3380CC4-5D6E-409C-BE32-E72D297353CC}">
              <c16:uniqueId val="{00000001-5162-48CE-9C89-E61887C50A16}"/>
            </c:ext>
          </c:extLst>
        </c:ser>
        <c:dLbls>
          <c:showLegendKey val="0"/>
          <c:showVal val="0"/>
          <c:showCatName val="0"/>
          <c:showSerName val="0"/>
          <c:showPercent val="0"/>
          <c:showBubbleSize val="0"/>
        </c:dLbls>
        <c:marker val="1"/>
        <c:smooth val="0"/>
        <c:axId val="564634288"/>
        <c:axId val="564633504"/>
      </c:lineChart>
      <c:catAx>
        <c:axId val="564631152"/>
        <c:scaling>
          <c:orientation val="minMax"/>
        </c:scaling>
        <c:delete val="0"/>
        <c:axPos val="b"/>
        <c:numFmt formatCode="General" sourceLinked="0"/>
        <c:majorTickMark val="out"/>
        <c:minorTickMark val="none"/>
        <c:tickLblPos val="nextTo"/>
        <c:txPr>
          <a:bodyPr/>
          <a:lstStyle/>
          <a:p>
            <a:pPr>
              <a:defRPr sz="900">
                <a:latin typeface="Arial Narrow" pitchFamily="34" charset="0"/>
              </a:defRPr>
            </a:pPr>
            <a:endParaRPr lang="en-US"/>
          </a:p>
        </c:txPr>
        <c:crossAx val="564632720"/>
        <c:crosses val="autoZero"/>
        <c:auto val="1"/>
        <c:lblAlgn val="ctr"/>
        <c:lblOffset val="100"/>
        <c:noMultiLvlLbl val="0"/>
      </c:catAx>
      <c:valAx>
        <c:axId val="564632720"/>
        <c:scaling>
          <c:orientation val="minMax"/>
          <c:min val="900"/>
        </c:scaling>
        <c:delete val="0"/>
        <c:axPos val="l"/>
        <c:numFmt formatCode="0.0" sourceLinked="1"/>
        <c:majorTickMark val="out"/>
        <c:minorTickMark val="none"/>
        <c:tickLblPos val="nextTo"/>
        <c:spPr>
          <a:ln>
            <a:noFill/>
          </a:ln>
        </c:spPr>
        <c:txPr>
          <a:bodyPr/>
          <a:lstStyle/>
          <a:p>
            <a:pPr>
              <a:defRPr>
                <a:solidFill>
                  <a:schemeClr val="bg1"/>
                </a:solidFill>
              </a:defRPr>
            </a:pPr>
            <a:endParaRPr lang="en-US"/>
          </a:p>
        </c:txPr>
        <c:crossAx val="564631152"/>
        <c:crosses val="autoZero"/>
        <c:crossBetween val="between"/>
      </c:valAx>
      <c:valAx>
        <c:axId val="564633504"/>
        <c:scaling>
          <c:orientation val="minMax"/>
          <c:max val="5.000000000000001E-2"/>
          <c:min val="-1.0000000000000002E-2"/>
        </c:scaling>
        <c:delete val="0"/>
        <c:axPos val="r"/>
        <c:numFmt formatCode="0%" sourceLinked="0"/>
        <c:majorTickMark val="out"/>
        <c:minorTickMark val="none"/>
        <c:tickLblPos val="nextTo"/>
        <c:spPr>
          <a:ln>
            <a:noFill/>
          </a:ln>
        </c:spPr>
        <c:txPr>
          <a:bodyPr/>
          <a:lstStyle/>
          <a:p>
            <a:pPr>
              <a:defRPr>
                <a:solidFill>
                  <a:srgbClr val="C00000"/>
                </a:solidFill>
              </a:defRPr>
            </a:pPr>
            <a:endParaRPr lang="en-US"/>
          </a:p>
        </c:txPr>
        <c:crossAx val="564634288"/>
        <c:crosses val="max"/>
        <c:crossBetween val="between"/>
        <c:majorUnit val="2.0000000000000011E-2"/>
      </c:valAx>
      <c:catAx>
        <c:axId val="564634288"/>
        <c:scaling>
          <c:orientation val="minMax"/>
        </c:scaling>
        <c:delete val="1"/>
        <c:axPos val="b"/>
        <c:numFmt formatCode="General" sourceLinked="1"/>
        <c:majorTickMark val="out"/>
        <c:minorTickMark val="none"/>
        <c:tickLblPos val="none"/>
        <c:crossAx val="564633504"/>
        <c:crosses val="autoZero"/>
        <c:auto val="1"/>
        <c:lblAlgn val="ctr"/>
        <c:lblOffset val="100"/>
        <c:noMultiLvlLbl val="0"/>
      </c:catAx>
    </c:plotArea>
    <c:plotVisOnly val="1"/>
    <c:dispBlanksAs val="zero"/>
    <c:showDLblsOverMax val="0"/>
  </c:chart>
  <c:spPr>
    <a:ln>
      <a:noFill/>
    </a:ln>
  </c:spPr>
  <c:printSettings>
    <c:headerFooter/>
    <c:pageMargins b="0.75000000000000056" l="0.70000000000000051" r="0.70000000000000051" t="0.75000000000000056" header="0.30000000000000027" footer="0.30000000000000027"/>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190591229418718"/>
          <c:y val="0.1155008076750426"/>
          <c:w val="0.82263608353303663"/>
          <c:h val="0.54592853140758324"/>
        </c:manualLayout>
      </c:layout>
      <c:lineChart>
        <c:grouping val="stacked"/>
        <c:varyColors val="0"/>
        <c:ser>
          <c:idx val="0"/>
          <c:order val="0"/>
          <c:tx>
            <c:strRef>
              <c:f>subindex_charts!$A$145</c:f>
              <c:strCache>
                <c:ptCount val="1"/>
                <c:pt idx="0">
                  <c:v>Overall: Media &amp; public perception</c:v>
                </c:pt>
              </c:strCache>
            </c:strRef>
          </c:tx>
          <c:marker>
            <c:symbol val="none"/>
          </c:marker>
          <c:dLbls>
            <c:spPr>
              <a:noFill/>
              <a:ln>
                <a:noFill/>
              </a:ln>
              <a:effectLst/>
            </c:spPr>
            <c:txPr>
              <a:bodyPr/>
              <a:lstStyle/>
              <a:p>
                <a:pPr>
                  <a:defRPr sz="700">
                    <a:latin typeface="Arial Narrow" pitchFamily="34" charset="0"/>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subindex_charts!$DQ$144:$EC$144</c:f>
              <c:strCache>
                <c:ptCount val="13"/>
                <c:pt idx="0">
                  <c:v>Aug</c:v>
                </c:pt>
                <c:pt idx="1">
                  <c:v>Sep</c:v>
                </c:pt>
                <c:pt idx="2">
                  <c:v>Oct</c:v>
                </c:pt>
                <c:pt idx="3">
                  <c:v>Nov</c:v>
                </c:pt>
                <c:pt idx="4">
                  <c:v>Dec-18</c:v>
                </c:pt>
                <c:pt idx="5">
                  <c:v>Jan-19</c:v>
                </c:pt>
                <c:pt idx="6">
                  <c:v>Feb-19</c:v>
                </c:pt>
                <c:pt idx="7">
                  <c:v>Mar-19</c:v>
                </c:pt>
                <c:pt idx="8">
                  <c:v>Apr-19</c:v>
                </c:pt>
                <c:pt idx="9">
                  <c:v>May-19</c:v>
                </c:pt>
                <c:pt idx="10">
                  <c:v>June-19</c:v>
                </c:pt>
                <c:pt idx="11">
                  <c:v>July-19</c:v>
                </c:pt>
                <c:pt idx="12">
                  <c:v>Aug-19</c:v>
                </c:pt>
              </c:strCache>
            </c:strRef>
          </c:cat>
          <c:val>
            <c:numRef>
              <c:f>subindex_charts!$DQ$145:$EC$145</c:f>
              <c:numCache>
                <c:formatCode>0.0_);\(0.0\)</c:formatCode>
                <c:ptCount val="13"/>
                <c:pt idx="0">
                  <c:v>22689.990053177695</c:v>
                </c:pt>
                <c:pt idx="1">
                  <c:v>23518.642996288319</c:v>
                </c:pt>
                <c:pt idx="2">
                  <c:v>23682.535317899961</c:v>
                </c:pt>
                <c:pt idx="3">
                  <c:v>24383.447885112797</c:v>
                </c:pt>
                <c:pt idx="4">
                  <c:v>25055.126311914486</c:v>
                </c:pt>
                <c:pt idx="5">
                  <c:v>25921.648001935369</c:v>
                </c:pt>
                <c:pt idx="6">
                  <c:v>26138.564297883429</c:v>
                </c:pt>
                <c:pt idx="7">
                  <c:v>26218.087887421581</c:v>
                </c:pt>
                <c:pt idx="8">
                  <c:v>27148.141975538147</c:v>
                </c:pt>
                <c:pt idx="9">
                  <c:v>27595.556471737716</c:v>
                </c:pt>
                <c:pt idx="10">
                  <c:v>28208.531265307414</c:v>
                </c:pt>
                <c:pt idx="11">
                  <c:v>28793.802517375814</c:v>
                </c:pt>
                <c:pt idx="12">
                  <c:v>28793.802517375814</c:v>
                </c:pt>
              </c:numCache>
            </c:numRef>
          </c:val>
          <c:smooth val="0"/>
          <c:extLst>
            <c:ext xmlns:c16="http://schemas.microsoft.com/office/drawing/2014/chart" uri="{C3380CC4-5D6E-409C-BE32-E72D297353CC}">
              <c16:uniqueId val="{00000000-85B0-4723-BC85-72373AAD9A5D}"/>
            </c:ext>
          </c:extLst>
        </c:ser>
        <c:dLbls>
          <c:showLegendKey val="0"/>
          <c:showVal val="0"/>
          <c:showCatName val="0"/>
          <c:showSerName val="0"/>
          <c:showPercent val="0"/>
          <c:showBubbleSize val="0"/>
        </c:dLbls>
        <c:marker val="1"/>
        <c:smooth val="0"/>
        <c:axId val="564635464"/>
        <c:axId val="564642128"/>
      </c:lineChart>
      <c:lineChart>
        <c:grouping val="stacked"/>
        <c:varyColors val="0"/>
        <c:ser>
          <c:idx val="1"/>
          <c:order val="1"/>
          <c:tx>
            <c:strRef>
              <c:f>subindex_charts!$A$146</c:f>
              <c:strCache>
                <c:ptCount val="1"/>
                <c:pt idx="0">
                  <c:v>Rate of change</c:v>
                </c:pt>
              </c:strCache>
            </c:strRef>
          </c:tx>
          <c:marker>
            <c:symbol val="none"/>
          </c:marker>
          <c:cat>
            <c:strRef>
              <c:f>subindex_charts!$DQ$144:$EC$144</c:f>
              <c:strCache>
                <c:ptCount val="13"/>
                <c:pt idx="0">
                  <c:v>Aug</c:v>
                </c:pt>
                <c:pt idx="1">
                  <c:v>Sep</c:v>
                </c:pt>
                <c:pt idx="2">
                  <c:v>Oct</c:v>
                </c:pt>
                <c:pt idx="3">
                  <c:v>Nov</c:v>
                </c:pt>
                <c:pt idx="4">
                  <c:v>Dec-18</c:v>
                </c:pt>
                <c:pt idx="5">
                  <c:v>Jan-19</c:v>
                </c:pt>
                <c:pt idx="6">
                  <c:v>Feb-19</c:v>
                </c:pt>
                <c:pt idx="7">
                  <c:v>Mar-19</c:v>
                </c:pt>
                <c:pt idx="8">
                  <c:v>Apr-19</c:v>
                </c:pt>
                <c:pt idx="9">
                  <c:v>May-19</c:v>
                </c:pt>
                <c:pt idx="10">
                  <c:v>June-19</c:v>
                </c:pt>
                <c:pt idx="11">
                  <c:v>July-19</c:v>
                </c:pt>
                <c:pt idx="12">
                  <c:v>Aug-19</c:v>
                </c:pt>
              </c:strCache>
            </c:strRef>
          </c:cat>
          <c:val>
            <c:numRef>
              <c:f>subindex_charts!$DQ$146:$EC$146</c:f>
              <c:numCache>
                <c:formatCode>0.0%</c:formatCode>
                <c:ptCount val="13"/>
                <c:pt idx="0">
                  <c:v>3.076923076923066E-2</c:v>
                </c:pt>
                <c:pt idx="1">
                  <c:v>3.5869565217391042E-2</c:v>
                </c:pt>
                <c:pt idx="2">
                  <c:v>6.9444444444446418E-3</c:v>
                </c:pt>
                <c:pt idx="3">
                  <c:v>2.9166666666666785E-2</c:v>
                </c:pt>
                <c:pt idx="4">
                  <c:v>2.7173913043478493E-2</c:v>
                </c:pt>
                <c:pt idx="5">
                  <c:v>3.399999999999892E-2</c:v>
                </c:pt>
                <c:pt idx="6">
                  <c:v>8.333333333334636E-3</c:v>
                </c:pt>
                <c:pt idx="7">
                  <c:v>3.0377668308698702E-3</c:v>
                </c:pt>
                <c:pt idx="8">
                  <c:v>3.4859058565954726E-2</c:v>
                </c:pt>
                <c:pt idx="9">
                  <c:v>1.634615384615401E-2</c:v>
                </c:pt>
                <c:pt idx="10">
                  <c:v>2.1969696969696528E-2</c:v>
                </c:pt>
                <c:pt idx="11">
                  <c:v>2.053571428571388E-2</c:v>
                </c:pt>
                <c:pt idx="12">
                  <c:v>0</c:v>
                </c:pt>
              </c:numCache>
            </c:numRef>
          </c:val>
          <c:smooth val="0"/>
          <c:extLst>
            <c:ext xmlns:c16="http://schemas.microsoft.com/office/drawing/2014/chart" uri="{C3380CC4-5D6E-409C-BE32-E72D297353CC}">
              <c16:uniqueId val="{00000001-85B0-4723-BC85-72373AAD9A5D}"/>
            </c:ext>
          </c:extLst>
        </c:ser>
        <c:dLbls>
          <c:showLegendKey val="0"/>
          <c:showVal val="0"/>
          <c:showCatName val="0"/>
          <c:showSerName val="0"/>
          <c:showPercent val="0"/>
          <c:showBubbleSize val="0"/>
        </c:dLbls>
        <c:marker val="1"/>
        <c:smooth val="0"/>
        <c:axId val="564644480"/>
        <c:axId val="564642520"/>
      </c:lineChart>
      <c:catAx>
        <c:axId val="564635464"/>
        <c:scaling>
          <c:orientation val="minMax"/>
        </c:scaling>
        <c:delete val="0"/>
        <c:axPos val="b"/>
        <c:numFmt formatCode="General" sourceLinked="0"/>
        <c:majorTickMark val="out"/>
        <c:minorTickMark val="none"/>
        <c:tickLblPos val="nextTo"/>
        <c:txPr>
          <a:bodyPr/>
          <a:lstStyle/>
          <a:p>
            <a:pPr>
              <a:defRPr sz="900">
                <a:latin typeface="Arial Narrow" pitchFamily="34" charset="0"/>
              </a:defRPr>
            </a:pPr>
            <a:endParaRPr lang="en-US"/>
          </a:p>
        </c:txPr>
        <c:crossAx val="564642128"/>
        <c:crosses val="autoZero"/>
        <c:auto val="1"/>
        <c:lblAlgn val="ctr"/>
        <c:lblOffset val="100"/>
        <c:noMultiLvlLbl val="0"/>
      </c:catAx>
      <c:valAx>
        <c:axId val="564642128"/>
        <c:scaling>
          <c:orientation val="minMax"/>
          <c:max val="30000"/>
          <c:min val="13000"/>
        </c:scaling>
        <c:delete val="0"/>
        <c:axPos val="l"/>
        <c:numFmt formatCode="0.0_);\(0.0\)" sourceLinked="1"/>
        <c:majorTickMark val="out"/>
        <c:minorTickMark val="none"/>
        <c:tickLblPos val="nextTo"/>
        <c:spPr>
          <a:ln>
            <a:noFill/>
          </a:ln>
        </c:spPr>
        <c:txPr>
          <a:bodyPr/>
          <a:lstStyle/>
          <a:p>
            <a:pPr>
              <a:defRPr>
                <a:solidFill>
                  <a:schemeClr val="bg1"/>
                </a:solidFill>
              </a:defRPr>
            </a:pPr>
            <a:endParaRPr lang="en-US"/>
          </a:p>
        </c:txPr>
        <c:crossAx val="564635464"/>
        <c:crosses val="autoZero"/>
        <c:crossBetween val="between"/>
      </c:valAx>
      <c:valAx>
        <c:axId val="564642520"/>
        <c:scaling>
          <c:orientation val="minMax"/>
          <c:max val="6.0000000000000012E-2"/>
          <c:min val="0"/>
        </c:scaling>
        <c:delete val="0"/>
        <c:axPos val="r"/>
        <c:numFmt formatCode="0%" sourceLinked="0"/>
        <c:majorTickMark val="out"/>
        <c:minorTickMark val="none"/>
        <c:tickLblPos val="nextTo"/>
        <c:spPr>
          <a:ln>
            <a:noFill/>
          </a:ln>
        </c:spPr>
        <c:txPr>
          <a:bodyPr/>
          <a:lstStyle/>
          <a:p>
            <a:pPr>
              <a:defRPr>
                <a:solidFill>
                  <a:srgbClr val="C00000"/>
                </a:solidFill>
              </a:defRPr>
            </a:pPr>
            <a:endParaRPr lang="en-US"/>
          </a:p>
        </c:txPr>
        <c:crossAx val="564644480"/>
        <c:crosses val="max"/>
        <c:crossBetween val="between"/>
        <c:majorUnit val="2.0000000000000011E-2"/>
        <c:minorUnit val="1.0000000000000005E-2"/>
      </c:valAx>
      <c:catAx>
        <c:axId val="564644480"/>
        <c:scaling>
          <c:orientation val="minMax"/>
        </c:scaling>
        <c:delete val="1"/>
        <c:axPos val="b"/>
        <c:numFmt formatCode="General" sourceLinked="1"/>
        <c:majorTickMark val="out"/>
        <c:minorTickMark val="none"/>
        <c:tickLblPos val="none"/>
        <c:crossAx val="564642520"/>
        <c:crosses val="autoZero"/>
        <c:auto val="1"/>
        <c:lblAlgn val="ctr"/>
        <c:lblOffset val="100"/>
        <c:noMultiLvlLbl val="0"/>
      </c:catAx>
    </c:plotArea>
    <c:plotVisOnly val="1"/>
    <c:dispBlanksAs val="zero"/>
    <c:showDLblsOverMax val="0"/>
  </c:chart>
  <c:spPr>
    <a:ln>
      <a:noFill/>
    </a:ln>
  </c:spPr>
  <c:printSettings>
    <c:headerFooter/>
    <c:pageMargins b="0.75000000000000056" l="0.70000000000000051" r="0.70000000000000051" t="0.75000000000000056" header="0.30000000000000027" footer="0.30000000000000027"/>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190591229418718"/>
          <c:y val="0.1155008076750426"/>
          <c:w val="0.82263608353303663"/>
          <c:h val="0.54592853140758324"/>
        </c:manualLayout>
      </c:layout>
      <c:lineChart>
        <c:grouping val="stacked"/>
        <c:varyColors val="0"/>
        <c:ser>
          <c:idx val="0"/>
          <c:order val="0"/>
          <c:marker>
            <c:symbol val="none"/>
          </c:marker>
          <c:dLbls>
            <c:spPr>
              <a:noFill/>
              <a:ln>
                <a:noFill/>
              </a:ln>
              <a:effectLst/>
            </c:spPr>
            <c:txPr>
              <a:bodyPr/>
              <a:lstStyle/>
              <a:p>
                <a:pPr>
                  <a:defRPr sz="700">
                    <a:latin typeface="Arial Narrow" pitchFamily="34" charset="0"/>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subindex_charts!$DQ$149:$EC$149</c:f>
              <c:strCache>
                <c:ptCount val="13"/>
                <c:pt idx="0">
                  <c:v>Aug</c:v>
                </c:pt>
                <c:pt idx="1">
                  <c:v>Sep</c:v>
                </c:pt>
                <c:pt idx="2">
                  <c:v>Oct</c:v>
                </c:pt>
                <c:pt idx="3">
                  <c:v>Nov</c:v>
                </c:pt>
                <c:pt idx="4">
                  <c:v>Dec-18</c:v>
                </c:pt>
                <c:pt idx="5">
                  <c:v>Jan-19</c:v>
                </c:pt>
                <c:pt idx="6">
                  <c:v>Feb-19</c:v>
                </c:pt>
                <c:pt idx="7">
                  <c:v>Mar-19</c:v>
                </c:pt>
                <c:pt idx="8">
                  <c:v>Apr-19</c:v>
                </c:pt>
                <c:pt idx="9">
                  <c:v>May-19</c:v>
                </c:pt>
                <c:pt idx="10">
                  <c:v>June-19</c:v>
                </c:pt>
                <c:pt idx="11">
                  <c:v>July-19</c:v>
                </c:pt>
                <c:pt idx="12">
                  <c:v>Aug-19</c:v>
                </c:pt>
              </c:strCache>
            </c:strRef>
          </c:cat>
          <c:val>
            <c:numRef>
              <c:f>subindex_charts!$DQ$150:$EC$150</c:f>
              <c:numCache>
                <c:formatCode>0.0_);\(0.0\)</c:formatCode>
                <c:ptCount val="13"/>
                <c:pt idx="0">
                  <c:v>3771.7856371148587</c:v>
                </c:pt>
                <c:pt idx="1">
                  <c:v>3808.8646089200615</c:v>
                </c:pt>
                <c:pt idx="2">
                  <c:v>3824.7679871535283</c:v>
                </c:pt>
                <c:pt idx="3">
                  <c:v>3897.1589311970533</c:v>
                </c:pt>
                <c:pt idx="4">
                  <c:v>3961.2203869487453</c:v>
                </c:pt>
                <c:pt idx="5">
                  <c:v>4045.2856105482024</c:v>
                </c:pt>
                <c:pt idx="6">
                  <c:v>4062.1761314074324</c:v>
                </c:pt>
                <c:pt idx="7">
                  <c:v>4184.6336085926505</c:v>
                </c:pt>
                <c:pt idx="8">
                  <c:v>4130.4464055590497</c:v>
                </c:pt>
                <c:pt idx="9">
                  <c:v>4142.3783560760521</c:v>
                </c:pt>
                <c:pt idx="10">
                  <c:v>4170.718348690556</c:v>
                </c:pt>
                <c:pt idx="11">
                  <c:v>4159.5617302553146</c:v>
                </c:pt>
                <c:pt idx="12">
                  <c:v>4159.5617302553146</c:v>
                </c:pt>
              </c:numCache>
            </c:numRef>
          </c:val>
          <c:smooth val="0"/>
          <c:extLst>
            <c:ext xmlns:c16="http://schemas.microsoft.com/office/drawing/2014/chart" uri="{C3380CC4-5D6E-409C-BE32-E72D297353CC}">
              <c16:uniqueId val="{00000000-96CF-49CD-8A3F-AA60515B4A29}"/>
            </c:ext>
          </c:extLst>
        </c:ser>
        <c:dLbls>
          <c:showLegendKey val="0"/>
          <c:showVal val="0"/>
          <c:showCatName val="0"/>
          <c:showSerName val="0"/>
          <c:showPercent val="0"/>
          <c:showBubbleSize val="0"/>
        </c:dLbls>
        <c:marker val="1"/>
        <c:smooth val="0"/>
        <c:axId val="564644088"/>
        <c:axId val="564642912"/>
      </c:lineChart>
      <c:lineChart>
        <c:grouping val="stacked"/>
        <c:varyColors val="0"/>
        <c:ser>
          <c:idx val="1"/>
          <c:order val="1"/>
          <c:marker>
            <c:symbol val="none"/>
          </c:marker>
          <c:cat>
            <c:strRef>
              <c:f>subindex_charts!$DQ$149:$EC$149</c:f>
              <c:strCache>
                <c:ptCount val="13"/>
                <c:pt idx="0">
                  <c:v>Aug</c:v>
                </c:pt>
                <c:pt idx="1">
                  <c:v>Sep</c:v>
                </c:pt>
                <c:pt idx="2">
                  <c:v>Oct</c:v>
                </c:pt>
                <c:pt idx="3">
                  <c:v>Nov</c:v>
                </c:pt>
                <c:pt idx="4">
                  <c:v>Dec-18</c:v>
                </c:pt>
                <c:pt idx="5">
                  <c:v>Jan-19</c:v>
                </c:pt>
                <c:pt idx="6">
                  <c:v>Feb-19</c:v>
                </c:pt>
                <c:pt idx="7">
                  <c:v>Mar-19</c:v>
                </c:pt>
                <c:pt idx="8">
                  <c:v>Apr-19</c:v>
                </c:pt>
                <c:pt idx="9">
                  <c:v>May-19</c:v>
                </c:pt>
                <c:pt idx="10">
                  <c:v>June-19</c:v>
                </c:pt>
                <c:pt idx="11">
                  <c:v>July-19</c:v>
                </c:pt>
                <c:pt idx="12">
                  <c:v>Aug-19</c:v>
                </c:pt>
              </c:strCache>
            </c:strRef>
          </c:cat>
          <c:val>
            <c:numRef>
              <c:f>subindex_charts!$DQ$151:$EC$151</c:f>
              <c:numCache>
                <c:formatCode>0.0%</c:formatCode>
                <c:ptCount val="13"/>
                <c:pt idx="0">
                  <c:v>1.634615384615401E-2</c:v>
                </c:pt>
                <c:pt idx="1">
                  <c:v>9.7826086956516178E-3</c:v>
                </c:pt>
                <c:pt idx="2">
                  <c:v>4.1666666666664298E-3</c:v>
                </c:pt>
                <c:pt idx="3">
                  <c:v>1.8750000000000711E-2</c:v>
                </c:pt>
                <c:pt idx="4">
                  <c:v>1.630434782608603E-2</c:v>
                </c:pt>
                <c:pt idx="5">
                  <c:v>2.1000000000000796E-2</c:v>
                </c:pt>
                <c:pt idx="6">
                  <c:v>4.1666666666664298E-3</c:v>
                </c:pt>
                <c:pt idx="7">
                  <c:v>2.970032840722503E-2</c:v>
                </c:pt>
                <c:pt idx="8">
                  <c:v>-1.3033661740557534E-2</c:v>
                </c:pt>
                <c:pt idx="9">
                  <c:v>2.8846153846142641E-3</c:v>
                </c:pt>
                <c:pt idx="10">
                  <c:v>6.8181818181827225E-3</c:v>
                </c:pt>
                <c:pt idx="11">
                  <c:v>-2.6785714285715301E-3</c:v>
                </c:pt>
                <c:pt idx="12">
                  <c:v>0</c:v>
                </c:pt>
              </c:numCache>
            </c:numRef>
          </c:val>
          <c:smooth val="0"/>
          <c:extLst>
            <c:ext xmlns:c16="http://schemas.microsoft.com/office/drawing/2014/chart" uri="{C3380CC4-5D6E-409C-BE32-E72D297353CC}">
              <c16:uniqueId val="{00000001-96CF-49CD-8A3F-AA60515B4A29}"/>
            </c:ext>
          </c:extLst>
        </c:ser>
        <c:dLbls>
          <c:showLegendKey val="0"/>
          <c:showVal val="0"/>
          <c:showCatName val="0"/>
          <c:showSerName val="0"/>
          <c:showPercent val="0"/>
          <c:showBubbleSize val="0"/>
        </c:dLbls>
        <c:marker val="1"/>
        <c:smooth val="0"/>
        <c:axId val="564645264"/>
        <c:axId val="564644872"/>
      </c:lineChart>
      <c:catAx>
        <c:axId val="564644088"/>
        <c:scaling>
          <c:orientation val="minMax"/>
        </c:scaling>
        <c:delete val="0"/>
        <c:axPos val="b"/>
        <c:numFmt formatCode="General" sourceLinked="0"/>
        <c:majorTickMark val="out"/>
        <c:minorTickMark val="none"/>
        <c:tickLblPos val="nextTo"/>
        <c:txPr>
          <a:bodyPr/>
          <a:lstStyle/>
          <a:p>
            <a:pPr>
              <a:defRPr sz="900">
                <a:latin typeface="Arial Narrow" pitchFamily="34" charset="0"/>
              </a:defRPr>
            </a:pPr>
            <a:endParaRPr lang="en-US"/>
          </a:p>
        </c:txPr>
        <c:crossAx val="564642912"/>
        <c:crosses val="autoZero"/>
        <c:auto val="1"/>
        <c:lblAlgn val="ctr"/>
        <c:lblOffset val="100"/>
        <c:noMultiLvlLbl val="0"/>
      </c:catAx>
      <c:valAx>
        <c:axId val="564642912"/>
        <c:scaling>
          <c:orientation val="minMax"/>
          <c:min val="1200"/>
        </c:scaling>
        <c:delete val="0"/>
        <c:axPos val="l"/>
        <c:numFmt formatCode="0.0_);\(0.0\)" sourceLinked="1"/>
        <c:majorTickMark val="out"/>
        <c:minorTickMark val="none"/>
        <c:tickLblPos val="nextTo"/>
        <c:spPr>
          <a:ln>
            <a:noFill/>
          </a:ln>
        </c:spPr>
        <c:txPr>
          <a:bodyPr/>
          <a:lstStyle/>
          <a:p>
            <a:pPr>
              <a:defRPr>
                <a:solidFill>
                  <a:schemeClr val="bg1"/>
                </a:solidFill>
              </a:defRPr>
            </a:pPr>
            <a:endParaRPr lang="en-US"/>
          </a:p>
        </c:txPr>
        <c:crossAx val="564644088"/>
        <c:crosses val="autoZero"/>
        <c:crossBetween val="between"/>
      </c:valAx>
      <c:valAx>
        <c:axId val="564644872"/>
        <c:scaling>
          <c:orientation val="minMax"/>
          <c:max val="5.000000000000001E-2"/>
          <c:min val="-1.0000000000000002E-2"/>
        </c:scaling>
        <c:delete val="0"/>
        <c:axPos val="r"/>
        <c:numFmt formatCode="0%" sourceLinked="0"/>
        <c:majorTickMark val="out"/>
        <c:minorTickMark val="none"/>
        <c:tickLblPos val="nextTo"/>
        <c:spPr>
          <a:ln>
            <a:noFill/>
          </a:ln>
        </c:spPr>
        <c:txPr>
          <a:bodyPr/>
          <a:lstStyle/>
          <a:p>
            <a:pPr>
              <a:defRPr>
                <a:solidFill>
                  <a:srgbClr val="C00000"/>
                </a:solidFill>
              </a:defRPr>
            </a:pPr>
            <a:endParaRPr lang="en-US"/>
          </a:p>
        </c:txPr>
        <c:crossAx val="564645264"/>
        <c:crosses val="max"/>
        <c:crossBetween val="between"/>
        <c:majorUnit val="2.0000000000000011E-2"/>
      </c:valAx>
      <c:catAx>
        <c:axId val="564645264"/>
        <c:scaling>
          <c:orientation val="minMax"/>
        </c:scaling>
        <c:delete val="1"/>
        <c:axPos val="b"/>
        <c:numFmt formatCode="General" sourceLinked="1"/>
        <c:majorTickMark val="out"/>
        <c:minorTickMark val="none"/>
        <c:tickLblPos val="none"/>
        <c:crossAx val="564644872"/>
        <c:crosses val="autoZero"/>
        <c:auto val="1"/>
        <c:lblAlgn val="ctr"/>
        <c:lblOffset val="100"/>
        <c:noMultiLvlLbl val="0"/>
      </c:catAx>
    </c:plotArea>
    <c:plotVisOnly val="1"/>
    <c:dispBlanksAs val="zero"/>
    <c:showDLblsOverMax val="0"/>
  </c:chart>
  <c:spPr>
    <a:ln>
      <a:noFill/>
    </a:ln>
  </c:spPr>
  <c:printSettings>
    <c:headerFooter/>
    <c:pageMargins b="0.75000000000000056" l="0.70000000000000051" r="0.70000000000000051" t="0.75000000000000056" header="0.30000000000000027" footer="0.30000000000000027"/>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1"/>
    <c:plotArea>
      <c:layout/>
      <c:barChart>
        <c:barDir val="bar"/>
        <c:grouping val="percentStacked"/>
        <c:varyColors val="0"/>
        <c:ser>
          <c:idx val="0"/>
          <c:order val="0"/>
          <c:tx>
            <c:strRef>
              <c:f>diffusion_chart!$K$3</c:f>
              <c:strCache>
                <c:ptCount val="1"/>
                <c:pt idx="0">
                  <c:v>Improving fast</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diffusion_chart!$J$4:$J$28</c:f>
              <c:strCache>
                <c:ptCount val="25"/>
                <c:pt idx="0">
                  <c:v>Weapons: Phishing/social engineering</c:v>
                </c:pt>
                <c:pt idx="1">
                  <c:v>Effect desired: Data theft</c:v>
                </c:pt>
                <c:pt idx="2">
                  <c:v>Target: Counterparties</c:v>
                </c:pt>
                <c:pt idx="3">
                  <c:v>Attackers: Criminals</c:v>
                </c:pt>
                <c:pt idx="4">
                  <c:v>Weapons: Customized to target</c:v>
                </c:pt>
                <c:pt idx="5">
                  <c:v>Weapons: Vulnerability exploitation</c:v>
                </c:pt>
                <c:pt idx="6">
                  <c:v>Target: End points</c:v>
                </c:pt>
                <c:pt idx="7">
                  <c:v>Target: Public infrastructure/cloud</c:v>
                </c:pt>
                <c:pt idx="8">
                  <c:v>Overall: False claims of digital identity</c:v>
                </c:pt>
                <c:pt idx="9">
                  <c:v>Target: Web facing applications</c:v>
                </c:pt>
                <c:pt idx="10">
                  <c:v>Attackers: Strategic rivals</c:v>
                </c:pt>
                <c:pt idx="11">
                  <c:v>Attackers: Nation states</c:v>
                </c:pt>
                <c:pt idx="12">
                  <c:v>Attackers: Insider threat</c:v>
                </c:pt>
                <c:pt idx="13">
                  <c:v>Effect desired: Business disruption</c:v>
                </c:pt>
                <c:pt idx="14">
                  <c:v>Overall: Media &amp; public perception</c:v>
                </c:pt>
                <c:pt idx="15">
                  <c:v>Overall: Personal risk</c:v>
                </c:pt>
                <c:pt idx="16">
                  <c:v>Effect desired: Data modification</c:v>
                </c:pt>
                <c:pt idx="17">
                  <c:v>Weapons: Mass malware</c:v>
                </c:pt>
                <c:pt idx="18">
                  <c:v>Defenses: Vulnerability to unknown threats</c:v>
                </c:pt>
                <c:pt idx="19">
                  <c:v>Attackers: Activist/hacktivists</c:v>
                </c:pt>
                <c:pt idx="20">
                  <c:v>Target: Mobile devices</c:v>
                </c:pt>
                <c:pt idx="21">
                  <c:v>Defenses: Vulnerability to known threats</c:v>
                </c:pt>
                <c:pt idx="22">
                  <c:v>Weapons: Botnets</c:v>
                </c:pt>
                <c:pt idx="23">
                  <c:v>Target: Internet exposed devices/appliances</c:v>
                </c:pt>
                <c:pt idx="24">
                  <c:v>Target: Autonomous network connected devices</c:v>
                </c:pt>
              </c:strCache>
            </c:strRef>
          </c:cat>
          <c:val>
            <c:numRef>
              <c:f>diffusion_chart!$K$4:$K$28</c:f>
              <c:numCache>
                <c:formatCode>0%</c:formatCode>
                <c:ptCount val="25"/>
                <c:pt idx="0">
                  <c:v>0</c:v>
                </c:pt>
                <c:pt idx="1">
                  <c:v>0</c:v>
                </c:pt>
                <c:pt idx="2">
                  <c:v>0</c:v>
                </c:pt>
                <c:pt idx="3">
                  <c:v>0</c:v>
                </c:pt>
                <c:pt idx="4">
                  <c:v>0</c:v>
                </c:pt>
                <c:pt idx="5">
                  <c:v>2.7777777777777776E-2</c:v>
                </c:pt>
                <c:pt idx="6">
                  <c:v>2.7777777777777776E-2</c:v>
                </c:pt>
                <c:pt idx="7">
                  <c:v>0</c:v>
                </c:pt>
                <c:pt idx="8">
                  <c:v>0</c:v>
                </c:pt>
                <c:pt idx="9">
                  <c:v>0</c:v>
                </c:pt>
                <c:pt idx="10">
                  <c:v>0</c:v>
                </c:pt>
                <c:pt idx="11">
                  <c:v>0</c:v>
                </c:pt>
                <c:pt idx="12">
                  <c:v>0</c:v>
                </c:pt>
                <c:pt idx="13">
                  <c:v>2.7777777777777776E-2</c:v>
                </c:pt>
                <c:pt idx="14">
                  <c:v>0</c:v>
                </c:pt>
                <c:pt idx="15">
                  <c:v>0</c:v>
                </c:pt>
                <c:pt idx="16">
                  <c:v>0</c:v>
                </c:pt>
                <c:pt idx="17">
                  <c:v>5.5555555555555552E-2</c:v>
                </c:pt>
                <c:pt idx="18">
                  <c:v>0</c:v>
                </c:pt>
                <c:pt idx="19">
                  <c:v>2.7777777777777776E-2</c:v>
                </c:pt>
                <c:pt idx="20">
                  <c:v>2.7777777777777776E-2</c:v>
                </c:pt>
                <c:pt idx="21">
                  <c:v>2.7777777777777776E-2</c:v>
                </c:pt>
                <c:pt idx="22">
                  <c:v>5.5555555555555552E-2</c:v>
                </c:pt>
                <c:pt idx="23">
                  <c:v>0</c:v>
                </c:pt>
                <c:pt idx="24">
                  <c:v>0</c:v>
                </c:pt>
              </c:numCache>
            </c:numRef>
          </c:val>
          <c:extLst>
            <c:ext xmlns:c16="http://schemas.microsoft.com/office/drawing/2014/chart" uri="{C3380CC4-5D6E-409C-BE32-E72D297353CC}">
              <c16:uniqueId val="{00000000-C4D0-4396-8B8A-899C8F4B4F47}"/>
            </c:ext>
          </c:extLst>
        </c:ser>
        <c:ser>
          <c:idx val="1"/>
          <c:order val="1"/>
          <c:tx>
            <c:strRef>
              <c:f>diffusion_chart!$L$3</c:f>
              <c:strCache>
                <c:ptCount val="1"/>
                <c:pt idx="0">
                  <c:v>Improving</c:v>
                </c:pt>
              </c:strCache>
            </c:strRef>
          </c:tx>
          <c:spPr>
            <a:solidFill>
              <a:srgbClr val="C9FFDB"/>
            </a:solidFill>
          </c:spPr>
          <c:invertIfNegative val="0"/>
          <c:dLbls>
            <c:spPr>
              <a:noFill/>
              <a:ln>
                <a:noFill/>
              </a:ln>
              <a:effectLst/>
            </c:spPr>
            <c:txPr>
              <a:bodyPr/>
              <a:lstStyle/>
              <a:p>
                <a:pPr>
                  <a:defRPr>
                    <a:latin typeface="Arial Narrow"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diffusion_chart!$J$4:$J$28</c:f>
              <c:strCache>
                <c:ptCount val="25"/>
                <c:pt idx="0">
                  <c:v>Weapons: Phishing/social engineering</c:v>
                </c:pt>
                <c:pt idx="1">
                  <c:v>Effect desired: Data theft</c:v>
                </c:pt>
                <c:pt idx="2">
                  <c:v>Target: Counterparties</c:v>
                </c:pt>
                <c:pt idx="3">
                  <c:v>Attackers: Criminals</c:v>
                </c:pt>
                <c:pt idx="4">
                  <c:v>Weapons: Customized to target</c:v>
                </c:pt>
                <c:pt idx="5">
                  <c:v>Weapons: Vulnerability exploitation</c:v>
                </c:pt>
                <c:pt idx="6">
                  <c:v>Target: End points</c:v>
                </c:pt>
                <c:pt idx="7">
                  <c:v>Target: Public infrastructure/cloud</c:v>
                </c:pt>
                <c:pt idx="8">
                  <c:v>Overall: False claims of digital identity</c:v>
                </c:pt>
                <c:pt idx="9">
                  <c:v>Target: Web facing applications</c:v>
                </c:pt>
                <c:pt idx="10">
                  <c:v>Attackers: Strategic rivals</c:v>
                </c:pt>
                <c:pt idx="11">
                  <c:v>Attackers: Nation states</c:v>
                </c:pt>
                <c:pt idx="12">
                  <c:v>Attackers: Insider threat</c:v>
                </c:pt>
                <c:pt idx="13">
                  <c:v>Effect desired: Business disruption</c:v>
                </c:pt>
                <c:pt idx="14">
                  <c:v>Overall: Media &amp; public perception</c:v>
                </c:pt>
                <c:pt idx="15">
                  <c:v>Overall: Personal risk</c:v>
                </c:pt>
                <c:pt idx="16">
                  <c:v>Effect desired: Data modification</c:v>
                </c:pt>
                <c:pt idx="17">
                  <c:v>Weapons: Mass malware</c:v>
                </c:pt>
                <c:pt idx="18">
                  <c:v>Defenses: Vulnerability to unknown threats</c:v>
                </c:pt>
                <c:pt idx="19">
                  <c:v>Attackers: Activist/hacktivists</c:v>
                </c:pt>
                <c:pt idx="20">
                  <c:v>Target: Mobile devices</c:v>
                </c:pt>
                <c:pt idx="21">
                  <c:v>Defenses: Vulnerability to known threats</c:v>
                </c:pt>
                <c:pt idx="22">
                  <c:v>Weapons: Botnets</c:v>
                </c:pt>
                <c:pt idx="23">
                  <c:v>Target: Internet exposed devices/appliances</c:v>
                </c:pt>
                <c:pt idx="24">
                  <c:v>Target: Autonomous network connected devices</c:v>
                </c:pt>
              </c:strCache>
            </c:strRef>
          </c:cat>
          <c:val>
            <c:numRef>
              <c:f>diffusion_chart!$L$4:$L$28</c:f>
              <c:numCache>
                <c:formatCode>0%</c:formatCode>
                <c:ptCount val="25"/>
                <c:pt idx="0">
                  <c:v>0</c:v>
                </c:pt>
                <c:pt idx="1">
                  <c:v>0</c:v>
                </c:pt>
                <c:pt idx="2">
                  <c:v>0</c:v>
                </c:pt>
                <c:pt idx="3">
                  <c:v>5.5555555555555552E-2</c:v>
                </c:pt>
                <c:pt idx="4">
                  <c:v>0</c:v>
                </c:pt>
                <c:pt idx="5">
                  <c:v>2.7777777777777776E-2</c:v>
                </c:pt>
                <c:pt idx="6">
                  <c:v>2.7777777777777776E-2</c:v>
                </c:pt>
                <c:pt idx="7">
                  <c:v>5.5555555555555552E-2</c:v>
                </c:pt>
                <c:pt idx="8">
                  <c:v>0</c:v>
                </c:pt>
                <c:pt idx="9">
                  <c:v>2.7777777777777776E-2</c:v>
                </c:pt>
                <c:pt idx="10">
                  <c:v>0</c:v>
                </c:pt>
                <c:pt idx="11">
                  <c:v>5.5555555555555552E-2</c:v>
                </c:pt>
                <c:pt idx="12">
                  <c:v>2.7777777777777776E-2</c:v>
                </c:pt>
                <c:pt idx="13">
                  <c:v>2.7777777777777776E-2</c:v>
                </c:pt>
                <c:pt idx="14">
                  <c:v>2.7777777777777776E-2</c:v>
                </c:pt>
                <c:pt idx="15">
                  <c:v>0</c:v>
                </c:pt>
                <c:pt idx="16">
                  <c:v>5.5555555555555552E-2</c:v>
                </c:pt>
                <c:pt idx="17">
                  <c:v>2.7777777777777776E-2</c:v>
                </c:pt>
                <c:pt idx="18">
                  <c:v>8.3333333333333329E-2</c:v>
                </c:pt>
                <c:pt idx="19">
                  <c:v>5.5555555555555552E-2</c:v>
                </c:pt>
                <c:pt idx="20">
                  <c:v>8.3333333333333329E-2</c:v>
                </c:pt>
                <c:pt idx="21">
                  <c:v>8.3333333333333329E-2</c:v>
                </c:pt>
                <c:pt idx="22">
                  <c:v>5.5555555555555552E-2</c:v>
                </c:pt>
                <c:pt idx="23">
                  <c:v>0.1111111111111111</c:v>
                </c:pt>
                <c:pt idx="24">
                  <c:v>0.1111111111111111</c:v>
                </c:pt>
              </c:numCache>
            </c:numRef>
          </c:val>
          <c:extLst>
            <c:ext xmlns:c16="http://schemas.microsoft.com/office/drawing/2014/chart" uri="{C3380CC4-5D6E-409C-BE32-E72D297353CC}">
              <c16:uniqueId val="{00000001-C4D0-4396-8B8A-899C8F4B4F47}"/>
            </c:ext>
          </c:extLst>
        </c:ser>
        <c:ser>
          <c:idx val="2"/>
          <c:order val="2"/>
          <c:tx>
            <c:strRef>
              <c:f>diffusion_chart!$M$3</c:f>
              <c:strCache>
                <c:ptCount val="1"/>
                <c:pt idx="0">
                  <c:v>Static</c:v>
                </c:pt>
              </c:strCache>
            </c:strRef>
          </c:tx>
          <c:invertIfNegative val="0"/>
          <c:dLbls>
            <c:spPr>
              <a:noFill/>
              <a:ln>
                <a:noFill/>
              </a:ln>
              <a:effectLst/>
            </c:spPr>
            <c:txPr>
              <a:bodyPr/>
              <a:lstStyle/>
              <a:p>
                <a:pPr>
                  <a:defRPr>
                    <a:latin typeface="Arial Narrow"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diffusion_chart!$J$4:$J$28</c:f>
              <c:strCache>
                <c:ptCount val="25"/>
                <c:pt idx="0">
                  <c:v>Weapons: Phishing/social engineering</c:v>
                </c:pt>
                <c:pt idx="1">
                  <c:v>Effect desired: Data theft</c:v>
                </c:pt>
                <c:pt idx="2">
                  <c:v>Target: Counterparties</c:v>
                </c:pt>
                <c:pt idx="3">
                  <c:v>Attackers: Criminals</c:v>
                </c:pt>
                <c:pt idx="4">
                  <c:v>Weapons: Customized to target</c:v>
                </c:pt>
                <c:pt idx="5">
                  <c:v>Weapons: Vulnerability exploitation</c:v>
                </c:pt>
                <c:pt idx="6">
                  <c:v>Target: End points</c:v>
                </c:pt>
                <c:pt idx="7">
                  <c:v>Target: Public infrastructure/cloud</c:v>
                </c:pt>
                <c:pt idx="8">
                  <c:v>Overall: False claims of digital identity</c:v>
                </c:pt>
                <c:pt idx="9">
                  <c:v>Target: Web facing applications</c:v>
                </c:pt>
                <c:pt idx="10">
                  <c:v>Attackers: Strategic rivals</c:v>
                </c:pt>
                <c:pt idx="11">
                  <c:v>Attackers: Nation states</c:v>
                </c:pt>
                <c:pt idx="12">
                  <c:v>Attackers: Insider threat</c:v>
                </c:pt>
                <c:pt idx="13">
                  <c:v>Effect desired: Business disruption</c:v>
                </c:pt>
                <c:pt idx="14">
                  <c:v>Overall: Media &amp; public perception</c:v>
                </c:pt>
                <c:pt idx="15">
                  <c:v>Overall: Personal risk</c:v>
                </c:pt>
                <c:pt idx="16">
                  <c:v>Effect desired: Data modification</c:v>
                </c:pt>
                <c:pt idx="17">
                  <c:v>Weapons: Mass malware</c:v>
                </c:pt>
                <c:pt idx="18">
                  <c:v>Defenses: Vulnerability to unknown threats</c:v>
                </c:pt>
                <c:pt idx="19">
                  <c:v>Attackers: Activist/hacktivists</c:v>
                </c:pt>
                <c:pt idx="20">
                  <c:v>Target: Mobile devices</c:v>
                </c:pt>
                <c:pt idx="21">
                  <c:v>Defenses: Vulnerability to known threats</c:v>
                </c:pt>
                <c:pt idx="22">
                  <c:v>Weapons: Botnets</c:v>
                </c:pt>
                <c:pt idx="23">
                  <c:v>Target: Internet exposed devices/appliances</c:v>
                </c:pt>
                <c:pt idx="24">
                  <c:v>Target: Autonomous network connected devices</c:v>
                </c:pt>
              </c:strCache>
            </c:strRef>
          </c:cat>
          <c:val>
            <c:numRef>
              <c:f>diffusion_chart!$M$4:$M$28</c:f>
              <c:numCache>
                <c:formatCode>0%</c:formatCode>
                <c:ptCount val="25"/>
                <c:pt idx="0">
                  <c:v>0.66666666666666663</c:v>
                </c:pt>
                <c:pt idx="1">
                  <c:v>0.72222222222222221</c:v>
                </c:pt>
                <c:pt idx="2">
                  <c:v>0.72222222222222221</c:v>
                </c:pt>
                <c:pt idx="3">
                  <c:v>0.66666666666666663</c:v>
                </c:pt>
                <c:pt idx="4">
                  <c:v>0.77777777777777779</c:v>
                </c:pt>
                <c:pt idx="5">
                  <c:v>0.69444444444444442</c:v>
                </c:pt>
                <c:pt idx="6">
                  <c:v>0.69444444444444442</c:v>
                </c:pt>
                <c:pt idx="7">
                  <c:v>0.69444444444444442</c:v>
                </c:pt>
                <c:pt idx="8">
                  <c:v>0.80555555555555558</c:v>
                </c:pt>
                <c:pt idx="9">
                  <c:v>0.77777777777777779</c:v>
                </c:pt>
                <c:pt idx="10">
                  <c:v>0.86111111111111116</c:v>
                </c:pt>
                <c:pt idx="11">
                  <c:v>0.75</c:v>
                </c:pt>
                <c:pt idx="12">
                  <c:v>0.83333333333333337</c:v>
                </c:pt>
                <c:pt idx="13">
                  <c:v>0.77777777777777779</c:v>
                </c:pt>
                <c:pt idx="14">
                  <c:v>0.83333333333333337</c:v>
                </c:pt>
                <c:pt idx="15">
                  <c:v>0.88888888888888884</c:v>
                </c:pt>
                <c:pt idx="16">
                  <c:v>0.80555555555555558</c:v>
                </c:pt>
                <c:pt idx="17">
                  <c:v>0.75</c:v>
                </c:pt>
                <c:pt idx="18">
                  <c:v>0.75</c:v>
                </c:pt>
                <c:pt idx="19">
                  <c:v>0.77777777777777779</c:v>
                </c:pt>
                <c:pt idx="20">
                  <c:v>0.72222222222222221</c:v>
                </c:pt>
                <c:pt idx="21">
                  <c:v>0.75</c:v>
                </c:pt>
                <c:pt idx="22">
                  <c:v>0.77777777777777779</c:v>
                </c:pt>
                <c:pt idx="23">
                  <c:v>0.77777777777777779</c:v>
                </c:pt>
                <c:pt idx="24">
                  <c:v>0.77777777777777779</c:v>
                </c:pt>
              </c:numCache>
            </c:numRef>
          </c:val>
          <c:extLst>
            <c:ext xmlns:c16="http://schemas.microsoft.com/office/drawing/2014/chart" uri="{C3380CC4-5D6E-409C-BE32-E72D297353CC}">
              <c16:uniqueId val="{00000002-C4D0-4396-8B8A-899C8F4B4F47}"/>
            </c:ext>
          </c:extLst>
        </c:ser>
        <c:ser>
          <c:idx val="3"/>
          <c:order val="3"/>
          <c:tx>
            <c:strRef>
              <c:f>diffusion_chart!$N$3</c:f>
              <c:strCache>
                <c:ptCount val="1"/>
                <c:pt idx="0">
                  <c:v>Deteriorating</c:v>
                </c:pt>
              </c:strCache>
            </c:strRef>
          </c:tx>
          <c:spPr>
            <a:solidFill>
              <a:srgbClr val="FF8989"/>
            </a:solidFill>
          </c:spPr>
          <c:invertIfNegative val="0"/>
          <c:dLbls>
            <c:spPr>
              <a:noFill/>
              <a:ln>
                <a:noFill/>
              </a:ln>
              <a:effectLst/>
            </c:spPr>
            <c:txPr>
              <a:bodyPr/>
              <a:lstStyle/>
              <a:p>
                <a:pPr>
                  <a:defRPr>
                    <a:latin typeface="Arial Narrow"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diffusion_chart!$J$4:$J$28</c:f>
              <c:strCache>
                <c:ptCount val="25"/>
                <c:pt idx="0">
                  <c:v>Weapons: Phishing/social engineering</c:v>
                </c:pt>
                <c:pt idx="1">
                  <c:v>Effect desired: Data theft</c:v>
                </c:pt>
                <c:pt idx="2">
                  <c:v>Target: Counterparties</c:v>
                </c:pt>
                <c:pt idx="3">
                  <c:v>Attackers: Criminals</c:v>
                </c:pt>
                <c:pt idx="4">
                  <c:v>Weapons: Customized to target</c:v>
                </c:pt>
                <c:pt idx="5">
                  <c:v>Weapons: Vulnerability exploitation</c:v>
                </c:pt>
                <c:pt idx="6">
                  <c:v>Target: End points</c:v>
                </c:pt>
                <c:pt idx="7">
                  <c:v>Target: Public infrastructure/cloud</c:v>
                </c:pt>
                <c:pt idx="8">
                  <c:v>Overall: False claims of digital identity</c:v>
                </c:pt>
                <c:pt idx="9">
                  <c:v>Target: Web facing applications</c:v>
                </c:pt>
                <c:pt idx="10">
                  <c:v>Attackers: Strategic rivals</c:v>
                </c:pt>
                <c:pt idx="11">
                  <c:v>Attackers: Nation states</c:v>
                </c:pt>
                <c:pt idx="12">
                  <c:v>Attackers: Insider threat</c:v>
                </c:pt>
                <c:pt idx="13">
                  <c:v>Effect desired: Business disruption</c:v>
                </c:pt>
                <c:pt idx="14">
                  <c:v>Overall: Media &amp; public perception</c:v>
                </c:pt>
                <c:pt idx="15">
                  <c:v>Overall: Personal risk</c:v>
                </c:pt>
                <c:pt idx="16">
                  <c:v>Effect desired: Data modification</c:v>
                </c:pt>
                <c:pt idx="17">
                  <c:v>Weapons: Mass malware</c:v>
                </c:pt>
                <c:pt idx="18">
                  <c:v>Defenses: Vulnerability to unknown threats</c:v>
                </c:pt>
                <c:pt idx="19">
                  <c:v>Attackers: Activist/hacktivists</c:v>
                </c:pt>
                <c:pt idx="20">
                  <c:v>Target: Mobile devices</c:v>
                </c:pt>
                <c:pt idx="21">
                  <c:v>Defenses: Vulnerability to known threats</c:v>
                </c:pt>
                <c:pt idx="22">
                  <c:v>Weapons: Botnets</c:v>
                </c:pt>
                <c:pt idx="23">
                  <c:v>Target: Internet exposed devices/appliances</c:v>
                </c:pt>
                <c:pt idx="24">
                  <c:v>Target: Autonomous network connected devices</c:v>
                </c:pt>
              </c:strCache>
            </c:strRef>
          </c:cat>
          <c:val>
            <c:numRef>
              <c:f>diffusion_chart!$N$4:$N$28</c:f>
              <c:numCache>
                <c:formatCode>0%</c:formatCode>
                <c:ptCount val="25"/>
                <c:pt idx="0">
                  <c:v>0.25</c:v>
                </c:pt>
                <c:pt idx="1">
                  <c:v>0.22222222222222221</c:v>
                </c:pt>
                <c:pt idx="2">
                  <c:v>0.16666666666666666</c:v>
                </c:pt>
                <c:pt idx="3">
                  <c:v>0.27777777777777779</c:v>
                </c:pt>
                <c:pt idx="4">
                  <c:v>0.1388888888888889</c:v>
                </c:pt>
                <c:pt idx="5">
                  <c:v>0.22222222222222221</c:v>
                </c:pt>
                <c:pt idx="6">
                  <c:v>0.25</c:v>
                </c:pt>
                <c:pt idx="7">
                  <c:v>0.19444444444444445</c:v>
                </c:pt>
                <c:pt idx="8">
                  <c:v>0.19444444444444445</c:v>
                </c:pt>
                <c:pt idx="9">
                  <c:v>0.16666666666666666</c:v>
                </c:pt>
                <c:pt idx="10">
                  <c:v>0.1388888888888889</c:v>
                </c:pt>
                <c:pt idx="11">
                  <c:v>0.1388888888888889</c:v>
                </c:pt>
                <c:pt idx="12">
                  <c:v>0.1111111111111111</c:v>
                </c:pt>
                <c:pt idx="13">
                  <c:v>0.16666666666666666</c:v>
                </c:pt>
                <c:pt idx="14">
                  <c:v>8.3333333333333329E-2</c:v>
                </c:pt>
                <c:pt idx="15">
                  <c:v>0.1111111111111111</c:v>
                </c:pt>
                <c:pt idx="16">
                  <c:v>0.1388888888888889</c:v>
                </c:pt>
                <c:pt idx="17">
                  <c:v>0.16666666666666666</c:v>
                </c:pt>
                <c:pt idx="18">
                  <c:v>0.16666666666666666</c:v>
                </c:pt>
                <c:pt idx="19">
                  <c:v>0.1388888888888889</c:v>
                </c:pt>
                <c:pt idx="20">
                  <c:v>0.16666666666666666</c:v>
                </c:pt>
                <c:pt idx="21">
                  <c:v>0.1388888888888889</c:v>
                </c:pt>
                <c:pt idx="22">
                  <c:v>0.1111111111111111</c:v>
                </c:pt>
                <c:pt idx="23">
                  <c:v>0.1111111111111111</c:v>
                </c:pt>
                <c:pt idx="24">
                  <c:v>8.3333333333333329E-2</c:v>
                </c:pt>
              </c:numCache>
            </c:numRef>
          </c:val>
          <c:extLst>
            <c:ext xmlns:c16="http://schemas.microsoft.com/office/drawing/2014/chart" uri="{C3380CC4-5D6E-409C-BE32-E72D297353CC}">
              <c16:uniqueId val="{00000003-C4D0-4396-8B8A-899C8F4B4F47}"/>
            </c:ext>
          </c:extLst>
        </c:ser>
        <c:ser>
          <c:idx val="4"/>
          <c:order val="4"/>
          <c:tx>
            <c:strRef>
              <c:f>diffusion_chart!$O$3</c:f>
              <c:strCache>
                <c:ptCount val="1"/>
                <c:pt idx="0">
                  <c:v>Deteriorating fast</c:v>
                </c:pt>
              </c:strCache>
            </c:strRef>
          </c:tx>
          <c:invertIfNegative val="0"/>
          <c:dLbls>
            <c:dLbl>
              <c:idx val="22"/>
              <c:layout>
                <c:manualLayout>
                  <c:x val="2.4033648622001436E-3"/>
                  <c:y val="-8.0989896351001296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C4D0-4396-8B8A-899C8F4B4F47}"/>
                </c:ext>
              </c:extLst>
            </c:dLbl>
            <c:spPr>
              <a:noFill/>
              <a:ln>
                <a:noFill/>
              </a:ln>
              <a:effectLst/>
            </c:spPr>
            <c:txPr>
              <a:bodyPr/>
              <a:lstStyle/>
              <a:p>
                <a:pPr>
                  <a:defRPr>
                    <a:latin typeface="Arial Narrow"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diffusion_chart!$J$4:$J$28</c:f>
              <c:strCache>
                <c:ptCount val="25"/>
                <c:pt idx="0">
                  <c:v>Weapons: Phishing/social engineering</c:v>
                </c:pt>
                <c:pt idx="1">
                  <c:v>Effect desired: Data theft</c:v>
                </c:pt>
                <c:pt idx="2">
                  <c:v>Target: Counterparties</c:v>
                </c:pt>
                <c:pt idx="3">
                  <c:v>Attackers: Criminals</c:v>
                </c:pt>
                <c:pt idx="4">
                  <c:v>Weapons: Customized to target</c:v>
                </c:pt>
                <c:pt idx="5">
                  <c:v>Weapons: Vulnerability exploitation</c:v>
                </c:pt>
                <c:pt idx="6">
                  <c:v>Target: End points</c:v>
                </c:pt>
                <c:pt idx="7">
                  <c:v>Target: Public infrastructure/cloud</c:v>
                </c:pt>
                <c:pt idx="8">
                  <c:v>Overall: False claims of digital identity</c:v>
                </c:pt>
                <c:pt idx="9">
                  <c:v>Target: Web facing applications</c:v>
                </c:pt>
                <c:pt idx="10">
                  <c:v>Attackers: Strategic rivals</c:v>
                </c:pt>
                <c:pt idx="11">
                  <c:v>Attackers: Nation states</c:v>
                </c:pt>
                <c:pt idx="12">
                  <c:v>Attackers: Insider threat</c:v>
                </c:pt>
                <c:pt idx="13">
                  <c:v>Effect desired: Business disruption</c:v>
                </c:pt>
                <c:pt idx="14">
                  <c:v>Overall: Media &amp; public perception</c:v>
                </c:pt>
                <c:pt idx="15">
                  <c:v>Overall: Personal risk</c:v>
                </c:pt>
                <c:pt idx="16">
                  <c:v>Effect desired: Data modification</c:v>
                </c:pt>
                <c:pt idx="17">
                  <c:v>Weapons: Mass malware</c:v>
                </c:pt>
                <c:pt idx="18">
                  <c:v>Defenses: Vulnerability to unknown threats</c:v>
                </c:pt>
                <c:pt idx="19">
                  <c:v>Attackers: Activist/hacktivists</c:v>
                </c:pt>
                <c:pt idx="20">
                  <c:v>Target: Mobile devices</c:v>
                </c:pt>
                <c:pt idx="21">
                  <c:v>Defenses: Vulnerability to known threats</c:v>
                </c:pt>
                <c:pt idx="22">
                  <c:v>Weapons: Botnets</c:v>
                </c:pt>
                <c:pt idx="23">
                  <c:v>Target: Internet exposed devices/appliances</c:v>
                </c:pt>
                <c:pt idx="24">
                  <c:v>Target: Autonomous network connected devices</c:v>
                </c:pt>
              </c:strCache>
            </c:strRef>
          </c:cat>
          <c:val>
            <c:numRef>
              <c:f>diffusion_chart!$O$4:$O$28</c:f>
              <c:numCache>
                <c:formatCode>0%</c:formatCode>
                <c:ptCount val="25"/>
                <c:pt idx="0">
                  <c:v>8.3333333333333329E-2</c:v>
                </c:pt>
                <c:pt idx="1">
                  <c:v>5.5555555555555552E-2</c:v>
                </c:pt>
                <c:pt idx="2">
                  <c:v>0.1111111111111111</c:v>
                </c:pt>
                <c:pt idx="3">
                  <c:v>0</c:v>
                </c:pt>
                <c:pt idx="4">
                  <c:v>8.3333333333333329E-2</c:v>
                </c:pt>
                <c:pt idx="5">
                  <c:v>2.7777777777777776E-2</c:v>
                </c:pt>
                <c:pt idx="6">
                  <c:v>0</c:v>
                </c:pt>
                <c:pt idx="7">
                  <c:v>5.5555555555555552E-2</c:v>
                </c:pt>
                <c:pt idx="8">
                  <c:v>0</c:v>
                </c:pt>
                <c:pt idx="9">
                  <c:v>2.7777777777777776E-2</c:v>
                </c:pt>
                <c:pt idx="10">
                  <c:v>0</c:v>
                </c:pt>
                <c:pt idx="11">
                  <c:v>5.5555555555555552E-2</c:v>
                </c:pt>
                <c:pt idx="12">
                  <c:v>2.7777777777777776E-2</c:v>
                </c:pt>
                <c:pt idx="13">
                  <c:v>0</c:v>
                </c:pt>
                <c:pt idx="14">
                  <c:v>5.5555555555555552E-2</c:v>
                </c:pt>
                <c:pt idx="15">
                  <c:v>0</c:v>
                </c:pt>
                <c:pt idx="16">
                  <c:v>0</c:v>
                </c:pt>
                <c:pt idx="17">
                  <c:v>0</c:v>
                </c:pt>
                <c:pt idx="18">
                  <c:v>0</c:v>
                </c:pt>
                <c:pt idx="19">
                  <c:v>0</c:v>
                </c:pt>
                <c:pt idx="20">
                  <c:v>0</c:v>
                </c:pt>
                <c:pt idx="21">
                  <c:v>0</c:v>
                </c:pt>
                <c:pt idx="22">
                  <c:v>0</c:v>
                </c:pt>
                <c:pt idx="23">
                  <c:v>0</c:v>
                </c:pt>
                <c:pt idx="24">
                  <c:v>2.7777777777777776E-2</c:v>
                </c:pt>
              </c:numCache>
            </c:numRef>
          </c:val>
          <c:extLst>
            <c:ext xmlns:c16="http://schemas.microsoft.com/office/drawing/2014/chart" uri="{C3380CC4-5D6E-409C-BE32-E72D297353CC}">
              <c16:uniqueId val="{00000005-C4D0-4396-8B8A-899C8F4B4F47}"/>
            </c:ext>
          </c:extLst>
        </c:ser>
        <c:dLbls>
          <c:showLegendKey val="0"/>
          <c:showVal val="1"/>
          <c:showCatName val="0"/>
          <c:showSerName val="0"/>
          <c:showPercent val="0"/>
          <c:showBubbleSize val="0"/>
        </c:dLbls>
        <c:gapWidth val="95"/>
        <c:overlap val="100"/>
        <c:axId val="562502120"/>
        <c:axId val="562498984"/>
      </c:barChart>
      <c:catAx>
        <c:axId val="562502120"/>
        <c:scaling>
          <c:orientation val="maxMin"/>
        </c:scaling>
        <c:delete val="0"/>
        <c:axPos val="l"/>
        <c:numFmt formatCode="General" sourceLinked="0"/>
        <c:majorTickMark val="none"/>
        <c:minorTickMark val="none"/>
        <c:tickLblPos val="nextTo"/>
        <c:spPr>
          <a:ln>
            <a:noFill/>
          </a:ln>
        </c:spPr>
        <c:txPr>
          <a:bodyPr rot="0"/>
          <a:lstStyle/>
          <a:p>
            <a:pPr>
              <a:defRPr>
                <a:latin typeface="Arial Narrow" pitchFamily="34" charset="0"/>
              </a:defRPr>
            </a:pPr>
            <a:endParaRPr lang="en-US"/>
          </a:p>
        </c:txPr>
        <c:crossAx val="562498984"/>
        <c:crosses val="autoZero"/>
        <c:auto val="0"/>
        <c:lblAlgn val="ctr"/>
        <c:lblOffset val="100"/>
        <c:noMultiLvlLbl val="0"/>
      </c:catAx>
      <c:valAx>
        <c:axId val="562498984"/>
        <c:scaling>
          <c:orientation val="minMax"/>
        </c:scaling>
        <c:delete val="1"/>
        <c:axPos val="t"/>
        <c:numFmt formatCode="0%" sourceLinked="1"/>
        <c:majorTickMark val="none"/>
        <c:minorTickMark val="none"/>
        <c:tickLblPos val="none"/>
        <c:crossAx val="562502120"/>
        <c:crosses val="autoZero"/>
        <c:crossBetween val="between"/>
      </c:valAx>
    </c:plotArea>
    <c:legend>
      <c:legendPos val="t"/>
      <c:layout>
        <c:manualLayout>
          <c:xMode val="edge"/>
          <c:yMode val="edge"/>
          <c:x val="0.22742568587680634"/>
          <c:y val="1.41344376170538E-2"/>
          <c:w val="0.7153373283439225"/>
          <c:h val="3.8950809662524011E-2"/>
        </c:manualLayout>
      </c:layout>
      <c:overlay val="0"/>
      <c:txPr>
        <a:bodyPr/>
        <a:lstStyle/>
        <a:p>
          <a:pPr>
            <a:defRPr sz="1100">
              <a:latin typeface="Arial Narrow" pitchFamily="34" charset="0"/>
            </a:defRPr>
          </a:pPr>
          <a:endParaRPr lang="en-US"/>
        </a:p>
      </c:txPr>
    </c:legend>
    <c:plotVisOnly val="1"/>
    <c:dispBlanksAs val="gap"/>
    <c:showDLblsOverMax val="0"/>
  </c:chart>
  <c:spPr>
    <a:ln>
      <a:noFill/>
    </a:ln>
  </c:spPr>
  <c:printSettings>
    <c:headerFooter/>
    <c:pageMargins b="0.75000000000000056" l="0.70000000000000051" r="0.70000000000000051" t="0.75000000000000056" header="0.30000000000000027" footer="0.30000000000000027"/>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Security Skill</a:t>
            </a:r>
            <a:r>
              <a:rPr lang="en-US" baseline="0"/>
              <a:t> Set Availability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Q_of_the_mth!$S$82</c:f>
              <c:strCache>
                <c:ptCount val="1"/>
                <c:pt idx="0">
                  <c:v>Super Abundant</c:v>
                </c:pt>
              </c:strCache>
            </c:strRef>
          </c:tx>
          <c:spPr>
            <a:solidFill>
              <a:srgbClr val="0000FF"/>
            </a:solidFill>
            <a:ln>
              <a:noFill/>
            </a:ln>
            <a:effectLst/>
          </c:spPr>
          <c:invertIfNegative val="0"/>
          <c:cat>
            <c:strRef>
              <c:f>Q_of_the_mth!$R$83:$R$90</c:f>
              <c:strCache>
                <c:ptCount val="8"/>
                <c:pt idx="0">
                  <c:v>Control and Risk Assessment Expert</c:v>
                </c:pt>
                <c:pt idx="1">
                  <c:v>Network and infrastructure Security</c:v>
                </c:pt>
                <c:pt idx="2">
                  <c:v>Security Project/Program Manager</c:v>
                </c:pt>
                <c:pt idx="3">
                  <c:v>Specific Technology/Tool Engineer</c:v>
                </c:pt>
                <c:pt idx="4">
                  <c:v>Security Metrics and Data Analytics</c:v>
                </c:pt>
                <c:pt idx="5">
                  <c:v>Security Architect</c:v>
                </c:pt>
                <c:pt idx="6">
                  <c:v>Application Security</c:v>
                </c:pt>
                <c:pt idx="7">
                  <c:v>Security Leadership</c:v>
                </c:pt>
              </c:strCache>
            </c:strRef>
          </c:cat>
          <c:val>
            <c:numRef>
              <c:f>Q_of_the_mth!$S$83:$S$90</c:f>
              <c:numCache>
                <c:formatCode>0%</c:formatCode>
                <c:ptCount val="8"/>
                <c:pt idx="0">
                  <c:v>4.1666666666666664E-2</c:v>
                </c:pt>
                <c:pt idx="1">
                  <c:v>4.1666666666666664E-2</c:v>
                </c:pt>
                <c:pt idx="2">
                  <c:v>4.1666666666666664E-2</c:v>
                </c:pt>
                <c:pt idx="3">
                  <c:v>0</c:v>
                </c:pt>
                <c:pt idx="4">
                  <c:v>0</c:v>
                </c:pt>
                <c:pt idx="5">
                  <c:v>0</c:v>
                </c:pt>
                <c:pt idx="6">
                  <c:v>0</c:v>
                </c:pt>
                <c:pt idx="7">
                  <c:v>0</c:v>
                </c:pt>
              </c:numCache>
            </c:numRef>
          </c:val>
          <c:extLst>
            <c:ext xmlns:c16="http://schemas.microsoft.com/office/drawing/2014/chart" uri="{C3380CC4-5D6E-409C-BE32-E72D297353CC}">
              <c16:uniqueId val="{00000000-E395-F84F-AFC2-BE7F2361D216}"/>
            </c:ext>
          </c:extLst>
        </c:ser>
        <c:ser>
          <c:idx val="1"/>
          <c:order val="1"/>
          <c:tx>
            <c:strRef>
              <c:f>Q_of_the_mth!$T$82</c:f>
              <c:strCache>
                <c:ptCount val="1"/>
                <c:pt idx="0">
                  <c:v>Abundant</c:v>
                </c:pt>
              </c:strCache>
            </c:strRef>
          </c:tx>
          <c:spPr>
            <a:solidFill>
              <a:schemeClr val="accent1"/>
            </a:solidFill>
            <a:ln>
              <a:noFill/>
            </a:ln>
            <a:effectLst/>
          </c:spPr>
          <c:invertIfNegative val="0"/>
          <c:cat>
            <c:strRef>
              <c:f>Q_of_the_mth!$R$83:$R$90</c:f>
              <c:strCache>
                <c:ptCount val="8"/>
                <c:pt idx="0">
                  <c:v>Control and Risk Assessment Expert</c:v>
                </c:pt>
                <c:pt idx="1">
                  <c:v>Network and infrastructure Security</c:v>
                </c:pt>
                <c:pt idx="2">
                  <c:v>Security Project/Program Manager</c:v>
                </c:pt>
                <c:pt idx="3">
                  <c:v>Specific Technology/Tool Engineer</c:v>
                </c:pt>
                <c:pt idx="4">
                  <c:v>Security Metrics and Data Analytics</c:v>
                </c:pt>
                <c:pt idx="5">
                  <c:v>Security Architect</c:v>
                </c:pt>
                <c:pt idx="6">
                  <c:v>Application Security</c:v>
                </c:pt>
                <c:pt idx="7">
                  <c:v>Security Leadership</c:v>
                </c:pt>
              </c:strCache>
            </c:strRef>
          </c:cat>
          <c:val>
            <c:numRef>
              <c:f>Q_of_the_mth!$T$83:$T$90</c:f>
              <c:numCache>
                <c:formatCode>0%</c:formatCode>
                <c:ptCount val="8"/>
                <c:pt idx="0">
                  <c:v>0.20833333333333334</c:v>
                </c:pt>
                <c:pt idx="1">
                  <c:v>0.125</c:v>
                </c:pt>
                <c:pt idx="2">
                  <c:v>0.125</c:v>
                </c:pt>
                <c:pt idx="3">
                  <c:v>8.3333333333333329E-2</c:v>
                </c:pt>
                <c:pt idx="4">
                  <c:v>8.3333333333333329E-2</c:v>
                </c:pt>
                <c:pt idx="5">
                  <c:v>0</c:v>
                </c:pt>
                <c:pt idx="6">
                  <c:v>8.3333333333333329E-2</c:v>
                </c:pt>
                <c:pt idx="7">
                  <c:v>0</c:v>
                </c:pt>
              </c:numCache>
            </c:numRef>
          </c:val>
          <c:extLst>
            <c:ext xmlns:c16="http://schemas.microsoft.com/office/drawing/2014/chart" uri="{C3380CC4-5D6E-409C-BE32-E72D297353CC}">
              <c16:uniqueId val="{00000001-E395-F84F-AFC2-BE7F2361D216}"/>
            </c:ext>
          </c:extLst>
        </c:ser>
        <c:ser>
          <c:idx val="2"/>
          <c:order val="2"/>
          <c:tx>
            <c:strRef>
              <c:f>Q_of_the_mth!$U$82</c:f>
              <c:strCache>
                <c:ptCount val="1"/>
                <c:pt idx="0">
                  <c:v>Reasonable</c:v>
                </c:pt>
              </c:strCache>
            </c:strRef>
          </c:tx>
          <c:spPr>
            <a:solidFill>
              <a:srgbClr val="92D050"/>
            </a:solidFill>
            <a:ln>
              <a:noFill/>
            </a:ln>
            <a:effectLst/>
          </c:spPr>
          <c:invertIfNegative val="0"/>
          <c:cat>
            <c:strRef>
              <c:f>Q_of_the_mth!$R$83:$R$90</c:f>
              <c:strCache>
                <c:ptCount val="8"/>
                <c:pt idx="0">
                  <c:v>Control and Risk Assessment Expert</c:v>
                </c:pt>
                <c:pt idx="1">
                  <c:v>Network and infrastructure Security</c:v>
                </c:pt>
                <c:pt idx="2">
                  <c:v>Security Project/Program Manager</c:v>
                </c:pt>
                <c:pt idx="3">
                  <c:v>Specific Technology/Tool Engineer</c:v>
                </c:pt>
                <c:pt idx="4">
                  <c:v>Security Metrics and Data Analytics</c:v>
                </c:pt>
                <c:pt idx="5">
                  <c:v>Security Architect</c:v>
                </c:pt>
                <c:pt idx="6">
                  <c:v>Application Security</c:v>
                </c:pt>
                <c:pt idx="7">
                  <c:v>Security Leadership</c:v>
                </c:pt>
              </c:strCache>
            </c:strRef>
          </c:cat>
          <c:val>
            <c:numRef>
              <c:f>Q_of_the_mth!$U$83:$U$90</c:f>
              <c:numCache>
                <c:formatCode>0%</c:formatCode>
                <c:ptCount val="8"/>
                <c:pt idx="0">
                  <c:v>0.5</c:v>
                </c:pt>
                <c:pt idx="1">
                  <c:v>0.45833333333333331</c:v>
                </c:pt>
                <c:pt idx="2">
                  <c:v>0.45833333333333331</c:v>
                </c:pt>
                <c:pt idx="3">
                  <c:v>0.45833333333333331</c:v>
                </c:pt>
                <c:pt idx="4">
                  <c:v>0.45833333333333331</c:v>
                </c:pt>
                <c:pt idx="5">
                  <c:v>0.20833333333333334</c:v>
                </c:pt>
                <c:pt idx="6">
                  <c:v>0.16666666666666666</c:v>
                </c:pt>
                <c:pt idx="7">
                  <c:v>0.20833333333333334</c:v>
                </c:pt>
              </c:numCache>
            </c:numRef>
          </c:val>
          <c:extLst>
            <c:ext xmlns:c16="http://schemas.microsoft.com/office/drawing/2014/chart" uri="{C3380CC4-5D6E-409C-BE32-E72D297353CC}">
              <c16:uniqueId val="{00000002-E395-F84F-AFC2-BE7F2361D216}"/>
            </c:ext>
          </c:extLst>
        </c:ser>
        <c:ser>
          <c:idx val="3"/>
          <c:order val="3"/>
          <c:tx>
            <c:strRef>
              <c:f>Q_of_the_mth!$V$82</c:f>
              <c:strCache>
                <c:ptCount val="1"/>
                <c:pt idx="0">
                  <c:v>Difficult to find</c:v>
                </c:pt>
              </c:strCache>
            </c:strRef>
          </c:tx>
          <c:spPr>
            <a:solidFill>
              <a:srgbClr val="FF9999"/>
            </a:solidFill>
            <a:ln>
              <a:noFill/>
            </a:ln>
            <a:effectLst/>
          </c:spPr>
          <c:invertIfNegative val="0"/>
          <c:cat>
            <c:strRef>
              <c:f>Q_of_the_mth!$R$83:$R$90</c:f>
              <c:strCache>
                <c:ptCount val="8"/>
                <c:pt idx="0">
                  <c:v>Control and Risk Assessment Expert</c:v>
                </c:pt>
                <c:pt idx="1">
                  <c:v>Network and infrastructure Security</c:v>
                </c:pt>
                <c:pt idx="2">
                  <c:v>Security Project/Program Manager</c:v>
                </c:pt>
                <c:pt idx="3">
                  <c:v>Specific Technology/Tool Engineer</c:v>
                </c:pt>
                <c:pt idx="4">
                  <c:v>Security Metrics and Data Analytics</c:v>
                </c:pt>
                <c:pt idx="5">
                  <c:v>Security Architect</c:v>
                </c:pt>
                <c:pt idx="6">
                  <c:v>Application Security</c:v>
                </c:pt>
                <c:pt idx="7">
                  <c:v>Security Leadership</c:v>
                </c:pt>
              </c:strCache>
            </c:strRef>
          </c:cat>
          <c:val>
            <c:numRef>
              <c:f>Q_of_the_mth!$V$83:$V$90</c:f>
              <c:numCache>
                <c:formatCode>0%</c:formatCode>
                <c:ptCount val="8"/>
                <c:pt idx="0">
                  <c:v>0.25</c:v>
                </c:pt>
                <c:pt idx="1">
                  <c:v>0.375</c:v>
                </c:pt>
                <c:pt idx="2">
                  <c:v>0.29166666666666669</c:v>
                </c:pt>
                <c:pt idx="3">
                  <c:v>0.375</c:v>
                </c:pt>
                <c:pt idx="4">
                  <c:v>0.29166666666666669</c:v>
                </c:pt>
                <c:pt idx="5">
                  <c:v>0.70833333333333337</c:v>
                </c:pt>
                <c:pt idx="6">
                  <c:v>0.54166666666666663</c:v>
                </c:pt>
                <c:pt idx="7">
                  <c:v>0.41666666666666669</c:v>
                </c:pt>
              </c:numCache>
            </c:numRef>
          </c:val>
          <c:extLst>
            <c:ext xmlns:c16="http://schemas.microsoft.com/office/drawing/2014/chart" uri="{C3380CC4-5D6E-409C-BE32-E72D297353CC}">
              <c16:uniqueId val="{00000003-E395-F84F-AFC2-BE7F2361D216}"/>
            </c:ext>
          </c:extLst>
        </c:ser>
        <c:ser>
          <c:idx val="4"/>
          <c:order val="4"/>
          <c:tx>
            <c:strRef>
              <c:f>Q_of_the_mth!$W$82</c:f>
              <c:strCache>
                <c:ptCount val="1"/>
                <c:pt idx="0">
                  <c:v>Very difficult to find</c:v>
                </c:pt>
              </c:strCache>
            </c:strRef>
          </c:tx>
          <c:spPr>
            <a:solidFill>
              <a:srgbClr val="C00000"/>
            </a:solidFill>
            <a:ln>
              <a:noFill/>
            </a:ln>
            <a:effectLst/>
          </c:spPr>
          <c:invertIfNegative val="0"/>
          <c:cat>
            <c:strRef>
              <c:f>Q_of_the_mth!$R$83:$R$90</c:f>
              <c:strCache>
                <c:ptCount val="8"/>
                <c:pt idx="0">
                  <c:v>Control and Risk Assessment Expert</c:v>
                </c:pt>
                <c:pt idx="1">
                  <c:v>Network and infrastructure Security</c:v>
                </c:pt>
                <c:pt idx="2">
                  <c:v>Security Project/Program Manager</c:v>
                </c:pt>
                <c:pt idx="3">
                  <c:v>Specific Technology/Tool Engineer</c:v>
                </c:pt>
                <c:pt idx="4">
                  <c:v>Security Metrics and Data Analytics</c:v>
                </c:pt>
                <c:pt idx="5">
                  <c:v>Security Architect</c:v>
                </c:pt>
                <c:pt idx="6">
                  <c:v>Application Security</c:v>
                </c:pt>
                <c:pt idx="7">
                  <c:v>Security Leadership</c:v>
                </c:pt>
              </c:strCache>
            </c:strRef>
          </c:cat>
          <c:val>
            <c:numRef>
              <c:f>Q_of_the_mth!$W$83:$W$90</c:f>
              <c:numCache>
                <c:formatCode>0%</c:formatCode>
                <c:ptCount val="8"/>
                <c:pt idx="0">
                  <c:v>0</c:v>
                </c:pt>
                <c:pt idx="1">
                  <c:v>0</c:v>
                </c:pt>
                <c:pt idx="2">
                  <c:v>8.3333333333333329E-2</c:v>
                </c:pt>
                <c:pt idx="3">
                  <c:v>8.3333333333333329E-2</c:v>
                </c:pt>
                <c:pt idx="4">
                  <c:v>0.16666666666666666</c:v>
                </c:pt>
                <c:pt idx="5">
                  <c:v>8.3333333333333329E-2</c:v>
                </c:pt>
                <c:pt idx="6">
                  <c:v>0.20833333333333334</c:v>
                </c:pt>
                <c:pt idx="7">
                  <c:v>0.375</c:v>
                </c:pt>
              </c:numCache>
            </c:numRef>
          </c:val>
          <c:extLst>
            <c:ext xmlns:c16="http://schemas.microsoft.com/office/drawing/2014/chart" uri="{C3380CC4-5D6E-409C-BE32-E72D297353CC}">
              <c16:uniqueId val="{00000004-E395-F84F-AFC2-BE7F2361D216}"/>
            </c:ext>
          </c:extLst>
        </c:ser>
        <c:dLbls>
          <c:showLegendKey val="0"/>
          <c:showVal val="0"/>
          <c:showCatName val="0"/>
          <c:showSerName val="0"/>
          <c:showPercent val="0"/>
          <c:showBubbleSize val="0"/>
        </c:dLbls>
        <c:gapWidth val="150"/>
        <c:overlap val="100"/>
        <c:axId val="562506432"/>
        <c:axId val="562505648"/>
      </c:barChart>
      <c:catAx>
        <c:axId val="5625064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2505648"/>
        <c:crosses val="autoZero"/>
        <c:auto val="1"/>
        <c:lblAlgn val="ctr"/>
        <c:lblOffset val="100"/>
        <c:noMultiLvlLbl val="0"/>
      </c:catAx>
      <c:valAx>
        <c:axId val="562505648"/>
        <c:scaling>
          <c:orientation val="minMax"/>
          <c:max val="1"/>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2506432"/>
        <c:crosses val="autoZero"/>
        <c:crossBetween val="between"/>
        <c:majorUnit val="0.2"/>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48693644063722802"/>
          <c:y val="0"/>
          <c:w val="0.47399152029073288"/>
          <c:h val="0.91397849462365588"/>
        </c:manualLayout>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Q_of_the_mth!$B$4:$B$9</c15:sqref>
                  </c15:fullRef>
                </c:ext>
              </c:extLst>
              <c:f>Q_of_the_mth!$B$4:$B$8</c:f>
              <c:strCache>
                <c:ptCount val="5"/>
                <c:pt idx="0">
                  <c:v>Continuous user security training on malware/phishing</c:v>
                </c:pt>
                <c:pt idx="1">
                  <c:v>Strong geo-diverse backup program and operational procedures</c:v>
                </c:pt>
                <c:pt idx="2">
                  <c:v>Tested Business Continuity/Disaster Recovery plans and procedures</c:v>
                </c:pt>
                <c:pt idx="3">
                  <c:v>Zero Trust Architectures</c:v>
                </c:pt>
                <c:pt idx="4">
                  <c:v>Data encryption to help minimize the data hackers can steal use or sell should they find their way in</c:v>
                </c:pt>
              </c:strCache>
            </c:strRef>
          </c:cat>
          <c:val>
            <c:numRef>
              <c:extLst>
                <c:ext xmlns:c15="http://schemas.microsoft.com/office/drawing/2012/chart" uri="{02D57815-91ED-43cb-92C2-25804820EDAC}">
                  <c15:fullRef>
                    <c15:sqref>Q_of_the_mth!$C$4:$C$9</c15:sqref>
                  </c15:fullRef>
                </c:ext>
              </c:extLst>
              <c:f>Q_of_the_mth!$C$4:$C$8</c:f>
              <c:numCache>
                <c:formatCode>0%</c:formatCode>
                <c:ptCount val="5"/>
                <c:pt idx="0">
                  <c:v>0.6333333333333333</c:v>
                </c:pt>
                <c:pt idx="1">
                  <c:v>0.56666666666666665</c:v>
                </c:pt>
                <c:pt idx="2">
                  <c:v>0.66666666666666663</c:v>
                </c:pt>
                <c:pt idx="3">
                  <c:v>0.5</c:v>
                </c:pt>
                <c:pt idx="4">
                  <c:v>0.43333333333333335</c:v>
                </c:pt>
              </c:numCache>
            </c:numRef>
          </c:val>
          <c:extLst>
            <c:ext xmlns:c16="http://schemas.microsoft.com/office/drawing/2014/chart" uri="{C3380CC4-5D6E-409C-BE32-E72D297353CC}">
              <c16:uniqueId val="{00000000-5254-E240-89B4-A758A26C268A}"/>
            </c:ext>
          </c:extLst>
        </c:ser>
        <c:dLbls>
          <c:showLegendKey val="0"/>
          <c:showVal val="0"/>
          <c:showCatName val="0"/>
          <c:showSerName val="0"/>
          <c:showPercent val="0"/>
          <c:showBubbleSize val="0"/>
        </c:dLbls>
        <c:gapWidth val="182"/>
        <c:axId val="562502904"/>
        <c:axId val="562501728"/>
      </c:barChart>
      <c:catAx>
        <c:axId val="562502904"/>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2501728"/>
        <c:crosses val="autoZero"/>
        <c:auto val="1"/>
        <c:lblAlgn val="ctr"/>
        <c:lblOffset val="100"/>
        <c:noMultiLvlLbl val="0"/>
      </c:catAx>
      <c:valAx>
        <c:axId val="562501728"/>
        <c:scaling>
          <c:orientation val="minMax"/>
        </c:scaling>
        <c:delete val="1"/>
        <c:axPos val="t"/>
        <c:numFmt formatCode="0%" sourceLinked="1"/>
        <c:majorTickMark val="none"/>
        <c:minorTickMark val="none"/>
        <c:tickLblPos val="nextTo"/>
        <c:crossAx val="562502904"/>
        <c:crosses val="autoZero"/>
        <c:crossBetween val="between"/>
        <c:majorUnit val="0.1"/>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Security Skill</a:t>
            </a:r>
            <a:r>
              <a:rPr lang="en-US" baseline="0"/>
              <a:t> Set Availability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Q_of_the_mth!$S$82</c:f>
              <c:strCache>
                <c:ptCount val="1"/>
                <c:pt idx="0">
                  <c:v>Super Abundant</c:v>
                </c:pt>
              </c:strCache>
            </c:strRef>
          </c:tx>
          <c:spPr>
            <a:solidFill>
              <a:srgbClr val="0000FF"/>
            </a:solidFill>
            <a:ln>
              <a:noFill/>
            </a:ln>
            <a:effectLst/>
          </c:spPr>
          <c:invertIfNegative val="0"/>
          <c:cat>
            <c:strRef>
              <c:f>Q_of_the_mth!$R$83:$R$90</c:f>
              <c:strCache>
                <c:ptCount val="8"/>
                <c:pt idx="0">
                  <c:v>Control and Risk Assessment Expert</c:v>
                </c:pt>
                <c:pt idx="1">
                  <c:v>Network and infrastructure Security</c:v>
                </c:pt>
                <c:pt idx="2">
                  <c:v>Security Project/Program Manager</c:v>
                </c:pt>
                <c:pt idx="3">
                  <c:v>Specific Technology/Tool Engineer</c:v>
                </c:pt>
                <c:pt idx="4">
                  <c:v>Security Metrics and Data Analytics</c:v>
                </c:pt>
                <c:pt idx="5">
                  <c:v>Security Architect</c:v>
                </c:pt>
                <c:pt idx="6">
                  <c:v>Application Security</c:v>
                </c:pt>
                <c:pt idx="7">
                  <c:v>Security Leadership</c:v>
                </c:pt>
              </c:strCache>
            </c:strRef>
          </c:cat>
          <c:val>
            <c:numRef>
              <c:f>Q_of_the_mth!$S$83:$S$90</c:f>
              <c:numCache>
                <c:formatCode>0%</c:formatCode>
                <c:ptCount val="8"/>
                <c:pt idx="0">
                  <c:v>4.1666666666666664E-2</c:v>
                </c:pt>
                <c:pt idx="1">
                  <c:v>4.1666666666666664E-2</c:v>
                </c:pt>
                <c:pt idx="2">
                  <c:v>4.1666666666666664E-2</c:v>
                </c:pt>
                <c:pt idx="3">
                  <c:v>0</c:v>
                </c:pt>
                <c:pt idx="4">
                  <c:v>0</c:v>
                </c:pt>
                <c:pt idx="5">
                  <c:v>0</c:v>
                </c:pt>
                <c:pt idx="6">
                  <c:v>0</c:v>
                </c:pt>
                <c:pt idx="7">
                  <c:v>0</c:v>
                </c:pt>
              </c:numCache>
            </c:numRef>
          </c:val>
          <c:extLst>
            <c:ext xmlns:c16="http://schemas.microsoft.com/office/drawing/2014/chart" uri="{C3380CC4-5D6E-409C-BE32-E72D297353CC}">
              <c16:uniqueId val="{00000000-C006-F04C-AD6E-32DA1470547E}"/>
            </c:ext>
          </c:extLst>
        </c:ser>
        <c:ser>
          <c:idx val="1"/>
          <c:order val="1"/>
          <c:tx>
            <c:strRef>
              <c:f>Q_of_the_mth!$T$82</c:f>
              <c:strCache>
                <c:ptCount val="1"/>
                <c:pt idx="0">
                  <c:v>Abundant</c:v>
                </c:pt>
              </c:strCache>
            </c:strRef>
          </c:tx>
          <c:spPr>
            <a:solidFill>
              <a:schemeClr val="accent1"/>
            </a:solidFill>
            <a:ln>
              <a:noFill/>
            </a:ln>
            <a:effectLst/>
          </c:spPr>
          <c:invertIfNegative val="0"/>
          <c:cat>
            <c:strRef>
              <c:f>Q_of_the_mth!$R$83:$R$90</c:f>
              <c:strCache>
                <c:ptCount val="8"/>
                <c:pt idx="0">
                  <c:v>Control and Risk Assessment Expert</c:v>
                </c:pt>
                <c:pt idx="1">
                  <c:v>Network and infrastructure Security</c:v>
                </c:pt>
                <c:pt idx="2">
                  <c:v>Security Project/Program Manager</c:v>
                </c:pt>
                <c:pt idx="3">
                  <c:v>Specific Technology/Tool Engineer</c:v>
                </c:pt>
                <c:pt idx="4">
                  <c:v>Security Metrics and Data Analytics</c:v>
                </c:pt>
                <c:pt idx="5">
                  <c:v>Security Architect</c:v>
                </c:pt>
                <c:pt idx="6">
                  <c:v>Application Security</c:v>
                </c:pt>
                <c:pt idx="7">
                  <c:v>Security Leadership</c:v>
                </c:pt>
              </c:strCache>
            </c:strRef>
          </c:cat>
          <c:val>
            <c:numRef>
              <c:f>Q_of_the_mth!$T$83:$T$90</c:f>
              <c:numCache>
                <c:formatCode>0%</c:formatCode>
                <c:ptCount val="8"/>
                <c:pt idx="0">
                  <c:v>0.20833333333333334</c:v>
                </c:pt>
                <c:pt idx="1">
                  <c:v>0.125</c:v>
                </c:pt>
                <c:pt idx="2">
                  <c:v>0.125</c:v>
                </c:pt>
                <c:pt idx="3">
                  <c:v>8.3333333333333329E-2</c:v>
                </c:pt>
                <c:pt idx="4">
                  <c:v>8.3333333333333329E-2</c:v>
                </c:pt>
                <c:pt idx="5">
                  <c:v>0</c:v>
                </c:pt>
                <c:pt idx="6">
                  <c:v>8.3333333333333329E-2</c:v>
                </c:pt>
                <c:pt idx="7">
                  <c:v>0</c:v>
                </c:pt>
              </c:numCache>
            </c:numRef>
          </c:val>
          <c:extLst>
            <c:ext xmlns:c16="http://schemas.microsoft.com/office/drawing/2014/chart" uri="{C3380CC4-5D6E-409C-BE32-E72D297353CC}">
              <c16:uniqueId val="{00000001-C006-F04C-AD6E-32DA1470547E}"/>
            </c:ext>
          </c:extLst>
        </c:ser>
        <c:ser>
          <c:idx val="2"/>
          <c:order val="2"/>
          <c:tx>
            <c:strRef>
              <c:f>Q_of_the_mth!$U$82</c:f>
              <c:strCache>
                <c:ptCount val="1"/>
                <c:pt idx="0">
                  <c:v>Reasonable</c:v>
                </c:pt>
              </c:strCache>
            </c:strRef>
          </c:tx>
          <c:spPr>
            <a:solidFill>
              <a:srgbClr val="92D050"/>
            </a:solidFill>
            <a:ln>
              <a:noFill/>
            </a:ln>
            <a:effectLst/>
          </c:spPr>
          <c:invertIfNegative val="0"/>
          <c:cat>
            <c:strRef>
              <c:f>Q_of_the_mth!$R$83:$R$90</c:f>
              <c:strCache>
                <c:ptCount val="8"/>
                <c:pt idx="0">
                  <c:v>Control and Risk Assessment Expert</c:v>
                </c:pt>
                <c:pt idx="1">
                  <c:v>Network and infrastructure Security</c:v>
                </c:pt>
                <c:pt idx="2">
                  <c:v>Security Project/Program Manager</c:v>
                </c:pt>
                <c:pt idx="3">
                  <c:v>Specific Technology/Tool Engineer</c:v>
                </c:pt>
                <c:pt idx="4">
                  <c:v>Security Metrics and Data Analytics</c:v>
                </c:pt>
                <c:pt idx="5">
                  <c:v>Security Architect</c:v>
                </c:pt>
                <c:pt idx="6">
                  <c:v>Application Security</c:v>
                </c:pt>
                <c:pt idx="7">
                  <c:v>Security Leadership</c:v>
                </c:pt>
              </c:strCache>
            </c:strRef>
          </c:cat>
          <c:val>
            <c:numRef>
              <c:f>Q_of_the_mth!$U$83:$U$90</c:f>
              <c:numCache>
                <c:formatCode>0%</c:formatCode>
                <c:ptCount val="8"/>
                <c:pt idx="0">
                  <c:v>0.5</c:v>
                </c:pt>
                <c:pt idx="1">
                  <c:v>0.45833333333333331</c:v>
                </c:pt>
                <c:pt idx="2">
                  <c:v>0.45833333333333331</c:v>
                </c:pt>
                <c:pt idx="3">
                  <c:v>0.45833333333333331</c:v>
                </c:pt>
                <c:pt idx="4">
                  <c:v>0.45833333333333331</c:v>
                </c:pt>
                <c:pt idx="5">
                  <c:v>0.20833333333333334</c:v>
                </c:pt>
                <c:pt idx="6">
                  <c:v>0.16666666666666666</c:v>
                </c:pt>
                <c:pt idx="7">
                  <c:v>0.20833333333333334</c:v>
                </c:pt>
              </c:numCache>
            </c:numRef>
          </c:val>
          <c:extLst>
            <c:ext xmlns:c16="http://schemas.microsoft.com/office/drawing/2014/chart" uri="{C3380CC4-5D6E-409C-BE32-E72D297353CC}">
              <c16:uniqueId val="{00000002-C006-F04C-AD6E-32DA1470547E}"/>
            </c:ext>
          </c:extLst>
        </c:ser>
        <c:ser>
          <c:idx val="3"/>
          <c:order val="3"/>
          <c:tx>
            <c:strRef>
              <c:f>Q_of_the_mth!$V$82</c:f>
              <c:strCache>
                <c:ptCount val="1"/>
                <c:pt idx="0">
                  <c:v>Difficult to find</c:v>
                </c:pt>
              </c:strCache>
            </c:strRef>
          </c:tx>
          <c:spPr>
            <a:solidFill>
              <a:srgbClr val="FF9999"/>
            </a:solidFill>
            <a:ln>
              <a:noFill/>
            </a:ln>
            <a:effectLst/>
          </c:spPr>
          <c:invertIfNegative val="0"/>
          <c:cat>
            <c:strRef>
              <c:f>Q_of_the_mth!$R$83:$R$90</c:f>
              <c:strCache>
                <c:ptCount val="8"/>
                <c:pt idx="0">
                  <c:v>Control and Risk Assessment Expert</c:v>
                </c:pt>
                <c:pt idx="1">
                  <c:v>Network and infrastructure Security</c:v>
                </c:pt>
                <c:pt idx="2">
                  <c:v>Security Project/Program Manager</c:v>
                </c:pt>
                <c:pt idx="3">
                  <c:v>Specific Technology/Tool Engineer</c:v>
                </c:pt>
                <c:pt idx="4">
                  <c:v>Security Metrics and Data Analytics</c:v>
                </c:pt>
                <c:pt idx="5">
                  <c:v>Security Architect</c:v>
                </c:pt>
                <c:pt idx="6">
                  <c:v>Application Security</c:v>
                </c:pt>
                <c:pt idx="7">
                  <c:v>Security Leadership</c:v>
                </c:pt>
              </c:strCache>
            </c:strRef>
          </c:cat>
          <c:val>
            <c:numRef>
              <c:f>Q_of_the_mth!$V$83:$V$90</c:f>
              <c:numCache>
                <c:formatCode>0%</c:formatCode>
                <c:ptCount val="8"/>
                <c:pt idx="0">
                  <c:v>0.25</c:v>
                </c:pt>
                <c:pt idx="1">
                  <c:v>0.375</c:v>
                </c:pt>
                <c:pt idx="2">
                  <c:v>0.29166666666666669</c:v>
                </c:pt>
                <c:pt idx="3">
                  <c:v>0.375</c:v>
                </c:pt>
                <c:pt idx="4">
                  <c:v>0.29166666666666669</c:v>
                </c:pt>
                <c:pt idx="5">
                  <c:v>0.70833333333333337</c:v>
                </c:pt>
                <c:pt idx="6">
                  <c:v>0.54166666666666663</c:v>
                </c:pt>
                <c:pt idx="7">
                  <c:v>0.41666666666666669</c:v>
                </c:pt>
              </c:numCache>
            </c:numRef>
          </c:val>
          <c:extLst>
            <c:ext xmlns:c16="http://schemas.microsoft.com/office/drawing/2014/chart" uri="{C3380CC4-5D6E-409C-BE32-E72D297353CC}">
              <c16:uniqueId val="{00000003-C006-F04C-AD6E-32DA1470547E}"/>
            </c:ext>
          </c:extLst>
        </c:ser>
        <c:ser>
          <c:idx val="4"/>
          <c:order val="4"/>
          <c:tx>
            <c:strRef>
              <c:f>Q_of_the_mth!$W$82</c:f>
              <c:strCache>
                <c:ptCount val="1"/>
                <c:pt idx="0">
                  <c:v>Very difficult to find</c:v>
                </c:pt>
              </c:strCache>
            </c:strRef>
          </c:tx>
          <c:spPr>
            <a:solidFill>
              <a:srgbClr val="C00000"/>
            </a:solidFill>
            <a:ln>
              <a:noFill/>
            </a:ln>
            <a:effectLst/>
          </c:spPr>
          <c:invertIfNegative val="0"/>
          <c:cat>
            <c:strRef>
              <c:f>Q_of_the_mth!$R$83:$R$90</c:f>
              <c:strCache>
                <c:ptCount val="8"/>
                <c:pt idx="0">
                  <c:v>Control and Risk Assessment Expert</c:v>
                </c:pt>
                <c:pt idx="1">
                  <c:v>Network and infrastructure Security</c:v>
                </c:pt>
                <c:pt idx="2">
                  <c:v>Security Project/Program Manager</c:v>
                </c:pt>
                <c:pt idx="3">
                  <c:v>Specific Technology/Tool Engineer</c:v>
                </c:pt>
                <c:pt idx="4">
                  <c:v>Security Metrics and Data Analytics</c:v>
                </c:pt>
                <c:pt idx="5">
                  <c:v>Security Architect</c:v>
                </c:pt>
                <c:pt idx="6">
                  <c:v>Application Security</c:v>
                </c:pt>
                <c:pt idx="7">
                  <c:v>Security Leadership</c:v>
                </c:pt>
              </c:strCache>
            </c:strRef>
          </c:cat>
          <c:val>
            <c:numRef>
              <c:f>Q_of_the_mth!$W$83:$W$90</c:f>
              <c:numCache>
                <c:formatCode>0%</c:formatCode>
                <c:ptCount val="8"/>
                <c:pt idx="0">
                  <c:v>0</c:v>
                </c:pt>
                <c:pt idx="1">
                  <c:v>0</c:v>
                </c:pt>
                <c:pt idx="2">
                  <c:v>8.3333333333333329E-2</c:v>
                </c:pt>
                <c:pt idx="3">
                  <c:v>8.3333333333333329E-2</c:v>
                </c:pt>
                <c:pt idx="4">
                  <c:v>0.16666666666666666</c:v>
                </c:pt>
                <c:pt idx="5">
                  <c:v>8.3333333333333329E-2</c:v>
                </c:pt>
                <c:pt idx="6">
                  <c:v>0.20833333333333334</c:v>
                </c:pt>
                <c:pt idx="7">
                  <c:v>0.375</c:v>
                </c:pt>
              </c:numCache>
            </c:numRef>
          </c:val>
          <c:extLst>
            <c:ext xmlns:c16="http://schemas.microsoft.com/office/drawing/2014/chart" uri="{C3380CC4-5D6E-409C-BE32-E72D297353CC}">
              <c16:uniqueId val="{00000004-C006-F04C-AD6E-32DA1470547E}"/>
            </c:ext>
          </c:extLst>
        </c:ser>
        <c:dLbls>
          <c:showLegendKey val="0"/>
          <c:showVal val="0"/>
          <c:showCatName val="0"/>
          <c:showSerName val="0"/>
          <c:showPercent val="0"/>
          <c:showBubbleSize val="0"/>
        </c:dLbls>
        <c:gapWidth val="150"/>
        <c:overlap val="100"/>
        <c:axId val="562501336"/>
        <c:axId val="562508000"/>
      </c:barChart>
      <c:catAx>
        <c:axId val="5625013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2508000"/>
        <c:crosses val="autoZero"/>
        <c:auto val="1"/>
        <c:lblAlgn val="ctr"/>
        <c:lblOffset val="100"/>
        <c:noMultiLvlLbl val="0"/>
      </c:catAx>
      <c:valAx>
        <c:axId val="562508000"/>
        <c:scaling>
          <c:orientation val="minMax"/>
          <c:max val="1"/>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2501336"/>
        <c:crosses val="autoZero"/>
        <c:crossBetween val="between"/>
        <c:majorUnit val="0.2"/>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Security Skill</a:t>
            </a:r>
            <a:r>
              <a:rPr lang="en-US" baseline="0"/>
              <a:t> Set Availability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'Talent QOM'!$D$31</c:f>
              <c:strCache>
                <c:ptCount val="1"/>
                <c:pt idx="0">
                  <c:v>Super Abundant</c:v>
                </c:pt>
              </c:strCache>
            </c:strRef>
          </c:tx>
          <c:spPr>
            <a:solidFill>
              <a:srgbClr val="0000FF"/>
            </a:solidFill>
            <a:ln>
              <a:noFill/>
            </a:ln>
            <a:effectLst/>
          </c:spPr>
          <c:invertIfNegative val="0"/>
          <c:cat>
            <c:strRef>
              <c:f>'Talent QOM'!$C$32:$C$39</c:f>
              <c:strCache>
                <c:ptCount val="8"/>
                <c:pt idx="0">
                  <c:v>Security Leadership</c:v>
                </c:pt>
                <c:pt idx="1">
                  <c:v>Application Security</c:v>
                </c:pt>
                <c:pt idx="2">
                  <c:v>Security Architect</c:v>
                </c:pt>
                <c:pt idx="3">
                  <c:v>Security Metrics and Data Analytics</c:v>
                </c:pt>
                <c:pt idx="4">
                  <c:v>Specific Technology/Tool Engineer</c:v>
                </c:pt>
                <c:pt idx="5">
                  <c:v>Security Project/Program Manager</c:v>
                </c:pt>
                <c:pt idx="6">
                  <c:v>Network and Infrastructure Security</c:v>
                </c:pt>
                <c:pt idx="7">
                  <c:v>Control and Risk Management Expert</c:v>
                </c:pt>
              </c:strCache>
            </c:strRef>
          </c:cat>
          <c:val>
            <c:numRef>
              <c:f>'Talent QOM'!$D$32:$D$39</c:f>
              <c:numCache>
                <c:formatCode>0%</c:formatCode>
                <c:ptCount val="8"/>
                <c:pt idx="0">
                  <c:v>0</c:v>
                </c:pt>
                <c:pt idx="1">
                  <c:v>0</c:v>
                </c:pt>
                <c:pt idx="2">
                  <c:v>0</c:v>
                </c:pt>
                <c:pt idx="3">
                  <c:v>0</c:v>
                </c:pt>
                <c:pt idx="4">
                  <c:v>0</c:v>
                </c:pt>
                <c:pt idx="5">
                  <c:v>3.8461538461538464E-2</c:v>
                </c:pt>
                <c:pt idx="6">
                  <c:v>0</c:v>
                </c:pt>
                <c:pt idx="7">
                  <c:v>7.6923076923076927E-2</c:v>
                </c:pt>
              </c:numCache>
            </c:numRef>
          </c:val>
          <c:extLst>
            <c:ext xmlns:c16="http://schemas.microsoft.com/office/drawing/2014/chart" uri="{C3380CC4-5D6E-409C-BE32-E72D297353CC}">
              <c16:uniqueId val="{00000000-B88A-9945-B949-A4D6FED47A80}"/>
            </c:ext>
          </c:extLst>
        </c:ser>
        <c:ser>
          <c:idx val="1"/>
          <c:order val="1"/>
          <c:tx>
            <c:strRef>
              <c:f>'Talent QOM'!$E$31</c:f>
              <c:strCache>
                <c:ptCount val="1"/>
                <c:pt idx="0">
                  <c:v>Abundant</c:v>
                </c:pt>
              </c:strCache>
            </c:strRef>
          </c:tx>
          <c:spPr>
            <a:solidFill>
              <a:schemeClr val="accent1"/>
            </a:solidFill>
            <a:ln>
              <a:noFill/>
            </a:ln>
            <a:effectLst/>
          </c:spPr>
          <c:invertIfNegative val="0"/>
          <c:cat>
            <c:strRef>
              <c:f>'Talent QOM'!$C$32:$C$39</c:f>
              <c:strCache>
                <c:ptCount val="8"/>
                <c:pt idx="0">
                  <c:v>Security Leadership</c:v>
                </c:pt>
                <c:pt idx="1">
                  <c:v>Application Security</c:v>
                </c:pt>
                <c:pt idx="2">
                  <c:v>Security Architect</c:v>
                </c:pt>
                <c:pt idx="3">
                  <c:v>Security Metrics and Data Analytics</c:v>
                </c:pt>
                <c:pt idx="4">
                  <c:v>Specific Technology/Tool Engineer</c:v>
                </c:pt>
                <c:pt idx="5">
                  <c:v>Security Project/Program Manager</c:v>
                </c:pt>
                <c:pt idx="6">
                  <c:v>Network and Infrastructure Security</c:v>
                </c:pt>
                <c:pt idx="7">
                  <c:v>Control and Risk Management Expert</c:v>
                </c:pt>
              </c:strCache>
            </c:strRef>
          </c:cat>
          <c:val>
            <c:numRef>
              <c:f>'Talent QOM'!$E$32:$E$39</c:f>
              <c:numCache>
                <c:formatCode>0%</c:formatCode>
                <c:ptCount val="8"/>
                <c:pt idx="0">
                  <c:v>0</c:v>
                </c:pt>
                <c:pt idx="1">
                  <c:v>0</c:v>
                </c:pt>
                <c:pt idx="2">
                  <c:v>3.8461538461538464E-2</c:v>
                </c:pt>
                <c:pt idx="3">
                  <c:v>7.6923076923076927E-2</c:v>
                </c:pt>
                <c:pt idx="4">
                  <c:v>0.11538461538461539</c:v>
                </c:pt>
                <c:pt idx="5">
                  <c:v>0.15384615384615385</c:v>
                </c:pt>
                <c:pt idx="6">
                  <c:v>0.15384615384615385</c:v>
                </c:pt>
                <c:pt idx="7">
                  <c:v>0.23076923076923078</c:v>
                </c:pt>
              </c:numCache>
            </c:numRef>
          </c:val>
          <c:extLst>
            <c:ext xmlns:c16="http://schemas.microsoft.com/office/drawing/2014/chart" uri="{C3380CC4-5D6E-409C-BE32-E72D297353CC}">
              <c16:uniqueId val="{00000001-B88A-9945-B949-A4D6FED47A80}"/>
            </c:ext>
          </c:extLst>
        </c:ser>
        <c:ser>
          <c:idx val="2"/>
          <c:order val="2"/>
          <c:tx>
            <c:strRef>
              <c:f>'Talent QOM'!$F$31</c:f>
              <c:strCache>
                <c:ptCount val="1"/>
                <c:pt idx="0">
                  <c:v>Reasonable</c:v>
                </c:pt>
              </c:strCache>
            </c:strRef>
          </c:tx>
          <c:spPr>
            <a:solidFill>
              <a:srgbClr val="92D050"/>
            </a:solidFill>
            <a:ln>
              <a:noFill/>
            </a:ln>
            <a:effectLst/>
          </c:spPr>
          <c:invertIfNegative val="0"/>
          <c:cat>
            <c:strRef>
              <c:f>'Talent QOM'!$C$32:$C$39</c:f>
              <c:strCache>
                <c:ptCount val="8"/>
                <c:pt idx="0">
                  <c:v>Security Leadership</c:v>
                </c:pt>
                <c:pt idx="1">
                  <c:v>Application Security</c:v>
                </c:pt>
                <c:pt idx="2">
                  <c:v>Security Architect</c:v>
                </c:pt>
                <c:pt idx="3">
                  <c:v>Security Metrics and Data Analytics</c:v>
                </c:pt>
                <c:pt idx="4">
                  <c:v>Specific Technology/Tool Engineer</c:v>
                </c:pt>
                <c:pt idx="5">
                  <c:v>Security Project/Program Manager</c:v>
                </c:pt>
                <c:pt idx="6">
                  <c:v>Network and Infrastructure Security</c:v>
                </c:pt>
                <c:pt idx="7">
                  <c:v>Control and Risk Management Expert</c:v>
                </c:pt>
              </c:strCache>
            </c:strRef>
          </c:cat>
          <c:val>
            <c:numRef>
              <c:f>'Talent QOM'!$F$32:$F$39</c:f>
              <c:numCache>
                <c:formatCode>0%</c:formatCode>
                <c:ptCount val="8"/>
                <c:pt idx="0">
                  <c:v>0.23076923076923078</c:v>
                </c:pt>
                <c:pt idx="1">
                  <c:v>0.5</c:v>
                </c:pt>
                <c:pt idx="2">
                  <c:v>0.38461538461538464</c:v>
                </c:pt>
                <c:pt idx="3">
                  <c:v>0.38461538461538464</c:v>
                </c:pt>
                <c:pt idx="4">
                  <c:v>0.73076923076923073</c:v>
                </c:pt>
                <c:pt idx="5">
                  <c:v>0.69230769230769229</c:v>
                </c:pt>
                <c:pt idx="6">
                  <c:v>0.57692307692307687</c:v>
                </c:pt>
                <c:pt idx="7">
                  <c:v>0.42307692307692307</c:v>
                </c:pt>
              </c:numCache>
            </c:numRef>
          </c:val>
          <c:extLst>
            <c:ext xmlns:c16="http://schemas.microsoft.com/office/drawing/2014/chart" uri="{C3380CC4-5D6E-409C-BE32-E72D297353CC}">
              <c16:uniqueId val="{00000002-B88A-9945-B949-A4D6FED47A80}"/>
            </c:ext>
          </c:extLst>
        </c:ser>
        <c:ser>
          <c:idx val="3"/>
          <c:order val="3"/>
          <c:tx>
            <c:strRef>
              <c:f>'Talent QOM'!$G$31</c:f>
              <c:strCache>
                <c:ptCount val="1"/>
                <c:pt idx="0">
                  <c:v>Difficult to find</c:v>
                </c:pt>
              </c:strCache>
            </c:strRef>
          </c:tx>
          <c:spPr>
            <a:solidFill>
              <a:srgbClr val="FF9999"/>
            </a:solidFill>
            <a:ln>
              <a:noFill/>
            </a:ln>
            <a:effectLst/>
          </c:spPr>
          <c:invertIfNegative val="0"/>
          <c:cat>
            <c:strRef>
              <c:f>'Talent QOM'!$C$32:$C$39</c:f>
              <c:strCache>
                <c:ptCount val="8"/>
                <c:pt idx="0">
                  <c:v>Security Leadership</c:v>
                </c:pt>
                <c:pt idx="1">
                  <c:v>Application Security</c:v>
                </c:pt>
                <c:pt idx="2">
                  <c:v>Security Architect</c:v>
                </c:pt>
                <c:pt idx="3">
                  <c:v>Security Metrics and Data Analytics</c:v>
                </c:pt>
                <c:pt idx="4">
                  <c:v>Specific Technology/Tool Engineer</c:v>
                </c:pt>
                <c:pt idx="5">
                  <c:v>Security Project/Program Manager</c:v>
                </c:pt>
                <c:pt idx="6">
                  <c:v>Network and Infrastructure Security</c:v>
                </c:pt>
                <c:pt idx="7">
                  <c:v>Control and Risk Management Expert</c:v>
                </c:pt>
              </c:strCache>
            </c:strRef>
          </c:cat>
          <c:val>
            <c:numRef>
              <c:f>'Talent QOM'!$G$32:$G$39</c:f>
              <c:numCache>
                <c:formatCode>0%</c:formatCode>
                <c:ptCount val="8"/>
                <c:pt idx="0">
                  <c:v>0.46153846153846156</c:v>
                </c:pt>
                <c:pt idx="1">
                  <c:v>0.38461538461538464</c:v>
                </c:pt>
                <c:pt idx="2">
                  <c:v>0.46153846153846156</c:v>
                </c:pt>
                <c:pt idx="3">
                  <c:v>0.34615384615384615</c:v>
                </c:pt>
                <c:pt idx="4">
                  <c:v>0.11538461538461539</c:v>
                </c:pt>
                <c:pt idx="5">
                  <c:v>0.11538461538461539</c:v>
                </c:pt>
                <c:pt idx="6">
                  <c:v>0.23076923076923078</c:v>
                </c:pt>
                <c:pt idx="7">
                  <c:v>0.19230769230769232</c:v>
                </c:pt>
              </c:numCache>
            </c:numRef>
          </c:val>
          <c:extLst>
            <c:ext xmlns:c16="http://schemas.microsoft.com/office/drawing/2014/chart" uri="{C3380CC4-5D6E-409C-BE32-E72D297353CC}">
              <c16:uniqueId val="{00000003-B88A-9945-B949-A4D6FED47A80}"/>
            </c:ext>
          </c:extLst>
        </c:ser>
        <c:ser>
          <c:idx val="4"/>
          <c:order val="4"/>
          <c:tx>
            <c:strRef>
              <c:f>'Talent QOM'!$H$31</c:f>
              <c:strCache>
                <c:ptCount val="1"/>
                <c:pt idx="0">
                  <c:v>Very difficult to find</c:v>
                </c:pt>
              </c:strCache>
            </c:strRef>
          </c:tx>
          <c:spPr>
            <a:solidFill>
              <a:srgbClr val="C00000"/>
            </a:solidFill>
            <a:ln>
              <a:noFill/>
            </a:ln>
            <a:effectLst/>
          </c:spPr>
          <c:invertIfNegative val="0"/>
          <c:cat>
            <c:strRef>
              <c:f>'Talent QOM'!$C$32:$C$39</c:f>
              <c:strCache>
                <c:ptCount val="8"/>
                <c:pt idx="0">
                  <c:v>Security Leadership</c:v>
                </c:pt>
                <c:pt idx="1">
                  <c:v>Application Security</c:v>
                </c:pt>
                <c:pt idx="2">
                  <c:v>Security Architect</c:v>
                </c:pt>
                <c:pt idx="3">
                  <c:v>Security Metrics and Data Analytics</c:v>
                </c:pt>
                <c:pt idx="4">
                  <c:v>Specific Technology/Tool Engineer</c:v>
                </c:pt>
                <c:pt idx="5">
                  <c:v>Security Project/Program Manager</c:v>
                </c:pt>
                <c:pt idx="6">
                  <c:v>Network and Infrastructure Security</c:v>
                </c:pt>
                <c:pt idx="7">
                  <c:v>Control and Risk Management Expert</c:v>
                </c:pt>
              </c:strCache>
            </c:strRef>
          </c:cat>
          <c:val>
            <c:numRef>
              <c:f>'Talent QOM'!$H$32:$H$39</c:f>
              <c:numCache>
                <c:formatCode>0%</c:formatCode>
                <c:ptCount val="8"/>
                <c:pt idx="0">
                  <c:v>0.30769230769230771</c:v>
                </c:pt>
                <c:pt idx="1">
                  <c:v>0.11538461538461539</c:v>
                </c:pt>
                <c:pt idx="2">
                  <c:v>0.11538461538461539</c:v>
                </c:pt>
                <c:pt idx="3">
                  <c:v>0.19230769230769232</c:v>
                </c:pt>
                <c:pt idx="4">
                  <c:v>3.8461538461538464E-2</c:v>
                </c:pt>
                <c:pt idx="5">
                  <c:v>0</c:v>
                </c:pt>
                <c:pt idx="6">
                  <c:v>3.8461538461538464E-2</c:v>
                </c:pt>
                <c:pt idx="7">
                  <c:v>7.6923076923076927E-2</c:v>
                </c:pt>
              </c:numCache>
            </c:numRef>
          </c:val>
          <c:extLst>
            <c:ext xmlns:c16="http://schemas.microsoft.com/office/drawing/2014/chart" uri="{C3380CC4-5D6E-409C-BE32-E72D297353CC}">
              <c16:uniqueId val="{00000004-B88A-9945-B949-A4D6FED47A80}"/>
            </c:ext>
          </c:extLst>
        </c:ser>
        <c:dLbls>
          <c:showLegendKey val="0"/>
          <c:showVal val="0"/>
          <c:showCatName val="0"/>
          <c:showSerName val="0"/>
          <c:showPercent val="0"/>
          <c:showBubbleSize val="0"/>
        </c:dLbls>
        <c:gapWidth val="150"/>
        <c:overlap val="100"/>
        <c:axId val="562508392"/>
        <c:axId val="562504080"/>
      </c:barChart>
      <c:catAx>
        <c:axId val="562508392"/>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2504080"/>
        <c:crosses val="autoZero"/>
        <c:auto val="1"/>
        <c:lblAlgn val="ctr"/>
        <c:lblOffset val="100"/>
        <c:noMultiLvlLbl val="0"/>
      </c:catAx>
      <c:valAx>
        <c:axId val="562504080"/>
        <c:scaling>
          <c:orientation val="minMax"/>
          <c:max val="1"/>
        </c:scaling>
        <c:delete val="0"/>
        <c:axPos val="t"/>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high"/>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2508392"/>
        <c:crosses val="autoZero"/>
        <c:crossBetween val="between"/>
        <c:majorUnit val="0.2"/>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withinLinear" id="16">
  <a:schemeClr val="accent3"/>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7.xml"/></Relationships>
</file>

<file path=xl/drawings/_rels/drawing3.xml.rels><?xml version="1.0" encoding="UTF-8" standalone="yes"?>
<Relationships xmlns="http://schemas.openxmlformats.org/package/2006/relationships"><Relationship Id="rId2" Type="http://schemas.openxmlformats.org/officeDocument/2006/relationships/chart" Target="../charts/chart9.xml"/><Relationship Id="rId1" Type="http://schemas.openxmlformats.org/officeDocument/2006/relationships/chart" Target="../charts/chart8.xml"/></Relationships>
</file>

<file path=xl/drawings/_rels/drawing4.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chart" Target="../charts/chart11.xml"/><Relationship Id="rId1" Type="http://schemas.openxmlformats.org/officeDocument/2006/relationships/chart" Target="../charts/chart10.xml"/></Relationships>
</file>

<file path=xl/drawings/_rels/drawing5.xml.rels><?xml version="1.0" encoding="UTF-8" standalone="yes"?>
<Relationships xmlns="http://schemas.openxmlformats.org/package/2006/relationships"><Relationship Id="rId8" Type="http://schemas.openxmlformats.org/officeDocument/2006/relationships/chart" Target="../charts/chart19.xml"/><Relationship Id="rId13" Type="http://schemas.openxmlformats.org/officeDocument/2006/relationships/chart" Target="../charts/chart24.xml"/><Relationship Id="rId18" Type="http://schemas.openxmlformats.org/officeDocument/2006/relationships/chart" Target="../charts/chart29.xml"/><Relationship Id="rId26" Type="http://schemas.openxmlformats.org/officeDocument/2006/relationships/chart" Target="../charts/chart37.xml"/><Relationship Id="rId3" Type="http://schemas.openxmlformats.org/officeDocument/2006/relationships/chart" Target="../charts/chart14.xml"/><Relationship Id="rId21" Type="http://schemas.openxmlformats.org/officeDocument/2006/relationships/chart" Target="../charts/chart32.xml"/><Relationship Id="rId7" Type="http://schemas.openxmlformats.org/officeDocument/2006/relationships/chart" Target="../charts/chart18.xml"/><Relationship Id="rId12" Type="http://schemas.openxmlformats.org/officeDocument/2006/relationships/chart" Target="../charts/chart23.xml"/><Relationship Id="rId17" Type="http://schemas.openxmlformats.org/officeDocument/2006/relationships/chart" Target="../charts/chart28.xml"/><Relationship Id="rId25" Type="http://schemas.openxmlformats.org/officeDocument/2006/relationships/chart" Target="../charts/chart36.xml"/><Relationship Id="rId2" Type="http://schemas.openxmlformats.org/officeDocument/2006/relationships/chart" Target="../charts/chart13.xml"/><Relationship Id="rId16" Type="http://schemas.openxmlformats.org/officeDocument/2006/relationships/chart" Target="../charts/chart27.xml"/><Relationship Id="rId20" Type="http://schemas.openxmlformats.org/officeDocument/2006/relationships/chart" Target="../charts/chart31.xml"/><Relationship Id="rId1" Type="http://schemas.openxmlformats.org/officeDocument/2006/relationships/chart" Target="../charts/chart12.xml"/><Relationship Id="rId6" Type="http://schemas.openxmlformats.org/officeDocument/2006/relationships/chart" Target="../charts/chart17.xml"/><Relationship Id="rId11" Type="http://schemas.openxmlformats.org/officeDocument/2006/relationships/chart" Target="../charts/chart22.xml"/><Relationship Id="rId24" Type="http://schemas.openxmlformats.org/officeDocument/2006/relationships/chart" Target="../charts/chart35.xml"/><Relationship Id="rId5" Type="http://schemas.openxmlformats.org/officeDocument/2006/relationships/chart" Target="../charts/chart16.xml"/><Relationship Id="rId15" Type="http://schemas.openxmlformats.org/officeDocument/2006/relationships/chart" Target="../charts/chart26.xml"/><Relationship Id="rId23" Type="http://schemas.openxmlformats.org/officeDocument/2006/relationships/chart" Target="../charts/chart34.xml"/><Relationship Id="rId10" Type="http://schemas.openxmlformats.org/officeDocument/2006/relationships/chart" Target="../charts/chart21.xml"/><Relationship Id="rId19" Type="http://schemas.openxmlformats.org/officeDocument/2006/relationships/chart" Target="../charts/chart30.xml"/><Relationship Id="rId4" Type="http://schemas.openxmlformats.org/officeDocument/2006/relationships/chart" Target="../charts/chart15.xml"/><Relationship Id="rId9" Type="http://schemas.openxmlformats.org/officeDocument/2006/relationships/chart" Target="../charts/chart20.xml"/><Relationship Id="rId14" Type="http://schemas.openxmlformats.org/officeDocument/2006/relationships/chart" Target="../charts/chart25.xml"/><Relationship Id="rId22" Type="http://schemas.openxmlformats.org/officeDocument/2006/relationships/chart" Target="../charts/chart33.xml"/></Relationships>
</file>

<file path=xl/drawings/_rels/drawing6.xml.rels><?xml version="1.0" encoding="UTF-8" standalone="yes"?>
<Relationships xmlns="http://schemas.openxmlformats.org/package/2006/relationships"><Relationship Id="rId1" Type="http://schemas.openxmlformats.org/officeDocument/2006/relationships/chart" Target="../charts/chart38.xml"/></Relationships>
</file>

<file path=xl/drawings/_rels/drawing7.xml.rels><?xml version="1.0" encoding="UTF-8" standalone="yes"?>
<Relationships xmlns="http://schemas.openxmlformats.org/package/2006/relationships"><Relationship Id="rId2" Type="http://schemas.openxmlformats.org/officeDocument/2006/relationships/chart" Target="../charts/chart40.xml"/><Relationship Id="rId1" Type="http://schemas.openxmlformats.org/officeDocument/2006/relationships/chart" Target="../charts/chart39.xml"/></Relationships>
</file>

<file path=xl/drawings/_rels/drawing8.xml.rels><?xml version="1.0" encoding="UTF-8" standalone="yes"?>
<Relationships xmlns="http://schemas.openxmlformats.org/package/2006/relationships"><Relationship Id="rId2" Type="http://schemas.openxmlformats.org/officeDocument/2006/relationships/chart" Target="../charts/chart42.xml"/><Relationship Id="rId1" Type="http://schemas.openxmlformats.org/officeDocument/2006/relationships/chart" Target="../charts/chart41.xml"/></Relationships>
</file>

<file path=xl/drawings/drawing1.xml><?xml version="1.0" encoding="utf-8"?>
<xdr:wsDr xmlns:xdr="http://schemas.openxmlformats.org/drawingml/2006/spreadsheetDrawing" xmlns:a="http://schemas.openxmlformats.org/drawingml/2006/main">
  <xdr:twoCellAnchor>
    <xdr:from>
      <xdr:col>0</xdr:col>
      <xdr:colOff>171451</xdr:colOff>
      <xdr:row>77</xdr:row>
      <xdr:rowOff>104775</xdr:rowOff>
    </xdr:from>
    <xdr:to>
      <xdr:col>12</xdr:col>
      <xdr:colOff>219075</xdr:colOff>
      <xdr:row>100</xdr:row>
      <xdr:rowOff>133350</xdr:rowOff>
    </xdr:to>
    <xdr:graphicFrame macro="">
      <xdr:nvGraphicFramePr>
        <xdr:cNvPr id="5" name="Chart 4">
          <a:extLst>
            <a:ext uri="{FF2B5EF4-FFF2-40B4-BE49-F238E27FC236}">
              <a16:creationId xmlns:a16="http://schemas.microsoft.com/office/drawing/2014/main" id="{00000000-0008-0000-03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180976</xdr:colOff>
      <xdr:row>102</xdr:row>
      <xdr:rowOff>9525</xdr:rowOff>
    </xdr:from>
    <xdr:to>
      <xdr:col>12</xdr:col>
      <xdr:colOff>228601</xdr:colOff>
      <xdr:row>122</xdr:row>
      <xdr:rowOff>104775</xdr:rowOff>
    </xdr:to>
    <xdr:graphicFrame macro="">
      <xdr:nvGraphicFramePr>
        <xdr:cNvPr id="6" name="Chart 5">
          <a:extLst>
            <a:ext uri="{FF2B5EF4-FFF2-40B4-BE49-F238E27FC236}">
              <a16:creationId xmlns:a16="http://schemas.microsoft.com/office/drawing/2014/main" id="{00000000-0008-0000-03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190499</xdr:colOff>
      <xdr:row>123</xdr:row>
      <xdr:rowOff>9524</xdr:rowOff>
    </xdr:from>
    <xdr:to>
      <xdr:col>12</xdr:col>
      <xdr:colOff>209549</xdr:colOff>
      <xdr:row>143</xdr:row>
      <xdr:rowOff>190499</xdr:rowOff>
    </xdr:to>
    <xdr:graphicFrame macro="">
      <xdr:nvGraphicFramePr>
        <xdr:cNvPr id="7" name="Chart 6">
          <a:extLst>
            <a:ext uri="{FF2B5EF4-FFF2-40B4-BE49-F238E27FC236}">
              <a16:creationId xmlns:a16="http://schemas.microsoft.com/office/drawing/2014/main" id="{00000000-0008-0000-03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247649</xdr:colOff>
      <xdr:row>145</xdr:row>
      <xdr:rowOff>19049</xdr:rowOff>
    </xdr:from>
    <xdr:to>
      <xdr:col>12</xdr:col>
      <xdr:colOff>209549</xdr:colOff>
      <xdr:row>170</xdr:row>
      <xdr:rowOff>0</xdr:rowOff>
    </xdr:to>
    <xdr:graphicFrame macro="">
      <xdr:nvGraphicFramePr>
        <xdr:cNvPr id="8" name="Chart 7">
          <a:extLst>
            <a:ext uri="{FF2B5EF4-FFF2-40B4-BE49-F238E27FC236}">
              <a16:creationId xmlns:a16="http://schemas.microsoft.com/office/drawing/2014/main" id="{00000000-0008-0000-03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228599</xdr:colOff>
      <xdr:row>171</xdr:row>
      <xdr:rowOff>180975</xdr:rowOff>
    </xdr:from>
    <xdr:to>
      <xdr:col>12</xdr:col>
      <xdr:colOff>209549</xdr:colOff>
      <xdr:row>195</xdr:row>
      <xdr:rowOff>9525</xdr:rowOff>
    </xdr:to>
    <xdr:graphicFrame macro="">
      <xdr:nvGraphicFramePr>
        <xdr:cNvPr id="9" name="Chart 8">
          <a:extLst>
            <a:ext uri="{FF2B5EF4-FFF2-40B4-BE49-F238E27FC236}">
              <a16:creationId xmlns:a16="http://schemas.microsoft.com/office/drawing/2014/main" id="{00000000-0008-0000-03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209549</xdr:colOff>
      <xdr:row>196</xdr:row>
      <xdr:rowOff>19050</xdr:rowOff>
    </xdr:from>
    <xdr:to>
      <xdr:col>12</xdr:col>
      <xdr:colOff>228599</xdr:colOff>
      <xdr:row>219</xdr:row>
      <xdr:rowOff>0</xdr:rowOff>
    </xdr:to>
    <xdr:graphicFrame macro="">
      <xdr:nvGraphicFramePr>
        <xdr:cNvPr id="10" name="Chart 9">
          <a:extLst>
            <a:ext uri="{FF2B5EF4-FFF2-40B4-BE49-F238E27FC236}">
              <a16:creationId xmlns:a16="http://schemas.microsoft.com/office/drawing/2014/main" id="{00000000-0008-0000-03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9524</xdr:colOff>
      <xdr:row>153</xdr:row>
      <xdr:rowOff>0</xdr:rowOff>
    </xdr:from>
    <xdr:to>
      <xdr:col>16</xdr:col>
      <xdr:colOff>676274</xdr:colOff>
      <xdr:row>193</xdr:row>
      <xdr:rowOff>38101</xdr:rowOff>
    </xdr:to>
    <xdr:graphicFrame macro="">
      <xdr:nvGraphicFramePr>
        <xdr:cNvPr id="2" name="Chart 1">
          <a:extLst>
            <a:ext uri="{FF2B5EF4-FFF2-40B4-BE49-F238E27FC236}">
              <a16:creationId xmlns:a16="http://schemas.microsoft.com/office/drawing/2014/main" id="{00000000-0008-0000-04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547687</xdr:colOff>
      <xdr:row>88</xdr:row>
      <xdr:rowOff>142875</xdr:rowOff>
    </xdr:from>
    <xdr:to>
      <xdr:col>6</xdr:col>
      <xdr:colOff>538162</xdr:colOff>
      <xdr:row>100</xdr:row>
      <xdr:rowOff>38100</xdr:rowOff>
    </xdr:to>
    <xdr:graphicFrame macro="">
      <xdr:nvGraphicFramePr>
        <xdr:cNvPr id="5" name="Chart 4">
          <a:extLst>
            <a:ext uri="{FF2B5EF4-FFF2-40B4-BE49-F238E27FC236}">
              <a16:creationId xmlns:a16="http://schemas.microsoft.com/office/drawing/2014/main" id="{00000000-0008-0000-05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533400</xdr:colOff>
      <xdr:row>88</xdr:row>
      <xdr:rowOff>142875</xdr:rowOff>
    </xdr:from>
    <xdr:to>
      <xdr:col>14</xdr:col>
      <xdr:colOff>228600</xdr:colOff>
      <xdr:row>100</xdr:row>
      <xdr:rowOff>38100</xdr:rowOff>
    </xdr:to>
    <xdr:graphicFrame macro="">
      <xdr:nvGraphicFramePr>
        <xdr:cNvPr id="8" name="Chart 7">
          <a:extLst>
            <a:ext uri="{FF2B5EF4-FFF2-40B4-BE49-F238E27FC236}">
              <a16:creationId xmlns:a16="http://schemas.microsoft.com/office/drawing/2014/main" id="{00000000-0008-0000-05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57151</xdr:colOff>
      <xdr:row>72</xdr:row>
      <xdr:rowOff>144607</xdr:rowOff>
    </xdr:from>
    <xdr:to>
      <xdr:col>11</xdr:col>
      <xdr:colOff>457201</xdr:colOff>
      <xdr:row>83</xdr:row>
      <xdr:rowOff>133350</xdr:rowOff>
    </xdr:to>
    <xdr:graphicFrame macro="">
      <xdr:nvGraphicFramePr>
        <xdr:cNvPr id="4" name="Chart 3">
          <a:extLst>
            <a:ext uri="{FF2B5EF4-FFF2-40B4-BE49-F238E27FC236}">
              <a16:creationId xmlns:a16="http://schemas.microsoft.com/office/drawing/2014/main" id="{00000000-0008-0000-06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45855</xdr:colOff>
      <xdr:row>61</xdr:row>
      <xdr:rowOff>76199</xdr:rowOff>
    </xdr:from>
    <xdr:to>
      <xdr:col>11</xdr:col>
      <xdr:colOff>458370</xdr:colOff>
      <xdr:row>72</xdr:row>
      <xdr:rowOff>104774</xdr:rowOff>
    </xdr:to>
    <xdr:graphicFrame macro="">
      <xdr:nvGraphicFramePr>
        <xdr:cNvPr id="2" name="Chart 1">
          <a:extLst>
            <a:ext uri="{FF2B5EF4-FFF2-40B4-BE49-F238E27FC236}">
              <a16:creationId xmlns:a16="http://schemas.microsoft.com/office/drawing/2014/main" id="{00000000-0008-0000-06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5</xdr:col>
      <xdr:colOff>238125</xdr:colOff>
      <xdr:row>45</xdr:row>
      <xdr:rowOff>60325</xdr:rowOff>
    </xdr:from>
    <xdr:to>
      <xdr:col>8</xdr:col>
      <xdr:colOff>625989</xdr:colOff>
      <xdr:row>47</xdr:row>
      <xdr:rowOff>123965</xdr:rowOff>
    </xdr:to>
    <xdr:pic>
      <xdr:nvPicPr>
        <xdr:cNvPr id="3" name="Picture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5715000" y="8651875"/>
          <a:ext cx="2553502" cy="44464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103</xdr:col>
      <xdr:colOff>15876</xdr:colOff>
      <xdr:row>29</xdr:row>
      <xdr:rowOff>7937</xdr:rowOff>
    </xdr:from>
    <xdr:to>
      <xdr:col>109</xdr:col>
      <xdr:colOff>428626</xdr:colOff>
      <xdr:row>35</xdr:row>
      <xdr:rowOff>133350</xdr:rowOff>
    </xdr:to>
    <xdr:graphicFrame macro="">
      <xdr:nvGraphicFramePr>
        <xdr:cNvPr id="36" name="Chart 35">
          <a:extLst>
            <a:ext uri="{FF2B5EF4-FFF2-40B4-BE49-F238E27FC236}">
              <a16:creationId xmlns:a16="http://schemas.microsoft.com/office/drawing/2014/main" id="{00000000-0008-0000-0700-00002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109</xdr:col>
      <xdr:colOff>454026</xdr:colOff>
      <xdr:row>29</xdr:row>
      <xdr:rowOff>7937</xdr:rowOff>
    </xdr:from>
    <xdr:to>
      <xdr:col>116</xdr:col>
      <xdr:colOff>257176</xdr:colOff>
      <xdr:row>35</xdr:row>
      <xdr:rowOff>133350</xdr:rowOff>
    </xdr:to>
    <xdr:graphicFrame macro="">
      <xdr:nvGraphicFramePr>
        <xdr:cNvPr id="39" name="Chart 38">
          <a:extLst>
            <a:ext uri="{FF2B5EF4-FFF2-40B4-BE49-F238E27FC236}">
              <a16:creationId xmlns:a16="http://schemas.microsoft.com/office/drawing/2014/main" id="{00000000-0008-0000-0700-00002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103</xdr:col>
      <xdr:colOff>15876</xdr:colOff>
      <xdr:row>37</xdr:row>
      <xdr:rowOff>36512</xdr:rowOff>
    </xdr:from>
    <xdr:to>
      <xdr:col>109</xdr:col>
      <xdr:colOff>428626</xdr:colOff>
      <xdr:row>43</xdr:row>
      <xdr:rowOff>161925</xdr:rowOff>
    </xdr:to>
    <xdr:graphicFrame macro="">
      <xdr:nvGraphicFramePr>
        <xdr:cNvPr id="40" name="Chart 39">
          <a:extLst>
            <a:ext uri="{FF2B5EF4-FFF2-40B4-BE49-F238E27FC236}">
              <a16:creationId xmlns:a16="http://schemas.microsoft.com/office/drawing/2014/main" id="{00000000-0008-0000-0700-00002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109</xdr:col>
      <xdr:colOff>454026</xdr:colOff>
      <xdr:row>37</xdr:row>
      <xdr:rowOff>36512</xdr:rowOff>
    </xdr:from>
    <xdr:to>
      <xdr:col>116</xdr:col>
      <xdr:colOff>257176</xdr:colOff>
      <xdr:row>43</xdr:row>
      <xdr:rowOff>161925</xdr:rowOff>
    </xdr:to>
    <xdr:graphicFrame macro="">
      <xdr:nvGraphicFramePr>
        <xdr:cNvPr id="41" name="Chart 40">
          <a:extLst>
            <a:ext uri="{FF2B5EF4-FFF2-40B4-BE49-F238E27FC236}">
              <a16:creationId xmlns:a16="http://schemas.microsoft.com/office/drawing/2014/main" id="{00000000-0008-0000-0700-00002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103</xdr:col>
      <xdr:colOff>15876</xdr:colOff>
      <xdr:row>45</xdr:row>
      <xdr:rowOff>7937</xdr:rowOff>
    </xdr:from>
    <xdr:to>
      <xdr:col>109</xdr:col>
      <xdr:colOff>428626</xdr:colOff>
      <xdr:row>51</xdr:row>
      <xdr:rowOff>133350</xdr:rowOff>
    </xdr:to>
    <xdr:graphicFrame macro="">
      <xdr:nvGraphicFramePr>
        <xdr:cNvPr id="42" name="Chart 41">
          <a:extLst>
            <a:ext uri="{FF2B5EF4-FFF2-40B4-BE49-F238E27FC236}">
              <a16:creationId xmlns:a16="http://schemas.microsoft.com/office/drawing/2014/main" id="{00000000-0008-0000-0700-00002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109</xdr:col>
      <xdr:colOff>454026</xdr:colOff>
      <xdr:row>45</xdr:row>
      <xdr:rowOff>7937</xdr:rowOff>
    </xdr:from>
    <xdr:to>
      <xdr:col>116</xdr:col>
      <xdr:colOff>257176</xdr:colOff>
      <xdr:row>51</xdr:row>
      <xdr:rowOff>133350</xdr:rowOff>
    </xdr:to>
    <xdr:graphicFrame macro="">
      <xdr:nvGraphicFramePr>
        <xdr:cNvPr id="43" name="Chart 42">
          <a:extLst>
            <a:ext uri="{FF2B5EF4-FFF2-40B4-BE49-F238E27FC236}">
              <a16:creationId xmlns:a16="http://schemas.microsoft.com/office/drawing/2014/main" id="{00000000-0008-0000-0700-00002B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103</xdr:col>
      <xdr:colOff>15876</xdr:colOff>
      <xdr:row>53</xdr:row>
      <xdr:rowOff>7937</xdr:rowOff>
    </xdr:from>
    <xdr:to>
      <xdr:col>109</xdr:col>
      <xdr:colOff>428626</xdr:colOff>
      <xdr:row>59</xdr:row>
      <xdr:rowOff>133350</xdr:rowOff>
    </xdr:to>
    <xdr:graphicFrame macro="">
      <xdr:nvGraphicFramePr>
        <xdr:cNvPr id="44" name="Chart 43">
          <a:extLst>
            <a:ext uri="{FF2B5EF4-FFF2-40B4-BE49-F238E27FC236}">
              <a16:creationId xmlns:a16="http://schemas.microsoft.com/office/drawing/2014/main" id="{00000000-0008-0000-0700-00002C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109</xdr:col>
      <xdr:colOff>454026</xdr:colOff>
      <xdr:row>53</xdr:row>
      <xdr:rowOff>7937</xdr:rowOff>
    </xdr:from>
    <xdr:to>
      <xdr:col>116</xdr:col>
      <xdr:colOff>257176</xdr:colOff>
      <xdr:row>59</xdr:row>
      <xdr:rowOff>133350</xdr:rowOff>
    </xdr:to>
    <xdr:graphicFrame macro="">
      <xdr:nvGraphicFramePr>
        <xdr:cNvPr id="45" name="Chart 44">
          <a:extLst>
            <a:ext uri="{FF2B5EF4-FFF2-40B4-BE49-F238E27FC236}">
              <a16:creationId xmlns:a16="http://schemas.microsoft.com/office/drawing/2014/main" id="{00000000-0008-0000-0700-00002D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103</xdr:col>
      <xdr:colOff>15876</xdr:colOff>
      <xdr:row>61</xdr:row>
      <xdr:rowOff>17462</xdr:rowOff>
    </xdr:from>
    <xdr:to>
      <xdr:col>109</xdr:col>
      <xdr:colOff>428626</xdr:colOff>
      <xdr:row>67</xdr:row>
      <xdr:rowOff>142875</xdr:rowOff>
    </xdr:to>
    <xdr:graphicFrame macro="">
      <xdr:nvGraphicFramePr>
        <xdr:cNvPr id="46" name="Chart 45">
          <a:extLst>
            <a:ext uri="{FF2B5EF4-FFF2-40B4-BE49-F238E27FC236}">
              <a16:creationId xmlns:a16="http://schemas.microsoft.com/office/drawing/2014/main" id="{00000000-0008-0000-0700-00002E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109</xdr:col>
      <xdr:colOff>454026</xdr:colOff>
      <xdr:row>61</xdr:row>
      <xdr:rowOff>17462</xdr:rowOff>
    </xdr:from>
    <xdr:to>
      <xdr:col>116</xdr:col>
      <xdr:colOff>257176</xdr:colOff>
      <xdr:row>67</xdr:row>
      <xdr:rowOff>142875</xdr:rowOff>
    </xdr:to>
    <xdr:graphicFrame macro="">
      <xdr:nvGraphicFramePr>
        <xdr:cNvPr id="47" name="Chart 46">
          <a:extLst>
            <a:ext uri="{FF2B5EF4-FFF2-40B4-BE49-F238E27FC236}">
              <a16:creationId xmlns:a16="http://schemas.microsoft.com/office/drawing/2014/main" id="{00000000-0008-0000-0700-00002F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103</xdr:col>
      <xdr:colOff>15876</xdr:colOff>
      <xdr:row>69</xdr:row>
      <xdr:rowOff>7937</xdr:rowOff>
    </xdr:from>
    <xdr:to>
      <xdr:col>109</xdr:col>
      <xdr:colOff>428626</xdr:colOff>
      <xdr:row>75</xdr:row>
      <xdr:rowOff>133350</xdr:rowOff>
    </xdr:to>
    <xdr:graphicFrame macro="">
      <xdr:nvGraphicFramePr>
        <xdr:cNvPr id="48" name="Chart 47">
          <a:extLst>
            <a:ext uri="{FF2B5EF4-FFF2-40B4-BE49-F238E27FC236}">
              <a16:creationId xmlns:a16="http://schemas.microsoft.com/office/drawing/2014/main" id="{00000000-0008-0000-0700-000030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109</xdr:col>
      <xdr:colOff>454026</xdr:colOff>
      <xdr:row>69</xdr:row>
      <xdr:rowOff>7937</xdr:rowOff>
    </xdr:from>
    <xdr:to>
      <xdr:col>116</xdr:col>
      <xdr:colOff>257176</xdr:colOff>
      <xdr:row>75</xdr:row>
      <xdr:rowOff>133350</xdr:rowOff>
    </xdr:to>
    <xdr:graphicFrame macro="">
      <xdr:nvGraphicFramePr>
        <xdr:cNvPr id="49" name="Chart 48">
          <a:extLst>
            <a:ext uri="{FF2B5EF4-FFF2-40B4-BE49-F238E27FC236}">
              <a16:creationId xmlns:a16="http://schemas.microsoft.com/office/drawing/2014/main" id="{00000000-0008-0000-0700-000031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103</xdr:col>
      <xdr:colOff>15876</xdr:colOff>
      <xdr:row>88</xdr:row>
      <xdr:rowOff>186530</xdr:rowOff>
    </xdr:from>
    <xdr:to>
      <xdr:col>109</xdr:col>
      <xdr:colOff>428626</xdr:colOff>
      <xdr:row>95</xdr:row>
      <xdr:rowOff>121443</xdr:rowOff>
    </xdr:to>
    <xdr:graphicFrame macro="">
      <xdr:nvGraphicFramePr>
        <xdr:cNvPr id="50" name="Chart 49">
          <a:extLst>
            <a:ext uri="{FF2B5EF4-FFF2-40B4-BE49-F238E27FC236}">
              <a16:creationId xmlns:a16="http://schemas.microsoft.com/office/drawing/2014/main" id="{00000000-0008-0000-0700-00003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109</xdr:col>
      <xdr:colOff>454026</xdr:colOff>
      <xdr:row>88</xdr:row>
      <xdr:rowOff>186530</xdr:rowOff>
    </xdr:from>
    <xdr:to>
      <xdr:col>116</xdr:col>
      <xdr:colOff>257176</xdr:colOff>
      <xdr:row>95</xdr:row>
      <xdr:rowOff>121443</xdr:rowOff>
    </xdr:to>
    <xdr:graphicFrame macro="">
      <xdr:nvGraphicFramePr>
        <xdr:cNvPr id="51" name="Chart 50">
          <a:extLst>
            <a:ext uri="{FF2B5EF4-FFF2-40B4-BE49-F238E27FC236}">
              <a16:creationId xmlns:a16="http://schemas.microsoft.com/office/drawing/2014/main" id="{00000000-0008-0000-0700-00003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103</xdr:col>
      <xdr:colOff>15876</xdr:colOff>
      <xdr:row>98</xdr:row>
      <xdr:rowOff>19842</xdr:rowOff>
    </xdr:from>
    <xdr:to>
      <xdr:col>109</xdr:col>
      <xdr:colOff>428626</xdr:colOff>
      <xdr:row>104</xdr:row>
      <xdr:rowOff>145255</xdr:rowOff>
    </xdr:to>
    <xdr:graphicFrame macro="">
      <xdr:nvGraphicFramePr>
        <xdr:cNvPr id="52" name="Chart 51">
          <a:extLst>
            <a:ext uri="{FF2B5EF4-FFF2-40B4-BE49-F238E27FC236}">
              <a16:creationId xmlns:a16="http://schemas.microsoft.com/office/drawing/2014/main" id="{00000000-0008-0000-0700-00003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109</xdr:col>
      <xdr:colOff>454026</xdr:colOff>
      <xdr:row>98</xdr:row>
      <xdr:rowOff>19842</xdr:rowOff>
    </xdr:from>
    <xdr:to>
      <xdr:col>116</xdr:col>
      <xdr:colOff>257176</xdr:colOff>
      <xdr:row>104</xdr:row>
      <xdr:rowOff>145255</xdr:rowOff>
    </xdr:to>
    <xdr:graphicFrame macro="">
      <xdr:nvGraphicFramePr>
        <xdr:cNvPr id="53" name="Chart 52">
          <a:extLst>
            <a:ext uri="{FF2B5EF4-FFF2-40B4-BE49-F238E27FC236}">
              <a16:creationId xmlns:a16="http://schemas.microsoft.com/office/drawing/2014/main" id="{00000000-0008-0000-0700-00003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103</xdr:col>
      <xdr:colOff>15876</xdr:colOff>
      <xdr:row>106</xdr:row>
      <xdr:rowOff>7936</xdr:rowOff>
    </xdr:from>
    <xdr:to>
      <xdr:col>109</xdr:col>
      <xdr:colOff>428626</xdr:colOff>
      <xdr:row>112</xdr:row>
      <xdr:rowOff>133349</xdr:rowOff>
    </xdr:to>
    <xdr:graphicFrame macro="">
      <xdr:nvGraphicFramePr>
        <xdr:cNvPr id="54" name="Chart 53">
          <a:extLst>
            <a:ext uri="{FF2B5EF4-FFF2-40B4-BE49-F238E27FC236}">
              <a16:creationId xmlns:a16="http://schemas.microsoft.com/office/drawing/2014/main" id="{00000000-0008-0000-0700-00003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109</xdr:col>
      <xdr:colOff>454026</xdr:colOff>
      <xdr:row>106</xdr:row>
      <xdr:rowOff>7936</xdr:rowOff>
    </xdr:from>
    <xdr:to>
      <xdr:col>116</xdr:col>
      <xdr:colOff>257176</xdr:colOff>
      <xdr:row>112</xdr:row>
      <xdr:rowOff>133349</xdr:rowOff>
    </xdr:to>
    <xdr:graphicFrame macro="">
      <xdr:nvGraphicFramePr>
        <xdr:cNvPr id="55" name="Chart 54">
          <a:extLst>
            <a:ext uri="{FF2B5EF4-FFF2-40B4-BE49-F238E27FC236}">
              <a16:creationId xmlns:a16="http://schemas.microsoft.com/office/drawing/2014/main" id="{00000000-0008-0000-0700-00003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103</xdr:col>
      <xdr:colOff>15876</xdr:colOff>
      <xdr:row>114</xdr:row>
      <xdr:rowOff>19842</xdr:rowOff>
    </xdr:from>
    <xdr:to>
      <xdr:col>109</xdr:col>
      <xdr:colOff>428626</xdr:colOff>
      <xdr:row>120</xdr:row>
      <xdr:rowOff>145255</xdr:rowOff>
    </xdr:to>
    <xdr:graphicFrame macro="">
      <xdr:nvGraphicFramePr>
        <xdr:cNvPr id="56" name="Chart 55">
          <a:extLst>
            <a:ext uri="{FF2B5EF4-FFF2-40B4-BE49-F238E27FC236}">
              <a16:creationId xmlns:a16="http://schemas.microsoft.com/office/drawing/2014/main" id="{00000000-0008-0000-0700-00003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109</xdr:col>
      <xdr:colOff>454026</xdr:colOff>
      <xdr:row>114</xdr:row>
      <xdr:rowOff>19842</xdr:rowOff>
    </xdr:from>
    <xdr:to>
      <xdr:col>116</xdr:col>
      <xdr:colOff>257176</xdr:colOff>
      <xdr:row>120</xdr:row>
      <xdr:rowOff>145255</xdr:rowOff>
    </xdr:to>
    <xdr:graphicFrame macro="">
      <xdr:nvGraphicFramePr>
        <xdr:cNvPr id="57" name="Chart 56">
          <a:extLst>
            <a:ext uri="{FF2B5EF4-FFF2-40B4-BE49-F238E27FC236}">
              <a16:creationId xmlns:a16="http://schemas.microsoft.com/office/drawing/2014/main" id="{00000000-0008-0000-0700-00003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103</xdr:col>
      <xdr:colOff>51594</xdr:colOff>
      <xdr:row>16</xdr:row>
      <xdr:rowOff>19844</xdr:rowOff>
    </xdr:from>
    <xdr:to>
      <xdr:col>109</xdr:col>
      <xdr:colOff>464344</xdr:colOff>
      <xdr:row>22</xdr:row>
      <xdr:rowOff>145257</xdr:rowOff>
    </xdr:to>
    <xdr:graphicFrame macro="">
      <xdr:nvGraphicFramePr>
        <xdr:cNvPr id="22" name="Chart 21">
          <a:extLst>
            <a:ext uri="{FF2B5EF4-FFF2-40B4-BE49-F238E27FC236}">
              <a16:creationId xmlns:a16="http://schemas.microsoft.com/office/drawing/2014/main" id="{00000000-0008-0000-0700-00001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103</xdr:col>
      <xdr:colOff>15876</xdr:colOff>
      <xdr:row>122</xdr:row>
      <xdr:rowOff>19842</xdr:rowOff>
    </xdr:from>
    <xdr:to>
      <xdr:col>109</xdr:col>
      <xdr:colOff>428626</xdr:colOff>
      <xdr:row>128</xdr:row>
      <xdr:rowOff>145255</xdr:rowOff>
    </xdr:to>
    <xdr:graphicFrame macro="">
      <xdr:nvGraphicFramePr>
        <xdr:cNvPr id="33" name="Chart 32">
          <a:extLst>
            <a:ext uri="{FF2B5EF4-FFF2-40B4-BE49-F238E27FC236}">
              <a16:creationId xmlns:a16="http://schemas.microsoft.com/office/drawing/2014/main" id="{00000000-0008-0000-0700-00002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109</xdr:col>
      <xdr:colOff>454026</xdr:colOff>
      <xdr:row>122</xdr:row>
      <xdr:rowOff>19842</xdr:rowOff>
    </xdr:from>
    <xdr:to>
      <xdr:col>116</xdr:col>
      <xdr:colOff>257176</xdr:colOff>
      <xdr:row>128</xdr:row>
      <xdr:rowOff>145255</xdr:rowOff>
    </xdr:to>
    <xdr:graphicFrame macro="">
      <xdr:nvGraphicFramePr>
        <xdr:cNvPr id="34" name="Chart 33">
          <a:extLst>
            <a:ext uri="{FF2B5EF4-FFF2-40B4-BE49-F238E27FC236}">
              <a16:creationId xmlns:a16="http://schemas.microsoft.com/office/drawing/2014/main" id="{00000000-0008-0000-0700-00002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103</xdr:col>
      <xdr:colOff>15876</xdr:colOff>
      <xdr:row>130</xdr:row>
      <xdr:rowOff>19842</xdr:rowOff>
    </xdr:from>
    <xdr:to>
      <xdr:col>109</xdr:col>
      <xdr:colOff>428626</xdr:colOff>
      <xdr:row>136</xdr:row>
      <xdr:rowOff>145255</xdr:rowOff>
    </xdr:to>
    <xdr:graphicFrame macro="">
      <xdr:nvGraphicFramePr>
        <xdr:cNvPr id="35" name="Chart 34">
          <a:extLst>
            <a:ext uri="{FF2B5EF4-FFF2-40B4-BE49-F238E27FC236}">
              <a16:creationId xmlns:a16="http://schemas.microsoft.com/office/drawing/2014/main" id="{00000000-0008-0000-0700-00002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109</xdr:col>
      <xdr:colOff>454026</xdr:colOff>
      <xdr:row>130</xdr:row>
      <xdr:rowOff>19842</xdr:rowOff>
    </xdr:from>
    <xdr:to>
      <xdr:col>116</xdr:col>
      <xdr:colOff>257176</xdr:colOff>
      <xdr:row>136</xdr:row>
      <xdr:rowOff>145255</xdr:rowOff>
    </xdr:to>
    <xdr:graphicFrame macro="">
      <xdr:nvGraphicFramePr>
        <xdr:cNvPr id="37" name="Chart 36">
          <a:extLst>
            <a:ext uri="{FF2B5EF4-FFF2-40B4-BE49-F238E27FC236}">
              <a16:creationId xmlns:a16="http://schemas.microsoft.com/office/drawing/2014/main" id="{00000000-0008-0000-0700-00002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103</xdr:col>
      <xdr:colOff>15876</xdr:colOff>
      <xdr:row>138</xdr:row>
      <xdr:rowOff>19842</xdr:rowOff>
    </xdr:from>
    <xdr:to>
      <xdr:col>109</xdr:col>
      <xdr:colOff>428626</xdr:colOff>
      <xdr:row>144</xdr:row>
      <xdr:rowOff>145255</xdr:rowOff>
    </xdr:to>
    <xdr:graphicFrame macro="">
      <xdr:nvGraphicFramePr>
        <xdr:cNvPr id="27" name="Chart 26">
          <a:extLst>
            <a:ext uri="{FF2B5EF4-FFF2-40B4-BE49-F238E27FC236}">
              <a16:creationId xmlns:a16="http://schemas.microsoft.com/office/drawing/2014/main" id="{00000000-0008-0000-0700-00001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17</xdr:col>
      <xdr:colOff>169333</xdr:colOff>
      <xdr:row>32</xdr:row>
      <xdr:rowOff>42334</xdr:rowOff>
    </xdr:from>
    <xdr:to>
      <xdr:col>26</xdr:col>
      <xdr:colOff>518583</xdr:colOff>
      <xdr:row>84</xdr:row>
      <xdr:rowOff>243417</xdr:rowOff>
    </xdr:to>
    <xdr:graphicFrame macro="">
      <xdr:nvGraphicFramePr>
        <xdr:cNvPr id="3" name="Chart 2">
          <a:extLst>
            <a:ext uri="{FF2B5EF4-FFF2-40B4-BE49-F238E27FC236}">
              <a16:creationId xmlns:a16="http://schemas.microsoft.com/office/drawing/2014/main" id="{00000000-0008-0000-08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19</xdr:col>
      <xdr:colOff>552449</xdr:colOff>
      <xdr:row>52</xdr:row>
      <xdr:rowOff>76200</xdr:rowOff>
    </xdr:from>
    <xdr:to>
      <xdr:col>31</xdr:col>
      <xdr:colOff>38100</xdr:colOff>
      <xdr:row>66</xdr:row>
      <xdr:rowOff>47625</xdr:rowOff>
    </xdr:to>
    <xdr:graphicFrame macro="">
      <xdr:nvGraphicFramePr>
        <xdr:cNvPr id="4" name="Chart 3">
          <a:extLst>
            <a:ext uri="{FF2B5EF4-FFF2-40B4-BE49-F238E27FC236}">
              <a16:creationId xmlns:a16="http://schemas.microsoft.com/office/drawing/2014/main" id="{00000000-0008-0000-09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428625</xdr:colOff>
      <xdr:row>53</xdr:row>
      <xdr:rowOff>152399</xdr:rowOff>
    </xdr:from>
    <xdr:to>
      <xdr:col>18</xdr:col>
      <xdr:colOff>142875</xdr:colOff>
      <xdr:row>65</xdr:row>
      <xdr:rowOff>1038224</xdr:rowOff>
    </xdr:to>
    <xdr:graphicFrame macro="">
      <xdr:nvGraphicFramePr>
        <xdr:cNvPr id="3" name="Chart 2">
          <a:extLst>
            <a:ext uri="{FF2B5EF4-FFF2-40B4-BE49-F238E27FC236}">
              <a16:creationId xmlns:a16="http://schemas.microsoft.com/office/drawing/2014/main" id="{00000000-0008-0000-09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11</xdr:col>
      <xdr:colOff>28574</xdr:colOff>
      <xdr:row>4</xdr:row>
      <xdr:rowOff>76200</xdr:rowOff>
    </xdr:from>
    <xdr:to>
      <xdr:col>22</xdr:col>
      <xdr:colOff>123825</xdr:colOff>
      <xdr:row>18</xdr:row>
      <xdr:rowOff>47625</xdr:rowOff>
    </xdr:to>
    <xdr:graphicFrame macro="">
      <xdr:nvGraphicFramePr>
        <xdr:cNvPr id="2" name="Chart 1">
          <a:extLst>
            <a:ext uri="{FF2B5EF4-FFF2-40B4-BE49-F238E27FC236}">
              <a16:creationId xmlns:a16="http://schemas.microsoft.com/office/drawing/2014/main" id="{00000000-0008-0000-0C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19049</xdr:colOff>
      <xdr:row>4</xdr:row>
      <xdr:rowOff>22861</xdr:rowOff>
    </xdr:from>
    <xdr:to>
      <xdr:col>10</xdr:col>
      <xdr:colOff>200024</xdr:colOff>
      <xdr:row>19</xdr:row>
      <xdr:rowOff>11431</xdr:rowOff>
    </xdr:to>
    <xdr:graphicFrame macro="">
      <xdr:nvGraphicFramePr>
        <xdr:cNvPr id="4" name="Chart 3">
          <a:extLst>
            <a:ext uri="{FF2B5EF4-FFF2-40B4-BE49-F238E27FC236}">
              <a16:creationId xmlns:a16="http://schemas.microsoft.com/office/drawing/2014/main" id="{00000000-0008-0000-0C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AM1915"/>
  <sheetViews>
    <sheetView tabSelected="1" topLeftCell="A196" workbookViewId="0">
      <selection activeCell="F1" sqref="F1"/>
    </sheetView>
  </sheetViews>
  <sheetFormatPr defaultColWidth="8.77734375" defaultRowHeight="14.4" x14ac:dyDescent="0.3"/>
  <cols>
    <col min="1" max="1" width="22.6640625" bestFit="1" customWidth="1"/>
    <col min="2" max="2" width="16.88671875" bestFit="1" customWidth="1"/>
    <col min="3" max="3" width="23.33203125" bestFit="1" customWidth="1"/>
    <col min="4" max="4" width="13.5546875" bestFit="1" customWidth="1"/>
    <col min="5" max="5" width="16.109375" bestFit="1" customWidth="1"/>
    <col min="6" max="6" width="169.6640625" bestFit="1" customWidth="1"/>
    <col min="7" max="7" width="192" bestFit="1" customWidth="1"/>
    <col min="8" max="8" width="178.5546875" bestFit="1" customWidth="1"/>
    <col min="9" max="9" width="153.109375" bestFit="1" customWidth="1"/>
    <col min="10" max="10" width="188.33203125" bestFit="1" customWidth="1"/>
    <col min="11" max="11" width="79.109375" bestFit="1" customWidth="1"/>
    <col min="12" max="12" width="84.6640625" bestFit="1" customWidth="1"/>
    <col min="13" max="13" width="93.44140625" bestFit="1" customWidth="1"/>
    <col min="14" max="14" width="96.44140625" bestFit="1" customWidth="1"/>
    <col min="15" max="15" width="106" bestFit="1" customWidth="1"/>
    <col min="16" max="16" width="111.88671875" bestFit="1" customWidth="1"/>
    <col min="17" max="17" width="113.109375" bestFit="1" customWidth="1"/>
    <col min="18" max="18" width="116" bestFit="1" customWidth="1"/>
    <col min="19" max="19" width="105.77734375" bestFit="1" customWidth="1"/>
    <col min="20" max="20" width="119.44140625" bestFit="1" customWidth="1"/>
    <col min="21" max="21" width="101.6640625" bestFit="1" customWidth="1"/>
    <col min="22" max="22" width="98.33203125" bestFit="1" customWidth="1"/>
    <col min="23" max="23" width="129.21875" bestFit="1" customWidth="1"/>
    <col min="24" max="24" width="159.33203125" bestFit="1" customWidth="1"/>
    <col min="25" max="25" width="167.109375" bestFit="1" customWidth="1"/>
    <col min="26" max="26" width="93.88671875" bestFit="1" customWidth="1"/>
    <col min="27" max="27" width="98" bestFit="1" customWidth="1"/>
    <col min="28" max="28" width="165.5546875" bestFit="1" customWidth="1"/>
    <col min="29" max="29" width="151.44140625" bestFit="1" customWidth="1"/>
    <col min="30" max="30" width="108" bestFit="1" customWidth="1"/>
    <col min="31" max="33" width="255.77734375" bestFit="1" customWidth="1"/>
    <col min="34" max="34" width="249.21875" bestFit="1" customWidth="1"/>
    <col min="35" max="37" width="255.77734375" bestFit="1" customWidth="1"/>
    <col min="38" max="38" width="253.88671875" bestFit="1" customWidth="1"/>
    <col min="39" max="39" width="255.77734375" bestFit="1" customWidth="1"/>
  </cols>
  <sheetData>
    <row r="1" spans="1:33" x14ac:dyDescent="0.3">
      <c r="A1" s="132"/>
      <c r="B1" s="132"/>
      <c r="C1" s="132"/>
      <c r="D1" s="132"/>
      <c r="E1" s="8" t="s">
        <v>292</v>
      </c>
      <c r="F1" s="132" t="s">
        <v>124</v>
      </c>
      <c r="G1" s="132" t="s">
        <v>125</v>
      </c>
      <c r="H1" s="132" t="s">
        <v>126</v>
      </c>
      <c r="I1" s="132" t="s">
        <v>127</v>
      </c>
      <c r="J1" s="132" t="s">
        <v>214</v>
      </c>
      <c r="K1" s="132" t="s">
        <v>128</v>
      </c>
      <c r="L1" s="132" t="s">
        <v>129</v>
      </c>
      <c r="M1" s="132" t="s">
        <v>130</v>
      </c>
      <c r="N1" s="132" t="s">
        <v>131</v>
      </c>
      <c r="O1" s="132" t="s">
        <v>132</v>
      </c>
      <c r="P1" s="132" t="s">
        <v>133</v>
      </c>
      <c r="Q1" s="132" t="s">
        <v>134</v>
      </c>
      <c r="R1" s="132" t="s">
        <v>135</v>
      </c>
      <c r="S1" s="132" t="s">
        <v>136</v>
      </c>
      <c r="T1" s="132" t="s">
        <v>137</v>
      </c>
      <c r="U1" s="132" t="s">
        <v>138</v>
      </c>
      <c r="V1" s="132" t="s">
        <v>139</v>
      </c>
      <c r="W1" s="132" t="s">
        <v>140</v>
      </c>
      <c r="X1" s="132" t="s">
        <v>186</v>
      </c>
      <c r="Y1" s="132" t="s">
        <v>209</v>
      </c>
      <c r="Z1" s="132" t="s">
        <v>141</v>
      </c>
      <c r="AA1" s="132" t="s">
        <v>142</v>
      </c>
      <c r="AB1" s="132" t="s">
        <v>210</v>
      </c>
      <c r="AC1" s="132" t="s">
        <v>143</v>
      </c>
      <c r="AD1" s="132" t="s">
        <v>144</v>
      </c>
      <c r="AE1" s="132" t="s">
        <v>238</v>
      </c>
      <c r="AF1" s="132" t="s">
        <v>190</v>
      </c>
      <c r="AG1" s="132"/>
    </row>
    <row r="2" spans="1:33" x14ac:dyDescent="0.3">
      <c r="A2" s="132" t="s">
        <v>239</v>
      </c>
      <c r="B2" s="132" t="s">
        <v>14</v>
      </c>
      <c r="C2" s="132" t="s">
        <v>240</v>
      </c>
      <c r="D2" s="132" t="s">
        <v>15</v>
      </c>
      <c r="E2" s="139">
        <v>40601</v>
      </c>
      <c r="F2" s="132" t="s">
        <v>16</v>
      </c>
      <c r="G2" s="132" t="s">
        <v>149</v>
      </c>
      <c r="H2" s="132" t="s">
        <v>148</v>
      </c>
      <c r="I2" s="132" t="s">
        <v>148</v>
      </c>
      <c r="J2" s="132" t="s">
        <v>148</v>
      </c>
      <c r="K2" s="132" t="s">
        <v>16</v>
      </c>
      <c r="L2" s="132" t="s">
        <v>16</v>
      </c>
      <c r="M2" s="132" t="s">
        <v>16</v>
      </c>
      <c r="N2" s="132" t="s">
        <v>148</v>
      </c>
      <c r="O2" s="132" t="s">
        <v>148</v>
      </c>
      <c r="P2" s="132" t="s">
        <v>148</v>
      </c>
      <c r="Q2" s="132" t="s">
        <v>148</v>
      </c>
      <c r="R2" s="132" t="s">
        <v>148</v>
      </c>
      <c r="S2" s="132" t="s">
        <v>148</v>
      </c>
      <c r="T2" s="132" t="s">
        <v>148</v>
      </c>
      <c r="U2" s="132" t="s">
        <v>148</v>
      </c>
      <c r="V2" s="132" t="s">
        <v>148</v>
      </c>
      <c r="W2" s="132" t="s">
        <v>148</v>
      </c>
      <c r="X2" s="132" t="s">
        <v>148</v>
      </c>
      <c r="Y2" s="132" t="s">
        <v>16</v>
      </c>
      <c r="Z2" s="132" t="s">
        <v>149</v>
      </c>
      <c r="AA2" s="132" t="s">
        <v>148</v>
      </c>
      <c r="AB2" s="132" t="s">
        <v>148</v>
      </c>
      <c r="AC2" s="132" t="s">
        <v>16</v>
      </c>
      <c r="AD2" s="132" t="s">
        <v>16</v>
      </c>
      <c r="AE2" s="132"/>
      <c r="AF2" s="132"/>
      <c r="AG2" s="132"/>
    </row>
    <row r="3" spans="1:33" x14ac:dyDescent="0.3">
      <c r="A3" s="132" t="s">
        <v>241</v>
      </c>
      <c r="B3" s="132" t="s">
        <v>14</v>
      </c>
      <c r="C3" s="132" t="s">
        <v>240</v>
      </c>
      <c r="D3" s="132" t="s">
        <v>15</v>
      </c>
      <c r="E3" s="139">
        <v>40601</v>
      </c>
      <c r="F3" s="132" t="s">
        <v>16</v>
      </c>
      <c r="G3" s="132" t="s">
        <v>16</v>
      </c>
      <c r="H3" s="132" t="s">
        <v>16</v>
      </c>
      <c r="I3" s="132" t="s">
        <v>16</v>
      </c>
      <c r="J3" s="132" t="s">
        <v>16</v>
      </c>
      <c r="K3" s="132" t="s">
        <v>16</v>
      </c>
      <c r="L3" s="132" t="s">
        <v>16</v>
      </c>
      <c r="M3" s="132" t="s">
        <v>16</v>
      </c>
      <c r="N3" s="132" t="s">
        <v>16</v>
      </c>
      <c r="O3" s="132" t="s">
        <v>16</v>
      </c>
      <c r="P3" s="132" t="s">
        <v>16</v>
      </c>
      <c r="Q3" s="132" t="s">
        <v>16</v>
      </c>
      <c r="R3" s="132" t="s">
        <v>148</v>
      </c>
      <c r="S3" s="132" t="s">
        <v>16</v>
      </c>
      <c r="T3" s="132" t="s">
        <v>16</v>
      </c>
      <c r="U3" s="132" t="s">
        <v>16</v>
      </c>
      <c r="V3" s="132" t="s">
        <v>16</v>
      </c>
      <c r="W3" s="132" t="s">
        <v>148</v>
      </c>
      <c r="X3" s="132" t="s">
        <v>16</v>
      </c>
      <c r="Y3" s="132" t="s">
        <v>16</v>
      </c>
      <c r="Z3" s="132" t="s">
        <v>16</v>
      </c>
      <c r="AA3" s="132" t="s">
        <v>16</v>
      </c>
      <c r="AB3" s="132" t="s">
        <v>16</v>
      </c>
      <c r="AC3" s="132" t="s">
        <v>16</v>
      </c>
      <c r="AD3" s="132" t="s">
        <v>16</v>
      </c>
      <c r="AE3" s="132" t="s">
        <v>242</v>
      </c>
      <c r="AF3" s="132" t="s">
        <v>243</v>
      </c>
      <c r="AG3" s="132"/>
    </row>
    <row r="4" spans="1:33" x14ac:dyDescent="0.3">
      <c r="A4" s="132" t="s">
        <v>244</v>
      </c>
      <c r="B4" s="132" t="s">
        <v>14</v>
      </c>
      <c r="C4" s="132" t="s">
        <v>240</v>
      </c>
      <c r="D4" s="132" t="s">
        <v>15</v>
      </c>
      <c r="E4" s="139">
        <v>40601</v>
      </c>
      <c r="F4" s="132" t="s">
        <v>16</v>
      </c>
      <c r="G4" s="132" t="s">
        <v>16</v>
      </c>
      <c r="H4" s="132" t="s">
        <v>16</v>
      </c>
      <c r="I4" s="132" t="s">
        <v>150</v>
      </c>
      <c r="J4" s="132" t="s">
        <v>16</v>
      </c>
      <c r="K4" s="132" t="s">
        <v>16</v>
      </c>
      <c r="L4" s="132" t="s">
        <v>148</v>
      </c>
      <c r="M4" s="132" t="s">
        <v>16</v>
      </c>
      <c r="N4" s="132" t="s">
        <v>150</v>
      </c>
      <c r="O4" s="132" t="s">
        <v>16</v>
      </c>
      <c r="P4" s="132" t="s">
        <v>148</v>
      </c>
      <c r="Q4" s="132" t="s">
        <v>16</v>
      </c>
      <c r="R4" s="132" t="s">
        <v>16</v>
      </c>
      <c r="S4" s="132" t="s">
        <v>148</v>
      </c>
      <c r="T4" s="132" t="s">
        <v>16</v>
      </c>
      <c r="U4" s="132" t="s">
        <v>148</v>
      </c>
      <c r="V4" s="132" t="s">
        <v>148</v>
      </c>
      <c r="W4" s="132" t="s">
        <v>16</v>
      </c>
      <c r="X4" s="132" t="s">
        <v>148</v>
      </c>
      <c r="Y4" s="132" t="s">
        <v>148</v>
      </c>
      <c r="Z4" s="132" t="s">
        <v>16</v>
      </c>
      <c r="AA4" s="132" t="s">
        <v>148</v>
      </c>
      <c r="AB4" s="132" t="s">
        <v>16</v>
      </c>
      <c r="AC4" s="132" t="s">
        <v>148</v>
      </c>
      <c r="AD4" s="132" t="s">
        <v>148</v>
      </c>
      <c r="AE4" s="132" t="s">
        <v>242</v>
      </c>
      <c r="AF4" s="132"/>
      <c r="AG4" s="132"/>
    </row>
    <row r="5" spans="1:33" x14ac:dyDescent="0.3">
      <c r="A5" s="132" t="s">
        <v>245</v>
      </c>
      <c r="B5" s="132" t="s">
        <v>14</v>
      </c>
      <c r="C5" s="132" t="s">
        <v>240</v>
      </c>
      <c r="D5" s="132" t="s">
        <v>15</v>
      </c>
      <c r="E5" s="139">
        <v>40601</v>
      </c>
      <c r="F5" s="132" t="s">
        <v>16</v>
      </c>
      <c r="G5" s="132" t="s">
        <v>148</v>
      </c>
      <c r="H5" s="132" t="s">
        <v>148</v>
      </c>
      <c r="I5" s="132" t="s">
        <v>148</v>
      </c>
      <c r="J5" s="132" t="s">
        <v>148</v>
      </c>
      <c r="K5" s="132" t="s">
        <v>16</v>
      </c>
      <c r="L5" s="132" t="s">
        <v>16</v>
      </c>
      <c r="M5" s="132" t="s">
        <v>16</v>
      </c>
      <c r="N5" s="132" t="s">
        <v>16</v>
      </c>
      <c r="O5" s="132" t="s">
        <v>16</v>
      </c>
      <c r="P5" s="132" t="s">
        <v>148</v>
      </c>
      <c r="Q5" s="132" t="s">
        <v>16</v>
      </c>
      <c r="R5" s="132" t="s">
        <v>148</v>
      </c>
      <c r="S5" s="132" t="s">
        <v>16</v>
      </c>
      <c r="T5" s="132" t="s">
        <v>16</v>
      </c>
      <c r="U5" s="132" t="s">
        <v>149</v>
      </c>
      <c r="V5" s="132" t="s">
        <v>16</v>
      </c>
      <c r="W5" s="132" t="s">
        <v>16</v>
      </c>
      <c r="X5" s="132" t="s">
        <v>16</v>
      </c>
      <c r="Y5" s="132" t="s">
        <v>16</v>
      </c>
      <c r="Z5" s="132" t="s">
        <v>16</v>
      </c>
      <c r="AA5" s="132" t="s">
        <v>16</v>
      </c>
      <c r="AB5" s="132" t="s">
        <v>148</v>
      </c>
      <c r="AC5" s="132" t="s">
        <v>148</v>
      </c>
      <c r="AD5" s="132" t="s">
        <v>16</v>
      </c>
      <c r="AE5" s="132" t="s">
        <v>242</v>
      </c>
      <c r="AF5" s="132"/>
      <c r="AG5" s="132"/>
    </row>
    <row r="6" spans="1:33" x14ac:dyDescent="0.3">
      <c r="A6" s="132" t="s">
        <v>246</v>
      </c>
      <c r="B6" s="132" t="s">
        <v>14</v>
      </c>
      <c r="C6" s="132" t="s">
        <v>240</v>
      </c>
      <c r="D6" s="132" t="s">
        <v>15</v>
      </c>
      <c r="E6" s="139">
        <v>40601</v>
      </c>
      <c r="F6" s="132" t="s">
        <v>148</v>
      </c>
      <c r="G6" s="132" t="s">
        <v>16</v>
      </c>
      <c r="H6" s="132" t="s">
        <v>16</v>
      </c>
      <c r="I6" s="132" t="s">
        <v>150</v>
      </c>
      <c r="J6" s="132" t="s">
        <v>16</v>
      </c>
      <c r="K6" s="132" t="s">
        <v>148</v>
      </c>
      <c r="L6" s="132" t="s">
        <v>148</v>
      </c>
      <c r="M6" s="132" t="s">
        <v>16</v>
      </c>
      <c r="N6" s="132" t="s">
        <v>150</v>
      </c>
      <c r="O6" s="132" t="s">
        <v>16</v>
      </c>
      <c r="P6" s="132" t="s">
        <v>148</v>
      </c>
      <c r="Q6" s="132" t="s">
        <v>148</v>
      </c>
      <c r="R6" s="132" t="s">
        <v>16</v>
      </c>
      <c r="S6" s="132" t="s">
        <v>16</v>
      </c>
      <c r="T6" s="132" t="s">
        <v>16</v>
      </c>
      <c r="U6" s="132" t="s">
        <v>150</v>
      </c>
      <c r="V6" s="132" t="s">
        <v>16</v>
      </c>
      <c r="W6" s="132" t="s">
        <v>16</v>
      </c>
      <c r="X6" s="132" t="s">
        <v>16</v>
      </c>
      <c r="Y6" s="132" t="s">
        <v>16</v>
      </c>
      <c r="Z6" s="132" t="s">
        <v>149</v>
      </c>
      <c r="AA6" s="132" t="s">
        <v>149</v>
      </c>
      <c r="AB6" s="132" t="s">
        <v>16</v>
      </c>
      <c r="AC6" s="132" t="s">
        <v>16</v>
      </c>
      <c r="AD6" s="132" t="s">
        <v>149</v>
      </c>
      <c r="AE6" s="132" t="s">
        <v>242</v>
      </c>
      <c r="AF6" s="132" t="s">
        <v>247</v>
      </c>
      <c r="AG6" s="132"/>
    </row>
    <row r="7" spans="1:33" x14ac:dyDescent="0.3">
      <c r="A7" s="132" t="s">
        <v>248</v>
      </c>
      <c r="B7" s="132" t="s">
        <v>14</v>
      </c>
      <c r="C7" s="132" t="s">
        <v>240</v>
      </c>
      <c r="D7" s="132" t="s">
        <v>15</v>
      </c>
      <c r="E7" s="139">
        <v>40601</v>
      </c>
      <c r="F7" s="132" t="s">
        <v>16</v>
      </c>
      <c r="G7" s="132" t="s">
        <v>16</v>
      </c>
      <c r="H7" s="132" t="s">
        <v>16</v>
      </c>
      <c r="I7" s="132" t="s">
        <v>16</v>
      </c>
      <c r="J7" s="132" t="s">
        <v>16</v>
      </c>
      <c r="K7" s="132" t="s">
        <v>149</v>
      </c>
      <c r="L7" s="132" t="s">
        <v>148</v>
      </c>
      <c r="M7" s="132" t="s">
        <v>16</v>
      </c>
      <c r="N7" s="132" t="s">
        <v>148</v>
      </c>
      <c r="O7" s="132" t="s">
        <v>16</v>
      </c>
      <c r="P7" s="132" t="s">
        <v>16</v>
      </c>
      <c r="Q7" s="132" t="s">
        <v>16</v>
      </c>
      <c r="R7" s="132" t="s">
        <v>16</v>
      </c>
      <c r="S7" s="132" t="s">
        <v>148</v>
      </c>
      <c r="T7" s="132" t="s">
        <v>16</v>
      </c>
      <c r="U7" s="132" t="s">
        <v>16</v>
      </c>
      <c r="V7" s="132" t="s">
        <v>16</v>
      </c>
      <c r="W7" s="132" t="s">
        <v>16</v>
      </c>
      <c r="X7" s="132" t="s">
        <v>16</v>
      </c>
      <c r="Y7" s="132" t="s">
        <v>16</v>
      </c>
      <c r="Z7" s="132" t="s">
        <v>149</v>
      </c>
      <c r="AA7" s="132" t="s">
        <v>149</v>
      </c>
      <c r="AB7" s="132" t="s">
        <v>16</v>
      </c>
      <c r="AC7" s="132" t="s">
        <v>16</v>
      </c>
      <c r="AD7" s="132" t="s">
        <v>16</v>
      </c>
      <c r="AE7" s="132" t="s">
        <v>249</v>
      </c>
      <c r="AF7" s="132"/>
      <c r="AG7" s="132"/>
    </row>
    <row r="8" spans="1:33" x14ac:dyDescent="0.3">
      <c r="A8" s="132" t="s">
        <v>250</v>
      </c>
      <c r="B8" s="132" t="s">
        <v>14</v>
      </c>
      <c r="C8" s="132" t="s">
        <v>240</v>
      </c>
      <c r="D8" s="132" t="s">
        <v>15</v>
      </c>
      <c r="E8" s="139">
        <v>40601</v>
      </c>
      <c r="F8" s="132" t="s">
        <v>148</v>
      </c>
      <c r="G8" s="132" t="s">
        <v>16</v>
      </c>
      <c r="H8" s="132" t="s">
        <v>148</v>
      </c>
      <c r="I8" s="132" t="s">
        <v>16</v>
      </c>
      <c r="J8" s="132" t="s">
        <v>150</v>
      </c>
      <c r="K8" s="132" t="s">
        <v>16</v>
      </c>
      <c r="L8" s="132" t="s">
        <v>16</v>
      </c>
      <c r="M8" s="132" t="s">
        <v>16</v>
      </c>
      <c r="N8" s="132" t="s">
        <v>16</v>
      </c>
      <c r="O8" s="132" t="s">
        <v>16</v>
      </c>
      <c r="P8" s="132" t="s">
        <v>16</v>
      </c>
      <c r="Q8" s="132" t="s">
        <v>16</v>
      </c>
      <c r="R8" s="132" t="s">
        <v>16</v>
      </c>
      <c r="S8" s="132" t="s">
        <v>16</v>
      </c>
      <c r="T8" s="132" t="s">
        <v>16</v>
      </c>
      <c r="U8" s="132" t="s">
        <v>16</v>
      </c>
      <c r="V8" s="132" t="s">
        <v>148</v>
      </c>
      <c r="W8" s="132" t="s">
        <v>148</v>
      </c>
      <c r="X8" s="132" t="s">
        <v>148</v>
      </c>
      <c r="Y8" s="132" t="s">
        <v>16</v>
      </c>
      <c r="Z8" s="132" t="s">
        <v>16</v>
      </c>
      <c r="AA8" s="132" t="s">
        <v>16</v>
      </c>
      <c r="AB8" s="132" t="s">
        <v>16</v>
      </c>
      <c r="AC8" s="132" t="s">
        <v>16</v>
      </c>
      <c r="AD8" s="132" t="s">
        <v>16</v>
      </c>
      <c r="AE8" s="132" t="s">
        <v>251</v>
      </c>
      <c r="AF8" s="132"/>
      <c r="AG8" s="132"/>
    </row>
    <row r="9" spans="1:33" x14ac:dyDescent="0.3">
      <c r="A9" s="132" t="s">
        <v>252</v>
      </c>
      <c r="B9" s="132" t="s">
        <v>14</v>
      </c>
      <c r="C9" s="132" t="s">
        <v>240</v>
      </c>
      <c r="D9" s="132" t="s">
        <v>15</v>
      </c>
      <c r="E9" s="139">
        <v>40601</v>
      </c>
      <c r="F9" s="132" t="s">
        <v>16</v>
      </c>
      <c r="G9" s="132" t="s">
        <v>16</v>
      </c>
      <c r="H9" s="132" t="s">
        <v>16</v>
      </c>
      <c r="I9" s="132" t="s">
        <v>148</v>
      </c>
      <c r="J9" s="132" t="s">
        <v>16</v>
      </c>
      <c r="K9" s="132" t="s">
        <v>16</v>
      </c>
      <c r="L9" s="132" t="s">
        <v>148</v>
      </c>
      <c r="M9" s="132" t="s">
        <v>16</v>
      </c>
      <c r="N9" s="132" t="s">
        <v>16</v>
      </c>
      <c r="O9" s="132" t="s">
        <v>148</v>
      </c>
      <c r="P9" s="132" t="s">
        <v>148</v>
      </c>
      <c r="Q9" s="132" t="s">
        <v>16</v>
      </c>
      <c r="R9" s="132" t="s">
        <v>16</v>
      </c>
      <c r="S9" s="132" t="s">
        <v>16</v>
      </c>
      <c r="T9" s="132" t="s">
        <v>148</v>
      </c>
      <c r="U9" s="132" t="s">
        <v>16</v>
      </c>
      <c r="V9" s="132" t="s">
        <v>148</v>
      </c>
      <c r="W9" s="132" t="s">
        <v>16</v>
      </c>
      <c r="X9" s="132" t="s">
        <v>148</v>
      </c>
      <c r="Y9" s="132" t="s">
        <v>16</v>
      </c>
      <c r="Z9" s="132" t="s">
        <v>16</v>
      </c>
      <c r="AA9" s="132" t="s">
        <v>16</v>
      </c>
      <c r="AB9" s="132" t="s">
        <v>16</v>
      </c>
      <c r="AC9" s="132" t="s">
        <v>148</v>
      </c>
      <c r="AD9" s="132" t="s">
        <v>148</v>
      </c>
      <c r="AE9" s="132" t="s">
        <v>249</v>
      </c>
      <c r="AF9" s="132"/>
      <c r="AG9" s="132"/>
    </row>
    <row r="10" spans="1:33" x14ac:dyDescent="0.3">
      <c r="A10" s="132" t="s">
        <v>253</v>
      </c>
      <c r="B10" s="132" t="s">
        <v>14</v>
      </c>
      <c r="C10" s="132" t="s">
        <v>240</v>
      </c>
      <c r="D10" s="132" t="s">
        <v>15</v>
      </c>
      <c r="E10" s="139">
        <v>40601</v>
      </c>
      <c r="F10" s="132" t="s">
        <v>16</v>
      </c>
      <c r="G10" s="132" t="s">
        <v>148</v>
      </c>
      <c r="H10" s="132" t="s">
        <v>16</v>
      </c>
      <c r="I10" s="132" t="s">
        <v>16</v>
      </c>
      <c r="J10" s="132" t="s">
        <v>148</v>
      </c>
      <c r="K10" s="132" t="s">
        <v>16</v>
      </c>
      <c r="L10" s="132" t="s">
        <v>16</v>
      </c>
      <c r="M10" s="132" t="s">
        <v>16</v>
      </c>
      <c r="N10" s="132" t="s">
        <v>16</v>
      </c>
      <c r="O10" s="132" t="s">
        <v>16</v>
      </c>
      <c r="P10" s="132" t="s">
        <v>16</v>
      </c>
      <c r="Q10" s="132" t="s">
        <v>16</v>
      </c>
      <c r="R10" s="132" t="s">
        <v>16</v>
      </c>
      <c r="S10" s="132" t="s">
        <v>16</v>
      </c>
      <c r="T10" s="132" t="s">
        <v>16</v>
      </c>
      <c r="U10" s="132" t="s">
        <v>16</v>
      </c>
      <c r="V10" s="132" t="s">
        <v>16</v>
      </c>
      <c r="W10" s="132" t="s">
        <v>16</v>
      </c>
      <c r="X10" s="132" t="s">
        <v>16</v>
      </c>
      <c r="Y10" s="132" t="s">
        <v>16</v>
      </c>
      <c r="Z10" s="132" t="s">
        <v>16</v>
      </c>
      <c r="AA10" s="132" t="s">
        <v>16</v>
      </c>
      <c r="AB10" s="132" t="s">
        <v>16</v>
      </c>
      <c r="AC10" s="132" t="s">
        <v>16</v>
      </c>
      <c r="AD10" s="132" t="s">
        <v>16</v>
      </c>
      <c r="AE10" s="132"/>
      <c r="AF10" s="132"/>
      <c r="AG10" s="132"/>
    </row>
    <row r="11" spans="1:33" x14ac:dyDescent="0.3">
      <c r="A11" s="132" t="s">
        <v>254</v>
      </c>
      <c r="B11" s="132" t="s">
        <v>14</v>
      </c>
      <c r="C11" s="132" t="s">
        <v>240</v>
      </c>
      <c r="D11" s="132" t="s">
        <v>15</v>
      </c>
      <c r="E11" s="139">
        <v>40601</v>
      </c>
      <c r="F11" s="132" t="s">
        <v>16</v>
      </c>
      <c r="G11" s="132" t="s">
        <v>16</v>
      </c>
      <c r="H11" s="132" t="s">
        <v>16</v>
      </c>
      <c r="I11" s="132" t="s">
        <v>148</v>
      </c>
      <c r="J11" s="132" t="s">
        <v>16</v>
      </c>
      <c r="K11" s="132" t="s">
        <v>16</v>
      </c>
      <c r="L11" s="132" t="s">
        <v>16</v>
      </c>
      <c r="M11" s="132" t="s">
        <v>149</v>
      </c>
      <c r="N11" s="132" t="s">
        <v>148</v>
      </c>
      <c r="O11" s="132" t="s">
        <v>148</v>
      </c>
      <c r="P11" s="132" t="s">
        <v>148</v>
      </c>
      <c r="Q11" s="132" t="s">
        <v>16</v>
      </c>
      <c r="R11" s="132" t="s">
        <v>149</v>
      </c>
      <c r="S11" s="132" t="s">
        <v>148</v>
      </c>
      <c r="T11" s="132" t="s">
        <v>16</v>
      </c>
      <c r="U11" s="132" t="s">
        <v>16</v>
      </c>
      <c r="V11" s="132" t="s">
        <v>16</v>
      </c>
      <c r="W11" s="132" t="s">
        <v>16</v>
      </c>
      <c r="X11" s="132" t="s">
        <v>148</v>
      </c>
      <c r="Y11" s="132" t="s">
        <v>16</v>
      </c>
      <c r="Z11" s="132" t="s">
        <v>16</v>
      </c>
      <c r="AA11" s="132" t="s">
        <v>16</v>
      </c>
      <c r="AB11" s="132" t="s">
        <v>16</v>
      </c>
      <c r="AC11" s="132" t="s">
        <v>148</v>
      </c>
      <c r="AD11" s="132" t="s">
        <v>148</v>
      </c>
      <c r="AE11" s="132" t="s">
        <v>249</v>
      </c>
      <c r="AF11" s="132"/>
      <c r="AG11" s="132"/>
    </row>
    <row r="12" spans="1:33" x14ac:dyDescent="0.3">
      <c r="A12" s="132" t="s">
        <v>255</v>
      </c>
      <c r="B12" s="132" t="s">
        <v>14</v>
      </c>
      <c r="C12" s="132" t="s">
        <v>240</v>
      </c>
      <c r="D12" s="132" t="s">
        <v>15</v>
      </c>
      <c r="E12" s="139">
        <v>40601</v>
      </c>
      <c r="F12" s="132" t="s">
        <v>16</v>
      </c>
      <c r="G12" s="132" t="s">
        <v>16</v>
      </c>
      <c r="H12" s="132" t="s">
        <v>16</v>
      </c>
      <c r="I12" s="132" t="s">
        <v>148</v>
      </c>
      <c r="J12" s="132" t="s">
        <v>16</v>
      </c>
      <c r="K12" s="132" t="s">
        <v>16</v>
      </c>
      <c r="L12" s="132" t="s">
        <v>16</v>
      </c>
      <c r="M12" s="132" t="s">
        <v>16</v>
      </c>
      <c r="N12" s="132" t="s">
        <v>148</v>
      </c>
      <c r="O12" s="132" t="s">
        <v>148</v>
      </c>
      <c r="P12" s="132" t="s">
        <v>16</v>
      </c>
      <c r="Q12" s="132" t="s">
        <v>16</v>
      </c>
      <c r="R12" s="132" t="s">
        <v>16</v>
      </c>
      <c r="S12" s="132" t="s">
        <v>16</v>
      </c>
      <c r="T12" s="132" t="s">
        <v>16</v>
      </c>
      <c r="U12" s="132" t="s">
        <v>148</v>
      </c>
      <c r="V12" s="132" t="s">
        <v>16</v>
      </c>
      <c r="W12" s="132" t="s">
        <v>16</v>
      </c>
      <c r="X12" s="132" t="s">
        <v>16</v>
      </c>
      <c r="Y12" s="132" t="s">
        <v>16</v>
      </c>
      <c r="Z12" s="132" t="s">
        <v>16</v>
      </c>
      <c r="AA12" s="132" t="s">
        <v>16</v>
      </c>
      <c r="AB12" s="132" t="s">
        <v>16</v>
      </c>
      <c r="AC12" s="132" t="s">
        <v>148</v>
      </c>
      <c r="AD12" s="132" t="s">
        <v>16</v>
      </c>
      <c r="AE12" s="132" t="s">
        <v>249</v>
      </c>
      <c r="AF12" s="132" t="s">
        <v>256</v>
      </c>
      <c r="AG12" s="132"/>
    </row>
    <row r="13" spans="1:33" x14ac:dyDescent="0.3">
      <c r="A13" s="132" t="s">
        <v>257</v>
      </c>
      <c r="B13" s="132" t="s">
        <v>14</v>
      </c>
      <c r="C13" s="132" t="s">
        <v>240</v>
      </c>
      <c r="D13" s="132" t="s">
        <v>15</v>
      </c>
      <c r="E13" s="139">
        <v>40601</v>
      </c>
      <c r="F13" s="132" t="s">
        <v>16</v>
      </c>
      <c r="G13" s="132" t="s">
        <v>148</v>
      </c>
      <c r="H13" s="132" t="s">
        <v>148</v>
      </c>
      <c r="I13" s="132" t="s">
        <v>150</v>
      </c>
      <c r="J13" s="132" t="s">
        <v>150</v>
      </c>
      <c r="K13" s="132" t="s">
        <v>148</v>
      </c>
      <c r="L13" s="132" t="s">
        <v>148</v>
      </c>
      <c r="M13" s="132" t="s">
        <v>149</v>
      </c>
      <c r="N13" s="132" t="s">
        <v>16</v>
      </c>
      <c r="O13" s="132" t="s">
        <v>16</v>
      </c>
      <c r="P13" s="132" t="s">
        <v>150</v>
      </c>
      <c r="Q13" s="132" t="s">
        <v>16</v>
      </c>
      <c r="R13" s="132" t="s">
        <v>148</v>
      </c>
      <c r="S13" s="132" t="s">
        <v>148</v>
      </c>
      <c r="T13" s="132" t="s">
        <v>150</v>
      </c>
      <c r="U13" s="132" t="s">
        <v>148</v>
      </c>
      <c r="V13" s="132" t="s">
        <v>16</v>
      </c>
      <c r="W13" s="132" t="s">
        <v>16</v>
      </c>
      <c r="X13" s="132" t="s">
        <v>148</v>
      </c>
      <c r="Y13" s="132" t="s">
        <v>148</v>
      </c>
      <c r="Z13" s="132" t="s">
        <v>16</v>
      </c>
      <c r="AA13" s="132" t="s">
        <v>148</v>
      </c>
      <c r="AB13" s="132" t="s">
        <v>16</v>
      </c>
      <c r="AC13" s="132" t="s">
        <v>150</v>
      </c>
      <c r="AD13" s="132" t="s">
        <v>148</v>
      </c>
      <c r="AE13" s="132" t="s">
        <v>251</v>
      </c>
      <c r="AF13" s="132"/>
      <c r="AG13" s="132"/>
    </row>
    <row r="14" spans="1:33" x14ac:dyDescent="0.3">
      <c r="A14" s="132" t="s">
        <v>258</v>
      </c>
      <c r="B14" s="132" t="s">
        <v>14</v>
      </c>
      <c r="C14" s="132" t="s">
        <v>240</v>
      </c>
      <c r="D14" s="132" t="s">
        <v>15</v>
      </c>
      <c r="E14" s="139">
        <v>40601</v>
      </c>
      <c r="F14" s="132" t="s">
        <v>16</v>
      </c>
      <c r="G14" s="132" t="s">
        <v>16</v>
      </c>
      <c r="H14" s="132" t="s">
        <v>16</v>
      </c>
      <c r="I14" s="132" t="s">
        <v>16</v>
      </c>
      <c r="J14" s="132" t="s">
        <v>16</v>
      </c>
      <c r="K14" s="132" t="s">
        <v>16</v>
      </c>
      <c r="L14" s="132" t="s">
        <v>16</v>
      </c>
      <c r="M14" s="132" t="s">
        <v>16</v>
      </c>
      <c r="N14" s="132" t="s">
        <v>16</v>
      </c>
      <c r="O14" s="132" t="s">
        <v>16</v>
      </c>
      <c r="P14" s="132" t="s">
        <v>16</v>
      </c>
      <c r="Q14" s="132" t="s">
        <v>16</v>
      </c>
      <c r="R14" s="132" t="s">
        <v>16</v>
      </c>
      <c r="S14" s="132" t="s">
        <v>16</v>
      </c>
      <c r="T14" s="132" t="s">
        <v>16</v>
      </c>
      <c r="U14" s="132" t="s">
        <v>16</v>
      </c>
      <c r="V14" s="132" t="s">
        <v>16</v>
      </c>
      <c r="W14" s="132" t="s">
        <v>16</v>
      </c>
      <c r="X14" s="132" t="s">
        <v>16</v>
      </c>
      <c r="Y14" s="132" t="s">
        <v>16</v>
      </c>
      <c r="Z14" s="132" t="s">
        <v>16</v>
      </c>
      <c r="AA14" s="132" t="s">
        <v>16</v>
      </c>
      <c r="AB14" s="132" t="s">
        <v>16</v>
      </c>
      <c r="AC14" s="132" t="s">
        <v>16</v>
      </c>
      <c r="AD14" s="132" t="s">
        <v>16</v>
      </c>
      <c r="AE14" s="132"/>
      <c r="AF14" s="132" t="s">
        <v>259</v>
      </c>
      <c r="AG14" s="132"/>
    </row>
    <row r="15" spans="1:33" x14ac:dyDescent="0.3">
      <c r="A15" s="132" t="s">
        <v>260</v>
      </c>
      <c r="B15" s="132" t="s">
        <v>14</v>
      </c>
      <c r="C15" s="132" t="s">
        <v>240</v>
      </c>
      <c r="D15" s="132" t="s">
        <v>15</v>
      </c>
      <c r="E15" s="139">
        <v>40601</v>
      </c>
      <c r="F15" s="132" t="s">
        <v>16</v>
      </c>
      <c r="G15" s="132" t="s">
        <v>16</v>
      </c>
      <c r="H15" s="132" t="s">
        <v>16</v>
      </c>
      <c r="I15" s="132" t="s">
        <v>148</v>
      </c>
      <c r="J15" s="132" t="s">
        <v>148</v>
      </c>
      <c r="K15" s="132" t="s">
        <v>16</v>
      </c>
      <c r="L15" s="132" t="s">
        <v>16</v>
      </c>
      <c r="M15" s="132" t="s">
        <v>16</v>
      </c>
      <c r="N15" s="132" t="s">
        <v>148</v>
      </c>
      <c r="O15" s="132" t="s">
        <v>148</v>
      </c>
      <c r="P15" s="132" t="s">
        <v>148</v>
      </c>
      <c r="Q15" s="132" t="s">
        <v>16</v>
      </c>
      <c r="R15" s="132" t="s">
        <v>16</v>
      </c>
      <c r="S15" s="132" t="s">
        <v>16</v>
      </c>
      <c r="T15" s="132" t="s">
        <v>16</v>
      </c>
      <c r="U15" s="132" t="s">
        <v>16</v>
      </c>
      <c r="V15" s="132" t="s">
        <v>16</v>
      </c>
      <c r="W15" s="132" t="s">
        <v>16</v>
      </c>
      <c r="X15" s="132" t="s">
        <v>148</v>
      </c>
      <c r="Y15" s="132" t="s">
        <v>114</v>
      </c>
      <c r="Z15" s="132" t="s">
        <v>16</v>
      </c>
      <c r="AA15" s="132" t="s">
        <v>148</v>
      </c>
      <c r="AB15" s="132" t="s">
        <v>16</v>
      </c>
      <c r="AC15" s="132" t="s">
        <v>148</v>
      </c>
      <c r="AD15" s="132" t="s">
        <v>148</v>
      </c>
      <c r="AE15" s="132" t="s">
        <v>251</v>
      </c>
      <c r="AF15" s="132" t="s">
        <v>261</v>
      </c>
      <c r="AG15" s="132"/>
    </row>
    <row r="16" spans="1:33" x14ac:dyDescent="0.3">
      <c r="A16" s="132" t="s">
        <v>262</v>
      </c>
      <c r="B16" s="132" t="s">
        <v>14</v>
      </c>
      <c r="C16" s="132" t="s">
        <v>240</v>
      </c>
      <c r="D16" s="132" t="s">
        <v>15</v>
      </c>
      <c r="E16" s="139">
        <v>40601</v>
      </c>
      <c r="F16" s="132" t="s">
        <v>148</v>
      </c>
      <c r="G16" s="132" t="s">
        <v>149</v>
      </c>
      <c r="H16" s="132" t="s">
        <v>151</v>
      </c>
      <c r="I16" s="132" t="s">
        <v>151</v>
      </c>
      <c r="J16" s="132" t="s">
        <v>148</v>
      </c>
      <c r="K16" s="132" t="s">
        <v>151</v>
      </c>
      <c r="L16" s="132" t="s">
        <v>16</v>
      </c>
      <c r="M16" s="132" t="s">
        <v>148</v>
      </c>
      <c r="N16" s="132" t="s">
        <v>16</v>
      </c>
      <c r="O16" s="132" t="s">
        <v>149</v>
      </c>
      <c r="P16" s="132" t="s">
        <v>149</v>
      </c>
      <c r="Q16" s="132" t="s">
        <v>149</v>
      </c>
      <c r="R16" s="132" t="s">
        <v>149</v>
      </c>
      <c r="S16" s="132" t="s">
        <v>148</v>
      </c>
      <c r="T16" s="132" t="s">
        <v>16</v>
      </c>
      <c r="U16" s="132" t="s">
        <v>151</v>
      </c>
      <c r="V16" s="132" t="s">
        <v>149</v>
      </c>
      <c r="W16" s="132" t="s">
        <v>148</v>
      </c>
      <c r="X16" s="132" t="s">
        <v>148</v>
      </c>
      <c r="Y16" s="132" t="s">
        <v>16</v>
      </c>
      <c r="Z16" s="132" t="s">
        <v>151</v>
      </c>
      <c r="AA16" s="132" t="s">
        <v>149</v>
      </c>
      <c r="AB16" s="132" t="s">
        <v>150</v>
      </c>
      <c r="AC16" s="132" t="s">
        <v>151</v>
      </c>
      <c r="AD16" s="132" t="s">
        <v>16</v>
      </c>
      <c r="AE16" s="132" t="s">
        <v>249</v>
      </c>
      <c r="AF16" s="132"/>
      <c r="AG16" s="132"/>
    </row>
    <row r="17" spans="1:33" x14ac:dyDescent="0.3">
      <c r="A17" s="132" t="s">
        <v>263</v>
      </c>
      <c r="B17" s="132" t="s">
        <v>14</v>
      </c>
      <c r="C17" s="132" t="s">
        <v>240</v>
      </c>
      <c r="D17" s="132" t="s">
        <v>15</v>
      </c>
      <c r="E17" s="139">
        <v>40601</v>
      </c>
      <c r="F17" s="132" t="s">
        <v>16</v>
      </c>
      <c r="G17" s="132" t="s">
        <v>16</v>
      </c>
      <c r="H17" s="132" t="s">
        <v>16</v>
      </c>
      <c r="I17" s="132" t="s">
        <v>16</v>
      </c>
      <c r="J17" s="132" t="s">
        <v>16</v>
      </c>
      <c r="K17" s="132" t="s">
        <v>16</v>
      </c>
      <c r="L17" s="132" t="s">
        <v>16</v>
      </c>
      <c r="M17" s="132" t="s">
        <v>16</v>
      </c>
      <c r="N17" s="132" t="s">
        <v>16</v>
      </c>
      <c r="O17" s="132" t="s">
        <v>16</v>
      </c>
      <c r="P17" s="132" t="s">
        <v>16</v>
      </c>
      <c r="Q17" s="132" t="s">
        <v>16</v>
      </c>
      <c r="R17" s="132" t="s">
        <v>16</v>
      </c>
      <c r="S17" s="132" t="s">
        <v>16</v>
      </c>
      <c r="T17" s="132" t="s">
        <v>16</v>
      </c>
      <c r="U17" s="132" t="s">
        <v>16</v>
      </c>
      <c r="V17" s="132" t="s">
        <v>16</v>
      </c>
      <c r="W17" s="132" t="s">
        <v>16</v>
      </c>
      <c r="X17" s="132" t="s">
        <v>16</v>
      </c>
      <c r="Y17" s="132" t="s">
        <v>16</v>
      </c>
      <c r="Z17" s="132" t="s">
        <v>16</v>
      </c>
      <c r="AA17" s="132" t="s">
        <v>16</v>
      </c>
      <c r="AB17" s="132" t="s">
        <v>16</v>
      </c>
      <c r="AC17" s="132" t="s">
        <v>16</v>
      </c>
      <c r="AD17" s="132" t="s">
        <v>16</v>
      </c>
      <c r="AE17" s="132" t="s">
        <v>242</v>
      </c>
      <c r="AF17" s="132"/>
      <c r="AG17" s="132"/>
    </row>
    <row r="18" spans="1:33" x14ac:dyDescent="0.3">
      <c r="A18" s="132" t="s">
        <v>264</v>
      </c>
      <c r="B18" s="132" t="s">
        <v>14</v>
      </c>
      <c r="C18" s="132" t="s">
        <v>240</v>
      </c>
      <c r="D18" s="132" t="s">
        <v>15</v>
      </c>
      <c r="E18" s="139">
        <v>40601</v>
      </c>
      <c r="F18" s="132" t="s">
        <v>16</v>
      </c>
      <c r="G18" s="132" t="s">
        <v>16</v>
      </c>
      <c r="H18" s="132" t="s">
        <v>148</v>
      </c>
      <c r="I18" s="132" t="s">
        <v>148</v>
      </c>
      <c r="J18" s="132" t="s">
        <v>16</v>
      </c>
      <c r="K18" s="132" t="s">
        <v>148</v>
      </c>
      <c r="L18" s="132" t="s">
        <v>16</v>
      </c>
      <c r="M18" s="132" t="s">
        <v>16</v>
      </c>
      <c r="N18" s="132" t="s">
        <v>16</v>
      </c>
      <c r="O18" s="132" t="s">
        <v>16</v>
      </c>
      <c r="P18" s="132" t="s">
        <v>16</v>
      </c>
      <c r="Q18" s="132" t="s">
        <v>16</v>
      </c>
      <c r="R18" s="132" t="s">
        <v>148</v>
      </c>
      <c r="S18" s="132" t="s">
        <v>148</v>
      </c>
      <c r="T18" s="132" t="s">
        <v>148</v>
      </c>
      <c r="U18" s="132" t="s">
        <v>16</v>
      </c>
      <c r="V18" s="132" t="s">
        <v>16</v>
      </c>
      <c r="W18" s="132" t="s">
        <v>16</v>
      </c>
      <c r="X18" s="132" t="s">
        <v>16</v>
      </c>
      <c r="Y18" s="132" t="s">
        <v>16</v>
      </c>
      <c r="Z18" s="132" t="s">
        <v>16</v>
      </c>
      <c r="AA18" s="132" t="s">
        <v>16</v>
      </c>
      <c r="AB18" s="132" t="s">
        <v>114</v>
      </c>
      <c r="AC18" s="132" t="s">
        <v>16</v>
      </c>
      <c r="AD18" s="132" t="s">
        <v>16</v>
      </c>
      <c r="AE18" s="132" t="s">
        <v>251</v>
      </c>
      <c r="AF18" s="132"/>
      <c r="AG18" s="132"/>
    </row>
    <row r="19" spans="1:33" x14ac:dyDescent="0.3">
      <c r="A19" s="132" t="s">
        <v>265</v>
      </c>
      <c r="B19" s="132" t="s">
        <v>14</v>
      </c>
      <c r="C19" s="132" t="s">
        <v>240</v>
      </c>
      <c r="D19" s="132" t="s">
        <v>15</v>
      </c>
      <c r="E19" s="139">
        <v>40601</v>
      </c>
      <c r="F19" s="132" t="s">
        <v>16</v>
      </c>
      <c r="G19" s="132" t="s">
        <v>149</v>
      </c>
      <c r="H19" s="132" t="s">
        <v>148</v>
      </c>
      <c r="I19" s="132" t="s">
        <v>148</v>
      </c>
      <c r="J19" s="132" t="s">
        <v>16</v>
      </c>
      <c r="K19" s="132" t="s">
        <v>148</v>
      </c>
      <c r="L19" s="132" t="s">
        <v>16</v>
      </c>
      <c r="M19" s="132" t="s">
        <v>148</v>
      </c>
      <c r="N19" s="132" t="s">
        <v>16</v>
      </c>
      <c r="O19" s="132" t="s">
        <v>16</v>
      </c>
      <c r="P19" s="132" t="s">
        <v>148</v>
      </c>
      <c r="Q19" s="132" t="s">
        <v>16</v>
      </c>
      <c r="R19" s="132" t="s">
        <v>148</v>
      </c>
      <c r="S19" s="132" t="s">
        <v>148</v>
      </c>
      <c r="T19" s="132" t="s">
        <v>16</v>
      </c>
      <c r="U19" s="132" t="s">
        <v>16</v>
      </c>
      <c r="V19" s="132" t="s">
        <v>16</v>
      </c>
      <c r="W19" s="132" t="s">
        <v>16</v>
      </c>
      <c r="X19" s="132" t="s">
        <v>16</v>
      </c>
      <c r="Y19" s="132" t="s">
        <v>16</v>
      </c>
      <c r="Z19" s="132" t="s">
        <v>148</v>
      </c>
      <c r="AA19" s="132" t="s">
        <v>148</v>
      </c>
      <c r="AB19" s="132" t="s">
        <v>16</v>
      </c>
      <c r="AC19" s="132" t="s">
        <v>148</v>
      </c>
      <c r="AD19" s="132" t="s">
        <v>16</v>
      </c>
      <c r="AE19" s="132" t="s">
        <v>249</v>
      </c>
      <c r="AF19" s="132"/>
      <c r="AG19" s="132"/>
    </row>
    <row r="20" spans="1:33" x14ac:dyDescent="0.3">
      <c r="A20" s="132" t="s">
        <v>266</v>
      </c>
      <c r="B20" s="132" t="s">
        <v>14</v>
      </c>
      <c r="C20" s="132" t="s">
        <v>240</v>
      </c>
      <c r="D20" s="132" t="s">
        <v>15</v>
      </c>
      <c r="E20" s="139">
        <v>40601</v>
      </c>
      <c r="F20" s="132" t="s">
        <v>16</v>
      </c>
      <c r="G20" s="132" t="s">
        <v>16</v>
      </c>
      <c r="H20" s="132" t="s">
        <v>148</v>
      </c>
      <c r="I20" s="132" t="s">
        <v>16</v>
      </c>
      <c r="J20" s="132" t="s">
        <v>149</v>
      </c>
      <c r="K20" s="132" t="s">
        <v>149</v>
      </c>
      <c r="L20" s="132" t="s">
        <v>16</v>
      </c>
      <c r="M20" s="132" t="s">
        <v>16</v>
      </c>
      <c r="N20" s="132" t="s">
        <v>16</v>
      </c>
      <c r="O20" s="132" t="s">
        <v>16</v>
      </c>
      <c r="P20" s="132" t="s">
        <v>16</v>
      </c>
      <c r="Q20" s="132" t="s">
        <v>16</v>
      </c>
      <c r="R20" s="132" t="s">
        <v>16</v>
      </c>
      <c r="S20" s="132" t="s">
        <v>16</v>
      </c>
      <c r="T20" s="132" t="s">
        <v>16</v>
      </c>
      <c r="U20" s="132" t="s">
        <v>16</v>
      </c>
      <c r="V20" s="132" t="s">
        <v>16</v>
      </c>
      <c r="W20" s="132" t="s">
        <v>16</v>
      </c>
      <c r="X20" s="132" t="s">
        <v>16</v>
      </c>
      <c r="Y20" s="132" t="s">
        <v>16</v>
      </c>
      <c r="Z20" s="132" t="s">
        <v>16</v>
      </c>
      <c r="AA20" s="132" t="s">
        <v>16</v>
      </c>
      <c r="AB20" s="132" t="s">
        <v>16</v>
      </c>
      <c r="AC20" s="132" t="s">
        <v>16</v>
      </c>
      <c r="AD20" s="132" t="s">
        <v>16</v>
      </c>
      <c r="AE20" s="132" t="s">
        <v>249</v>
      </c>
      <c r="AF20" s="132"/>
      <c r="AG20" s="132"/>
    </row>
    <row r="21" spans="1:33" x14ac:dyDescent="0.3">
      <c r="A21" s="132" t="s">
        <v>267</v>
      </c>
      <c r="B21" s="132" t="s">
        <v>14</v>
      </c>
      <c r="C21" s="132" t="s">
        <v>240</v>
      </c>
      <c r="D21" s="132" t="s">
        <v>15</v>
      </c>
      <c r="E21" s="139">
        <v>40601</v>
      </c>
      <c r="F21" s="132" t="s">
        <v>16</v>
      </c>
      <c r="G21" s="132" t="s">
        <v>16</v>
      </c>
      <c r="H21" s="132" t="s">
        <v>16</v>
      </c>
      <c r="I21" s="132" t="s">
        <v>16</v>
      </c>
      <c r="J21" s="132" t="s">
        <v>16</v>
      </c>
      <c r="K21" s="132" t="s">
        <v>16</v>
      </c>
      <c r="L21" s="132" t="s">
        <v>16</v>
      </c>
      <c r="M21" s="132" t="s">
        <v>16</v>
      </c>
      <c r="N21" s="132" t="s">
        <v>16</v>
      </c>
      <c r="O21" s="132" t="s">
        <v>148</v>
      </c>
      <c r="P21" s="132" t="s">
        <v>16</v>
      </c>
      <c r="Q21" s="132" t="s">
        <v>16</v>
      </c>
      <c r="R21" s="132" t="s">
        <v>16</v>
      </c>
      <c r="S21" s="132" t="s">
        <v>16</v>
      </c>
      <c r="T21" s="132" t="s">
        <v>16</v>
      </c>
      <c r="U21" s="132" t="s">
        <v>16</v>
      </c>
      <c r="V21" s="132" t="s">
        <v>16</v>
      </c>
      <c r="W21" s="132" t="s">
        <v>16</v>
      </c>
      <c r="X21" s="132" t="s">
        <v>148</v>
      </c>
      <c r="Y21" s="132" t="s">
        <v>16</v>
      </c>
      <c r="Z21" s="132" t="s">
        <v>16</v>
      </c>
      <c r="AA21" s="132" t="s">
        <v>150</v>
      </c>
      <c r="AB21" s="132" t="s">
        <v>16</v>
      </c>
      <c r="AC21" s="132" t="s">
        <v>16</v>
      </c>
      <c r="AD21" s="132" t="s">
        <v>148</v>
      </c>
      <c r="AE21" s="132" t="s">
        <v>242</v>
      </c>
      <c r="AF21" s="132"/>
      <c r="AG21" s="132"/>
    </row>
    <row r="22" spans="1:33" x14ac:dyDescent="0.3">
      <c r="A22" s="132" t="s">
        <v>268</v>
      </c>
      <c r="B22" s="132" t="s">
        <v>14</v>
      </c>
      <c r="C22" s="132" t="s">
        <v>240</v>
      </c>
      <c r="D22" s="132" t="s">
        <v>15</v>
      </c>
      <c r="E22" s="139">
        <v>40601</v>
      </c>
      <c r="F22" s="132" t="s">
        <v>16</v>
      </c>
      <c r="G22" s="132" t="s">
        <v>16</v>
      </c>
      <c r="H22" s="132" t="s">
        <v>16</v>
      </c>
      <c r="I22" s="132" t="s">
        <v>16</v>
      </c>
      <c r="J22" s="132" t="s">
        <v>16</v>
      </c>
      <c r="K22" s="132" t="s">
        <v>16</v>
      </c>
      <c r="L22" s="132" t="s">
        <v>16</v>
      </c>
      <c r="M22" s="132" t="s">
        <v>16</v>
      </c>
      <c r="N22" s="132" t="s">
        <v>16</v>
      </c>
      <c r="O22" s="132" t="s">
        <v>16</v>
      </c>
      <c r="P22" s="132" t="s">
        <v>16</v>
      </c>
      <c r="Q22" s="132" t="s">
        <v>148</v>
      </c>
      <c r="R22" s="132" t="s">
        <v>148</v>
      </c>
      <c r="S22" s="132" t="s">
        <v>16</v>
      </c>
      <c r="T22" s="132" t="s">
        <v>16</v>
      </c>
      <c r="U22" s="132" t="s">
        <v>16</v>
      </c>
      <c r="V22" s="132" t="s">
        <v>16</v>
      </c>
      <c r="W22" s="132" t="s">
        <v>16</v>
      </c>
      <c r="X22" s="132" t="s">
        <v>16</v>
      </c>
      <c r="Y22" s="132" t="s">
        <v>16</v>
      </c>
      <c r="Z22" s="132" t="s">
        <v>16</v>
      </c>
      <c r="AA22" s="132" t="s">
        <v>16</v>
      </c>
      <c r="AB22" s="132" t="s">
        <v>16</v>
      </c>
      <c r="AC22" s="132" t="s">
        <v>148</v>
      </c>
      <c r="AD22" s="132" t="s">
        <v>16</v>
      </c>
      <c r="AE22" s="132" t="s">
        <v>249</v>
      </c>
      <c r="AF22" s="132"/>
      <c r="AG22" s="132"/>
    </row>
    <row r="23" spans="1:33" x14ac:dyDescent="0.3">
      <c r="A23" s="132" t="s">
        <v>269</v>
      </c>
      <c r="B23" s="132" t="s">
        <v>14</v>
      </c>
      <c r="C23" s="132" t="s">
        <v>240</v>
      </c>
      <c r="D23" s="132" t="s">
        <v>15</v>
      </c>
      <c r="E23" s="139">
        <v>40601</v>
      </c>
      <c r="F23" s="132" t="s">
        <v>16</v>
      </c>
      <c r="G23" s="132" t="s">
        <v>16</v>
      </c>
      <c r="H23" s="132" t="s">
        <v>16</v>
      </c>
      <c r="I23" s="132" t="s">
        <v>16</v>
      </c>
      <c r="J23" s="132" t="s">
        <v>16</v>
      </c>
      <c r="K23" s="132" t="s">
        <v>16</v>
      </c>
      <c r="L23" s="132" t="s">
        <v>16</v>
      </c>
      <c r="M23" s="132" t="s">
        <v>148</v>
      </c>
      <c r="N23" s="132" t="s">
        <v>148</v>
      </c>
      <c r="O23" s="132" t="s">
        <v>16</v>
      </c>
      <c r="P23" s="132" t="s">
        <v>16</v>
      </c>
      <c r="Q23" s="132" t="s">
        <v>16</v>
      </c>
      <c r="R23" s="132" t="s">
        <v>16</v>
      </c>
      <c r="S23" s="132" t="s">
        <v>148</v>
      </c>
      <c r="T23" s="132" t="s">
        <v>16</v>
      </c>
      <c r="U23" s="132" t="s">
        <v>148</v>
      </c>
      <c r="V23" s="132" t="s">
        <v>16</v>
      </c>
      <c r="W23" s="132" t="s">
        <v>16</v>
      </c>
      <c r="X23" s="132" t="s">
        <v>114</v>
      </c>
      <c r="Y23" s="132" t="s">
        <v>114</v>
      </c>
      <c r="Z23" s="132" t="s">
        <v>16</v>
      </c>
      <c r="AA23" s="132" t="s">
        <v>16</v>
      </c>
      <c r="AB23" s="132" t="s">
        <v>16</v>
      </c>
      <c r="AC23" s="132" t="s">
        <v>148</v>
      </c>
      <c r="AD23" s="132" t="s">
        <v>16</v>
      </c>
      <c r="AE23" s="132"/>
      <c r="AF23" s="132"/>
      <c r="AG23" s="132"/>
    </row>
    <row r="24" spans="1:33" x14ac:dyDescent="0.3">
      <c r="A24" s="132" t="s">
        <v>270</v>
      </c>
      <c r="B24" s="132" t="s">
        <v>14</v>
      </c>
      <c r="C24" s="132" t="s">
        <v>240</v>
      </c>
      <c r="D24" s="132" t="s">
        <v>15</v>
      </c>
      <c r="E24" s="139">
        <v>40601</v>
      </c>
      <c r="F24" s="132" t="s">
        <v>16</v>
      </c>
      <c r="G24" s="132" t="s">
        <v>16</v>
      </c>
      <c r="H24" s="132" t="s">
        <v>16</v>
      </c>
      <c r="I24" s="132" t="s">
        <v>148</v>
      </c>
      <c r="J24" s="132" t="s">
        <v>148</v>
      </c>
      <c r="K24" s="132" t="s">
        <v>16</v>
      </c>
      <c r="L24" s="132" t="s">
        <v>16</v>
      </c>
      <c r="M24" s="132" t="s">
        <v>16</v>
      </c>
      <c r="N24" s="132" t="s">
        <v>148</v>
      </c>
      <c r="O24" s="132" t="s">
        <v>16</v>
      </c>
      <c r="P24" s="132" t="s">
        <v>16</v>
      </c>
      <c r="Q24" s="132" t="s">
        <v>16</v>
      </c>
      <c r="R24" s="132" t="s">
        <v>16</v>
      </c>
      <c r="S24" s="132" t="s">
        <v>16</v>
      </c>
      <c r="T24" s="132" t="s">
        <v>16</v>
      </c>
      <c r="U24" s="132" t="s">
        <v>148</v>
      </c>
      <c r="V24" s="132" t="s">
        <v>148</v>
      </c>
      <c r="W24" s="132" t="s">
        <v>16</v>
      </c>
      <c r="X24" s="132" t="s">
        <v>16</v>
      </c>
      <c r="Y24" s="132" t="s">
        <v>16</v>
      </c>
      <c r="Z24" s="132" t="s">
        <v>16</v>
      </c>
      <c r="AA24" s="132" t="s">
        <v>148</v>
      </c>
      <c r="AB24" s="132" t="s">
        <v>16</v>
      </c>
      <c r="AC24" s="132" t="s">
        <v>148</v>
      </c>
      <c r="AD24" s="132" t="s">
        <v>16</v>
      </c>
      <c r="AE24" s="132" t="s">
        <v>249</v>
      </c>
      <c r="AF24" s="132"/>
      <c r="AG24" s="132"/>
    </row>
    <row r="25" spans="1:33" x14ac:dyDescent="0.3">
      <c r="A25" s="132" t="s">
        <v>271</v>
      </c>
      <c r="B25" s="132" t="s">
        <v>14</v>
      </c>
      <c r="C25" s="132" t="s">
        <v>240</v>
      </c>
      <c r="D25" s="132" t="s">
        <v>15</v>
      </c>
      <c r="E25" s="139">
        <v>40601</v>
      </c>
      <c r="F25" s="132" t="s">
        <v>16</v>
      </c>
      <c r="G25" s="132" t="s">
        <v>16</v>
      </c>
      <c r="H25" s="132" t="s">
        <v>16</v>
      </c>
      <c r="I25" s="132" t="s">
        <v>16</v>
      </c>
      <c r="J25" s="132" t="s">
        <v>16</v>
      </c>
      <c r="K25" s="132" t="s">
        <v>16</v>
      </c>
      <c r="L25" s="132" t="s">
        <v>148</v>
      </c>
      <c r="M25" s="132" t="s">
        <v>16</v>
      </c>
      <c r="N25" s="132" t="s">
        <v>16</v>
      </c>
      <c r="O25" s="132" t="s">
        <v>16</v>
      </c>
      <c r="P25" s="132" t="s">
        <v>16</v>
      </c>
      <c r="Q25" s="132" t="s">
        <v>16</v>
      </c>
      <c r="R25" s="132" t="s">
        <v>16</v>
      </c>
      <c r="S25" s="132" t="s">
        <v>16</v>
      </c>
      <c r="T25" s="132" t="s">
        <v>16</v>
      </c>
      <c r="U25" s="132" t="s">
        <v>16</v>
      </c>
      <c r="V25" s="132" t="s">
        <v>148</v>
      </c>
      <c r="W25" s="132" t="s">
        <v>16</v>
      </c>
      <c r="X25" s="132" t="s">
        <v>16</v>
      </c>
      <c r="Y25" s="132" t="s">
        <v>16</v>
      </c>
      <c r="Z25" s="132" t="s">
        <v>16</v>
      </c>
      <c r="AA25" s="132" t="s">
        <v>148</v>
      </c>
      <c r="AB25" s="132" t="s">
        <v>16</v>
      </c>
      <c r="AC25" s="132" t="s">
        <v>16</v>
      </c>
      <c r="AD25" s="132" t="s">
        <v>148</v>
      </c>
      <c r="AE25" s="132" t="s">
        <v>242</v>
      </c>
      <c r="AF25" s="132"/>
      <c r="AG25" s="132"/>
    </row>
    <row r="26" spans="1:33" x14ac:dyDescent="0.3">
      <c r="A26" s="132" t="s">
        <v>272</v>
      </c>
      <c r="B26" s="132" t="s">
        <v>14</v>
      </c>
      <c r="C26" s="132" t="s">
        <v>240</v>
      </c>
      <c r="D26" s="132" t="s">
        <v>15</v>
      </c>
      <c r="E26" s="139">
        <v>40601</v>
      </c>
      <c r="F26" s="132" t="s">
        <v>16</v>
      </c>
      <c r="G26" s="132" t="s">
        <v>16</v>
      </c>
      <c r="H26" s="132" t="s">
        <v>16</v>
      </c>
      <c r="I26" s="132" t="s">
        <v>16</v>
      </c>
      <c r="J26" s="132" t="s">
        <v>16</v>
      </c>
      <c r="K26" s="132" t="s">
        <v>16</v>
      </c>
      <c r="L26" s="132" t="s">
        <v>16</v>
      </c>
      <c r="M26" s="132" t="s">
        <v>16</v>
      </c>
      <c r="N26" s="132" t="s">
        <v>16</v>
      </c>
      <c r="O26" s="132" t="s">
        <v>16</v>
      </c>
      <c r="P26" s="132" t="s">
        <v>16</v>
      </c>
      <c r="Q26" s="132" t="s">
        <v>16</v>
      </c>
      <c r="R26" s="132" t="s">
        <v>16</v>
      </c>
      <c r="S26" s="132" t="s">
        <v>16</v>
      </c>
      <c r="T26" s="132" t="s">
        <v>16</v>
      </c>
      <c r="U26" s="132" t="s">
        <v>16</v>
      </c>
      <c r="V26" s="132" t="s">
        <v>16</v>
      </c>
      <c r="W26" s="132" t="s">
        <v>16</v>
      </c>
      <c r="X26" s="132" t="s">
        <v>16</v>
      </c>
      <c r="Y26" s="132" t="s">
        <v>16</v>
      </c>
      <c r="Z26" s="132" t="s">
        <v>16</v>
      </c>
      <c r="AA26" s="132" t="s">
        <v>16</v>
      </c>
      <c r="AB26" s="132" t="s">
        <v>16</v>
      </c>
      <c r="AC26" s="132" t="s">
        <v>16</v>
      </c>
      <c r="AD26" s="132" t="s">
        <v>16</v>
      </c>
      <c r="AE26" s="132" t="s">
        <v>249</v>
      </c>
      <c r="AF26" s="132"/>
      <c r="AG26" s="132"/>
    </row>
    <row r="27" spans="1:33" x14ac:dyDescent="0.3">
      <c r="A27" s="132" t="s">
        <v>273</v>
      </c>
      <c r="B27" s="132" t="s">
        <v>14</v>
      </c>
      <c r="C27" s="132" t="s">
        <v>240</v>
      </c>
      <c r="D27" s="132" t="s">
        <v>15</v>
      </c>
      <c r="E27" s="139">
        <v>40601</v>
      </c>
      <c r="F27" s="132" t="s">
        <v>16</v>
      </c>
      <c r="G27" s="132" t="s">
        <v>148</v>
      </c>
      <c r="H27" s="132" t="s">
        <v>148</v>
      </c>
      <c r="I27" s="132" t="s">
        <v>16</v>
      </c>
      <c r="J27" s="132" t="s">
        <v>16</v>
      </c>
      <c r="K27" s="132" t="s">
        <v>16</v>
      </c>
      <c r="L27" s="132" t="s">
        <v>16</v>
      </c>
      <c r="M27" s="132" t="s">
        <v>148</v>
      </c>
      <c r="N27" s="132" t="s">
        <v>150</v>
      </c>
      <c r="O27" s="132" t="s">
        <v>16</v>
      </c>
      <c r="P27" s="132" t="s">
        <v>148</v>
      </c>
      <c r="Q27" s="132" t="s">
        <v>16</v>
      </c>
      <c r="R27" s="132" t="s">
        <v>16</v>
      </c>
      <c r="S27" s="132" t="s">
        <v>148</v>
      </c>
      <c r="T27" s="132" t="s">
        <v>148</v>
      </c>
      <c r="U27" s="132" t="s">
        <v>16</v>
      </c>
      <c r="V27" s="132" t="s">
        <v>16</v>
      </c>
      <c r="W27" s="132" t="s">
        <v>16</v>
      </c>
      <c r="X27" s="132" t="s">
        <v>16</v>
      </c>
      <c r="Y27" s="132" t="s">
        <v>16</v>
      </c>
      <c r="Z27" s="132" t="s">
        <v>148</v>
      </c>
      <c r="AA27" s="132" t="s">
        <v>150</v>
      </c>
      <c r="AB27" s="132" t="s">
        <v>16</v>
      </c>
      <c r="AC27" s="132" t="s">
        <v>148</v>
      </c>
      <c r="AD27" s="132" t="s">
        <v>148</v>
      </c>
      <c r="AE27" s="132" t="s">
        <v>251</v>
      </c>
      <c r="AF27" s="132" t="s">
        <v>274</v>
      </c>
      <c r="AG27" s="132"/>
    </row>
    <row r="28" spans="1:33" x14ac:dyDescent="0.3">
      <c r="A28" s="132" t="s">
        <v>275</v>
      </c>
      <c r="B28" s="132" t="s">
        <v>14</v>
      </c>
      <c r="C28" s="132" t="s">
        <v>240</v>
      </c>
      <c r="D28" s="132" t="s">
        <v>15</v>
      </c>
      <c r="E28" s="139">
        <v>40601</v>
      </c>
      <c r="F28" s="132" t="s">
        <v>16</v>
      </c>
      <c r="G28" s="132" t="s">
        <v>148</v>
      </c>
      <c r="H28" s="132" t="s">
        <v>16</v>
      </c>
      <c r="I28" s="132" t="s">
        <v>16</v>
      </c>
      <c r="J28" s="132" t="s">
        <v>16</v>
      </c>
      <c r="K28" s="132" t="s">
        <v>16</v>
      </c>
      <c r="L28" s="132" t="s">
        <v>16</v>
      </c>
      <c r="M28" s="132" t="s">
        <v>16</v>
      </c>
      <c r="N28" s="132" t="s">
        <v>16</v>
      </c>
      <c r="O28" s="132" t="s">
        <v>16</v>
      </c>
      <c r="P28" s="132" t="s">
        <v>16</v>
      </c>
      <c r="Q28" s="132" t="s">
        <v>16</v>
      </c>
      <c r="R28" s="132" t="s">
        <v>16</v>
      </c>
      <c r="S28" s="132" t="s">
        <v>16</v>
      </c>
      <c r="T28" s="132" t="s">
        <v>16</v>
      </c>
      <c r="U28" s="132" t="s">
        <v>16</v>
      </c>
      <c r="V28" s="132" t="s">
        <v>16</v>
      </c>
      <c r="W28" s="132" t="s">
        <v>16</v>
      </c>
      <c r="X28" s="132" t="s">
        <v>16</v>
      </c>
      <c r="Y28" s="132" t="s">
        <v>16</v>
      </c>
      <c r="Z28" s="132" t="s">
        <v>16</v>
      </c>
      <c r="AA28" s="132" t="s">
        <v>16</v>
      </c>
      <c r="AB28" s="132" t="s">
        <v>16</v>
      </c>
      <c r="AC28" s="132" t="s">
        <v>16</v>
      </c>
      <c r="AD28" s="132" t="s">
        <v>16</v>
      </c>
      <c r="AE28" s="132" t="s">
        <v>242</v>
      </c>
      <c r="AF28" s="132"/>
      <c r="AG28" s="132"/>
    </row>
    <row r="29" spans="1:33" x14ac:dyDescent="0.3">
      <c r="A29" s="132" t="s">
        <v>276</v>
      </c>
      <c r="B29" s="132" t="s">
        <v>14</v>
      </c>
      <c r="C29" s="132" t="s">
        <v>240</v>
      </c>
      <c r="D29" s="132" t="s">
        <v>15</v>
      </c>
      <c r="E29" s="139">
        <v>40601</v>
      </c>
      <c r="F29" s="132" t="s">
        <v>16</v>
      </c>
      <c r="G29" s="132" t="s">
        <v>16</v>
      </c>
      <c r="H29" s="132" t="s">
        <v>16</v>
      </c>
      <c r="I29" s="132" t="s">
        <v>148</v>
      </c>
      <c r="J29" s="132" t="s">
        <v>148</v>
      </c>
      <c r="K29" s="132" t="s">
        <v>16</v>
      </c>
      <c r="L29" s="132" t="s">
        <v>16</v>
      </c>
      <c r="M29" s="132" t="s">
        <v>16</v>
      </c>
      <c r="N29" s="132" t="s">
        <v>148</v>
      </c>
      <c r="O29" s="132" t="s">
        <v>16</v>
      </c>
      <c r="P29" s="132" t="s">
        <v>148</v>
      </c>
      <c r="Q29" s="132" t="s">
        <v>16</v>
      </c>
      <c r="R29" s="132" t="s">
        <v>16</v>
      </c>
      <c r="S29" s="132" t="s">
        <v>148</v>
      </c>
      <c r="T29" s="132" t="s">
        <v>16</v>
      </c>
      <c r="U29" s="132" t="s">
        <v>16</v>
      </c>
      <c r="V29" s="132" t="s">
        <v>16</v>
      </c>
      <c r="W29" s="132" t="s">
        <v>16</v>
      </c>
      <c r="X29" s="132" t="s">
        <v>16</v>
      </c>
      <c r="Y29" s="132" t="s">
        <v>16</v>
      </c>
      <c r="Z29" s="132" t="s">
        <v>16</v>
      </c>
      <c r="AA29" s="132" t="s">
        <v>148</v>
      </c>
      <c r="AB29" s="132" t="s">
        <v>16</v>
      </c>
      <c r="AC29" s="132" t="s">
        <v>148</v>
      </c>
      <c r="AD29" s="132" t="s">
        <v>148</v>
      </c>
      <c r="AE29" s="132" t="s">
        <v>277</v>
      </c>
      <c r="AF29" s="132"/>
      <c r="AG29" s="132"/>
    </row>
    <row r="30" spans="1:33" x14ac:dyDescent="0.3">
      <c r="A30" s="132" t="s">
        <v>278</v>
      </c>
      <c r="B30" s="132" t="s">
        <v>14</v>
      </c>
      <c r="C30" s="132" t="s">
        <v>240</v>
      </c>
      <c r="D30" s="132" t="s">
        <v>15</v>
      </c>
      <c r="E30" s="139">
        <v>40601</v>
      </c>
      <c r="F30" s="132" t="s">
        <v>148</v>
      </c>
      <c r="G30" s="132" t="s">
        <v>148</v>
      </c>
      <c r="H30" s="132" t="s">
        <v>148</v>
      </c>
      <c r="I30" s="132" t="s">
        <v>150</v>
      </c>
      <c r="J30" s="132" t="s">
        <v>16</v>
      </c>
      <c r="K30" s="132" t="s">
        <v>148</v>
      </c>
      <c r="L30" s="132" t="s">
        <v>16</v>
      </c>
      <c r="M30" s="132" t="s">
        <v>16</v>
      </c>
      <c r="N30" s="132" t="s">
        <v>148</v>
      </c>
      <c r="O30" s="132" t="s">
        <v>148</v>
      </c>
      <c r="P30" s="132" t="s">
        <v>150</v>
      </c>
      <c r="Q30" s="132" t="s">
        <v>16</v>
      </c>
      <c r="R30" s="132" t="s">
        <v>16</v>
      </c>
      <c r="S30" s="132" t="s">
        <v>148</v>
      </c>
      <c r="T30" s="132" t="s">
        <v>148</v>
      </c>
      <c r="U30" s="132" t="s">
        <v>150</v>
      </c>
      <c r="V30" s="132" t="s">
        <v>16</v>
      </c>
      <c r="W30" s="132" t="s">
        <v>16</v>
      </c>
      <c r="X30" s="132" t="s">
        <v>16</v>
      </c>
      <c r="Y30" s="132" t="s">
        <v>149</v>
      </c>
      <c r="Z30" s="132" t="s">
        <v>148</v>
      </c>
      <c r="AA30" s="132" t="s">
        <v>150</v>
      </c>
      <c r="AB30" s="132" t="s">
        <v>16</v>
      </c>
      <c r="AC30" s="132" t="s">
        <v>148</v>
      </c>
      <c r="AD30" s="132" t="s">
        <v>148</v>
      </c>
      <c r="AE30" s="132" t="s">
        <v>279</v>
      </c>
      <c r="AF30" s="132"/>
      <c r="AG30" s="132"/>
    </row>
    <row r="31" spans="1:33" x14ac:dyDescent="0.3">
      <c r="A31" s="132" t="s">
        <v>280</v>
      </c>
      <c r="B31" s="132" t="s">
        <v>14</v>
      </c>
      <c r="C31" s="132" t="s">
        <v>240</v>
      </c>
      <c r="D31" s="132" t="s">
        <v>15</v>
      </c>
      <c r="E31" s="139">
        <v>40601</v>
      </c>
      <c r="F31" s="132" t="s">
        <v>16</v>
      </c>
      <c r="G31" s="132" t="s">
        <v>16</v>
      </c>
      <c r="H31" s="132" t="s">
        <v>16</v>
      </c>
      <c r="I31" s="132" t="s">
        <v>16</v>
      </c>
      <c r="J31" s="132" t="s">
        <v>16</v>
      </c>
      <c r="K31" s="132" t="s">
        <v>16</v>
      </c>
      <c r="L31" s="132" t="s">
        <v>148</v>
      </c>
      <c r="M31" s="132" t="s">
        <v>16</v>
      </c>
      <c r="N31" s="132" t="s">
        <v>149</v>
      </c>
      <c r="O31" s="132" t="s">
        <v>16</v>
      </c>
      <c r="P31" s="132" t="s">
        <v>148</v>
      </c>
      <c r="Q31" s="132" t="s">
        <v>16</v>
      </c>
      <c r="R31" s="132" t="s">
        <v>16</v>
      </c>
      <c r="S31" s="132" t="s">
        <v>149</v>
      </c>
      <c r="T31" s="132" t="s">
        <v>149</v>
      </c>
      <c r="U31" s="132" t="s">
        <v>148</v>
      </c>
      <c r="V31" s="132" t="s">
        <v>148</v>
      </c>
      <c r="W31" s="132" t="s">
        <v>16</v>
      </c>
      <c r="X31" s="132" t="s">
        <v>16</v>
      </c>
      <c r="Y31" s="132" t="s">
        <v>16</v>
      </c>
      <c r="Z31" s="132" t="s">
        <v>149</v>
      </c>
      <c r="AA31" s="132" t="s">
        <v>16</v>
      </c>
      <c r="AB31" s="132" t="s">
        <v>148</v>
      </c>
      <c r="AC31" s="132" t="s">
        <v>148</v>
      </c>
      <c r="AD31" s="132" t="s">
        <v>16</v>
      </c>
      <c r="AE31" s="132" t="s">
        <v>251</v>
      </c>
      <c r="AF31" s="132"/>
      <c r="AG31" s="132"/>
    </row>
    <row r="32" spans="1:33" x14ac:dyDescent="0.3">
      <c r="A32" s="132" t="s">
        <v>281</v>
      </c>
      <c r="B32" s="132" t="s">
        <v>14</v>
      </c>
      <c r="C32" s="132" t="s">
        <v>240</v>
      </c>
      <c r="D32" s="132" t="s">
        <v>15</v>
      </c>
      <c r="E32" s="139">
        <v>40601</v>
      </c>
      <c r="F32" s="132" t="s">
        <v>16</v>
      </c>
      <c r="G32" s="132" t="s">
        <v>16</v>
      </c>
      <c r="H32" s="132" t="s">
        <v>16</v>
      </c>
      <c r="I32" s="132" t="s">
        <v>148</v>
      </c>
      <c r="J32" s="132" t="s">
        <v>148</v>
      </c>
      <c r="K32" s="132" t="s">
        <v>16</v>
      </c>
      <c r="L32" s="132" t="s">
        <v>16</v>
      </c>
      <c r="M32" s="132" t="s">
        <v>16</v>
      </c>
      <c r="N32" s="132" t="s">
        <v>148</v>
      </c>
      <c r="O32" s="132" t="s">
        <v>16</v>
      </c>
      <c r="P32" s="132" t="s">
        <v>16</v>
      </c>
      <c r="Q32" s="132" t="s">
        <v>16</v>
      </c>
      <c r="R32" s="132" t="s">
        <v>16</v>
      </c>
      <c r="S32" s="132" t="s">
        <v>16</v>
      </c>
      <c r="T32" s="132" t="s">
        <v>16</v>
      </c>
      <c r="U32" s="132" t="s">
        <v>16</v>
      </c>
      <c r="V32" s="132" t="s">
        <v>16</v>
      </c>
      <c r="W32" s="132" t="s">
        <v>16</v>
      </c>
      <c r="X32" s="132" t="s">
        <v>16</v>
      </c>
      <c r="Y32" s="132" t="s">
        <v>16</v>
      </c>
      <c r="Z32" s="132" t="s">
        <v>16</v>
      </c>
      <c r="AA32" s="132" t="s">
        <v>16</v>
      </c>
      <c r="AB32" s="132" t="s">
        <v>16</v>
      </c>
      <c r="AC32" s="132" t="s">
        <v>16</v>
      </c>
      <c r="AD32" s="132" t="s">
        <v>16</v>
      </c>
      <c r="AE32" s="132" t="s">
        <v>249</v>
      </c>
      <c r="AF32" s="132"/>
      <c r="AG32" s="132"/>
    </row>
    <row r="33" spans="1:33" x14ac:dyDescent="0.3">
      <c r="A33" s="132" t="s">
        <v>282</v>
      </c>
      <c r="B33" s="132" t="s">
        <v>14</v>
      </c>
      <c r="C33" s="132" t="s">
        <v>240</v>
      </c>
      <c r="D33" s="132" t="s">
        <v>15</v>
      </c>
      <c r="E33" s="139">
        <v>40601</v>
      </c>
      <c r="F33" s="132" t="s">
        <v>16</v>
      </c>
      <c r="G33" s="132" t="s">
        <v>16</v>
      </c>
      <c r="H33" s="132" t="s">
        <v>16</v>
      </c>
      <c r="I33" s="132" t="s">
        <v>16</v>
      </c>
      <c r="J33" s="132" t="s">
        <v>16</v>
      </c>
      <c r="K33" s="132" t="s">
        <v>16</v>
      </c>
      <c r="L33" s="132" t="s">
        <v>16</v>
      </c>
      <c r="M33" s="132" t="s">
        <v>16</v>
      </c>
      <c r="N33" s="132" t="s">
        <v>16</v>
      </c>
      <c r="O33" s="132" t="s">
        <v>16</v>
      </c>
      <c r="P33" s="132" t="s">
        <v>16</v>
      </c>
      <c r="Q33" s="132" t="s">
        <v>16</v>
      </c>
      <c r="R33" s="132" t="s">
        <v>16</v>
      </c>
      <c r="S33" s="132" t="s">
        <v>16</v>
      </c>
      <c r="T33" s="132" t="s">
        <v>16</v>
      </c>
      <c r="U33" s="132" t="s">
        <v>16</v>
      </c>
      <c r="V33" s="132" t="s">
        <v>16</v>
      </c>
      <c r="W33" s="132" t="s">
        <v>16</v>
      </c>
      <c r="X33" s="132" t="s">
        <v>16</v>
      </c>
      <c r="Y33" s="132" t="s">
        <v>16</v>
      </c>
      <c r="Z33" s="132" t="s">
        <v>16</v>
      </c>
      <c r="AA33" s="132" t="s">
        <v>16</v>
      </c>
      <c r="AB33" s="132" t="s">
        <v>16</v>
      </c>
      <c r="AC33" s="132" t="s">
        <v>16</v>
      </c>
      <c r="AD33" s="132" t="s">
        <v>16</v>
      </c>
      <c r="AE33" s="132" t="s">
        <v>249</v>
      </c>
      <c r="AF33" s="132"/>
      <c r="AG33" s="132"/>
    </row>
    <row r="34" spans="1:33" x14ac:dyDescent="0.3">
      <c r="A34" s="132" t="s">
        <v>283</v>
      </c>
      <c r="B34" s="132" t="s">
        <v>14</v>
      </c>
      <c r="C34" s="132" t="s">
        <v>240</v>
      </c>
      <c r="D34" s="132" t="s">
        <v>15</v>
      </c>
      <c r="E34" s="139">
        <v>40601</v>
      </c>
      <c r="F34" s="132" t="s">
        <v>16</v>
      </c>
      <c r="G34" s="132" t="s">
        <v>148</v>
      </c>
      <c r="H34" s="132" t="s">
        <v>16</v>
      </c>
      <c r="I34" s="132" t="s">
        <v>148</v>
      </c>
      <c r="J34" s="132" t="s">
        <v>148</v>
      </c>
      <c r="K34" s="132" t="s">
        <v>148</v>
      </c>
      <c r="L34" s="132" t="s">
        <v>16</v>
      </c>
      <c r="M34" s="132" t="s">
        <v>16</v>
      </c>
      <c r="N34" s="132" t="s">
        <v>148</v>
      </c>
      <c r="O34" s="132" t="s">
        <v>148</v>
      </c>
      <c r="P34" s="132" t="s">
        <v>148</v>
      </c>
      <c r="Q34" s="132" t="s">
        <v>16</v>
      </c>
      <c r="R34" s="132" t="s">
        <v>16</v>
      </c>
      <c r="S34" s="132" t="s">
        <v>148</v>
      </c>
      <c r="T34" s="132" t="s">
        <v>16</v>
      </c>
      <c r="U34" s="132" t="s">
        <v>148</v>
      </c>
      <c r="V34" s="132" t="s">
        <v>16</v>
      </c>
      <c r="W34" s="132" t="s">
        <v>16</v>
      </c>
      <c r="X34" s="132" t="s">
        <v>16</v>
      </c>
      <c r="Y34" s="132" t="s">
        <v>16</v>
      </c>
      <c r="Z34" s="132" t="s">
        <v>16</v>
      </c>
      <c r="AA34" s="132" t="s">
        <v>16</v>
      </c>
      <c r="AB34" s="132" t="s">
        <v>148</v>
      </c>
      <c r="AC34" s="132" t="s">
        <v>148</v>
      </c>
      <c r="AD34" s="132" t="s">
        <v>16</v>
      </c>
      <c r="AE34" s="132" t="s">
        <v>242</v>
      </c>
      <c r="AF34" s="132" t="s">
        <v>284</v>
      </c>
      <c r="AG34" s="132"/>
    </row>
    <row r="35" spans="1:33" x14ac:dyDescent="0.3">
      <c r="A35" s="132" t="s">
        <v>285</v>
      </c>
      <c r="B35" s="132" t="s">
        <v>14</v>
      </c>
      <c r="C35" s="132" t="s">
        <v>240</v>
      </c>
      <c r="D35" s="132" t="s">
        <v>15</v>
      </c>
      <c r="E35" s="139">
        <v>40601</v>
      </c>
      <c r="F35" s="132" t="s">
        <v>148</v>
      </c>
      <c r="G35" s="132" t="s">
        <v>16</v>
      </c>
      <c r="H35" s="132" t="s">
        <v>151</v>
      </c>
      <c r="I35" s="132" t="s">
        <v>150</v>
      </c>
      <c r="J35" s="132" t="s">
        <v>150</v>
      </c>
      <c r="K35" s="132" t="s">
        <v>16</v>
      </c>
      <c r="L35" s="132" t="s">
        <v>16</v>
      </c>
      <c r="M35" s="132" t="s">
        <v>16</v>
      </c>
      <c r="N35" s="132" t="s">
        <v>16</v>
      </c>
      <c r="O35" s="132" t="s">
        <v>16</v>
      </c>
      <c r="P35" s="132" t="s">
        <v>16</v>
      </c>
      <c r="Q35" s="132" t="s">
        <v>16</v>
      </c>
      <c r="R35" s="132" t="s">
        <v>16</v>
      </c>
      <c r="S35" s="132" t="s">
        <v>16</v>
      </c>
      <c r="T35" s="132" t="s">
        <v>16</v>
      </c>
      <c r="U35" s="132" t="s">
        <v>16</v>
      </c>
      <c r="V35" s="132" t="s">
        <v>16</v>
      </c>
      <c r="W35" s="132" t="s">
        <v>16</v>
      </c>
      <c r="X35" s="132" t="s">
        <v>150</v>
      </c>
      <c r="Y35" s="132" t="s">
        <v>16</v>
      </c>
      <c r="Z35" s="132" t="s">
        <v>16</v>
      </c>
      <c r="AA35" s="132" t="s">
        <v>16</v>
      </c>
      <c r="AB35" s="132" t="s">
        <v>16</v>
      </c>
      <c r="AC35" s="132" t="s">
        <v>150</v>
      </c>
      <c r="AD35" s="132" t="s">
        <v>148</v>
      </c>
      <c r="AE35" s="132" t="s">
        <v>249</v>
      </c>
      <c r="AF35" s="132"/>
      <c r="AG35" s="132"/>
    </row>
    <row r="36" spans="1:33" x14ac:dyDescent="0.3">
      <c r="A36" s="132" t="s">
        <v>286</v>
      </c>
      <c r="B36" s="132" t="s">
        <v>14</v>
      </c>
      <c r="C36" s="132" t="s">
        <v>240</v>
      </c>
      <c r="D36" s="132" t="s">
        <v>15</v>
      </c>
      <c r="E36" s="139">
        <v>40601</v>
      </c>
      <c r="F36" s="132" t="s">
        <v>16</v>
      </c>
      <c r="G36" s="132" t="s">
        <v>16</v>
      </c>
      <c r="H36" s="132" t="s">
        <v>16</v>
      </c>
      <c r="I36" s="132" t="s">
        <v>16</v>
      </c>
      <c r="J36" s="132" t="s">
        <v>16</v>
      </c>
      <c r="K36" s="132" t="s">
        <v>16</v>
      </c>
      <c r="L36" s="132" t="s">
        <v>16</v>
      </c>
      <c r="M36" s="132" t="s">
        <v>148</v>
      </c>
      <c r="N36" s="132" t="s">
        <v>16</v>
      </c>
      <c r="O36" s="132" t="s">
        <v>16</v>
      </c>
      <c r="P36" s="132" t="s">
        <v>16</v>
      </c>
      <c r="Q36" s="132" t="s">
        <v>16</v>
      </c>
      <c r="R36" s="132" t="s">
        <v>16</v>
      </c>
      <c r="S36" s="132" t="s">
        <v>16</v>
      </c>
      <c r="T36" s="132" t="s">
        <v>16</v>
      </c>
      <c r="U36" s="132" t="s">
        <v>16</v>
      </c>
      <c r="V36" s="132" t="s">
        <v>148</v>
      </c>
      <c r="W36" s="132" t="s">
        <v>16</v>
      </c>
      <c r="X36" s="132" t="s">
        <v>16</v>
      </c>
      <c r="Y36" s="132" t="s">
        <v>16</v>
      </c>
      <c r="Z36" s="132" t="s">
        <v>16</v>
      </c>
      <c r="AA36" s="132" t="s">
        <v>16</v>
      </c>
      <c r="AB36" s="132" t="s">
        <v>16</v>
      </c>
      <c r="AC36" s="132" t="s">
        <v>148</v>
      </c>
      <c r="AD36" s="132" t="s">
        <v>16</v>
      </c>
      <c r="AE36" s="132" t="s">
        <v>251</v>
      </c>
      <c r="AF36" s="132"/>
      <c r="AG36" s="132"/>
    </row>
    <row r="37" spans="1:33" x14ac:dyDescent="0.3">
      <c r="A37" s="132" t="s">
        <v>287</v>
      </c>
      <c r="B37" s="132" t="s">
        <v>14</v>
      </c>
      <c r="C37" s="132" t="s">
        <v>240</v>
      </c>
      <c r="D37" s="132" t="s">
        <v>15</v>
      </c>
      <c r="E37" s="139">
        <v>40601</v>
      </c>
      <c r="F37" s="132" t="s">
        <v>148</v>
      </c>
      <c r="G37" s="132" t="s">
        <v>149</v>
      </c>
      <c r="H37" s="132" t="s">
        <v>150</v>
      </c>
      <c r="I37" s="132" t="s">
        <v>148</v>
      </c>
      <c r="J37" s="132" t="s">
        <v>148</v>
      </c>
      <c r="K37" s="132" t="s">
        <v>148</v>
      </c>
      <c r="L37" s="132" t="s">
        <v>148</v>
      </c>
      <c r="M37" s="132" t="s">
        <v>148</v>
      </c>
      <c r="N37" s="132" t="s">
        <v>150</v>
      </c>
      <c r="O37" s="132" t="s">
        <v>150</v>
      </c>
      <c r="P37" s="132" t="s">
        <v>148</v>
      </c>
      <c r="Q37" s="132" t="s">
        <v>148</v>
      </c>
      <c r="R37" s="132" t="s">
        <v>148</v>
      </c>
      <c r="S37" s="132" t="s">
        <v>148</v>
      </c>
      <c r="T37" s="132" t="s">
        <v>148</v>
      </c>
      <c r="U37" s="132" t="s">
        <v>148</v>
      </c>
      <c r="V37" s="132" t="s">
        <v>16</v>
      </c>
      <c r="W37" s="132" t="s">
        <v>148</v>
      </c>
      <c r="X37" s="132" t="s">
        <v>16</v>
      </c>
      <c r="Y37" s="132" t="s">
        <v>16</v>
      </c>
      <c r="Z37" s="132" t="s">
        <v>16</v>
      </c>
      <c r="AA37" s="132" t="s">
        <v>148</v>
      </c>
      <c r="AB37" s="132" t="s">
        <v>16</v>
      </c>
      <c r="AC37" s="132" t="s">
        <v>150</v>
      </c>
      <c r="AD37" s="132" t="s">
        <v>148</v>
      </c>
      <c r="AE37" s="132" t="s">
        <v>251</v>
      </c>
      <c r="AF37" s="132"/>
      <c r="AG37" s="132"/>
    </row>
    <row r="38" spans="1:33" x14ac:dyDescent="0.3">
      <c r="A38" s="132" t="s">
        <v>288</v>
      </c>
      <c r="B38" s="132" t="s">
        <v>14</v>
      </c>
      <c r="C38" s="132" t="s">
        <v>240</v>
      </c>
      <c r="D38" s="132" t="s">
        <v>15</v>
      </c>
      <c r="E38" s="139">
        <v>40601</v>
      </c>
      <c r="F38" s="132" t="s">
        <v>16</v>
      </c>
      <c r="G38" s="132" t="s">
        <v>148</v>
      </c>
      <c r="H38" s="132" t="s">
        <v>16</v>
      </c>
      <c r="I38" s="132" t="s">
        <v>148</v>
      </c>
      <c r="J38" s="132" t="s">
        <v>16</v>
      </c>
      <c r="K38" s="132" t="s">
        <v>148</v>
      </c>
      <c r="L38" s="132" t="s">
        <v>16</v>
      </c>
      <c r="M38" s="132" t="s">
        <v>16</v>
      </c>
      <c r="N38" s="132" t="s">
        <v>16</v>
      </c>
      <c r="O38" s="132" t="s">
        <v>16</v>
      </c>
      <c r="P38" s="132" t="s">
        <v>148</v>
      </c>
      <c r="Q38" s="132" t="s">
        <v>16</v>
      </c>
      <c r="R38" s="132" t="s">
        <v>16</v>
      </c>
      <c r="S38" s="132" t="s">
        <v>16</v>
      </c>
      <c r="T38" s="132" t="s">
        <v>149</v>
      </c>
      <c r="U38" s="132" t="s">
        <v>16</v>
      </c>
      <c r="V38" s="132" t="s">
        <v>16</v>
      </c>
      <c r="W38" s="132" t="s">
        <v>16</v>
      </c>
      <c r="X38" s="132" t="s">
        <v>148</v>
      </c>
      <c r="Y38" s="132" t="s">
        <v>16</v>
      </c>
      <c r="Z38" s="132" t="s">
        <v>149</v>
      </c>
      <c r="AA38" s="132" t="s">
        <v>16</v>
      </c>
      <c r="AB38" s="132" t="s">
        <v>16</v>
      </c>
      <c r="AC38" s="132" t="s">
        <v>16</v>
      </c>
      <c r="AD38" s="132" t="s">
        <v>16</v>
      </c>
      <c r="AE38" s="132" t="s">
        <v>249</v>
      </c>
      <c r="AF38" s="132"/>
      <c r="AG38" s="132"/>
    </row>
    <row r="39" spans="1:33" x14ac:dyDescent="0.3">
      <c r="A39" s="132" t="s">
        <v>289</v>
      </c>
      <c r="B39" s="132" t="s">
        <v>14</v>
      </c>
      <c r="C39" s="132" t="s">
        <v>240</v>
      </c>
      <c r="D39" s="132" t="s">
        <v>15</v>
      </c>
      <c r="E39" s="139">
        <v>40601</v>
      </c>
      <c r="F39" s="132" t="s">
        <v>16</v>
      </c>
      <c r="G39" s="132" t="s">
        <v>148</v>
      </c>
      <c r="H39" s="132" t="s">
        <v>16</v>
      </c>
      <c r="I39" s="132" t="s">
        <v>16</v>
      </c>
      <c r="J39" s="132" t="s">
        <v>148</v>
      </c>
      <c r="K39" s="132" t="s">
        <v>149</v>
      </c>
      <c r="L39" s="132" t="s">
        <v>16</v>
      </c>
      <c r="M39" s="132" t="s">
        <v>16</v>
      </c>
      <c r="N39" s="132" t="s">
        <v>16</v>
      </c>
      <c r="O39" s="132" t="s">
        <v>148</v>
      </c>
      <c r="P39" s="132" t="s">
        <v>148</v>
      </c>
      <c r="Q39" s="132" t="s">
        <v>149</v>
      </c>
      <c r="R39" s="132" t="s">
        <v>16</v>
      </c>
      <c r="S39" s="132" t="s">
        <v>16</v>
      </c>
      <c r="T39" s="132" t="s">
        <v>16</v>
      </c>
      <c r="U39" s="132" t="s">
        <v>16</v>
      </c>
      <c r="V39" s="132" t="s">
        <v>16</v>
      </c>
      <c r="W39" s="132" t="s">
        <v>16</v>
      </c>
      <c r="X39" s="132" t="s">
        <v>16</v>
      </c>
      <c r="Y39" s="132" t="s">
        <v>16</v>
      </c>
      <c r="Z39" s="132" t="s">
        <v>16</v>
      </c>
      <c r="AA39" s="132" t="s">
        <v>16</v>
      </c>
      <c r="AB39" s="132" t="s">
        <v>16</v>
      </c>
      <c r="AC39" s="132" t="s">
        <v>16</v>
      </c>
      <c r="AD39" s="132" t="s">
        <v>16</v>
      </c>
      <c r="AE39" s="132" t="s">
        <v>242</v>
      </c>
      <c r="AF39" s="132"/>
      <c r="AG39" s="132"/>
    </row>
    <row r="40" spans="1:33" x14ac:dyDescent="0.3">
      <c r="A40" s="132"/>
      <c r="B40" s="132"/>
      <c r="C40" s="132"/>
      <c r="D40" s="132"/>
      <c r="E40" s="132"/>
      <c r="F40" s="132"/>
      <c r="G40" s="132"/>
      <c r="H40" s="132"/>
      <c r="I40" s="132"/>
      <c r="J40" s="132"/>
      <c r="K40" s="132"/>
      <c r="L40" s="132"/>
      <c r="M40" s="132"/>
      <c r="N40" s="132"/>
      <c r="O40" s="132"/>
      <c r="P40" s="132"/>
      <c r="Q40" s="132"/>
      <c r="R40" s="132"/>
      <c r="S40" s="132"/>
      <c r="T40" s="132"/>
      <c r="U40" s="132"/>
      <c r="V40" s="132"/>
      <c r="W40" s="132"/>
      <c r="X40" s="132"/>
      <c r="Y40" s="132"/>
      <c r="Z40" s="132"/>
      <c r="AA40" s="132"/>
      <c r="AB40" s="132"/>
      <c r="AC40" s="132"/>
      <c r="AD40" s="132"/>
      <c r="AE40" s="132"/>
      <c r="AF40" s="132"/>
      <c r="AG40" s="132"/>
    </row>
    <row r="41" spans="1:33" x14ac:dyDescent="0.3">
      <c r="A41" s="165"/>
      <c r="B41" s="165"/>
      <c r="C41" s="165"/>
      <c r="D41" s="165"/>
      <c r="E41" s="165"/>
      <c r="F41" s="165" t="s">
        <v>124</v>
      </c>
      <c r="G41" s="165" t="s">
        <v>125</v>
      </c>
      <c r="H41" s="165" t="s">
        <v>126</v>
      </c>
      <c r="I41" s="165" t="s">
        <v>127</v>
      </c>
      <c r="J41" s="165" t="s">
        <v>214</v>
      </c>
      <c r="K41" s="165" t="s">
        <v>128</v>
      </c>
      <c r="L41" s="165" t="s">
        <v>129</v>
      </c>
      <c r="M41" s="165" t="s">
        <v>130</v>
      </c>
      <c r="N41" s="165" t="s">
        <v>131</v>
      </c>
      <c r="O41" s="165" t="s">
        <v>132</v>
      </c>
      <c r="P41" s="165" t="s">
        <v>133</v>
      </c>
      <c r="Q41" s="165" t="s">
        <v>134</v>
      </c>
      <c r="R41" s="165" t="s">
        <v>135</v>
      </c>
      <c r="S41" s="165" t="s">
        <v>136</v>
      </c>
      <c r="T41" s="165" t="s">
        <v>137</v>
      </c>
      <c r="U41" s="165" t="s">
        <v>138</v>
      </c>
      <c r="V41" s="165" t="s">
        <v>139</v>
      </c>
      <c r="W41" s="165" t="s">
        <v>140</v>
      </c>
      <c r="X41" s="165" t="s">
        <v>186</v>
      </c>
      <c r="Y41" s="165" t="s">
        <v>209</v>
      </c>
      <c r="Z41" s="165" t="s">
        <v>141</v>
      </c>
      <c r="AA41" s="165" t="s">
        <v>142</v>
      </c>
      <c r="AB41" s="165" t="s">
        <v>210</v>
      </c>
      <c r="AC41" s="165" t="s">
        <v>143</v>
      </c>
      <c r="AD41" s="165" t="s">
        <v>144</v>
      </c>
      <c r="AE41" s="165" t="s">
        <v>299</v>
      </c>
      <c r="AF41" s="165" t="s">
        <v>190</v>
      </c>
      <c r="AG41" s="132"/>
    </row>
    <row r="42" spans="1:33" x14ac:dyDescent="0.3">
      <c r="A42" s="165" t="s">
        <v>300</v>
      </c>
      <c r="B42" s="165" t="s">
        <v>14</v>
      </c>
      <c r="C42" s="165" t="s">
        <v>301</v>
      </c>
      <c r="D42" s="165" t="s">
        <v>15</v>
      </c>
      <c r="E42" s="157">
        <v>40573</v>
      </c>
      <c r="F42" s="165" t="s">
        <v>16</v>
      </c>
      <c r="G42" s="165" t="s">
        <v>16</v>
      </c>
      <c r="H42" s="165" t="s">
        <v>16</v>
      </c>
      <c r="I42" s="165" t="s">
        <v>148</v>
      </c>
      <c r="J42" s="165" t="s">
        <v>149</v>
      </c>
      <c r="K42" s="165" t="s">
        <v>16</v>
      </c>
      <c r="L42" s="165" t="s">
        <v>16</v>
      </c>
      <c r="M42" s="165" t="s">
        <v>148</v>
      </c>
      <c r="N42" s="165" t="s">
        <v>148</v>
      </c>
      <c r="O42" s="165" t="s">
        <v>148</v>
      </c>
      <c r="P42" s="165" t="s">
        <v>16</v>
      </c>
      <c r="Q42" s="165" t="s">
        <v>16</v>
      </c>
      <c r="R42" s="165" t="s">
        <v>148</v>
      </c>
      <c r="S42" s="165" t="s">
        <v>148</v>
      </c>
      <c r="T42" s="165" t="s">
        <v>16</v>
      </c>
      <c r="U42" s="165" t="s">
        <v>16</v>
      </c>
      <c r="V42" s="165" t="s">
        <v>16</v>
      </c>
      <c r="W42" s="165" t="s">
        <v>148</v>
      </c>
      <c r="X42" s="165" t="s">
        <v>148</v>
      </c>
      <c r="Y42" s="165" t="s">
        <v>114</v>
      </c>
      <c r="Z42" s="165" t="s">
        <v>16</v>
      </c>
      <c r="AA42" s="165" t="s">
        <v>16</v>
      </c>
      <c r="AB42" s="165" t="s">
        <v>16</v>
      </c>
      <c r="AC42" s="165" t="s">
        <v>149</v>
      </c>
      <c r="AD42" s="165" t="s">
        <v>16</v>
      </c>
      <c r="AE42" s="165" t="s">
        <v>302</v>
      </c>
      <c r="AF42" s="165"/>
      <c r="AG42" s="132"/>
    </row>
    <row r="43" spans="1:33" x14ac:dyDescent="0.3">
      <c r="A43" s="165" t="s">
        <v>303</v>
      </c>
      <c r="B43" s="165" t="s">
        <v>14</v>
      </c>
      <c r="C43" s="165" t="s">
        <v>301</v>
      </c>
      <c r="D43" s="165" t="s">
        <v>15</v>
      </c>
      <c r="E43" s="157">
        <v>40573</v>
      </c>
      <c r="F43" s="165" t="s">
        <v>16</v>
      </c>
      <c r="G43" s="165" t="s">
        <v>16</v>
      </c>
      <c r="H43" s="165" t="s">
        <v>148</v>
      </c>
      <c r="I43" s="165" t="s">
        <v>16</v>
      </c>
      <c r="J43" s="165" t="s">
        <v>148</v>
      </c>
      <c r="K43" s="165" t="s">
        <v>16</v>
      </c>
      <c r="L43" s="165" t="s">
        <v>16</v>
      </c>
      <c r="M43" s="165" t="s">
        <v>16</v>
      </c>
      <c r="N43" s="165" t="s">
        <v>148</v>
      </c>
      <c r="O43" s="165" t="s">
        <v>16</v>
      </c>
      <c r="P43" s="165" t="s">
        <v>16</v>
      </c>
      <c r="Q43" s="165" t="s">
        <v>16</v>
      </c>
      <c r="R43" s="165" t="s">
        <v>148</v>
      </c>
      <c r="S43" s="165" t="s">
        <v>16</v>
      </c>
      <c r="T43" s="165" t="s">
        <v>150</v>
      </c>
      <c r="U43" s="165" t="s">
        <v>148</v>
      </c>
      <c r="V43" s="165" t="s">
        <v>148</v>
      </c>
      <c r="W43" s="165" t="s">
        <v>16</v>
      </c>
      <c r="X43" s="165" t="s">
        <v>148</v>
      </c>
      <c r="Y43" s="165" t="s">
        <v>16</v>
      </c>
      <c r="Z43" s="165" t="s">
        <v>16</v>
      </c>
      <c r="AA43" s="165" t="s">
        <v>148</v>
      </c>
      <c r="AB43" s="165" t="s">
        <v>16</v>
      </c>
      <c r="AC43" s="165" t="s">
        <v>148</v>
      </c>
      <c r="AD43" s="165" t="s">
        <v>16</v>
      </c>
      <c r="AE43" s="165" t="s">
        <v>302</v>
      </c>
      <c r="AF43" s="165"/>
      <c r="AG43" s="132"/>
    </row>
    <row r="44" spans="1:33" x14ac:dyDescent="0.3">
      <c r="A44" s="165" t="s">
        <v>304</v>
      </c>
      <c r="B44" s="165" t="s">
        <v>14</v>
      </c>
      <c r="C44" s="165" t="s">
        <v>301</v>
      </c>
      <c r="D44" s="165" t="s">
        <v>15</v>
      </c>
      <c r="E44" s="157">
        <v>40573</v>
      </c>
      <c r="F44" s="165" t="s">
        <v>149</v>
      </c>
      <c r="G44" s="165" t="s">
        <v>148</v>
      </c>
      <c r="H44" s="165" t="s">
        <v>148</v>
      </c>
      <c r="I44" s="165" t="s">
        <v>148</v>
      </c>
      <c r="J44" s="165" t="s">
        <v>148</v>
      </c>
      <c r="K44" s="165" t="s">
        <v>16</v>
      </c>
      <c r="L44" s="165" t="s">
        <v>16</v>
      </c>
      <c r="M44" s="165" t="s">
        <v>149</v>
      </c>
      <c r="N44" s="165" t="s">
        <v>16</v>
      </c>
      <c r="O44" s="165" t="s">
        <v>148</v>
      </c>
      <c r="P44" s="165" t="s">
        <v>16</v>
      </c>
      <c r="Q44" s="165" t="s">
        <v>16</v>
      </c>
      <c r="R44" s="165" t="s">
        <v>16</v>
      </c>
      <c r="S44" s="165" t="s">
        <v>16</v>
      </c>
      <c r="T44" s="165" t="s">
        <v>148</v>
      </c>
      <c r="U44" s="165" t="s">
        <v>149</v>
      </c>
      <c r="V44" s="165" t="s">
        <v>16</v>
      </c>
      <c r="W44" s="165" t="s">
        <v>16</v>
      </c>
      <c r="X44" s="165" t="s">
        <v>16</v>
      </c>
      <c r="Y44" s="165" t="s">
        <v>114</v>
      </c>
      <c r="Z44" s="165" t="s">
        <v>16</v>
      </c>
      <c r="AA44" s="165" t="s">
        <v>16</v>
      </c>
      <c r="AB44" s="165" t="s">
        <v>16</v>
      </c>
      <c r="AC44" s="165" t="s">
        <v>150</v>
      </c>
      <c r="AD44" s="165" t="s">
        <v>16</v>
      </c>
      <c r="AE44" s="165" t="s">
        <v>302</v>
      </c>
      <c r="AF44" s="165"/>
      <c r="AG44" s="132"/>
    </row>
    <row r="45" spans="1:33" x14ac:dyDescent="0.3">
      <c r="A45" s="165" t="s">
        <v>305</v>
      </c>
      <c r="B45" s="165" t="s">
        <v>14</v>
      </c>
      <c r="C45" s="165" t="s">
        <v>301</v>
      </c>
      <c r="D45" s="165" t="s">
        <v>15</v>
      </c>
      <c r="E45" s="157">
        <v>40573</v>
      </c>
      <c r="F45" s="165" t="s">
        <v>16</v>
      </c>
      <c r="G45" s="165" t="s">
        <v>16</v>
      </c>
      <c r="H45" s="165" t="s">
        <v>16</v>
      </c>
      <c r="I45" s="165" t="s">
        <v>148</v>
      </c>
      <c r="J45" s="165" t="s">
        <v>148</v>
      </c>
      <c r="K45" s="165" t="s">
        <v>16</v>
      </c>
      <c r="L45" s="165" t="s">
        <v>16</v>
      </c>
      <c r="M45" s="165" t="s">
        <v>16</v>
      </c>
      <c r="N45" s="165" t="s">
        <v>16</v>
      </c>
      <c r="O45" s="165" t="s">
        <v>16</v>
      </c>
      <c r="P45" s="165" t="s">
        <v>16</v>
      </c>
      <c r="Q45" s="165" t="s">
        <v>16</v>
      </c>
      <c r="R45" s="165" t="s">
        <v>16</v>
      </c>
      <c r="S45" s="165" t="s">
        <v>16</v>
      </c>
      <c r="T45" s="165" t="s">
        <v>148</v>
      </c>
      <c r="U45" s="165" t="s">
        <v>16</v>
      </c>
      <c r="V45" s="165" t="s">
        <v>148</v>
      </c>
      <c r="W45" s="165" t="s">
        <v>16</v>
      </c>
      <c r="X45" s="165" t="s">
        <v>16</v>
      </c>
      <c r="Y45" s="165" t="s">
        <v>148</v>
      </c>
      <c r="Z45" s="165" t="s">
        <v>16</v>
      </c>
      <c r="AA45" s="165" t="s">
        <v>148</v>
      </c>
      <c r="AB45" s="165" t="s">
        <v>16</v>
      </c>
      <c r="AC45" s="165" t="s">
        <v>148</v>
      </c>
      <c r="AD45" s="165" t="s">
        <v>16</v>
      </c>
      <c r="AE45" s="165"/>
      <c r="AF45" s="165" t="s">
        <v>306</v>
      </c>
    </row>
    <row r="46" spans="1:33" x14ac:dyDescent="0.3">
      <c r="A46" s="165" t="s">
        <v>307</v>
      </c>
      <c r="B46" s="165" t="s">
        <v>14</v>
      </c>
      <c r="C46" s="165" t="s">
        <v>301</v>
      </c>
      <c r="D46" s="165" t="s">
        <v>15</v>
      </c>
      <c r="E46" s="157">
        <v>40573</v>
      </c>
      <c r="F46" s="165" t="s">
        <v>151</v>
      </c>
      <c r="G46" s="165" t="s">
        <v>149</v>
      </c>
      <c r="H46" s="165" t="s">
        <v>16</v>
      </c>
      <c r="I46" s="165" t="s">
        <v>149</v>
      </c>
      <c r="J46" s="165" t="s">
        <v>16</v>
      </c>
      <c r="K46" s="165" t="s">
        <v>149</v>
      </c>
      <c r="L46" s="165" t="s">
        <v>149</v>
      </c>
      <c r="M46" s="165" t="s">
        <v>16</v>
      </c>
      <c r="N46" s="165" t="s">
        <v>16</v>
      </c>
      <c r="O46" s="165" t="s">
        <v>16</v>
      </c>
      <c r="P46" s="165" t="s">
        <v>148</v>
      </c>
      <c r="Q46" s="165" t="s">
        <v>149</v>
      </c>
      <c r="R46" s="165" t="s">
        <v>149</v>
      </c>
      <c r="S46" s="165" t="s">
        <v>148</v>
      </c>
      <c r="T46" s="165" t="s">
        <v>16</v>
      </c>
      <c r="U46" s="165" t="s">
        <v>149</v>
      </c>
      <c r="V46" s="165" t="s">
        <v>149</v>
      </c>
      <c r="W46" s="165" t="s">
        <v>16</v>
      </c>
      <c r="X46" s="165" t="s">
        <v>148</v>
      </c>
      <c r="Y46" s="165" t="s">
        <v>149</v>
      </c>
      <c r="Z46" s="165" t="s">
        <v>149</v>
      </c>
      <c r="AA46" s="165" t="s">
        <v>149</v>
      </c>
      <c r="AB46" s="165" t="s">
        <v>148</v>
      </c>
      <c r="AC46" s="165" t="s">
        <v>149</v>
      </c>
      <c r="AD46" s="165" t="s">
        <v>149</v>
      </c>
      <c r="AE46" s="165" t="s">
        <v>308</v>
      </c>
      <c r="AF46" s="165"/>
    </row>
    <row r="47" spans="1:33" x14ac:dyDescent="0.3">
      <c r="A47" s="165" t="s">
        <v>309</v>
      </c>
      <c r="B47" s="165" t="s">
        <v>14</v>
      </c>
      <c r="C47" s="165" t="s">
        <v>301</v>
      </c>
      <c r="D47" s="165" t="s">
        <v>15</v>
      </c>
      <c r="E47" s="157">
        <v>40573</v>
      </c>
      <c r="F47" s="165" t="s">
        <v>148</v>
      </c>
      <c r="G47" s="165" t="s">
        <v>148</v>
      </c>
      <c r="H47" s="165" t="s">
        <v>16</v>
      </c>
      <c r="I47" s="165" t="s">
        <v>16</v>
      </c>
      <c r="J47" s="165" t="s">
        <v>148</v>
      </c>
      <c r="K47" s="165" t="s">
        <v>16</v>
      </c>
      <c r="L47" s="165" t="s">
        <v>16</v>
      </c>
      <c r="M47" s="165" t="s">
        <v>148</v>
      </c>
      <c r="N47" s="165" t="s">
        <v>148</v>
      </c>
      <c r="O47" s="165" t="s">
        <v>16</v>
      </c>
      <c r="P47" s="165" t="s">
        <v>148</v>
      </c>
      <c r="Q47" s="165" t="s">
        <v>16</v>
      </c>
      <c r="R47" s="165" t="s">
        <v>150</v>
      </c>
      <c r="S47" s="165" t="s">
        <v>16</v>
      </c>
      <c r="T47" s="165" t="s">
        <v>148</v>
      </c>
      <c r="U47" s="165" t="s">
        <v>148</v>
      </c>
      <c r="V47" s="165" t="s">
        <v>148</v>
      </c>
      <c r="W47" s="165" t="s">
        <v>16</v>
      </c>
      <c r="X47" s="165" t="s">
        <v>16</v>
      </c>
      <c r="Y47" s="165" t="s">
        <v>148</v>
      </c>
      <c r="Z47" s="165" t="s">
        <v>149</v>
      </c>
      <c r="AA47" s="165" t="s">
        <v>16</v>
      </c>
      <c r="AB47" s="165" t="s">
        <v>148</v>
      </c>
      <c r="AC47" s="165" t="s">
        <v>150</v>
      </c>
      <c r="AD47" s="165" t="s">
        <v>16</v>
      </c>
      <c r="AE47" s="165" t="s">
        <v>302</v>
      </c>
      <c r="AF47" s="165" t="s">
        <v>310</v>
      </c>
    </row>
    <row r="48" spans="1:33" x14ac:dyDescent="0.3">
      <c r="A48" s="165" t="s">
        <v>311</v>
      </c>
      <c r="B48" s="165" t="s">
        <v>14</v>
      </c>
      <c r="C48" s="165" t="s">
        <v>301</v>
      </c>
      <c r="D48" s="165" t="s">
        <v>15</v>
      </c>
      <c r="E48" s="157">
        <v>40573</v>
      </c>
      <c r="F48" s="165" t="s">
        <v>16</v>
      </c>
      <c r="G48" s="165" t="s">
        <v>16</v>
      </c>
      <c r="H48" s="165" t="s">
        <v>16</v>
      </c>
      <c r="I48" s="165" t="s">
        <v>16</v>
      </c>
      <c r="J48" s="165" t="s">
        <v>16</v>
      </c>
      <c r="K48" s="165" t="s">
        <v>16</v>
      </c>
      <c r="L48" s="165" t="s">
        <v>16</v>
      </c>
      <c r="M48" s="165" t="s">
        <v>16</v>
      </c>
      <c r="N48" s="165" t="s">
        <v>148</v>
      </c>
      <c r="O48" s="165" t="s">
        <v>16</v>
      </c>
      <c r="P48" s="165" t="s">
        <v>16</v>
      </c>
      <c r="Q48" s="165" t="s">
        <v>16</v>
      </c>
      <c r="R48" s="165" t="s">
        <v>16</v>
      </c>
      <c r="S48" s="165" t="s">
        <v>16</v>
      </c>
      <c r="T48" s="165" t="s">
        <v>16</v>
      </c>
      <c r="U48" s="165" t="s">
        <v>16</v>
      </c>
      <c r="V48" s="165" t="s">
        <v>148</v>
      </c>
      <c r="W48" s="165" t="s">
        <v>16</v>
      </c>
      <c r="X48" s="165" t="s">
        <v>16</v>
      </c>
      <c r="Y48" s="165" t="s">
        <v>16</v>
      </c>
      <c r="Z48" s="165" t="s">
        <v>148</v>
      </c>
      <c r="AA48" s="165" t="s">
        <v>16</v>
      </c>
      <c r="AB48" s="165" t="s">
        <v>16</v>
      </c>
      <c r="AC48" s="165" t="s">
        <v>150</v>
      </c>
      <c r="AD48" s="165" t="s">
        <v>16</v>
      </c>
      <c r="AE48" s="165" t="s">
        <v>308</v>
      </c>
      <c r="AF48" s="165"/>
    </row>
    <row r="49" spans="1:32" x14ac:dyDescent="0.3">
      <c r="A49" s="165" t="s">
        <v>312</v>
      </c>
      <c r="B49" s="165" t="s">
        <v>14</v>
      </c>
      <c r="C49" s="165" t="s">
        <v>301</v>
      </c>
      <c r="D49" s="165" t="s">
        <v>15</v>
      </c>
      <c r="E49" s="157">
        <v>40573</v>
      </c>
      <c r="F49" s="165" t="s">
        <v>16</v>
      </c>
      <c r="G49" s="165" t="s">
        <v>16</v>
      </c>
      <c r="H49" s="165" t="s">
        <v>16</v>
      </c>
      <c r="I49" s="165" t="s">
        <v>16</v>
      </c>
      <c r="J49" s="165" t="s">
        <v>16</v>
      </c>
      <c r="K49" s="165" t="s">
        <v>16</v>
      </c>
      <c r="L49" s="165" t="s">
        <v>16</v>
      </c>
      <c r="M49" s="165" t="s">
        <v>16</v>
      </c>
      <c r="N49" s="165" t="s">
        <v>16</v>
      </c>
      <c r="O49" s="165" t="s">
        <v>16</v>
      </c>
      <c r="P49" s="165" t="s">
        <v>16</v>
      </c>
      <c r="Q49" s="165" t="s">
        <v>16</v>
      </c>
      <c r="R49" s="165" t="s">
        <v>16</v>
      </c>
      <c r="S49" s="165" t="s">
        <v>16</v>
      </c>
      <c r="T49" s="165" t="s">
        <v>16</v>
      </c>
      <c r="U49" s="165" t="s">
        <v>16</v>
      </c>
      <c r="V49" s="165" t="s">
        <v>16</v>
      </c>
      <c r="W49" s="165" t="s">
        <v>16</v>
      </c>
      <c r="X49" s="165" t="s">
        <v>16</v>
      </c>
      <c r="Y49" s="165" t="s">
        <v>16</v>
      </c>
      <c r="Z49" s="165" t="s">
        <v>16</v>
      </c>
      <c r="AA49" s="165" t="s">
        <v>16</v>
      </c>
      <c r="AB49" s="165" t="s">
        <v>16</v>
      </c>
      <c r="AC49" s="165" t="s">
        <v>16</v>
      </c>
      <c r="AD49" s="165" t="s">
        <v>16</v>
      </c>
      <c r="AE49" s="165" t="s">
        <v>302</v>
      </c>
      <c r="AF49" s="165"/>
    </row>
    <row r="50" spans="1:32" x14ac:dyDescent="0.3">
      <c r="A50" s="165" t="s">
        <v>313</v>
      </c>
      <c r="B50" s="165" t="s">
        <v>14</v>
      </c>
      <c r="C50" s="165" t="s">
        <v>301</v>
      </c>
      <c r="D50" s="165" t="s">
        <v>15</v>
      </c>
      <c r="E50" s="157">
        <v>40573</v>
      </c>
      <c r="F50" s="165" t="s">
        <v>16</v>
      </c>
      <c r="G50" s="165" t="s">
        <v>16</v>
      </c>
      <c r="H50" s="165" t="s">
        <v>148</v>
      </c>
      <c r="I50" s="165" t="s">
        <v>16</v>
      </c>
      <c r="J50" s="165" t="s">
        <v>16</v>
      </c>
      <c r="K50" s="165" t="s">
        <v>16</v>
      </c>
      <c r="L50" s="165" t="s">
        <v>16</v>
      </c>
      <c r="M50" s="165" t="s">
        <v>16</v>
      </c>
      <c r="N50" s="165" t="s">
        <v>16</v>
      </c>
      <c r="O50" s="165" t="s">
        <v>16</v>
      </c>
      <c r="P50" s="165" t="s">
        <v>16</v>
      </c>
      <c r="Q50" s="165" t="s">
        <v>16</v>
      </c>
      <c r="R50" s="165" t="s">
        <v>16</v>
      </c>
      <c r="S50" s="165" t="s">
        <v>16</v>
      </c>
      <c r="T50" s="165" t="s">
        <v>16</v>
      </c>
      <c r="U50" s="165" t="s">
        <v>16</v>
      </c>
      <c r="V50" s="165" t="s">
        <v>148</v>
      </c>
      <c r="W50" s="165" t="s">
        <v>16</v>
      </c>
      <c r="X50" s="165" t="s">
        <v>16</v>
      </c>
      <c r="Y50" s="165" t="s">
        <v>16</v>
      </c>
      <c r="Z50" s="165" t="s">
        <v>16</v>
      </c>
      <c r="AA50" s="165" t="s">
        <v>16</v>
      </c>
      <c r="AB50" s="165" t="s">
        <v>16</v>
      </c>
      <c r="AC50" s="165" t="s">
        <v>16</v>
      </c>
      <c r="AD50" s="165" t="s">
        <v>16</v>
      </c>
      <c r="AE50" s="165" t="s">
        <v>314</v>
      </c>
      <c r="AF50" s="165" t="s">
        <v>315</v>
      </c>
    </row>
    <row r="51" spans="1:32" x14ac:dyDescent="0.3">
      <c r="A51" s="165" t="s">
        <v>316</v>
      </c>
      <c r="B51" s="165" t="s">
        <v>14</v>
      </c>
      <c r="C51" s="165" t="s">
        <v>301</v>
      </c>
      <c r="D51" s="165" t="s">
        <v>15</v>
      </c>
      <c r="E51" s="157">
        <v>40573</v>
      </c>
      <c r="F51" s="165" t="s">
        <v>16</v>
      </c>
      <c r="G51" s="165" t="s">
        <v>16</v>
      </c>
      <c r="H51" s="165" t="s">
        <v>148</v>
      </c>
      <c r="I51" s="165" t="s">
        <v>16</v>
      </c>
      <c r="J51" s="165" t="s">
        <v>148</v>
      </c>
      <c r="K51" s="165" t="s">
        <v>16</v>
      </c>
      <c r="L51" s="165" t="s">
        <v>148</v>
      </c>
      <c r="M51" s="165" t="s">
        <v>16</v>
      </c>
      <c r="N51" s="165" t="s">
        <v>16</v>
      </c>
      <c r="O51" s="165" t="s">
        <v>148</v>
      </c>
      <c r="P51" s="165" t="s">
        <v>148</v>
      </c>
      <c r="Q51" s="165" t="s">
        <v>16</v>
      </c>
      <c r="R51" s="165" t="s">
        <v>16</v>
      </c>
      <c r="S51" s="165" t="s">
        <v>16</v>
      </c>
      <c r="T51" s="165" t="s">
        <v>148</v>
      </c>
      <c r="U51" s="165" t="s">
        <v>16</v>
      </c>
      <c r="V51" s="165" t="s">
        <v>148</v>
      </c>
      <c r="W51" s="165" t="s">
        <v>16</v>
      </c>
      <c r="X51" s="165" t="s">
        <v>16</v>
      </c>
      <c r="Y51" s="165" t="s">
        <v>16</v>
      </c>
      <c r="Z51" s="165" t="s">
        <v>16</v>
      </c>
      <c r="AA51" s="165" t="s">
        <v>16</v>
      </c>
      <c r="AB51" s="165" t="s">
        <v>16</v>
      </c>
      <c r="AC51" s="165" t="s">
        <v>16</v>
      </c>
      <c r="AD51" s="165" t="s">
        <v>16</v>
      </c>
      <c r="AE51" s="165" t="s">
        <v>308</v>
      </c>
      <c r="AF51" s="165"/>
    </row>
    <row r="52" spans="1:32" x14ac:dyDescent="0.3">
      <c r="A52" s="165" t="s">
        <v>317</v>
      </c>
      <c r="B52" s="165" t="s">
        <v>14</v>
      </c>
      <c r="C52" s="165" t="s">
        <v>301</v>
      </c>
      <c r="D52" s="165" t="s">
        <v>15</v>
      </c>
      <c r="E52" s="157">
        <v>40573</v>
      </c>
      <c r="F52" s="165" t="s">
        <v>148</v>
      </c>
      <c r="G52" s="165" t="s">
        <v>16</v>
      </c>
      <c r="H52" s="165" t="s">
        <v>16</v>
      </c>
      <c r="I52" s="165" t="s">
        <v>16</v>
      </c>
      <c r="J52" s="165" t="s">
        <v>148</v>
      </c>
      <c r="K52" s="165" t="s">
        <v>148</v>
      </c>
      <c r="L52" s="165" t="s">
        <v>148</v>
      </c>
      <c r="M52" s="165" t="s">
        <v>148</v>
      </c>
      <c r="N52" s="165" t="s">
        <v>148</v>
      </c>
      <c r="O52" s="165" t="s">
        <v>16</v>
      </c>
      <c r="P52" s="165" t="s">
        <v>148</v>
      </c>
      <c r="Q52" s="165" t="s">
        <v>16</v>
      </c>
      <c r="R52" s="165" t="s">
        <v>16</v>
      </c>
      <c r="S52" s="165" t="s">
        <v>16</v>
      </c>
      <c r="T52" s="165" t="s">
        <v>16</v>
      </c>
      <c r="U52" s="165" t="s">
        <v>16</v>
      </c>
      <c r="V52" s="165" t="s">
        <v>16</v>
      </c>
      <c r="W52" s="165" t="s">
        <v>16</v>
      </c>
      <c r="X52" s="165" t="s">
        <v>16</v>
      </c>
      <c r="Y52" s="165" t="s">
        <v>16</v>
      </c>
      <c r="Z52" s="165" t="s">
        <v>16</v>
      </c>
      <c r="AA52" s="165" t="s">
        <v>16</v>
      </c>
      <c r="AB52" s="165" t="s">
        <v>16</v>
      </c>
      <c r="AC52" s="165" t="s">
        <v>149</v>
      </c>
      <c r="AD52" s="165" t="s">
        <v>16</v>
      </c>
      <c r="AE52" s="165"/>
      <c r="AF52" s="165"/>
    </row>
    <row r="53" spans="1:32" x14ac:dyDescent="0.3">
      <c r="A53" s="165" t="s">
        <v>318</v>
      </c>
      <c r="B53" s="165" t="s">
        <v>14</v>
      </c>
      <c r="C53" s="165" t="s">
        <v>301</v>
      </c>
      <c r="D53" s="165" t="s">
        <v>15</v>
      </c>
      <c r="E53" s="157">
        <v>40573</v>
      </c>
      <c r="F53" s="165" t="s">
        <v>16</v>
      </c>
      <c r="G53" s="165" t="s">
        <v>148</v>
      </c>
      <c r="H53" s="165" t="s">
        <v>148</v>
      </c>
      <c r="I53" s="165" t="s">
        <v>150</v>
      </c>
      <c r="J53" s="165" t="s">
        <v>16</v>
      </c>
      <c r="K53" s="165" t="s">
        <v>150</v>
      </c>
      <c r="L53" s="165" t="s">
        <v>150</v>
      </c>
      <c r="M53" s="165" t="s">
        <v>16</v>
      </c>
      <c r="N53" s="165" t="s">
        <v>148</v>
      </c>
      <c r="O53" s="165" t="s">
        <v>16</v>
      </c>
      <c r="P53" s="165" t="s">
        <v>16</v>
      </c>
      <c r="Q53" s="165" t="s">
        <v>16</v>
      </c>
      <c r="R53" s="165" t="s">
        <v>148</v>
      </c>
      <c r="S53" s="165" t="s">
        <v>148</v>
      </c>
      <c r="T53" s="165" t="s">
        <v>150</v>
      </c>
      <c r="U53" s="165" t="s">
        <v>16</v>
      </c>
      <c r="V53" s="165" t="s">
        <v>16</v>
      </c>
      <c r="W53" s="165" t="s">
        <v>16</v>
      </c>
      <c r="X53" s="165" t="s">
        <v>16</v>
      </c>
      <c r="Y53" s="165" t="s">
        <v>16</v>
      </c>
      <c r="Z53" s="165" t="s">
        <v>148</v>
      </c>
      <c r="AA53" s="165" t="s">
        <v>148</v>
      </c>
      <c r="AB53" s="165" t="s">
        <v>16</v>
      </c>
      <c r="AC53" s="165" t="s">
        <v>148</v>
      </c>
      <c r="AD53" s="165" t="s">
        <v>16</v>
      </c>
      <c r="AE53" s="165" t="s">
        <v>308</v>
      </c>
      <c r="AF53" s="165"/>
    </row>
    <row r="54" spans="1:32" x14ac:dyDescent="0.3">
      <c r="A54" s="165" t="s">
        <v>319</v>
      </c>
      <c r="B54" s="165" t="s">
        <v>14</v>
      </c>
      <c r="C54" s="165" t="s">
        <v>301</v>
      </c>
      <c r="D54" s="165" t="s">
        <v>15</v>
      </c>
      <c r="E54" s="157">
        <v>40573</v>
      </c>
      <c r="F54" s="165" t="s">
        <v>16</v>
      </c>
      <c r="G54" s="165" t="s">
        <v>148</v>
      </c>
      <c r="H54" s="165" t="s">
        <v>16</v>
      </c>
      <c r="I54" s="165" t="s">
        <v>16</v>
      </c>
      <c r="J54" s="165" t="s">
        <v>148</v>
      </c>
      <c r="K54" s="165" t="s">
        <v>16</v>
      </c>
      <c r="L54" s="165" t="s">
        <v>16</v>
      </c>
      <c r="M54" s="165" t="s">
        <v>16</v>
      </c>
      <c r="N54" s="165" t="s">
        <v>148</v>
      </c>
      <c r="O54" s="165" t="s">
        <v>16</v>
      </c>
      <c r="P54" s="165" t="s">
        <v>148</v>
      </c>
      <c r="Q54" s="165" t="s">
        <v>16</v>
      </c>
      <c r="R54" s="165" t="s">
        <v>16</v>
      </c>
      <c r="S54" s="165" t="s">
        <v>16</v>
      </c>
      <c r="T54" s="165" t="s">
        <v>16</v>
      </c>
      <c r="U54" s="165" t="s">
        <v>16</v>
      </c>
      <c r="V54" s="165" t="s">
        <v>16</v>
      </c>
      <c r="W54" s="165" t="s">
        <v>16</v>
      </c>
      <c r="X54" s="165" t="s">
        <v>148</v>
      </c>
      <c r="Y54" s="165" t="s">
        <v>114</v>
      </c>
      <c r="Z54" s="165" t="s">
        <v>16</v>
      </c>
      <c r="AA54" s="165" t="s">
        <v>148</v>
      </c>
      <c r="AB54" s="165" t="s">
        <v>16</v>
      </c>
      <c r="AC54" s="165" t="s">
        <v>148</v>
      </c>
      <c r="AD54" s="165" t="s">
        <v>148</v>
      </c>
      <c r="AE54" s="165" t="s">
        <v>302</v>
      </c>
      <c r="AF54" s="165" t="s">
        <v>320</v>
      </c>
    </row>
    <row r="55" spans="1:32" x14ac:dyDescent="0.3">
      <c r="A55" s="165" t="s">
        <v>321</v>
      </c>
      <c r="B55" s="165" t="s">
        <v>14</v>
      </c>
      <c r="C55" s="165" t="s">
        <v>301</v>
      </c>
      <c r="D55" s="165" t="s">
        <v>15</v>
      </c>
      <c r="E55" s="157">
        <v>40573</v>
      </c>
      <c r="F55" s="165" t="s">
        <v>16</v>
      </c>
      <c r="G55" s="165" t="s">
        <v>149</v>
      </c>
      <c r="H55" s="165" t="s">
        <v>16</v>
      </c>
      <c r="I55" s="165" t="s">
        <v>16</v>
      </c>
      <c r="J55" s="165" t="s">
        <v>16</v>
      </c>
      <c r="K55" s="165" t="s">
        <v>16</v>
      </c>
      <c r="L55" s="165" t="s">
        <v>16</v>
      </c>
      <c r="M55" s="165" t="s">
        <v>16</v>
      </c>
      <c r="N55" s="165" t="s">
        <v>16</v>
      </c>
      <c r="O55" s="165" t="s">
        <v>16</v>
      </c>
      <c r="P55" s="165" t="s">
        <v>16</v>
      </c>
      <c r="Q55" s="165" t="s">
        <v>148</v>
      </c>
      <c r="R55" s="165" t="s">
        <v>16</v>
      </c>
      <c r="S55" s="165" t="s">
        <v>16</v>
      </c>
      <c r="T55" s="165" t="s">
        <v>16</v>
      </c>
      <c r="U55" s="165" t="s">
        <v>16</v>
      </c>
      <c r="V55" s="165" t="s">
        <v>16</v>
      </c>
      <c r="W55" s="165" t="s">
        <v>16</v>
      </c>
      <c r="X55" s="165" t="s">
        <v>16</v>
      </c>
      <c r="Y55" s="165" t="s">
        <v>16</v>
      </c>
      <c r="Z55" s="165" t="s">
        <v>16</v>
      </c>
      <c r="AA55" s="165" t="s">
        <v>16</v>
      </c>
      <c r="AB55" s="165" t="s">
        <v>16</v>
      </c>
      <c r="AC55" s="165" t="s">
        <v>16</v>
      </c>
      <c r="AD55" s="165" t="s">
        <v>16</v>
      </c>
      <c r="AE55" s="165" t="s">
        <v>322</v>
      </c>
      <c r="AF55" s="165"/>
    </row>
    <row r="56" spans="1:32" x14ac:dyDescent="0.3">
      <c r="A56" s="165" t="s">
        <v>323</v>
      </c>
      <c r="B56" s="165" t="s">
        <v>14</v>
      </c>
      <c r="C56" s="165" t="s">
        <v>301</v>
      </c>
      <c r="D56" s="165" t="s">
        <v>15</v>
      </c>
      <c r="E56" s="157">
        <v>40573</v>
      </c>
      <c r="F56" s="165" t="s">
        <v>16</v>
      </c>
      <c r="G56" s="165" t="s">
        <v>16</v>
      </c>
      <c r="H56" s="165" t="s">
        <v>148</v>
      </c>
      <c r="I56" s="165" t="s">
        <v>148</v>
      </c>
      <c r="J56" s="165" t="s">
        <v>16</v>
      </c>
      <c r="K56" s="165" t="s">
        <v>16</v>
      </c>
      <c r="L56" s="165" t="s">
        <v>16</v>
      </c>
      <c r="M56" s="165" t="s">
        <v>148</v>
      </c>
      <c r="N56" s="165" t="s">
        <v>16</v>
      </c>
      <c r="O56" s="165" t="s">
        <v>16</v>
      </c>
      <c r="P56" s="165" t="s">
        <v>16</v>
      </c>
      <c r="Q56" s="165" t="s">
        <v>16</v>
      </c>
      <c r="R56" s="165" t="s">
        <v>16</v>
      </c>
      <c r="S56" s="165" t="s">
        <v>16</v>
      </c>
      <c r="T56" s="165" t="s">
        <v>16</v>
      </c>
      <c r="U56" s="165" t="s">
        <v>148</v>
      </c>
      <c r="V56" s="165" t="s">
        <v>16</v>
      </c>
      <c r="W56" s="165" t="s">
        <v>16</v>
      </c>
      <c r="X56" s="165" t="s">
        <v>16</v>
      </c>
      <c r="Y56" s="165" t="s">
        <v>16</v>
      </c>
      <c r="Z56" s="165" t="s">
        <v>16</v>
      </c>
      <c r="AA56" s="165" t="s">
        <v>148</v>
      </c>
      <c r="AB56" s="165" t="s">
        <v>16</v>
      </c>
      <c r="AC56" s="165" t="s">
        <v>148</v>
      </c>
      <c r="AD56" s="165" t="s">
        <v>16</v>
      </c>
      <c r="AE56" s="165" t="s">
        <v>302</v>
      </c>
      <c r="AF56" s="165"/>
    </row>
    <row r="57" spans="1:32" x14ac:dyDescent="0.3">
      <c r="A57" s="165" t="s">
        <v>324</v>
      </c>
      <c r="B57" s="165" t="s">
        <v>14</v>
      </c>
      <c r="C57" s="165" t="s">
        <v>301</v>
      </c>
      <c r="D57" s="165" t="s">
        <v>15</v>
      </c>
      <c r="E57" s="157">
        <v>40573</v>
      </c>
      <c r="F57" s="165" t="s">
        <v>16</v>
      </c>
      <c r="G57" s="165" t="s">
        <v>16</v>
      </c>
      <c r="H57" s="165" t="s">
        <v>148</v>
      </c>
      <c r="I57" s="165" t="s">
        <v>16</v>
      </c>
      <c r="J57" s="165" t="s">
        <v>16</v>
      </c>
      <c r="K57" s="165" t="s">
        <v>16</v>
      </c>
      <c r="L57" s="165" t="s">
        <v>16</v>
      </c>
      <c r="M57" s="165" t="s">
        <v>16</v>
      </c>
      <c r="N57" s="165" t="s">
        <v>148</v>
      </c>
      <c r="O57" s="165" t="s">
        <v>16</v>
      </c>
      <c r="P57" s="165" t="s">
        <v>16</v>
      </c>
      <c r="Q57" s="165" t="s">
        <v>16</v>
      </c>
      <c r="R57" s="165" t="s">
        <v>16</v>
      </c>
      <c r="S57" s="165" t="s">
        <v>16</v>
      </c>
      <c r="T57" s="165" t="s">
        <v>16</v>
      </c>
      <c r="U57" s="165" t="s">
        <v>148</v>
      </c>
      <c r="V57" s="165" t="s">
        <v>148</v>
      </c>
      <c r="W57" s="165" t="s">
        <v>16</v>
      </c>
      <c r="X57" s="165" t="s">
        <v>16</v>
      </c>
      <c r="Y57" s="165" t="s">
        <v>16</v>
      </c>
      <c r="Z57" s="165" t="s">
        <v>16</v>
      </c>
      <c r="AA57" s="165" t="s">
        <v>16</v>
      </c>
      <c r="AB57" s="165" t="s">
        <v>16</v>
      </c>
      <c r="AC57" s="165" t="s">
        <v>16</v>
      </c>
      <c r="AD57" s="165" t="s">
        <v>16</v>
      </c>
      <c r="AE57" s="165" t="s">
        <v>325</v>
      </c>
      <c r="AF57" s="165"/>
    </row>
    <row r="58" spans="1:32" x14ac:dyDescent="0.3">
      <c r="A58" s="165" t="s">
        <v>326</v>
      </c>
      <c r="B58" s="165" t="s">
        <v>14</v>
      </c>
      <c r="C58" s="165" t="s">
        <v>301</v>
      </c>
      <c r="D58" s="165" t="s">
        <v>15</v>
      </c>
      <c r="E58" s="157">
        <v>40573</v>
      </c>
      <c r="F58" s="165" t="s">
        <v>16</v>
      </c>
      <c r="G58" s="165" t="s">
        <v>16</v>
      </c>
      <c r="H58" s="165" t="s">
        <v>16</v>
      </c>
      <c r="I58" s="165" t="s">
        <v>16</v>
      </c>
      <c r="J58" s="165" t="s">
        <v>148</v>
      </c>
      <c r="K58" s="165" t="s">
        <v>16</v>
      </c>
      <c r="L58" s="165" t="s">
        <v>148</v>
      </c>
      <c r="M58" s="165" t="s">
        <v>148</v>
      </c>
      <c r="N58" s="165" t="s">
        <v>16</v>
      </c>
      <c r="O58" s="165" t="s">
        <v>16</v>
      </c>
      <c r="P58" s="165" t="s">
        <v>148</v>
      </c>
      <c r="Q58" s="165" t="s">
        <v>16</v>
      </c>
      <c r="R58" s="165" t="s">
        <v>148</v>
      </c>
      <c r="S58" s="165" t="s">
        <v>148</v>
      </c>
      <c r="T58" s="165" t="s">
        <v>16</v>
      </c>
      <c r="U58" s="165" t="s">
        <v>16</v>
      </c>
      <c r="V58" s="165" t="s">
        <v>148</v>
      </c>
      <c r="W58" s="165" t="s">
        <v>16</v>
      </c>
      <c r="X58" s="165" t="s">
        <v>16</v>
      </c>
      <c r="Y58" s="165" t="s">
        <v>16</v>
      </c>
      <c r="Z58" s="165" t="s">
        <v>16</v>
      </c>
      <c r="AA58" s="165" t="s">
        <v>16</v>
      </c>
      <c r="AB58" s="165" t="s">
        <v>16</v>
      </c>
      <c r="AC58" s="165" t="s">
        <v>16</v>
      </c>
      <c r="AD58" s="165" t="s">
        <v>16</v>
      </c>
      <c r="AE58" s="165" t="s">
        <v>308</v>
      </c>
      <c r="AF58" s="165"/>
    </row>
    <row r="59" spans="1:32" x14ac:dyDescent="0.3">
      <c r="A59" s="165" t="s">
        <v>327</v>
      </c>
      <c r="B59" s="165" t="s">
        <v>14</v>
      </c>
      <c r="C59" s="165" t="s">
        <v>301</v>
      </c>
      <c r="D59" s="165" t="s">
        <v>15</v>
      </c>
      <c r="E59" s="157">
        <v>40573</v>
      </c>
      <c r="F59" s="165" t="s">
        <v>16</v>
      </c>
      <c r="G59" s="165" t="s">
        <v>16</v>
      </c>
      <c r="H59" s="165" t="s">
        <v>16</v>
      </c>
      <c r="I59" s="165" t="s">
        <v>16</v>
      </c>
      <c r="J59" s="165" t="s">
        <v>16</v>
      </c>
      <c r="K59" s="165" t="s">
        <v>16</v>
      </c>
      <c r="L59" s="165" t="s">
        <v>16</v>
      </c>
      <c r="M59" s="165" t="s">
        <v>16</v>
      </c>
      <c r="N59" s="165" t="s">
        <v>16</v>
      </c>
      <c r="O59" s="165" t="s">
        <v>149</v>
      </c>
      <c r="P59" s="165" t="s">
        <v>16</v>
      </c>
      <c r="Q59" s="165" t="s">
        <v>114</v>
      </c>
      <c r="R59" s="165" t="s">
        <v>16</v>
      </c>
      <c r="S59" s="165" t="s">
        <v>16</v>
      </c>
      <c r="T59" s="165" t="s">
        <v>16</v>
      </c>
      <c r="U59" s="165" t="s">
        <v>16</v>
      </c>
      <c r="V59" s="165" t="s">
        <v>114</v>
      </c>
      <c r="W59" s="165" t="s">
        <v>16</v>
      </c>
      <c r="X59" s="165" t="s">
        <v>114</v>
      </c>
      <c r="Y59" s="165" t="s">
        <v>114</v>
      </c>
      <c r="Z59" s="165" t="s">
        <v>16</v>
      </c>
      <c r="AA59" s="165" t="s">
        <v>148</v>
      </c>
      <c r="AB59" s="165" t="s">
        <v>16</v>
      </c>
      <c r="AC59" s="165" t="s">
        <v>148</v>
      </c>
      <c r="AD59" s="165" t="s">
        <v>16</v>
      </c>
      <c r="AE59" s="165" t="s">
        <v>325</v>
      </c>
      <c r="AF59" s="165"/>
    </row>
    <row r="60" spans="1:32" x14ac:dyDescent="0.3">
      <c r="A60" s="165" t="s">
        <v>328</v>
      </c>
      <c r="B60" s="165" t="s">
        <v>14</v>
      </c>
      <c r="C60" s="165" t="s">
        <v>301</v>
      </c>
      <c r="D60" s="165" t="s">
        <v>15</v>
      </c>
      <c r="E60" s="157">
        <v>40573</v>
      </c>
      <c r="F60" s="165" t="s">
        <v>16</v>
      </c>
      <c r="G60" s="165" t="s">
        <v>16</v>
      </c>
      <c r="H60" s="165" t="s">
        <v>16</v>
      </c>
      <c r="I60" s="165" t="s">
        <v>16</v>
      </c>
      <c r="J60" s="165" t="s">
        <v>16</v>
      </c>
      <c r="K60" s="165" t="s">
        <v>16</v>
      </c>
      <c r="L60" s="165" t="s">
        <v>16</v>
      </c>
      <c r="M60" s="165" t="s">
        <v>16</v>
      </c>
      <c r="N60" s="165" t="s">
        <v>16</v>
      </c>
      <c r="O60" s="165" t="s">
        <v>16</v>
      </c>
      <c r="P60" s="165" t="s">
        <v>16</v>
      </c>
      <c r="Q60" s="165" t="s">
        <v>16</v>
      </c>
      <c r="R60" s="165" t="s">
        <v>16</v>
      </c>
      <c r="S60" s="165" t="s">
        <v>16</v>
      </c>
      <c r="T60" s="165" t="s">
        <v>16</v>
      </c>
      <c r="U60" s="165" t="s">
        <v>16</v>
      </c>
      <c r="V60" s="165" t="s">
        <v>16</v>
      </c>
      <c r="W60" s="165" t="s">
        <v>16</v>
      </c>
      <c r="X60" s="165" t="s">
        <v>16</v>
      </c>
      <c r="Y60" s="165" t="s">
        <v>16</v>
      </c>
      <c r="Z60" s="165" t="s">
        <v>16</v>
      </c>
      <c r="AA60" s="165" t="s">
        <v>16</v>
      </c>
      <c r="AB60" s="165" t="s">
        <v>16</v>
      </c>
      <c r="AC60" s="165" t="s">
        <v>16</v>
      </c>
      <c r="AD60" s="165" t="s">
        <v>16</v>
      </c>
      <c r="AE60" s="165" t="s">
        <v>329</v>
      </c>
      <c r="AF60" s="165"/>
    </row>
    <row r="61" spans="1:32" x14ac:dyDescent="0.3">
      <c r="A61" s="165" t="s">
        <v>330</v>
      </c>
      <c r="B61" s="165" t="s">
        <v>14</v>
      </c>
      <c r="C61" s="165" t="s">
        <v>301</v>
      </c>
      <c r="D61" s="165" t="s">
        <v>15</v>
      </c>
      <c r="E61" s="157">
        <v>40573</v>
      </c>
      <c r="F61" s="165" t="s">
        <v>16</v>
      </c>
      <c r="G61" s="165" t="s">
        <v>148</v>
      </c>
      <c r="H61" s="165" t="s">
        <v>148</v>
      </c>
      <c r="I61" s="165" t="s">
        <v>16</v>
      </c>
      <c r="J61" s="165" t="s">
        <v>148</v>
      </c>
      <c r="K61" s="165" t="s">
        <v>16</v>
      </c>
      <c r="L61" s="165" t="s">
        <v>16</v>
      </c>
      <c r="M61" s="165" t="s">
        <v>148</v>
      </c>
      <c r="N61" s="165" t="s">
        <v>148</v>
      </c>
      <c r="O61" s="165" t="s">
        <v>148</v>
      </c>
      <c r="P61" s="165" t="s">
        <v>16</v>
      </c>
      <c r="Q61" s="165" t="s">
        <v>16</v>
      </c>
      <c r="R61" s="165" t="s">
        <v>148</v>
      </c>
      <c r="S61" s="165" t="s">
        <v>16</v>
      </c>
      <c r="T61" s="165" t="s">
        <v>148</v>
      </c>
      <c r="U61" s="165" t="s">
        <v>16</v>
      </c>
      <c r="V61" s="165" t="s">
        <v>16</v>
      </c>
      <c r="W61" s="165" t="s">
        <v>148</v>
      </c>
      <c r="X61" s="165" t="s">
        <v>16</v>
      </c>
      <c r="Y61" s="165" t="s">
        <v>16</v>
      </c>
      <c r="Z61" s="165" t="s">
        <v>16</v>
      </c>
      <c r="AA61" s="165" t="s">
        <v>16</v>
      </c>
      <c r="AB61" s="165" t="s">
        <v>16</v>
      </c>
      <c r="AC61" s="165" t="s">
        <v>148</v>
      </c>
      <c r="AD61" s="165" t="s">
        <v>16</v>
      </c>
      <c r="AE61" s="165" t="s">
        <v>302</v>
      </c>
      <c r="AF61" s="165"/>
    </row>
    <row r="62" spans="1:32" x14ac:dyDescent="0.3">
      <c r="A62" s="165" t="s">
        <v>331</v>
      </c>
      <c r="B62" s="165" t="s">
        <v>14</v>
      </c>
      <c r="C62" s="165" t="s">
        <v>301</v>
      </c>
      <c r="D62" s="165" t="s">
        <v>15</v>
      </c>
      <c r="E62" s="157">
        <v>40573</v>
      </c>
      <c r="F62" s="165" t="s">
        <v>16</v>
      </c>
      <c r="G62" s="165" t="s">
        <v>16</v>
      </c>
      <c r="H62" s="165" t="s">
        <v>16</v>
      </c>
      <c r="I62" s="165" t="s">
        <v>16</v>
      </c>
      <c r="J62" s="165" t="s">
        <v>16</v>
      </c>
      <c r="K62" s="165" t="s">
        <v>16</v>
      </c>
      <c r="L62" s="165" t="s">
        <v>16</v>
      </c>
      <c r="M62" s="165" t="s">
        <v>16</v>
      </c>
      <c r="N62" s="165" t="s">
        <v>16</v>
      </c>
      <c r="O62" s="165" t="s">
        <v>16</v>
      </c>
      <c r="P62" s="165" t="s">
        <v>16</v>
      </c>
      <c r="Q62" s="165" t="s">
        <v>16</v>
      </c>
      <c r="R62" s="165" t="s">
        <v>16</v>
      </c>
      <c r="S62" s="165" t="s">
        <v>16</v>
      </c>
      <c r="T62" s="165" t="s">
        <v>16</v>
      </c>
      <c r="U62" s="165" t="s">
        <v>16</v>
      </c>
      <c r="V62" s="165" t="s">
        <v>16</v>
      </c>
      <c r="W62" s="165" t="s">
        <v>16</v>
      </c>
      <c r="X62" s="165" t="s">
        <v>114</v>
      </c>
      <c r="Y62" s="165" t="s">
        <v>114</v>
      </c>
      <c r="Z62" s="165" t="s">
        <v>16</v>
      </c>
      <c r="AA62" s="165" t="s">
        <v>16</v>
      </c>
      <c r="AB62" s="165" t="s">
        <v>16</v>
      </c>
      <c r="AC62" s="165" t="s">
        <v>148</v>
      </c>
      <c r="AD62" s="165" t="s">
        <v>16</v>
      </c>
      <c r="AE62" s="165"/>
      <c r="AF62" s="165"/>
    </row>
    <row r="63" spans="1:32" x14ac:dyDescent="0.3">
      <c r="A63" s="165" t="s">
        <v>332</v>
      </c>
      <c r="B63" s="165" t="s">
        <v>14</v>
      </c>
      <c r="C63" s="165" t="s">
        <v>301</v>
      </c>
      <c r="D63" s="165" t="s">
        <v>15</v>
      </c>
      <c r="E63" s="157">
        <v>40573</v>
      </c>
      <c r="F63" s="165" t="s">
        <v>16</v>
      </c>
      <c r="G63" s="165" t="s">
        <v>16</v>
      </c>
      <c r="H63" s="165" t="s">
        <v>148</v>
      </c>
      <c r="I63" s="165" t="s">
        <v>150</v>
      </c>
      <c r="J63" s="165" t="s">
        <v>150</v>
      </c>
      <c r="K63" s="165" t="s">
        <v>148</v>
      </c>
      <c r="L63" s="165" t="s">
        <v>148</v>
      </c>
      <c r="M63" s="165" t="s">
        <v>148</v>
      </c>
      <c r="N63" s="165" t="s">
        <v>148</v>
      </c>
      <c r="O63" s="165" t="s">
        <v>150</v>
      </c>
      <c r="P63" s="165" t="s">
        <v>150</v>
      </c>
      <c r="Q63" s="165" t="s">
        <v>148</v>
      </c>
      <c r="R63" s="165" t="s">
        <v>150</v>
      </c>
      <c r="S63" s="165" t="s">
        <v>148</v>
      </c>
      <c r="T63" s="165" t="s">
        <v>148</v>
      </c>
      <c r="U63" s="165" t="s">
        <v>148</v>
      </c>
      <c r="V63" s="165" t="s">
        <v>16</v>
      </c>
      <c r="W63" s="165" t="s">
        <v>16</v>
      </c>
      <c r="X63" s="165" t="s">
        <v>16</v>
      </c>
      <c r="Y63" s="165" t="s">
        <v>16</v>
      </c>
      <c r="Z63" s="165" t="s">
        <v>150</v>
      </c>
      <c r="AA63" s="165" t="s">
        <v>150</v>
      </c>
      <c r="AB63" s="165" t="s">
        <v>16</v>
      </c>
      <c r="AC63" s="165" t="s">
        <v>150</v>
      </c>
      <c r="AD63" s="165" t="s">
        <v>150</v>
      </c>
      <c r="AE63" s="165" t="s">
        <v>333</v>
      </c>
      <c r="AF63" s="165" t="s">
        <v>334</v>
      </c>
    </row>
    <row r="64" spans="1:32" x14ac:dyDescent="0.3">
      <c r="A64" s="165" t="s">
        <v>335</v>
      </c>
      <c r="B64" s="165" t="s">
        <v>14</v>
      </c>
      <c r="C64" s="165" t="s">
        <v>301</v>
      </c>
      <c r="D64" s="165" t="s">
        <v>15</v>
      </c>
      <c r="E64" s="157">
        <v>40573</v>
      </c>
      <c r="F64" s="165" t="s">
        <v>16</v>
      </c>
      <c r="G64" s="165" t="s">
        <v>16</v>
      </c>
      <c r="H64" s="165" t="s">
        <v>16</v>
      </c>
      <c r="I64" s="165" t="s">
        <v>148</v>
      </c>
      <c r="J64" s="165" t="s">
        <v>148</v>
      </c>
      <c r="K64" s="165" t="s">
        <v>16</v>
      </c>
      <c r="L64" s="165" t="s">
        <v>16</v>
      </c>
      <c r="M64" s="165" t="s">
        <v>16</v>
      </c>
      <c r="N64" s="165" t="s">
        <v>16</v>
      </c>
      <c r="O64" s="165" t="s">
        <v>16</v>
      </c>
      <c r="P64" s="165" t="s">
        <v>148</v>
      </c>
      <c r="Q64" s="165" t="s">
        <v>16</v>
      </c>
      <c r="R64" s="165" t="s">
        <v>16</v>
      </c>
      <c r="S64" s="165" t="s">
        <v>16</v>
      </c>
      <c r="T64" s="165" t="s">
        <v>16</v>
      </c>
      <c r="U64" s="165" t="s">
        <v>148</v>
      </c>
      <c r="V64" s="165" t="s">
        <v>148</v>
      </c>
      <c r="W64" s="165" t="s">
        <v>16</v>
      </c>
      <c r="X64" s="165" t="s">
        <v>16</v>
      </c>
      <c r="Y64" s="165" t="s">
        <v>16</v>
      </c>
      <c r="Z64" s="165" t="s">
        <v>16</v>
      </c>
      <c r="AA64" s="165" t="s">
        <v>16</v>
      </c>
      <c r="AB64" s="165" t="s">
        <v>16</v>
      </c>
      <c r="AC64" s="165" t="s">
        <v>148</v>
      </c>
      <c r="AD64" s="165" t="s">
        <v>16</v>
      </c>
      <c r="AE64" s="165" t="s">
        <v>302</v>
      </c>
      <c r="AF64" s="165"/>
    </row>
    <row r="65" spans="1:32" x14ac:dyDescent="0.3">
      <c r="A65" s="165" t="s">
        <v>336</v>
      </c>
      <c r="B65" s="165" t="s">
        <v>14</v>
      </c>
      <c r="C65" s="165" t="s">
        <v>301</v>
      </c>
      <c r="D65" s="165" t="s">
        <v>15</v>
      </c>
      <c r="E65" s="157">
        <v>40573</v>
      </c>
      <c r="F65" s="165" t="s">
        <v>16</v>
      </c>
      <c r="G65" s="165" t="s">
        <v>16</v>
      </c>
      <c r="H65" s="165" t="s">
        <v>16</v>
      </c>
      <c r="I65" s="165" t="s">
        <v>16</v>
      </c>
      <c r="J65" s="165" t="s">
        <v>148</v>
      </c>
      <c r="K65" s="165" t="s">
        <v>16</v>
      </c>
      <c r="L65" s="165" t="s">
        <v>16</v>
      </c>
      <c r="M65" s="165" t="s">
        <v>16</v>
      </c>
      <c r="N65" s="165" t="s">
        <v>148</v>
      </c>
      <c r="O65" s="165" t="s">
        <v>16</v>
      </c>
      <c r="P65" s="165" t="s">
        <v>16</v>
      </c>
      <c r="Q65" s="165" t="s">
        <v>149</v>
      </c>
      <c r="R65" s="165" t="s">
        <v>16</v>
      </c>
      <c r="S65" s="165" t="s">
        <v>16</v>
      </c>
      <c r="T65" s="165" t="s">
        <v>16</v>
      </c>
      <c r="U65" s="165" t="s">
        <v>16</v>
      </c>
      <c r="V65" s="165" t="s">
        <v>148</v>
      </c>
      <c r="W65" s="165" t="s">
        <v>148</v>
      </c>
      <c r="X65" s="165" t="s">
        <v>148</v>
      </c>
      <c r="Y65" s="165" t="s">
        <v>16</v>
      </c>
      <c r="Z65" s="165" t="s">
        <v>16</v>
      </c>
      <c r="AA65" s="165" t="s">
        <v>148</v>
      </c>
      <c r="AB65" s="165" t="s">
        <v>16</v>
      </c>
      <c r="AC65" s="165" t="s">
        <v>148</v>
      </c>
      <c r="AD65" s="165" t="s">
        <v>16</v>
      </c>
      <c r="AE65" s="165" t="s">
        <v>325</v>
      </c>
      <c r="AF65" s="165"/>
    </row>
    <row r="66" spans="1:32" x14ac:dyDescent="0.3">
      <c r="A66" s="165" t="s">
        <v>337</v>
      </c>
      <c r="B66" s="165" t="s">
        <v>14</v>
      </c>
      <c r="C66" s="165" t="s">
        <v>301</v>
      </c>
      <c r="D66" s="165" t="s">
        <v>15</v>
      </c>
      <c r="E66" s="157">
        <v>40573</v>
      </c>
      <c r="F66" s="165" t="s">
        <v>16</v>
      </c>
      <c r="G66" s="165" t="s">
        <v>149</v>
      </c>
      <c r="H66" s="165" t="s">
        <v>148</v>
      </c>
      <c r="I66" s="165" t="s">
        <v>148</v>
      </c>
      <c r="J66" s="165" t="s">
        <v>148</v>
      </c>
      <c r="K66" s="165" t="s">
        <v>149</v>
      </c>
      <c r="L66" s="165" t="s">
        <v>16</v>
      </c>
      <c r="M66" s="165" t="s">
        <v>148</v>
      </c>
      <c r="N66" s="165" t="s">
        <v>148</v>
      </c>
      <c r="O66" s="165" t="s">
        <v>148</v>
      </c>
      <c r="P66" s="165" t="s">
        <v>16</v>
      </c>
      <c r="Q66" s="165" t="s">
        <v>16</v>
      </c>
      <c r="R66" s="165" t="s">
        <v>148</v>
      </c>
      <c r="S66" s="165" t="s">
        <v>148</v>
      </c>
      <c r="T66" s="165" t="s">
        <v>149</v>
      </c>
      <c r="U66" s="165" t="s">
        <v>16</v>
      </c>
      <c r="V66" s="165" t="s">
        <v>148</v>
      </c>
      <c r="W66" s="165" t="s">
        <v>148</v>
      </c>
      <c r="X66" s="165" t="s">
        <v>148</v>
      </c>
      <c r="Y66" s="165" t="s">
        <v>16</v>
      </c>
      <c r="Z66" s="165" t="s">
        <v>16</v>
      </c>
      <c r="AA66" s="165" t="s">
        <v>148</v>
      </c>
      <c r="AB66" s="165" t="s">
        <v>16</v>
      </c>
      <c r="AC66" s="165" t="s">
        <v>148</v>
      </c>
      <c r="AD66" s="165" t="s">
        <v>16</v>
      </c>
      <c r="AE66" s="165"/>
      <c r="AF66" s="165"/>
    </row>
    <row r="67" spans="1:32" x14ac:dyDescent="0.3">
      <c r="A67" s="165" t="s">
        <v>338</v>
      </c>
      <c r="B67" s="165" t="s">
        <v>14</v>
      </c>
      <c r="C67" s="165" t="s">
        <v>301</v>
      </c>
      <c r="D67" s="165" t="s">
        <v>15</v>
      </c>
      <c r="E67" s="157">
        <v>40573</v>
      </c>
      <c r="F67" s="165" t="s">
        <v>16</v>
      </c>
      <c r="G67" s="165" t="s">
        <v>16</v>
      </c>
      <c r="H67" s="165" t="s">
        <v>148</v>
      </c>
      <c r="I67" s="165" t="s">
        <v>148</v>
      </c>
      <c r="J67" s="165" t="s">
        <v>148</v>
      </c>
      <c r="K67" s="165" t="s">
        <v>148</v>
      </c>
      <c r="L67" s="165" t="s">
        <v>16</v>
      </c>
      <c r="M67" s="165" t="s">
        <v>16</v>
      </c>
      <c r="N67" s="165" t="s">
        <v>148</v>
      </c>
      <c r="O67" s="165" t="s">
        <v>16</v>
      </c>
      <c r="P67" s="165" t="s">
        <v>148</v>
      </c>
      <c r="Q67" s="165" t="s">
        <v>16</v>
      </c>
      <c r="R67" s="165" t="s">
        <v>148</v>
      </c>
      <c r="S67" s="165" t="s">
        <v>16</v>
      </c>
      <c r="T67" s="165" t="s">
        <v>16</v>
      </c>
      <c r="U67" s="165" t="s">
        <v>149</v>
      </c>
      <c r="V67" s="165" t="s">
        <v>16</v>
      </c>
      <c r="W67" s="165" t="s">
        <v>148</v>
      </c>
      <c r="X67" s="165" t="s">
        <v>16</v>
      </c>
      <c r="Y67" s="165" t="s">
        <v>16</v>
      </c>
      <c r="Z67" s="165" t="s">
        <v>16</v>
      </c>
      <c r="AA67" s="165" t="s">
        <v>16</v>
      </c>
      <c r="AB67" s="165" t="s">
        <v>16</v>
      </c>
      <c r="AC67" s="165" t="s">
        <v>148</v>
      </c>
      <c r="AD67" s="165" t="s">
        <v>16</v>
      </c>
      <c r="AE67" s="165" t="s">
        <v>302</v>
      </c>
      <c r="AF67" s="165"/>
    </row>
    <row r="68" spans="1:32" x14ac:dyDescent="0.3">
      <c r="A68" s="165" t="s">
        <v>339</v>
      </c>
      <c r="B68" s="165" t="s">
        <v>14</v>
      </c>
      <c r="C68" s="165" t="s">
        <v>301</v>
      </c>
      <c r="D68" s="165" t="s">
        <v>15</v>
      </c>
      <c r="E68" s="157">
        <v>40573</v>
      </c>
      <c r="F68" s="165" t="s">
        <v>16</v>
      </c>
      <c r="G68" s="165" t="s">
        <v>16</v>
      </c>
      <c r="H68" s="165" t="s">
        <v>148</v>
      </c>
      <c r="I68" s="165" t="s">
        <v>16</v>
      </c>
      <c r="J68" s="165" t="s">
        <v>16</v>
      </c>
      <c r="K68" s="165" t="s">
        <v>148</v>
      </c>
      <c r="L68" s="165" t="s">
        <v>16</v>
      </c>
      <c r="M68" s="165" t="s">
        <v>16</v>
      </c>
      <c r="N68" s="165" t="s">
        <v>16</v>
      </c>
      <c r="O68" s="165" t="s">
        <v>16</v>
      </c>
      <c r="P68" s="165" t="s">
        <v>16</v>
      </c>
      <c r="Q68" s="165" t="s">
        <v>16</v>
      </c>
      <c r="R68" s="165" t="s">
        <v>148</v>
      </c>
      <c r="S68" s="165" t="s">
        <v>148</v>
      </c>
      <c r="T68" s="165" t="s">
        <v>16</v>
      </c>
      <c r="U68" s="165" t="s">
        <v>16</v>
      </c>
      <c r="V68" s="165" t="s">
        <v>16</v>
      </c>
      <c r="W68" s="165" t="s">
        <v>16</v>
      </c>
      <c r="X68" s="165" t="s">
        <v>16</v>
      </c>
      <c r="Y68" s="165" t="s">
        <v>16</v>
      </c>
      <c r="Z68" s="165" t="s">
        <v>16</v>
      </c>
      <c r="AA68" s="165" t="s">
        <v>16</v>
      </c>
      <c r="AB68" s="165" t="s">
        <v>16</v>
      </c>
      <c r="AC68" s="165" t="s">
        <v>16</v>
      </c>
      <c r="AD68" s="165" t="s">
        <v>16</v>
      </c>
      <c r="AE68" s="165"/>
      <c r="AF68" s="165"/>
    </row>
    <row r="69" spans="1:32" x14ac:dyDescent="0.3">
      <c r="A69" s="165" t="s">
        <v>340</v>
      </c>
      <c r="B69" s="165" t="s">
        <v>14</v>
      </c>
      <c r="C69" s="165" t="s">
        <v>301</v>
      </c>
      <c r="D69" s="165" t="s">
        <v>15</v>
      </c>
      <c r="E69" s="157">
        <v>40573</v>
      </c>
      <c r="F69" s="165" t="s">
        <v>16</v>
      </c>
      <c r="G69" s="165" t="s">
        <v>16</v>
      </c>
      <c r="H69" s="165" t="s">
        <v>16</v>
      </c>
      <c r="I69" s="165" t="s">
        <v>148</v>
      </c>
      <c r="J69" s="165" t="s">
        <v>16</v>
      </c>
      <c r="K69" s="165" t="s">
        <v>16</v>
      </c>
      <c r="L69" s="165" t="s">
        <v>148</v>
      </c>
      <c r="M69" s="165" t="s">
        <v>149</v>
      </c>
      <c r="N69" s="165" t="s">
        <v>16</v>
      </c>
      <c r="O69" s="165" t="s">
        <v>16</v>
      </c>
      <c r="P69" s="165" t="s">
        <v>148</v>
      </c>
      <c r="Q69" s="165" t="s">
        <v>16</v>
      </c>
      <c r="R69" s="165" t="s">
        <v>16</v>
      </c>
      <c r="S69" s="165" t="s">
        <v>149</v>
      </c>
      <c r="T69" s="165" t="s">
        <v>16</v>
      </c>
      <c r="U69" s="165" t="s">
        <v>16</v>
      </c>
      <c r="V69" s="165" t="s">
        <v>16</v>
      </c>
      <c r="W69" s="165" t="s">
        <v>16</v>
      </c>
      <c r="X69" s="165" t="s">
        <v>16</v>
      </c>
      <c r="Y69" s="165" t="s">
        <v>16</v>
      </c>
      <c r="Z69" s="165" t="s">
        <v>16</v>
      </c>
      <c r="AA69" s="165" t="s">
        <v>16</v>
      </c>
      <c r="AB69" s="165" t="s">
        <v>16</v>
      </c>
      <c r="AC69" s="165" t="s">
        <v>148</v>
      </c>
      <c r="AD69" s="165" t="s">
        <v>16</v>
      </c>
      <c r="AE69" s="165" t="s">
        <v>341</v>
      </c>
      <c r="AF69" s="165" t="s">
        <v>342</v>
      </c>
    </row>
    <row r="70" spans="1:32" x14ac:dyDescent="0.3">
      <c r="A70" s="165" t="s">
        <v>343</v>
      </c>
      <c r="B70" s="165" t="s">
        <v>14</v>
      </c>
      <c r="C70" s="165" t="s">
        <v>301</v>
      </c>
      <c r="D70" s="165" t="s">
        <v>15</v>
      </c>
      <c r="E70" s="157">
        <v>40573</v>
      </c>
      <c r="F70" s="165" t="s">
        <v>16</v>
      </c>
      <c r="G70" s="165" t="s">
        <v>148</v>
      </c>
      <c r="H70" s="165" t="s">
        <v>16</v>
      </c>
      <c r="I70" s="165" t="s">
        <v>16</v>
      </c>
      <c r="J70" s="165" t="s">
        <v>16</v>
      </c>
      <c r="K70" s="165" t="s">
        <v>16</v>
      </c>
      <c r="L70" s="165" t="s">
        <v>16</v>
      </c>
      <c r="M70" s="165" t="s">
        <v>16</v>
      </c>
      <c r="N70" s="165" t="s">
        <v>16</v>
      </c>
      <c r="O70" s="165" t="s">
        <v>16</v>
      </c>
      <c r="P70" s="165" t="s">
        <v>16</v>
      </c>
      <c r="Q70" s="165" t="s">
        <v>16</v>
      </c>
      <c r="R70" s="165" t="s">
        <v>16</v>
      </c>
      <c r="S70" s="165" t="s">
        <v>16</v>
      </c>
      <c r="T70" s="165" t="s">
        <v>16</v>
      </c>
      <c r="U70" s="165" t="s">
        <v>16</v>
      </c>
      <c r="V70" s="165" t="s">
        <v>16</v>
      </c>
      <c r="W70" s="165" t="s">
        <v>16</v>
      </c>
      <c r="X70" s="165" t="s">
        <v>16</v>
      </c>
      <c r="Y70" s="165" t="s">
        <v>114</v>
      </c>
      <c r="Z70" s="165" t="s">
        <v>16</v>
      </c>
      <c r="AA70" s="165" t="s">
        <v>16</v>
      </c>
      <c r="AB70" s="165" t="s">
        <v>16</v>
      </c>
      <c r="AC70" s="165" t="s">
        <v>148</v>
      </c>
      <c r="AD70" s="165" t="s">
        <v>16</v>
      </c>
      <c r="AE70" s="165" t="s">
        <v>325</v>
      </c>
      <c r="AF70" s="165"/>
    </row>
    <row r="71" spans="1:32" x14ac:dyDescent="0.3">
      <c r="A71" s="165" t="s">
        <v>344</v>
      </c>
      <c r="B71" s="165" t="s">
        <v>14</v>
      </c>
      <c r="C71" s="165" t="s">
        <v>301</v>
      </c>
      <c r="D71" s="165" t="s">
        <v>15</v>
      </c>
      <c r="E71" s="157">
        <v>40573</v>
      </c>
      <c r="F71" s="165" t="s">
        <v>16</v>
      </c>
      <c r="G71" s="165" t="s">
        <v>16</v>
      </c>
      <c r="H71" s="165" t="s">
        <v>16</v>
      </c>
      <c r="I71" s="165" t="s">
        <v>16</v>
      </c>
      <c r="J71" s="165" t="s">
        <v>16</v>
      </c>
      <c r="K71" s="165" t="s">
        <v>16</v>
      </c>
      <c r="L71" s="165" t="s">
        <v>16</v>
      </c>
      <c r="M71" s="165" t="s">
        <v>16</v>
      </c>
      <c r="N71" s="165" t="s">
        <v>16</v>
      </c>
      <c r="O71" s="165" t="s">
        <v>16</v>
      </c>
      <c r="P71" s="165" t="s">
        <v>16</v>
      </c>
      <c r="Q71" s="165" t="s">
        <v>16</v>
      </c>
      <c r="R71" s="165" t="s">
        <v>16</v>
      </c>
      <c r="S71" s="165" t="s">
        <v>16</v>
      </c>
      <c r="T71" s="165" t="s">
        <v>16</v>
      </c>
      <c r="U71" s="165" t="s">
        <v>16</v>
      </c>
      <c r="V71" s="165" t="s">
        <v>16</v>
      </c>
      <c r="W71" s="165" t="s">
        <v>16</v>
      </c>
      <c r="X71" s="165" t="s">
        <v>16</v>
      </c>
      <c r="Y71" s="165" t="s">
        <v>16</v>
      </c>
      <c r="Z71" s="165" t="s">
        <v>16</v>
      </c>
      <c r="AA71" s="165" t="s">
        <v>16</v>
      </c>
      <c r="AB71" s="165" t="s">
        <v>16</v>
      </c>
      <c r="AC71" s="165" t="s">
        <v>16</v>
      </c>
      <c r="AD71" s="165" t="s">
        <v>16</v>
      </c>
      <c r="AE71" s="165" t="s">
        <v>308</v>
      </c>
      <c r="AF71" s="165"/>
    </row>
    <row r="72" spans="1:32" x14ac:dyDescent="0.3">
      <c r="A72" s="165" t="s">
        <v>345</v>
      </c>
      <c r="B72" s="165" t="s">
        <v>14</v>
      </c>
      <c r="C72" s="165" t="s">
        <v>301</v>
      </c>
      <c r="D72" s="165" t="s">
        <v>15</v>
      </c>
      <c r="E72" s="157">
        <v>40573</v>
      </c>
      <c r="F72" s="165" t="s">
        <v>16</v>
      </c>
      <c r="G72" s="165" t="s">
        <v>16</v>
      </c>
      <c r="H72" s="165" t="s">
        <v>16</v>
      </c>
      <c r="I72" s="165" t="s">
        <v>16</v>
      </c>
      <c r="J72" s="165" t="s">
        <v>16</v>
      </c>
      <c r="K72" s="165" t="s">
        <v>16</v>
      </c>
      <c r="L72" s="165" t="s">
        <v>16</v>
      </c>
      <c r="M72" s="165" t="s">
        <v>16</v>
      </c>
      <c r="N72" s="165" t="s">
        <v>16</v>
      </c>
      <c r="O72" s="165" t="s">
        <v>16</v>
      </c>
      <c r="P72" s="165" t="s">
        <v>16</v>
      </c>
      <c r="Q72" s="165" t="s">
        <v>16</v>
      </c>
      <c r="R72" s="165" t="s">
        <v>16</v>
      </c>
      <c r="S72" s="165" t="s">
        <v>16</v>
      </c>
      <c r="T72" s="165" t="s">
        <v>16</v>
      </c>
      <c r="U72" s="165" t="s">
        <v>16</v>
      </c>
      <c r="V72" s="165" t="s">
        <v>16</v>
      </c>
      <c r="W72" s="165" t="s">
        <v>16</v>
      </c>
      <c r="X72" s="165" t="s">
        <v>16</v>
      </c>
      <c r="Y72" s="165" t="s">
        <v>16</v>
      </c>
      <c r="Z72" s="165" t="s">
        <v>16</v>
      </c>
      <c r="AA72" s="165" t="s">
        <v>16</v>
      </c>
      <c r="AB72" s="165" t="s">
        <v>16</v>
      </c>
      <c r="AC72" s="165" t="s">
        <v>148</v>
      </c>
      <c r="AD72" s="165" t="s">
        <v>16</v>
      </c>
      <c r="AE72" s="165" t="s">
        <v>346</v>
      </c>
      <c r="AF72" s="165"/>
    </row>
    <row r="73" spans="1:32" x14ac:dyDescent="0.3">
      <c r="A73" s="165" t="s">
        <v>347</v>
      </c>
      <c r="B73" s="165" t="s">
        <v>14</v>
      </c>
      <c r="C73" s="165" t="s">
        <v>301</v>
      </c>
      <c r="D73" s="165" t="s">
        <v>15</v>
      </c>
      <c r="E73" s="157">
        <v>40573</v>
      </c>
      <c r="F73" s="165" t="s">
        <v>16</v>
      </c>
      <c r="G73" s="165" t="s">
        <v>16</v>
      </c>
      <c r="H73" s="165" t="s">
        <v>148</v>
      </c>
      <c r="I73" s="165" t="s">
        <v>148</v>
      </c>
      <c r="J73" s="165" t="s">
        <v>150</v>
      </c>
      <c r="K73" s="165" t="s">
        <v>16</v>
      </c>
      <c r="L73" s="165" t="s">
        <v>16</v>
      </c>
      <c r="M73" s="165" t="s">
        <v>16</v>
      </c>
      <c r="N73" s="165" t="s">
        <v>16</v>
      </c>
      <c r="O73" s="165" t="s">
        <v>16</v>
      </c>
      <c r="P73" s="165" t="s">
        <v>148</v>
      </c>
      <c r="Q73" s="165" t="s">
        <v>16</v>
      </c>
      <c r="R73" s="165" t="s">
        <v>150</v>
      </c>
      <c r="S73" s="165" t="s">
        <v>16</v>
      </c>
      <c r="T73" s="165" t="s">
        <v>16</v>
      </c>
      <c r="U73" s="165" t="s">
        <v>16</v>
      </c>
      <c r="V73" s="165" t="s">
        <v>16</v>
      </c>
      <c r="W73" s="165" t="s">
        <v>16</v>
      </c>
      <c r="X73" s="165" t="s">
        <v>16</v>
      </c>
      <c r="Y73" s="165" t="s">
        <v>16</v>
      </c>
      <c r="Z73" s="165" t="s">
        <v>16</v>
      </c>
      <c r="AA73" s="165" t="s">
        <v>16</v>
      </c>
      <c r="AB73" s="165" t="s">
        <v>16</v>
      </c>
      <c r="AC73" s="165" t="s">
        <v>150</v>
      </c>
      <c r="AD73" s="165" t="s">
        <v>148</v>
      </c>
      <c r="AE73" s="165" t="s">
        <v>302</v>
      </c>
      <c r="AF73" s="165"/>
    </row>
    <row r="74" spans="1:32" x14ac:dyDescent="0.3">
      <c r="A74" s="165" t="s">
        <v>348</v>
      </c>
      <c r="B74" s="165" t="s">
        <v>14</v>
      </c>
      <c r="C74" s="165" t="s">
        <v>301</v>
      </c>
      <c r="D74" s="165" t="s">
        <v>15</v>
      </c>
      <c r="E74" s="157">
        <v>40573</v>
      </c>
      <c r="F74" s="165" t="s">
        <v>16</v>
      </c>
      <c r="G74" s="165" t="s">
        <v>16</v>
      </c>
      <c r="H74" s="165" t="s">
        <v>16</v>
      </c>
      <c r="I74" s="165" t="s">
        <v>16</v>
      </c>
      <c r="J74" s="165" t="s">
        <v>16</v>
      </c>
      <c r="K74" s="165" t="s">
        <v>16</v>
      </c>
      <c r="L74" s="165" t="s">
        <v>16</v>
      </c>
      <c r="M74" s="165" t="s">
        <v>148</v>
      </c>
      <c r="N74" s="165" t="s">
        <v>16</v>
      </c>
      <c r="O74" s="165" t="s">
        <v>16</v>
      </c>
      <c r="P74" s="165" t="s">
        <v>16</v>
      </c>
      <c r="Q74" s="165" t="s">
        <v>16</v>
      </c>
      <c r="R74" s="165" t="s">
        <v>16</v>
      </c>
      <c r="S74" s="165" t="s">
        <v>16</v>
      </c>
      <c r="T74" s="165" t="s">
        <v>16</v>
      </c>
      <c r="U74" s="165" t="s">
        <v>16</v>
      </c>
      <c r="V74" s="165" t="s">
        <v>16</v>
      </c>
      <c r="W74" s="165" t="s">
        <v>16</v>
      </c>
      <c r="X74" s="165" t="s">
        <v>16</v>
      </c>
      <c r="Y74" s="165" t="s">
        <v>16</v>
      </c>
      <c r="Z74" s="165" t="s">
        <v>16</v>
      </c>
      <c r="AA74" s="165" t="s">
        <v>16</v>
      </c>
      <c r="AB74" s="165" t="s">
        <v>16</v>
      </c>
      <c r="AC74" s="165" t="s">
        <v>148</v>
      </c>
      <c r="AD74" s="165" t="s">
        <v>16</v>
      </c>
      <c r="AE74" s="165" t="s">
        <v>325</v>
      </c>
      <c r="AF74" s="165"/>
    </row>
    <row r="75" spans="1:32" x14ac:dyDescent="0.3">
      <c r="A75" s="165" t="s">
        <v>349</v>
      </c>
      <c r="B75" s="165" t="s">
        <v>14</v>
      </c>
      <c r="C75" s="165" t="s">
        <v>301</v>
      </c>
      <c r="D75" s="165" t="s">
        <v>15</v>
      </c>
      <c r="E75" s="157">
        <v>40573</v>
      </c>
      <c r="F75" s="165" t="s">
        <v>16</v>
      </c>
      <c r="G75" s="165" t="s">
        <v>16</v>
      </c>
      <c r="H75" s="165" t="s">
        <v>16</v>
      </c>
      <c r="I75" s="165" t="s">
        <v>16</v>
      </c>
      <c r="J75" s="165" t="s">
        <v>16</v>
      </c>
      <c r="K75" s="165" t="s">
        <v>16</v>
      </c>
      <c r="L75" s="165" t="s">
        <v>16</v>
      </c>
      <c r="M75" s="165" t="s">
        <v>16</v>
      </c>
      <c r="N75" s="165" t="s">
        <v>16</v>
      </c>
      <c r="O75" s="165" t="s">
        <v>16</v>
      </c>
      <c r="P75" s="165" t="s">
        <v>16</v>
      </c>
      <c r="Q75" s="165" t="s">
        <v>16</v>
      </c>
      <c r="R75" s="165" t="s">
        <v>16</v>
      </c>
      <c r="S75" s="165" t="s">
        <v>16</v>
      </c>
      <c r="T75" s="165" t="s">
        <v>16</v>
      </c>
      <c r="U75" s="165" t="s">
        <v>16</v>
      </c>
      <c r="V75" s="165" t="s">
        <v>16</v>
      </c>
      <c r="W75" s="165" t="s">
        <v>16</v>
      </c>
      <c r="X75" s="165" t="s">
        <v>16</v>
      </c>
      <c r="Y75" s="165" t="s">
        <v>16</v>
      </c>
      <c r="Z75" s="165" t="s">
        <v>16</v>
      </c>
      <c r="AA75" s="165" t="s">
        <v>16</v>
      </c>
      <c r="AB75" s="165" t="s">
        <v>16</v>
      </c>
      <c r="AC75" s="165" t="s">
        <v>148</v>
      </c>
      <c r="AD75" s="165" t="s">
        <v>16</v>
      </c>
      <c r="AE75" s="165" t="s">
        <v>350</v>
      </c>
      <c r="AF75" s="165"/>
    </row>
    <row r="76" spans="1:32" x14ac:dyDescent="0.3">
      <c r="A76" s="165" t="s">
        <v>351</v>
      </c>
      <c r="B76" s="165" t="s">
        <v>14</v>
      </c>
      <c r="C76" s="165" t="s">
        <v>301</v>
      </c>
      <c r="D76" s="165" t="s">
        <v>15</v>
      </c>
      <c r="E76" s="157">
        <v>40573</v>
      </c>
      <c r="F76" s="165" t="s">
        <v>16</v>
      </c>
      <c r="G76" s="165" t="s">
        <v>148</v>
      </c>
      <c r="H76" s="165" t="s">
        <v>148</v>
      </c>
      <c r="I76" s="165" t="s">
        <v>148</v>
      </c>
      <c r="J76" s="165" t="s">
        <v>16</v>
      </c>
      <c r="K76" s="165" t="s">
        <v>16</v>
      </c>
      <c r="L76" s="165" t="s">
        <v>16</v>
      </c>
      <c r="M76" s="165" t="s">
        <v>16</v>
      </c>
      <c r="N76" s="165" t="s">
        <v>148</v>
      </c>
      <c r="O76" s="165" t="s">
        <v>16</v>
      </c>
      <c r="P76" s="165" t="s">
        <v>148</v>
      </c>
      <c r="Q76" s="165" t="s">
        <v>16</v>
      </c>
      <c r="R76" s="165" t="s">
        <v>16</v>
      </c>
      <c r="S76" s="165" t="s">
        <v>16</v>
      </c>
      <c r="T76" s="165" t="s">
        <v>16</v>
      </c>
      <c r="U76" s="165" t="s">
        <v>16</v>
      </c>
      <c r="V76" s="165" t="s">
        <v>16</v>
      </c>
      <c r="W76" s="165" t="s">
        <v>16</v>
      </c>
      <c r="X76" s="165" t="s">
        <v>16</v>
      </c>
      <c r="Y76" s="165" t="s">
        <v>16</v>
      </c>
      <c r="Z76" s="165" t="s">
        <v>16</v>
      </c>
      <c r="AA76" s="165" t="s">
        <v>16</v>
      </c>
      <c r="AB76" s="165" t="s">
        <v>149</v>
      </c>
      <c r="AC76" s="165" t="s">
        <v>151</v>
      </c>
      <c r="AD76" s="165" t="s">
        <v>149</v>
      </c>
      <c r="AE76" s="165" t="s">
        <v>302</v>
      </c>
      <c r="AF76" s="165"/>
    </row>
    <row r="77" spans="1:32" x14ac:dyDescent="0.3">
      <c r="A77" s="165" t="s">
        <v>352</v>
      </c>
      <c r="B77" s="165" t="s">
        <v>14</v>
      </c>
      <c r="C77" s="165" t="s">
        <v>301</v>
      </c>
      <c r="D77" s="165" t="s">
        <v>15</v>
      </c>
      <c r="E77" s="157">
        <v>40573</v>
      </c>
      <c r="F77" s="165" t="s">
        <v>149</v>
      </c>
      <c r="G77" s="165" t="s">
        <v>114</v>
      </c>
      <c r="H77" s="165" t="s">
        <v>16</v>
      </c>
      <c r="I77" s="165" t="s">
        <v>16</v>
      </c>
      <c r="J77" s="165" t="s">
        <v>16</v>
      </c>
      <c r="K77" s="165" t="s">
        <v>16</v>
      </c>
      <c r="L77" s="165" t="s">
        <v>16</v>
      </c>
      <c r="M77" s="165" t="s">
        <v>16</v>
      </c>
      <c r="N77" s="165" t="s">
        <v>16</v>
      </c>
      <c r="O77" s="165" t="s">
        <v>16</v>
      </c>
      <c r="P77" s="165" t="s">
        <v>16</v>
      </c>
      <c r="Q77" s="165" t="s">
        <v>16</v>
      </c>
      <c r="R77" s="165" t="s">
        <v>16</v>
      </c>
      <c r="S77" s="165" t="s">
        <v>16</v>
      </c>
      <c r="T77" s="165" t="s">
        <v>16</v>
      </c>
      <c r="U77" s="165" t="s">
        <v>16</v>
      </c>
      <c r="V77" s="165" t="s">
        <v>16</v>
      </c>
      <c r="W77" s="165" t="s">
        <v>16</v>
      </c>
      <c r="X77" s="165" t="s">
        <v>16</v>
      </c>
      <c r="Y77" s="165" t="s">
        <v>16</v>
      </c>
      <c r="Z77" s="165" t="s">
        <v>16</v>
      </c>
      <c r="AA77" s="165" t="s">
        <v>149</v>
      </c>
      <c r="AB77" s="165" t="s">
        <v>16</v>
      </c>
      <c r="AC77" s="165" t="s">
        <v>148</v>
      </c>
      <c r="AD77" s="165" t="s">
        <v>148</v>
      </c>
      <c r="AE77" s="165" t="s">
        <v>325</v>
      </c>
      <c r="AF77" s="165" t="s">
        <v>353</v>
      </c>
    </row>
    <row r="78" spans="1:32" x14ac:dyDescent="0.3">
      <c r="A78" s="165" t="s">
        <v>354</v>
      </c>
      <c r="B78" s="165" t="s">
        <v>14</v>
      </c>
      <c r="C78" s="165" t="s">
        <v>301</v>
      </c>
      <c r="D78" s="165" t="s">
        <v>15</v>
      </c>
      <c r="E78" s="157">
        <v>40573</v>
      </c>
      <c r="F78" s="165" t="s">
        <v>149</v>
      </c>
      <c r="G78" s="165" t="s">
        <v>149</v>
      </c>
      <c r="H78" s="165" t="s">
        <v>149</v>
      </c>
      <c r="I78" s="165" t="s">
        <v>149</v>
      </c>
      <c r="J78" s="165" t="s">
        <v>149</v>
      </c>
      <c r="K78" s="165" t="s">
        <v>16</v>
      </c>
      <c r="L78" s="165" t="s">
        <v>149</v>
      </c>
      <c r="M78" s="165" t="s">
        <v>149</v>
      </c>
      <c r="N78" s="165" t="s">
        <v>16</v>
      </c>
      <c r="O78" s="165" t="s">
        <v>151</v>
      </c>
      <c r="P78" s="165" t="s">
        <v>16</v>
      </c>
      <c r="Q78" s="165" t="s">
        <v>16</v>
      </c>
      <c r="R78" s="165" t="s">
        <v>16</v>
      </c>
      <c r="S78" s="165" t="s">
        <v>148</v>
      </c>
      <c r="T78" s="165" t="s">
        <v>149</v>
      </c>
      <c r="U78" s="165" t="s">
        <v>149</v>
      </c>
      <c r="V78" s="165" t="s">
        <v>16</v>
      </c>
      <c r="W78" s="165" t="s">
        <v>149</v>
      </c>
      <c r="X78" s="165" t="s">
        <v>16</v>
      </c>
      <c r="Y78" s="165" t="s">
        <v>16</v>
      </c>
      <c r="Z78" s="165" t="s">
        <v>148</v>
      </c>
      <c r="AA78" s="165" t="s">
        <v>16</v>
      </c>
      <c r="AB78" s="165" t="s">
        <v>16</v>
      </c>
      <c r="AC78" s="165" t="s">
        <v>149</v>
      </c>
      <c r="AD78" s="165" t="s">
        <v>149</v>
      </c>
      <c r="AE78" s="165" t="s">
        <v>325</v>
      </c>
      <c r="AF78" s="165"/>
    </row>
    <row r="79" spans="1:32" x14ac:dyDescent="0.3">
      <c r="A79" s="165" t="s">
        <v>355</v>
      </c>
      <c r="B79" s="165" t="s">
        <v>14</v>
      </c>
      <c r="C79" s="165" t="s">
        <v>301</v>
      </c>
      <c r="D79" s="165" t="s">
        <v>15</v>
      </c>
      <c r="E79" s="157">
        <v>40573</v>
      </c>
      <c r="F79" s="165" t="s">
        <v>16</v>
      </c>
      <c r="G79" s="165" t="s">
        <v>16</v>
      </c>
      <c r="H79" s="165" t="s">
        <v>148</v>
      </c>
      <c r="I79" s="165" t="s">
        <v>148</v>
      </c>
      <c r="J79" s="165" t="s">
        <v>148</v>
      </c>
      <c r="K79" s="165" t="s">
        <v>148</v>
      </c>
      <c r="L79" s="165" t="s">
        <v>150</v>
      </c>
      <c r="M79" s="165" t="s">
        <v>16</v>
      </c>
      <c r="N79" s="165" t="s">
        <v>150</v>
      </c>
      <c r="O79" s="165" t="s">
        <v>16</v>
      </c>
      <c r="P79" s="165" t="s">
        <v>16</v>
      </c>
      <c r="Q79" s="165" t="s">
        <v>16</v>
      </c>
      <c r="R79" s="165" t="s">
        <v>148</v>
      </c>
      <c r="S79" s="165" t="s">
        <v>16</v>
      </c>
      <c r="T79" s="165" t="s">
        <v>148</v>
      </c>
      <c r="U79" s="165" t="s">
        <v>150</v>
      </c>
      <c r="V79" s="165" t="s">
        <v>16</v>
      </c>
      <c r="W79" s="165" t="s">
        <v>16</v>
      </c>
      <c r="X79" s="165" t="s">
        <v>148</v>
      </c>
      <c r="Y79" s="165" t="s">
        <v>16</v>
      </c>
      <c r="Z79" s="165" t="s">
        <v>16</v>
      </c>
      <c r="AA79" s="165" t="s">
        <v>148</v>
      </c>
      <c r="AB79" s="165" t="s">
        <v>16</v>
      </c>
      <c r="AC79" s="165" t="s">
        <v>148</v>
      </c>
      <c r="AD79" s="165" t="s">
        <v>148</v>
      </c>
      <c r="AE79" s="165" t="s">
        <v>302</v>
      </c>
      <c r="AF79" s="165"/>
    </row>
    <row r="80" spans="1:32" x14ac:dyDescent="0.3">
      <c r="A80" s="165" t="s">
        <v>356</v>
      </c>
      <c r="B80" s="165" t="s">
        <v>14</v>
      </c>
      <c r="C80" s="165" t="s">
        <v>301</v>
      </c>
      <c r="D80" s="165" t="s">
        <v>15</v>
      </c>
      <c r="E80" s="157">
        <v>40573</v>
      </c>
      <c r="F80" s="165" t="s">
        <v>16</v>
      </c>
      <c r="G80" s="165" t="s">
        <v>16</v>
      </c>
      <c r="H80" s="165" t="s">
        <v>16</v>
      </c>
      <c r="I80" s="165" t="s">
        <v>148</v>
      </c>
      <c r="J80" s="165" t="s">
        <v>148</v>
      </c>
      <c r="K80" s="165" t="s">
        <v>16</v>
      </c>
      <c r="L80" s="165" t="s">
        <v>148</v>
      </c>
      <c r="M80" s="165" t="s">
        <v>148</v>
      </c>
      <c r="N80" s="165" t="s">
        <v>148</v>
      </c>
      <c r="O80" s="165" t="s">
        <v>16</v>
      </c>
      <c r="P80" s="165" t="s">
        <v>16</v>
      </c>
      <c r="Q80" s="165" t="s">
        <v>16</v>
      </c>
      <c r="R80" s="165" t="s">
        <v>149</v>
      </c>
      <c r="S80" s="165" t="s">
        <v>148</v>
      </c>
      <c r="T80" s="165" t="s">
        <v>16</v>
      </c>
      <c r="U80" s="165" t="s">
        <v>150</v>
      </c>
      <c r="V80" s="165" t="s">
        <v>16</v>
      </c>
      <c r="W80" s="165" t="s">
        <v>16</v>
      </c>
      <c r="X80" s="165" t="s">
        <v>148</v>
      </c>
      <c r="Y80" s="165" t="s">
        <v>149</v>
      </c>
      <c r="Z80" s="165" t="s">
        <v>16</v>
      </c>
      <c r="AA80" s="165" t="s">
        <v>16</v>
      </c>
      <c r="AB80" s="165" t="s">
        <v>16</v>
      </c>
      <c r="AC80" s="165" t="s">
        <v>16</v>
      </c>
      <c r="AD80" s="165" t="s">
        <v>16</v>
      </c>
      <c r="AE80" s="165" t="s">
        <v>357</v>
      </c>
      <c r="AF80" s="165"/>
    </row>
    <row r="81" spans="1:32" x14ac:dyDescent="0.3">
      <c r="A81" s="165" t="s">
        <v>358</v>
      </c>
      <c r="B81" s="165" t="s">
        <v>14</v>
      </c>
      <c r="C81" s="165" t="s">
        <v>301</v>
      </c>
      <c r="D81" s="165" t="s">
        <v>15</v>
      </c>
      <c r="E81" s="157">
        <v>40573</v>
      </c>
      <c r="F81" s="165" t="s">
        <v>16</v>
      </c>
      <c r="G81" s="165" t="s">
        <v>16</v>
      </c>
      <c r="H81" s="165" t="s">
        <v>16</v>
      </c>
      <c r="I81" s="165" t="s">
        <v>16</v>
      </c>
      <c r="J81" s="165" t="s">
        <v>16</v>
      </c>
      <c r="K81" s="165" t="s">
        <v>16</v>
      </c>
      <c r="L81" s="165" t="s">
        <v>148</v>
      </c>
      <c r="M81" s="165" t="s">
        <v>148</v>
      </c>
      <c r="N81" s="165" t="s">
        <v>148</v>
      </c>
      <c r="O81" s="165" t="s">
        <v>16</v>
      </c>
      <c r="P81" s="165" t="s">
        <v>16</v>
      </c>
      <c r="Q81" s="165" t="s">
        <v>16</v>
      </c>
      <c r="R81" s="165" t="s">
        <v>16</v>
      </c>
      <c r="S81" s="165" t="s">
        <v>16</v>
      </c>
      <c r="T81" s="165" t="s">
        <v>16</v>
      </c>
      <c r="U81" s="165" t="s">
        <v>148</v>
      </c>
      <c r="V81" s="165" t="s">
        <v>16</v>
      </c>
      <c r="W81" s="165" t="s">
        <v>148</v>
      </c>
      <c r="X81" s="165" t="s">
        <v>16</v>
      </c>
      <c r="Y81" s="165" t="s">
        <v>16</v>
      </c>
      <c r="Z81" s="165" t="s">
        <v>16</v>
      </c>
      <c r="AA81" s="165" t="s">
        <v>16</v>
      </c>
      <c r="AB81" s="165" t="s">
        <v>16</v>
      </c>
      <c r="AC81" s="165" t="s">
        <v>16</v>
      </c>
      <c r="AD81" s="165" t="s">
        <v>16</v>
      </c>
      <c r="AE81" s="165" t="s">
        <v>325</v>
      </c>
      <c r="AF81" s="165"/>
    </row>
    <row r="82" spans="1:32" x14ac:dyDescent="0.3">
      <c r="A82" s="165" t="s">
        <v>359</v>
      </c>
      <c r="B82" s="165" t="s">
        <v>14</v>
      </c>
      <c r="C82" s="165" t="s">
        <v>301</v>
      </c>
      <c r="D82" s="165" t="s">
        <v>15</v>
      </c>
      <c r="E82" s="157">
        <v>40573</v>
      </c>
      <c r="F82" s="165" t="s">
        <v>16</v>
      </c>
      <c r="G82" s="165" t="s">
        <v>148</v>
      </c>
      <c r="H82" s="165" t="s">
        <v>148</v>
      </c>
      <c r="I82" s="165" t="s">
        <v>148</v>
      </c>
      <c r="J82" s="165" t="s">
        <v>150</v>
      </c>
      <c r="K82" s="165" t="s">
        <v>150</v>
      </c>
      <c r="L82" s="165" t="s">
        <v>16</v>
      </c>
      <c r="M82" s="165" t="s">
        <v>16</v>
      </c>
      <c r="N82" s="165" t="s">
        <v>148</v>
      </c>
      <c r="O82" s="165" t="s">
        <v>16</v>
      </c>
      <c r="P82" s="165" t="s">
        <v>148</v>
      </c>
      <c r="Q82" s="165" t="s">
        <v>16</v>
      </c>
      <c r="R82" s="165" t="s">
        <v>16</v>
      </c>
      <c r="S82" s="165" t="s">
        <v>148</v>
      </c>
      <c r="T82" s="165" t="s">
        <v>148</v>
      </c>
      <c r="U82" s="165" t="s">
        <v>150</v>
      </c>
      <c r="V82" s="165" t="s">
        <v>16</v>
      </c>
      <c r="W82" s="165" t="s">
        <v>16</v>
      </c>
      <c r="X82" s="165" t="s">
        <v>16</v>
      </c>
      <c r="Y82" s="165" t="s">
        <v>16</v>
      </c>
      <c r="Z82" s="165" t="s">
        <v>16</v>
      </c>
      <c r="AA82" s="165" t="s">
        <v>16</v>
      </c>
      <c r="AB82" s="165" t="s">
        <v>16</v>
      </c>
      <c r="AC82" s="165" t="s">
        <v>148</v>
      </c>
      <c r="AD82" s="165" t="s">
        <v>148</v>
      </c>
      <c r="AE82" s="165" t="s">
        <v>325</v>
      </c>
      <c r="AF82" s="165"/>
    </row>
    <row r="83" spans="1:32" x14ac:dyDescent="0.3">
      <c r="A83" s="165" t="s">
        <v>360</v>
      </c>
      <c r="B83" s="165" t="s">
        <v>14</v>
      </c>
      <c r="C83" s="165" t="s">
        <v>301</v>
      </c>
      <c r="D83" s="165" t="s">
        <v>15</v>
      </c>
      <c r="E83" s="157">
        <v>40573</v>
      </c>
      <c r="F83" s="165" t="s">
        <v>16</v>
      </c>
      <c r="G83" s="165" t="s">
        <v>16</v>
      </c>
      <c r="H83" s="165" t="s">
        <v>148</v>
      </c>
      <c r="I83" s="165" t="s">
        <v>16</v>
      </c>
      <c r="J83" s="165" t="s">
        <v>148</v>
      </c>
      <c r="K83" s="165" t="s">
        <v>16</v>
      </c>
      <c r="L83" s="165" t="s">
        <v>148</v>
      </c>
      <c r="M83" s="165" t="s">
        <v>148</v>
      </c>
      <c r="N83" s="165" t="s">
        <v>16</v>
      </c>
      <c r="O83" s="165" t="s">
        <v>16</v>
      </c>
      <c r="P83" s="165" t="s">
        <v>16</v>
      </c>
      <c r="Q83" s="165" t="s">
        <v>16</v>
      </c>
      <c r="R83" s="165" t="s">
        <v>16</v>
      </c>
      <c r="S83" s="165" t="s">
        <v>16</v>
      </c>
      <c r="T83" s="165" t="s">
        <v>16</v>
      </c>
      <c r="U83" s="165" t="s">
        <v>16</v>
      </c>
      <c r="V83" s="165" t="s">
        <v>16</v>
      </c>
      <c r="W83" s="165" t="s">
        <v>148</v>
      </c>
      <c r="X83" s="165" t="s">
        <v>148</v>
      </c>
      <c r="Y83" s="165" t="s">
        <v>16</v>
      </c>
      <c r="Z83" s="165" t="s">
        <v>16</v>
      </c>
      <c r="AA83" s="165" t="s">
        <v>148</v>
      </c>
      <c r="AB83" s="165" t="s">
        <v>16</v>
      </c>
      <c r="AC83" s="165" t="s">
        <v>148</v>
      </c>
      <c r="AD83" s="165" t="s">
        <v>148</v>
      </c>
      <c r="AE83" s="165" t="s">
        <v>302</v>
      </c>
      <c r="AF83" s="165"/>
    </row>
    <row r="84" spans="1:32" x14ac:dyDescent="0.3">
      <c r="A84" s="165" t="s">
        <v>361</v>
      </c>
      <c r="B84" s="165" t="s">
        <v>14</v>
      </c>
      <c r="C84" s="165" t="s">
        <v>301</v>
      </c>
      <c r="D84" s="165" t="s">
        <v>15</v>
      </c>
      <c r="E84" s="157">
        <v>40573</v>
      </c>
      <c r="F84" s="165" t="s">
        <v>16</v>
      </c>
      <c r="G84" s="165" t="s">
        <v>16</v>
      </c>
      <c r="H84" s="165" t="s">
        <v>16</v>
      </c>
      <c r="I84" s="165" t="s">
        <v>16</v>
      </c>
      <c r="J84" s="165" t="s">
        <v>16</v>
      </c>
      <c r="K84" s="165" t="s">
        <v>16</v>
      </c>
      <c r="L84" s="165" t="s">
        <v>16</v>
      </c>
      <c r="M84" s="165" t="s">
        <v>16</v>
      </c>
      <c r="N84" s="165" t="s">
        <v>16</v>
      </c>
      <c r="O84" s="165" t="s">
        <v>16</v>
      </c>
      <c r="P84" s="165" t="s">
        <v>16</v>
      </c>
      <c r="Q84" s="165" t="s">
        <v>16</v>
      </c>
      <c r="R84" s="165" t="s">
        <v>16</v>
      </c>
      <c r="S84" s="165" t="s">
        <v>16</v>
      </c>
      <c r="T84" s="165" t="s">
        <v>16</v>
      </c>
      <c r="U84" s="165" t="s">
        <v>16</v>
      </c>
      <c r="V84" s="165" t="s">
        <v>16</v>
      </c>
      <c r="W84" s="165" t="s">
        <v>16</v>
      </c>
      <c r="X84" s="165" t="s">
        <v>16</v>
      </c>
      <c r="Y84" s="165" t="s">
        <v>16</v>
      </c>
      <c r="Z84" s="165" t="s">
        <v>16</v>
      </c>
      <c r="AA84" s="165" t="s">
        <v>16</v>
      </c>
      <c r="AB84" s="165" t="s">
        <v>16</v>
      </c>
      <c r="AC84" s="165" t="s">
        <v>16</v>
      </c>
      <c r="AD84" s="165" t="s">
        <v>16</v>
      </c>
      <c r="AE84" s="165" t="s">
        <v>302</v>
      </c>
      <c r="AF84" s="165"/>
    </row>
    <row r="85" spans="1:32" x14ac:dyDescent="0.3">
      <c r="A85" s="165" t="s">
        <v>362</v>
      </c>
      <c r="B85" s="165" t="s">
        <v>14</v>
      </c>
      <c r="C85" s="165" t="s">
        <v>301</v>
      </c>
      <c r="D85" s="165" t="s">
        <v>15</v>
      </c>
      <c r="E85" s="157">
        <v>40573</v>
      </c>
      <c r="F85" s="165" t="s">
        <v>16</v>
      </c>
      <c r="G85" s="165" t="s">
        <v>148</v>
      </c>
      <c r="H85" s="165" t="s">
        <v>16</v>
      </c>
      <c r="I85" s="165" t="s">
        <v>16</v>
      </c>
      <c r="J85" s="165" t="s">
        <v>149</v>
      </c>
      <c r="K85" s="165" t="s">
        <v>16</v>
      </c>
      <c r="L85" s="165" t="s">
        <v>16</v>
      </c>
      <c r="M85" s="165" t="s">
        <v>16</v>
      </c>
      <c r="N85" s="165" t="s">
        <v>148</v>
      </c>
      <c r="O85" s="165" t="s">
        <v>148</v>
      </c>
      <c r="P85" s="165" t="s">
        <v>148</v>
      </c>
      <c r="Q85" s="165" t="s">
        <v>16</v>
      </c>
      <c r="R85" s="165" t="s">
        <v>16</v>
      </c>
      <c r="S85" s="165" t="s">
        <v>148</v>
      </c>
      <c r="T85" s="165" t="s">
        <v>148</v>
      </c>
      <c r="U85" s="165" t="s">
        <v>16</v>
      </c>
      <c r="V85" s="165" t="s">
        <v>16</v>
      </c>
      <c r="W85" s="165" t="s">
        <v>16</v>
      </c>
      <c r="X85" s="165" t="s">
        <v>16</v>
      </c>
      <c r="Y85" s="165" t="s">
        <v>16</v>
      </c>
      <c r="Z85" s="165" t="s">
        <v>149</v>
      </c>
      <c r="AA85" s="165" t="s">
        <v>16</v>
      </c>
      <c r="AB85" s="165" t="s">
        <v>16</v>
      </c>
      <c r="AC85" s="165" t="s">
        <v>16</v>
      </c>
      <c r="AD85" s="165" t="s">
        <v>16</v>
      </c>
      <c r="AE85" s="165" t="s">
        <v>302</v>
      </c>
      <c r="AF85" s="165"/>
    </row>
    <row r="88" spans="1:32" x14ac:dyDescent="0.3">
      <c r="A88" s="165"/>
      <c r="B88" s="165"/>
      <c r="C88" s="165"/>
      <c r="D88" s="165"/>
      <c r="E88" s="165"/>
      <c r="F88" s="165" t="s">
        <v>124</v>
      </c>
      <c r="G88" s="165" t="s">
        <v>125</v>
      </c>
      <c r="H88" s="165" t="s">
        <v>126</v>
      </c>
      <c r="I88" s="165" t="s">
        <v>127</v>
      </c>
      <c r="J88" s="165" t="s">
        <v>214</v>
      </c>
      <c r="K88" s="165" t="s">
        <v>128</v>
      </c>
      <c r="L88" s="165" t="s">
        <v>129</v>
      </c>
      <c r="M88" s="165" t="s">
        <v>130</v>
      </c>
      <c r="N88" s="165" t="s">
        <v>131</v>
      </c>
      <c r="O88" s="165" t="s">
        <v>132</v>
      </c>
      <c r="P88" s="165" t="s">
        <v>133</v>
      </c>
      <c r="Q88" s="165" t="s">
        <v>134</v>
      </c>
      <c r="R88" s="165" t="s">
        <v>135</v>
      </c>
      <c r="S88" s="165" t="s">
        <v>136</v>
      </c>
      <c r="T88" s="165" t="s">
        <v>137</v>
      </c>
      <c r="U88" s="165" t="s">
        <v>138</v>
      </c>
      <c r="V88" s="165" t="s">
        <v>139</v>
      </c>
      <c r="W88" s="165" t="s">
        <v>140</v>
      </c>
      <c r="X88" s="165" t="s">
        <v>186</v>
      </c>
      <c r="Y88" s="165" t="s">
        <v>209</v>
      </c>
      <c r="Z88" s="165" t="s">
        <v>141</v>
      </c>
      <c r="AA88" s="165" t="s">
        <v>142</v>
      </c>
      <c r="AB88" s="165" t="s">
        <v>210</v>
      </c>
      <c r="AC88" s="165" t="s">
        <v>143</v>
      </c>
      <c r="AD88" s="165" t="s">
        <v>144</v>
      </c>
      <c r="AE88" s="165" t="s">
        <v>363</v>
      </c>
      <c r="AF88" s="165" t="s">
        <v>190</v>
      </c>
    </row>
    <row r="89" spans="1:32" x14ac:dyDescent="0.3">
      <c r="A89" s="165" t="s">
        <v>364</v>
      </c>
      <c r="B89" s="165" t="s">
        <v>14</v>
      </c>
      <c r="C89" s="165" t="s">
        <v>365</v>
      </c>
      <c r="D89" s="165" t="s">
        <v>15</v>
      </c>
      <c r="E89" s="157">
        <v>40542</v>
      </c>
      <c r="F89" s="165" t="s">
        <v>149</v>
      </c>
      <c r="G89" s="165" t="s">
        <v>150</v>
      </c>
      <c r="H89" s="165" t="s">
        <v>148</v>
      </c>
      <c r="I89" s="165" t="s">
        <v>148</v>
      </c>
      <c r="J89" s="165" t="s">
        <v>148</v>
      </c>
      <c r="K89" s="165" t="s">
        <v>148</v>
      </c>
      <c r="L89" s="165" t="s">
        <v>16</v>
      </c>
      <c r="M89" s="165" t="s">
        <v>149</v>
      </c>
      <c r="N89" s="165" t="s">
        <v>149</v>
      </c>
      <c r="O89" s="165" t="s">
        <v>16</v>
      </c>
      <c r="P89" s="165" t="s">
        <v>148</v>
      </c>
      <c r="Q89" s="165" t="s">
        <v>16</v>
      </c>
      <c r="R89" s="165" t="s">
        <v>150</v>
      </c>
      <c r="S89" s="165" t="s">
        <v>148</v>
      </c>
      <c r="T89" s="165" t="s">
        <v>148</v>
      </c>
      <c r="U89" s="165" t="s">
        <v>16</v>
      </c>
      <c r="V89" s="165" t="s">
        <v>149</v>
      </c>
      <c r="W89" s="165" t="s">
        <v>16</v>
      </c>
      <c r="X89" s="165" t="s">
        <v>16</v>
      </c>
      <c r="Y89" s="165" t="s">
        <v>16</v>
      </c>
      <c r="Z89" s="165" t="s">
        <v>16</v>
      </c>
      <c r="AA89" s="165" t="s">
        <v>16</v>
      </c>
      <c r="AB89" s="165" t="s">
        <v>148</v>
      </c>
      <c r="AC89" s="165" t="s">
        <v>150</v>
      </c>
      <c r="AD89" s="165" t="s">
        <v>148</v>
      </c>
      <c r="AE89" s="165" t="s">
        <v>366</v>
      </c>
      <c r="AF89" s="165"/>
    </row>
    <row r="90" spans="1:32" x14ac:dyDescent="0.3">
      <c r="A90" s="165" t="s">
        <v>367</v>
      </c>
      <c r="B90" s="165" t="s">
        <v>14</v>
      </c>
      <c r="C90" s="165" t="s">
        <v>365</v>
      </c>
      <c r="D90" s="165" t="s">
        <v>15</v>
      </c>
      <c r="E90" s="157">
        <v>40542</v>
      </c>
      <c r="F90" s="165" t="s">
        <v>148</v>
      </c>
      <c r="G90" s="165" t="s">
        <v>148</v>
      </c>
      <c r="H90" s="165" t="s">
        <v>148</v>
      </c>
      <c r="I90" s="165" t="s">
        <v>148</v>
      </c>
      <c r="J90" s="165" t="s">
        <v>148</v>
      </c>
      <c r="K90" s="165" t="s">
        <v>150</v>
      </c>
      <c r="L90" s="165" t="s">
        <v>150</v>
      </c>
      <c r="M90" s="165" t="s">
        <v>16</v>
      </c>
      <c r="N90" s="165" t="s">
        <v>148</v>
      </c>
      <c r="O90" s="165" t="s">
        <v>16</v>
      </c>
      <c r="P90" s="165" t="s">
        <v>16</v>
      </c>
      <c r="Q90" s="165" t="s">
        <v>16</v>
      </c>
      <c r="R90" s="165" t="s">
        <v>16</v>
      </c>
      <c r="S90" s="165" t="s">
        <v>16</v>
      </c>
      <c r="T90" s="165" t="s">
        <v>148</v>
      </c>
      <c r="U90" s="165" t="s">
        <v>16</v>
      </c>
      <c r="V90" s="165" t="s">
        <v>16</v>
      </c>
      <c r="W90" s="165" t="s">
        <v>148</v>
      </c>
      <c r="X90" s="165" t="s">
        <v>148</v>
      </c>
      <c r="Y90" s="165" t="s">
        <v>150</v>
      </c>
      <c r="Z90" s="165" t="s">
        <v>148</v>
      </c>
      <c r="AA90" s="165" t="s">
        <v>148</v>
      </c>
      <c r="AB90" s="165" t="s">
        <v>16</v>
      </c>
      <c r="AC90" s="165" t="s">
        <v>150</v>
      </c>
      <c r="AD90" s="165" t="s">
        <v>16</v>
      </c>
      <c r="AE90" s="165" t="s">
        <v>368</v>
      </c>
      <c r="AF90" s="165"/>
    </row>
    <row r="91" spans="1:32" x14ac:dyDescent="0.3">
      <c r="A91" s="165" t="s">
        <v>369</v>
      </c>
      <c r="B91" s="165" t="s">
        <v>14</v>
      </c>
      <c r="C91" s="165" t="s">
        <v>365</v>
      </c>
      <c r="D91" s="165" t="s">
        <v>15</v>
      </c>
      <c r="E91" s="157">
        <v>40542</v>
      </c>
      <c r="F91" s="165" t="s">
        <v>16</v>
      </c>
      <c r="G91" s="165" t="s">
        <v>16</v>
      </c>
      <c r="H91" s="165" t="s">
        <v>16</v>
      </c>
      <c r="I91" s="165" t="s">
        <v>16</v>
      </c>
      <c r="J91" s="165" t="s">
        <v>148</v>
      </c>
      <c r="K91" s="165" t="s">
        <v>16</v>
      </c>
      <c r="L91" s="165" t="s">
        <v>148</v>
      </c>
      <c r="M91" s="165" t="s">
        <v>16</v>
      </c>
      <c r="N91" s="165" t="s">
        <v>16</v>
      </c>
      <c r="O91" s="165" t="s">
        <v>16</v>
      </c>
      <c r="P91" s="165" t="s">
        <v>148</v>
      </c>
      <c r="Q91" s="165" t="s">
        <v>16</v>
      </c>
      <c r="R91" s="165" t="s">
        <v>16</v>
      </c>
      <c r="S91" s="165" t="s">
        <v>148</v>
      </c>
      <c r="T91" s="165" t="s">
        <v>16</v>
      </c>
      <c r="U91" s="165" t="s">
        <v>16</v>
      </c>
      <c r="V91" s="165" t="s">
        <v>16</v>
      </c>
      <c r="W91" s="165" t="s">
        <v>16</v>
      </c>
      <c r="X91" s="165" t="s">
        <v>148</v>
      </c>
      <c r="Y91" s="165" t="s">
        <v>16</v>
      </c>
      <c r="Z91" s="165" t="s">
        <v>16</v>
      </c>
      <c r="AA91" s="165" t="s">
        <v>16</v>
      </c>
      <c r="AB91" s="165" t="s">
        <v>16</v>
      </c>
      <c r="AC91" s="165" t="s">
        <v>150</v>
      </c>
      <c r="AD91" s="165" t="s">
        <v>148</v>
      </c>
      <c r="AE91" s="165"/>
      <c r="AF91" s="165"/>
    </row>
    <row r="92" spans="1:32" x14ac:dyDescent="0.3">
      <c r="A92" s="165" t="s">
        <v>370</v>
      </c>
      <c r="B92" s="165" t="s">
        <v>14</v>
      </c>
      <c r="C92" s="165" t="s">
        <v>365</v>
      </c>
      <c r="D92" s="165" t="s">
        <v>15</v>
      </c>
      <c r="E92" s="157">
        <v>40542</v>
      </c>
      <c r="F92" s="165" t="s">
        <v>16</v>
      </c>
      <c r="G92" s="165" t="s">
        <v>16</v>
      </c>
      <c r="H92" s="165" t="s">
        <v>148</v>
      </c>
      <c r="I92" s="165" t="s">
        <v>150</v>
      </c>
      <c r="J92" s="165" t="s">
        <v>150</v>
      </c>
      <c r="K92" s="165" t="s">
        <v>148</v>
      </c>
      <c r="L92" s="165" t="s">
        <v>148</v>
      </c>
      <c r="M92" s="165" t="s">
        <v>150</v>
      </c>
      <c r="N92" s="165" t="s">
        <v>150</v>
      </c>
      <c r="O92" s="165" t="s">
        <v>148</v>
      </c>
      <c r="P92" s="165" t="s">
        <v>150</v>
      </c>
      <c r="Q92" s="165" t="s">
        <v>16</v>
      </c>
      <c r="R92" s="165" t="s">
        <v>16</v>
      </c>
      <c r="S92" s="165" t="s">
        <v>150</v>
      </c>
      <c r="T92" s="165" t="s">
        <v>150</v>
      </c>
      <c r="U92" s="165" t="s">
        <v>150</v>
      </c>
      <c r="V92" s="165" t="s">
        <v>16</v>
      </c>
      <c r="W92" s="165" t="s">
        <v>16</v>
      </c>
      <c r="X92" s="165" t="s">
        <v>148</v>
      </c>
      <c r="Y92" s="165" t="s">
        <v>16</v>
      </c>
      <c r="Z92" s="165" t="s">
        <v>150</v>
      </c>
      <c r="AA92" s="165" t="s">
        <v>150</v>
      </c>
      <c r="AB92" s="165" t="s">
        <v>16</v>
      </c>
      <c r="AC92" s="165" t="s">
        <v>16</v>
      </c>
      <c r="AD92" s="165" t="s">
        <v>148</v>
      </c>
      <c r="AE92" s="165" t="s">
        <v>371</v>
      </c>
      <c r="AF92" s="165" t="s">
        <v>372</v>
      </c>
    </row>
    <row r="93" spans="1:32" x14ac:dyDescent="0.3">
      <c r="A93" s="165" t="s">
        <v>373</v>
      </c>
      <c r="B93" s="165" t="s">
        <v>14</v>
      </c>
      <c r="C93" s="165" t="s">
        <v>365</v>
      </c>
      <c r="D93" s="165" t="s">
        <v>15</v>
      </c>
      <c r="E93" s="157">
        <v>40542</v>
      </c>
      <c r="F93" s="165" t="s">
        <v>16</v>
      </c>
      <c r="G93" s="165" t="s">
        <v>148</v>
      </c>
      <c r="H93" s="165" t="s">
        <v>16</v>
      </c>
      <c r="I93" s="165" t="s">
        <v>16</v>
      </c>
      <c r="J93" s="165" t="s">
        <v>148</v>
      </c>
      <c r="K93" s="165" t="s">
        <v>16</v>
      </c>
      <c r="L93" s="165" t="s">
        <v>16</v>
      </c>
      <c r="M93" s="165" t="s">
        <v>16</v>
      </c>
      <c r="N93" s="165" t="s">
        <v>148</v>
      </c>
      <c r="O93" s="165" t="s">
        <v>16</v>
      </c>
      <c r="P93" s="165" t="s">
        <v>148</v>
      </c>
      <c r="Q93" s="165" t="s">
        <v>16</v>
      </c>
      <c r="R93" s="165" t="s">
        <v>16</v>
      </c>
      <c r="S93" s="165" t="s">
        <v>16</v>
      </c>
      <c r="T93" s="165" t="s">
        <v>16</v>
      </c>
      <c r="U93" s="165" t="s">
        <v>16</v>
      </c>
      <c r="V93" s="165" t="s">
        <v>148</v>
      </c>
      <c r="W93" s="165" t="s">
        <v>16</v>
      </c>
      <c r="X93" s="165" t="s">
        <v>148</v>
      </c>
      <c r="Y93" s="165" t="s">
        <v>114</v>
      </c>
      <c r="Z93" s="165" t="s">
        <v>16</v>
      </c>
      <c r="AA93" s="165" t="s">
        <v>148</v>
      </c>
      <c r="AB93" s="165" t="s">
        <v>16</v>
      </c>
      <c r="AC93" s="165" t="s">
        <v>148</v>
      </c>
      <c r="AD93" s="165" t="s">
        <v>148</v>
      </c>
      <c r="AE93" s="165" t="s">
        <v>374</v>
      </c>
      <c r="AF93" s="165" t="s">
        <v>375</v>
      </c>
    </row>
    <row r="94" spans="1:32" x14ac:dyDescent="0.3">
      <c r="A94" s="165" t="s">
        <v>376</v>
      </c>
      <c r="B94" s="165" t="s">
        <v>14</v>
      </c>
      <c r="C94" s="165" t="s">
        <v>365</v>
      </c>
      <c r="D94" s="165" t="s">
        <v>15</v>
      </c>
      <c r="E94" s="157">
        <v>40542</v>
      </c>
      <c r="F94" s="165" t="s">
        <v>16</v>
      </c>
      <c r="G94" s="165" t="s">
        <v>148</v>
      </c>
      <c r="H94" s="165" t="s">
        <v>148</v>
      </c>
      <c r="I94" s="165" t="s">
        <v>16</v>
      </c>
      <c r="J94" s="165" t="s">
        <v>16</v>
      </c>
      <c r="K94" s="165" t="s">
        <v>16</v>
      </c>
      <c r="L94" s="165" t="s">
        <v>16</v>
      </c>
      <c r="M94" s="165" t="s">
        <v>16</v>
      </c>
      <c r="N94" s="165" t="s">
        <v>16</v>
      </c>
      <c r="O94" s="165" t="s">
        <v>16</v>
      </c>
      <c r="P94" s="165" t="s">
        <v>148</v>
      </c>
      <c r="Q94" s="165" t="s">
        <v>16</v>
      </c>
      <c r="R94" s="165" t="s">
        <v>16</v>
      </c>
      <c r="S94" s="165" t="s">
        <v>148</v>
      </c>
      <c r="T94" s="165" t="s">
        <v>16</v>
      </c>
      <c r="U94" s="165" t="s">
        <v>148</v>
      </c>
      <c r="V94" s="165" t="s">
        <v>148</v>
      </c>
      <c r="W94" s="165" t="s">
        <v>148</v>
      </c>
      <c r="X94" s="165" t="s">
        <v>16</v>
      </c>
      <c r="Y94" s="165" t="s">
        <v>16</v>
      </c>
      <c r="Z94" s="165" t="s">
        <v>16</v>
      </c>
      <c r="AA94" s="165" t="s">
        <v>16</v>
      </c>
      <c r="AB94" s="165" t="s">
        <v>16</v>
      </c>
      <c r="AC94" s="165" t="s">
        <v>150</v>
      </c>
      <c r="AD94" s="165" t="s">
        <v>16</v>
      </c>
      <c r="AE94" s="165" t="s">
        <v>377</v>
      </c>
      <c r="AF94" s="165"/>
    </row>
    <row r="95" spans="1:32" x14ac:dyDescent="0.3">
      <c r="A95" s="165" t="s">
        <v>378</v>
      </c>
      <c r="B95" s="165" t="s">
        <v>14</v>
      </c>
      <c r="C95" s="165" t="s">
        <v>365</v>
      </c>
      <c r="D95" s="165" t="s">
        <v>15</v>
      </c>
      <c r="E95" s="157">
        <v>40542</v>
      </c>
      <c r="F95" s="165" t="s">
        <v>16</v>
      </c>
      <c r="G95" s="165" t="s">
        <v>16</v>
      </c>
      <c r="H95" s="165" t="s">
        <v>16</v>
      </c>
      <c r="I95" s="165" t="s">
        <v>16</v>
      </c>
      <c r="J95" s="165" t="s">
        <v>16</v>
      </c>
      <c r="K95" s="165" t="s">
        <v>16</v>
      </c>
      <c r="L95" s="165" t="s">
        <v>16</v>
      </c>
      <c r="M95" s="165" t="s">
        <v>16</v>
      </c>
      <c r="N95" s="165" t="s">
        <v>16</v>
      </c>
      <c r="O95" s="165" t="s">
        <v>16</v>
      </c>
      <c r="P95" s="165" t="s">
        <v>16</v>
      </c>
      <c r="Q95" s="165" t="s">
        <v>16</v>
      </c>
      <c r="R95" s="165" t="s">
        <v>16</v>
      </c>
      <c r="S95" s="165" t="s">
        <v>16</v>
      </c>
      <c r="T95" s="165" t="s">
        <v>16</v>
      </c>
      <c r="U95" s="165" t="s">
        <v>16</v>
      </c>
      <c r="V95" s="165" t="s">
        <v>16</v>
      </c>
      <c r="W95" s="165" t="s">
        <v>16</v>
      </c>
      <c r="X95" s="165" t="s">
        <v>16</v>
      </c>
      <c r="Y95" s="165" t="s">
        <v>16</v>
      </c>
      <c r="Z95" s="165" t="s">
        <v>16</v>
      </c>
      <c r="AA95" s="165" t="s">
        <v>16</v>
      </c>
      <c r="AB95" s="165" t="s">
        <v>16</v>
      </c>
      <c r="AC95" s="165" t="s">
        <v>148</v>
      </c>
      <c r="AD95" s="165" t="s">
        <v>16</v>
      </c>
      <c r="AE95" s="165" t="s">
        <v>379</v>
      </c>
      <c r="AF95" s="165"/>
    </row>
    <row r="96" spans="1:32" x14ac:dyDescent="0.3">
      <c r="A96" s="165" t="s">
        <v>380</v>
      </c>
      <c r="B96" s="165" t="s">
        <v>14</v>
      </c>
      <c r="C96" s="165" t="s">
        <v>365</v>
      </c>
      <c r="D96" s="165" t="s">
        <v>15</v>
      </c>
      <c r="E96" s="157">
        <v>40542</v>
      </c>
      <c r="F96" s="165" t="s">
        <v>16</v>
      </c>
      <c r="G96" s="165" t="s">
        <v>16</v>
      </c>
      <c r="H96" s="165" t="s">
        <v>16</v>
      </c>
      <c r="I96" s="165" t="s">
        <v>16</v>
      </c>
      <c r="J96" s="165" t="s">
        <v>16</v>
      </c>
      <c r="K96" s="165" t="s">
        <v>16</v>
      </c>
      <c r="L96" s="165" t="s">
        <v>16</v>
      </c>
      <c r="M96" s="165" t="s">
        <v>16</v>
      </c>
      <c r="N96" s="165" t="s">
        <v>16</v>
      </c>
      <c r="O96" s="165" t="s">
        <v>16</v>
      </c>
      <c r="P96" s="165" t="s">
        <v>16</v>
      </c>
      <c r="Q96" s="165" t="s">
        <v>16</v>
      </c>
      <c r="R96" s="165" t="s">
        <v>16</v>
      </c>
      <c r="S96" s="165" t="s">
        <v>16</v>
      </c>
      <c r="T96" s="165" t="s">
        <v>16</v>
      </c>
      <c r="U96" s="165" t="s">
        <v>16</v>
      </c>
      <c r="V96" s="165" t="s">
        <v>16</v>
      </c>
      <c r="W96" s="165" t="s">
        <v>16</v>
      </c>
      <c r="X96" s="165" t="s">
        <v>16</v>
      </c>
      <c r="Y96" s="165" t="s">
        <v>16</v>
      </c>
      <c r="Z96" s="165" t="s">
        <v>16</v>
      </c>
      <c r="AA96" s="165" t="s">
        <v>16</v>
      </c>
      <c r="AB96" s="165" t="s">
        <v>16</v>
      </c>
      <c r="AC96" s="165" t="s">
        <v>148</v>
      </c>
      <c r="AD96" s="165" t="s">
        <v>16</v>
      </c>
      <c r="AE96" s="165" t="s">
        <v>381</v>
      </c>
      <c r="AF96" s="165"/>
    </row>
    <row r="97" spans="1:32" x14ac:dyDescent="0.3">
      <c r="A97" s="165" t="s">
        <v>382</v>
      </c>
      <c r="B97" s="165" t="s">
        <v>14</v>
      </c>
      <c r="C97" s="165" t="s">
        <v>365</v>
      </c>
      <c r="D97" s="165" t="s">
        <v>15</v>
      </c>
      <c r="E97" s="157">
        <v>40542</v>
      </c>
      <c r="F97" s="165" t="s">
        <v>149</v>
      </c>
      <c r="G97" s="165" t="s">
        <v>149</v>
      </c>
      <c r="H97" s="165" t="s">
        <v>149</v>
      </c>
      <c r="I97" s="165" t="s">
        <v>149</v>
      </c>
      <c r="J97" s="165" t="s">
        <v>16</v>
      </c>
      <c r="K97" s="165" t="s">
        <v>149</v>
      </c>
      <c r="L97" s="165" t="s">
        <v>149</v>
      </c>
      <c r="M97" s="165" t="s">
        <v>149</v>
      </c>
      <c r="N97" s="165" t="s">
        <v>148</v>
      </c>
      <c r="O97" s="165" t="s">
        <v>149</v>
      </c>
      <c r="P97" s="165" t="s">
        <v>16</v>
      </c>
      <c r="Q97" s="165" t="s">
        <v>16</v>
      </c>
      <c r="R97" s="165" t="s">
        <v>149</v>
      </c>
      <c r="S97" s="165" t="s">
        <v>16</v>
      </c>
      <c r="T97" s="165" t="s">
        <v>149</v>
      </c>
      <c r="U97" s="165" t="s">
        <v>149</v>
      </c>
      <c r="V97" s="165" t="s">
        <v>16</v>
      </c>
      <c r="W97" s="165" t="s">
        <v>148</v>
      </c>
      <c r="X97" s="165" t="s">
        <v>148</v>
      </c>
      <c r="Y97" s="165" t="s">
        <v>149</v>
      </c>
      <c r="Z97" s="165" t="s">
        <v>149</v>
      </c>
      <c r="AA97" s="165" t="s">
        <v>149</v>
      </c>
      <c r="AB97" s="165" t="s">
        <v>148</v>
      </c>
      <c r="AC97" s="165" t="s">
        <v>150</v>
      </c>
      <c r="AD97" s="165" t="s">
        <v>16</v>
      </c>
      <c r="AE97" s="165" t="s">
        <v>383</v>
      </c>
      <c r="AF97" s="165"/>
    </row>
    <row r="98" spans="1:32" x14ac:dyDescent="0.3">
      <c r="A98" s="165" t="s">
        <v>384</v>
      </c>
      <c r="B98" s="165" t="s">
        <v>14</v>
      </c>
      <c r="C98" s="165" t="s">
        <v>365</v>
      </c>
      <c r="D98" s="165" t="s">
        <v>15</v>
      </c>
      <c r="E98" s="157">
        <v>40542</v>
      </c>
      <c r="F98" s="165" t="s">
        <v>16</v>
      </c>
      <c r="G98" s="165" t="s">
        <v>16</v>
      </c>
      <c r="H98" s="165" t="s">
        <v>16</v>
      </c>
      <c r="I98" s="165" t="s">
        <v>148</v>
      </c>
      <c r="J98" s="165" t="s">
        <v>148</v>
      </c>
      <c r="K98" s="165" t="s">
        <v>16</v>
      </c>
      <c r="L98" s="165" t="s">
        <v>16</v>
      </c>
      <c r="M98" s="165" t="s">
        <v>148</v>
      </c>
      <c r="N98" s="165" t="s">
        <v>148</v>
      </c>
      <c r="O98" s="165" t="s">
        <v>148</v>
      </c>
      <c r="P98" s="165" t="s">
        <v>148</v>
      </c>
      <c r="Q98" s="165" t="s">
        <v>148</v>
      </c>
      <c r="R98" s="165" t="s">
        <v>148</v>
      </c>
      <c r="S98" s="165" t="s">
        <v>148</v>
      </c>
      <c r="T98" s="165" t="s">
        <v>148</v>
      </c>
      <c r="U98" s="165" t="s">
        <v>16</v>
      </c>
      <c r="V98" s="165" t="s">
        <v>148</v>
      </c>
      <c r="W98" s="165" t="s">
        <v>16</v>
      </c>
      <c r="X98" s="165" t="s">
        <v>148</v>
      </c>
      <c r="Y98" s="165" t="s">
        <v>148</v>
      </c>
      <c r="Z98" s="165" t="s">
        <v>148</v>
      </c>
      <c r="AA98" s="165" t="s">
        <v>148</v>
      </c>
      <c r="AB98" s="165" t="s">
        <v>16</v>
      </c>
      <c r="AC98" s="165" t="s">
        <v>148</v>
      </c>
      <c r="AD98" s="165" t="s">
        <v>148</v>
      </c>
      <c r="AE98" s="165" t="s">
        <v>385</v>
      </c>
      <c r="AF98" s="165"/>
    </row>
    <row r="99" spans="1:32" x14ac:dyDescent="0.3">
      <c r="A99" s="165" t="s">
        <v>386</v>
      </c>
      <c r="B99" s="165" t="s">
        <v>14</v>
      </c>
      <c r="C99" s="165" t="s">
        <v>365</v>
      </c>
      <c r="D99" s="165" t="s">
        <v>15</v>
      </c>
      <c r="E99" s="157">
        <v>40542</v>
      </c>
      <c r="F99" s="165" t="s">
        <v>16</v>
      </c>
      <c r="G99" s="165" t="s">
        <v>16</v>
      </c>
      <c r="H99" s="165" t="s">
        <v>16</v>
      </c>
      <c r="I99" s="165" t="s">
        <v>148</v>
      </c>
      <c r="J99" s="165" t="s">
        <v>148</v>
      </c>
      <c r="K99" s="165" t="s">
        <v>148</v>
      </c>
      <c r="L99" s="165" t="s">
        <v>16</v>
      </c>
      <c r="M99" s="165" t="s">
        <v>16</v>
      </c>
      <c r="N99" s="165" t="s">
        <v>148</v>
      </c>
      <c r="O99" s="165" t="s">
        <v>148</v>
      </c>
      <c r="P99" s="165" t="s">
        <v>16</v>
      </c>
      <c r="Q99" s="165" t="s">
        <v>16</v>
      </c>
      <c r="R99" s="165" t="s">
        <v>16</v>
      </c>
      <c r="S99" s="165" t="s">
        <v>16</v>
      </c>
      <c r="T99" s="165" t="s">
        <v>16</v>
      </c>
      <c r="U99" s="165" t="s">
        <v>148</v>
      </c>
      <c r="V99" s="165" t="s">
        <v>16</v>
      </c>
      <c r="W99" s="165" t="s">
        <v>16</v>
      </c>
      <c r="X99" s="165" t="s">
        <v>148</v>
      </c>
      <c r="Y99" s="165" t="s">
        <v>148</v>
      </c>
      <c r="Z99" s="165" t="s">
        <v>16</v>
      </c>
      <c r="AA99" s="165" t="s">
        <v>16</v>
      </c>
      <c r="AB99" s="165" t="s">
        <v>16</v>
      </c>
      <c r="AC99" s="165" t="s">
        <v>148</v>
      </c>
      <c r="AD99" s="165" t="s">
        <v>16</v>
      </c>
      <c r="AE99" s="165" t="s">
        <v>387</v>
      </c>
      <c r="AF99" s="165"/>
    </row>
    <row r="100" spans="1:32" x14ac:dyDescent="0.3">
      <c r="A100" s="165" t="s">
        <v>388</v>
      </c>
      <c r="B100" s="165" t="s">
        <v>14</v>
      </c>
      <c r="C100" s="165" t="s">
        <v>365</v>
      </c>
      <c r="D100" s="165" t="s">
        <v>15</v>
      </c>
      <c r="E100" s="157">
        <v>40542</v>
      </c>
      <c r="F100" s="165" t="s">
        <v>16</v>
      </c>
      <c r="G100" s="165" t="s">
        <v>16</v>
      </c>
      <c r="H100" s="165" t="s">
        <v>16</v>
      </c>
      <c r="I100" s="165" t="s">
        <v>16</v>
      </c>
      <c r="J100" s="165" t="s">
        <v>16</v>
      </c>
      <c r="K100" s="165" t="s">
        <v>16</v>
      </c>
      <c r="L100" s="165" t="s">
        <v>16</v>
      </c>
      <c r="M100" s="165" t="s">
        <v>16</v>
      </c>
      <c r="N100" s="165" t="s">
        <v>16</v>
      </c>
      <c r="O100" s="165" t="s">
        <v>16</v>
      </c>
      <c r="P100" s="165" t="s">
        <v>16</v>
      </c>
      <c r="Q100" s="165" t="s">
        <v>16</v>
      </c>
      <c r="R100" s="165" t="s">
        <v>16</v>
      </c>
      <c r="S100" s="165" t="s">
        <v>16</v>
      </c>
      <c r="T100" s="165" t="s">
        <v>16</v>
      </c>
      <c r="U100" s="165" t="s">
        <v>16</v>
      </c>
      <c r="V100" s="165" t="s">
        <v>16</v>
      </c>
      <c r="W100" s="165" t="s">
        <v>16</v>
      </c>
      <c r="X100" s="165" t="s">
        <v>16</v>
      </c>
      <c r="Y100" s="165" t="s">
        <v>16</v>
      </c>
      <c r="Z100" s="165" t="s">
        <v>16</v>
      </c>
      <c r="AA100" s="165" t="s">
        <v>16</v>
      </c>
      <c r="AB100" s="165" t="s">
        <v>16</v>
      </c>
      <c r="AC100" s="165" t="s">
        <v>16</v>
      </c>
      <c r="AD100" s="165" t="s">
        <v>16</v>
      </c>
      <c r="AE100" s="165" t="s">
        <v>389</v>
      </c>
      <c r="AF100" s="165"/>
    </row>
    <row r="101" spans="1:32" x14ac:dyDescent="0.3">
      <c r="A101" s="165" t="s">
        <v>390</v>
      </c>
      <c r="B101" s="165" t="s">
        <v>14</v>
      </c>
      <c r="C101" s="165" t="s">
        <v>365</v>
      </c>
      <c r="D101" s="165" t="s">
        <v>15</v>
      </c>
      <c r="E101" s="157">
        <v>40542</v>
      </c>
      <c r="F101" s="165" t="s">
        <v>148</v>
      </c>
      <c r="G101" s="165" t="s">
        <v>148</v>
      </c>
      <c r="H101" s="165" t="s">
        <v>148</v>
      </c>
      <c r="I101" s="165" t="s">
        <v>148</v>
      </c>
      <c r="J101" s="165" t="s">
        <v>148</v>
      </c>
      <c r="K101" s="165" t="s">
        <v>148</v>
      </c>
      <c r="L101" s="165" t="s">
        <v>148</v>
      </c>
      <c r="M101" s="165" t="s">
        <v>148</v>
      </c>
      <c r="N101" s="165" t="s">
        <v>148</v>
      </c>
      <c r="O101" s="165" t="s">
        <v>16</v>
      </c>
      <c r="P101" s="165" t="s">
        <v>16</v>
      </c>
      <c r="Q101" s="165" t="s">
        <v>16</v>
      </c>
      <c r="R101" s="165" t="s">
        <v>16</v>
      </c>
      <c r="S101" s="165" t="s">
        <v>16</v>
      </c>
      <c r="T101" s="165" t="s">
        <v>16</v>
      </c>
      <c r="U101" s="165" t="s">
        <v>148</v>
      </c>
      <c r="V101" s="165" t="s">
        <v>16</v>
      </c>
      <c r="W101" s="165" t="s">
        <v>16</v>
      </c>
      <c r="X101" s="165" t="s">
        <v>16</v>
      </c>
      <c r="Y101" s="165" t="s">
        <v>16</v>
      </c>
      <c r="Z101" s="165" t="s">
        <v>16</v>
      </c>
      <c r="AA101" s="165" t="s">
        <v>16</v>
      </c>
      <c r="AB101" s="165" t="s">
        <v>148</v>
      </c>
      <c r="AC101" s="165" t="s">
        <v>148</v>
      </c>
      <c r="AD101" s="165" t="s">
        <v>16</v>
      </c>
      <c r="AE101" s="165" t="s">
        <v>391</v>
      </c>
      <c r="AF101" s="165"/>
    </row>
    <row r="102" spans="1:32" x14ac:dyDescent="0.3">
      <c r="A102" s="165" t="s">
        <v>392</v>
      </c>
      <c r="B102" s="165" t="s">
        <v>14</v>
      </c>
      <c r="C102" s="165" t="s">
        <v>365</v>
      </c>
      <c r="D102" s="165" t="s">
        <v>15</v>
      </c>
      <c r="E102" s="157">
        <v>40542</v>
      </c>
      <c r="F102" s="165" t="s">
        <v>148</v>
      </c>
      <c r="G102" s="165" t="s">
        <v>16</v>
      </c>
      <c r="H102" s="165" t="s">
        <v>114</v>
      </c>
      <c r="I102" s="165" t="s">
        <v>114</v>
      </c>
      <c r="J102" s="165" t="s">
        <v>114</v>
      </c>
      <c r="K102" s="165" t="s">
        <v>16</v>
      </c>
      <c r="L102" s="165" t="s">
        <v>16</v>
      </c>
      <c r="M102" s="165" t="s">
        <v>148</v>
      </c>
      <c r="N102" s="165" t="s">
        <v>16</v>
      </c>
      <c r="O102" s="165" t="s">
        <v>16</v>
      </c>
      <c r="P102" s="165" t="s">
        <v>16</v>
      </c>
      <c r="Q102" s="165" t="s">
        <v>16</v>
      </c>
      <c r="R102" s="165" t="s">
        <v>16</v>
      </c>
      <c r="S102" s="165" t="s">
        <v>16</v>
      </c>
      <c r="T102" s="165" t="s">
        <v>16</v>
      </c>
      <c r="U102" s="165" t="s">
        <v>16</v>
      </c>
      <c r="V102" s="165" t="s">
        <v>148</v>
      </c>
      <c r="W102" s="165" t="s">
        <v>16</v>
      </c>
      <c r="X102" s="165" t="s">
        <v>114</v>
      </c>
      <c r="Y102" s="165" t="s">
        <v>114</v>
      </c>
      <c r="Z102" s="165" t="s">
        <v>16</v>
      </c>
      <c r="AA102" s="165" t="s">
        <v>16</v>
      </c>
      <c r="AB102" s="165" t="s">
        <v>16</v>
      </c>
      <c r="AC102" s="165" t="s">
        <v>148</v>
      </c>
      <c r="AD102" s="165" t="s">
        <v>148</v>
      </c>
      <c r="AE102" s="165"/>
      <c r="AF102" s="165"/>
    </row>
    <row r="103" spans="1:32" x14ac:dyDescent="0.3">
      <c r="A103" s="165" t="s">
        <v>393</v>
      </c>
      <c r="B103" s="165" t="s">
        <v>14</v>
      </c>
      <c r="C103" s="165" t="s">
        <v>365</v>
      </c>
      <c r="D103" s="165" t="s">
        <v>15</v>
      </c>
      <c r="E103" s="157">
        <v>40542</v>
      </c>
      <c r="F103" s="165" t="s">
        <v>16</v>
      </c>
      <c r="G103" s="165" t="s">
        <v>16</v>
      </c>
      <c r="H103" s="165" t="s">
        <v>16</v>
      </c>
      <c r="I103" s="165" t="s">
        <v>16</v>
      </c>
      <c r="J103" s="165" t="s">
        <v>16</v>
      </c>
      <c r="K103" s="165" t="s">
        <v>16</v>
      </c>
      <c r="L103" s="165" t="s">
        <v>16</v>
      </c>
      <c r="M103" s="165" t="s">
        <v>16</v>
      </c>
      <c r="N103" s="165" t="s">
        <v>16</v>
      </c>
      <c r="O103" s="165" t="s">
        <v>148</v>
      </c>
      <c r="P103" s="165" t="s">
        <v>148</v>
      </c>
      <c r="Q103" s="165" t="s">
        <v>16</v>
      </c>
      <c r="R103" s="165" t="s">
        <v>16</v>
      </c>
      <c r="S103" s="165" t="s">
        <v>16</v>
      </c>
      <c r="T103" s="165" t="s">
        <v>16</v>
      </c>
      <c r="U103" s="165" t="s">
        <v>16</v>
      </c>
      <c r="V103" s="165" t="s">
        <v>16</v>
      </c>
      <c r="W103" s="165" t="s">
        <v>16</v>
      </c>
      <c r="X103" s="165" t="s">
        <v>16</v>
      </c>
      <c r="Y103" s="165" t="s">
        <v>114</v>
      </c>
      <c r="Z103" s="165" t="s">
        <v>16</v>
      </c>
      <c r="AA103" s="165" t="s">
        <v>148</v>
      </c>
      <c r="AB103" s="165" t="s">
        <v>114</v>
      </c>
      <c r="AC103" s="165" t="s">
        <v>148</v>
      </c>
      <c r="AD103" s="165" t="s">
        <v>16</v>
      </c>
      <c r="AE103" s="165"/>
      <c r="AF103" s="165"/>
    </row>
    <row r="104" spans="1:32" x14ac:dyDescent="0.3">
      <c r="A104" s="165" t="s">
        <v>394</v>
      </c>
      <c r="B104" s="165" t="s">
        <v>14</v>
      </c>
      <c r="C104" s="165" t="s">
        <v>365</v>
      </c>
      <c r="D104" s="165" t="s">
        <v>15</v>
      </c>
      <c r="E104" s="157">
        <v>40542</v>
      </c>
      <c r="F104" s="165" t="s">
        <v>16</v>
      </c>
      <c r="G104" s="165" t="s">
        <v>16</v>
      </c>
      <c r="H104" s="165" t="s">
        <v>148</v>
      </c>
      <c r="I104" s="165" t="s">
        <v>16</v>
      </c>
      <c r="J104" s="165" t="s">
        <v>16</v>
      </c>
      <c r="K104" s="165" t="s">
        <v>16</v>
      </c>
      <c r="L104" s="165" t="s">
        <v>16</v>
      </c>
      <c r="M104" s="165" t="s">
        <v>16</v>
      </c>
      <c r="N104" s="165" t="s">
        <v>16</v>
      </c>
      <c r="O104" s="165" t="s">
        <v>16</v>
      </c>
      <c r="P104" s="165" t="s">
        <v>16</v>
      </c>
      <c r="Q104" s="165" t="s">
        <v>16</v>
      </c>
      <c r="R104" s="165" t="s">
        <v>16</v>
      </c>
      <c r="S104" s="165" t="s">
        <v>16</v>
      </c>
      <c r="T104" s="165" t="s">
        <v>16</v>
      </c>
      <c r="U104" s="165" t="s">
        <v>16</v>
      </c>
      <c r="V104" s="165" t="s">
        <v>148</v>
      </c>
      <c r="W104" s="165" t="s">
        <v>16</v>
      </c>
      <c r="X104" s="165" t="s">
        <v>148</v>
      </c>
      <c r="Y104" s="165" t="s">
        <v>148</v>
      </c>
      <c r="Z104" s="165" t="s">
        <v>16</v>
      </c>
      <c r="AA104" s="165" t="s">
        <v>148</v>
      </c>
      <c r="AB104" s="165" t="s">
        <v>16</v>
      </c>
      <c r="AC104" s="165" t="s">
        <v>148</v>
      </c>
      <c r="AD104" s="165" t="s">
        <v>16</v>
      </c>
      <c r="AE104" s="165"/>
      <c r="AF104" s="165"/>
    </row>
    <row r="105" spans="1:32" x14ac:dyDescent="0.3">
      <c r="A105" s="165" t="s">
        <v>395</v>
      </c>
      <c r="B105" s="165" t="s">
        <v>14</v>
      </c>
      <c r="C105" s="165" t="s">
        <v>365</v>
      </c>
      <c r="D105" s="165" t="s">
        <v>15</v>
      </c>
      <c r="E105" s="157">
        <v>40542</v>
      </c>
      <c r="F105" s="165" t="s">
        <v>16</v>
      </c>
      <c r="G105" s="165" t="s">
        <v>16</v>
      </c>
      <c r="H105" s="165" t="s">
        <v>148</v>
      </c>
      <c r="I105" s="165" t="s">
        <v>16</v>
      </c>
      <c r="J105" s="165" t="s">
        <v>148</v>
      </c>
      <c r="K105" s="165" t="s">
        <v>16</v>
      </c>
      <c r="L105" s="165" t="s">
        <v>148</v>
      </c>
      <c r="M105" s="165" t="s">
        <v>16</v>
      </c>
      <c r="N105" s="165" t="s">
        <v>16</v>
      </c>
      <c r="O105" s="165" t="s">
        <v>16</v>
      </c>
      <c r="P105" s="165" t="s">
        <v>16</v>
      </c>
      <c r="Q105" s="165" t="s">
        <v>16</v>
      </c>
      <c r="R105" s="165" t="s">
        <v>16</v>
      </c>
      <c r="S105" s="165" t="s">
        <v>16</v>
      </c>
      <c r="T105" s="165" t="s">
        <v>16</v>
      </c>
      <c r="U105" s="165" t="s">
        <v>16</v>
      </c>
      <c r="V105" s="165" t="s">
        <v>16</v>
      </c>
      <c r="W105" s="165" t="s">
        <v>16</v>
      </c>
      <c r="X105" s="165" t="s">
        <v>16</v>
      </c>
      <c r="Y105" s="165" t="s">
        <v>16</v>
      </c>
      <c r="Z105" s="165" t="s">
        <v>16</v>
      </c>
      <c r="AA105" s="165" t="s">
        <v>16</v>
      </c>
      <c r="AB105" s="165" t="s">
        <v>16</v>
      </c>
      <c r="AC105" s="165" t="s">
        <v>16</v>
      </c>
      <c r="AD105" s="165" t="s">
        <v>16</v>
      </c>
      <c r="AE105" s="165"/>
      <c r="AF105" s="165"/>
    </row>
    <row r="106" spans="1:32" x14ac:dyDescent="0.3">
      <c r="A106" s="165" t="s">
        <v>396</v>
      </c>
      <c r="B106" s="165" t="s">
        <v>14</v>
      </c>
      <c r="C106" s="165" t="s">
        <v>365</v>
      </c>
      <c r="D106" s="165" t="s">
        <v>15</v>
      </c>
      <c r="E106" s="157">
        <v>40542</v>
      </c>
      <c r="F106" s="165" t="s">
        <v>16</v>
      </c>
      <c r="G106" s="165" t="s">
        <v>16</v>
      </c>
      <c r="H106" s="165" t="s">
        <v>148</v>
      </c>
      <c r="I106" s="165" t="s">
        <v>16</v>
      </c>
      <c r="J106" s="165" t="s">
        <v>148</v>
      </c>
      <c r="K106" s="165" t="s">
        <v>16</v>
      </c>
      <c r="L106" s="165" t="s">
        <v>16</v>
      </c>
      <c r="M106" s="165" t="s">
        <v>16</v>
      </c>
      <c r="N106" s="165" t="s">
        <v>16</v>
      </c>
      <c r="O106" s="165" t="s">
        <v>148</v>
      </c>
      <c r="P106" s="165" t="s">
        <v>16</v>
      </c>
      <c r="Q106" s="165" t="s">
        <v>16</v>
      </c>
      <c r="R106" s="165" t="s">
        <v>16</v>
      </c>
      <c r="S106" s="165" t="s">
        <v>16</v>
      </c>
      <c r="T106" s="165" t="s">
        <v>16</v>
      </c>
      <c r="U106" s="165" t="s">
        <v>16</v>
      </c>
      <c r="V106" s="165" t="s">
        <v>16</v>
      </c>
      <c r="W106" s="165" t="s">
        <v>148</v>
      </c>
      <c r="X106" s="165" t="s">
        <v>16</v>
      </c>
      <c r="Y106" s="165" t="s">
        <v>16</v>
      </c>
      <c r="Z106" s="165" t="s">
        <v>16</v>
      </c>
      <c r="AA106" s="165" t="s">
        <v>16</v>
      </c>
      <c r="AB106" s="165" t="s">
        <v>16</v>
      </c>
      <c r="AC106" s="165" t="s">
        <v>150</v>
      </c>
      <c r="AD106" s="165" t="s">
        <v>148</v>
      </c>
      <c r="AE106" s="165" t="s">
        <v>397</v>
      </c>
      <c r="AF106" s="165" t="s">
        <v>398</v>
      </c>
    </row>
    <row r="107" spans="1:32" x14ac:dyDescent="0.3">
      <c r="A107" s="165" t="s">
        <v>399</v>
      </c>
      <c r="B107" s="165" t="s">
        <v>14</v>
      </c>
      <c r="C107" s="165" t="s">
        <v>365</v>
      </c>
      <c r="D107" s="165" t="s">
        <v>15</v>
      </c>
      <c r="E107" s="157">
        <v>40542</v>
      </c>
      <c r="F107" s="165" t="s">
        <v>148</v>
      </c>
      <c r="G107" s="165" t="s">
        <v>16</v>
      </c>
      <c r="H107" s="165" t="s">
        <v>150</v>
      </c>
      <c r="I107" s="165" t="s">
        <v>16</v>
      </c>
      <c r="J107" s="165" t="s">
        <v>150</v>
      </c>
      <c r="K107" s="165" t="s">
        <v>16</v>
      </c>
      <c r="L107" s="165" t="s">
        <v>16</v>
      </c>
      <c r="M107" s="165" t="s">
        <v>16</v>
      </c>
      <c r="N107" s="165" t="s">
        <v>150</v>
      </c>
      <c r="O107" s="165" t="s">
        <v>148</v>
      </c>
      <c r="P107" s="165" t="s">
        <v>148</v>
      </c>
      <c r="Q107" s="165" t="s">
        <v>148</v>
      </c>
      <c r="R107" s="165" t="s">
        <v>148</v>
      </c>
      <c r="S107" s="165" t="s">
        <v>148</v>
      </c>
      <c r="T107" s="165" t="s">
        <v>148</v>
      </c>
      <c r="U107" s="165" t="s">
        <v>16</v>
      </c>
      <c r="V107" s="165" t="s">
        <v>148</v>
      </c>
      <c r="W107" s="165" t="s">
        <v>150</v>
      </c>
      <c r="X107" s="165" t="s">
        <v>150</v>
      </c>
      <c r="Y107" s="165" t="s">
        <v>16</v>
      </c>
      <c r="Z107" s="165" t="s">
        <v>16</v>
      </c>
      <c r="AA107" s="165" t="s">
        <v>16</v>
      </c>
      <c r="AB107" s="165" t="s">
        <v>16</v>
      </c>
      <c r="AC107" s="165" t="s">
        <v>150</v>
      </c>
      <c r="AD107" s="165" t="s">
        <v>16</v>
      </c>
      <c r="AE107" s="165"/>
      <c r="AF107" s="165" t="s">
        <v>400</v>
      </c>
    </row>
    <row r="108" spans="1:32" x14ac:dyDescent="0.3">
      <c r="A108" s="165" t="s">
        <v>401</v>
      </c>
      <c r="B108" s="165" t="s">
        <v>14</v>
      </c>
      <c r="C108" s="165" t="s">
        <v>365</v>
      </c>
      <c r="D108" s="165" t="s">
        <v>15</v>
      </c>
      <c r="E108" s="157">
        <v>40542</v>
      </c>
      <c r="F108" s="165" t="s">
        <v>148</v>
      </c>
      <c r="G108" s="165" t="s">
        <v>16</v>
      </c>
      <c r="H108" s="165" t="s">
        <v>16</v>
      </c>
      <c r="I108" s="165" t="s">
        <v>16</v>
      </c>
      <c r="J108" s="165" t="s">
        <v>148</v>
      </c>
      <c r="K108" s="165" t="s">
        <v>16</v>
      </c>
      <c r="L108" s="165" t="s">
        <v>16</v>
      </c>
      <c r="M108" s="165" t="s">
        <v>16</v>
      </c>
      <c r="N108" s="165" t="s">
        <v>16</v>
      </c>
      <c r="O108" s="165" t="s">
        <v>16</v>
      </c>
      <c r="P108" s="165" t="s">
        <v>16</v>
      </c>
      <c r="Q108" s="165" t="s">
        <v>149</v>
      </c>
      <c r="R108" s="165" t="s">
        <v>149</v>
      </c>
      <c r="S108" s="165" t="s">
        <v>16</v>
      </c>
      <c r="T108" s="165" t="s">
        <v>16</v>
      </c>
      <c r="U108" s="165" t="s">
        <v>148</v>
      </c>
      <c r="V108" s="165" t="s">
        <v>16</v>
      </c>
      <c r="W108" s="165" t="s">
        <v>16</v>
      </c>
      <c r="X108" s="165" t="s">
        <v>16</v>
      </c>
      <c r="Y108" s="165" t="s">
        <v>16</v>
      </c>
      <c r="Z108" s="165" t="s">
        <v>16</v>
      </c>
      <c r="AA108" s="165" t="s">
        <v>16</v>
      </c>
      <c r="AB108" s="165" t="s">
        <v>16</v>
      </c>
      <c r="AC108" s="165" t="s">
        <v>16</v>
      </c>
      <c r="AD108" s="165" t="s">
        <v>16</v>
      </c>
      <c r="AE108" s="165" t="s">
        <v>402</v>
      </c>
      <c r="AF108" s="165"/>
    </row>
    <row r="109" spans="1:32" x14ac:dyDescent="0.3">
      <c r="A109" s="165" t="s">
        <v>403</v>
      </c>
      <c r="B109" s="165" t="s">
        <v>14</v>
      </c>
      <c r="C109" s="165" t="s">
        <v>365</v>
      </c>
      <c r="D109" s="165" t="s">
        <v>15</v>
      </c>
      <c r="E109" s="157">
        <v>40542</v>
      </c>
      <c r="F109" s="165" t="s">
        <v>16</v>
      </c>
      <c r="G109" s="165" t="s">
        <v>16</v>
      </c>
      <c r="H109" s="165" t="s">
        <v>148</v>
      </c>
      <c r="I109" s="165" t="s">
        <v>150</v>
      </c>
      <c r="J109" s="165" t="s">
        <v>150</v>
      </c>
      <c r="K109" s="165" t="s">
        <v>148</v>
      </c>
      <c r="L109" s="165" t="s">
        <v>148</v>
      </c>
      <c r="M109" s="165" t="s">
        <v>148</v>
      </c>
      <c r="N109" s="165" t="s">
        <v>148</v>
      </c>
      <c r="O109" s="165" t="s">
        <v>148</v>
      </c>
      <c r="P109" s="165" t="s">
        <v>148</v>
      </c>
      <c r="Q109" s="165" t="s">
        <v>16</v>
      </c>
      <c r="R109" s="165" t="s">
        <v>16</v>
      </c>
      <c r="S109" s="165" t="s">
        <v>148</v>
      </c>
      <c r="T109" s="165" t="s">
        <v>148</v>
      </c>
      <c r="U109" s="165" t="s">
        <v>148</v>
      </c>
      <c r="V109" s="165" t="s">
        <v>16</v>
      </c>
      <c r="W109" s="165" t="s">
        <v>16</v>
      </c>
      <c r="X109" s="165" t="s">
        <v>16</v>
      </c>
      <c r="Y109" s="165" t="s">
        <v>16</v>
      </c>
      <c r="Z109" s="165" t="s">
        <v>16</v>
      </c>
      <c r="AA109" s="165" t="s">
        <v>16</v>
      </c>
      <c r="AB109" s="165" t="s">
        <v>16</v>
      </c>
      <c r="AC109" s="165" t="s">
        <v>148</v>
      </c>
      <c r="AD109" s="165" t="s">
        <v>16</v>
      </c>
      <c r="AE109" s="165" t="s">
        <v>404</v>
      </c>
      <c r="AF109" s="165"/>
    </row>
    <row r="110" spans="1:32" x14ac:dyDescent="0.3">
      <c r="A110" s="165" t="s">
        <v>405</v>
      </c>
      <c r="B110" s="165" t="s">
        <v>14</v>
      </c>
      <c r="C110" s="165" t="s">
        <v>365</v>
      </c>
      <c r="D110" s="165" t="s">
        <v>15</v>
      </c>
      <c r="E110" s="157">
        <v>40542</v>
      </c>
      <c r="F110" s="165" t="s">
        <v>16</v>
      </c>
      <c r="G110" s="165" t="s">
        <v>16</v>
      </c>
      <c r="H110" s="165" t="s">
        <v>16</v>
      </c>
      <c r="I110" s="165" t="s">
        <v>148</v>
      </c>
      <c r="J110" s="165" t="s">
        <v>16</v>
      </c>
      <c r="K110" s="165" t="s">
        <v>16</v>
      </c>
      <c r="L110" s="165" t="s">
        <v>16</v>
      </c>
      <c r="M110" s="165" t="s">
        <v>16</v>
      </c>
      <c r="N110" s="165" t="s">
        <v>148</v>
      </c>
      <c r="O110" s="165" t="s">
        <v>16</v>
      </c>
      <c r="P110" s="165" t="s">
        <v>16</v>
      </c>
      <c r="Q110" s="165" t="s">
        <v>16</v>
      </c>
      <c r="R110" s="165" t="s">
        <v>16</v>
      </c>
      <c r="S110" s="165" t="s">
        <v>16</v>
      </c>
      <c r="T110" s="165" t="s">
        <v>16</v>
      </c>
      <c r="U110" s="165" t="s">
        <v>148</v>
      </c>
      <c r="V110" s="165" t="s">
        <v>16</v>
      </c>
      <c r="W110" s="165" t="s">
        <v>16</v>
      </c>
      <c r="X110" s="165" t="s">
        <v>16</v>
      </c>
      <c r="Y110" s="165" t="s">
        <v>16</v>
      </c>
      <c r="Z110" s="165" t="s">
        <v>16</v>
      </c>
      <c r="AA110" s="165" t="s">
        <v>16</v>
      </c>
      <c r="AB110" s="165" t="s">
        <v>149</v>
      </c>
      <c r="AC110" s="165" t="s">
        <v>148</v>
      </c>
      <c r="AD110" s="165" t="s">
        <v>16</v>
      </c>
      <c r="AE110" s="165" t="s">
        <v>406</v>
      </c>
      <c r="AF110" s="165" t="s">
        <v>407</v>
      </c>
    </row>
    <row r="111" spans="1:32" x14ac:dyDescent="0.3">
      <c r="A111" s="165" t="s">
        <v>408</v>
      </c>
      <c r="B111" s="165" t="s">
        <v>14</v>
      </c>
      <c r="C111" s="165" t="s">
        <v>365</v>
      </c>
      <c r="D111" s="165" t="s">
        <v>15</v>
      </c>
      <c r="E111" s="157">
        <v>40542</v>
      </c>
      <c r="F111" s="165" t="s">
        <v>148</v>
      </c>
      <c r="G111" s="165" t="s">
        <v>148</v>
      </c>
      <c r="H111" s="165" t="s">
        <v>16</v>
      </c>
      <c r="I111" s="165" t="s">
        <v>150</v>
      </c>
      <c r="J111" s="165" t="s">
        <v>148</v>
      </c>
      <c r="K111" s="165" t="s">
        <v>148</v>
      </c>
      <c r="L111" s="165" t="s">
        <v>16</v>
      </c>
      <c r="M111" s="165" t="s">
        <v>16</v>
      </c>
      <c r="N111" s="165" t="s">
        <v>150</v>
      </c>
      <c r="O111" s="165" t="s">
        <v>150</v>
      </c>
      <c r="P111" s="165" t="s">
        <v>16</v>
      </c>
      <c r="Q111" s="165" t="s">
        <v>16</v>
      </c>
      <c r="R111" s="165" t="s">
        <v>148</v>
      </c>
      <c r="S111" s="165" t="s">
        <v>16</v>
      </c>
      <c r="T111" s="165" t="s">
        <v>16</v>
      </c>
      <c r="U111" s="165" t="s">
        <v>16</v>
      </c>
      <c r="V111" s="165" t="s">
        <v>16</v>
      </c>
      <c r="W111" s="165" t="s">
        <v>16</v>
      </c>
      <c r="X111" s="165" t="s">
        <v>148</v>
      </c>
      <c r="Y111" s="165" t="s">
        <v>16</v>
      </c>
      <c r="Z111" s="165" t="s">
        <v>16</v>
      </c>
      <c r="AA111" s="165" t="s">
        <v>16</v>
      </c>
      <c r="AB111" s="165" t="s">
        <v>150</v>
      </c>
      <c r="AC111" s="165" t="s">
        <v>150</v>
      </c>
      <c r="AD111" s="165" t="s">
        <v>16</v>
      </c>
      <c r="AE111" s="165" t="s">
        <v>409</v>
      </c>
      <c r="AF111" s="165" t="s">
        <v>410</v>
      </c>
    </row>
    <row r="112" spans="1:32" x14ac:dyDescent="0.3">
      <c r="A112" s="165" t="s">
        <v>411</v>
      </c>
      <c r="B112" s="165" t="s">
        <v>14</v>
      </c>
      <c r="C112" s="165" t="s">
        <v>365</v>
      </c>
      <c r="D112" s="165" t="s">
        <v>15</v>
      </c>
      <c r="E112" s="157">
        <v>40542</v>
      </c>
      <c r="F112" s="165" t="s">
        <v>16</v>
      </c>
      <c r="G112" s="165" t="s">
        <v>16</v>
      </c>
      <c r="H112" s="165" t="s">
        <v>16</v>
      </c>
      <c r="I112" s="165" t="s">
        <v>16</v>
      </c>
      <c r="J112" s="165" t="s">
        <v>16</v>
      </c>
      <c r="K112" s="165" t="s">
        <v>16</v>
      </c>
      <c r="L112" s="165" t="s">
        <v>16</v>
      </c>
      <c r="M112" s="165" t="s">
        <v>16</v>
      </c>
      <c r="N112" s="165" t="s">
        <v>16</v>
      </c>
      <c r="O112" s="165" t="s">
        <v>16</v>
      </c>
      <c r="P112" s="165" t="s">
        <v>16</v>
      </c>
      <c r="Q112" s="165" t="s">
        <v>148</v>
      </c>
      <c r="R112" s="165" t="s">
        <v>16</v>
      </c>
      <c r="S112" s="165" t="s">
        <v>16</v>
      </c>
      <c r="T112" s="165" t="s">
        <v>16</v>
      </c>
      <c r="U112" s="165" t="s">
        <v>16</v>
      </c>
      <c r="V112" s="165" t="s">
        <v>16</v>
      </c>
      <c r="W112" s="165" t="s">
        <v>16</v>
      </c>
      <c r="X112" s="165" t="s">
        <v>16</v>
      </c>
      <c r="Y112" s="165" t="s">
        <v>16</v>
      </c>
      <c r="Z112" s="165" t="s">
        <v>16</v>
      </c>
      <c r="AA112" s="165" t="s">
        <v>16</v>
      </c>
      <c r="AB112" s="165" t="s">
        <v>16</v>
      </c>
      <c r="AC112" s="165" t="s">
        <v>16</v>
      </c>
      <c r="AD112" s="165" t="s">
        <v>16</v>
      </c>
      <c r="AE112" s="165" t="s">
        <v>412</v>
      </c>
      <c r="AF112" s="165"/>
    </row>
    <row r="113" spans="1:32" x14ac:dyDescent="0.3">
      <c r="A113" s="165" t="s">
        <v>413</v>
      </c>
      <c r="B113" s="165" t="s">
        <v>14</v>
      </c>
      <c r="C113" s="165" t="s">
        <v>365</v>
      </c>
      <c r="D113" s="165" t="s">
        <v>15</v>
      </c>
      <c r="E113" s="157">
        <v>40542</v>
      </c>
      <c r="F113" s="165" t="s">
        <v>150</v>
      </c>
      <c r="G113" s="165" t="s">
        <v>16</v>
      </c>
      <c r="H113" s="165" t="s">
        <v>148</v>
      </c>
      <c r="I113" s="165" t="s">
        <v>16</v>
      </c>
      <c r="J113" s="165" t="s">
        <v>148</v>
      </c>
      <c r="K113" s="165" t="s">
        <v>16</v>
      </c>
      <c r="L113" s="165" t="s">
        <v>148</v>
      </c>
      <c r="M113" s="165" t="s">
        <v>148</v>
      </c>
      <c r="N113" s="165" t="s">
        <v>16</v>
      </c>
      <c r="O113" s="165" t="s">
        <v>16</v>
      </c>
      <c r="P113" s="165" t="s">
        <v>148</v>
      </c>
      <c r="Q113" s="165" t="s">
        <v>148</v>
      </c>
      <c r="R113" s="165" t="s">
        <v>148</v>
      </c>
      <c r="S113" s="165" t="s">
        <v>16</v>
      </c>
      <c r="T113" s="165" t="s">
        <v>148</v>
      </c>
      <c r="U113" s="165" t="s">
        <v>148</v>
      </c>
      <c r="V113" s="165" t="s">
        <v>16</v>
      </c>
      <c r="W113" s="165" t="s">
        <v>16</v>
      </c>
      <c r="X113" s="165" t="s">
        <v>16</v>
      </c>
      <c r="Y113" s="165" t="s">
        <v>16</v>
      </c>
      <c r="Z113" s="165" t="s">
        <v>16</v>
      </c>
      <c r="AA113" s="165" t="s">
        <v>16</v>
      </c>
      <c r="AB113" s="165" t="s">
        <v>16</v>
      </c>
      <c r="AC113" s="165" t="s">
        <v>150</v>
      </c>
      <c r="AD113" s="165" t="s">
        <v>16</v>
      </c>
      <c r="AE113" s="165" t="s">
        <v>414</v>
      </c>
      <c r="AF113" s="165"/>
    </row>
    <row r="114" spans="1:32" x14ac:dyDescent="0.3">
      <c r="A114" s="165" t="s">
        <v>415</v>
      </c>
      <c r="B114" s="165" t="s">
        <v>14</v>
      </c>
      <c r="C114" s="165" t="s">
        <v>365</v>
      </c>
      <c r="D114" s="165" t="s">
        <v>15</v>
      </c>
      <c r="E114" s="157">
        <v>40542</v>
      </c>
      <c r="F114" s="165" t="s">
        <v>16</v>
      </c>
      <c r="G114" s="165" t="s">
        <v>16</v>
      </c>
      <c r="H114" s="165" t="s">
        <v>16</v>
      </c>
      <c r="I114" s="165" t="s">
        <v>16</v>
      </c>
      <c r="J114" s="165" t="s">
        <v>16</v>
      </c>
      <c r="K114" s="165" t="s">
        <v>16</v>
      </c>
      <c r="L114" s="165" t="s">
        <v>16</v>
      </c>
      <c r="M114" s="165" t="s">
        <v>16</v>
      </c>
      <c r="N114" s="165" t="s">
        <v>16</v>
      </c>
      <c r="O114" s="165" t="s">
        <v>16</v>
      </c>
      <c r="P114" s="165" t="s">
        <v>16</v>
      </c>
      <c r="Q114" s="165" t="s">
        <v>16</v>
      </c>
      <c r="R114" s="165" t="s">
        <v>16</v>
      </c>
      <c r="S114" s="165" t="s">
        <v>16</v>
      </c>
      <c r="T114" s="165" t="s">
        <v>16</v>
      </c>
      <c r="U114" s="165" t="s">
        <v>16</v>
      </c>
      <c r="V114" s="165" t="s">
        <v>16</v>
      </c>
      <c r="W114" s="165" t="s">
        <v>16</v>
      </c>
      <c r="X114" s="165" t="s">
        <v>16</v>
      </c>
      <c r="Y114" s="165" t="s">
        <v>16</v>
      </c>
      <c r="Z114" s="165" t="s">
        <v>16</v>
      </c>
      <c r="AA114" s="165" t="s">
        <v>16</v>
      </c>
      <c r="AB114" s="165" t="s">
        <v>16</v>
      </c>
      <c r="AC114" s="165" t="s">
        <v>16</v>
      </c>
      <c r="AD114" s="165" t="s">
        <v>16</v>
      </c>
      <c r="AE114" s="165"/>
      <c r="AF114" s="165"/>
    </row>
    <row r="115" spans="1:32" x14ac:dyDescent="0.3">
      <c r="A115" s="165" t="s">
        <v>416</v>
      </c>
      <c r="B115" s="165" t="s">
        <v>14</v>
      </c>
      <c r="C115" s="165" t="s">
        <v>365</v>
      </c>
      <c r="D115" s="165" t="s">
        <v>15</v>
      </c>
      <c r="E115" s="157">
        <v>40542</v>
      </c>
      <c r="F115" s="165" t="s">
        <v>16</v>
      </c>
      <c r="G115" s="165" t="s">
        <v>16</v>
      </c>
      <c r="H115" s="165" t="s">
        <v>148</v>
      </c>
      <c r="I115" s="165" t="s">
        <v>16</v>
      </c>
      <c r="J115" s="165" t="s">
        <v>148</v>
      </c>
      <c r="K115" s="165" t="s">
        <v>16</v>
      </c>
      <c r="L115" s="165" t="s">
        <v>16</v>
      </c>
      <c r="M115" s="165" t="s">
        <v>16</v>
      </c>
      <c r="N115" s="165" t="s">
        <v>16</v>
      </c>
      <c r="O115" s="165" t="s">
        <v>16</v>
      </c>
      <c r="P115" s="165" t="s">
        <v>16</v>
      </c>
      <c r="Q115" s="165" t="s">
        <v>16</v>
      </c>
      <c r="R115" s="165" t="s">
        <v>16</v>
      </c>
      <c r="S115" s="165" t="s">
        <v>16</v>
      </c>
      <c r="T115" s="165" t="s">
        <v>16</v>
      </c>
      <c r="U115" s="165" t="s">
        <v>16</v>
      </c>
      <c r="V115" s="165" t="s">
        <v>16</v>
      </c>
      <c r="W115" s="165" t="s">
        <v>16</v>
      </c>
      <c r="X115" s="165" t="s">
        <v>16</v>
      </c>
      <c r="Y115" s="165" t="s">
        <v>16</v>
      </c>
      <c r="Z115" s="165" t="s">
        <v>16</v>
      </c>
      <c r="AA115" s="165" t="s">
        <v>148</v>
      </c>
      <c r="AB115" s="165" t="s">
        <v>16</v>
      </c>
      <c r="AC115" s="165" t="s">
        <v>150</v>
      </c>
      <c r="AD115" s="165" t="s">
        <v>16</v>
      </c>
      <c r="AE115" s="165"/>
      <c r="AF115" s="165"/>
    </row>
    <row r="116" spans="1:32" x14ac:dyDescent="0.3">
      <c r="A116" s="165" t="s">
        <v>417</v>
      </c>
      <c r="B116" s="165" t="s">
        <v>14</v>
      </c>
      <c r="C116" s="165" t="s">
        <v>365</v>
      </c>
      <c r="D116" s="165" t="s">
        <v>15</v>
      </c>
      <c r="E116" s="157">
        <v>40542</v>
      </c>
      <c r="F116" s="165" t="s">
        <v>148</v>
      </c>
      <c r="G116" s="165" t="s">
        <v>149</v>
      </c>
      <c r="H116" s="165" t="s">
        <v>148</v>
      </c>
      <c r="I116" s="165" t="s">
        <v>16</v>
      </c>
      <c r="J116" s="165" t="s">
        <v>148</v>
      </c>
      <c r="K116" s="165" t="s">
        <v>16</v>
      </c>
      <c r="L116" s="165" t="s">
        <v>148</v>
      </c>
      <c r="M116" s="165" t="s">
        <v>148</v>
      </c>
      <c r="N116" s="165" t="s">
        <v>148</v>
      </c>
      <c r="O116" s="165" t="s">
        <v>148</v>
      </c>
      <c r="P116" s="165" t="s">
        <v>148</v>
      </c>
      <c r="Q116" s="165" t="s">
        <v>16</v>
      </c>
      <c r="R116" s="165" t="s">
        <v>148</v>
      </c>
      <c r="S116" s="165" t="s">
        <v>16</v>
      </c>
      <c r="T116" s="165" t="s">
        <v>16</v>
      </c>
      <c r="U116" s="165" t="s">
        <v>148</v>
      </c>
      <c r="V116" s="165" t="s">
        <v>148</v>
      </c>
      <c r="W116" s="165" t="s">
        <v>148</v>
      </c>
      <c r="X116" s="165" t="s">
        <v>148</v>
      </c>
      <c r="Y116" s="165" t="s">
        <v>16</v>
      </c>
      <c r="Z116" s="165" t="s">
        <v>148</v>
      </c>
      <c r="AA116" s="165" t="s">
        <v>148</v>
      </c>
      <c r="AB116" s="165" t="s">
        <v>16</v>
      </c>
      <c r="AC116" s="165" t="s">
        <v>148</v>
      </c>
      <c r="AD116" s="165" t="s">
        <v>16</v>
      </c>
      <c r="AE116" s="165" t="s">
        <v>418</v>
      </c>
      <c r="AF116" s="165"/>
    </row>
    <row r="117" spans="1:32" x14ac:dyDescent="0.3">
      <c r="A117" s="165" t="s">
        <v>419</v>
      </c>
      <c r="B117" s="165" t="s">
        <v>14</v>
      </c>
      <c r="C117" s="165" t="s">
        <v>365</v>
      </c>
      <c r="D117" s="165" t="s">
        <v>15</v>
      </c>
      <c r="E117" s="157">
        <v>40542</v>
      </c>
      <c r="F117" s="165" t="s">
        <v>148</v>
      </c>
      <c r="G117" s="165" t="s">
        <v>16</v>
      </c>
      <c r="H117" s="165" t="s">
        <v>148</v>
      </c>
      <c r="I117" s="165" t="s">
        <v>148</v>
      </c>
      <c r="J117" s="165" t="s">
        <v>150</v>
      </c>
      <c r="K117" s="165" t="s">
        <v>16</v>
      </c>
      <c r="L117" s="165" t="s">
        <v>148</v>
      </c>
      <c r="M117" s="165" t="s">
        <v>148</v>
      </c>
      <c r="N117" s="165" t="s">
        <v>148</v>
      </c>
      <c r="O117" s="165" t="s">
        <v>16</v>
      </c>
      <c r="P117" s="165" t="s">
        <v>148</v>
      </c>
      <c r="Q117" s="165" t="s">
        <v>16</v>
      </c>
      <c r="R117" s="165" t="s">
        <v>16</v>
      </c>
      <c r="S117" s="165" t="s">
        <v>148</v>
      </c>
      <c r="T117" s="165" t="s">
        <v>16</v>
      </c>
      <c r="U117" s="165" t="s">
        <v>16</v>
      </c>
      <c r="V117" s="165" t="s">
        <v>16</v>
      </c>
      <c r="W117" s="165" t="s">
        <v>148</v>
      </c>
      <c r="X117" s="165" t="s">
        <v>148</v>
      </c>
      <c r="Y117" s="165" t="s">
        <v>16</v>
      </c>
      <c r="Z117" s="165" t="s">
        <v>148</v>
      </c>
      <c r="AA117" s="165" t="s">
        <v>148</v>
      </c>
      <c r="AB117" s="165" t="s">
        <v>16</v>
      </c>
      <c r="AC117" s="165" t="s">
        <v>150</v>
      </c>
      <c r="AD117" s="165" t="s">
        <v>148</v>
      </c>
      <c r="AE117" s="165" t="s">
        <v>420</v>
      </c>
      <c r="AF117" s="165"/>
    </row>
    <row r="118" spans="1:32" x14ac:dyDescent="0.3">
      <c r="A118" s="165" t="s">
        <v>421</v>
      </c>
      <c r="B118" s="165" t="s">
        <v>14</v>
      </c>
      <c r="C118" s="165" t="s">
        <v>365</v>
      </c>
      <c r="D118" s="165" t="s">
        <v>15</v>
      </c>
      <c r="E118" s="157">
        <v>40542</v>
      </c>
      <c r="F118" s="165" t="s">
        <v>149</v>
      </c>
      <c r="G118" s="165" t="s">
        <v>149</v>
      </c>
      <c r="H118" s="165" t="s">
        <v>148</v>
      </c>
      <c r="I118" s="165" t="s">
        <v>149</v>
      </c>
      <c r="J118" s="165" t="s">
        <v>149</v>
      </c>
      <c r="K118" s="165" t="s">
        <v>149</v>
      </c>
      <c r="L118" s="165" t="s">
        <v>148</v>
      </c>
      <c r="M118" s="165" t="s">
        <v>149</v>
      </c>
      <c r="N118" s="165" t="s">
        <v>16</v>
      </c>
      <c r="O118" s="165" t="s">
        <v>151</v>
      </c>
      <c r="P118" s="165" t="s">
        <v>16</v>
      </c>
      <c r="Q118" s="165" t="s">
        <v>149</v>
      </c>
      <c r="R118" s="165" t="s">
        <v>149</v>
      </c>
      <c r="S118" s="165" t="s">
        <v>16</v>
      </c>
      <c r="T118" s="165" t="s">
        <v>16</v>
      </c>
      <c r="U118" s="165" t="s">
        <v>16</v>
      </c>
      <c r="V118" s="165" t="s">
        <v>16</v>
      </c>
      <c r="W118" s="165" t="s">
        <v>16</v>
      </c>
      <c r="X118" s="165" t="s">
        <v>16</v>
      </c>
      <c r="Y118" s="165" t="s">
        <v>16</v>
      </c>
      <c r="Z118" s="165" t="s">
        <v>149</v>
      </c>
      <c r="AA118" s="165" t="s">
        <v>16</v>
      </c>
      <c r="AB118" s="165" t="s">
        <v>16</v>
      </c>
      <c r="AC118" s="165" t="s">
        <v>148</v>
      </c>
      <c r="AD118" s="165" t="s">
        <v>149</v>
      </c>
      <c r="AE118" s="165" t="s">
        <v>422</v>
      </c>
      <c r="AF118" s="165" t="s">
        <v>423</v>
      </c>
    </row>
    <row r="119" spans="1:32" x14ac:dyDescent="0.3">
      <c r="A119" s="165" t="s">
        <v>424</v>
      </c>
      <c r="B119" s="165" t="s">
        <v>14</v>
      </c>
      <c r="C119" s="165" t="s">
        <v>365</v>
      </c>
      <c r="D119" s="165" t="s">
        <v>15</v>
      </c>
      <c r="E119" s="157">
        <v>40542</v>
      </c>
      <c r="F119" s="165" t="s">
        <v>16</v>
      </c>
      <c r="G119" s="165" t="s">
        <v>150</v>
      </c>
      <c r="H119" s="165" t="s">
        <v>150</v>
      </c>
      <c r="I119" s="165" t="s">
        <v>148</v>
      </c>
      <c r="J119" s="165" t="s">
        <v>150</v>
      </c>
      <c r="K119" s="165" t="s">
        <v>16</v>
      </c>
      <c r="L119" s="165" t="s">
        <v>148</v>
      </c>
      <c r="M119" s="165" t="s">
        <v>16</v>
      </c>
      <c r="N119" s="165" t="s">
        <v>148</v>
      </c>
      <c r="O119" s="165" t="s">
        <v>148</v>
      </c>
      <c r="P119" s="165" t="s">
        <v>16</v>
      </c>
      <c r="Q119" s="165" t="s">
        <v>16</v>
      </c>
      <c r="R119" s="165" t="s">
        <v>148</v>
      </c>
      <c r="S119" s="165" t="s">
        <v>16</v>
      </c>
      <c r="T119" s="165" t="s">
        <v>148</v>
      </c>
      <c r="U119" s="165" t="s">
        <v>148</v>
      </c>
      <c r="V119" s="165" t="s">
        <v>16</v>
      </c>
      <c r="W119" s="165" t="s">
        <v>16</v>
      </c>
      <c r="X119" s="165" t="s">
        <v>148</v>
      </c>
      <c r="Y119" s="165" t="s">
        <v>16</v>
      </c>
      <c r="Z119" s="165" t="s">
        <v>16</v>
      </c>
      <c r="AA119" s="165" t="s">
        <v>16</v>
      </c>
      <c r="AB119" s="165" t="s">
        <v>16</v>
      </c>
      <c r="AC119" s="165" t="s">
        <v>150</v>
      </c>
      <c r="AD119" s="165" t="s">
        <v>148</v>
      </c>
      <c r="AE119" s="165" t="s">
        <v>381</v>
      </c>
      <c r="AF119" s="165" t="s">
        <v>425</v>
      </c>
    </row>
    <row r="120" spans="1:32" x14ac:dyDescent="0.3">
      <c r="A120" s="165" t="s">
        <v>426</v>
      </c>
      <c r="B120" s="165" t="s">
        <v>14</v>
      </c>
      <c r="C120" s="165" t="s">
        <v>365</v>
      </c>
      <c r="D120" s="165" t="s">
        <v>15</v>
      </c>
      <c r="E120" s="157">
        <v>40542</v>
      </c>
      <c r="F120" s="165" t="s">
        <v>16</v>
      </c>
      <c r="G120" s="165" t="s">
        <v>16</v>
      </c>
      <c r="H120" s="165" t="s">
        <v>16</v>
      </c>
      <c r="I120" s="165" t="s">
        <v>16</v>
      </c>
      <c r="J120" s="165" t="s">
        <v>16</v>
      </c>
      <c r="K120" s="165" t="s">
        <v>16</v>
      </c>
      <c r="L120" s="165" t="s">
        <v>16</v>
      </c>
      <c r="M120" s="165" t="s">
        <v>16</v>
      </c>
      <c r="N120" s="165" t="s">
        <v>16</v>
      </c>
      <c r="O120" s="165" t="s">
        <v>16</v>
      </c>
      <c r="P120" s="165" t="s">
        <v>16</v>
      </c>
      <c r="Q120" s="165" t="s">
        <v>16</v>
      </c>
      <c r="R120" s="165" t="s">
        <v>16</v>
      </c>
      <c r="S120" s="165" t="s">
        <v>16</v>
      </c>
      <c r="T120" s="165" t="s">
        <v>16</v>
      </c>
      <c r="U120" s="165" t="s">
        <v>16</v>
      </c>
      <c r="V120" s="165" t="s">
        <v>16</v>
      </c>
      <c r="W120" s="165" t="s">
        <v>16</v>
      </c>
      <c r="X120" s="165" t="s">
        <v>16</v>
      </c>
      <c r="Y120" s="165" t="s">
        <v>16</v>
      </c>
      <c r="Z120" s="165" t="s">
        <v>16</v>
      </c>
      <c r="AA120" s="165" t="s">
        <v>16</v>
      </c>
      <c r="AB120" s="165" t="s">
        <v>16</v>
      </c>
      <c r="AC120" s="165" t="s">
        <v>148</v>
      </c>
      <c r="AD120" s="165" t="s">
        <v>16</v>
      </c>
      <c r="AE120" s="165" t="s">
        <v>427</v>
      </c>
      <c r="AF120" s="165"/>
    </row>
    <row r="121" spans="1:32" x14ac:dyDescent="0.3">
      <c r="A121" s="165" t="s">
        <v>428</v>
      </c>
      <c r="B121" s="165" t="s">
        <v>14</v>
      </c>
      <c r="C121" s="165" t="s">
        <v>365</v>
      </c>
      <c r="D121" s="165" t="s">
        <v>15</v>
      </c>
      <c r="E121" s="157">
        <v>40542</v>
      </c>
      <c r="F121" s="165" t="s">
        <v>16</v>
      </c>
      <c r="G121" s="165" t="s">
        <v>16</v>
      </c>
      <c r="H121" s="165" t="s">
        <v>16</v>
      </c>
      <c r="I121" s="165" t="s">
        <v>16</v>
      </c>
      <c r="J121" s="165" t="s">
        <v>16</v>
      </c>
      <c r="K121" s="165" t="s">
        <v>16</v>
      </c>
      <c r="L121" s="165" t="s">
        <v>16</v>
      </c>
      <c r="M121" s="165" t="s">
        <v>16</v>
      </c>
      <c r="N121" s="165" t="s">
        <v>16</v>
      </c>
      <c r="O121" s="165" t="s">
        <v>16</v>
      </c>
      <c r="P121" s="165" t="s">
        <v>16</v>
      </c>
      <c r="Q121" s="165" t="s">
        <v>16</v>
      </c>
      <c r="R121" s="165" t="s">
        <v>16</v>
      </c>
      <c r="S121" s="165" t="s">
        <v>16</v>
      </c>
      <c r="T121" s="165" t="s">
        <v>16</v>
      </c>
      <c r="U121" s="165" t="s">
        <v>16</v>
      </c>
      <c r="V121" s="165" t="s">
        <v>16</v>
      </c>
      <c r="W121" s="165" t="s">
        <v>16</v>
      </c>
      <c r="X121" s="165" t="s">
        <v>16</v>
      </c>
      <c r="Y121" s="165" t="s">
        <v>16</v>
      </c>
      <c r="Z121" s="165" t="s">
        <v>16</v>
      </c>
      <c r="AA121" s="165" t="s">
        <v>16</v>
      </c>
      <c r="AB121" s="165" t="s">
        <v>16</v>
      </c>
      <c r="AC121" s="165" t="s">
        <v>16</v>
      </c>
      <c r="AD121" s="165" t="s">
        <v>16</v>
      </c>
      <c r="AE121" s="165" t="s">
        <v>429</v>
      </c>
      <c r="AF121" s="165"/>
    </row>
    <row r="122" spans="1:32" x14ac:dyDescent="0.3">
      <c r="A122" s="165" t="s">
        <v>430</v>
      </c>
      <c r="B122" s="165" t="s">
        <v>14</v>
      </c>
      <c r="C122" s="165" t="s">
        <v>365</v>
      </c>
      <c r="D122" s="165" t="s">
        <v>15</v>
      </c>
      <c r="E122" s="157">
        <v>40542</v>
      </c>
      <c r="F122" s="165" t="s">
        <v>16</v>
      </c>
      <c r="G122" s="165" t="s">
        <v>16</v>
      </c>
      <c r="H122" s="165" t="s">
        <v>148</v>
      </c>
      <c r="I122" s="165" t="s">
        <v>16</v>
      </c>
      <c r="J122" s="165" t="s">
        <v>148</v>
      </c>
      <c r="K122" s="165" t="s">
        <v>149</v>
      </c>
      <c r="L122" s="165" t="s">
        <v>149</v>
      </c>
      <c r="M122" s="165" t="s">
        <v>16</v>
      </c>
      <c r="N122" s="165" t="s">
        <v>148</v>
      </c>
      <c r="O122" s="165" t="s">
        <v>16</v>
      </c>
      <c r="P122" s="165" t="s">
        <v>16</v>
      </c>
      <c r="Q122" s="165" t="s">
        <v>16</v>
      </c>
      <c r="R122" s="165" t="s">
        <v>16</v>
      </c>
      <c r="S122" s="165" t="s">
        <v>148</v>
      </c>
      <c r="T122" s="165" t="s">
        <v>16</v>
      </c>
      <c r="U122" s="165" t="s">
        <v>16</v>
      </c>
      <c r="V122" s="165" t="s">
        <v>148</v>
      </c>
      <c r="W122" s="165" t="s">
        <v>148</v>
      </c>
      <c r="X122" s="165" t="s">
        <v>16</v>
      </c>
      <c r="Y122" s="165" t="s">
        <v>16</v>
      </c>
      <c r="Z122" s="165" t="s">
        <v>16</v>
      </c>
      <c r="AA122" s="165" t="s">
        <v>16</v>
      </c>
      <c r="AB122" s="165" t="s">
        <v>16</v>
      </c>
      <c r="AC122" s="165" t="s">
        <v>148</v>
      </c>
      <c r="AD122" s="165" t="s">
        <v>16</v>
      </c>
      <c r="AE122" s="165"/>
      <c r="AF122" s="165"/>
    </row>
    <row r="123" spans="1:32" x14ac:dyDescent="0.3">
      <c r="A123" s="165" t="s">
        <v>431</v>
      </c>
      <c r="B123" s="165" t="s">
        <v>14</v>
      </c>
      <c r="C123" s="165" t="s">
        <v>365</v>
      </c>
      <c r="D123" s="165" t="s">
        <v>15</v>
      </c>
      <c r="E123" s="157">
        <v>40542</v>
      </c>
      <c r="F123" s="165" t="s">
        <v>16</v>
      </c>
      <c r="G123" s="165" t="s">
        <v>150</v>
      </c>
      <c r="H123" s="165" t="s">
        <v>150</v>
      </c>
      <c r="I123" s="165" t="s">
        <v>150</v>
      </c>
      <c r="J123" s="165" t="s">
        <v>150</v>
      </c>
      <c r="K123" s="165" t="s">
        <v>16</v>
      </c>
      <c r="L123" s="165" t="s">
        <v>16</v>
      </c>
      <c r="M123" s="165" t="s">
        <v>16</v>
      </c>
      <c r="N123" s="165" t="s">
        <v>16</v>
      </c>
      <c r="O123" s="165" t="s">
        <v>16</v>
      </c>
      <c r="P123" s="165" t="s">
        <v>150</v>
      </c>
      <c r="Q123" s="165" t="s">
        <v>16</v>
      </c>
      <c r="R123" s="165" t="s">
        <v>150</v>
      </c>
      <c r="S123" s="165" t="s">
        <v>16</v>
      </c>
      <c r="T123" s="165" t="s">
        <v>16</v>
      </c>
      <c r="U123" s="165" t="s">
        <v>16</v>
      </c>
      <c r="V123" s="165" t="s">
        <v>16</v>
      </c>
      <c r="W123" s="165" t="s">
        <v>16</v>
      </c>
      <c r="X123" s="165" t="s">
        <v>16</v>
      </c>
      <c r="Y123" s="165" t="s">
        <v>16</v>
      </c>
      <c r="Z123" s="165" t="s">
        <v>16</v>
      </c>
      <c r="AA123" s="165" t="s">
        <v>16</v>
      </c>
      <c r="AB123" s="165" t="s">
        <v>16</v>
      </c>
      <c r="AC123" s="165" t="s">
        <v>150</v>
      </c>
      <c r="AD123" s="165" t="s">
        <v>150</v>
      </c>
      <c r="AE123" s="165"/>
      <c r="AF123" s="165" t="s">
        <v>432</v>
      </c>
    </row>
    <row r="124" spans="1:32" x14ac:dyDescent="0.3">
      <c r="A124" s="165" t="s">
        <v>433</v>
      </c>
      <c r="B124" s="165" t="s">
        <v>14</v>
      </c>
      <c r="C124" s="165" t="s">
        <v>365</v>
      </c>
      <c r="D124" s="165" t="s">
        <v>15</v>
      </c>
      <c r="E124" s="157">
        <v>40542</v>
      </c>
      <c r="F124" s="165" t="s">
        <v>16</v>
      </c>
      <c r="G124" s="165" t="s">
        <v>16</v>
      </c>
      <c r="H124" s="165" t="s">
        <v>148</v>
      </c>
      <c r="I124" s="165" t="s">
        <v>16</v>
      </c>
      <c r="J124" s="165" t="s">
        <v>16</v>
      </c>
      <c r="K124" s="165" t="s">
        <v>16</v>
      </c>
      <c r="L124" s="165" t="s">
        <v>16</v>
      </c>
      <c r="M124" s="165" t="s">
        <v>148</v>
      </c>
      <c r="N124" s="165" t="s">
        <v>148</v>
      </c>
      <c r="O124" s="165" t="s">
        <v>16</v>
      </c>
      <c r="P124" s="165" t="s">
        <v>16</v>
      </c>
      <c r="Q124" s="165" t="s">
        <v>16</v>
      </c>
      <c r="R124" s="165" t="s">
        <v>16</v>
      </c>
      <c r="S124" s="165" t="s">
        <v>148</v>
      </c>
      <c r="T124" s="165" t="s">
        <v>16</v>
      </c>
      <c r="U124" s="165" t="s">
        <v>16</v>
      </c>
      <c r="V124" s="165" t="s">
        <v>16</v>
      </c>
      <c r="W124" s="165" t="s">
        <v>16</v>
      </c>
      <c r="X124" s="165" t="s">
        <v>16</v>
      </c>
      <c r="Y124" s="165" t="s">
        <v>16</v>
      </c>
      <c r="Z124" s="165" t="s">
        <v>16</v>
      </c>
      <c r="AA124" s="165" t="s">
        <v>16</v>
      </c>
      <c r="AB124" s="165" t="s">
        <v>16</v>
      </c>
      <c r="AC124" s="165" t="s">
        <v>148</v>
      </c>
      <c r="AD124" s="165" t="s">
        <v>16</v>
      </c>
      <c r="AE124" s="165" t="s">
        <v>434</v>
      </c>
      <c r="AF124" s="165" t="s">
        <v>435</v>
      </c>
    </row>
    <row r="125" spans="1:32" x14ac:dyDescent="0.3">
      <c r="A125" s="165" t="s">
        <v>436</v>
      </c>
      <c r="B125" s="165" t="s">
        <v>14</v>
      </c>
      <c r="C125" s="165" t="s">
        <v>365</v>
      </c>
      <c r="D125" s="165" t="s">
        <v>15</v>
      </c>
      <c r="E125" s="157">
        <v>40542</v>
      </c>
      <c r="F125" s="165" t="s">
        <v>16</v>
      </c>
      <c r="G125" s="165" t="s">
        <v>16</v>
      </c>
      <c r="H125" s="165" t="s">
        <v>148</v>
      </c>
      <c r="I125" s="165" t="s">
        <v>148</v>
      </c>
      <c r="J125" s="165" t="s">
        <v>16</v>
      </c>
      <c r="K125" s="165" t="s">
        <v>16</v>
      </c>
      <c r="L125" s="165" t="s">
        <v>16</v>
      </c>
      <c r="M125" s="165" t="s">
        <v>16</v>
      </c>
      <c r="N125" s="165" t="s">
        <v>16</v>
      </c>
      <c r="O125" s="165" t="s">
        <v>16</v>
      </c>
      <c r="P125" s="165" t="s">
        <v>148</v>
      </c>
      <c r="Q125" s="165" t="s">
        <v>16</v>
      </c>
      <c r="R125" s="165" t="s">
        <v>16</v>
      </c>
      <c r="S125" s="165" t="s">
        <v>148</v>
      </c>
      <c r="T125" s="165" t="s">
        <v>16</v>
      </c>
      <c r="U125" s="165" t="s">
        <v>148</v>
      </c>
      <c r="V125" s="165" t="s">
        <v>16</v>
      </c>
      <c r="W125" s="165" t="s">
        <v>16</v>
      </c>
      <c r="X125" s="165" t="s">
        <v>16</v>
      </c>
      <c r="Y125" s="165" t="s">
        <v>16</v>
      </c>
      <c r="Z125" s="165" t="s">
        <v>16</v>
      </c>
      <c r="AA125" s="165" t="s">
        <v>16</v>
      </c>
      <c r="AB125" s="165" t="s">
        <v>16</v>
      </c>
      <c r="AC125" s="165" t="s">
        <v>148</v>
      </c>
      <c r="AD125" s="165" t="s">
        <v>16</v>
      </c>
      <c r="AE125" s="165" t="s">
        <v>381</v>
      </c>
      <c r="AF125" s="165"/>
    </row>
    <row r="126" spans="1:32" x14ac:dyDescent="0.3">
      <c r="A126" s="165" t="s">
        <v>437</v>
      </c>
      <c r="B126" s="165" t="s">
        <v>14</v>
      </c>
      <c r="C126" s="165" t="s">
        <v>365</v>
      </c>
      <c r="D126" s="165" t="s">
        <v>15</v>
      </c>
      <c r="E126" s="157">
        <v>40542</v>
      </c>
      <c r="F126" s="165" t="s">
        <v>16</v>
      </c>
      <c r="G126" s="165" t="s">
        <v>16</v>
      </c>
      <c r="H126" s="165" t="s">
        <v>148</v>
      </c>
      <c r="I126" s="165" t="s">
        <v>148</v>
      </c>
      <c r="J126" s="165" t="s">
        <v>148</v>
      </c>
      <c r="K126" s="165" t="s">
        <v>16</v>
      </c>
      <c r="L126" s="165" t="s">
        <v>150</v>
      </c>
      <c r="M126" s="165" t="s">
        <v>16</v>
      </c>
      <c r="N126" s="165" t="s">
        <v>148</v>
      </c>
      <c r="O126" s="165" t="s">
        <v>148</v>
      </c>
      <c r="P126" s="165" t="s">
        <v>16</v>
      </c>
      <c r="Q126" s="165" t="s">
        <v>148</v>
      </c>
      <c r="R126" s="165" t="s">
        <v>148</v>
      </c>
      <c r="S126" s="165" t="s">
        <v>16</v>
      </c>
      <c r="T126" s="165" t="s">
        <v>148</v>
      </c>
      <c r="U126" s="165" t="s">
        <v>150</v>
      </c>
      <c r="V126" s="165" t="s">
        <v>16</v>
      </c>
      <c r="W126" s="165" t="s">
        <v>16</v>
      </c>
      <c r="X126" s="165" t="s">
        <v>148</v>
      </c>
      <c r="Y126" s="165" t="s">
        <v>150</v>
      </c>
      <c r="Z126" s="165" t="s">
        <v>148</v>
      </c>
      <c r="AA126" s="165" t="s">
        <v>148</v>
      </c>
      <c r="AB126" s="165" t="s">
        <v>16</v>
      </c>
      <c r="AC126" s="165" t="s">
        <v>150</v>
      </c>
      <c r="AD126" s="165" t="s">
        <v>148</v>
      </c>
      <c r="AE126" s="165" t="s">
        <v>438</v>
      </c>
      <c r="AF126" s="165" t="s">
        <v>439</v>
      </c>
    </row>
    <row r="130" spans="1:32" x14ac:dyDescent="0.3">
      <c r="A130" s="165"/>
      <c r="B130" s="165"/>
      <c r="C130" s="165"/>
      <c r="D130" s="165"/>
      <c r="E130" s="165"/>
      <c r="F130" s="165" t="s">
        <v>124</v>
      </c>
      <c r="G130" s="165" t="s">
        <v>125</v>
      </c>
      <c r="H130" s="165" t="s">
        <v>126</v>
      </c>
      <c r="I130" s="165" t="s">
        <v>127</v>
      </c>
      <c r="J130" s="165" t="s">
        <v>214</v>
      </c>
      <c r="K130" s="165" t="s">
        <v>128</v>
      </c>
      <c r="L130" s="165" t="s">
        <v>129</v>
      </c>
      <c r="M130" s="165" t="s">
        <v>130</v>
      </c>
      <c r="N130" s="165" t="s">
        <v>131</v>
      </c>
      <c r="O130" s="165" t="s">
        <v>132</v>
      </c>
      <c r="P130" s="165" t="s">
        <v>133</v>
      </c>
      <c r="Q130" s="165" t="s">
        <v>134</v>
      </c>
      <c r="R130" s="165" t="s">
        <v>135</v>
      </c>
      <c r="S130" s="165" t="s">
        <v>136</v>
      </c>
      <c r="T130" s="165" t="s">
        <v>137</v>
      </c>
      <c r="U130" s="165" t="s">
        <v>138</v>
      </c>
      <c r="V130" s="165" t="s">
        <v>139</v>
      </c>
      <c r="W130" s="165" t="s">
        <v>140</v>
      </c>
      <c r="X130" s="165" t="s">
        <v>186</v>
      </c>
      <c r="Y130" s="165" t="s">
        <v>209</v>
      </c>
      <c r="Z130" s="165" t="s">
        <v>141</v>
      </c>
      <c r="AA130" s="165" t="s">
        <v>142</v>
      </c>
      <c r="AB130" s="165" t="s">
        <v>210</v>
      </c>
      <c r="AC130" s="165" t="s">
        <v>143</v>
      </c>
      <c r="AD130" s="165" t="s">
        <v>144</v>
      </c>
      <c r="AE130" s="165" t="s">
        <v>443</v>
      </c>
      <c r="AF130" s="165" t="s">
        <v>190</v>
      </c>
    </row>
    <row r="131" spans="1:32" x14ac:dyDescent="0.3">
      <c r="A131" s="165" t="s">
        <v>444</v>
      </c>
      <c r="B131" s="165" t="s">
        <v>14</v>
      </c>
      <c r="C131" s="165" t="s">
        <v>445</v>
      </c>
      <c r="D131" s="165" t="s">
        <v>15</v>
      </c>
      <c r="E131" s="157">
        <v>40632</v>
      </c>
      <c r="F131" s="165" t="s">
        <v>16</v>
      </c>
      <c r="G131" s="165" t="s">
        <v>16</v>
      </c>
      <c r="H131" s="165" t="s">
        <v>16</v>
      </c>
      <c r="I131" s="165" t="s">
        <v>16</v>
      </c>
      <c r="J131" s="165" t="s">
        <v>16</v>
      </c>
      <c r="K131" s="165" t="s">
        <v>16</v>
      </c>
      <c r="L131" s="165" t="s">
        <v>16</v>
      </c>
      <c r="M131" s="165" t="s">
        <v>16</v>
      </c>
      <c r="N131" s="165" t="s">
        <v>16</v>
      </c>
      <c r="O131" s="165" t="s">
        <v>16</v>
      </c>
      <c r="P131" s="165" t="s">
        <v>16</v>
      </c>
      <c r="Q131" s="165" t="s">
        <v>16</v>
      </c>
      <c r="R131" s="165" t="s">
        <v>16</v>
      </c>
      <c r="S131" s="165" t="s">
        <v>16</v>
      </c>
      <c r="T131" s="165" t="s">
        <v>16</v>
      </c>
      <c r="U131" s="165" t="s">
        <v>16</v>
      </c>
      <c r="V131" s="165" t="s">
        <v>16</v>
      </c>
      <c r="W131" s="165" t="s">
        <v>16</v>
      </c>
      <c r="X131" s="165" t="s">
        <v>16</v>
      </c>
      <c r="Y131" s="165" t="s">
        <v>16</v>
      </c>
      <c r="Z131" s="165" t="s">
        <v>16</v>
      </c>
      <c r="AA131" s="165" t="s">
        <v>16</v>
      </c>
      <c r="AB131" s="165" t="s">
        <v>16</v>
      </c>
      <c r="AC131" s="165" t="s">
        <v>16</v>
      </c>
      <c r="AD131" s="165" t="s">
        <v>16</v>
      </c>
      <c r="AE131" s="165" t="s">
        <v>446</v>
      </c>
      <c r="AF131" s="165"/>
    </row>
    <row r="132" spans="1:32" x14ac:dyDescent="0.3">
      <c r="A132" s="165" t="s">
        <v>447</v>
      </c>
      <c r="B132" s="165" t="s">
        <v>14</v>
      </c>
      <c r="C132" s="165" t="s">
        <v>445</v>
      </c>
      <c r="D132" s="165" t="s">
        <v>15</v>
      </c>
      <c r="E132" s="157">
        <v>40632</v>
      </c>
      <c r="F132" s="165" t="s">
        <v>149</v>
      </c>
      <c r="G132" s="165" t="s">
        <v>149</v>
      </c>
      <c r="H132" s="165" t="s">
        <v>149</v>
      </c>
      <c r="I132" s="165" t="s">
        <v>149</v>
      </c>
      <c r="J132" s="165" t="s">
        <v>16</v>
      </c>
      <c r="K132" s="165" t="s">
        <v>149</v>
      </c>
      <c r="L132" s="165" t="s">
        <v>149</v>
      </c>
      <c r="M132" s="165" t="s">
        <v>149</v>
      </c>
      <c r="N132" s="165" t="s">
        <v>148</v>
      </c>
      <c r="O132" s="165" t="s">
        <v>149</v>
      </c>
      <c r="P132" s="165" t="s">
        <v>16</v>
      </c>
      <c r="Q132" s="165" t="s">
        <v>149</v>
      </c>
      <c r="R132" s="165" t="s">
        <v>149</v>
      </c>
      <c r="S132" s="165" t="s">
        <v>148</v>
      </c>
      <c r="T132" s="165" t="s">
        <v>149</v>
      </c>
      <c r="U132" s="165" t="s">
        <v>149</v>
      </c>
      <c r="V132" s="165" t="s">
        <v>149</v>
      </c>
      <c r="W132" s="165" t="s">
        <v>148</v>
      </c>
      <c r="X132" s="165" t="s">
        <v>148</v>
      </c>
      <c r="Y132" s="165" t="s">
        <v>149</v>
      </c>
      <c r="Z132" s="165" t="s">
        <v>149</v>
      </c>
      <c r="AA132" s="165" t="s">
        <v>149</v>
      </c>
      <c r="AB132" s="165" t="s">
        <v>148</v>
      </c>
      <c r="AC132" s="165" t="s">
        <v>148</v>
      </c>
      <c r="AD132" s="165" t="s">
        <v>16</v>
      </c>
      <c r="AE132" s="165" t="s">
        <v>446</v>
      </c>
      <c r="AF132" s="165"/>
    </row>
    <row r="133" spans="1:32" x14ac:dyDescent="0.3">
      <c r="A133" s="165" t="s">
        <v>448</v>
      </c>
      <c r="B133" s="165" t="s">
        <v>14</v>
      </c>
      <c r="C133" s="165" t="s">
        <v>445</v>
      </c>
      <c r="D133" s="165" t="s">
        <v>15</v>
      </c>
      <c r="E133" s="157">
        <v>40632</v>
      </c>
      <c r="F133" s="165" t="s">
        <v>16</v>
      </c>
      <c r="G133" s="165" t="s">
        <v>16</v>
      </c>
      <c r="H133" s="165" t="s">
        <v>148</v>
      </c>
      <c r="I133" s="165" t="s">
        <v>150</v>
      </c>
      <c r="J133" s="165" t="s">
        <v>148</v>
      </c>
      <c r="K133" s="165" t="s">
        <v>150</v>
      </c>
      <c r="L133" s="165" t="s">
        <v>150</v>
      </c>
      <c r="M133" s="165" t="s">
        <v>16</v>
      </c>
      <c r="N133" s="165" t="s">
        <v>148</v>
      </c>
      <c r="O133" s="165" t="s">
        <v>16</v>
      </c>
      <c r="P133" s="165" t="s">
        <v>150</v>
      </c>
      <c r="Q133" s="165" t="s">
        <v>16</v>
      </c>
      <c r="R133" s="165" t="s">
        <v>16</v>
      </c>
      <c r="S133" s="165" t="s">
        <v>150</v>
      </c>
      <c r="T133" s="165" t="s">
        <v>150</v>
      </c>
      <c r="U133" s="165" t="s">
        <v>16</v>
      </c>
      <c r="V133" s="165" t="s">
        <v>16</v>
      </c>
      <c r="W133" s="165" t="s">
        <v>16</v>
      </c>
      <c r="X133" s="165" t="s">
        <v>148</v>
      </c>
      <c r="Y133" s="165" t="s">
        <v>16</v>
      </c>
      <c r="Z133" s="165" t="s">
        <v>16</v>
      </c>
      <c r="AA133" s="165" t="s">
        <v>148</v>
      </c>
      <c r="AB133" s="165" t="s">
        <v>148</v>
      </c>
      <c r="AC133" s="165" t="s">
        <v>16</v>
      </c>
      <c r="AD133" s="165" t="s">
        <v>148</v>
      </c>
      <c r="AE133" s="165" t="s">
        <v>449</v>
      </c>
      <c r="AF133" s="165"/>
    </row>
    <row r="134" spans="1:32" x14ac:dyDescent="0.3">
      <c r="A134" s="165" t="s">
        <v>450</v>
      </c>
      <c r="B134" s="165" t="s">
        <v>14</v>
      </c>
      <c r="C134" s="165" t="s">
        <v>445</v>
      </c>
      <c r="D134" s="165" t="s">
        <v>15</v>
      </c>
      <c r="E134" s="157">
        <v>40632</v>
      </c>
      <c r="F134" s="165" t="s">
        <v>16</v>
      </c>
      <c r="G134" s="165" t="s">
        <v>148</v>
      </c>
      <c r="H134" s="165" t="s">
        <v>16</v>
      </c>
      <c r="I134" s="165" t="s">
        <v>16</v>
      </c>
      <c r="J134" s="165" t="s">
        <v>148</v>
      </c>
      <c r="K134" s="165" t="s">
        <v>16</v>
      </c>
      <c r="L134" s="165" t="s">
        <v>16</v>
      </c>
      <c r="M134" s="165" t="s">
        <v>16</v>
      </c>
      <c r="N134" s="165" t="s">
        <v>148</v>
      </c>
      <c r="O134" s="165" t="s">
        <v>148</v>
      </c>
      <c r="P134" s="165" t="s">
        <v>148</v>
      </c>
      <c r="Q134" s="165" t="s">
        <v>16</v>
      </c>
      <c r="R134" s="165" t="s">
        <v>16</v>
      </c>
      <c r="S134" s="165" t="s">
        <v>16</v>
      </c>
      <c r="T134" s="165" t="s">
        <v>16</v>
      </c>
      <c r="U134" s="165" t="s">
        <v>148</v>
      </c>
      <c r="V134" s="165" t="s">
        <v>16</v>
      </c>
      <c r="W134" s="165" t="s">
        <v>16</v>
      </c>
      <c r="X134" s="165" t="s">
        <v>148</v>
      </c>
      <c r="Y134" s="165" t="s">
        <v>114</v>
      </c>
      <c r="Z134" s="165" t="s">
        <v>16</v>
      </c>
      <c r="AA134" s="165" t="s">
        <v>148</v>
      </c>
      <c r="AB134" s="165" t="s">
        <v>16</v>
      </c>
      <c r="AC134" s="165" t="s">
        <v>16</v>
      </c>
      <c r="AD134" s="165" t="s">
        <v>148</v>
      </c>
      <c r="AE134" s="165" t="s">
        <v>449</v>
      </c>
      <c r="AF134" s="165" t="s">
        <v>451</v>
      </c>
    </row>
    <row r="135" spans="1:32" x14ac:dyDescent="0.3">
      <c r="A135" s="165" t="s">
        <v>452</v>
      </c>
      <c r="B135" s="165" t="s">
        <v>14</v>
      </c>
      <c r="C135" s="165" t="s">
        <v>445</v>
      </c>
      <c r="D135" s="165" t="s">
        <v>15</v>
      </c>
      <c r="E135" s="157">
        <v>40632</v>
      </c>
      <c r="F135" s="165" t="s">
        <v>16</v>
      </c>
      <c r="G135" s="165" t="s">
        <v>16</v>
      </c>
      <c r="H135" s="165" t="s">
        <v>16</v>
      </c>
      <c r="I135" s="165" t="s">
        <v>16</v>
      </c>
      <c r="J135" s="165" t="s">
        <v>16</v>
      </c>
      <c r="K135" s="165" t="s">
        <v>16</v>
      </c>
      <c r="L135" s="165" t="s">
        <v>16</v>
      </c>
      <c r="M135" s="165" t="s">
        <v>149</v>
      </c>
      <c r="N135" s="165" t="s">
        <v>16</v>
      </c>
      <c r="O135" s="165" t="s">
        <v>16</v>
      </c>
      <c r="P135" s="165" t="s">
        <v>16</v>
      </c>
      <c r="Q135" s="165" t="s">
        <v>16</v>
      </c>
      <c r="R135" s="165" t="s">
        <v>16</v>
      </c>
      <c r="S135" s="165" t="s">
        <v>16</v>
      </c>
      <c r="T135" s="165" t="s">
        <v>16</v>
      </c>
      <c r="U135" s="165" t="s">
        <v>16</v>
      </c>
      <c r="V135" s="165" t="s">
        <v>16</v>
      </c>
      <c r="W135" s="165" t="s">
        <v>16</v>
      </c>
      <c r="X135" s="165" t="s">
        <v>16</v>
      </c>
      <c r="Y135" s="165" t="s">
        <v>16</v>
      </c>
      <c r="Z135" s="165" t="s">
        <v>16</v>
      </c>
      <c r="AA135" s="165" t="s">
        <v>16</v>
      </c>
      <c r="AB135" s="165" t="s">
        <v>16</v>
      </c>
      <c r="AC135" s="165" t="s">
        <v>16</v>
      </c>
      <c r="AD135" s="165" t="s">
        <v>16</v>
      </c>
      <c r="AE135" s="165" t="s">
        <v>449</v>
      </c>
      <c r="AF135" s="165"/>
    </row>
    <row r="136" spans="1:32" x14ac:dyDescent="0.3">
      <c r="A136" s="165" t="s">
        <v>453</v>
      </c>
      <c r="B136" s="165" t="s">
        <v>14</v>
      </c>
      <c r="C136" s="165" t="s">
        <v>445</v>
      </c>
      <c r="D136" s="165" t="s">
        <v>15</v>
      </c>
      <c r="E136" s="157">
        <v>40632</v>
      </c>
      <c r="F136" s="165" t="s">
        <v>148</v>
      </c>
      <c r="G136" s="165" t="s">
        <v>16</v>
      </c>
      <c r="H136" s="165" t="s">
        <v>149</v>
      </c>
      <c r="I136" s="165" t="s">
        <v>16</v>
      </c>
      <c r="J136" s="165" t="s">
        <v>16</v>
      </c>
      <c r="K136" s="165" t="s">
        <v>149</v>
      </c>
      <c r="L136" s="165" t="s">
        <v>16</v>
      </c>
      <c r="M136" s="165" t="s">
        <v>16</v>
      </c>
      <c r="N136" s="165" t="s">
        <v>149</v>
      </c>
      <c r="O136" s="165" t="s">
        <v>16</v>
      </c>
      <c r="P136" s="165" t="s">
        <v>148</v>
      </c>
      <c r="Q136" s="165" t="s">
        <v>16</v>
      </c>
      <c r="R136" s="165" t="s">
        <v>16</v>
      </c>
      <c r="S136" s="165" t="s">
        <v>16</v>
      </c>
      <c r="T136" s="165" t="s">
        <v>16</v>
      </c>
      <c r="U136" s="165" t="s">
        <v>16</v>
      </c>
      <c r="V136" s="165" t="s">
        <v>16</v>
      </c>
      <c r="W136" s="165" t="s">
        <v>16</v>
      </c>
      <c r="X136" s="165" t="s">
        <v>148</v>
      </c>
      <c r="Y136" s="165" t="s">
        <v>16</v>
      </c>
      <c r="Z136" s="165" t="s">
        <v>16</v>
      </c>
      <c r="AA136" s="165" t="s">
        <v>16</v>
      </c>
      <c r="AB136" s="165" t="s">
        <v>16</v>
      </c>
      <c r="AC136" s="165" t="s">
        <v>149</v>
      </c>
      <c r="AD136" s="165" t="s">
        <v>16</v>
      </c>
      <c r="AE136" s="165" t="s">
        <v>449</v>
      </c>
      <c r="AF136" s="165"/>
    </row>
    <row r="137" spans="1:32" x14ac:dyDescent="0.3">
      <c r="A137" s="165" t="s">
        <v>454</v>
      </c>
      <c r="B137" s="165" t="s">
        <v>14</v>
      </c>
      <c r="C137" s="165" t="s">
        <v>445</v>
      </c>
      <c r="D137" s="165" t="s">
        <v>15</v>
      </c>
      <c r="E137" s="157">
        <v>40632</v>
      </c>
      <c r="F137" s="165" t="s">
        <v>16</v>
      </c>
      <c r="G137" s="165" t="s">
        <v>148</v>
      </c>
      <c r="H137" s="165" t="s">
        <v>16</v>
      </c>
      <c r="I137" s="165" t="s">
        <v>148</v>
      </c>
      <c r="J137" s="165" t="s">
        <v>16</v>
      </c>
      <c r="K137" s="165" t="s">
        <v>16</v>
      </c>
      <c r="L137" s="165" t="s">
        <v>16</v>
      </c>
      <c r="M137" s="165" t="s">
        <v>148</v>
      </c>
      <c r="N137" s="165" t="s">
        <v>16</v>
      </c>
      <c r="O137" s="165" t="s">
        <v>16</v>
      </c>
      <c r="P137" s="165" t="s">
        <v>16</v>
      </c>
      <c r="Q137" s="165" t="s">
        <v>16</v>
      </c>
      <c r="R137" s="165" t="s">
        <v>148</v>
      </c>
      <c r="S137" s="165" t="s">
        <v>16</v>
      </c>
      <c r="T137" s="165" t="s">
        <v>16</v>
      </c>
      <c r="U137" s="165" t="s">
        <v>16</v>
      </c>
      <c r="V137" s="165" t="s">
        <v>16</v>
      </c>
      <c r="W137" s="165" t="s">
        <v>16</v>
      </c>
      <c r="X137" s="165" t="s">
        <v>16</v>
      </c>
      <c r="Y137" s="165" t="s">
        <v>16</v>
      </c>
      <c r="Z137" s="165" t="s">
        <v>16</v>
      </c>
      <c r="AA137" s="165" t="s">
        <v>16</v>
      </c>
      <c r="AB137" s="165" t="s">
        <v>16</v>
      </c>
      <c r="AC137" s="165" t="s">
        <v>16</v>
      </c>
      <c r="AD137" s="165" t="s">
        <v>16</v>
      </c>
      <c r="AE137" s="165" t="s">
        <v>455</v>
      </c>
      <c r="AF137" s="165"/>
    </row>
    <row r="138" spans="1:32" x14ac:dyDescent="0.3">
      <c r="A138" s="165" t="s">
        <v>456</v>
      </c>
      <c r="B138" s="165" t="s">
        <v>14</v>
      </c>
      <c r="C138" s="165" t="s">
        <v>445</v>
      </c>
      <c r="D138" s="165" t="s">
        <v>15</v>
      </c>
      <c r="E138" s="157">
        <v>40632</v>
      </c>
      <c r="F138" s="165" t="s">
        <v>16</v>
      </c>
      <c r="G138" s="165" t="s">
        <v>16</v>
      </c>
      <c r="H138" s="165" t="s">
        <v>16</v>
      </c>
      <c r="I138" s="165" t="s">
        <v>148</v>
      </c>
      <c r="J138" s="165" t="s">
        <v>16</v>
      </c>
      <c r="K138" s="165" t="s">
        <v>16</v>
      </c>
      <c r="L138" s="165" t="s">
        <v>16</v>
      </c>
      <c r="M138" s="165" t="s">
        <v>148</v>
      </c>
      <c r="N138" s="165" t="s">
        <v>148</v>
      </c>
      <c r="O138" s="165" t="s">
        <v>16</v>
      </c>
      <c r="P138" s="165" t="s">
        <v>148</v>
      </c>
      <c r="Q138" s="165" t="s">
        <v>16</v>
      </c>
      <c r="R138" s="165" t="s">
        <v>16</v>
      </c>
      <c r="S138" s="165" t="s">
        <v>16</v>
      </c>
      <c r="T138" s="165" t="s">
        <v>148</v>
      </c>
      <c r="U138" s="165" t="s">
        <v>16</v>
      </c>
      <c r="V138" s="165" t="s">
        <v>148</v>
      </c>
      <c r="W138" s="165" t="s">
        <v>16</v>
      </c>
      <c r="X138" s="165" t="s">
        <v>148</v>
      </c>
      <c r="Y138" s="165" t="s">
        <v>148</v>
      </c>
      <c r="Z138" s="165" t="s">
        <v>16</v>
      </c>
      <c r="AA138" s="165" t="s">
        <v>148</v>
      </c>
      <c r="AB138" s="165" t="s">
        <v>16</v>
      </c>
      <c r="AC138" s="165" t="s">
        <v>148</v>
      </c>
      <c r="AD138" s="165" t="s">
        <v>148</v>
      </c>
      <c r="AE138" s="165" t="s">
        <v>449</v>
      </c>
      <c r="AF138" s="165"/>
    </row>
    <row r="139" spans="1:32" x14ac:dyDescent="0.3">
      <c r="A139" s="165" t="s">
        <v>457</v>
      </c>
      <c r="B139" s="165" t="s">
        <v>14</v>
      </c>
      <c r="C139" s="165" t="s">
        <v>445</v>
      </c>
      <c r="D139" s="165" t="s">
        <v>15</v>
      </c>
      <c r="E139" s="157">
        <v>40632</v>
      </c>
      <c r="F139" s="165" t="s">
        <v>16</v>
      </c>
      <c r="G139" s="165" t="s">
        <v>148</v>
      </c>
      <c r="H139" s="165" t="s">
        <v>16</v>
      </c>
      <c r="I139" s="165" t="s">
        <v>148</v>
      </c>
      <c r="J139" s="165" t="s">
        <v>16</v>
      </c>
      <c r="K139" s="165" t="s">
        <v>16</v>
      </c>
      <c r="L139" s="165" t="s">
        <v>16</v>
      </c>
      <c r="M139" s="165" t="s">
        <v>149</v>
      </c>
      <c r="N139" s="165" t="s">
        <v>16</v>
      </c>
      <c r="O139" s="165" t="s">
        <v>16</v>
      </c>
      <c r="P139" s="165" t="s">
        <v>16</v>
      </c>
      <c r="Q139" s="165" t="s">
        <v>16</v>
      </c>
      <c r="R139" s="165" t="s">
        <v>16</v>
      </c>
      <c r="S139" s="165" t="s">
        <v>16</v>
      </c>
      <c r="T139" s="165" t="s">
        <v>16</v>
      </c>
      <c r="U139" s="165" t="s">
        <v>16</v>
      </c>
      <c r="V139" s="165" t="s">
        <v>16</v>
      </c>
      <c r="W139" s="165" t="s">
        <v>148</v>
      </c>
      <c r="X139" s="165" t="s">
        <v>148</v>
      </c>
      <c r="Y139" s="165" t="s">
        <v>16</v>
      </c>
      <c r="Z139" s="165" t="s">
        <v>149</v>
      </c>
      <c r="AA139" s="165" t="s">
        <v>16</v>
      </c>
      <c r="AB139" s="165" t="s">
        <v>16</v>
      </c>
      <c r="AC139" s="165" t="s">
        <v>148</v>
      </c>
      <c r="AD139" s="165" t="s">
        <v>16</v>
      </c>
      <c r="AE139" s="165"/>
      <c r="AF139" s="165"/>
    </row>
    <row r="140" spans="1:32" x14ac:dyDescent="0.3">
      <c r="A140" s="165" t="s">
        <v>458</v>
      </c>
      <c r="B140" s="165" t="s">
        <v>14</v>
      </c>
      <c r="C140" s="165" t="s">
        <v>445</v>
      </c>
      <c r="D140" s="165" t="s">
        <v>15</v>
      </c>
      <c r="E140" s="157">
        <v>40632</v>
      </c>
      <c r="F140" s="165" t="s">
        <v>16</v>
      </c>
      <c r="G140" s="165" t="s">
        <v>16</v>
      </c>
      <c r="H140" s="165" t="s">
        <v>16</v>
      </c>
      <c r="I140" s="165" t="s">
        <v>16</v>
      </c>
      <c r="J140" s="165" t="s">
        <v>16</v>
      </c>
      <c r="K140" s="165" t="s">
        <v>16</v>
      </c>
      <c r="L140" s="165" t="s">
        <v>16</v>
      </c>
      <c r="M140" s="165" t="s">
        <v>16</v>
      </c>
      <c r="N140" s="165" t="s">
        <v>16</v>
      </c>
      <c r="O140" s="165" t="s">
        <v>16</v>
      </c>
      <c r="P140" s="165" t="s">
        <v>16</v>
      </c>
      <c r="Q140" s="165" t="s">
        <v>16</v>
      </c>
      <c r="R140" s="165" t="s">
        <v>16</v>
      </c>
      <c r="S140" s="165" t="s">
        <v>16</v>
      </c>
      <c r="T140" s="165" t="s">
        <v>16</v>
      </c>
      <c r="U140" s="165" t="s">
        <v>16</v>
      </c>
      <c r="V140" s="165" t="s">
        <v>16</v>
      </c>
      <c r="W140" s="165" t="s">
        <v>16</v>
      </c>
      <c r="X140" s="165" t="s">
        <v>16</v>
      </c>
      <c r="Y140" s="165" t="s">
        <v>16</v>
      </c>
      <c r="Z140" s="165" t="s">
        <v>16</v>
      </c>
      <c r="AA140" s="165" t="s">
        <v>16</v>
      </c>
      <c r="AB140" s="165" t="s">
        <v>16</v>
      </c>
      <c r="AC140" s="165" t="s">
        <v>16</v>
      </c>
      <c r="AD140" s="165" t="s">
        <v>16</v>
      </c>
      <c r="AE140" s="165" t="s">
        <v>459</v>
      </c>
      <c r="AF140" s="165" t="s">
        <v>460</v>
      </c>
    </row>
    <row r="141" spans="1:32" x14ac:dyDescent="0.3">
      <c r="A141" s="165" t="s">
        <v>461</v>
      </c>
      <c r="B141" s="165" t="s">
        <v>14</v>
      </c>
      <c r="C141" s="165" t="s">
        <v>445</v>
      </c>
      <c r="D141" s="165" t="s">
        <v>15</v>
      </c>
      <c r="E141" s="157">
        <v>40632</v>
      </c>
      <c r="F141" s="165" t="s">
        <v>16</v>
      </c>
      <c r="G141" s="165" t="s">
        <v>16</v>
      </c>
      <c r="H141" s="165" t="s">
        <v>148</v>
      </c>
      <c r="I141" s="165" t="s">
        <v>16</v>
      </c>
      <c r="J141" s="165" t="s">
        <v>16</v>
      </c>
      <c r="K141" s="165" t="s">
        <v>16</v>
      </c>
      <c r="L141" s="165" t="s">
        <v>16</v>
      </c>
      <c r="M141" s="165" t="s">
        <v>16</v>
      </c>
      <c r="N141" s="165" t="s">
        <v>16</v>
      </c>
      <c r="O141" s="165" t="s">
        <v>16</v>
      </c>
      <c r="P141" s="165" t="s">
        <v>16</v>
      </c>
      <c r="Q141" s="165" t="s">
        <v>16</v>
      </c>
      <c r="R141" s="165" t="s">
        <v>16</v>
      </c>
      <c r="S141" s="165" t="s">
        <v>16</v>
      </c>
      <c r="T141" s="165" t="s">
        <v>148</v>
      </c>
      <c r="U141" s="165" t="s">
        <v>16</v>
      </c>
      <c r="V141" s="165" t="s">
        <v>16</v>
      </c>
      <c r="W141" s="165" t="s">
        <v>16</v>
      </c>
      <c r="X141" s="165" t="s">
        <v>148</v>
      </c>
      <c r="Y141" s="165" t="s">
        <v>16</v>
      </c>
      <c r="Z141" s="165" t="s">
        <v>148</v>
      </c>
      <c r="AA141" s="165" t="s">
        <v>16</v>
      </c>
      <c r="AB141" s="165" t="s">
        <v>16</v>
      </c>
      <c r="AC141" s="165" t="s">
        <v>16</v>
      </c>
      <c r="AD141" s="165" t="s">
        <v>16</v>
      </c>
      <c r="AE141" s="165" t="s">
        <v>449</v>
      </c>
      <c r="AF141" s="165" t="s">
        <v>462</v>
      </c>
    </row>
    <row r="142" spans="1:32" x14ac:dyDescent="0.3">
      <c r="A142" s="165" t="s">
        <v>463</v>
      </c>
      <c r="B142" s="165" t="s">
        <v>14</v>
      </c>
      <c r="C142" s="165" t="s">
        <v>445</v>
      </c>
      <c r="D142" s="165" t="s">
        <v>15</v>
      </c>
      <c r="E142" s="157">
        <v>40632</v>
      </c>
      <c r="F142" s="165" t="s">
        <v>16</v>
      </c>
      <c r="G142" s="165" t="s">
        <v>16</v>
      </c>
      <c r="H142" s="165" t="s">
        <v>16</v>
      </c>
      <c r="I142" s="165" t="s">
        <v>16</v>
      </c>
      <c r="J142" s="165" t="s">
        <v>148</v>
      </c>
      <c r="K142" s="165" t="s">
        <v>16</v>
      </c>
      <c r="L142" s="165" t="s">
        <v>16</v>
      </c>
      <c r="M142" s="165" t="s">
        <v>16</v>
      </c>
      <c r="N142" s="165" t="s">
        <v>16</v>
      </c>
      <c r="O142" s="165" t="s">
        <v>16</v>
      </c>
      <c r="P142" s="165" t="s">
        <v>16</v>
      </c>
      <c r="Q142" s="165" t="s">
        <v>16</v>
      </c>
      <c r="R142" s="165" t="s">
        <v>16</v>
      </c>
      <c r="S142" s="165" t="s">
        <v>16</v>
      </c>
      <c r="T142" s="165" t="s">
        <v>16</v>
      </c>
      <c r="U142" s="165" t="s">
        <v>16</v>
      </c>
      <c r="V142" s="165" t="s">
        <v>16</v>
      </c>
      <c r="W142" s="165" t="s">
        <v>16</v>
      </c>
      <c r="X142" s="165" t="s">
        <v>16</v>
      </c>
      <c r="Y142" s="165" t="s">
        <v>16</v>
      </c>
      <c r="Z142" s="165" t="s">
        <v>16</v>
      </c>
      <c r="AA142" s="165" t="s">
        <v>16</v>
      </c>
      <c r="AB142" s="165" t="s">
        <v>16</v>
      </c>
      <c r="AC142" s="165" t="s">
        <v>16</v>
      </c>
      <c r="AD142" s="165" t="s">
        <v>16</v>
      </c>
      <c r="AE142" s="165" t="s">
        <v>464</v>
      </c>
      <c r="AF142" s="165" t="s">
        <v>465</v>
      </c>
    </row>
    <row r="143" spans="1:32" x14ac:dyDescent="0.3">
      <c r="A143" s="165" t="s">
        <v>466</v>
      </c>
      <c r="B143" s="165" t="s">
        <v>14</v>
      </c>
      <c r="C143" s="165" t="s">
        <v>445</v>
      </c>
      <c r="D143" s="165" t="s">
        <v>15</v>
      </c>
      <c r="E143" s="157">
        <v>40632</v>
      </c>
      <c r="F143" s="165" t="s">
        <v>16</v>
      </c>
      <c r="G143" s="165" t="s">
        <v>149</v>
      </c>
      <c r="H143" s="165" t="s">
        <v>16</v>
      </c>
      <c r="I143" s="165" t="s">
        <v>148</v>
      </c>
      <c r="J143" s="165" t="s">
        <v>16</v>
      </c>
      <c r="K143" s="165" t="s">
        <v>16</v>
      </c>
      <c r="L143" s="165" t="s">
        <v>16</v>
      </c>
      <c r="M143" s="165" t="s">
        <v>16</v>
      </c>
      <c r="N143" s="165" t="s">
        <v>16</v>
      </c>
      <c r="O143" s="165" t="s">
        <v>16</v>
      </c>
      <c r="P143" s="165" t="s">
        <v>16</v>
      </c>
      <c r="Q143" s="165" t="s">
        <v>16</v>
      </c>
      <c r="R143" s="165" t="s">
        <v>16</v>
      </c>
      <c r="S143" s="165" t="s">
        <v>16</v>
      </c>
      <c r="T143" s="165" t="s">
        <v>16</v>
      </c>
      <c r="U143" s="165" t="s">
        <v>16</v>
      </c>
      <c r="V143" s="165" t="s">
        <v>16</v>
      </c>
      <c r="W143" s="165" t="s">
        <v>16</v>
      </c>
      <c r="X143" s="165" t="s">
        <v>16</v>
      </c>
      <c r="Y143" s="165" t="s">
        <v>16</v>
      </c>
      <c r="Z143" s="165" t="s">
        <v>148</v>
      </c>
      <c r="AA143" s="165" t="s">
        <v>148</v>
      </c>
      <c r="AB143" s="165" t="s">
        <v>16</v>
      </c>
      <c r="AC143" s="165" t="s">
        <v>148</v>
      </c>
      <c r="AD143" s="165" t="s">
        <v>16</v>
      </c>
      <c r="AE143" s="165" t="s">
        <v>455</v>
      </c>
      <c r="AF143" s="165"/>
    </row>
    <row r="144" spans="1:32" x14ac:dyDescent="0.3">
      <c r="A144" s="165" t="s">
        <v>467</v>
      </c>
      <c r="B144" s="165" t="s">
        <v>14</v>
      </c>
      <c r="C144" s="165" t="s">
        <v>445</v>
      </c>
      <c r="D144" s="165" t="s">
        <v>15</v>
      </c>
      <c r="E144" s="157">
        <v>40632</v>
      </c>
      <c r="F144" s="165" t="s">
        <v>16</v>
      </c>
      <c r="G144" s="165" t="s">
        <v>16</v>
      </c>
      <c r="H144" s="165" t="s">
        <v>16</v>
      </c>
      <c r="I144" s="165" t="s">
        <v>16</v>
      </c>
      <c r="J144" s="165" t="s">
        <v>16</v>
      </c>
      <c r="K144" s="165" t="s">
        <v>16</v>
      </c>
      <c r="L144" s="165" t="s">
        <v>16</v>
      </c>
      <c r="M144" s="165" t="s">
        <v>16</v>
      </c>
      <c r="N144" s="165" t="s">
        <v>16</v>
      </c>
      <c r="O144" s="165" t="s">
        <v>16</v>
      </c>
      <c r="P144" s="165" t="s">
        <v>16</v>
      </c>
      <c r="Q144" s="165" t="s">
        <v>16</v>
      </c>
      <c r="R144" s="165" t="s">
        <v>16</v>
      </c>
      <c r="S144" s="165" t="s">
        <v>16</v>
      </c>
      <c r="T144" s="165" t="s">
        <v>16</v>
      </c>
      <c r="U144" s="165" t="s">
        <v>16</v>
      </c>
      <c r="V144" s="165" t="s">
        <v>16</v>
      </c>
      <c r="W144" s="165" t="s">
        <v>16</v>
      </c>
      <c r="X144" s="165" t="s">
        <v>16</v>
      </c>
      <c r="Y144" s="165" t="s">
        <v>16</v>
      </c>
      <c r="Z144" s="165" t="s">
        <v>16</v>
      </c>
      <c r="AA144" s="165" t="s">
        <v>16</v>
      </c>
      <c r="AB144" s="165" t="s">
        <v>16</v>
      </c>
      <c r="AC144" s="165" t="s">
        <v>16</v>
      </c>
      <c r="AD144" s="165" t="s">
        <v>16</v>
      </c>
      <c r="AE144" s="165" t="s">
        <v>446</v>
      </c>
      <c r="AF144" s="165"/>
    </row>
    <row r="145" spans="1:32" x14ac:dyDescent="0.3">
      <c r="A145" s="165" t="s">
        <v>468</v>
      </c>
      <c r="B145" s="165" t="s">
        <v>14</v>
      </c>
      <c r="C145" s="165" t="s">
        <v>445</v>
      </c>
      <c r="D145" s="165" t="s">
        <v>15</v>
      </c>
      <c r="E145" s="157">
        <v>40632</v>
      </c>
      <c r="F145" s="165" t="s">
        <v>16</v>
      </c>
      <c r="G145" s="165" t="s">
        <v>16</v>
      </c>
      <c r="H145" s="165" t="s">
        <v>16</v>
      </c>
      <c r="I145" s="165" t="s">
        <v>148</v>
      </c>
      <c r="J145" s="165" t="s">
        <v>148</v>
      </c>
      <c r="K145" s="165" t="s">
        <v>16</v>
      </c>
      <c r="L145" s="165" t="s">
        <v>16</v>
      </c>
      <c r="M145" s="165" t="s">
        <v>148</v>
      </c>
      <c r="N145" s="165" t="s">
        <v>16</v>
      </c>
      <c r="O145" s="165" t="s">
        <v>148</v>
      </c>
      <c r="P145" s="165" t="s">
        <v>148</v>
      </c>
      <c r="Q145" s="165" t="s">
        <v>16</v>
      </c>
      <c r="R145" s="165" t="s">
        <v>16</v>
      </c>
      <c r="S145" s="165" t="s">
        <v>16</v>
      </c>
      <c r="T145" s="165" t="s">
        <v>16</v>
      </c>
      <c r="U145" s="165" t="s">
        <v>16</v>
      </c>
      <c r="V145" s="165" t="s">
        <v>16</v>
      </c>
      <c r="W145" s="165" t="s">
        <v>16</v>
      </c>
      <c r="X145" s="165" t="s">
        <v>16</v>
      </c>
      <c r="Y145" s="165" t="s">
        <v>16</v>
      </c>
      <c r="Z145" s="165" t="s">
        <v>16</v>
      </c>
      <c r="AA145" s="165" t="s">
        <v>16</v>
      </c>
      <c r="AB145" s="165" t="s">
        <v>16</v>
      </c>
      <c r="AC145" s="165" t="s">
        <v>16</v>
      </c>
      <c r="AD145" s="165" t="s">
        <v>16</v>
      </c>
      <c r="AE145" s="165" t="s">
        <v>446</v>
      </c>
      <c r="AF145" s="165"/>
    </row>
    <row r="146" spans="1:32" x14ac:dyDescent="0.3">
      <c r="A146" s="165" t="s">
        <v>469</v>
      </c>
      <c r="B146" s="165" t="s">
        <v>14</v>
      </c>
      <c r="C146" s="165" t="s">
        <v>445</v>
      </c>
      <c r="D146" s="165" t="s">
        <v>15</v>
      </c>
      <c r="E146" s="157">
        <v>40632</v>
      </c>
      <c r="F146" s="165" t="s">
        <v>16</v>
      </c>
      <c r="G146" s="165" t="s">
        <v>16</v>
      </c>
      <c r="H146" s="165" t="s">
        <v>16</v>
      </c>
      <c r="I146" s="165" t="s">
        <v>16</v>
      </c>
      <c r="J146" s="165" t="s">
        <v>16</v>
      </c>
      <c r="K146" s="165" t="s">
        <v>16</v>
      </c>
      <c r="L146" s="165" t="s">
        <v>16</v>
      </c>
      <c r="M146" s="165" t="s">
        <v>148</v>
      </c>
      <c r="N146" s="165" t="s">
        <v>16</v>
      </c>
      <c r="O146" s="165" t="s">
        <v>16</v>
      </c>
      <c r="P146" s="165" t="s">
        <v>16</v>
      </c>
      <c r="Q146" s="165" t="s">
        <v>16</v>
      </c>
      <c r="R146" s="165" t="s">
        <v>148</v>
      </c>
      <c r="S146" s="165" t="s">
        <v>16</v>
      </c>
      <c r="T146" s="165" t="s">
        <v>16</v>
      </c>
      <c r="U146" s="165" t="s">
        <v>16</v>
      </c>
      <c r="V146" s="165" t="s">
        <v>16</v>
      </c>
      <c r="W146" s="165" t="s">
        <v>148</v>
      </c>
      <c r="X146" s="165" t="s">
        <v>16</v>
      </c>
      <c r="Y146" s="165" t="s">
        <v>16</v>
      </c>
      <c r="Z146" s="165" t="s">
        <v>16</v>
      </c>
      <c r="AA146" s="165" t="s">
        <v>148</v>
      </c>
      <c r="AB146" s="165" t="s">
        <v>16</v>
      </c>
      <c r="AC146" s="165" t="s">
        <v>148</v>
      </c>
      <c r="AD146" s="165" t="s">
        <v>16</v>
      </c>
      <c r="AE146" s="165" t="s">
        <v>455</v>
      </c>
      <c r="AF146" s="165"/>
    </row>
    <row r="147" spans="1:32" x14ac:dyDescent="0.3">
      <c r="A147" s="165" t="s">
        <v>470</v>
      </c>
      <c r="B147" s="165" t="s">
        <v>14</v>
      </c>
      <c r="C147" s="165" t="s">
        <v>445</v>
      </c>
      <c r="D147" s="165" t="s">
        <v>15</v>
      </c>
      <c r="E147" s="157">
        <v>40632</v>
      </c>
      <c r="F147" s="165" t="s">
        <v>148</v>
      </c>
      <c r="G147" s="165" t="s">
        <v>16</v>
      </c>
      <c r="H147" s="165" t="s">
        <v>148</v>
      </c>
      <c r="I147" s="165" t="s">
        <v>16</v>
      </c>
      <c r="J147" s="165" t="s">
        <v>16</v>
      </c>
      <c r="K147" s="165" t="s">
        <v>16</v>
      </c>
      <c r="L147" s="165" t="s">
        <v>16</v>
      </c>
      <c r="M147" s="165" t="s">
        <v>16</v>
      </c>
      <c r="N147" s="165" t="s">
        <v>148</v>
      </c>
      <c r="O147" s="165" t="s">
        <v>16</v>
      </c>
      <c r="P147" s="165" t="s">
        <v>16</v>
      </c>
      <c r="Q147" s="165" t="s">
        <v>16</v>
      </c>
      <c r="R147" s="165" t="s">
        <v>16</v>
      </c>
      <c r="S147" s="165" t="s">
        <v>148</v>
      </c>
      <c r="T147" s="165" t="s">
        <v>148</v>
      </c>
      <c r="U147" s="165" t="s">
        <v>148</v>
      </c>
      <c r="V147" s="165" t="s">
        <v>149</v>
      </c>
      <c r="W147" s="165" t="s">
        <v>149</v>
      </c>
      <c r="X147" s="165" t="s">
        <v>16</v>
      </c>
      <c r="Y147" s="165" t="s">
        <v>16</v>
      </c>
      <c r="Z147" s="165" t="s">
        <v>149</v>
      </c>
      <c r="AA147" s="165" t="s">
        <v>16</v>
      </c>
      <c r="AB147" s="165" t="s">
        <v>148</v>
      </c>
      <c r="AC147" s="165" t="s">
        <v>148</v>
      </c>
      <c r="AD147" s="165" t="s">
        <v>149</v>
      </c>
      <c r="AE147" s="165" t="s">
        <v>449</v>
      </c>
      <c r="AF147" s="165"/>
    </row>
    <row r="148" spans="1:32" x14ac:dyDescent="0.3">
      <c r="A148" s="165" t="s">
        <v>471</v>
      </c>
      <c r="B148" s="165" t="s">
        <v>14</v>
      </c>
      <c r="C148" s="165" t="s">
        <v>445</v>
      </c>
      <c r="D148" s="165" t="s">
        <v>15</v>
      </c>
      <c r="E148" s="157">
        <v>40632</v>
      </c>
      <c r="F148" s="165" t="s">
        <v>16</v>
      </c>
      <c r="G148" s="165" t="s">
        <v>16</v>
      </c>
      <c r="H148" s="165" t="s">
        <v>16</v>
      </c>
      <c r="I148" s="165" t="s">
        <v>16</v>
      </c>
      <c r="J148" s="165" t="s">
        <v>148</v>
      </c>
      <c r="K148" s="165" t="s">
        <v>16</v>
      </c>
      <c r="L148" s="165" t="s">
        <v>16</v>
      </c>
      <c r="M148" s="165" t="s">
        <v>148</v>
      </c>
      <c r="N148" s="165" t="s">
        <v>148</v>
      </c>
      <c r="O148" s="165" t="s">
        <v>16</v>
      </c>
      <c r="P148" s="165" t="s">
        <v>16</v>
      </c>
      <c r="Q148" s="165" t="s">
        <v>16</v>
      </c>
      <c r="R148" s="165" t="s">
        <v>16</v>
      </c>
      <c r="S148" s="165" t="s">
        <v>16</v>
      </c>
      <c r="T148" s="165" t="s">
        <v>16</v>
      </c>
      <c r="U148" s="165" t="s">
        <v>16</v>
      </c>
      <c r="V148" s="165" t="s">
        <v>16</v>
      </c>
      <c r="W148" s="165" t="s">
        <v>16</v>
      </c>
      <c r="X148" s="165" t="s">
        <v>16</v>
      </c>
      <c r="Y148" s="165" t="s">
        <v>16</v>
      </c>
      <c r="Z148" s="165" t="s">
        <v>148</v>
      </c>
      <c r="AA148" s="165" t="s">
        <v>148</v>
      </c>
      <c r="AB148" s="165" t="s">
        <v>16</v>
      </c>
      <c r="AC148" s="165" t="s">
        <v>148</v>
      </c>
      <c r="AD148" s="165" t="s">
        <v>148</v>
      </c>
      <c r="AE148" s="165" t="s">
        <v>455</v>
      </c>
      <c r="AF148" s="165"/>
    </row>
    <row r="149" spans="1:32" x14ac:dyDescent="0.3">
      <c r="A149" s="165" t="s">
        <v>472</v>
      </c>
      <c r="B149" s="165" t="s">
        <v>14</v>
      </c>
      <c r="C149" s="165" t="s">
        <v>445</v>
      </c>
      <c r="D149" s="165" t="s">
        <v>15</v>
      </c>
      <c r="E149" s="157">
        <v>40632</v>
      </c>
      <c r="F149" s="165" t="s">
        <v>149</v>
      </c>
      <c r="G149" s="165" t="s">
        <v>149</v>
      </c>
      <c r="H149" s="165" t="s">
        <v>148</v>
      </c>
      <c r="I149" s="165" t="s">
        <v>16</v>
      </c>
      <c r="J149" s="165" t="s">
        <v>148</v>
      </c>
      <c r="K149" s="165" t="s">
        <v>16</v>
      </c>
      <c r="L149" s="165" t="s">
        <v>16</v>
      </c>
      <c r="M149" s="165" t="s">
        <v>148</v>
      </c>
      <c r="N149" s="165" t="s">
        <v>148</v>
      </c>
      <c r="O149" s="165" t="s">
        <v>16</v>
      </c>
      <c r="P149" s="165" t="s">
        <v>148</v>
      </c>
      <c r="Q149" s="165" t="s">
        <v>16</v>
      </c>
      <c r="R149" s="165" t="s">
        <v>16</v>
      </c>
      <c r="S149" s="165" t="s">
        <v>148</v>
      </c>
      <c r="T149" s="165" t="s">
        <v>16</v>
      </c>
      <c r="U149" s="165" t="s">
        <v>148</v>
      </c>
      <c r="V149" s="165" t="s">
        <v>16</v>
      </c>
      <c r="W149" s="165" t="s">
        <v>16</v>
      </c>
      <c r="X149" s="165" t="s">
        <v>16</v>
      </c>
      <c r="Y149" s="165" t="s">
        <v>16</v>
      </c>
      <c r="Z149" s="165" t="s">
        <v>149</v>
      </c>
      <c r="AA149" s="165" t="s">
        <v>148</v>
      </c>
      <c r="AB149" s="165" t="s">
        <v>16</v>
      </c>
      <c r="AC149" s="165" t="s">
        <v>16</v>
      </c>
      <c r="AD149" s="165" t="s">
        <v>16</v>
      </c>
      <c r="AE149" s="165" t="s">
        <v>464</v>
      </c>
      <c r="AF149" s="165"/>
    </row>
    <row r="150" spans="1:32" x14ac:dyDescent="0.3">
      <c r="A150" s="165" t="s">
        <v>473</v>
      </c>
      <c r="B150" s="165" t="s">
        <v>14</v>
      </c>
      <c r="C150" s="165" t="s">
        <v>445</v>
      </c>
      <c r="D150" s="165" t="s">
        <v>15</v>
      </c>
      <c r="E150" s="157">
        <v>40632</v>
      </c>
      <c r="F150" s="165" t="s">
        <v>16</v>
      </c>
      <c r="G150" s="165" t="s">
        <v>16</v>
      </c>
      <c r="H150" s="165" t="s">
        <v>149</v>
      </c>
      <c r="I150" s="165" t="s">
        <v>150</v>
      </c>
      <c r="J150" s="165" t="s">
        <v>16</v>
      </c>
      <c r="K150" s="165" t="s">
        <v>148</v>
      </c>
      <c r="L150" s="165" t="s">
        <v>150</v>
      </c>
      <c r="M150" s="165" t="s">
        <v>16</v>
      </c>
      <c r="N150" s="165" t="s">
        <v>150</v>
      </c>
      <c r="O150" s="165" t="s">
        <v>148</v>
      </c>
      <c r="P150" s="165" t="s">
        <v>150</v>
      </c>
      <c r="Q150" s="165" t="s">
        <v>16</v>
      </c>
      <c r="R150" s="165" t="s">
        <v>16</v>
      </c>
      <c r="S150" s="165" t="s">
        <v>16</v>
      </c>
      <c r="T150" s="165" t="s">
        <v>16</v>
      </c>
      <c r="U150" s="165" t="s">
        <v>148</v>
      </c>
      <c r="V150" s="165" t="s">
        <v>16</v>
      </c>
      <c r="W150" s="165" t="s">
        <v>16</v>
      </c>
      <c r="X150" s="165" t="s">
        <v>16</v>
      </c>
      <c r="Y150" s="165" t="s">
        <v>149</v>
      </c>
      <c r="Z150" s="165" t="s">
        <v>16</v>
      </c>
      <c r="AA150" s="165" t="s">
        <v>16</v>
      </c>
      <c r="AB150" s="165" t="s">
        <v>148</v>
      </c>
      <c r="AC150" s="165" t="s">
        <v>148</v>
      </c>
      <c r="AD150" s="165" t="s">
        <v>148</v>
      </c>
      <c r="AE150" s="165" t="s">
        <v>449</v>
      </c>
      <c r="AF150" s="165"/>
    </row>
    <row r="151" spans="1:32" x14ac:dyDescent="0.3">
      <c r="A151" s="165" t="s">
        <v>474</v>
      </c>
      <c r="B151" s="165" t="s">
        <v>14</v>
      </c>
      <c r="C151" s="165" t="s">
        <v>445</v>
      </c>
      <c r="D151" s="165" t="s">
        <v>15</v>
      </c>
      <c r="E151" s="157">
        <v>40632</v>
      </c>
      <c r="F151" s="165" t="s">
        <v>16</v>
      </c>
      <c r="G151" s="165" t="s">
        <v>16</v>
      </c>
      <c r="H151" s="165" t="s">
        <v>148</v>
      </c>
      <c r="I151" s="165" t="s">
        <v>148</v>
      </c>
      <c r="J151" s="165" t="s">
        <v>148</v>
      </c>
      <c r="K151" s="165" t="s">
        <v>16</v>
      </c>
      <c r="L151" s="165" t="s">
        <v>16</v>
      </c>
      <c r="M151" s="165" t="s">
        <v>148</v>
      </c>
      <c r="N151" s="165" t="s">
        <v>148</v>
      </c>
      <c r="O151" s="165" t="s">
        <v>16</v>
      </c>
      <c r="P151" s="165" t="s">
        <v>148</v>
      </c>
      <c r="Q151" s="165" t="s">
        <v>16</v>
      </c>
      <c r="R151" s="165" t="s">
        <v>16</v>
      </c>
      <c r="S151" s="165" t="s">
        <v>148</v>
      </c>
      <c r="T151" s="165" t="s">
        <v>16</v>
      </c>
      <c r="U151" s="165" t="s">
        <v>16</v>
      </c>
      <c r="V151" s="165" t="s">
        <v>16</v>
      </c>
      <c r="W151" s="165" t="s">
        <v>16</v>
      </c>
      <c r="X151" s="165" t="s">
        <v>16</v>
      </c>
      <c r="Y151" s="165" t="s">
        <v>16</v>
      </c>
      <c r="Z151" s="165" t="s">
        <v>16</v>
      </c>
      <c r="AA151" s="165" t="s">
        <v>149</v>
      </c>
      <c r="AB151" s="165" t="s">
        <v>149</v>
      </c>
      <c r="AC151" s="165" t="s">
        <v>16</v>
      </c>
      <c r="AD151" s="165" t="s">
        <v>16</v>
      </c>
      <c r="AE151" s="165" t="s">
        <v>455</v>
      </c>
      <c r="AF151" s="165"/>
    </row>
    <row r="152" spans="1:32" x14ac:dyDescent="0.3">
      <c r="A152" s="165" t="s">
        <v>475</v>
      </c>
      <c r="B152" s="165" t="s">
        <v>14</v>
      </c>
      <c r="C152" s="165" t="s">
        <v>445</v>
      </c>
      <c r="D152" s="165" t="s">
        <v>15</v>
      </c>
      <c r="E152" s="157">
        <v>40632</v>
      </c>
      <c r="F152" s="165" t="s">
        <v>16</v>
      </c>
      <c r="G152" s="165" t="s">
        <v>149</v>
      </c>
      <c r="H152" s="165" t="s">
        <v>16</v>
      </c>
      <c r="I152" s="165" t="s">
        <v>148</v>
      </c>
      <c r="J152" s="165" t="s">
        <v>16</v>
      </c>
      <c r="K152" s="165" t="s">
        <v>16</v>
      </c>
      <c r="L152" s="165" t="s">
        <v>16</v>
      </c>
      <c r="M152" s="165" t="s">
        <v>148</v>
      </c>
      <c r="N152" s="165" t="s">
        <v>148</v>
      </c>
      <c r="O152" s="165" t="s">
        <v>16</v>
      </c>
      <c r="P152" s="165" t="s">
        <v>16</v>
      </c>
      <c r="Q152" s="165" t="s">
        <v>16</v>
      </c>
      <c r="R152" s="165" t="s">
        <v>16</v>
      </c>
      <c r="S152" s="165" t="s">
        <v>16</v>
      </c>
      <c r="T152" s="165" t="s">
        <v>148</v>
      </c>
      <c r="U152" s="165" t="s">
        <v>16</v>
      </c>
      <c r="V152" s="165" t="s">
        <v>16</v>
      </c>
      <c r="W152" s="165" t="s">
        <v>16</v>
      </c>
      <c r="X152" s="165" t="s">
        <v>16</v>
      </c>
      <c r="Y152" s="165" t="s">
        <v>16</v>
      </c>
      <c r="Z152" s="165" t="s">
        <v>149</v>
      </c>
      <c r="AA152" s="165" t="s">
        <v>16</v>
      </c>
      <c r="AB152" s="165" t="s">
        <v>148</v>
      </c>
      <c r="AC152" s="165" t="s">
        <v>16</v>
      </c>
      <c r="AD152" s="165" t="s">
        <v>16</v>
      </c>
      <c r="AE152" s="165" t="s">
        <v>449</v>
      </c>
      <c r="AF152" s="165"/>
    </row>
    <row r="153" spans="1:32" x14ac:dyDescent="0.3">
      <c r="A153" s="165" t="s">
        <v>476</v>
      </c>
      <c r="B153" s="165" t="s">
        <v>14</v>
      </c>
      <c r="C153" s="165" t="s">
        <v>445</v>
      </c>
      <c r="D153" s="165" t="s">
        <v>15</v>
      </c>
      <c r="E153" s="157">
        <v>40632</v>
      </c>
      <c r="F153" s="165" t="s">
        <v>16</v>
      </c>
      <c r="G153" s="165" t="s">
        <v>16</v>
      </c>
      <c r="H153" s="165" t="s">
        <v>16</v>
      </c>
      <c r="I153" s="165" t="s">
        <v>16</v>
      </c>
      <c r="J153" s="165" t="s">
        <v>16</v>
      </c>
      <c r="K153" s="165" t="s">
        <v>16</v>
      </c>
      <c r="L153" s="165" t="s">
        <v>16</v>
      </c>
      <c r="M153" s="165" t="s">
        <v>16</v>
      </c>
      <c r="N153" s="165" t="s">
        <v>16</v>
      </c>
      <c r="O153" s="165" t="s">
        <v>16</v>
      </c>
      <c r="P153" s="165" t="s">
        <v>16</v>
      </c>
      <c r="Q153" s="165" t="s">
        <v>16</v>
      </c>
      <c r="R153" s="165" t="s">
        <v>16</v>
      </c>
      <c r="S153" s="165" t="s">
        <v>16</v>
      </c>
      <c r="T153" s="165" t="s">
        <v>16</v>
      </c>
      <c r="U153" s="165" t="s">
        <v>16</v>
      </c>
      <c r="V153" s="165" t="s">
        <v>16</v>
      </c>
      <c r="W153" s="165" t="s">
        <v>16</v>
      </c>
      <c r="X153" s="165" t="s">
        <v>16</v>
      </c>
      <c r="Y153" s="165" t="s">
        <v>16</v>
      </c>
      <c r="Z153" s="165" t="s">
        <v>16</v>
      </c>
      <c r="AA153" s="165" t="s">
        <v>16</v>
      </c>
      <c r="AB153" s="165" t="s">
        <v>16</v>
      </c>
      <c r="AC153" s="165" t="s">
        <v>16</v>
      </c>
      <c r="AD153" s="165" t="s">
        <v>16</v>
      </c>
      <c r="AE153" s="165" t="s">
        <v>446</v>
      </c>
      <c r="AF153" s="165"/>
    </row>
    <row r="154" spans="1:32" x14ac:dyDescent="0.3">
      <c r="A154" s="165" t="s">
        <v>477</v>
      </c>
      <c r="B154" s="165" t="s">
        <v>14</v>
      </c>
      <c r="C154" s="165" t="s">
        <v>445</v>
      </c>
      <c r="D154" s="165" t="s">
        <v>15</v>
      </c>
      <c r="E154" s="157">
        <v>40632</v>
      </c>
      <c r="F154" s="165" t="s">
        <v>16</v>
      </c>
      <c r="G154" s="165" t="s">
        <v>16</v>
      </c>
      <c r="H154" s="165" t="s">
        <v>16</v>
      </c>
      <c r="I154" s="165" t="s">
        <v>16</v>
      </c>
      <c r="J154" s="165" t="s">
        <v>16</v>
      </c>
      <c r="K154" s="165" t="s">
        <v>16</v>
      </c>
      <c r="L154" s="165" t="s">
        <v>16</v>
      </c>
      <c r="M154" s="165" t="s">
        <v>16</v>
      </c>
      <c r="N154" s="165" t="s">
        <v>16</v>
      </c>
      <c r="O154" s="165" t="s">
        <v>16</v>
      </c>
      <c r="P154" s="165" t="s">
        <v>16</v>
      </c>
      <c r="Q154" s="165" t="s">
        <v>16</v>
      </c>
      <c r="R154" s="165" t="s">
        <v>16</v>
      </c>
      <c r="S154" s="165" t="s">
        <v>16</v>
      </c>
      <c r="T154" s="165" t="s">
        <v>16</v>
      </c>
      <c r="U154" s="165" t="s">
        <v>16</v>
      </c>
      <c r="V154" s="165" t="s">
        <v>16</v>
      </c>
      <c r="W154" s="165" t="s">
        <v>16</v>
      </c>
      <c r="X154" s="165" t="s">
        <v>16</v>
      </c>
      <c r="Y154" s="165" t="s">
        <v>16</v>
      </c>
      <c r="Z154" s="165" t="s">
        <v>16</v>
      </c>
      <c r="AA154" s="165" t="s">
        <v>16</v>
      </c>
      <c r="AB154" s="165" t="s">
        <v>16</v>
      </c>
      <c r="AC154" s="165" t="s">
        <v>16</v>
      </c>
      <c r="AD154" s="165" t="s">
        <v>16</v>
      </c>
      <c r="AE154" s="165" t="s">
        <v>478</v>
      </c>
      <c r="AF154" s="165" t="s">
        <v>479</v>
      </c>
    </row>
    <row r="155" spans="1:32" x14ac:dyDescent="0.3">
      <c r="A155" s="165" t="s">
        <v>480</v>
      </c>
      <c r="B155" s="165" t="s">
        <v>14</v>
      </c>
      <c r="C155" s="165" t="s">
        <v>445</v>
      </c>
      <c r="D155" s="165" t="s">
        <v>15</v>
      </c>
      <c r="E155" s="157">
        <v>40632</v>
      </c>
      <c r="F155" s="165" t="s">
        <v>16</v>
      </c>
      <c r="G155" s="165" t="s">
        <v>16</v>
      </c>
      <c r="H155" s="165" t="s">
        <v>16</v>
      </c>
      <c r="I155" s="165" t="s">
        <v>16</v>
      </c>
      <c r="J155" s="165" t="s">
        <v>148</v>
      </c>
      <c r="K155" s="165" t="s">
        <v>16</v>
      </c>
      <c r="L155" s="165" t="s">
        <v>16</v>
      </c>
      <c r="M155" s="165" t="s">
        <v>16</v>
      </c>
      <c r="N155" s="165" t="s">
        <v>148</v>
      </c>
      <c r="O155" s="165" t="s">
        <v>16</v>
      </c>
      <c r="P155" s="165" t="s">
        <v>16</v>
      </c>
      <c r="Q155" s="165" t="s">
        <v>16</v>
      </c>
      <c r="R155" s="165" t="s">
        <v>16</v>
      </c>
      <c r="S155" s="165" t="s">
        <v>148</v>
      </c>
      <c r="T155" s="165" t="s">
        <v>16</v>
      </c>
      <c r="U155" s="165" t="s">
        <v>16</v>
      </c>
      <c r="V155" s="165" t="s">
        <v>16</v>
      </c>
      <c r="W155" s="165" t="s">
        <v>16</v>
      </c>
      <c r="X155" s="165" t="s">
        <v>16</v>
      </c>
      <c r="Y155" s="165" t="s">
        <v>16</v>
      </c>
      <c r="Z155" s="165" t="s">
        <v>149</v>
      </c>
      <c r="AA155" s="165" t="s">
        <v>148</v>
      </c>
      <c r="AB155" s="165" t="s">
        <v>149</v>
      </c>
      <c r="AC155" s="165" t="s">
        <v>148</v>
      </c>
      <c r="AD155" s="165" t="s">
        <v>16</v>
      </c>
      <c r="AE155" s="165" t="s">
        <v>446</v>
      </c>
      <c r="AF155" s="165"/>
    </row>
    <row r="156" spans="1:32" x14ac:dyDescent="0.3">
      <c r="A156" s="165" t="s">
        <v>481</v>
      </c>
      <c r="B156" s="165" t="s">
        <v>14</v>
      </c>
      <c r="C156" s="165" t="s">
        <v>445</v>
      </c>
      <c r="D156" s="165" t="s">
        <v>15</v>
      </c>
      <c r="E156" s="157">
        <v>40632</v>
      </c>
      <c r="F156" s="165" t="s">
        <v>16</v>
      </c>
      <c r="G156" s="165" t="s">
        <v>16</v>
      </c>
      <c r="H156" s="165" t="s">
        <v>16</v>
      </c>
      <c r="I156" s="165" t="s">
        <v>16</v>
      </c>
      <c r="J156" s="165" t="s">
        <v>16</v>
      </c>
      <c r="K156" s="165" t="s">
        <v>16</v>
      </c>
      <c r="L156" s="165" t="s">
        <v>16</v>
      </c>
      <c r="M156" s="165" t="s">
        <v>148</v>
      </c>
      <c r="N156" s="165" t="s">
        <v>148</v>
      </c>
      <c r="O156" s="165" t="s">
        <v>149</v>
      </c>
      <c r="P156" s="165" t="s">
        <v>16</v>
      </c>
      <c r="Q156" s="165" t="s">
        <v>16</v>
      </c>
      <c r="R156" s="165" t="s">
        <v>148</v>
      </c>
      <c r="S156" s="165" t="s">
        <v>148</v>
      </c>
      <c r="T156" s="165" t="s">
        <v>148</v>
      </c>
      <c r="U156" s="165" t="s">
        <v>16</v>
      </c>
      <c r="V156" s="165" t="s">
        <v>16</v>
      </c>
      <c r="W156" s="165" t="s">
        <v>148</v>
      </c>
      <c r="X156" s="165" t="s">
        <v>148</v>
      </c>
      <c r="Y156" s="165" t="s">
        <v>16</v>
      </c>
      <c r="Z156" s="165" t="s">
        <v>16</v>
      </c>
      <c r="AA156" s="165" t="s">
        <v>16</v>
      </c>
      <c r="AB156" s="165" t="s">
        <v>148</v>
      </c>
      <c r="AC156" s="165" t="s">
        <v>148</v>
      </c>
      <c r="AD156" s="165" t="s">
        <v>148</v>
      </c>
      <c r="AE156" s="165" t="s">
        <v>449</v>
      </c>
      <c r="AF156" s="165"/>
    </row>
    <row r="157" spans="1:32" x14ac:dyDescent="0.3">
      <c r="A157" s="165" t="s">
        <v>482</v>
      </c>
      <c r="B157" s="165" t="s">
        <v>14</v>
      </c>
      <c r="C157" s="165" t="s">
        <v>445</v>
      </c>
      <c r="D157" s="165" t="s">
        <v>15</v>
      </c>
      <c r="E157" s="157">
        <v>40632</v>
      </c>
      <c r="F157" s="165" t="s">
        <v>148</v>
      </c>
      <c r="G157" s="165" t="s">
        <v>16</v>
      </c>
      <c r="H157" s="165" t="s">
        <v>16</v>
      </c>
      <c r="I157" s="165" t="s">
        <v>148</v>
      </c>
      <c r="J157" s="165" t="s">
        <v>150</v>
      </c>
      <c r="K157" s="165" t="s">
        <v>16</v>
      </c>
      <c r="L157" s="165" t="s">
        <v>16</v>
      </c>
      <c r="M157" s="165" t="s">
        <v>148</v>
      </c>
      <c r="N157" s="165" t="s">
        <v>148</v>
      </c>
      <c r="O157" s="165" t="s">
        <v>16</v>
      </c>
      <c r="P157" s="165" t="s">
        <v>148</v>
      </c>
      <c r="Q157" s="165" t="s">
        <v>16</v>
      </c>
      <c r="R157" s="165" t="s">
        <v>16</v>
      </c>
      <c r="S157" s="165" t="s">
        <v>148</v>
      </c>
      <c r="T157" s="165" t="s">
        <v>148</v>
      </c>
      <c r="U157" s="165" t="s">
        <v>148</v>
      </c>
      <c r="V157" s="165" t="s">
        <v>148</v>
      </c>
      <c r="W157" s="165" t="s">
        <v>148</v>
      </c>
      <c r="X157" s="165" t="s">
        <v>148</v>
      </c>
      <c r="Y157" s="165" t="s">
        <v>148</v>
      </c>
      <c r="Z157" s="165" t="s">
        <v>16</v>
      </c>
      <c r="AA157" s="165" t="s">
        <v>148</v>
      </c>
      <c r="AB157" s="165" t="s">
        <v>16</v>
      </c>
      <c r="AC157" s="165" t="s">
        <v>148</v>
      </c>
      <c r="AD157" s="165" t="s">
        <v>148</v>
      </c>
      <c r="AE157" s="165" t="s">
        <v>483</v>
      </c>
      <c r="AF157" s="165"/>
    </row>
    <row r="158" spans="1:32" x14ac:dyDescent="0.3">
      <c r="A158" s="165" t="s">
        <v>484</v>
      </c>
      <c r="B158" s="165" t="s">
        <v>14</v>
      </c>
      <c r="C158" s="165" t="s">
        <v>445</v>
      </c>
      <c r="D158" s="165" t="s">
        <v>15</v>
      </c>
      <c r="E158" s="157">
        <v>40632</v>
      </c>
      <c r="F158" s="165" t="s">
        <v>16</v>
      </c>
      <c r="G158" s="165" t="s">
        <v>16</v>
      </c>
      <c r="H158" s="165" t="s">
        <v>148</v>
      </c>
      <c r="I158" s="165" t="s">
        <v>148</v>
      </c>
      <c r="J158" s="165" t="s">
        <v>16</v>
      </c>
      <c r="K158" s="165" t="s">
        <v>16</v>
      </c>
      <c r="L158" s="165" t="s">
        <v>16</v>
      </c>
      <c r="M158" s="165" t="s">
        <v>16</v>
      </c>
      <c r="N158" s="165" t="s">
        <v>148</v>
      </c>
      <c r="O158" s="165" t="s">
        <v>148</v>
      </c>
      <c r="P158" s="165" t="s">
        <v>148</v>
      </c>
      <c r="Q158" s="165" t="s">
        <v>16</v>
      </c>
      <c r="R158" s="165" t="s">
        <v>16</v>
      </c>
      <c r="S158" s="165" t="s">
        <v>149</v>
      </c>
      <c r="T158" s="165" t="s">
        <v>149</v>
      </c>
      <c r="U158" s="165" t="s">
        <v>148</v>
      </c>
      <c r="V158" s="165" t="s">
        <v>16</v>
      </c>
      <c r="W158" s="165" t="s">
        <v>16</v>
      </c>
      <c r="X158" s="165" t="s">
        <v>16</v>
      </c>
      <c r="Y158" s="165" t="s">
        <v>16</v>
      </c>
      <c r="Z158" s="165" t="s">
        <v>16</v>
      </c>
      <c r="AA158" s="165" t="s">
        <v>148</v>
      </c>
      <c r="AB158" s="165" t="s">
        <v>16</v>
      </c>
      <c r="AC158" s="165" t="s">
        <v>148</v>
      </c>
      <c r="AD158" s="165" t="s">
        <v>16</v>
      </c>
      <c r="AE158" s="165" t="s">
        <v>455</v>
      </c>
      <c r="AF158" s="165"/>
    </row>
    <row r="159" spans="1:32" x14ac:dyDescent="0.3">
      <c r="A159" s="165" t="s">
        <v>485</v>
      </c>
      <c r="B159" s="165" t="s">
        <v>14</v>
      </c>
      <c r="C159" s="165" t="s">
        <v>445</v>
      </c>
      <c r="D159" s="165" t="s">
        <v>15</v>
      </c>
      <c r="E159" s="157">
        <v>40632</v>
      </c>
      <c r="F159" s="165" t="s">
        <v>16</v>
      </c>
      <c r="G159" s="165" t="s">
        <v>16</v>
      </c>
      <c r="H159" s="165" t="s">
        <v>16</v>
      </c>
      <c r="I159" s="165" t="s">
        <v>16</v>
      </c>
      <c r="J159" s="165" t="s">
        <v>16</v>
      </c>
      <c r="K159" s="165" t="s">
        <v>16</v>
      </c>
      <c r="L159" s="165" t="s">
        <v>16</v>
      </c>
      <c r="M159" s="165" t="s">
        <v>16</v>
      </c>
      <c r="N159" s="165" t="s">
        <v>16</v>
      </c>
      <c r="O159" s="165" t="s">
        <v>16</v>
      </c>
      <c r="P159" s="165" t="s">
        <v>16</v>
      </c>
      <c r="Q159" s="165" t="s">
        <v>16</v>
      </c>
      <c r="R159" s="165" t="s">
        <v>16</v>
      </c>
      <c r="S159" s="165" t="s">
        <v>16</v>
      </c>
      <c r="T159" s="165" t="s">
        <v>16</v>
      </c>
      <c r="U159" s="165" t="s">
        <v>16</v>
      </c>
      <c r="V159" s="165" t="s">
        <v>16</v>
      </c>
      <c r="W159" s="165" t="s">
        <v>16</v>
      </c>
      <c r="X159" s="165" t="s">
        <v>16</v>
      </c>
      <c r="Y159" s="165" t="s">
        <v>16</v>
      </c>
      <c r="Z159" s="165" t="s">
        <v>16</v>
      </c>
      <c r="AA159" s="165" t="s">
        <v>16</v>
      </c>
      <c r="AB159" s="165" t="s">
        <v>16</v>
      </c>
      <c r="AC159" s="165" t="s">
        <v>16</v>
      </c>
      <c r="AD159" s="165" t="s">
        <v>16</v>
      </c>
      <c r="AE159" s="165" t="s">
        <v>446</v>
      </c>
      <c r="AF159" s="165"/>
    </row>
    <row r="160" spans="1:32" x14ac:dyDescent="0.3">
      <c r="A160" s="165" t="s">
        <v>486</v>
      </c>
      <c r="B160" s="165" t="s">
        <v>14</v>
      </c>
      <c r="C160" s="165" t="s">
        <v>445</v>
      </c>
      <c r="D160" s="165" t="s">
        <v>15</v>
      </c>
      <c r="E160" s="157">
        <v>40632</v>
      </c>
      <c r="F160" s="165" t="s">
        <v>16</v>
      </c>
      <c r="G160" s="165" t="s">
        <v>16</v>
      </c>
      <c r="H160" s="165" t="s">
        <v>16</v>
      </c>
      <c r="I160" s="165" t="s">
        <v>16</v>
      </c>
      <c r="J160" s="165" t="s">
        <v>16</v>
      </c>
      <c r="K160" s="165" t="s">
        <v>16</v>
      </c>
      <c r="L160" s="165" t="s">
        <v>16</v>
      </c>
      <c r="M160" s="165" t="s">
        <v>16</v>
      </c>
      <c r="N160" s="165" t="s">
        <v>16</v>
      </c>
      <c r="O160" s="165" t="s">
        <v>16</v>
      </c>
      <c r="P160" s="165" t="s">
        <v>16</v>
      </c>
      <c r="Q160" s="165" t="s">
        <v>16</v>
      </c>
      <c r="R160" s="165" t="s">
        <v>16</v>
      </c>
      <c r="S160" s="165" t="s">
        <v>148</v>
      </c>
      <c r="T160" s="165" t="s">
        <v>16</v>
      </c>
      <c r="U160" s="165" t="s">
        <v>16</v>
      </c>
      <c r="V160" s="165" t="s">
        <v>16</v>
      </c>
      <c r="W160" s="165" t="s">
        <v>16</v>
      </c>
      <c r="X160" s="165" t="s">
        <v>16</v>
      </c>
      <c r="Y160" s="165" t="s">
        <v>16</v>
      </c>
      <c r="Z160" s="165" t="s">
        <v>148</v>
      </c>
      <c r="AA160" s="165" t="s">
        <v>148</v>
      </c>
      <c r="AB160" s="165" t="s">
        <v>16</v>
      </c>
      <c r="AC160" s="165" t="s">
        <v>148</v>
      </c>
      <c r="AD160" s="165" t="s">
        <v>16</v>
      </c>
      <c r="AE160" s="165" t="s">
        <v>449</v>
      </c>
      <c r="AF160" s="165"/>
    </row>
    <row r="161" spans="1:32" x14ac:dyDescent="0.3">
      <c r="A161" s="165" t="s">
        <v>487</v>
      </c>
      <c r="B161" s="165" t="s">
        <v>14</v>
      </c>
      <c r="C161" s="165" t="s">
        <v>445</v>
      </c>
      <c r="D161" s="165" t="s">
        <v>15</v>
      </c>
      <c r="E161" s="157">
        <v>40632</v>
      </c>
      <c r="F161" s="165" t="s">
        <v>16</v>
      </c>
      <c r="G161" s="165" t="s">
        <v>148</v>
      </c>
      <c r="H161" s="165" t="s">
        <v>16</v>
      </c>
      <c r="I161" s="165" t="s">
        <v>150</v>
      </c>
      <c r="J161" s="165" t="s">
        <v>114</v>
      </c>
      <c r="K161" s="165" t="s">
        <v>16</v>
      </c>
      <c r="L161" s="165" t="s">
        <v>16</v>
      </c>
      <c r="M161" s="165" t="s">
        <v>16</v>
      </c>
      <c r="N161" s="165" t="s">
        <v>16</v>
      </c>
      <c r="O161" s="165" t="s">
        <v>16</v>
      </c>
      <c r="P161" s="165" t="s">
        <v>148</v>
      </c>
      <c r="Q161" s="165" t="s">
        <v>16</v>
      </c>
      <c r="R161" s="165" t="s">
        <v>148</v>
      </c>
      <c r="S161" s="165" t="s">
        <v>16</v>
      </c>
      <c r="T161" s="165" t="s">
        <v>16</v>
      </c>
      <c r="U161" s="165" t="s">
        <v>16</v>
      </c>
      <c r="V161" s="165" t="s">
        <v>16</v>
      </c>
      <c r="W161" s="165" t="s">
        <v>150</v>
      </c>
      <c r="X161" s="165" t="s">
        <v>16</v>
      </c>
      <c r="Y161" s="165" t="s">
        <v>114</v>
      </c>
      <c r="Z161" s="165" t="s">
        <v>148</v>
      </c>
      <c r="AA161" s="165" t="s">
        <v>148</v>
      </c>
      <c r="AB161" s="165" t="s">
        <v>148</v>
      </c>
      <c r="AC161" s="165" t="s">
        <v>16</v>
      </c>
      <c r="AD161" s="165" t="s">
        <v>16</v>
      </c>
      <c r="AE161" s="165" t="s">
        <v>449</v>
      </c>
      <c r="AF161" s="165"/>
    </row>
    <row r="162" spans="1:32" x14ac:dyDescent="0.3">
      <c r="A162" s="165" t="s">
        <v>488</v>
      </c>
      <c r="B162" s="165" t="s">
        <v>14</v>
      </c>
      <c r="C162" s="165" t="s">
        <v>445</v>
      </c>
      <c r="D162" s="165" t="s">
        <v>15</v>
      </c>
      <c r="E162" s="157">
        <v>40632</v>
      </c>
      <c r="F162" s="165" t="s">
        <v>16</v>
      </c>
      <c r="G162" s="165" t="s">
        <v>16</v>
      </c>
      <c r="H162" s="165" t="s">
        <v>148</v>
      </c>
      <c r="I162" s="165" t="s">
        <v>148</v>
      </c>
      <c r="J162" s="165" t="s">
        <v>16</v>
      </c>
      <c r="K162" s="165" t="s">
        <v>16</v>
      </c>
      <c r="L162" s="165" t="s">
        <v>16</v>
      </c>
      <c r="M162" s="165" t="s">
        <v>148</v>
      </c>
      <c r="N162" s="165" t="s">
        <v>16</v>
      </c>
      <c r="O162" s="165" t="s">
        <v>148</v>
      </c>
      <c r="P162" s="165" t="s">
        <v>148</v>
      </c>
      <c r="Q162" s="165" t="s">
        <v>16</v>
      </c>
      <c r="R162" s="165" t="s">
        <v>16</v>
      </c>
      <c r="S162" s="165" t="s">
        <v>16</v>
      </c>
      <c r="T162" s="165" t="s">
        <v>16</v>
      </c>
      <c r="U162" s="165" t="s">
        <v>148</v>
      </c>
      <c r="V162" s="165" t="s">
        <v>16</v>
      </c>
      <c r="W162" s="165" t="s">
        <v>16</v>
      </c>
      <c r="X162" s="165" t="s">
        <v>148</v>
      </c>
      <c r="Y162" s="165" t="s">
        <v>16</v>
      </c>
      <c r="Z162" s="165" t="s">
        <v>148</v>
      </c>
      <c r="AA162" s="165" t="s">
        <v>148</v>
      </c>
      <c r="AB162" s="165" t="s">
        <v>16</v>
      </c>
      <c r="AC162" s="165" t="s">
        <v>148</v>
      </c>
      <c r="AD162" s="165" t="s">
        <v>16</v>
      </c>
      <c r="AE162" s="165" t="s">
        <v>489</v>
      </c>
      <c r="AF162" s="165"/>
    </row>
    <row r="163" spans="1:32" x14ac:dyDescent="0.3">
      <c r="A163" s="165" t="s">
        <v>490</v>
      </c>
      <c r="B163" s="165" t="s">
        <v>14</v>
      </c>
      <c r="C163" s="165" t="s">
        <v>445</v>
      </c>
      <c r="D163" s="165" t="s">
        <v>15</v>
      </c>
      <c r="E163" s="157">
        <v>40632</v>
      </c>
      <c r="F163" s="165" t="s">
        <v>16</v>
      </c>
      <c r="G163" s="165" t="s">
        <v>16</v>
      </c>
      <c r="H163" s="165" t="s">
        <v>148</v>
      </c>
      <c r="I163" s="165" t="s">
        <v>148</v>
      </c>
      <c r="J163" s="165" t="s">
        <v>148</v>
      </c>
      <c r="K163" s="165" t="s">
        <v>16</v>
      </c>
      <c r="L163" s="165" t="s">
        <v>16</v>
      </c>
      <c r="M163" s="165" t="s">
        <v>148</v>
      </c>
      <c r="N163" s="165" t="s">
        <v>148</v>
      </c>
      <c r="O163" s="165" t="s">
        <v>148</v>
      </c>
      <c r="P163" s="165" t="s">
        <v>148</v>
      </c>
      <c r="Q163" s="165" t="s">
        <v>16</v>
      </c>
      <c r="R163" s="165" t="s">
        <v>16</v>
      </c>
      <c r="S163" s="165" t="s">
        <v>148</v>
      </c>
      <c r="T163" s="165" t="s">
        <v>148</v>
      </c>
      <c r="U163" s="165" t="s">
        <v>148</v>
      </c>
      <c r="V163" s="165" t="s">
        <v>148</v>
      </c>
      <c r="W163" s="165" t="s">
        <v>148</v>
      </c>
      <c r="X163" s="165" t="s">
        <v>148</v>
      </c>
      <c r="Y163" s="165" t="s">
        <v>148</v>
      </c>
      <c r="Z163" s="165" t="s">
        <v>16</v>
      </c>
      <c r="AA163" s="165" t="s">
        <v>148</v>
      </c>
      <c r="AB163" s="165" t="s">
        <v>16</v>
      </c>
      <c r="AC163" s="165" t="s">
        <v>148</v>
      </c>
      <c r="AD163" s="165" t="s">
        <v>16</v>
      </c>
      <c r="AE163" s="165" t="s">
        <v>455</v>
      </c>
      <c r="AF163" s="165"/>
    </row>
    <row r="164" spans="1:32" x14ac:dyDescent="0.3">
      <c r="A164" s="165" t="s">
        <v>491</v>
      </c>
      <c r="B164" s="165" t="s">
        <v>14</v>
      </c>
      <c r="C164" s="165" t="s">
        <v>445</v>
      </c>
      <c r="D164" s="165" t="s">
        <v>15</v>
      </c>
      <c r="E164" s="157">
        <v>40632</v>
      </c>
      <c r="F164" s="165" t="s">
        <v>16</v>
      </c>
      <c r="G164" s="165" t="s">
        <v>16</v>
      </c>
      <c r="H164" s="165" t="s">
        <v>16</v>
      </c>
      <c r="I164" s="165" t="s">
        <v>16</v>
      </c>
      <c r="J164" s="165" t="s">
        <v>16</v>
      </c>
      <c r="K164" s="165" t="s">
        <v>16</v>
      </c>
      <c r="L164" s="165" t="s">
        <v>16</v>
      </c>
      <c r="M164" s="165" t="s">
        <v>16</v>
      </c>
      <c r="N164" s="165" t="s">
        <v>16</v>
      </c>
      <c r="O164" s="165" t="s">
        <v>16</v>
      </c>
      <c r="P164" s="165" t="s">
        <v>16</v>
      </c>
      <c r="Q164" s="165" t="s">
        <v>16</v>
      </c>
      <c r="R164" s="165" t="s">
        <v>16</v>
      </c>
      <c r="S164" s="165" t="s">
        <v>16</v>
      </c>
      <c r="T164" s="165" t="s">
        <v>16</v>
      </c>
      <c r="U164" s="165" t="s">
        <v>16</v>
      </c>
      <c r="V164" s="165" t="s">
        <v>16</v>
      </c>
      <c r="W164" s="165" t="s">
        <v>16</v>
      </c>
      <c r="X164" s="165" t="s">
        <v>16</v>
      </c>
      <c r="Y164" s="165" t="s">
        <v>16</v>
      </c>
      <c r="Z164" s="165" t="s">
        <v>16</v>
      </c>
      <c r="AA164" s="165" t="s">
        <v>16</v>
      </c>
      <c r="AB164" s="165" t="s">
        <v>16</v>
      </c>
      <c r="AC164" s="165" t="s">
        <v>16</v>
      </c>
      <c r="AD164" s="165" t="s">
        <v>16</v>
      </c>
      <c r="AE164" s="165" t="s">
        <v>464</v>
      </c>
      <c r="AF164" s="165"/>
    </row>
    <row r="165" spans="1:32" x14ac:dyDescent="0.3">
      <c r="A165" s="165" t="s">
        <v>492</v>
      </c>
      <c r="B165" s="165" t="s">
        <v>14</v>
      </c>
      <c r="C165" s="165" t="s">
        <v>445</v>
      </c>
      <c r="D165" s="165" t="s">
        <v>15</v>
      </c>
      <c r="E165" s="157">
        <v>40632</v>
      </c>
      <c r="F165" s="165" t="s">
        <v>16</v>
      </c>
      <c r="G165" s="165" t="s">
        <v>16</v>
      </c>
      <c r="H165" s="165" t="s">
        <v>16</v>
      </c>
      <c r="I165" s="165" t="s">
        <v>16</v>
      </c>
      <c r="J165" s="165" t="s">
        <v>16</v>
      </c>
      <c r="K165" s="165" t="s">
        <v>16</v>
      </c>
      <c r="L165" s="165" t="s">
        <v>16</v>
      </c>
      <c r="M165" s="165" t="s">
        <v>16</v>
      </c>
      <c r="N165" s="165" t="s">
        <v>16</v>
      </c>
      <c r="O165" s="165" t="s">
        <v>16</v>
      </c>
      <c r="P165" s="165" t="s">
        <v>16</v>
      </c>
      <c r="Q165" s="165" t="s">
        <v>16</v>
      </c>
      <c r="R165" s="165" t="s">
        <v>16</v>
      </c>
      <c r="S165" s="165" t="s">
        <v>16</v>
      </c>
      <c r="T165" s="165" t="s">
        <v>16</v>
      </c>
      <c r="U165" s="165" t="s">
        <v>16</v>
      </c>
      <c r="V165" s="165" t="s">
        <v>16</v>
      </c>
      <c r="W165" s="165" t="s">
        <v>16</v>
      </c>
      <c r="X165" s="165" t="s">
        <v>16</v>
      </c>
      <c r="Y165" s="165" t="s">
        <v>16</v>
      </c>
      <c r="Z165" s="165" t="s">
        <v>16</v>
      </c>
      <c r="AA165" s="165" t="s">
        <v>16</v>
      </c>
      <c r="AB165" s="165" t="s">
        <v>16</v>
      </c>
      <c r="AC165" s="165" t="s">
        <v>148</v>
      </c>
      <c r="AD165" s="165" t="s">
        <v>16</v>
      </c>
      <c r="AE165" s="165"/>
      <c r="AF165" s="165"/>
    </row>
    <row r="166" spans="1:32" x14ac:dyDescent="0.3">
      <c r="A166" s="165" t="s">
        <v>493</v>
      </c>
      <c r="B166" s="165" t="s">
        <v>14</v>
      </c>
      <c r="C166" s="165" t="s">
        <v>445</v>
      </c>
      <c r="D166" s="165" t="s">
        <v>15</v>
      </c>
      <c r="E166" s="157">
        <v>40632</v>
      </c>
      <c r="F166" s="165" t="s">
        <v>16</v>
      </c>
      <c r="G166" s="165" t="s">
        <v>16</v>
      </c>
      <c r="H166" s="165" t="s">
        <v>16</v>
      </c>
      <c r="I166" s="165" t="s">
        <v>148</v>
      </c>
      <c r="J166" s="165" t="s">
        <v>148</v>
      </c>
      <c r="K166" s="165" t="s">
        <v>16</v>
      </c>
      <c r="L166" s="165" t="s">
        <v>16</v>
      </c>
      <c r="M166" s="165" t="s">
        <v>16</v>
      </c>
      <c r="N166" s="165" t="s">
        <v>16</v>
      </c>
      <c r="O166" s="165" t="s">
        <v>148</v>
      </c>
      <c r="P166" s="165" t="s">
        <v>148</v>
      </c>
      <c r="Q166" s="165" t="s">
        <v>16</v>
      </c>
      <c r="R166" s="165" t="s">
        <v>16</v>
      </c>
      <c r="S166" s="165" t="s">
        <v>16</v>
      </c>
      <c r="T166" s="165" t="s">
        <v>16</v>
      </c>
      <c r="U166" s="165" t="s">
        <v>148</v>
      </c>
      <c r="V166" s="165" t="s">
        <v>16</v>
      </c>
      <c r="W166" s="165" t="s">
        <v>16</v>
      </c>
      <c r="X166" s="165" t="s">
        <v>16</v>
      </c>
      <c r="Y166" s="165" t="s">
        <v>16</v>
      </c>
      <c r="Z166" s="165" t="s">
        <v>16</v>
      </c>
      <c r="AA166" s="165" t="s">
        <v>148</v>
      </c>
      <c r="AB166" s="165" t="s">
        <v>16</v>
      </c>
      <c r="AC166" s="165" t="s">
        <v>148</v>
      </c>
      <c r="AD166" s="165" t="s">
        <v>16</v>
      </c>
      <c r="AE166" s="165" t="s">
        <v>455</v>
      </c>
      <c r="AF166" s="165"/>
    </row>
    <row r="167" spans="1:32" x14ac:dyDescent="0.3">
      <c r="A167" s="165" t="s">
        <v>494</v>
      </c>
      <c r="B167" s="165" t="s">
        <v>14</v>
      </c>
      <c r="C167" s="165" t="s">
        <v>445</v>
      </c>
      <c r="D167" s="165" t="s">
        <v>15</v>
      </c>
      <c r="E167" s="157">
        <v>40632</v>
      </c>
      <c r="F167" s="165" t="s">
        <v>149</v>
      </c>
      <c r="G167" s="165" t="s">
        <v>148</v>
      </c>
      <c r="H167" s="165" t="s">
        <v>148</v>
      </c>
      <c r="I167" s="165" t="s">
        <v>148</v>
      </c>
      <c r="J167" s="165" t="s">
        <v>148</v>
      </c>
      <c r="K167" s="165" t="s">
        <v>16</v>
      </c>
      <c r="L167" s="165" t="s">
        <v>16</v>
      </c>
      <c r="M167" s="165" t="s">
        <v>148</v>
      </c>
      <c r="N167" s="165" t="s">
        <v>16</v>
      </c>
      <c r="O167" s="165" t="s">
        <v>148</v>
      </c>
      <c r="P167" s="165" t="s">
        <v>148</v>
      </c>
      <c r="Q167" s="165" t="s">
        <v>16</v>
      </c>
      <c r="R167" s="165" t="s">
        <v>148</v>
      </c>
      <c r="S167" s="165" t="s">
        <v>16</v>
      </c>
      <c r="T167" s="165" t="s">
        <v>16</v>
      </c>
      <c r="U167" s="165" t="s">
        <v>16</v>
      </c>
      <c r="V167" s="165" t="s">
        <v>148</v>
      </c>
      <c r="W167" s="165" t="s">
        <v>16</v>
      </c>
      <c r="X167" s="165" t="s">
        <v>148</v>
      </c>
      <c r="Y167" s="165" t="s">
        <v>16</v>
      </c>
      <c r="Z167" s="165" t="s">
        <v>16</v>
      </c>
      <c r="AA167" s="165" t="s">
        <v>148</v>
      </c>
      <c r="AB167" s="165" t="s">
        <v>148</v>
      </c>
      <c r="AC167" s="165" t="s">
        <v>148</v>
      </c>
      <c r="AD167" s="165" t="s">
        <v>148</v>
      </c>
      <c r="AE167" s="165" t="s">
        <v>455</v>
      </c>
      <c r="AF167" s="165"/>
    </row>
    <row r="168" spans="1:32" x14ac:dyDescent="0.3">
      <c r="A168" s="165" t="s">
        <v>495</v>
      </c>
      <c r="B168" s="165" t="s">
        <v>14</v>
      </c>
      <c r="C168" s="165" t="s">
        <v>445</v>
      </c>
      <c r="D168" s="165" t="s">
        <v>15</v>
      </c>
      <c r="E168" s="157">
        <v>40632</v>
      </c>
      <c r="F168" s="165" t="s">
        <v>148</v>
      </c>
      <c r="G168" s="165" t="s">
        <v>148</v>
      </c>
      <c r="H168" s="165" t="s">
        <v>16</v>
      </c>
      <c r="I168" s="165" t="s">
        <v>16</v>
      </c>
      <c r="J168" s="165" t="s">
        <v>148</v>
      </c>
      <c r="K168" s="165" t="s">
        <v>16</v>
      </c>
      <c r="L168" s="165" t="s">
        <v>16</v>
      </c>
      <c r="M168" s="165" t="s">
        <v>16</v>
      </c>
      <c r="N168" s="165" t="s">
        <v>148</v>
      </c>
      <c r="O168" s="165" t="s">
        <v>148</v>
      </c>
      <c r="P168" s="165" t="s">
        <v>148</v>
      </c>
      <c r="Q168" s="165" t="s">
        <v>16</v>
      </c>
      <c r="R168" s="165" t="s">
        <v>149</v>
      </c>
      <c r="S168" s="165" t="s">
        <v>16</v>
      </c>
      <c r="T168" s="165" t="s">
        <v>16</v>
      </c>
      <c r="U168" s="165" t="s">
        <v>148</v>
      </c>
      <c r="V168" s="165" t="s">
        <v>16</v>
      </c>
      <c r="W168" s="165" t="s">
        <v>16</v>
      </c>
      <c r="X168" s="165" t="s">
        <v>16</v>
      </c>
      <c r="Y168" s="165" t="s">
        <v>16</v>
      </c>
      <c r="Z168" s="165" t="s">
        <v>16</v>
      </c>
      <c r="AA168" s="165" t="s">
        <v>16</v>
      </c>
      <c r="AB168" s="165" t="s">
        <v>16</v>
      </c>
      <c r="AC168" s="165" t="s">
        <v>16</v>
      </c>
      <c r="AD168" s="165" t="s">
        <v>16</v>
      </c>
      <c r="AE168" s="165" t="s">
        <v>449</v>
      </c>
      <c r="AF168" s="165"/>
    </row>
    <row r="169" spans="1:32" x14ac:dyDescent="0.3">
      <c r="A169" s="165" t="s">
        <v>496</v>
      </c>
      <c r="B169" s="165" t="s">
        <v>14</v>
      </c>
      <c r="C169" s="165" t="s">
        <v>445</v>
      </c>
      <c r="D169" s="165" t="s">
        <v>15</v>
      </c>
      <c r="E169" s="157">
        <v>40632</v>
      </c>
      <c r="F169" s="165" t="s">
        <v>16</v>
      </c>
      <c r="G169" s="165" t="s">
        <v>16</v>
      </c>
      <c r="H169" s="165" t="s">
        <v>16</v>
      </c>
      <c r="I169" s="165" t="s">
        <v>114</v>
      </c>
      <c r="J169" s="165" t="s">
        <v>114</v>
      </c>
      <c r="K169" s="165" t="s">
        <v>16</v>
      </c>
      <c r="L169" s="165" t="s">
        <v>16</v>
      </c>
      <c r="M169" s="165" t="s">
        <v>16</v>
      </c>
      <c r="N169" s="165" t="s">
        <v>148</v>
      </c>
      <c r="O169" s="165" t="s">
        <v>16</v>
      </c>
      <c r="P169" s="165" t="s">
        <v>16</v>
      </c>
      <c r="Q169" s="165" t="s">
        <v>16</v>
      </c>
      <c r="R169" s="165" t="s">
        <v>16</v>
      </c>
      <c r="S169" s="165" t="s">
        <v>16</v>
      </c>
      <c r="T169" s="165" t="s">
        <v>16</v>
      </c>
      <c r="U169" s="165" t="s">
        <v>16</v>
      </c>
      <c r="V169" s="165" t="s">
        <v>16</v>
      </c>
      <c r="W169" s="165" t="s">
        <v>16</v>
      </c>
      <c r="X169" s="165" t="s">
        <v>114</v>
      </c>
      <c r="Y169" s="165" t="s">
        <v>114</v>
      </c>
      <c r="Z169" s="165" t="s">
        <v>16</v>
      </c>
      <c r="AA169" s="165" t="s">
        <v>16</v>
      </c>
      <c r="AB169" s="165" t="s">
        <v>16</v>
      </c>
      <c r="AC169" s="165" t="s">
        <v>148</v>
      </c>
      <c r="AD169" s="165" t="s">
        <v>16</v>
      </c>
      <c r="AE169" s="165"/>
      <c r="AF169" s="165"/>
    </row>
    <row r="170" spans="1:32" x14ac:dyDescent="0.3">
      <c r="A170" s="165" t="s">
        <v>497</v>
      </c>
      <c r="B170" s="165" t="s">
        <v>14</v>
      </c>
      <c r="C170" s="165" t="s">
        <v>445</v>
      </c>
      <c r="D170" s="165" t="s">
        <v>15</v>
      </c>
      <c r="E170" s="157">
        <v>40632</v>
      </c>
      <c r="F170" s="165" t="s">
        <v>16</v>
      </c>
      <c r="G170" s="165" t="s">
        <v>16</v>
      </c>
      <c r="H170" s="165" t="s">
        <v>16</v>
      </c>
      <c r="I170" s="165" t="s">
        <v>16</v>
      </c>
      <c r="J170" s="165" t="s">
        <v>16</v>
      </c>
      <c r="K170" s="165" t="s">
        <v>150</v>
      </c>
      <c r="L170" s="165" t="s">
        <v>148</v>
      </c>
      <c r="M170" s="165" t="s">
        <v>148</v>
      </c>
      <c r="N170" s="165" t="s">
        <v>148</v>
      </c>
      <c r="O170" s="165" t="s">
        <v>16</v>
      </c>
      <c r="P170" s="165" t="s">
        <v>150</v>
      </c>
      <c r="Q170" s="165" t="s">
        <v>16</v>
      </c>
      <c r="R170" s="165" t="s">
        <v>16</v>
      </c>
      <c r="S170" s="165" t="s">
        <v>16</v>
      </c>
      <c r="T170" s="165" t="s">
        <v>16</v>
      </c>
      <c r="U170" s="165" t="s">
        <v>148</v>
      </c>
      <c r="V170" s="165" t="s">
        <v>16</v>
      </c>
      <c r="W170" s="165" t="s">
        <v>16</v>
      </c>
      <c r="X170" s="165" t="s">
        <v>16</v>
      </c>
      <c r="Y170" s="165" t="s">
        <v>16</v>
      </c>
      <c r="Z170" s="165" t="s">
        <v>148</v>
      </c>
      <c r="AA170" s="165" t="s">
        <v>16</v>
      </c>
      <c r="AB170" s="165" t="s">
        <v>16</v>
      </c>
      <c r="AC170" s="165" t="s">
        <v>16</v>
      </c>
      <c r="AD170" s="165" t="s">
        <v>16</v>
      </c>
      <c r="AE170" s="165" t="s">
        <v>455</v>
      </c>
      <c r="AF170" s="165"/>
    </row>
    <row r="174" spans="1:32" x14ac:dyDescent="0.3">
      <c r="A174" s="165"/>
      <c r="B174" s="165"/>
      <c r="C174" s="165"/>
      <c r="D174" s="165"/>
      <c r="E174" s="165"/>
      <c r="F174" s="165" t="s">
        <v>124</v>
      </c>
      <c r="G174" s="165" t="s">
        <v>125</v>
      </c>
      <c r="H174" s="165" t="s">
        <v>126</v>
      </c>
      <c r="I174" s="165" t="s">
        <v>127</v>
      </c>
      <c r="J174" s="165" t="s">
        <v>214</v>
      </c>
      <c r="K174" s="165" t="s">
        <v>128</v>
      </c>
      <c r="L174" s="165" t="s">
        <v>129</v>
      </c>
      <c r="M174" s="165" t="s">
        <v>130</v>
      </c>
      <c r="N174" s="165" t="s">
        <v>131</v>
      </c>
      <c r="O174" s="165" t="s">
        <v>132</v>
      </c>
      <c r="P174" s="165" t="s">
        <v>133</v>
      </c>
      <c r="Q174" s="165" t="s">
        <v>134</v>
      </c>
      <c r="R174" s="165" t="s">
        <v>135</v>
      </c>
      <c r="S174" s="165" t="s">
        <v>136</v>
      </c>
      <c r="T174" s="165" t="s">
        <v>137</v>
      </c>
      <c r="U174" s="165" t="s">
        <v>138</v>
      </c>
      <c r="V174" s="165" t="s">
        <v>139</v>
      </c>
      <c r="W174" s="165" t="s">
        <v>140</v>
      </c>
      <c r="X174" s="165" t="s">
        <v>186</v>
      </c>
      <c r="Y174" s="165" t="s">
        <v>209</v>
      </c>
      <c r="Z174" s="165" t="s">
        <v>141</v>
      </c>
      <c r="AA174" s="165" t="s">
        <v>142</v>
      </c>
      <c r="AB174" s="165" t="s">
        <v>210</v>
      </c>
      <c r="AC174" s="165" t="s">
        <v>143</v>
      </c>
      <c r="AD174" s="165" t="s">
        <v>144</v>
      </c>
      <c r="AE174" s="165" t="s">
        <v>502</v>
      </c>
      <c r="AF174" s="165" t="s">
        <v>190</v>
      </c>
    </row>
    <row r="175" spans="1:32" x14ac:dyDescent="0.3">
      <c r="A175" s="165" t="s">
        <v>503</v>
      </c>
      <c r="B175" s="165" t="s">
        <v>14</v>
      </c>
      <c r="C175" s="165" t="s">
        <v>504</v>
      </c>
      <c r="D175" s="165" t="s">
        <v>15</v>
      </c>
      <c r="E175" s="157">
        <v>40662</v>
      </c>
      <c r="F175" s="165" t="s">
        <v>16</v>
      </c>
      <c r="G175" s="165" t="s">
        <v>16</v>
      </c>
      <c r="H175" s="165" t="s">
        <v>16</v>
      </c>
      <c r="I175" s="165" t="s">
        <v>148</v>
      </c>
      <c r="J175" s="165" t="s">
        <v>148</v>
      </c>
      <c r="K175" s="165" t="s">
        <v>16</v>
      </c>
      <c r="L175" s="165" t="s">
        <v>16</v>
      </c>
      <c r="M175" s="165" t="s">
        <v>148</v>
      </c>
      <c r="N175" s="165" t="s">
        <v>16</v>
      </c>
      <c r="O175" s="165" t="s">
        <v>16</v>
      </c>
      <c r="P175" s="165" t="s">
        <v>148</v>
      </c>
      <c r="Q175" s="165" t="s">
        <v>16</v>
      </c>
      <c r="R175" s="165" t="s">
        <v>16</v>
      </c>
      <c r="S175" s="165" t="s">
        <v>16</v>
      </c>
      <c r="T175" s="165" t="s">
        <v>148</v>
      </c>
      <c r="U175" s="165" t="s">
        <v>16</v>
      </c>
      <c r="V175" s="165" t="s">
        <v>148</v>
      </c>
      <c r="W175" s="165" t="s">
        <v>148</v>
      </c>
      <c r="X175" s="165" t="s">
        <v>16</v>
      </c>
      <c r="Y175" s="165" t="s">
        <v>16</v>
      </c>
      <c r="Z175" s="165" t="s">
        <v>16</v>
      </c>
      <c r="AA175" s="165" t="s">
        <v>16</v>
      </c>
      <c r="AB175" s="165" t="s">
        <v>16</v>
      </c>
      <c r="AC175" s="165" t="s">
        <v>148</v>
      </c>
      <c r="AD175" s="165" t="s">
        <v>148</v>
      </c>
      <c r="AE175" s="165" t="s">
        <v>505</v>
      </c>
      <c r="AF175" s="165"/>
    </row>
    <row r="176" spans="1:32" x14ac:dyDescent="0.3">
      <c r="A176" s="165" t="s">
        <v>506</v>
      </c>
      <c r="B176" s="165" t="s">
        <v>14</v>
      </c>
      <c r="C176" s="165" t="s">
        <v>504</v>
      </c>
      <c r="D176" s="165" t="s">
        <v>15</v>
      </c>
      <c r="E176" s="157">
        <v>40662</v>
      </c>
      <c r="F176" s="165" t="s">
        <v>16</v>
      </c>
      <c r="G176" s="165" t="s">
        <v>16</v>
      </c>
      <c r="H176" s="165" t="s">
        <v>150</v>
      </c>
      <c r="I176" s="165" t="s">
        <v>16</v>
      </c>
      <c r="J176" s="165" t="s">
        <v>16</v>
      </c>
      <c r="K176" s="165" t="s">
        <v>148</v>
      </c>
      <c r="L176" s="165" t="s">
        <v>16</v>
      </c>
      <c r="M176" s="165" t="s">
        <v>148</v>
      </c>
      <c r="N176" s="165" t="s">
        <v>16</v>
      </c>
      <c r="O176" s="165" t="s">
        <v>16</v>
      </c>
      <c r="P176" s="165" t="s">
        <v>16</v>
      </c>
      <c r="Q176" s="165" t="s">
        <v>16</v>
      </c>
      <c r="R176" s="165" t="s">
        <v>150</v>
      </c>
      <c r="S176" s="165" t="s">
        <v>150</v>
      </c>
      <c r="T176" s="165" t="s">
        <v>148</v>
      </c>
      <c r="U176" s="165" t="s">
        <v>16</v>
      </c>
      <c r="V176" s="165" t="s">
        <v>16</v>
      </c>
      <c r="W176" s="165" t="s">
        <v>16</v>
      </c>
      <c r="X176" s="165" t="s">
        <v>16</v>
      </c>
      <c r="Y176" s="165" t="s">
        <v>16</v>
      </c>
      <c r="Z176" s="165" t="s">
        <v>148</v>
      </c>
      <c r="AA176" s="165" t="s">
        <v>148</v>
      </c>
      <c r="AB176" s="165" t="s">
        <v>16</v>
      </c>
      <c r="AC176" s="165" t="s">
        <v>148</v>
      </c>
      <c r="AD176" s="165" t="s">
        <v>16</v>
      </c>
      <c r="AE176" s="165" t="s">
        <v>507</v>
      </c>
      <c r="AF176" s="165" t="s">
        <v>508</v>
      </c>
    </row>
    <row r="177" spans="1:32" x14ac:dyDescent="0.3">
      <c r="A177" s="165" t="s">
        <v>509</v>
      </c>
      <c r="B177" s="165" t="s">
        <v>14</v>
      </c>
      <c r="C177" s="165" t="s">
        <v>504</v>
      </c>
      <c r="D177" s="165" t="s">
        <v>15</v>
      </c>
      <c r="E177" s="157">
        <v>40662</v>
      </c>
      <c r="F177" s="165" t="s">
        <v>16</v>
      </c>
      <c r="G177" s="165" t="s">
        <v>16</v>
      </c>
      <c r="H177" s="165" t="s">
        <v>149</v>
      </c>
      <c r="I177" s="165" t="s">
        <v>16</v>
      </c>
      <c r="J177" s="165" t="s">
        <v>149</v>
      </c>
      <c r="K177" s="165" t="s">
        <v>16</v>
      </c>
      <c r="L177" s="165" t="s">
        <v>16</v>
      </c>
      <c r="M177" s="165" t="s">
        <v>16</v>
      </c>
      <c r="N177" s="165" t="s">
        <v>148</v>
      </c>
      <c r="O177" s="165" t="s">
        <v>16</v>
      </c>
      <c r="P177" s="165" t="s">
        <v>16</v>
      </c>
      <c r="Q177" s="165" t="s">
        <v>16</v>
      </c>
      <c r="R177" s="165" t="s">
        <v>149</v>
      </c>
      <c r="S177" s="165" t="s">
        <v>149</v>
      </c>
      <c r="T177" s="165" t="s">
        <v>16</v>
      </c>
      <c r="U177" s="165" t="s">
        <v>16</v>
      </c>
      <c r="V177" s="165" t="s">
        <v>16</v>
      </c>
      <c r="W177" s="165" t="s">
        <v>148</v>
      </c>
      <c r="X177" s="165" t="s">
        <v>16</v>
      </c>
      <c r="Y177" s="165" t="s">
        <v>16</v>
      </c>
      <c r="Z177" s="165" t="s">
        <v>149</v>
      </c>
      <c r="AA177" s="165" t="s">
        <v>149</v>
      </c>
      <c r="AB177" s="165" t="s">
        <v>16</v>
      </c>
      <c r="AC177" s="165" t="s">
        <v>16</v>
      </c>
      <c r="AD177" s="165" t="s">
        <v>16</v>
      </c>
      <c r="AE177" s="165" t="s">
        <v>510</v>
      </c>
      <c r="AF177" s="165"/>
    </row>
    <row r="178" spans="1:32" x14ac:dyDescent="0.3">
      <c r="A178" s="165" t="s">
        <v>511</v>
      </c>
      <c r="B178" s="165" t="s">
        <v>14</v>
      </c>
      <c r="C178" s="165" t="s">
        <v>504</v>
      </c>
      <c r="D178" s="165" t="s">
        <v>15</v>
      </c>
      <c r="E178" s="157">
        <v>40662</v>
      </c>
      <c r="F178" s="165" t="s">
        <v>16</v>
      </c>
      <c r="G178" s="165" t="s">
        <v>16</v>
      </c>
      <c r="H178" s="165" t="s">
        <v>16</v>
      </c>
      <c r="I178" s="165" t="s">
        <v>16</v>
      </c>
      <c r="J178" s="165" t="s">
        <v>148</v>
      </c>
      <c r="K178" s="165" t="s">
        <v>16</v>
      </c>
      <c r="L178" s="165" t="s">
        <v>16</v>
      </c>
      <c r="M178" s="165" t="s">
        <v>16</v>
      </c>
      <c r="N178" s="165" t="s">
        <v>16</v>
      </c>
      <c r="O178" s="165" t="s">
        <v>148</v>
      </c>
      <c r="P178" s="165" t="s">
        <v>16</v>
      </c>
      <c r="Q178" s="165" t="s">
        <v>16</v>
      </c>
      <c r="R178" s="165" t="s">
        <v>16</v>
      </c>
      <c r="S178" s="165" t="s">
        <v>16</v>
      </c>
      <c r="T178" s="165" t="s">
        <v>16</v>
      </c>
      <c r="U178" s="165" t="s">
        <v>16</v>
      </c>
      <c r="V178" s="165" t="s">
        <v>16</v>
      </c>
      <c r="W178" s="165" t="s">
        <v>16</v>
      </c>
      <c r="X178" s="165" t="s">
        <v>16</v>
      </c>
      <c r="Y178" s="165" t="s">
        <v>16</v>
      </c>
      <c r="Z178" s="165" t="s">
        <v>16</v>
      </c>
      <c r="AA178" s="165" t="s">
        <v>148</v>
      </c>
      <c r="AB178" s="165" t="s">
        <v>16</v>
      </c>
      <c r="AC178" s="165" t="s">
        <v>16</v>
      </c>
      <c r="AD178" s="165" t="s">
        <v>16</v>
      </c>
      <c r="AE178" s="165" t="s">
        <v>512</v>
      </c>
      <c r="AF178" s="165" t="s">
        <v>513</v>
      </c>
    </row>
    <row r="179" spans="1:32" x14ac:dyDescent="0.3">
      <c r="A179" s="165" t="s">
        <v>514</v>
      </c>
      <c r="B179" s="165" t="s">
        <v>14</v>
      </c>
      <c r="C179" s="165" t="s">
        <v>504</v>
      </c>
      <c r="D179" s="165" t="s">
        <v>15</v>
      </c>
      <c r="E179" s="157">
        <v>40662</v>
      </c>
      <c r="F179" s="165" t="s">
        <v>16</v>
      </c>
      <c r="G179" s="165" t="s">
        <v>16</v>
      </c>
      <c r="H179" s="165" t="s">
        <v>148</v>
      </c>
      <c r="I179" s="165" t="s">
        <v>16</v>
      </c>
      <c r="J179" s="165" t="s">
        <v>16</v>
      </c>
      <c r="K179" s="165" t="s">
        <v>16</v>
      </c>
      <c r="L179" s="165" t="s">
        <v>148</v>
      </c>
      <c r="M179" s="165" t="s">
        <v>148</v>
      </c>
      <c r="N179" s="165" t="s">
        <v>16</v>
      </c>
      <c r="O179" s="165" t="s">
        <v>16</v>
      </c>
      <c r="P179" s="165" t="s">
        <v>16</v>
      </c>
      <c r="Q179" s="165" t="s">
        <v>16</v>
      </c>
      <c r="R179" s="165" t="s">
        <v>148</v>
      </c>
      <c r="S179" s="165" t="s">
        <v>148</v>
      </c>
      <c r="T179" s="165" t="s">
        <v>16</v>
      </c>
      <c r="U179" s="165" t="s">
        <v>16</v>
      </c>
      <c r="V179" s="165" t="s">
        <v>16</v>
      </c>
      <c r="W179" s="165" t="s">
        <v>148</v>
      </c>
      <c r="X179" s="165" t="s">
        <v>148</v>
      </c>
      <c r="Y179" s="165" t="s">
        <v>16</v>
      </c>
      <c r="Z179" s="165" t="s">
        <v>148</v>
      </c>
      <c r="AA179" s="165" t="s">
        <v>16</v>
      </c>
      <c r="AB179" s="165" t="s">
        <v>16</v>
      </c>
      <c r="AC179" s="165" t="s">
        <v>148</v>
      </c>
      <c r="AD179" s="165" t="s">
        <v>148</v>
      </c>
      <c r="AE179" s="165"/>
      <c r="AF179" s="165"/>
    </row>
    <row r="180" spans="1:32" x14ac:dyDescent="0.3">
      <c r="A180" s="165" t="s">
        <v>515</v>
      </c>
      <c r="B180" s="165" t="s">
        <v>14</v>
      </c>
      <c r="C180" s="165" t="s">
        <v>504</v>
      </c>
      <c r="D180" s="165" t="s">
        <v>15</v>
      </c>
      <c r="E180" s="157">
        <v>40662</v>
      </c>
      <c r="F180" s="165" t="s">
        <v>16</v>
      </c>
      <c r="G180" s="165" t="s">
        <v>16</v>
      </c>
      <c r="H180" s="165" t="s">
        <v>16</v>
      </c>
      <c r="I180" s="165" t="s">
        <v>16</v>
      </c>
      <c r="J180" s="165" t="s">
        <v>16</v>
      </c>
      <c r="K180" s="165" t="s">
        <v>16</v>
      </c>
      <c r="L180" s="165" t="s">
        <v>16</v>
      </c>
      <c r="M180" s="165" t="s">
        <v>16</v>
      </c>
      <c r="N180" s="165" t="s">
        <v>16</v>
      </c>
      <c r="O180" s="165" t="s">
        <v>16</v>
      </c>
      <c r="P180" s="165" t="s">
        <v>16</v>
      </c>
      <c r="Q180" s="165" t="s">
        <v>16</v>
      </c>
      <c r="R180" s="165" t="s">
        <v>16</v>
      </c>
      <c r="S180" s="165" t="s">
        <v>16</v>
      </c>
      <c r="T180" s="165" t="s">
        <v>16</v>
      </c>
      <c r="U180" s="165" t="s">
        <v>16</v>
      </c>
      <c r="V180" s="165" t="s">
        <v>16</v>
      </c>
      <c r="W180" s="165" t="s">
        <v>16</v>
      </c>
      <c r="X180" s="165" t="s">
        <v>16</v>
      </c>
      <c r="Y180" s="165" t="s">
        <v>16</v>
      </c>
      <c r="Z180" s="165" t="s">
        <v>16</v>
      </c>
      <c r="AA180" s="165" t="s">
        <v>16</v>
      </c>
      <c r="AB180" s="165" t="s">
        <v>16</v>
      </c>
      <c r="AC180" s="165" t="s">
        <v>16</v>
      </c>
      <c r="AD180" s="165" t="s">
        <v>16</v>
      </c>
      <c r="AE180" s="165" t="s">
        <v>516</v>
      </c>
      <c r="AF180" s="165"/>
    </row>
    <row r="181" spans="1:32" x14ac:dyDescent="0.3">
      <c r="A181" s="165" t="s">
        <v>517</v>
      </c>
      <c r="B181" s="165" t="s">
        <v>14</v>
      </c>
      <c r="C181" s="165" t="s">
        <v>504</v>
      </c>
      <c r="D181" s="165" t="s">
        <v>15</v>
      </c>
      <c r="E181" s="157">
        <v>40662</v>
      </c>
      <c r="F181" s="165" t="s">
        <v>16</v>
      </c>
      <c r="G181" s="165" t="s">
        <v>148</v>
      </c>
      <c r="H181" s="165" t="s">
        <v>16</v>
      </c>
      <c r="I181" s="165" t="s">
        <v>148</v>
      </c>
      <c r="J181" s="165" t="s">
        <v>16</v>
      </c>
      <c r="K181" s="165" t="s">
        <v>16</v>
      </c>
      <c r="L181" s="165" t="s">
        <v>16</v>
      </c>
      <c r="M181" s="165" t="s">
        <v>148</v>
      </c>
      <c r="N181" s="165" t="s">
        <v>148</v>
      </c>
      <c r="O181" s="165" t="s">
        <v>148</v>
      </c>
      <c r="P181" s="165" t="s">
        <v>148</v>
      </c>
      <c r="Q181" s="165" t="s">
        <v>16</v>
      </c>
      <c r="R181" s="165" t="s">
        <v>16</v>
      </c>
      <c r="S181" s="165" t="s">
        <v>16</v>
      </c>
      <c r="T181" s="165" t="s">
        <v>16</v>
      </c>
      <c r="U181" s="165" t="s">
        <v>16</v>
      </c>
      <c r="V181" s="165" t="s">
        <v>148</v>
      </c>
      <c r="W181" s="165" t="s">
        <v>16</v>
      </c>
      <c r="X181" s="165" t="s">
        <v>16</v>
      </c>
      <c r="Y181" s="165" t="s">
        <v>16</v>
      </c>
      <c r="Z181" s="165" t="s">
        <v>16</v>
      </c>
      <c r="AA181" s="165" t="s">
        <v>16</v>
      </c>
      <c r="AB181" s="165" t="s">
        <v>16</v>
      </c>
      <c r="AC181" s="165" t="s">
        <v>148</v>
      </c>
      <c r="AD181" s="165" t="s">
        <v>148</v>
      </c>
      <c r="AE181" s="165" t="s">
        <v>518</v>
      </c>
      <c r="AF181" s="165"/>
    </row>
    <row r="182" spans="1:32" x14ac:dyDescent="0.3">
      <c r="A182" s="165" t="s">
        <v>519</v>
      </c>
      <c r="B182" s="165" t="s">
        <v>14</v>
      </c>
      <c r="C182" s="165" t="s">
        <v>504</v>
      </c>
      <c r="D182" s="165" t="s">
        <v>15</v>
      </c>
      <c r="E182" s="157">
        <v>40662</v>
      </c>
      <c r="F182" s="165" t="s">
        <v>149</v>
      </c>
      <c r="G182" s="165" t="s">
        <v>150</v>
      </c>
      <c r="H182" s="165" t="s">
        <v>150</v>
      </c>
      <c r="I182" s="165" t="s">
        <v>16</v>
      </c>
      <c r="J182" s="165" t="s">
        <v>16</v>
      </c>
      <c r="K182" s="165" t="s">
        <v>150</v>
      </c>
      <c r="L182" s="165" t="s">
        <v>148</v>
      </c>
      <c r="M182" s="165" t="s">
        <v>149</v>
      </c>
      <c r="N182" s="165" t="s">
        <v>149</v>
      </c>
      <c r="O182" s="165" t="s">
        <v>16</v>
      </c>
      <c r="P182" s="165" t="s">
        <v>148</v>
      </c>
      <c r="Q182" s="165" t="s">
        <v>149</v>
      </c>
      <c r="R182" s="165" t="s">
        <v>148</v>
      </c>
      <c r="S182" s="165" t="s">
        <v>150</v>
      </c>
      <c r="T182" s="165" t="s">
        <v>150</v>
      </c>
      <c r="U182" s="165" t="s">
        <v>16</v>
      </c>
      <c r="V182" s="165" t="s">
        <v>149</v>
      </c>
      <c r="W182" s="165" t="s">
        <v>16</v>
      </c>
      <c r="X182" s="165" t="s">
        <v>149</v>
      </c>
      <c r="Y182" s="165" t="s">
        <v>16</v>
      </c>
      <c r="Z182" s="165" t="s">
        <v>16</v>
      </c>
      <c r="AA182" s="165" t="s">
        <v>148</v>
      </c>
      <c r="AB182" s="165" t="s">
        <v>149</v>
      </c>
      <c r="AC182" s="165" t="s">
        <v>148</v>
      </c>
      <c r="AD182" s="165" t="s">
        <v>148</v>
      </c>
      <c r="AE182" s="165" t="s">
        <v>510</v>
      </c>
      <c r="AF182" s="165"/>
    </row>
    <row r="183" spans="1:32" x14ac:dyDescent="0.3">
      <c r="A183" s="165" t="s">
        <v>520</v>
      </c>
      <c r="B183" s="165" t="s">
        <v>14</v>
      </c>
      <c r="C183" s="165" t="s">
        <v>504</v>
      </c>
      <c r="D183" s="165" t="s">
        <v>15</v>
      </c>
      <c r="E183" s="157">
        <v>40662</v>
      </c>
      <c r="F183" s="165" t="s">
        <v>148</v>
      </c>
      <c r="G183" s="165" t="s">
        <v>16</v>
      </c>
      <c r="H183" s="165" t="s">
        <v>149</v>
      </c>
      <c r="I183" s="165" t="s">
        <v>148</v>
      </c>
      <c r="J183" s="165" t="s">
        <v>16</v>
      </c>
      <c r="K183" s="165" t="s">
        <v>16</v>
      </c>
      <c r="L183" s="165" t="s">
        <v>16</v>
      </c>
      <c r="M183" s="165" t="s">
        <v>148</v>
      </c>
      <c r="N183" s="165" t="s">
        <v>16</v>
      </c>
      <c r="O183" s="165" t="s">
        <v>148</v>
      </c>
      <c r="P183" s="165" t="s">
        <v>16</v>
      </c>
      <c r="Q183" s="165" t="s">
        <v>148</v>
      </c>
      <c r="R183" s="165" t="s">
        <v>16</v>
      </c>
      <c r="S183" s="165" t="s">
        <v>16</v>
      </c>
      <c r="T183" s="165" t="s">
        <v>16</v>
      </c>
      <c r="U183" s="165" t="s">
        <v>148</v>
      </c>
      <c r="V183" s="165" t="s">
        <v>16</v>
      </c>
      <c r="W183" s="165" t="s">
        <v>16</v>
      </c>
      <c r="X183" s="165" t="s">
        <v>148</v>
      </c>
      <c r="Y183" s="165" t="s">
        <v>114</v>
      </c>
      <c r="Z183" s="165" t="s">
        <v>16</v>
      </c>
      <c r="AA183" s="165" t="s">
        <v>148</v>
      </c>
      <c r="AB183" s="165" t="s">
        <v>16</v>
      </c>
      <c r="AC183" s="165" t="s">
        <v>16</v>
      </c>
      <c r="AD183" s="165" t="s">
        <v>16</v>
      </c>
      <c r="AE183" s="165" t="s">
        <v>510</v>
      </c>
      <c r="AF183" s="165" t="s">
        <v>521</v>
      </c>
    </row>
    <row r="184" spans="1:32" x14ac:dyDescent="0.3">
      <c r="A184" s="165" t="s">
        <v>522</v>
      </c>
      <c r="B184" s="165" t="s">
        <v>14</v>
      </c>
      <c r="C184" s="165" t="s">
        <v>504</v>
      </c>
      <c r="D184" s="165" t="s">
        <v>15</v>
      </c>
      <c r="E184" s="157">
        <v>40662</v>
      </c>
      <c r="F184" s="165" t="s">
        <v>16</v>
      </c>
      <c r="G184" s="165" t="s">
        <v>16</v>
      </c>
      <c r="H184" s="165" t="s">
        <v>16</v>
      </c>
      <c r="I184" s="165" t="s">
        <v>16</v>
      </c>
      <c r="J184" s="165" t="s">
        <v>16</v>
      </c>
      <c r="K184" s="165" t="s">
        <v>16</v>
      </c>
      <c r="L184" s="165" t="s">
        <v>16</v>
      </c>
      <c r="M184" s="165" t="s">
        <v>148</v>
      </c>
      <c r="N184" s="165" t="s">
        <v>16</v>
      </c>
      <c r="O184" s="165" t="s">
        <v>16</v>
      </c>
      <c r="P184" s="165" t="s">
        <v>16</v>
      </c>
      <c r="Q184" s="165" t="s">
        <v>16</v>
      </c>
      <c r="R184" s="165" t="s">
        <v>16</v>
      </c>
      <c r="S184" s="165" t="s">
        <v>16</v>
      </c>
      <c r="T184" s="165" t="s">
        <v>16</v>
      </c>
      <c r="U184" s="165" t="s">
        <v>16</v>
      </c>
      <c r="V184" s="165" t="s">
        <v>16</v>
      </c>
      <c r="W184" s="165" t="s">
        <v>16</v>
      </c>
      <c r="X184" s="165" t="s">
        <v>16</v>
      </c>
      <c r="Y184" s="165" t="s">
        <v>16</v>
      </c>
      <c r="Z184" s="165" t="s">
        <v>16</v>
      </c>
      <c r="AA184" s="165" t="s">
        <v>16</v>
      </c>
      <c r="AB184" s="165" t="s">
        <v>16</v>
      </c>
      <c r="AC184" s="165" t="s">
        <v>16</v>
      </c>
      <c r="AD184" s="165" t="s">
        <v>16</v>
      </c>
      <c r="AE184" s="165"/>
      <c r="AF184" s="165"/>
    </row>
    <row r="185" spans="1:32" x14ac:dyDescent="0.3">
      <c r="A185" s="165" t="s">
        <v>523</v>
      </c>
      <c r="B185" s="165" t="s">
        <v>14</v>
      </c>
      <c r="C185" s="165" t="s">
        <v>504</v>
      </c>
      <c r="D185" s="165" t="s">
        <v>15</v>
      </c>
      <c r="E185" s="157">
        <v>40662</v>
      </c>
      <c r="F185" s="165" t="s">
        <v>16</v>
      </c>
      <c r="G185" s="165" t="s">
        <v>148</v>
      </c>
      <c r="H185" s="165" t="s">
        <v>16</v>
      </c>
      <c r="I185" s="165" t="s">
        <v>16</v>
      </c>
      <c r="J185" s="165" t="s">
        <v>16</v>
      </c>
      <c r="K185" s="165" t="s">
        <v>16</v>
      </c>
      <c r="L185" s="165" t="s">
        <v>16</v>
      </c>
      <c r="M185" s="165" t="s">
        <v>148</v>
      </c>
      <c r="N185" s="165" t="s">
        <v>16</v>
      </c>
      <c r="O185" s="165" t="s">
        <v>148</v>
      </c>
      <c r="P185" s="165" t="s">
        <v>148</v>
      </c>
      <c r="Q185" s="165" t="s">
        <v>16</v>
      </c>
      <c r="R185" s="165" t="s">
        <v>148</v>
      </c>
      <c r="S185" s="165" t="s">
        <v>149</v>
      </c>
      <c r="T185" s="165" t="s">
        <v>16</v>
      </c>
      <c r="U185" s="165" t="s">
        <v>149</v>
      </c>
      <c r="V185" s="165" t="s">
        <v>16</v>
      </c>
      <c r="W185" s="165" t="s">
        <v>16</v>
      </c>
      <c r="X185" s="165" t="s">
        <v>148</v>
      </c>
      <c r="Y185" s="165" t="s">
        <v>151</v>
      </c>
      <c r="Z185" s="165" t="s">
        <v>149</v>
      </c>
      <c r="AA185" s="165" t="s">
        <v>16</v>
      </c>
      <c r="AB185" s="165" t="s">
        <v>148</v>
      </c>
      <c r="AC185" s="165" t="s">
        <v>148</v>
      </c>
      <c r="AD185" s="165" t="s">
        <v>149</v>
      </c>
      <c r="AE185" s="165"/>
      <c r="AF185" s="165" t="s">
        <v>524</v>
      </c>
    </row>
    <row r="186" spans="1:32" x14ac:dyDescent="0.3">
      <c r="A186" s="165" t="s">
        <v>525</v>
      </c>
      <c r="B186" s="165" t="s">
        <v>14</v>
      </c>
      <c r="C186" s="165" t="s">
        <v>504</v>
      </c>
      <c r="D186" s="165" t="s">
        <v>15</v>
      </c>
      <c r="E186" s="157">
        <v>40662</v>
      </c>
      <c r="F186" s="165" t="s">
        <v>148</v>
      </c>
      <c r="G186" s="165" t="s">
        <v>149</v>
      </c>
      <c r="H186" s="165" t="s">
        <v>149</v>
      </c>
      <c r="I186" s="165" t="s">
        <v>149</v>
      </c>
      <c r="J186" s="165" t="s">
        <v>16</v>
      </c>
      <c r="K186" s="165" t="s">
        <v>149</v>
      </c>
      <c r="L186" s="165" t="s">
        <v>16</v>
      </c>
      <c r="M186" s="165" t="s">
        <v>16</v>
      </c>
      <c r="N186" s="165" t="s">
        <v>148</v>
      </c>
      <c r="O186" s="165" t="s">
        <v>148</v>
      </c>
      <c r="P186" s="165" t="s">
        <v>16</v>
      </c>
      <c r="Q186" s="165" t="s">
        <v>149</v>
      </c>
      <c r="R186" s="165" t="s">
        <v>149</v>
      </c>
      <c r="S186" s="165" t="s">
        <v>16</v>
      </c>
      <c r="T186" s="165" t="s">
        <v>16</v>
      </c>
      <c r="U186" s="165" t="s">
        <v>149</v>
      </c>
      <c r="V186" s="165" t="s">
        <v>149</v>
      </c>
      <c r="W186" s="165" t="s">
        <v>149</v>
      </c>
      <c r="X186" s="165" t="s">
        <v>148</v>
      </c>
      <c r="Y186" s="165" t="s">
        <v>16</v>
      </c>
      <c r="Z186" s="165" t="s">
        <v>149</v>
      </c>
      <c r="AA186" s="165" t="s">
        <v>149</v>
      </c>
      <c r="AB186" s="165" t="s">
        <v>148</v>
      </c>
      <c r="AC186" s="165" t="s">
        <v>148</v>
      </c>
      <c r="AD186" s="165" t="s">
        <v>16</v>
      </c>
      <c r="AE186" s="165" t="s">
        <v>516</v>
      </c>
      <c r="AF186" s="165"/>
    </row>
    <row r="187" spans="1:32" x14ac:dyDescent="0.3">
      <c r="A187" s="165" t="s">
        <v>526</v>
      </c>
      <c r="B187" s="165" t="s">
        <v>14</v>
      </c>
      <c r="C187" s="165" t="s">
        <v>504</v>
      </c>
      <c r="D187" s="165" t="s">
        <v>15</v>
      </c>
      <c r="E187" s="157">
        <v>40662</v>
      </c>
      <c r="F187" s="165" t="s">
        <v>16</v>
      </c>
      <c r="G187" s="165" t="s">
        <v>16</v>
      </c>
      <c r="H187" s="165" t="s">
        <v>16</v>
      </c>
      <c r="I187" s="165" t="s">
        <v>16</v>
      </c>
      <c r="J187" s="165" t="s">
        <v>16</v>
      </c>
      <c r="K187" s="165" t="s">
        <v>149</v>
      </c>
      <c r="L187" s="165" t="s">
        <v>149</v>
      </c>
      <c r="M187" s="165" t="s">
        <v>148</v>
      </c>
      <c r="N187" s="165" t="s">
        <v>16</v>
      </c>
      <c r="O187" s="165" t="s">
        <v>16</v>
      </c>
      <c r="P187" s="165" t="s">
        <v>16</v>
      </c>
      <c r="Q187" s="165" t="s">
        <v>16</v>
      </c>
      <c r="R187" s="165" t="s">
        <v>16</v>
      </c>
      <c r="S187" s="165" t="s">
        <v>16</v>
      </c>
      <c r="T187" s="165" t="s">
        <v>16</v>
      </c>
      <c r="U187" s="165" t="s">
        <v>148</v>
      </c>
      <c r="V187" s="165" t="s">
        <v>16</v>
      </c>
      <c r="W187" s="165" t="s">
        <v>148</v>
      </c>
      <c r="X187" s="165" t="s">
        <v>16</v>
      </c>
      <c r="Y187" s="165" t="s">
        <v>16</v>
      </c>
      <c r="Z187" s="165" t="s">
        <v>16</v>
      </c>
      <c r="AA187" s="165" t="s">
        <v>16</v>
      </c>
      <c r="AB187" s="165" t="s">
        <v>16</v>
      </c>
      <c r="AC187" s="165" t="s">
        <v>148</v>
      </c>
      <c r="AD187" s="165" t="s">
        <v>16</v>
      </c>
      <c r="AE187" s="165" t="s">
        <v>527</v>
      </c>
      <c r="AF187" s="165"/>
    </row>
    <row r="188" spans="1:32" x14ac:dyDescent="0.3">
      <c r="A188" s="165" t="s">
        <v>528</v>
      </c>
      <c r="B188" s="165" t="s">
        <v>14</v>
      </c>
      <c r="C188" s="165" t="s">
        <v>504</v>
      </c>
      <c r="D188" s="165" t="s">
        <v>15</v>
      </c>
      <c r="E188" s="157">
        <v>40662</v>
      </c>
      <c r="F188" s="165" t="s">
        <v>149</v>
      </c>
      <c r="G188" s="165" t="s">
        <v>149</v>
      </c>
      <c r="H188" s="165" t="s">
        <v>149</v>
      </c>
      <c r="I188" s="165" t="s">
        <v>149</v>
      </c>
      <c r="J188" s="165" t="s">
        <v>149</v>
      </c>
      <c r="K188" s="165" t="s">
        <v>149</v>
      </c>
      <c r="L188" s="165" t="s">
        <v>149</v>
      </c>
      <c r="M188" s="165" t="s">
        <v>149</v>
      </c>
      <c r="N188" s="165" t="s">
        <v>149</v>
      </c>
      <c r="O188" s="165" t="s">
        <v>149</v>
      </c>
      <c r="P188" s="165" t="s">
        <v>149</v>
      </c>
      <c r="Q188" s="165" t="s">
        <v>149</v>
      </c>
      <c r="R188" s="165" t="s">
        <v>149</v>
      </c>
      <c r="S188" s="165" t="s">
        <v>16</v>
      </c>
      <c r="T188" s="165" t="s">
        <v>16</v>
      </c>
      <c r="U188" s="165" t="s">
        <v>16</v>
      </c>
      <c r="V188" s="165" t="s">
        <v>149</v>
      </c>
      <c r="W188" s="165" t="s">
        <v>149</v>
      </c>
      <c r="X188" s="165" t="s">
        <v>149</v>
      </c>
      <c r="Y188" s="165" t="s">
        <v>149</v>
      </c>
      <c r="Z188" s="165" t="s">
        <v>149</v>
      </c>
      <c r="AA188" s="165" t="s">
        <v>149</v>
      </c>
      <c r="AB188" s="165" t="s">
        <v>149</v>
      </c>
      <c r="AC188" s="165" t="s">
        <v>149</v>
      </c>
      <c r="AD188" s="165" t="s">
        <v>149</v>
      </c>
      <c r="AE188" s="165" t="s">
        <v>510</v>
      </c>
      <c r="AF188" s="165"/>
    </row>
    <row r="189" spans="1:32" x14ac:dyDescent="0.3">
      <c r="A189" s="165" t="s">
        <v>529</v>
      </c>
      <c r="B189" s="165" t="s">
        <v>14</v>
      </c>
      <c r="C189" s="165" t="s">
        <v>504</v>
      </c>
      <c r="D189" s="165" t="s">
        <v>15</v>
      </c>
      <c r="E189" s="157">
        <v>40662</v>
      </c>
      <c r="F189" s="165" t="s">
        <v>148</v>
      </c>
      <c r="G189" s="165" t="s">
        <v>16</v>
      </c>
      <c r="H189" s="165" t="s">
        <v>16</v>
      </c>
      <c r="I189" s="165" t="s">
        <v>16</v>
      </c>
      <c r="J189" s="165" t="s">
        <v>16</v>
      </c>
      <c r="K189" s="165" t="s">
        <v>16</v>
      </c>
      <c r="L189" s="165" t="s">
        <v>16</v>
      </c>
      <c r="M189" s="165" t="s">
        <v>16</v>
      </c>
      <c r="N189" s="165" t="s">
        <v>16</v>
      </c>
      <c r="O189" s="165" t="s">
        <v>16</v>
      </c>
      <c r="P189" s="165" t="s">
        <v>16</v>
      </c>
      <c r="Q189" s="165" t="s">
        <v>16</v>
      </c>
      <c r="R189" s="165" t="s">
        <v>148</v>
      </c>
      <c r="S189" s="165" t="s">
        <v>16</v>
      </c>
      <c r="T189" s="165" t="s">
        <v>16</v>
      </c>
      <c r="U189" s="165" t="s">
        <v>16</v>
      </c>
      <c r="V189" s="165" t="s">
        <v>16</v>
      </c>
      <c r="W189" s="165" t="s">
        <v>16</v>
      </c>
      <c r="X189" s="165" t="s">
        <v>16</v>
      </c>
      <c r="Y189" s="165" t="s">
        <v>16</v>
      </c>
      <c r="Z189" s="165" t="s">
        <v>16</v>
      </c>
      <c r="AA189" s="165" t="s">
        <v>16</v>
      </c>
      <c r="AB189" s="165" t="s">
        <v>16</v>
      </c>
      <c r="AC189" s="165" t="s">
        <v>16</v>
      </c>
      <c r="AD189" s="165" t="s">
        <v>16</v>
      </c>
      <c r="AE189" s="165" t="s">
        <v>516</v>
      </c>
      <c r="AF189" s="165"/>
    </row>
    <row r="190" spans="1:32" x14ac:dyDescent="0.3">
      <c r="A190" s="165" t="s">
        <v>530</v>
      </c>
      <c r="B190" s="165" t="s">
        <v>14</v>
      </c>
      <c r="C190" s="165" t="s">
        <v>504</v>
      </c>
      <c r="D190" s="165" t="s">
        <v>15</v>
      </c>
      <c r="E190" s="157">
        <v>40662</v>
      </c>
      <c r="F190" s="165" t="s">
        <v>148</v>
      </c>
      <c r="G190" s="165" t="s">
        <v>16</v>
      </c>
      <c r="H190" s="165" t="s">
        <v>16</v>
      </c>
      <c r="I190" s="165" t="s">
        <v>16</v>
      </c>
      <c r="J190" s="165" t="s">
        <v>16</v>
      </c>
      <c r="K190" s="165" t="s">
        <v>148</v>
      </c>
      <c r="L190" s="165" t="s">
        <v>149</v>
      </c>
      <c r="M190" s="165" t="s">
        <v>16</v>
      </c>
      <c r="N190" s="165" t="s">
        <v>150</v>
      </c>
      <c r="O190" s="165" t="s">
        <v>148</v>
      </c>
      <c r="P190" s="165" t="s">
        <v>150</v>
      </c>
      <c r="Q190" s="165" t="s">
        <v>148</v>
      </c>
      <c r="R190" s="165" t="s">
        <v>16</v>
      </c>
      <c r="S190" s="165" t="s">
        <v>148</v>
      </c>
      <c r="T190" s="165" t="s">
        <v>148</v>
      </c>
      <c r="U190" s="165" t="s">
        <v>148</v>
      </c>
      <c r="V190" s="165" t="s">
        <v>149</v>
      </c>
      <c r="W190" s="165" t="s">
        <v>149</v>
      </c>
      <c r="X190" s="165" t="s">
        <v>149</v>
      </c>
      <c r="Y190" s="165" t="s">
        <v>16</v>
      </c>
      <c r="Z190" s="165" t="s">
        <v>150</v>
      </c>
      <c r="AA190" s="165" t="s">
        <v>150</v>
      </c>
      <c r="AB190" s="165" t="s">
        <v>16</v>
      </c>
      <c r="AC190" s="165" t="s">
        <v>16</v>
      </c>
      <c r="AD190" s="165" t="s">
        <v>16</v>
      </c>
      <c r="AE190" s="165" t="s">
        <v>531</v>
      </c>
      <c r="AF190" s="165" t="s">
        <v>532</v>
      </c>
    </row>
    <row r="191" spans="1:32" x14ac:dyDescent="0.3">
      <c r="A191" s="165" t="s">
        <v>533</v>
      </c>
      <c r="B191" s="165" t="s">
        <v>14</v>
      </c>
      <c r="C191" s="165" t="s">
        <v>504</v>
      </c>
      <c r="D191" s="165" t="s">
        <v>15</v>
      </c>
      <c r="E191" s="157">
        <v>40662</v>
      </c>
      <c r="F191" s="165" t="s">
        <v>148</v>
      </c>
      <c r="G191" s="165" t="s">
        <v>148</v>
      </c>
      <c r="H191" s="165" t="s">
        <v>16</v>
      </c>
      <c r="I191" s="165" t="s">
        <v>16</v>
      </c>
      <c r="J191" s="165" t="s">
        <v>16</v>
      </c>
      <c r="K191" s="165" t="s">
        <v>16</v>
      </c>
      <c r="L191" s="165" t="s">
        <v>149</v>
      </c>
      <c r="M191" s="165" t="s">
        <v>148</v>
      </c>
      <c r="N191" s="165" t="s">
        <v>16</v>
      </c>
      <c r="O191" s="165" t="s">
        <v>148</v>
      </c>
      <c r="P191" s="165" t="s">
        <v>148</v>
      </c>
      <c r="Q191" s="165" t="s">
        <v>16</v>
      </c>
      <c r="R191" s="165" t="s">
        <v>16</v>
      </c>
      <c r="S191" s="165" t="s">
        <v>148</v>
      </c>
      <c r="T191" s="165" t="s">
        <v>16</v>
      </c>
      <c r="U191" s="165" t="s">
        <v>148</v>
      </c>
      <c r="V191" s="165" t="s">
        <v>16</v>
      </c>
      <c r="W191" s="165" t="s">
        <v>16</v>
      </c>
      <c r="X191" s="165" t="s">
        <v>148</v>
      </c>
      <c r="Y191" s="165" t="s">
        <v>16</v>
      </c>
      <c r="Z191" s="165" t="s">
        <v>148</v>
      </c>
      <c r="AA191" s="165" t="s">
        <v>148</v>
      </c>
      <c r="AB191" s="165" t="s">
        <v>16</v>
      </c>
      <c r="AC191" s="165" t="s">
        <v>150</v>
      </c>
      <c r="AD191" s="165" t="s">
        <v>16</v>
      </c>
      <c r="AE191" s="165" t="s">
        <v>534</v>
      </c>
      <c r="AF191" s="165"/>
    </row>
    <row r="192" spans="1:32" x14ac:dyDescent="0.3">
      <c r="A192" s="165" t="s">
        <v>535</v>
      </c>
      <c r="B192" s="165" t="s">
        <v>14</v>
      </c>
      <c r="C192" s="165" t="s">
        <v>504</v>
      </c>
      <c r="D192" s="165" t="s">
        <v>15</v>
      </c>
      <c r="E192" s="157">
        <v>40662</v>
      </c>
      <c r="F192" s="165" t="s">
        <v>148</v>
      </c>
      <c r="G192" s="165" t="s">
        <v>16</v>
      </c>
      <c r="H192" s="165" t="s">
        <v>16</v>
      </c>
      <c r="I192" s="165" t="s">
        <v>16</v>
      </c>
      <c r="J192" s="165" t="s">
        <v>148</v>
      </c>
      <c r="K192" s="165" t="s">
        <v>16</v>
      </c>
      <c r="L192" s="165" t="s">
        <v>16</v>
      </c>
      <c r="M192" s="165" t="s">
        <v>16</v>
      </c>
      <c r="N192" s="165" t="s">
        <v>16</v>
      </c>
      <c r="O192" s="165" t="s">
        <v>148</v>
      </c>
      <c r="P192" s="165" t="s">
        <v>148</v>
      </c>
      <c r="Q192" s="165" t="s">
        <v>16</v>
      </c>
      <c r="R192" s="165" t="s">
        <v>148</v>
      </c>
      <c r="S192" s="165" t="s">
        <v>16</v>
      </c>
      <c r="T192" s="165" t="s">
        <v>16</v>
      </c>
      <c r="U192" s="165" t="s">
        <v>16</v>
      </c>
      <c r="V192" s="165" t="s">
        <v>16</v>
      </c>
      <c r="W192" s="165" t="s">
        <v>16</v>
      </c>
      <c r="X192" s="165" t="s">
        <v>16</v>
      </c>
      <c r="Y192" s="165" t="s">
        <v>16</v>
      </c>
      <c r="Z192" s="165" t="s">
        <v>16</v>
      </c>
      <c r="AA192" s="165" t="s">
        <v>148</v>
      </c>
      <c r="AB192" s="165" t="s">
        <v>16</v>
      </c>
      <c r="AC192" s="165" t="s">
        <v>148</v>
      </c>
      <c r="AD192" s="165" t="s">
        <v>148</v>
      </c>
      <c r="AE192" s="165" t="s">
        <v>518</v>
      </c>
      <c r="AF192" s="165"/>
    </row>
    <row r="193" spans="1:32" x14ac:dyDescent="0.3">
      <c r="A193" s="165" t="s">
        <v>536</v>
      </c>
      <c r="B193" s="165" t="s">
        <v>14</v>
      </c>
      <c r="C193" s="165" t="s">
        <v>504</v>
      </c>
      <c r="D193" s="165" t="s">
        <v>15</v>
      </c>
      <c r="E193" s="157">
        <v>40662</v>
      </c>
      <c r="F193" s="165" t="s">
        <v>16</v>
      </c>
      <c r="G193" s="165" t="s">
        <v>149</v>
      </c>
      <c r="H193" s="165" t="s">
        <v>149</v>
      </c>
      <c r="I193" s="165" t="s">
        <v>148</v>
      </c>
      <c r="J193" s="165" t="s">
        <v>16</v>
      </c>
      <c r="K193" s="165" t="s">
        <v>16</v>
      </c>
      <c r="L193" s="165" t="s">
        <v>148</v>
      </c>
      <c r="M193" s="165" t="s">
        <v>16</v>
      </c>
      <c r="N193" s="165" t="s">
        <v>148</v>
      </c>
      <c r="O193" s="165" t="s">
        <v>16</v>
      </c>
      <c r="P193" s="165" t="s">
        <v>16</v>
      </c>
      <c r="Q193" s="165" t="s">
        <v>148</v>
      </c>
      <c r="R193" s="165" t="s">
        <v>148</v>
      </c>
      <c r="S193" s="165" t="s">
        <v>16</v>
      </c>
      <c r="T193" s="165" t="s">
        <v>16</v>
      </c>
      <c r="U193" s="165" t="s">
        <v>148</v>
      </c>
      <c r="V193" s="165" t="s">
        <v>16</v>
      </c>
      <c r="W193" s="165" t="s">
        <v>16</v>
      </c>
      <c r="X193" s="165" t="s">
        <v>16</v>
      </c>
      <c r="Y193" s="165" t="s">
        <v>16</v>
      </c>
      <c r="Z193" s="165" t="s">
        <v>16</v>
      </c>
      <c r="AA193" s="165" t="s">
        <v>16</v>
      </c>
      <c r="AB193" s="165" t="s">
        <v>16</v>
      </c>
      <c r="AC193" s="165" t="s">
        <v>16</v>
      </c>
      <c r="AD193" s="165" t="s">
        <v>16</v>
      </c>
      <c r="AE193" s="165" t="s">
        <v>537</v>
      </c>
      <c r="AF193" s="165"/>
    </row>
    <row r="194" spans="1:32" x14ac:dyDescent="0.3">
      <c r="A194" s="165" t="s">
        <v>538</v>
      </c>
      <c r="B194" s="165" t="s">
        <v>14</v>
      </c>
      <c r="C194" s="165" t="s">
        <v>504</v>
      </c>
      <c r="D194" s="165" t="s">
        <v>15</v>
      </c>
      <c r="E194" s="157">
        <v>40662</v>
      </c>
      <c r="F194" s="165" t="s">
        <v>148</v>
      </c>
      <c r="G194" s="165" t="s">
        <v>16</v>
      </c>
      <c r="H194" s="165" t="s">
        <v>16</v>
      </c>
      <c r="I194" s="165" t="s">
        <v>148</v>
      </c>
      <c r="J194" s="165" t="s">
        <v>16</v>
      </c>
      <c r="K194" s="165" t="s">
        <v>16</v>
      </c>
      <c r="L194" s="165" t="s">
        <v>148</v>
      </c>
      <c r="M194" s="165" t="s">
        <v>16</v>
      </c>
      <c r="N194" s="165" t="s">
        <v>148</v>
      </c>
      <c r="O194" s="165" t="s">
        <v>16</v>
      </c>
      <c r="P194" s="165" t="s">
        <v>148</v>
      </c>
      <c r="Q194" s="165" t="s">
        <v>16</v>
      </c>
      <c r="R194" s="165" t="s">
        <v>16</v>
      </c>
      <c r="S194" s="165" t="s">
        <v>148</v>
      </c>
      <c r="T194" s="165" t="s">
        <v>148</v>
      </c>
      <c r="U194" s="165" t="s">
        <v>149</v>
      </c>
      <c r="V194" s="165" t="s">
        <v>16</v>
      </c>
      <c r="W194" s="165" t="s">
        <v>16</v>
      </c>
      <c r="X194" s="165" t="s">
        <v>148</v>
      </c>
      <c r="Y194" s="165" t="s">
        <v>148</v>
      </c>
      <c r="Z194" s="165" t="s">
        <v>148</v>
      </c>
      <c r="AA194" s="165" t="s">
        <v>148</v>
      </c>
      <c r="AB194" s="165" t="s">
        <v>16</v>
      </c>
      <c r="AC194" s="165" t="s">
        <v>148</v>
      </c>
      <c r="AD194" s="165" t="s">
        <v>16</v>
      </c>
      <c r="AE194" s="165" t="s">
        <v>510</v>
      </c>
      <c r="AF194" s="165"/>
    </row>
    <row r="195" spans="1:32" x14ac:dyDescent="0.3">
      <c r="A195" s="165" t="s">
        <v>539</v>
      </c>
      <c r="B195" s="165" t="s">
        <v>14</v>
      </c>
      <c r="C195" s="165" t="s">
        <v>504</v>
      </c>
      <c r="D195" s="165" t="s">
        <v>15</v>
      </c>
      <c r="E195" s="157">
        <v>40662</v>
      </c>
      <c r="F195" s="165" t="s">
        <v>16</v>
      </c>
      <c r="G195" s="165" t="s">
        <v>16</v>
      </c>
      <c r="H195" s="165" t="s">
        <v>16</v>
      </c>
      <c r="I195" s="165" t="s">
        <v>16</v>
      </c>
      <c r="J195" s="165" t="s">
        <v>16</v>
      </c>
      <c r="K195" s="165" t="s">
        <v>16</v>
      </c>
      <c r="L195" s="165" t="s">
        <v>16</v>
      </c>
      <c r="M195" s="165" t="s">
        <v>16</v>
      </c>
      <c r="N195" s="165" t="s">
        <v>16</v>
      </c>
      <c r="O195" s="165" t="s">
        <v>16</v>
      </c>
      <c r="P195" s="165" t="s">
        <v>16</v>
      </c>
      <c r="Q195" s="165" t="s">
        <v>16</v>
      </c>
      <c r="R195" s="165" t="s">
        <v>16</v>
      </c>
      <c r="S195" s="165" t="s">
        <v>16</v>
      </c>
      <c r="T195" s="165" t="s">
        <v>16</v>
      </c>
      <c r="U195" s="165" t="s">
        <v>16</v>
      </c>
      <c r="V195" s="165" t="s">
        <v>149</v>
      </c>
      <c r="W195" s="165" t="s">
        <v>16</v>
      </c>
      <c r="X195" s="165" t="s">
        <v>16</v>
      </c>
      <c r="Y195" s="165" t="s">
        <v>16</v>
      </c>
      <c r="Z195" s="165" t="s">
        <v>149</v>
      </c>
      <c r="AA195" s="165" t="s">
        <v>149</v>
      </c>
      <c r="AB195" s="165" t="s">
        <v>16</v>
      </c>
      <c r="AC195" s="165" t="s">
        <v>16</v>
      </c>
      <c r="AD195" s="165" t="s">
        <v>16</v>
      </c>
      <c r="AE195" s="165" t="s">
        <v>516</v>
      </c>
      <c r="AF195" s="165"/>
    </row>
    <row r="196" spans="1:32" x14ac:dyDescent="0.3">
      <c r="A196" s="165" t="s">
        <v>540</v>
      </c>
      <c r="B196" s="165" t="s">
        <v>14</v>
      </c>
      <c r="C196" s="165" t="s">
        <v>504</v>
      </c>
      <c r="D196" s="165" t="s">
        <v>15</v>
      </c>
      <c r="E196" s="157">
        <v>40662</v>
      </c>
      <c r="F196" s="165" t="s">
        <v>16</v>
      </c>
      <c r="G196" s="165" t="s">
        <v>16</v>
      </c>
      <c r="H196" s="165" t="s">
        <v>16</v>
      </c>
      <c r="I196" s="165" t="s">
        <v>16</v>
      </c>
      <c r="J196" s="165" t="s">
        <v>16</v>
      </c>
      <c r="K196" s="165" t="s">
        <v>16</v>
      </c>
      <c r="L196" s="165" t="s">
        <v>16</v>
      </c>
      <c r="M196" s="165" t="s">
        <v>16</v>
      </c>
      <c r="N196" s="165" t="s">
        <v>148</v>
      </c>
      <c r="O196" s="165" t="s">
        <v>16</v>
      </c>
      <c r="P196" s="165" t="s">
        <v>16</v>
      </c>
      <c r="Q196" s="165" t="s">
        <v>16</v>
      </c>
      <c r="R196" s="165" t="s">
        <v>16</v>
      </c>
      <c r="S196" s="165" t="s">
        <v>16</v>
      </c>
      <c r="T196" s="165" t="s">
        <v>16</v>
      </c>
      <c r="U196" s="165" t="s">
        <v>16</v>
      </c>
      <c r="V196" s="165" t="s">
        <v>148</v>
      </c>
      <c r="W196" s="165" t="s">
        <v>16</v>
      </c>
      <c r="X196" s="165" t="s">
        <v>114</v>
      </c>
      <c r="Y196" s="165" t="s">
        <v>114</v>
      </c>
      <c r="Z196" s="165" t="s">
        <v>16</v>
      </c>
      <c r="AA196" s="165" t="s">
        <v>16</v>
      </c>
      <c r="AB196" s="165" t="s">
        <v>16</v>
      </c>
      <c r="AC196" s="165" t="s">
        <v>16</v>
      </c>
      <c r="AD196" s="165" t="s">
        <v>16</v>
      </c>
      <c r="AE196" s="165" t="s">
        <v>510</v>
      </c>
      <c r="AF196" s="165"/>
    </row>
    <row r="197" spans="1:32" x14ac:dyDescent="0.3">
      <c r="A197" s="165" t="s">
        <v>541</v>
      </c>
      <c r="B197" s="165" t="s">
        <v>14</v>
      </c>
      <c r="C197" s="165" t="s">
        <v>504</v>
      </c>
      <c r="D197" s="165" t="s">
        <v>15</v>
      </c>
      <c r="E197" s="157">
        <v>40662</v>
      </c>
      <c r="F197" s="165" t="s">
        <v>16</v>
      </c>
      <c r="G197" s="165" t="s">
        <v>16</v>
      </c>
      <c r="H197" s="165" t="s">
        <v>16</v>
      </c>
      <c r="I197" s="165" t="s">
        <v>16</v>
      </c>
      <c r="J197" s="165" t="s">
        <v>16</v>
      </c>
      <c r="K197" s="165" t="s">
        <v>16</v>
      </c>
      <c r="L197" s="165" t="s">
        <v>16</v>
      </c>
      <c r="M197" s="165" t="s">
        <v>16</v>
      </c>
      <c r="N197" s="165" t="s">
        <v>16</v>
      </c>
      <c r="O197" s="165" t="s">
        <v>16</v>
      </c>
      <c r="P197" s="165" t="s">
        <v>16</v>
      </c>
      <c r="Q197" s="165" t="s">
        <v>16</v>
      </c>
      <c r="R197" s="165" t="s">
        <v>16</v>
      </c>
      <c r="S197" s="165" t="s">
        <v>16</v>
      </c>
      <c r="T197" s="165" t="s">
        <v>16</v>
      </c>
      <c r="U197" s="165" t="s">
        <v>16</v>
      </c>
      <c r="V197" s="165" t="s">
        <v>16</v>
      </c>
      <c r="W197" s="165" t="s">
        <v>16</v>
      </c>
      <c r="X197" s="165" t="s">
        <v>16</v>
      </c>
      <c r="Y197" s="165" t="s">
        <v>16</v>
      </c>
      <c r="Z197" s="165" t="s">
        <v>16</v>
      </c>
      <c r="AA197" s="165" t="s">
        <v>16</v>
      </c>
      <c r="AB197" s="165" t="s">
        <v>16</v>
      </c>
      <c r="AC197" s="165" t="s">
        <v>16</v>
      </c>
      <c r="AD197" s="165" t="s">
        <v>16</v>
      </c>
      <c r="AE197" s="165" t="s">
        <v>537</v>
      </c>
      <c r="AF197" s="165"/>
    </row>
    <row r="198" spans="1:32" x14ac:dyDescent="0.3">
      <c r="A198" s="165" t="s">
        <v>542</v>
      </c>
      <c r="B198" s="165" t="s">
        <v>14</v>
      </c>
      <c r="C198" s="165" t="s">
        <v>504</v>
      </c>
      <c r="D198" s="165" t="s">
        <v>15</v>
      </c>
      <c r="E198" s="157">
        <v>40662</v>
      </c>
      <c r="F198" s="165" t="s">
        <v>16</v>
      </c>
      <c r="G198" s="165" t="s">
        <v>16</v>
      </c>
      <c r="H198" s="165" t="s">
        <v>16</v>
      </c>
      <c r="I198" s="165" t="s">
        <v>148</v>
      </c>
      <c r="J198" s="165" t="s">
        <v>148</v>
      </c>
      <c r="K198" s="165" t="s">
        <v>16</v>
      </c>
      <c r="L198" s="165" t="s">
        <v>149</v>
      </c>
      <c r="M198" s="165" t="s">
        <v>16</v>
      </c>
      <c r="N198" s="165" t="s">
        <v>148</v>
      </c>
      <c r="O198" s="165" t="s">
        <v>114</v>
      </c>
      <c r="P198" s="165" t="s">
        <v>148</v>
      </c>
      <c r="Q198" s="165" t="s">
        <v>16</v>
      </c>
      <c r="R198" s="165" t="s">
        <v>16</v>
      </c>
      <c r="S198" s="165" t="s">
        <v>16</v>
      </c>
      <c r="T198" s="165" t="s">
        <v>16</v>
      </c>
      <c r="U198" s="165" t="s">
        <v>16</v>
      </c>
      <c r="V198" s="165" t="s">
        <v>16</v>
      </c>
      <c r="W198" s="165" t="s">
        <v>16</v>
      </c>
      <c r="X198" s="165" t="s">
        <v>16</v>
      </c>
      <c r="Y198" s="165" t="s">
        <v>16</v>
      </c>
      <c r="Z198" s="165" t="s">
        <v>148</v>
      </c>
      <c r="AA198" s="165" t="s">
        <v>148</v>
      </c>
      <c r="AB198" s="165" t="s">
        <v>16</v>
      </c>
      <c r="AC198" s="165" t="s">
        <v>148</v>
      </c>
      <c r="AD198" s="165" t="s">
        <v>16</v>
      </c>
      <c r="AE198" s="165" t="s">
        <v>518</v>
      </c>
      <c r="AF198" s="165"/>
    </row>
    <row r="199" spans="1:32" x14ac:dyDescent="0.3">
      <c r="A199" s="165" t="s">
        <v>543</v>
      </c>
      <c r="B199" s="165" t="s">
        <v>14</v>
      </c>
      <c r="C199" s="165" t="s">
        <v>504</v>
      </c>
      <c r="D199" s="165" t="s">
        <v>15</v>
      </c>
      <c r="E199" s="157">
        <v>40662</v>
      </c>
      <c r="F199" s="165" t="s">
        <v>16</v>
      </c>
      <c r="G199" s="165" t="s">
        <v>16</v>
      </c>
      <c r="H199" s="165" t="s">
        <v>148</v>
      </c>
      <c r="I199" s="165" t="s">
        <v>148</v>
      </c>
      <c r="J199" s="165" t="s">
        <v>16</v>
      </c>
      <c r="K199" s="165" t="s">
        <v>16</v>
      </c>
      <c r="L199" s="165" t="s">
        <v>16</v>
      </c>
      <c r="M199" s="165" t="s">
        <v>148</v>
      </c>
      <c r="N199" s="165" t="s">
        <v>150</v>
      </c>
      <c r="O199" s="165" t="s">
        <v>148</v>
      </c>
      <c r="P199" s="165" t="s">
        <v>16</v>
      </c>
      <c r="Q199" s="165" t="s">
        <v>16</v>
      </c>
      <c r="R199" s="165" t="s">
        <v>16</v>
      </c>
      <c r="S199" s="165" t="s">
        <v>16</v>
      </c>
      <c r="T199" s="165" t="s">
        <v>16</v>
      </c>
      <c r="U199" s="165" t="s">
        <v>16</v>
      </c>
      <c r="V199" s="165" t="s">
        <v>16</v>
      </c>
      <c r="W199" s="165" t="s">
        <v>16</v>
      </c>
      <c r="X199" s="165" t="s">
        <v>16</v>
      </c>
      <c r="Y199" s="165" t="s">
        <v>16</v>
      </c>
      <c r="Z199" s="165" t="s">
        <v>16</v>
      </c>
      <c r="AA199" s="165" t="s">
        <v>16</v>
      </c>
      <c r="AB199" s="165" t="s">
        <v>16</v>
      </c>
      <c r="AC199" s="165" t="s">
        <v>16</v>
      </c>
      <c r="AD199" s="165" t="s">
        <v>16</v>
      </c>
      <c r="AE199" s="165"/>
      <c r="AF199" s="165"/>
    </row>
    <row r="200" spans="1:32" x14ac:dyDescent="0.3">
      <c r="A200" s="165" t="s">
        <v>544</v>
      </c>
      <c r="B200" s="165" t="s">
        <v>14</v>
      </c>
      <c r="C200" s="165" t="s">
        <v>504</v>
      </c>
      <c r="D200" s="165" t="s">
        <v>15</v>
      </c>
      <c r="E200" s="157">
        <v>40662</v>
      </c>
      <c r="F200" s="165" t="s">
        <v>16</v>
      </c>
      <c r="G200" s="165" t="s">
        <v>16</v>
      </c>
      <c r="H200" s="165" t="s">
        <v>16</v>
      </c>
      <c r="I200" s="165" t="s">
        <v>16</v>
      </c>
      <c r="J200" s="165" t="s">
        <v>16</v>
      </c>
      <c r="K200" s="165" t="s">
        <v>16</v>
      </c>
      <c r="L200" s="165" t="s">
        <v>16</v>
      </c>
      <c r="M200" s="165" t="s">
        <v>16</v>
      </c>
      <c r="N200" s="165" t="s">
        <v>16</v>
      </c>
      <c r="O200" s="165" t="s">
        <v>16</v>
      </c>
      <c r="P200" s="165" t="s">
        <v>16</v>
      </c>
      <c r="Q200" s="165" t="s">
        <v>16</v>
      </c>
      <c r="R200" s="165" t="s">
        <v>16</v>
      </c>
      <c r="S200" s="165" t="s">
        <v>16</v>
      </c>
      <c r="T200" s="165" t="s">
        <v>16</v>
      </c>
      <c r="U200" s="165" t="s">
        <v>16</v>
      </c>
      <c r="V200" s="165" t="s">
        <v>16</v>
      </c>
      <c r="W200" s="165" t="s">
        <v>16</v>
      </c>
      <c r="X200" s="165" t="s">
        <v>16</v>
      </c>
      <c r="Y200" s="165" t="s">
        <v>16</v>
      </c>
      <c r="Z200" s="165" t="s">
        <v>16</v>
      </c>
      <c r="AA200" s="165" t="s">
        <v>16</v>
      </c>
      <c r="AB200" s="165" t="s">
        <v>16</v>
      </c>
      <c r="AC200" s="165" t="s">
        <v>16</v>
      </c>
      <c r="AD200" s="165" t="s">
        <v>16</v>
      </c>
      <c r="AE200" s="165" t="s">
        <v>510</v>
      </c>
      <c r="AF200" s="165"/>
    </row>
    <row r="201" spans="1:32" x14ac:dyDescent="0.3">
      <c r="A201" s="165" t="s">
        <v>545</v>
      </c>
      <c r="B201" s="165" t="s">
        <v>14</v>
      </c>
      <c r="C201" s="165" t="s">
        <v>504</v>
      </c>
      <c r="D201" s="165" t="s">
        <v>15</v>
      </c>
      <c r="E201" s="157">
        <v>40662</v>
      </c>
      <c r="F201" s="165" t="s">
        <v>16</v>
      </c>
      <c r="G201" s="165" t="s">
        <v>16</v>
      </c>
      <c r="H201" s="165" t="s">
        <v>149</v>
      </c>
      <c r="I201" s="165" t="s">
        <v>16</v>
      </c>
      <c r="J201" s="165" t="s">
        <v>16</v>
      </c>
      <c r="K201" s="165" t="s">
        <v>16</v>
      </c>
      <c r="L201" s="165" t="s">
        <v>16</v>
      </c>
      <c r="M201" s="165" t="s">
        <v>148</v>
      </c>
      <c r="N201" s="165" t="s">
        <v>16</v>
      </c>
      <c r="O201" s="165" t="s">
        <v>16</v>
      </c>
      <c r="P201" s="165" t="s">
        <v>148</v>
      </c>
      <c r="Q201" s="165" t="s">
        <v>16</v>
      </c>
      <c r="R201" s="165" t="s">
        <v>16</v>
      </c>
      <c r="S201" s="165" t="s">
        <v>148</v>
      </c>
      <c r="T201" s="165" t="s">
        <v>16</v>
      </c>
      <c r="U201" s="165" t="s">
        <v>148</v>
      </c>
      <c r="V201" s="165" t="s">
        <v>16</v>
      </c>
      <c r="W201" s="165" t="s">
        <v>148</v>
      </c>
      <c r="X201" s="165" t="s">
        <v>148</v>
      </c>
      <c r="Y201" s="165" t="s">
        <v>114</v>
      </c>
      <c r="Z201" s="165" t="s">
        <v>16</v>
      </c>
      <c r="AA201" s="165" t="s">
        <v>16</v>
      </c>
      <c r="AB201" s="165" t="s">
        <v>16</v>
      </c>
      <c r="AC201" s="165" t="s">
        <v>149</v>
      </c>
      <c r="AD201" s="165" t="s">
        <v>16</v>
      </c>
      <c r="AE201" s="165" t="s">
        <v>518</v>
      </c>
      <c r="AF201" s="165" t="s">
        <v>546</v>
      </c>
    </row>
    <row r="202" spans="1:32" x14ac:dyDescent="0.3">
      <c r="A202" s="165" t="s">
        <v>547</v>
      </c>
      <c r="B202" s="165" t="s">
        <v>14</v>
      </c>
      <c r="C202" s="165" t="s">
        <v>504</v>
      </c>
      <c r="D202" s="165" t="s">
        <v>15</v>
      </c>
      <c r="E202" s="157">
        <v>40662</v>
      </c>
      <c r="F202" s="165" t="s">
        <v>16</v>
      </c>
      <c r="G202" s="165" t="s">
        <v>16</v>
      </c>
      <c r="H202" s="165" t="s">
        <v>16</v>
      </c>
      <c r="I202" s="165" t="s">
        <v>16</v>
      </c>
      <c r="J202" s="165" t="s">
        <v>16</v>
      </c>
      <c r="K202" s="165" t="s">
        <v>16</v>
      </c>
      <c r="L202" s="165" t="s">
        <v>16</v>
      </c>
      <c r="M202" s="165" t="s">
        <v>16</v>
      </c>
      <c r="N202" s="165" t="s">
        <v>16</v>
      </c>
      <c r="O202" s="165" t="s">
        <v>16</v>
      </c>
      <c r="P202" s="165" t="s">
        <v>16</v>
      </c>
      <c r="Q202" s="165" t="s">
        <v>16</v>
      </c>
      <c r="R202" s="165" t="s">
        <v>148</v>
      </c>
      <c r="S202" s="165" t="s">
        <v>148</v>
      </c>
      <c r="T202" s="165" t="s">
        <v>16</v>
      </c>
      <c r="U202" s="165" t="s">
        <v>16</v>
      </c>
      <c r="V202" s="165" t="s">
        <v>16</v>
      </c>
      <c r="W202" s="165" t="s">
        <v>16</v>
      </c>
      <c r="X202" s="165" t="s">
        <v>16</v>
      </c>
      <c r="Y202" s="165" t="s">
        <v>16</v>
      </c>
      <c r="Z202" s="165" t="s">
        <v>16</v>
      </c>
      <c r="AA202" s="165" t="s">
        <v>16</v>
      </c>
      <c r="AB202" s="165" t="s">
        <v>16</v>
      </c>
      <c r="AC202" s="165" t="s">
        <v>16</v>
      </c>
      <c r="AD202" s="165" t="s">
        <v>16</v>
      </c>
      <c r="AE202" s="165" t="s">
        <v>512</v>
      </c>
      <c r="AF202" s="165"/>
    </row>
    <row r="203" spans="1:32" x14ac:dyDescent="0.3">
      <c r="A203" s="165" t="s">
        <v>548</v>
      </c>
      <c r="B203" s="165" t="s">
        <v>14</v>
      </c>
      <c r="C203" s="165" t="s">
        <v>504</v>
      </c>
      <c r="D203" s="165" t="s">
        <v>15</v>
      </c>
      <c r="E203" s="157">
        <v>40662</v>
      </c>
      <c r="F203" s="165" t="s">
        <v>149</v>
      </c>
      <c r="G203" s="165" t="s">
        <v>16</v>
      </c>
      <c r="H203" s="165" t="s">
        <v>16</v>
      </c>
      <c r="I203" s="165" t="s">
        <v>148</v>
      </c>
      <c r="J203" s="165" t="s">
        <v>148</v>
      </c>
      <c r="K203" s="165" t="s">
        <v>16</v>
      </c>
      <c r="L203" s="165" t="s">
        <v>16</v>
      </c>
      <c r="M203" s="165" t="s">
        <v>148</v>
      </c>
      <c r="N203" s="165" t="s">
        <v>148</v>
      </c>
      <c r="O203" s="165" t="s">
        <v>148</v>
      </c>
      <c r="P203" s="165" t="s">
        <v>148</v>
      </c>
      <c r="Q203" s="165" t="s">
        <v>16</v>
      </c>
      <c r="R203" s="165" t="s">
        <v>16</v>
      </c>
      <c r="S203" s="165" t="s">
        <v>148</v>
      </c>
      <c r="T203" s="165" t="s">
        <v>16</v>
      </c>
      <c r="U203" s="165" t="s">
        <v>148</v>
      </c>
      <c r="V203" s="165" t="s">
        <v>16</v>
      </c>
      <c r="W203" s="165" t="s">
        <v>16</v>
      </c>
      <c r="X203" s="165" t="s">
        <v>16</v>
      </c>
      <c r="Y203" s="165" t="s">
        <v>16</v>
      </c>
      <c r="Z203" s="165" t="s">
        <v>148</v>
      </c>
      <c r="AA203" s="165" t="s">
        <v>148</v>
      </c>
      <c r="AB203" s="165" t="s">
        <v>16</v>
      </c>
      <c r="AC203" s="165" t="s">
        <v>16</v>
      </c>
      <c r="AD203" s="165" t="s">
        <v>16</v>
      </c>
      <c r="AE203" s="165" t="s">
        <v>518</v>
      </c>
      <c r="AF203" s="165"/>
    </row>
    <row r="204" spans="1:32" x14ac:dyDescent="0.3">
      <c r="A204" s="165" t="s">
        <v>549</v>
      </c>
      <c r="B204" s="165" t="s">
        <v>14</v>
      </c>
      <c r="C204" s="165" t="s">
        <v>504</v>
      </c>
      <c r="D204" s="165" t="s">
        <v>15</v>
      </c>
      <c r="E204" s="157">
        <v>40662</v>
      </c>
      <c r="F204" s="165" t="s">
        <v>16</v>
      </c>
      <c r="G204" s="165" t="s">
        <v>16</v>
      </c>
      <c r="H204" s="165" t="s">
        <v>16</v>
      </c>
      <c r="I204" s="165" t="s">
        <v>148</v>
      </c>
      <c r="J204" s="165" t="s">
        <v>16</v>
      </c>
      <c r="K204" s="165" t="s">
        <v>16</v>
      </c>
      <c r="L204" s="165" t="s">
        <v>16</v>
      </c>
      <c r="M204" s="165" t="s">
        <v>148</v>
      </c>
      <c r="N204" s="165" t="s">
        <v>16</v>
      </c>
      <c r="O204" s="165" t="s">
        <v>16</v>
      </c>
      <c r="P204" s="165" t="s">
        <v>148</v>
      </c>
      <c r="Q204" s="165" t="s">
        <v>148</v>
      </c>
      <c r="R204" s="165" t="s">
        <v>148</v>
      </c>
      <c r="S204" s="165" t="s">
        <v>148</v>
      </c>
      <c r="T204" s="165" t="s">
        <v>148</v>
      </c>
      <c r="U204" s="165" t="s">
        <v>16</v>
      </c>
      <c r="V204" s="165" t="s">
        <v>16</v>
      </c>
      <c r="W204" s="165" t="s">
        <v>16</v>
      </c>
      <c r="X204" s="165" t="s">
        <v>16</v>
      </c>
      <c r="Y204" s="165" t="s">
        <v>16</v>
      </c>
      <c r="Z204" s="165" t="s">
        <v>148</v>
      </c>
      <c r="AA204" s="165" t="s">
        <v>148</v>
      </c>
      <c r="AB204" s="165" t="s">
        <v>16</v>
      </c>
      <c r="AC204" s="165" t="s">
        <v>16</v>
      </c>
      <c r="AD204" s="165" t="s">
        <v>16</v>
      </c>
      <c r="AE204" s="165" t="s">
        <v>510</v>
      </c>
      <c r="AF204" s="165"/>
    </row>
    <row r="205" spans="1:32" x14ac:dyDescent="0.3">
      <c r="A205" s="165" t="s">
        <v>550</v>
      </c>
      <c r="B205" s="165" t="s">
        <v>14</v>
      </c>
      <c r="C205" s="165" t="s">
        <v>504</v>
      </c>
      <c r="D205" s="165" t="s">
        <v>15</v>
      </c>
      <c r="E205" s="157">
        <v>40662</v>
      </c>
      <c r="F205" s="165" t="s">
        <v>16</v>
      </c>
      <c r="G205" s="165" t="s">
        <v>16</v>
      </c>
      <c r="H205" s="165" t="s">
        <v>16</v>
      </c>
      <c r="I205" s="165" t="s">
        <v>16</v>
      </c>
      <c r="J205" s="165" t="s">
        <v>16</v>
      </c>
      <c r="K205" s="165" t="s">
        <v>16</v>
      </c>
      <c r="L205" s="165" t="s">
        <v>16</v>
      </c>
      <c r="M205" s="165" t="s">
        <v>16</v>
      </c>
      <c r="N205" s="165" t="s">
        <v>16</v>
      </c>
      <c r="O205" s="165" t="s">
        <v>16</v>
      </c>
      <c r="P205" s="165" t="s">
        <v>16</v>
      </c>
      <c r="Q205" s="165" t="s">
        <v>16</v>
      </c>
      <c r="R205" s="165" t="s">
        <v>148</v>
      </c>
      <c r="S205" s="165" t="s">
        <v>16</v>
      </c>
      <c r="T205" s="165" t="s">
        <v>16</v>
      </c>
      <c r="U205" s="165" t="s">
        <v>16</v>
      </c>
      <c r="V205" s="165" t="s">
        <v>16</v>
      </c>
      <c r="W205" s="165" t="s">
        <v>16</v>
      </c>
      <c r="X205" s="165" t="s">
        <v>16</v>
      </c>
      <c r="Y205" s="165" t="s">
        <v>114</v>
      </c>
      <c r="Z205" s="165" t="s">
        <v>148</v>
      </c>
      <c r="AA205" s="165" t="s">
        <v>148</v>
      </c>
      <c r="AB205" s="165" t="s">
        <v>16</v>
      </c>
      <c r="AC205" s="165" t="s">
        <v>16</v>
      </c>
      <c r="AD205" s="165" t="s">
        <v>16</v>
      </c>
      <c r="AE205" s="165" t="s">
        <v>551</v>
      </c>
      <c r="AF205" s="165"/>
    </row>
    <row r="206" spans="1:32" x14ac:dyDescent="0.3">
      <c r="A206" s="165" t="s">
        <v>552</v>
      </c>
      <c r="B206" s="165" t="s">
        <v>14</v>
      </c>
      <c r="C206" s="165" t="s">
        <v>504</v>
      </c>
      <c r="D206" s="165" t="s">
        <v>15</v>
      </c>
      <c r="E206" s="157">
        <v>40662</v>
      </c>
      <c r="F206" s="165" t="s">
        <v>16</v>
      </c>
      <c r="G206" s="165" t="s">
        <v>16</v>
      </c>
      <c r="H206" s="165" t="s">
        <v>16</v>
      </c>
      <c r="I206" s="165" t="s">
        <v>16</v>
      </c>
      <c r="J206" s="165" t="s">
        <v>16</v>
      </c>
      <c r="K206" s="165" t="s">
        <v>16</v>
      </c>
      <c r="L206" s="165" t="s">
        <v>16</v>
      </c>
      <c r="M206" s="165" t="s">
        <v>16</v>
      </c>
      <c r="N206" s="165" t="s">
        <v>16</v>
      </c>
      <c r="O206" s="165" t="s">
        <v>16</v>
      </c>
      <c r="P206" s="165" t="s">
        <v>16</v>
      </c>
      <c r="Q206" s="165" t="s">
        <v>16</v>
      </c>
      <c r="R206" s="165" t="s">
        <v>16</v>
      </c>
      <c r="S206" s="165" t="s">
        <v>16</v>
      </c>
      <c r="T206" s="165" t="s">
        <v>16</v>
      </c>
      <c r="U206" s="165" t="s">
        <v>16</v>
      </c>
      <c r="V206" s="165" t="s">
        <v>16</v>
      </c>
      <c r="W206" s="165" t="s">
        <v>16</v>
      </c>
      <c r="X206" s="165" t="s">
        <v>16</v>
      </c>
      <c r="Y206" s="165" t="s">
        <v>16</v>
      </c>
      <c r="Z206" s="165" t="s">
        <v>16</v>
      </c>
      <c r="AA206" s="165" t="s">
        <v>16</v>
      </c>
      <c r="AB206" s="165" t="s">
        <v>16</v>
      </c>
      <c r="AC206" s="165" t="s">
        <v>16</v>
      </c>
      <c r="AD206" s="165" t="s">
        <v>16</v>
      </c>
      <c r="AE206" s="165" t="s">
        <v>518</v>
      </c>
      <c r="AF206" s="165"/>
    </row>
    <row r="207" spans="1:32" x14ac:dyDescent="0.3">
      <c r="A207" s="165" t="s">
        <v>553</v>
      </c>
      <c r="B207" s="165" t="s">
        <v>14</v>
      </c>
      <c r="C207" s="165" t="s">
        <v>504</v>
      </c>
      <c r="D207" s="165" t="s">
        <v>15</v>
      </c>
      <c r="E207" s="157">
        <v>40662</v>
      </c>
      <c r="F207" s="165" t="s">
        <v>16</v>
      </c>
      <c r="G207" s="165" t="s">
        <v>16</v>
      </c>
      <c r="H207" s="165" t="s">
        <v>16</v>
      </c>
      <c r="I207" s="165" t="s">
        <v>16</v>
      </c>
      <c r="J207" s="165" t="s">
        <v>16</v>
      </c>
      <c r="K207" s="165" t="s">
        <v>16</v>
      </c>
      <c r="L207" s="165" t="s">
        <v>16</v>
      </c>
      <c r="M207" s="165" t="s">
        <v>16</v>
      </c>
      <c r="N207" s="165" t="s">
        <v>16</v>
      </c>
      <c r="O207" s="165" t="s">
        <v>16</v>
      </c>
      <c r="P207" s="165" t="s">
        <v>16</v>
      </c>
      <c r="Q207" s="165" t="s">
        <v>16</v>
      </c>
      <c r="R207" s="165" t="s">
        <v>16</v>
      </c>
      <c r="S207" s="165" t="s">
        <v>16</v>
      </c>
      <c r="T207" s="165" t="s">
        <v>16</v>
      </c>
      <c r="U207" s="165" t="s">
        <v>149</v>
      </c>
      <c r="V207" s="165" t="s">
        <v>16</v>
      </c>
      <c r="W207" s="165" t="s">
        <v>16</v>
      </c>
      <c r="X207" s="165" t="s">
        <v>16</v>
      </c>
      <c r="Y207" s="165" t="s">
        <v>16</v>
      </c>
      <c r="Z207" s="165" t="s">
        <v>149</v>
      </c>
      <c r="AA207" s="165" t="s">
        <v>16</v>
      </c>
      <c r="AB207" s="165" t="s">
        <v>16</v>
      </c>
      <c r="AC207" s="165" t="s">
        <v>16</v>
      </c>
      <c r="AD207" s="165" t="s">
        <v>16</v>
      </c>
      <c r="AE207" s="165" t="s">
        <v>510</v>
      </c>
      <c r="AF207" s="165"/>
    </row>
    <row r="208" spans="1:32" x14ac:dyDescent="0.3">
      <c r="A208" s="165" t="s">
        <v>554</v>
      </c>
      <c r="B208" s="165" t="s">
        <v>14</v>
      </c>
      <c r="C208" s="165" t="s">
        <v>504</v>
      </c>
      <c r="D208" s="165" t="s">
        <v>15</v>
      </c>
      <c r="E208" s="157">
        <v>40662</v>
      </c>
      <c r="F208" s="165" t="s">
        <v>16</v>
      </c>
      <c r="G208" s="165" t="s">
        <v>16</v>
      </c>
      <c r="H208" s="165" t="s">
        <v>16</v>
      </c>
      <c r="I208" s="165" t="s">
        <v>16</v>
      </c>
      <c r="J208" s="165" t="s">
        <v>16</v>
      </c>
      <c r="K208" s="165" t="s">
        <v>16</v>
      </c>
      <c r="L208" s="165" t="s">
        <v>16</v>
      </c>
      <c r="M208" s="165" t="s">
        <v>16</v>
      </c>
      <c r="N208" s="165" t="s">
        <v>16</v>
      </c>
      <c r="O208" s="165" t="s">
        <v>16</v>
      </c>
      <c r="P208" s="165" t="s">
        <v>16</v>
      </c>
      <c r="Q208" s="165" t="s">
        <v>16</v>
      </c>
      <c r="R208" s="165" t="s">
        <v>16</v>
      </c>
      <c r="S208" s="165" t="s">
        <v>16</v>
      </c>
      <c r="T208" s="165" t="s">
        <v>16</v>
      </c>
      <c r="U208" s="165" t="s">
        <v>16</v>
      </c>
      <c r="V208" s="165" t="s">
        <v>16</v>
      </c>
      <c r="W208" s="165" t="s">
        <v>16</v>
      </c>
      <c r="X208" s="165" t="s">
        <v>16</v>
      </c>
      <c r="Y208" s="165" t="s">
        <v>16</v>
      </c>
      <c r="Z208" s="165" t="s">
        <v>16</v>
      </c>
      <c r="AA208" s="165" t="s">
        <v>16</v>
      </c>
      <c r="AB208" s="165" t="s">
        <v>16</v>
      </c>
      <c r="AC208" s="165" t="s">
        <v>16</v>
      </c>
      <c r="AD208" s="165" t="s">
        <v>16</v>
      </c>
      <c r="AE208" s="165" t="s">
        <v>527</v>
      </c>
      <c r="AF208" s="165"/>
    </row>
    <row r="209" spans="1:32" x14ac:dyDescent="0.3">
      <c r="A209" s="165" t="s">
        <v>555</v>
      </c>
      <c r="B209" s="165" t="s">
        <v>14</v>
      </c>
      <c r="C209" s="165" t="s">
        <v>504</v>
      </c>
      <c r="D209" s="165" t="s">
        <v>15</v>
      </c>
      <c r="E209" s="157">
        <v>40662</v>
      </c>
      <c r="F209" s="165" t="s">
        <v>16</v>
      </c>
      <c r="G209" s="165" t="s">
        <v>148</v>
      </c>
      <c r="H209" s="165" t="s">
        <v>16</v>
      </c>
      <c r="I209" s="165" t="s">
        <v>148</v>
      </c>
      <c r="J209" s="165" t="s">
        <v>16</v>
      </c>
      <c r="K209" s="165" t="s">
        <v>16</v>
      </c>
      <c r="L209" s="165" t="s">
        <v>16</v>
      </c>
      <c r="M209" s="165" t="s">
        <v>16</v>
      </c>
      <c r="N209" s="165" t="s">
        <v>16</v>
      </c>
      <c r="O209" s="165" t="s">
        <v>16</v>
      </c>
      <c r="P209" s="165" t="s">
        <v>148</v>
      </c>
      <c r="Q209" s="165" t="s">
        <v>16</v>
      </c>
      <c r="R209" s="165" t="s">
        <v>16</v>
      </c>
      <c r="S209" s="165" t="s">
        <v>16</v>
      </c>
      <c r="T209" s="165" t="s">
        <v>148</v>
      </c>
      <c r="U209" s="165" t="s">
        <v>16</v>
      </c>
      <c r="V209" s="165" t="s">
        <v>16</v>
      </c>
      <c r="W209" s="165" t="s">
        <v>16</v>
      </c>
      <c r="X209" s="165" t="s">
        <v>16</v>
      </c>
      <c r="Y209" s="165" t="s">
        <v>148</v>
      </c>
      <c r="Z209" s="165" t="s">
        <v>149</v>
      </c>
      <c r="AA209" s="165" t="s">
        <v>16</v>
      </c>
      <c r="AB209" s="165" t="s">
        <v>16</v>
      </c>
      <c r="AC209" s="165" t="s">
        <v>16</v>
      </c>
      <c r="AD209" s="165" t="s">
        <v>16</v>
      </c>
      <c r="AE209" s="165" t="s">
        <v>510</v>
      </c>
      <c r="AF209" s="165"/>
    </row>
    <row r="210" spans="1:32" x14ac:dyDescent="0.3">
      <c r="A210" s="165" t="s">
        <v>556</v>
      </c>
      <c r="B210" s="165" t="s">
        <v>14</v>
      </c>
      <c r="C210" s="165" t="s">
        <v>504</v>
      </c>
      <c r="D210" s="165" t="s">
        <v>15</v>
      </c>
      <c r="E210" s="157">
        <v>40662</v>
      </c>
      <c r="F210" s="165" t="s">
        <v>16</v>
      </c>
      <c r="G210" s="165" t="s">
        <v>16</v>
      </c>
      <c r="H210" s="165" t="s">
        <v>149</v>
      </c>
      <c r="I210" s="165" t="s">
        <v>149</v>
      </c>
      <c r="J210" s="165" t="s">
        <v>16</v>
      </c>
      <c r="K210" s="165" t="s">
        <v>16</v>
      </c>
      <c r="L210" s="165" t="s">
        <v>16</v>
      </c>
      <c r="M210" s="165" t="s">
        <v>16</v>
      </c>
      <c r="N210" s="165" t="s">
        <v>16</v>
      </c>
      <c r="O210" s="165" t="s">
        <v>16</v>
      </c>
      <c r="P210" s="165" t="s">
        <v>16</v>
      </c>
      <c r="Q210" s="165" t="s">
        <v>149</v>
      </c>
      <c r="R210" s="165" t="s">
        <v>149</v>
      </c>
      <c r="S210" s="165" t="s">
        <v>16</v>
      </c>
      <c r="T210" s="165" t="s">
        <v>16</v>
      </c>
      <c r="U210" s="165" t="s">
        <v>16</v>
      </c>
      <c r="V210" s="165" t="s">
        <v>16</v>
      </c>
      <c r="W210" s="165" t="s">
        <v>16</v>
      </c>
      <c r="X210" s="165" t="s">
        <v>16</v>
      </c>
      <c r="Y210" s="165" t="s">
        <v>16</v>
      </c>
      <c r="Z210" s="165" t="s">
        <v>16</v>
      </c>
      <c r="AA210" s="165" t="s">
        <v>16</v>
      </c>
      <c r="AB210" s="165" t="s">
        <v>16</v>
      </c>
      <c r="AC210" s="165" t="s">
        <v>148</v>
      </c>
      <c r="AD210" s="165" t="s">
        <v>16</v>
      </c>
      <c r="AE210" s="165" t="s">
        <v>557</v>
      </c>
      <c r="AF210" s="165"/>
    </row>
    <row r="211" spans="1:32" x14ac:dyDescent="0.3">
      <c r="A211" s="165" t="s">
        <v>558</v>
      </c>
      <c r="B211" s="165" t="s">
        <v>14</v>
      </c>
      <c r="C211" s="165" t="s">
        <v>504</v>
      </c>
      <c r="D211" s="165" t="s">
        <v>15</v>
      </c>
      <c r="E211" s="157">
        <v>40662</v>
      </c>
      <c r="F211" s="165" t="s">
        <v>16</v>
      </c>
      <c r="G211" s="165" t="s">
        <v>16</v>
      </c>
      <c r="H211" s="165" t="s">
        <v>148</v>
      </c>
      <c r="I211" s="165" t="s">
        <v>16</v>
      </c>
      <c r="J211" s="165" t="s">
        <v>16</v>
      </c>
      <c r="K211" s="165" t="s">
        <v>16</v>
      </c>
      <c r="L211" s="165" t="s">
        <v>16</v>
      </c>
      <c r="M211" s="165" t="s">
        <v>148</v>
      </c>
      <c r="N211" s="165" t="s">
        <v>148</v>
      </c>
      <c r="O211" s="165" t="s">
        <v>16</v>
      </c>
      <c r="P211" s="165" t="s">
        <v>16</v>
      </c>
      <c r="Q211" s="165" t="s">
        <v>16</v>
      </c>
      <c r="R211" s="165" t="s">
        <v>148</v>
      </c>
      <c r="S211" s="165" t="s">
        <v>16</v>
      </c>
      <c r="T211" s="165" t="s">
        <v>16</v>
      </c>
      <c r="U211" s="165" t="s">
        <v>16</v>
      </c>
      <c r="V211" s="165" t="s">
        <v>148</v>
      </c>
      <c r="W211" s="165" t="s">
        <v>148</v>
      </c>
      <c r="X211" s="165" t="s">
        <v>148</v>
      </c>
      <c r="Y211" s="165" t="s">
        <v>16</v>
      </c>
      <c r="Z211" s="165" t="s">
        <v>16</v>
      </c>
      <c r="AA211" s="165" t="s">
        <v>148</v>
      </c>
      <c r="AB211" s="165" t="s">
        <v>16</v>
      </c>
      <c r="AC211" s="165" t="s">
        <v>148</v>
      </c>
      <c r="AD211" s="165" t="s">
        <v>148</v>
      </c>
      <c r="AE211" s="165" t="s">
        <v>518</v>
      </c>
      <c r="AF211" s="165"/>
    </row>
    <row r="212" spans="1:32" x14ac:dyDescent="0.3">
      <c r="A212" s="165" t="s">
        <v>559</v>
      </c>
      <c r="B212" s="165" t="s">
        <v>14</v>
      </c>
      <c r="C212" s="165" t="s">
        <v>504</v>
      </c>
      <c r="D212" s="165" t="s">
        <v>15</v>
      </c>
      <c r="E212" s="157">
        <v>40662</v>
      </c>
      <c r="F212" s="165" t="s">
        <v>16</v>
      </c>
      <c r="G212" s="165" t="s">
        <v>16</v>
      </c>
      <c r="H212" s="165" t="s">
        <v>16</v>
      </c>
      <c r="I212" s="165" t="s">
        <v>16</v>
      </c>
      <c r="J212" s="165" t="s">
        <v>16</v>
      </c>
      <c r="K212" s="165" t="s">
        <v>16</v>
      </c>
      <c r="L212" s="165" t="s">
        <v>16</v>
      </c>
      <c r="M212" s="165" t="s">
        <v>16</v>
      </c>
      <c r="N212" s="165" t="s">
        <v>16</v>
      </c>
      <c r="O212" s="165" t="s">
        <v>16</v>
      </c>
      <c r="P212" s="165" t="s">
        <v>16</v>
      </c>
      <c r="Q212" s="165" t="s">
        <v>16</v>
      </c>
      <c r="R212" s="165" t="s">
        <v>16</v>
      </c>
      <c r="S212" s="165" t="s">
        <v>16</v>
      </c>
      <c r="T212" s="165" t="s">
        <v>16</v>
      </c>
      <c r="U212" s="165" t="s">
        <v>16</v>
      </c>
      <c r="V212" s="165" t="s">
        <v>16</v>
      </c>
      <c r="W212" s="165" t="s">
        <v>16</v>
      </c>
      <c r="X212" s="165" t="s">
        <v>16</v>
      </c>
      <c r="Y212" s="165" t="s">
        <v>16</v>
      </c>
      <c r="Z212" s="165" t="s">
        <v>16</v>
      </c>
      <c r="AA212" s="165" t="s">
        <v>16</v>
      </c>
      <c r="AB212" s="165" t="s">
        <v>16</v>
      </c>
      <c r="AC212" s="165" t="s">
        <v>16</v>
      </c>
      <c r="AD212" s="165" t="s">
        <v>16</v>
      </c>
      <c r="AE212" s="165" t="s">
        <v>560</v>
      </c>
      <c r="AF212" s="165"/>
    </row>
    <row r="215" spans="1:32" x14ac:dyDescent="0.3">
      <c r="A215" s="165"/>
      <c r="B215" s="165"/>
      <c r="C215" s="165"/>
      <c r="D215" s="165"/>
      <c r="E215" s="165"/>
      <c r="F215" s="165" t="s">
        <v>124</v>
      </c>
      <c r="G215" s="165" t="s">
        <v>125</v>
      </c>
      <c r="H215" s="165" t="s">
        <v>126</v>
      </c>
      <c r="I215" s="165" t="s">
        <v>127</v>
      </c>
      <c r="J215" s="165" t="s">
        <v>214</v>
      </c>
      <c r="K215" s="165" t="s">
        <v>128</v>
      </c>
      <c r="L215" s="165" t="s">
        <v>129</v>
      </c>
      <c r="M215" s="165" t="s">
        <v>130</v>
      </c>
      <c r="N215" s="165" t="s">
        <v>131</v>
      </c>
      <c r="O215" s="165" t="s">
        <v>132</v>
      </c>
      <c r="P215" s="165" t="s">
        <v>133</v>
      </c>
      <c r="Q215" s="165" t="s">
        <v>134</v>
      </c>
      <c r="R215" s="165" t="s">
        <v>135</v>
      </c>
      <c r="S215" s="165" t="s">
        <v>136</v>
      </c>
      <c r="T215" s="165" t="s">
        <v>137</v>
      </c>
      <c r="U215" s="165" t="s">
        <v>138</v>
      </c>
      <c r="V215" s="165" t="s">
        <v>139</v>
      </c>
      <c r="W215" s="165" t="s">
        <v>140</v>
      </c>
      <c r="X215" s="165" t="s">
        <v>186</v>
      </c>
      <c r="Y215" s="165" t="s">
        <v>209</v>
      </c>
      <c r="Z215" s="165" t="s">
        <v>141</v>
      </c>
      <c r="AA215" s="165" t="s">
        <v>142</v>
      </c>
      <c r="AB215" s="165" t="s">
        <v>210</v>
      </c>
      <c r="AC215" s="165" t="s">
        <v>143</v>
      </c>
      <c r="AD215" s="165" t="s">
        <v>144</v>
      </c>
      <c r="AE215" s="165" t="s">
        <v>562</v>
      </c>
      <c r="AF215" s="165" t="s">
        <v>190</v>
      </c>
    </row>
    <row r="216" spans="1:32" x14ac:dyDescent="0.3">
      <c r="A216" s="165" t="s">
        <v>563</v>
      </c>
      <c r="B216" s="165" t="s">
        <v>14</v>
      </c>
      <c r="C216" s="165" t="s">
        <v>564</v>
      </c>
      <c r="D216" s="165" t="s">
        <v>15</v>
      </c>
      <c r="E216" s="157">
        <v>40693</v>
      </c>
      <c r="F216" s="165" t="s">
        <v>16</v>
      </c>
      <c r="G216" s="165" t="s">
        <v>16</v>
      </c>
      <c r="H216" s="165" t="s">
        <v>16</v>
      </c>
      <c r="I216" s="165" t="s">
        <v>148</v>
      </c>
      <c r="J216" s="165" t="s">
        <v>148</v>
      </c>
      <c r="K216" s="165" t="s">
        <v>149</v>
      </c>
      <c r="L216" s="165" t="s">
        <v>148</v>
      </c>
      <c r="M216" s="165" t="s">
        <v>148</v>
      </c>
      <c r="N216" s="165" t="s">
        <v>148</v>
      </c>
      <c r="O216" s="165" t="s">
        <v>148</v>
      </c>
      <c r="P216" s="165" t="s">
        <v>16</v>
      </c>
      <c r="Q216" s="165" t="s">
        <v>16</v>
      </c>
      <c r="R216" s="165" t="s">
        <v>16</v>
      </c>
      <c r="S216" s="165" t="s">
        <v>148</v>
      </c>
      <c r="T216" s="165" t="s">
        <v>16</v>
      </c>
      <c r="U216" s="165" t="s">
        <v>16</v>
      </c>
      <c r="V216" s="165" t="s">
        <v>16</v>
      </c>
      <c r="W216" s="165" t="s">
        <v>16</v>
      </c>
      <c r="X216" s="165" t="s">
        <v>148</v>
      </c>
      <c r="Y216" s="165" t="s">
        <v>114</v>
      </c>
      <c r="Z216" s="165" t="s">
        <v>148</v>
      </c>
      <c r="AA216" s="165" t="s">
        <v>16</v>
      </c>
      <c r="AB216" s="165" t="s">
        <v>16</v>
      </c>
      <c r="AC216" s="165" t="s">
        <v>150</v>
      </c>
      <c r="AD216" s="165" t="s">
        <v>148</v>
      </c>
      <c r="AE216" s="165"/>
      <c r="AF216" s="165"/>
    </row>
    <row r="217" spans="1:32" x14ac:dyDescent="0.3">
      <c r="A217" s="165" t="s">
        <v>565</v>
      </c>
      <c r="B217" s="165" t="s">
        <v>14</v>
      </c>
      <c r="C217" s="165" t="s">
        <v>564</v>
      </c>
      <c r="D217" s="165" t="s">
        <v>15</v>
      </c>
      <c r="E217" s="157">
        <v>40693</v>
      </c>
      <c r="F217" s="165" t="s">
        <v>149</v>
      </c>
      <c r="G217" s="165" t="s">
        <v>16</v>
      </c>
      <c r="H217" s="165" t="s">
        <v>16</v>
      </c>
      <c r="I217" s="165" t="s">
        <v>16</v>
      </c>
      <c r="J217" s="165" t="s">
        <v>148</v>
      </c>
      <c r="K217" s="165" t="s">
        <v>16</v>
      </c>
      <c r="L217" s="165" t="s">
        <v>16</v>
      </c>
      <c r="M217" s="165" t="s">
        <v>16</v>
      </c>
      <c r="N217" s="165" t="s">
        <v>148</v>
      </c>
      <c r="O217" s="165" t="s">
        <v>148</v>
      </c>
      <c r="P217" s="165" t="s">
        <v>148</v>
      </c>
      <c r="Q217" s="165" t="s">
        <v>16</v>
      </c>
      <c r="R217" s="165" t="s">
        <v>16</v>
      </c>
      <c r="S217" s="165" t="s">
        <v>16</v>
      </c>
      <c r="T217" s="165" t="s">
        <v>16</v>
      </c>
      <c r="U217" s="165" t="s">
        <v>16</v>
      </c>
      <c r="V217" s="165" t="s">
        <v>16</v>
      </c>
      <c r="W217" s="165" t="s">
        <v>148</v>
      </c>
      <c r="X217" s="165" t="s">
        <v>148</v>
      </c>
      <c r="Y217" s="165" t="s">
        <v>16</v>
      </c>
      <c r="Z217" s="165" t="s">
        <v>16</v>
      </c>
      <c r="AA217" s="165" t="s">
        <v>16</v>
      </c>
      <c r="AB217" s="165" t="s">
        <v>16</v>
      </c>
      <c r="AC217" s="165" t="s">
        <v>148</v>
      </c>
      <c r="AD217" s="165" t="s">
        <v>16</v>
      </c>
      <c r="AE217" s="165" t="s">
        <v>566</v>
      </c>
      <c r="AF217" s="165"/>
    </row>
    <row r="218" spans="1:32" x14ac:dyDescent="0.3">
      <c r="A218" s="165" t="s">
        <v>567</v>
      </c>
      <c r="B218" s="165" t="s">
        <v>14</v>
      </c>
      <c r="C218" s="165" t="s">
        <v>564</v>
      </c>
      <c r="D218" s="165" t="s">
        <v>15</v>
      </c>
      <c r="E218" s="157">
        <v>40693</v>
      </c>
      <c r="F218" s="165" t="s">
        <v>148</v>
      </c>
      <c r="G218" s="165" t="s">
        <v>114</v>
      </c>
      <c r="H218" s="165" t="s">
        <v>148</v>
      </c>
      <c r="I218" s="165" t="s">
        <v>148</v>
      </c>
      <c r="J218" s="165" t="s">
        <v>148</v>
      </c>
      <c r="K218" s="165" t="s">
        <v>148</v>
      </c>
      <c r="L218" s="165" t="s">
        <v>148</v>
      </c>
      <c r="M218" s="165" t="s">
        <v>148</v>
      </c>
      <c r="N218" s="165" t="s">
        <v>16</v>
      </c>
      <c r="O218" s="165" t="s">
        <v>16</v>
      </c>
      <c r="P218" s="165" t="s">
        <v>148</v>
      </c>
      <c r="Q218" s="165" t="s">
        <v>148</v>
      </c>
      <c r="R218" s="165" t="s">
        <v>16</v>
      </c>
      <c r="S218" s="165" t="s">
        <v>148</v>
      </c>
      <c r="T218" s="165" t="s">
        <v>148</v>
      </c>
      <c r="U218" s="165" t="s">
        <v>16</v>
      </c>
      <c r="V218" s="165" t="s">
        <v>148</v>
      </c>
      <c r="W218" s="165" t="s">
        <v>148</v>
      </c>
      <c r="X218" s="165" t="s">
        <v>148</v>
      </c>
      <c r="Y218" s="165" t="s">
        <v>148</v>
      </c>
      <c r="Z218" s="165" t="s">
        <v>148</v>
      </c>
      <c r="AA218" s="165" t="s">
        <v>148</v>
      </c>
      <c r="AB218" s="165" t="s">
        <v>149</v>
      </c>
      <c r="AC218" s="165" t="s">
        <v>148</v>
      </c>
      <c r="AD218" s="165" t="s">
        <v>148</v>
      </c>
      <c r="AE218" s="165" t="s">
        <v>568</v>
      </c>
      <c r="AF218" s="165"/>
    </row>
    <row r="219" spans="1:32" x14ac:dyDescent="0.3">
      <c r="A219" s="165" t="s">
        <v>569</v>
      </c>
      <c r="B219" s="165" t="s">
        <v>14</v>
      </c>
      <c r="C219" s="165" t="s">
        <v>564</v>
      </c>
      <c r="D219" s="165" t="s">
        <v>15</v>
      </c>
      <c r="E219" s="157">
        <v>40693</v>
      </c>
      <c r="F219" s="165" t="s">
        <v>148</v>
      </c>
      <c r="G219" s="165" t="s">
        <v>16</v>
      </c>
      <c r="H219" s="165" t="s">
        <v>148</v>
      </c>
      <c r="I219" s="165" t="s">
        <v>16</v>
      </c>
      <c r="J219" s="165" t="s">
        <v>148</v>
      </c>
      <c r="K219" s="165" t="s">
        <v>16</v>
      </c>
      <c r="L219" s="165" t="s">
        <v>16</v>
      </c>
      <c r="M219" s="165" t="s">
        <v>16</v>
      </c>
      <c r="N219" s="165" t="s">
        <v>148</v>
      </c>
      <c r="O219" s="165" t="s">
        <v>148</v>
      </c>
      <c r="P219" s="165" t="s">
        <v>16</v>
      </c>
      <c r="Q219" s="165" t="s">
        <v>148</v>
      </c>
      <c r="R219" s="165" t="s">
        <v>16</v>
      </c>
      <c r="S219" s="165" t="s">
        <v>16</v>
      </c>
      <c r="T219" s="165" t="s">
        <v>16</v>
      </c>
      <c r="U219" s="165" t="s">
        <v>148</v>
      </c>
      <c r="V219" s="165" t="s">
        <v>16</v>
      </c>
      <c r="W219" s="165" t="s">
        <v>16</v>
      </c>
      <c r="X219" s="165" t="s">
        <v>148</v>
      </c>
      <c r="Y219" s="165" t="s">
        <v>114</v>
      </c>
      <c r="Z219" s="165" t="s">
        <v>16</v>
      </c>
      <c r="AA219" s="165" t="s">
        <v>148</v>
      </c>
      <c r="AB219" s="165" t="s">
        <v>16</v>
      </c>
      <c r="AC219" s="165" t="s">
        <v>16</v>
      </c>
      <c r="AD219" s="165" t="s">
        <v>148</v>
      </c>
      <c r="AE219" s="165" t="s">
        <v>570</v>
      </c>
      <c r="AF219" s="165"/>
    </row>
    <row r="220" spans="1:32" x14ac:dyDescent="0.3">
      <c r="A220" s="165" t="s">
        <v>571</v>
      </c>
      <c r="B220" s="165" t="s">
        <v>14</v>
      </c>
      <c r="C220" s="165" t="s">
        <v>564</v>
      </c>
      <c r="D220" s="165" t="s">
        <v>15</v>
      </c>
      <c r="E220" s="157">
        <v>40693</v>
      </c>
      <c r="F220" s="165" t="s">
        <v>148</v>
      </c>
      <c r="G220" s="165" t="s">
        <v>16</v>
      </c>
      <c r="H220" s="165" t="s">
        <v>16</v>
      </c>
      <c r="I220" s="165" t="s">
        <v>148</v>
      </c>
      <c r="J220" s="165" t="s">
        <v>16</v>
      </c>
      <c r="K220" s="165" t="s">
        <v>16</v>
      </c>
      <c r="L220" s="165" t="s">
        <v>16</v>
      </c>
      <c r="M220" s="165" t="s">
        <v>16</v>
      </c>
      <c r="N220" s="165" t="s">
        <v>148</v>
      </c>
      <c r="O220" s="165" t="s">
        <v>148</v>
      </c>
      <c r="P220" s="165" t="s">
        <v>148</v>
      </c>
      <c r="Q220" s="165" t="s">
        <v>148</v>
      </c>
      <c r="R220" s="165" t="s">
        <v>148</v>
      </c>
      <c r="S220" s="165" t="s">
        <v>16</v>
      </c>
      <c r="T220" s="165" t="s">
        <v>16</v>
      </c>
      <c r="U220" s="165" t="s">
        <v>148</v>
      </c>
      <c r="V220" s="165" t="s">
        <v>16</v>
      </c>
      <c r="W220" s="165" t="s">
        <v>16</v>
      </c>
      <c r="X220" s="165" t="s">
        <v>16</v>
      </c>
      <c r="Y220" s="165" t="s">
        <v>16</v>
      </c>
      <c r="Z220" s="165" t="s">
        <v>16</v>
      </c>
      <c r="AA220" s="165" t="s">
        <v>148</v>
      </c>
      <c r="AB220" s="165" t="s">
        <v>148</v>
      </c>
      <c r="AC220" s="165" t="s">
        <v>148</v>
      </c>
      <c r="AD220" s="165" t="s">
        <v>16</v>
      </c>
      <c r="AE220" s="165"/>
      <c r="AF220" s="165"/>
    </row>
    <row r="221" spans="1:32" x14ac:dyDescent="0.3">
      <c r="A221" s="165" t="s">
        <v>572</v>
      </c>
      <c r="B221" s="165" t="s">
        <v>14</v>
      </c>
      <c r="C221" s="165" t="s">
        <v>564</v>
      </c>
      <c r="D221" s="165" t="s">
        <v>15</v>
      </c>
      <c r="E221" s="157">
        <v>40693</v>
      </c>
      <c r="F221" s="165" t="s">
        <v>16</v>
      </c>
      <c r="G221" s="165" t="s">
        <v>16</v>
      </c>
      <c r="H221" s="165" t="s">
        <v>16</v>
      </c>
      <c r="I221" s="165" t="s">
        <v>16</v>
      </c>
      <c r="J221" s="165" t="s">
        <v>16</v>
      </c>
      <c r="K221" s="165" t="s">
        <v>149</v>
      </c>
      <c r="L221" s="165" t="s">
        <v>149</v>
      </c>
      <c r="M221" s="165" t="s">
        <v>16</v>
      </c>
      <c r="N221" s="165" t="s">
        <v>148</v>
      </c>
      <c r="O221" s="165" t="s">
        <v>16</v>
      </c>
      <c r="P221" s="165" t="s">
        <v>16</v>
      </c>
      <c r="Q221" s="165" t="s">
        <v>16</v>
      </c>
      <c r="R221" s="165" t="s">
        <v>16</v>
      </c>
      <c r="S221" s="165" t="s">
        <v>16</v>
      </c>
      <c r="T221" s="165" t="s">
        <v>16</v>
      </c>
      <c r="U221" s="165" t="s">
        <v>16</v>
      </c>
      <c r="V221" s="165" t="s">
        <v>16</v>
      </c>
      <c r="W221" s="165" t="s">
        <v>16</v>
      </c>
      <c r="X221" s="165" t="s">
        <v>16</v>
      </c>
      <c r="Y221" s="165" t="s">
        <v>16</v>
      </c>
      <c r="Z221" s="165" t="s">
        <v>16</v>
      </c>
      <c r="AA221" s="165" t="s">
        <v>16</v>
      </c>
      <c r="AB221" s="165" t="s">
        <v>16</v>
      </c>
      <c r="AC221" s="165" t="s">
        <v>148</v>
      </c>
      <c r="AD221" s="165" t="s">
        <v>16</v>
      </c>
      <c r="AE221" s="165" t="s">
        <v>573</v>
      </c>
      <c r="AF221" s="165"/>
    </row>
    <row r="222" spans="1:32" x14ac:dyDescent="0.3">
      <c r="A222" s="165" t="s">
        <v>574</v>
      </c>
      <c r="B222" s="165" t="s">
        <v>14</v>
      </c>
      <c r="C222" s="165" t="s">
        <v>564</v>
      </c>
      <c r="D222" s="165" t="s">
        <v>15</v>
      </c>
      <c r="E222" s="157">
        <v>40693</v>
      </c>
      <c r="F222" s="165" t="s">
        <v>16</v>
      </c>
      <c r="G222" s="165" t="s">
        <v>16</v>
      </c>
      <c r="H222" s="165" t="s">
        <v>16</v>
      </c>
      <c r="I222" s="165" t="s">
        <v>148</v>
      </c>
      <c r="J222" s="165" t="s">
        <v>148</v>
      </c>
      <c r="K222" s="165" t="s">
        <v>16</v>
      </c>
      <c r="L222" s="165" t="s">
        <v>16</v>
      </c>
      <c r="M222" s="165" t="s">
        <v>148</v>
      </c>
      <c r="N222" s="165" t="s">
        <v>148</v>
      </c>
      <c r="O222" s="165" t="s">
        <v>16</v>
      </c>
      <c r="P222" s="165" t="s">
        <v>148</v>
      </c>
      <c r="Q222" s="165" t="s">
        <v>16</v>
      </c>
      <c r="R222" s="165" t="s">
        <v>16</v>
      </c>
      <c r="S222" s="165" t="s">
        <v>16</v>
      </c>
      <c r="T222" s="165" t="s">
        <v>16</v>
      </c>
      <c r="U222" s="165" t="s">
        <v>148</v>
      </c>
      <c r="V222" s="165" t="s">
        <v>148</v>
      </c>
      <c r="W222" s="165" t="s">
        <v>16</v>
      </c>
      <c r="X222" s="165" t="s">
        <v>16</v>
      </c>
      <c r="Y222" s="165" t="s">
        <v>16</v>
      </c>
      <c r="Z222" s="165" t="s">
        <v>16</v>
      </c>
      <c r="AA222" s="165" t="s">
        <v>16</v>
      </c>
      <c r="AB222" s="165" t="s">
        <v>149</v>
      </c>
      <c r="AC222" s="165" t="s">
        <v>16</v>
      </c>
      <c r="AD222" s="165" t="s">
        <v>16</v>
      </c>
      <c r="AE222" s="165" t="s">
        <v>566</v>
      </c>
      <c r="AF222" s="165"/>
    </row>
    <row r="223" spans="1:32" x14ac:dyDescent="0.3">
      <c r="A223" s="165" t="s">
        <v>575</v>
      </c>
      <c r="B223" s="165" t="s">
        <v>14</v>
      </c>
      <c r="C223" s="165" t="s">
        <v>564</v>
      </c>
      <c r="D223" s="165" t="s">
        <v>15</v>
      </c>
      <c r="E223" s="157">
        <v>40693</v>
      </c>
      <c r="F223" s="165" t="s">
        <v>16</v>
      </c>
      <c r="G223" s="165" t="s">
        <v>16</v>
      </c>
      <c r="H223" s="165" t="s">
        <v>148</v>
      </c>
      <c r="I223" s="165" t="s">
        <v>16</v>
      </c>
      <c r="J223" s="165" t="s">
        <v>148</v>
      </c>
      <c r="K223" s="165" t="s">
        <v>16</v>
      </c>
      <c r="L223" s="165" t="s">
        <v>16</v>
      </c>
      <c r="M223" s="165" t="s">
        <v>148</v>
      </c>
      <c r="N223" s="165" t="s">
        <v>148</v>
      </c>
      <c r="O223" s="165" t="s">
        <v>148</v>
      </c>
      <c r="P223" s="165" t="s">
        <v>148</v>
      </c>
      <c r="Q223" s="165" t="s">
        <v>16</v>
      </c>
      <c r="R223" s="165" t="s">
        <v>16</v>
      </c>
      <c r="S223" s="165" t="s">
        <v>148</v>
      </c>
      <c r="T223" s="165" t="s">
        <v>148</v>
      </c>
      <c r="U223" s="165" t="s">
        <v>16</v>
      </c>
      <c r="V223" s="165" t="s">
        <v>16</v>
      </c>
      <c r="W223" s="165" t="s">
        <v>148</v>
      </c>
      <c r="X223" s="165" t="s">
        <v>148</v>
      </c>
      <c r="Y223" s="165" t="s">
        <v>148</v>
      </c>
      <c r="Z223" s="165" t="s">
        <v>148</v>
      </c>
      <c r="AA223" s="165" t="s">
        <v>148</v>
      </c>
      <c r="AB223" s="165" t="s">
        <v>148</v>
      </c>
      <c r="AC223" s="165" t="s">
        <v>16</v>
      </c>
      <c r="AD223" s="165" t="s">
        <v>148</v>
      </c>
      <c r="AE223" s="165" t="s">
        <v>573</v>
      </c>
      <c r="AF223" s="165"/>
    </row>
    <row r="224" spans="1:32" x14ac:dyDescent="0.3">
      <c r="A224" s="165" t="s">
        <v>576</v>
      </c>
      <c r="B224" s="165" t="s">
        <v>14</v>
      </c>
      <c r="C224" s="165" t="s">
        <v>564</v>
      </c>
      <c r="D224" s="165" t="s">
        <v>15</v>
      </c>
      <c r="E224" s="157">
        <v>40693</v>
      </c>
      <c r="F224" s="165" t="s">
        <v>16</v>
      </c>
      <c r="G224" s="165" t="s">
        <v>149</v>
      </c>
      <c r="H224" s="165" t="s">
        <v>16</v>
      </c>
      <c r="I224" s="165" t="s">
        <v>149</v>
      </c>
      <c r="J224" s="165" t="s">
        <v>16</v>
      </c>
      <c r="K224" s="165" t="s">
        <v>16</v>
      </c>
      <c r="L224" s="165" t="s">
        <v>148</v>
      </c>
      <c r="M224" s="165" t="s">
        <v>149</v>
      </c>
      <c r="N224" s="165" t="s">
        <v>148</v>
      </c>
      <c r="O224" s="165" t="s">
        <v>16</v>
      </c>
      <c r="P224" s="165" t="s">
        <v>16</v>
      </c>
      <c r="Q224" s="165" t="s">
        <v>16</v>
      </c>
      <c r="R224" s="165" t="s">
        <v>16</v>
      </c>
      <c r="S224" s="165" t="s">
        <v>16</v>
      </c>
      <c r="T224" s="165" t="s">
        <v>16</v>
      </c>
      <c r="U224" s="165" t="s">
        <v>148</v>
      </c>
      <c r="V224" s="165" t="s">
        <v>16</v>
      </c>
      <c r="W224" s="165" t="s">
        <v>16</v>
      </c>
      <c r="X224" s="165" t="s">
        <v>148</v>
      </c>
      <c r="Y224" s="165" t="s">
        <v>16</v>
      </c>
      <c r="Z224" s="165" t="s">
        <v>149</v>
      </c>
      <c r="AA224" s="165" t="s">
        <v>16</v>
      </c>
      <c r="AB224" s="165" t="s">
        <v>16</v>
      </c>
      <c r="AC224" s="165" t="s">
        <v>148</v>
      </c>
      <c r="AD224" s="165" t="s">
        <v>149</v>
      </c>
      <c r="AE224" s="165" t="s">
        <v>577</v>
      </c>
      <c r="AF224" s="165"/>
    </row>
    <row r="225" spans="1:32" x14ac:dyDescent="0.3">
      <c r="A225" s="165" t="s">
        <v>578</v>
      </c>
      <c r="B225" s="165" t="s">
        <v>14</v>
      </c>
      <c r="C225" s="165" t="s">
        <v>564</v>
      </c>
      <c r="D225" s="165" t="s">
        <v>15</v>
      </c>
      <c r="E225" s="157">
        <v>40693</v>
      </c>
      <c r="F225" s="165" t="s">
        <v>148</v>
      </c>
      <c r="G225" s="165" t="s">
        <v>16</v>
      </c>
      <c r="H225" s="165" t="s">
        <v>149</v>
      </c>
      <c r="I225" s="165" t="s">
        <v>16</v>
      </c>
      <c r="J225" s="165" t="s">
        <v>148</v>
      </c>
      <c r="K225" s="165" t="s">
        <v>16</v>
      </c>
      <c r="L225" s="165" t="s">
        <v>149</v>
      </c>
      <c r="M225" s="165" t="s">
        <v>148</v>
      </c>
      <c r="N225" s="165" t="s">
        <v>148</v>
      </c>
      <c r="O225" s="165" t="s">
        <v>16</v>
      </c>
      <c r="P225" s="165" t="s">
        <v>148</v>
      </c>
      <c r="Q225" s="165" t="s">
        <v>16</v>
      </c>
      <c r="R225" s="165" t="s">
        <v>16</v>
      </c>
      <c r="S225" s="165" t="s">
        <v>148</v>
      </c>
      <c r="T225" s="165" t="s">
        <v>148</v>
      </c>
      <c r="U225" s="165" t="s">
        <v>16</v>
      </c>
      <c r="V225" s="165" t="s">
        <v>16</v>
      </c>
      <c r="W225" s="165" t="s">
        <v>148</v>
      </c>
      <c r="X225" s="165" t="s">
        <v>148</v>
      </c>
      <c r="Y225" s="165" t="s">
        <v>16</v>
      </c>
      <c r="Z225" s="165" t="s">
        <v>16</v>
      </c>
      <c r="AA225" s="165" t="s">
        <v>148</v>
      </c>
      <c r="AB225" s="165" t="s">
        <v>16</v>
      </c>
      <c r="AC225" s="165" t="s">
        <v>150</v>
      </c>
      <c r="AD225" s="165" t="s">
        <v>149</v>
      </c>
      <c r="AE225" s="165" t="s">
        <v>566</v>
      </c>
      <c r="AF225" s="165"/>
    </row>
    <row r="226" spans="1:32" x14ac:dyDescent="0.3">
      <c r="A226" s="165" t="s">
        <v>579</v>
      </c>
      <c r="B226" s="165" t="s">
        <v>14</v>
      </c>
      <c r="C226" s="165" t="s">
        <v>564</v>
      </c>
      <c r="D226" s="165" t="s">
        <v>15</v>
      </c>
      <c r="E226" s="157">
        <v>40693</v>
      </c>
      <c r="F226" s="165" t="s">
        <v>148</v>
      </c>
      <c r="G226" s="165" t="s">
        <v>150</v>
      </c>
      <c r="H226" s="165" t="s">
        <v>148</v>
      </c>
      <c r="I226" s="165" t="s">
        <v>148</v>
      </c>
      <c r="J226" s="165" t="s">
        <v>16</v>
      </c>
      <c r="K226" s="165" t="s">
        <v>150</v>
      </c>
      <c r="L226" s="165" t="s">
        <v>150</v>
      </c>
      <c r="M226" s="165" t="s">
        <v>16</v>
      </c>
      <c r="N226" s="165" t="s">
        <v>148</v>
      </c>
      <c r="O226" s="165" t="s">
        <v>16</v>
      </c>
      <c r="P226" s="165" t="s">
        <v>16</v>
      </c>
      <c r="Q226" s="165" t="s">
        <v>16</v>
      </c>
      <c r="R226" s="165" t="s">
        <v>16</v>
      </c>
      <c r="S226" s="165" t="s">
        <v>16</v>
      </c>
      <c r="T226" s="165" t="s">
        <v>148</v>
      </c>
      <c r="U226" s="165" t="s">
        <v>16</v>
      </c>
      <c r="V226" s="165" t="s">
        <v>16</v>
      </c>
      <c r="W226" s="165" t="s">
        <v>148</v>
      </c>
      <c r="X226" s="165" t="s">
        <v>150</v>
      </c>
      <c r="Y226" s="165" t="s">
        <v>148</v>
      </c>
      <c r="Z226" s="165" t="s">
        <v>149</v>
      </c>
      <c r="AA226" s="165" t="s">
        <v>149</v>
      </c>
      <c r="AB226" s="165" t="s">
        <v>16</v>
      </c>
      <c r="AC226" s="165" t="s">
        <v>150</v>
      </c>
      <c r="AD226" s="165" t="s">
        <v>149</v>
      </c>
      <c r="AE226" s="165" t="s">
        <v>570</v>
      </c>
      <c r="AF226" s="165"/>
    </row>
    <row r="227" spans="1:32" x14ac:dyDescent="0.3">
      <c r="A227" s="165" t="s">
        <v>580</v>
      </c>
      <c r="B227" s="165" t="s">
        <v>14</v>
      </c>
      <c r="C227" s="165" t="s">
        <v>564</v>
      </c>
      <c r="D227" s="165" t="s">
        <v>15</v>
      </c>
      <c r="E227" s="157">
        <v>40693</v>
      </c>
      <c r="F227" s="165" t="s">
        <v>148</v>
      </c>
      <c r="G227" s="165" t="s">
        <v>149</v>
      </c>
      <c r="H227" s="165" t="s">
        <v>149</v>
      </c>
      <c r="I227" s="165" t="s">
        <v>149</v>
      </c>
      <c r="J227" s="165" t="s">
        <v>148</v>
      </c>
      <c r="K227" s="165" t="s">
        <v>149</v>
      </c>
      <c r="L227" s="165" t="s">
        <v>16</v>
      </c>
      <c r="M227" s="165" t="s">
        <v>16</v>
      </c>
      <c r="N227" s="165" t="s">
        <v>148</v>
      </c>
      <c r="O227" s="165" t="s">
        <v>149</v>
      </c>
      <c r="P227" s="165" t="s">
        <v>149</v>
      </c>
      <c r="Q227" s="165" t="s">
        <v>149</v>
      </c>
      <c r="R227" s="165" t="s">
        <v>149</v>
      </c>
      <c r="S227" s="165" t="s">
        <v>16</v>
      </c>
      <c r="T227" s="165" t="s">
        <v>149</v>
      </c>
      <c r="U227" s="165" t="s">
        <v>149</v>
      </c>
      <c r="V227" s="165" t="s">
        <v>16</v>
      </c>
      <c r="W227" s="165" t="s">
        <v>16</v>
      </c>
      <c r="X227" s="165" t="s">
        <v>148</v>
      </c>
      <c r="Y227" s="165" t="s">
        <v>149</v>
      </c>
      <c r="Z227" s="165" t="s">
        <v>148</v>
      </c>
      <c r="AA227" s="165" t="s">
        <v>148</v>
      </c>
      <c r="AB227" s="165" t="s">
        <v>148</v>
      </c>
      <c r="AC227" s="165" t="s">
        <v>148</v>
      </c>
      <c r="AD227" s="165" t="s">
        <v>149</v>
      </c>
      <c r="AE227" s="165" t="s">
        <v>570</v>
      </c>
      <c r="AF227" s="165"/>
    </row>
    <row r="228" spans="1:32" x14ac:dyDescent="0.3">
      <c r="A228" s="165" t="s">
        <v>581</v>
      </c>
      <c r="B228" s="165" t="s">
        <v>14</v>
      </c>
      <c r="C228" s="165" t="s">
        <v>564</v>
      </c>
      <c r="D228" s="165" t="s">
        <v>15</v>
      </c>
      <c r="E228" s="157">
        <v>40693</v>
      </c>
      <c r="F228" s="165" t="s">
        <v>16</v>
      </c>
      <c r="G228" s="165" t="s">
        <v>16</v>
      </c>
      <c r="H228" s="165" t="s">
        <v>16</v>
      </c>
      <c r="I228" s="165" t="s">
        <v>148</v>
      </c>
      <c r="J228" s="165" t="s">
        <v>16</v>
      </c>
      <c r="K228" s="165" t="s">
        <v>148</v>
      </c>
      <c r="L228" s="165" t="s">
        <v>148</v>
      </c>
      <c r="M228" s="165" t="s">
        <v>16</v>
      </c>
      <c r="N228" s="165" t="s">
        <v>148</v>
      </c>
      <c r="O228" s="165" t="s">
        <v>16</v>
      </c>
      <c r="P228" s="165" t="s">
        <v>148</v>
      </c>
      <c r="Q228" s="165" t="s">
        <v>16</v>
      </c>
      <c r="R228" s="165" t="s">
        <v>148</v>
      </c>
      <c r="S228" s="165" t="s">
        <v>148</v>
      </c>
      <c r="T228" s="165" t="s">
        <v>16</v>
      </c>
      <c r="U228" s="165" t="s">
        <v>148</v>
      </c>
      <c r="V228" s="165" t="s">
        <v>16</v>
      </c>
      <c r="W228" s="165" t="s">
        <v>16</v>
      </c>
      <c r="X228" s="165" t="s">
        <v>16</v>
      </c>
      <c r="Y228" s="165" t="s">
        <v>16</v>
      </c>
      <c r="Z228" s="165" t="s">
        <v>16</v>
      </c>
      <c r="AA228" s="165" t="s">
        <v>148</v>
      </c>
      <c r="AB228" s="165" t="s">
        <v>16</v>
      </c>
      <c r="AC228" s="165" t="s">
        <v>148</v>
      </c>
      <c r="AD228" s="165" t="s">
        <v>150</v>
      </c>
      <c r="AE228" s="165"/>
      <c r="AF228" s="165"/>
    </row>
    <row r="229" spans="1:32" x14ac:dyDescent="0.3">
      <c r="A229" s="165" t="s">
        <v>582</v>
      </c>
      <c r="B229" s="165" t="s">
        <v>14</v>
      </c>
      <c r="C229" s="165" t="s">
        <v>564</v>
      </c>
      <c r="D229" s="165" t="s">
        <v>15</v>
      </c>
      <c r="E229" s="157">
        <v>40693</v>
      </c>
      <c r="F229" s="165" t="s">
        <v>16</v>
      </c>
      <c r="G229" s="165" t="s">
        <v>16</v>
      </c>
      <c r="H229" s="165" t="s">
        <v>148</v>
      </c>
      <c r="I229" s="165" t="s">
        <v>16</v>
      </c>
      <c r="J229" s="165" t="s">
        <v>16</v>
      </c>
      <c r="K229" s="165" t="s">
        <v>16</v>
      </c>
      <c r="L229" s="165" t="s">
        <v>16</v>
      </c>
      <c r="M229" s="165" t="s">
        <v>16</v>
      </c>
      <c r="N229" s="165" t="s">
        <v>16</v>
      </c>
      <c r="O229" s="165" t="s">
        <v>16</v>
      </c>
      <c r="P229" s="165" t="s">
        <v>16</v>
      </c>
      <c r="Q229" s="165" t="s">
        <v>16</v>
      </c>
      <c r="R229" s="165" t="s">
        <v>16</v>
      </c>
      <c r="S229" s="165" t="s">
        <v>148</v>
      </c>
      <c r="T229" s="165" t="s">
        <v>16</v>
      </c>
      <c r="U229" s="165" t="s">
        <v>16</v>
      </c>
      <c r="V229" s="165" t="s">
        <v>16</v>
      </c>
      <c r="W229" s="165" t="s">
        <v>16</v>
      </c>
      <c r="X229" s="165" t="s">
        <v>16</v>
      </c>
      <c r="Y229" s="165" t="s">
        <v>16</v>
      </c>
      <c r="Z229" s="165" t="s">
        <v>16</v>
      </c>
      <c r="AA229" s="165" t="s">
        <v>16</v>
      </c>
      <c r="AB229" s="165" t="s">
        <v>16</v>
      </c>
      <c r="AC229" s="165" t="s">
        <v>16</v>
      </c>
      <c r="AD229" s="165" t="s">
        <v>16</v>
      </c>
      <c r="AE229" s="165" t="s">
        <v>583</v>
      </c>
      <c r="AF229" s="165" t="s">
        <v>584</v>
      </c>
    </row>
    <row r="230" spans="1:32" x14ac:dyDescent="0.3">
      <c r="A230" s="165" t="s">
        <v>585</v>
      </c>
      <c r="B230" s="165" t="s">
        <v>14</v>
      </c>
      <c r="C230" s="165" t="s">
        <v>564</v>
      </c>
      <c r="D230" s="165" t="s">
        <v>15</v>
      </c>
      <c r="E230" s="157">
        <v>40693</v>
      </c>
      <c r="F230" s="165" t="s">
        <v>16</v>
      </c>
      <c r="G230" s="165" t="s">
        <v>16</v>
      </c>
      <c r="H230" s="165" t="s">
        <v>16</v>
      </c>
      <c r="I230" s="165" t="s">
        <v>16</v>
      </c>
      <c r="J230" s="165" t="s">
        <v>16</v>
      </c>
      <c r="K230" s="165" t="s">
        <v>16</v>
      </c>
      <c r="L230" s="165" t="s">
        <v>16</v>
      </c>
      <c r="M230" s="165" t="s">
        <v>16</v>
      </c>
      <c r="N230" s="165" t="s">
        <v>16</v>
      </c>
      <c r="O230" s="165" t="s">
        <v>16</v>
      </c>
      <c r="P230" s="165" t="s">
        <v>148</v>
      </c>
      <c r="Q230" s="165" t="s">
        <v>16</v>
      </c>
      <c r="R230" s="165" t="s">
        <v>148</v>
      </c>
      <c r="S230" s="165" t="s">
        <v>148</v>
      </c>
      <c r="T230" s="165" t="s">
        <v>148</v>
      </c>
      <c r="U230" s="165" t="s">
        <v>148</v>
      </c>
      <c r="V230" s="165" t="s">
        <v>148</v>
      </c>
      <c r="W230" s="165" t="s">
        <v>148</v>
      </c>
      <c r="X230" s="165" t="s">
        <v>148</v>
      </c>
      <c r="Y230" s="165" t="s">
        <v>148</v>
      </c>
      <c r="Z230" s="165" t="s">
        <v>16</v>
      </c>
      <c r="AA230" s="165" t="s">
        <v>16</v>
      </c>
      <c r="AB230" s="165" t="s">
        <v>16</v>
      </c>
      <c r="AC230" s="165" t="s">
        <v>16</v>
      </c>
      <c r="AD230" s="165" t="s">
        <v>148</v>
      </c>
      <c r="AE230" s="165" t="s">
        <v>573</v>
      </c>
      <c r="AF230" s="165"/>
    </row>
    <row r="231" spans="1:32" x14ac:dyDescent="0.3">
      <c r="A231" s="165" t="s">
        <v>586</v>
      </c>
      <c r="B231" s="165" t="s">
        <v>14</v>
      </c>
      <c r="C231" s="165" t="s">
        <v>564</v>
      </c>
      <c r="D231" s="165" t="s">
        <v>15</v>
      </c>
      <c r="E231" s="157">
        <v>40693</v>
      </c>
      <c r="F231" s="165" t="s">
        <v>16</v>
      </c>
      <c r="G231" s="165" t="s">
        <v>148</v>
      </c>
      <c r="H231" s="165" t="s">
        <v>149</v>
      </c>
      <c r="I231" s="165" t="s">
        <v>16</v>
      </c>
      <c r="J231" s="165" t="s">
        <v>16</v>
      </c>
      <c r="K231" s="165" t="s">
        <v>16</v>
      </c>
      <c r="L231" s="165" t="s">
        <v>16</v>
      </c>
      <c r="M231" s="165" t="s">
        <v>16</v>
      </c>
      <c r="N231" s="165" t="s">
        <v>16</v>
      </c>
      <c r="O231" s="165" t="s">
        <v>16</v>
      </c>
      <c r="P231" s="165" t="s">
        <v>16</v>
      </c>
      <c r="Q231" s="165" t="s">
        <v>16</v>
      </c>
      <c r="R231" s="165" t="s">
        <v>16</v>
      </c>
      <c r="S231" s="165" t="s">
        <v>16</v>
      </c>
      <c r="T231" s="165" t="s">
        <v>16</v>
      </c>
      <c r="U231" s="165" t="s">
        <v>16</v>
      </c>
      <c r="V231" s="165" t="s">
        <v>148</v>
      </c>
      <c r="W231" s="165" t="s">
        <v>16</v>
      </c>
      <c r="X231" s="165" t="s">
        <v>16</v>
      </c>
      <c r="Y231" s="165" t="s">
        <v>16</v>
      </c>
      <c r="Z231" s="165" t="s">
        <v>16</v>
      </c>
      <c r="AA231" s="165" t="s">
        <v>16</v>
      </c>
      <c r="AB231" s="165" t="s">
        <v>16</v>
      </c>
      <c r="AC231" s="165" t="s">
        <v>16</v>
      </c>
      <c r="AD231" s="165" t="s">
        <v>16</v>
      </c>
      <c r="AE231" s="165" t="s">
        <v>573</v>
      </c>
      <c r="AF231" s="165"/>
    </row>
    <row r="232" spans="1:32" x14ac:dyDescent="0.3">
      <c r="A232" s="165" t="s">
        <v>587</v>
      </c>
      <c r="B232" s="165" t="s">
        <v>14</v>
      </c>
      <c r="C232" s="165" t="s">
        <v>564</v>
      </c>
      <c r="D232" s="165" t="s">
        <v>15</v>
      </c>
      <c r="E232" s="157">
        <v>40693</v>
      </c>
      <c r="F232" s="165" t="s">
        <v>16</v>
      </c>
      <c r="G232" s="165" t="s">
        <v>148</v>
      </c>
      <c r="H232" s="165" t="s">
        <v>16</v>
      </c>
      <c r="I232" s="165" t="s">
        <v>16</v>
      </c>
      <c r="J232" s="165" t="s">
        <v>16</v>
      </c>
      <c r="K232" s="165" t="s">
        <v>16</v>
      </c>
      <c r="L232" s="165" t="s">
        <v>16</v>
      </c>
      <c r="M232" s="165" t="s">
        <v>16</v>
      </c>
      <c r="N232" s="165" t="s">
        <v>16</v>
      </c>
      <c r="O232" s="165" t="s">
        <v>16</v>
      </c>
      <c r="P232" s="165" t="s">
        <v>16</v>
      </c>
      <c r="Q232" s="165" t="s">
        <v>16</v>
      </c>
      <c r="R232" s="165" t="s">
        <v>16</v>
      </c>
      <c r="S232" s="165" t="s">
        <v>16</v>
      </c>
      <c r="T232" s="165" t="s">
        <v>16</v>
      </c>
      <c r="U232" s="165" t="s">
        <v>149</v>
      </c>
      <c r="V232" s="165" t="s">
        <v>16</v>
      </c>
      <c r="W232" s="165" t="s">
        <v>16</v>
      </c>
      <c r="X232" s="165" t="s">
        <v>16</v>
      </c>
      <c r="Y232" s="165" t="s">
        <v>16</v>
      </c>
      <c r="Z232" s="165" t="s">
        <v>16</v>
      </c>
      <c r="AA232" s="165" t="s">
        <v>16</v>
      </c>
      <c r="AB232" s="165" t="s">
        <v>16</v>
      </c>
      <c r="AC232" s="165" t="s">
        <v>16</v>
      </c>
      <c r="AD232" s="165" t="s">
        <v>16</v>
      </c>
      <c r="AE232" s="165" t="s">
        <v>566</v>
      </c>
      <c r="AF232" s="165"/>
    </row>
    <row r="233" spans="1:32" x14ac:dyDescent="0.3">
      <c r="A233" s="165" t="s">
        <v>588</v>
      </c>
      <c r="B233" s="165" t="s">
        <v>14</v>
      </c>
      <c r="C233" s="165" t="s">
        <v>564</v>
      </c>
      <c r="D233" s="165" t="s">
        <v>15</v>
      </c>
      <c r="E233" s="157">
        <v>40693</v>
      </c>
      <c r="F233" s="165" t="s">
        <v>16</v>
      </c>
      <c r="G233" s="165" t="s">
        <v>16</v>
      </c>
      <c r="H233" s="165" t="s">
        <v>148</v>
      </c>
      <c r="I233" s="165" t="s">
        <v>16</v>
      </c>
      <c r="J233" s="165" t="s">
        <v>16</v>
      </c>
      <c r="K233" s="165" t="s">
        <v>16</v>
      </c>
      <c r="L233" s="165" t="s">
        <v>16</v>
      </c>
      <c r="M233" s="165" t="s">
        <v>16</v>
      </c>
      <c r="N233" s="165" t="s">
        <v>16</v>
      </c>
      <c r="O233" s="165" t="s">
        <v>16</v>
      </c>
      <c r="P233" s="165" t="s">
        <v>16</v>
      </c>
      <c r="Q233" s="165" t="s">
        <v>16</v>
      </c>
      <c r="R233" s="165" t="s">
        <v>148</v>
      </c>
      <c r="S233" s="165" t="s">
        <v>148</v>
      </c>
      <c r="T233" s="165" t="s">
        <v>148</v>
      </c>
      <c r="U233" s="165" t="s">
        <v>149</v>
      </c>
      <c r="V233" s="165" t="s">
        <v>149</v>
      </c>
      <c r="W233" s="165" t="s">
        <v>16</v>
      </c>
      <c r="X233" s="165" t="s">
        <v>16</v>
      </c>
      <c r="Y233" s="165" t="s">
        <v>114</v>
      </c>
      <c r="Z233" s="165" t="s">
        <v>148</v>
      </c>
      <c r="AA233" s="165" t="s">
        <v>148</v>
      </c>
      <c r="AB233" s="165" t="s">
        <v>16</v>
      </c>
      <c r="AC233" s="165" t="s">
        <v>149</v>
      </c>
      <c r="AD233" s="165" t="s">
        <v>149</v>
      </c>
      <c r="AE233" s="165" t="s">
        <v>566</v>
      </c>
      <c r="AF233" s="165"/>
    </row>
    <row r="234" spans="1:32" x14ac:dyDescent="0.3">
      <c r="A234" s="165" t="s">
        <v>589</v>
      </c>
      <c r="B234" s="165" t="s">
        <v>14</v>
      </c>
      <c r="C234" s="165" t="s">
        <v>564</v>
      </c>
      <c r="D234" s="165" t="s">
        <v>15</v>
      </c>
      <c r="E234" s="157">
        <v>40693</v>
      </c>
      <c r="F234" s="165" t="s">
        <v>16</v>
      </c>
      <c r="G234" s="165" t="s">
        <v>16</v>
      </c>
      <c r="H234" s="165" t="s">
        <v>16</v>
      </c>
      <c r="I234" s="165" t="s">
        <v>148</v>
      </c>
      <c r="J234" s="165" t="s">
        <v>16</v>
      </c>
      <c r="K234" s="165" t="s">
        <v>149</v>
      </c>
      <c r="L234" s="165" t="s">
        <v>149</v>
      </c>
      <c r="M234" s="165" t="s">
        <v>16</v>
      </c>
      <c r="N234" s="165" t="s">
        <v>148</v>
      </c>
      <c r="O234" s="165" t="s">
        <v>16</v>
      </c>
      <c r="P234" s="165" t="s">
        <v>16</v>
      </c>
      <c r="Q234" s="165" t="s">
        <v>16</v>
      </c>
      <c r="R234" s="165" t="s">
        <v>16</v>
      </c>
      <c r="S234" s="165" t="s">
        <v>16</v>
      </c>
      <c r="T234" s="165" t="s">
        <v>149</v>
      </c>
      <c r="U234" s="165" t="s">
        <v>149</v>
      </c>
      <c r="V234" s="165" t="s">
        <v>16</v>
      </c>
      <c r="W234" s="165" t="s">
        <v>16</v>
      </c>
      <c r="X234" s="165" t="s">
        <v>16</v>
      </c>
      <c r="Y234" s="165" t="s">
        <v>16</v>
      </c>
      <c r="Z234" s="165" t="s">
        <v>16</v>
      </c>
      <c r="AA234" s="165" t="s">
        <v>16</v>
      </c>
      <c r="AB234" s="165" t="s">
        <v>16</v>
      </c>
      <c r="AC234" s="165" t="s">
        <v>148</v>
      </c>
      <c r="AD234" s="165" t="s">
        <v>16</v>
      </c>
      <c r="AE234" s="165" t="s">
        <v>566</v>
      </c>
      <c r="AF234" s="165" t="s">
        <v>590</v>
      </c>
    </row>
    <row r="235" spans="1:32" x14ac:dyDescent="0.3">
      <c r="A235" s="165" t="s">
        <v>591</v>
      </c>
      <c r="B235" s="165" t="s">
        <v>14</v>
      </c>
      <c r="C235" s="165" t="s">
        <v>564</v>
      </c>
      <c r="D235" s="165" t="s">
        <v>15</v>
      </c>
      <c r="E235" s="157">
        <v>40693</v>
      </c>
      <c r="F235" s="165" t="s">
        <v>149</v>
      </c>
      <c r="G235" s="165" t="s">
        <v>16</v>
      </c>
      <c r="H235" s="165" t="s">
        <v>16</v>
      </c>
      <c r="I235" s="165" t="s">
        <v>16</v>
      </c>
      <c r="J235" s="165" t="s">
        <v>16</v>
      </c>
      <c r="K235" s="165" t="s">
        <v>16</v>
      </c>
      <c r="L235" s="165" t="s">
        <v>16</v>
      </c>
      <c r="M235" s="165" t="s">
        <v>16</v>
      </c>
      <c r="N235" s="165" t="s">
        <v>148</v>
      </c>
      <c r="O235" s="165" t="s">
        <v>148</v>
      </c>
      <c r="P235" s="165" t="s">
        <v>16</v>
      </c>
      <c r="Q235" s="165" t="s">
        <v>16</v>
      </c>
      <c r="R235" s="165" t="s">
        <v>16</v>
      </c>
      <c r="S235" s="165" t="s">
        <v>16</v>
      </c>
      <c r="T235" s="165" t="s">
        <v>16</v>
      </c>
      <c r="U235" s="165" t="s">
        <v>148</v>
      </c>
      <c r="V235" s="165" t="s">
        <v>16</v>
      </c>
      <c r="W235" s="165" t="s">
        <v>16</v>
      </c>
      <c r="X235" s="165" t="s">
        <v>16</v>
      </c>
      <c r="Y235" s="165" t="s">
        <v>16</v>
      </c>
      <c r="Z235" s="165" t="s">
        <v>16</v>
      </c>
      <c r="AA235" s="165" t="s">
        <v>16</v>
      </c>
      <c r="AB235" s="165" t="s">
        <v>16</v>
      </c>
      <c r="AC235" s="165" t="s">
        <v>16</v>
      </c>
      <c r="AD235" s="165" t="s">
        <v>16</v>
      </c>
      <c r="AE235" s="165" t="s">
        <v>592</v>
      </c>
      <c r="AF235" s="165"/>
    </row>
    <row r="236" spans="1:32" x14ac:dyDescent="0.3">
      <c r="A236" s="165" t="s">
        <v>593</v>
      </c>
      <c r="B236" s="165" t="s">
        <v>14</v>
      </c>
      <c r="C236" s="165" t="s">
        <v>564</v>
      </c>
      <c r="D236" s="165" t="s">
        <v>15</v>
      </c>
      <c r="E236" s="157">
        <v>40693</v>
      </c>
      <c r="F236" s="165" t="s">
        <v>16</v>
      </c>
      <c r="G236" s="165" t="s">
        <v>16</v>
      </c>
      <c r="H236" s="165" t="s">
        <v>16</v>
      </c>
      <c r="I236" s="165" t="s">
        <v>16</v>
      </c>
      <c r="J236" s="165" t="s">
        <v>16</v>
      </c>
      <c r="K236" s="165" t="s">
        <v>16</v>
      </c>
      <c r="L236" s="165" t="s">
        <v>16</v>
      </c>
      <c r="M236" s="165" t="s">
        <v>16</v>
      </c>
      <c r="N236" s="165" t="s">
        <v>16</v>
      </c>
      <c r="O236" s="165" t="s">
        <v>16</v>
      </c>
      <c r="P236" s="165" t="s">
        <v>16</v>
      </c>
      <c r="Q236" s="165" t="s">
        <v>16</v>
      </c>
      <c r="R236" s="165" t="s">
        <v>16</v>
      </c>
      <c r="S236" s="165" t="s">
        <v>16</v>
      </c>
      <c r="T236" s="165" t="s">
        <v>16</v>
      </c>
      <c r="U236" s="165" t="s">
        <v>16</v>
      </c>
      <c r="V236" s="165" t="s">
        <v>16</v>
      </c>
      <c r="W236" s="165" t="s">
        <v>16</v>
      </c>
      <c r="X236" s="165" t="s">
        <v>16</v>
      </c>
      <c r="Y236" s="165" t="s">
        <v>16</v>
      </c>
      <c r="Z236" s="165" t="s">
        <v>16</v>
      </c>
      <c r="AA236" s="165" t="s">
        <v>16</v>
      </c>
      <c r="AB236" s="165" t="s">
        <v>16</v>
      </c>
      <c r="AC236" s="165" t="s">
        <v>16</v>
      </c>
      <c r="AD236" s="165" t="s">
        <v>16</v>
      </c>
      <c r="AE236" s="165" t="s">
        <v>594</v>
      </c>
      <c r="AF236" s="165"/>
    </row>
    <row r="237" spans="1:32" x14ac:dyDescent="0.3">
      <c r="A237" s="165" t="s">
        <v>595</v>
      </c>
      <c r="B237" s="165" t="s">
        <v>14</v>
      </c>
      <c r="C237" s="165" t="s">
        <v>564</v>
      </c>
      <c r="D237" s="165" t="s">
        <v>15</v>
      </c>
      <c r="E237" s="157">
        <v>40693</v>
      </c>
      <c r="F237" s="165" t="s">
        <v>16</v>
      </c>
      <c r="G237" s="165" t="s">
        <v>149</v>
      </c>
      <c r="H237" s="165" t="s">
        <v>16</v>
      </c>
      <c r="I237" s="165" t="s">
        <v>148</v>
      </c>
      <c r="J237" s="165" t="s">
        <v>148</v>
      </c>
      <c r="K237" s="165" t="s">
        <v>16</v>
      </c>
      <c r="L237" s="165" t="s">
        <v>16</v>
      </c>
      <c r="M237" s="165" t="s">
        <v>16</v>
      </c>
      <c r="N237" s="165" t="s">
        <v>148</v>
      </c>
      <c r="O237" s="165" t="s">
        <v>148</v>
      </c>
      <c r="P237" s="165" t="s">
        <v>148</v>
      </c>
      <c r="Q237" s="165" t="s">
        <v>16</v>
      </c>
      <c r="R237" s="165" t="s">
        <v>16</v>
      </c>
      <c r="S237" s="165" t="s">
        <v>16</v>
      </c>
      <c r="T237" s="165" t="s">
        <v>16</v>
      </c>
      <c r="U237" s="165" t="s">
        <v>148</v>
      </c>
      <c r="V237" s="165" t="s">
        <v>148</v>
      </c>
      <c r="W237" s="165" t="s">
        <v>148</v>
      </c>
      <c r="X237" s="165" t="s">
        <v>148</v>
      </c>
      <c r="Y237" s="165" t="s">
        <v>148</v>
      </c>
      <c r="Z237" s="165" t="s">
        <v>16</v>
      </c>
      <c r="AA237" s="165" t="s">
        <v>148</v>
      </c>
      <c r="AB237" s="165" t="s">
        <v>149</v>
      </c>
      <c r="AC237" s="165" t="s">
        <v>148</v>
      </c>
      <c r="AD237" s="165" t="s">
        <v>148</v>
      </c>
      <c r="AE237" s="165"/>
      <c r="AF237" s="165"/>
    </row>
    <row r="238" spans="1:32" x14ac:dyDescent="0.3">
      <c r="A238" s="165" t="s">
        <v>596</v>
      </c>
      <c r="B238" s="165" t="s">
        <v>14</v>
      </c>
      <c r="C238" s="165" t="s">
        <v>564</v>
      </c>
      <c r="D238" s="165" t="s">
        <v>15</v>
      </c>
      <c r="E238" s="157">
        <v>40693</v>
      </c>
      <c r="F238" s="165" t="s">
        <v>16</v>
      </c>
      <c r="G238" s="165" t="s">
        <v>16</v>
      </c>
      <c r="H238" s="165" t="s">
        <v>16</v>
      </c>
      <c r="I238" s="165" t="s">
        <v>16</v>
      </c>
      <c r="J238" s="165" t="s">
        <v>16</v>
      </c>
      <c r="K238" s="165" t="s">
        <v>16</v>
      </c>
      <c r="L238" s="165" t="s">
        <v>16</v>
      </c>
      <c r="M238" s="165" t="s">
        <v>16</v>
      </c>
      <c r="N238" s="165" t="s">
        <v>16</v>
      </c>
      <c r="O238" s="165" t="s">
        <v>149</v>
      </c>
      <c r="P238" s="165" t="s">
        <v>16</v>
      </c>
      <c r="Q238" s="165" t="s">
        <v>16</v>
      </c>
      <c r="R238" s="165" t="s">
        <v>16</v>
      </c>
      <c r="S238" s="165" t="s">
        <v>148</v>
      </c>
      <c r="T238" s="165" t="s">
        <v>16</v>
      </c>
      <c r="U238" s="165" t="s">
        <v>16</v>
      </c>
      <c r="V238" s="165" t="s">
        <v>16</v>
      </c>
      <c r="W238" s="165" t="s">
        <v>16</v>
      </c>
      <c r="X238" s="165" t="s">
        <v>16</v>
      </c>
      <c r="Y238" s="165" t="s">
        <v>16</v>
      </c>
      <c r="Z238" s="165" t="s">
        <v>16</v>
      </c>
      <c r="AA238" s="165" t="s">
        <v>16</v>
      </c>
      <c r="AB238" s="165" t="s">
        <v>16</v>
      </c>
      <c r="AC238" s="165" t="s">
        <v>148</v>
      </c>
      <c r="AD238" s="165" t="s">
        <v>16</v>
      </c>
      <c r="AE238" s="165" t="s">
        <v>570</v>
      </c>
      <c r="AF238" s="165"/>
    </row>
    <row r="239" spans="1:32" x14ac:dyDescent="0.3">
      <c r="A239" s="165" t="s">
        <v>597</v>
      </c>
      <c r="B239" s="165" t="s">
        <v>14</v>
      </c>
      <c r="C239" s="165" t="s">
        <v>564</v>
      </c>
      <c r="D239" s="165" t="s">
        <v>15</v>
      </c>
      <c r="E239" s="157">
        <v>40693</v>
      </c>
      <c r="F239" s="165" t="s">
        <v>16</v>
      </c>
      <c r="G239" s="165" t="s">
        <v>16</v>
      </c>
      <c r="H239" s="165" t="s">
        <v>16</v>
      </c>
      <c r="I239" s="165" t="s">
        <v>16</v>
      </c>
      <c r="J239" s="165" t="s">
        <v>148</v>
      </c>
      <c r="K239" s="165" t="s">
        <v>16</v>
      </c>
      <c r="L239" s="165" t="s">
        <v>16</v>
      </c>
      <c r="M239" s="165" t="s">
        <v>16</v>
      </c>
      <c r="N239" s="165" t="s">
        <v>16</v>
      </c>
      <c r="O239" s="165" t="s">
        <v>16</v>
      </c>
      <c r="P239" s="165" t="s">
        <v>16</v>
      </c>
      <c r="Q239" s="165" t="s">
        <v>16</v>
      </c>
      <c r="R239" s="165" t="s">
        <v>16</v>
      </c>
      <c r="S239" s="165" t="s">
        <v>16</v>
      </c>
      <c r="T239" s="165" t="s">
        <v>16</v>
      </c>
      <c r="U239" s="165" t="s">
        <v>16</v>
      </c>
      <c r="V239" s="165" t="s">
        <v>16</v>
      </c>
      <c r="W239" s="165" t="s">
        <v>16</v>
      </c>
      <c r="X239" s="165" t="s">
        <v>16</v>
      </c>
      <c r="Y239" s="165" t="s">
        <v>16</v>
      </c>
      <c r="Z239" s="165" t="s">
        <v>16</v>
      </c>
      <c r="AA239" s="165" t="s">
        <v>16</v>
      </c>
      <c r="AB239" s="165" t="s">
        <v>16</v>
      </c>
      <c r="AC239" s="165" t="s">
        <v>16</v>
      </c>
      <c r="AD239" s="165" t="s">
        <v>16</v>
      </c>
      <c r="AE239" s="165" t="s">
        <v>573</v>
      </c>
      <c r="AF239" s="165"/>
    </row>
    <row r="240" spans="1:32" x14ac:dyDescent="0.3">
      <c r="A240" s="165" t="s">
        <v>598</v>
      </c>
      <c r="B240" s="165" t="s">
        <v>14</v>
      </c>
      <c r="C240" s="165" t="s">
        <v>564</v>
      </c>
      <c r="D240" s="165" t="s">
        <v>15</v>
      </c>
      <c r="E240" s="157">
        <v>40693</v>
      </c>
      <c r="F240" s="165" t="s">
        <v>148</v>
      </c>
      <c r="G240" s="165" t="s">
        <v>16</v>
      </c>
      <c r="H240" s="165" t="s">
        <v>16</v>
      </c>
      <c r="I240" s="165" t="s">
        <v>16</v>
      </c>
      <c r="J240" s="165" t="s">
        <v>148</v>
      </c>
      <c r="K240" s="165" t="s">
        <v>16</v>
      </c>
      <c r="L240" s="165" t="s">
        <v>16</v>
      </c>
      <c r="M240" s="165" t="s">
        <v>148</v>
      </c>
      <c r="N240" s="165" t="s">
        <v>148</v>
      </c>
      <c r="O240" s="165" t="s">
        <v>16</v>
      </c>
      <c r="P240" s="165" t="s">
        <v>16</v>
      </c>
      <c r="Q240" s="165" t="s">
        <v>16</v>
      </c>
      <c r="R240" s="165" t="s">
        <v>16</v>
      </c>
      <c r="S240" s="165" t="s">
        <v>148</v>
      </c>
      <c r="T240" s="165" t="s">
        <v>148</v>
      </c>
      <c r="U240" s="165" t="s">
        <v>148</v>
      </c>
      <c r="V240" s="165" t="s">
        <v>148</v>
      </c>
      <c r="W240" s="165" t="s">
        <v>148</v>
      </c>
      <c r="X240" s="165" t="s">
        <v>148</v>
      </c>
      <c r="Y240" s="165" t="s">
        <v>16</v>
      </c>
      <c r="Z240" s="165" t="s">
        <v>16</v>
      </c>
      <c r="AA240" s="165" t="s">
        <v>148</v>
      </c>
      <c r="AB240" s="165" t="s">
        <v>16</v>
      </c>
      <c r="AC240" s="165" t="s">
        <v>148</v>
      </c>
      <c r="AD240" s="165" t="s">
        <v>16</v>
      </c>
      <c r="AE240" s="165"/>
      <c r="AF240" s="165"/>
    </row>
    <row r="241" spans="1:32" x14ac:dyDescent="0.3">
      <c r="A241" s="165" t="s">
        <v>599</v>
      </c>
      <c r="B241" s="165" t="s">
        <v>14</v>
      </c>
      <c r="C241" s="165" t="s">
        <v>564</v>
      </c>
      <c r="D241" s="165" t="s">
        <v>15</v>
      </c>
      <c r="E241" s="157">
        <v>40693</v>
      </c>
      <c r="F241" s="165" t="s">
        <v>16</v>
      </c>
      <c r="G241" s="165" t="s">
        <v>148</v>
      </c>
      <c r="H241" s="165" t="s">
        <v>148</v>
      </c>
      <c r="I241" s="165" t="s">
        <v>16</v>
      </c>
      <c r="J241" s="165" t="s">
        <v>148</v>
      </c>
      <c r="K241" s="165" t="s">
        <v>16</v>
      </c>
      <c r="L241" s="165" t="s">
        <v>16</v>
      </c>
      <c r="M241" s="165" t="s">
        <v>16</v>
      </c>
      <c r="N241" s="165" t="s">
        <v>148</v>
      </c>
      <c r="O241" s="165" t="s">
        <v>16</v>
      </c>
      <c r="P241" s="165" t="s">
        <v>16</v>
      </c>
      <c r="Q241" s="165" t="s">
        <v>16</v>
      </c>
      <c r="R241" s="165" t="s">
        <v>148</v>
      </c>
      <c r="S241" s="165" t="s">
        <v>16</v>
      </c>
      <c r="T241" s="165" t="s">
        <v>148</v>
      </c>
      <c r="U241" s="165" t="s">
        <v>16</v>
      </c>
      <c r="V241" s="165" t="s">
        <v>16</v>
      </c>
      <c r="W241" s="165" t="s">
        <v>16</v>
      </c>
      <c r="X241" s="165" t="s">
        <v>148</v>
      </c>
      <c r="Y241" s="165" t="s">
        <v>148</v>
      </c>
      <c r="Z241" s="165" t="s">
        <v>16</v>
      </c>
      <c r="AA241" s="165" t="s">
        <v>16</v>
      </c>
      <c r="AB241" s="165" t="s">
        <v>16</v>
      </c>
      <c r="AC241" s="165" t="s">
        <v>16</v>
      </c>
      <c r="AD241" s="165" t="s">
        <v>16</v>
      </c>
      <c r="AE241" s="165" t="s">
        <v>570</v>
      </c>
      <c r="AF241" s="165"/>
    </row>
    <row r="242" spans="1:32" x14ac:dyDescent="0.3">
      <c r="A242" s="165" t="s">
        <v>600</v>
      </c>
      <c r="B242" s="165" t="s">
        <v>14</v>
      </c>
      <c r="C242" s="165" t="s">
        <v>564</v>
      </c>
      <c r="D242" s="165" t="s">
        <v>15</v>
      </c>
      <c r="E242" s="157">
        <v>40693</v>
      </c>
      <c r="F242" s="165" t="s">
        <v>16</v>
      </c>
      <c r="G242" s="165" t="s">
        <v>16</v>
      </c>
      <c r="H242" s="165" t="s">
        <v>16</v>
      </c>
      <c r="I242" s="165" t="s">
        <v>16</v>
      </c>
      <c r="J242" s="165" t="s">
        <v>16</v>
      </c>
      <c r="K242" s="165" t="s">
        <v>16</v>
      </c>
      <c r="L242" s="165" t="s">
        <v>16</v>
      </c>
      <c r="M242" s="165" t="s">
        <v>16</v>
      </c>
      <c r="N242" s="165" t="s">
        <v>16</v>
      </c>
      <c r="O242" s="165" t="s">
        <v>16</v>
      </c>
      <c r="P242" s="165" t="s">
        <v>16</v>
      </c>
      <c r="Q242" s="165" t="s">
        <v>16</v>
      </c>
      <c r="R242" s="165" t="s">
        <v>16</v>
      </c>
      <c r="S242" s="165" t="s">
        <v>16</v>
      </c>
      <c r="T242" s="165" t="s">
        <v>16</v>
      </c>
      <c r="U242" s="165" t="s">
        <v>16</v>
      </c>
      <c r="V242" s="165" t="s">
        <v>16</v>
      </c>
      <c r="W242" s="165" t="s">
        <v>16</v>
      </c>
      <c r="X242" s="165" t="s">
        <v>16</v>
      </c>
      <c r="Y242" s="165" t="s">
        <v>16</v>
      </c>
      <c r="Z242" s="165" t="s">
        <v>16</v>
      </c>
      <c r="AA242" s="165" t="s">
        <v>16</v>
      </c>
      <c r="AB242" s="165" t="s">
        <v>16</v>
      </c>
      <c r="AC242" s="165" t="s">
        <v>16</v>
      </c>
      <c r="AD242" s="165" t="s">
        <v>16</v>
      </c>
      <c r="AE242" s="165" t="s">
        <v>573</v>
      </c>
      <c r="AF242" s="165"/>
    </row>
    <row r="243" spans="1:32" x14ac:dyDescent="0.3">
      <c r="A243" s="165" t="s">
        <v>601</v>
      </c>
      <c r="B243" s="165" t="s">
        <v>14</v>
      </c>
      <c r="C243" s="165" t="s">
        <v>564</v>
      </c>
      <c r="D243" s="165" t="s">
        <v>15</v>
      </c>
      <c r="E243" s="157">
        <v>40693</v>
      </c>
      <c r="F243" s="165" t="s">
        <v>16</v>
      </c>
      <c r="G243" s="165" t="s">
        <v>16</v>
      </c>
      <c r="H243" s="165" t="s">
        <v>16</v>
      </c>
      <c r="I243" s="165" t="s">
        <v>16</v>
      </c>
      <c r="J243" s="165" t="s">
        <v>16</v>
      </c>
      <c r="K243" s="165" t="s">
        <v>16</v>
      </c>
      <c r="L243" s="165" t="s">
        <v>16</v>
      </c>
      <c r="M243" s="165" t="s">
        <v>16</v>
      </c>
      <c r="N243" s="165" t="s">
        <v>16</v>
      </c>
      <c r="O243" s="165" t="s">
        <v>16</v>
      </c>
      <c r="P243" s="165" t="s">
        <v>16</v>
      </c>
      <c r="Q243" s="165" t="s">
        <v>16</v>
      </c>
      <c r="R243" s="165" t="s">
        <v>16</v>
      </c>
      <c r="S243" s="165" t="s">
        <v>16</v>
      </c>
      <c r="T243" s="165" t="s">
        <v>16</v>
      </c>
      <c r="U243" s="165" t="s">
        <v>16</v>
      </c>
      <c r="V243" s="165" t="s">
        <v>16</v>
      </c>
      <c r="W243" s="165" t="s">
        <v>16</v>
      </c>
      <c r="X243" s="165" t="s">
        <v>16</v>
      </c>
      <c r="Y243" s="165" t="s">
        <v>16</v>
      </c>
      <c r="Z243" s="165" t="s">
        <v>16</v>
      </c>
      <c r="AA243" s="165" t="s">
        <v>16</v>
      </c>
      <c r="AB243" s="165" t="s">
        <v>16</v>
      </c>
      <c r="AC243" s="165" t="s">
        <v>16</v>
      </c>
      <c r="AD243" s="165" t="s">
        <v>16</v>
      </c>
      <c r="AE243" s="165"/>
      <c r="AF243" s="165"/>
    </row>
    <row r="244" spans="1:32" x14ac:dyDescent="0.3">
      <c r="A244" s="165" t="s">
        <v>602</v>
      </c>
      <c r="B244" s="165" t="s">
        <v>14</v>
      </c>
      <c r="C244" s="165" t="s">
        <v>564</v>
      </c>
      <c r="D244" s="165" t="s">
        <v>15</v>
      </c>
      <c r="E244" s="157">
        <v>40693</v>
      </c>
      <c r="F244" s="165" t="s">
        <v>148</v>
      </c>
      <c r="G244" s="165" t="s">
        <v>149</v>
      </c>
      <c r="H244" s="165" t="s">
        <v>16</v>
      </c>
      <c r="I244" s="165" t="s">
        <v>16</v>
      </c>
      <c r="J244" s="165" t="s">
        <v>16</v>
      </c>
      <c r="K244" s="165" t="s">
        <v>149</v>
      </c>
      <c r="L244" s="165" t="s">
        <v>16</v>
      </c>
      <c r="M244" s="165" t="s">
        <v>148</v>
      </c>
      <c r="N244" s="165" t="s">
        <v>16</v>
      </c>
      <c r="O244" s="165" t="s">
        <v>148</v>
      </c>
      <c r="P244" s="165" t="s">
        <v>148</v>
      </c>
      <c r="Q244" s="165" t="s">
        <v>148</v>
      </c>
      <c r="R244" s="165" t="s">
        <v>16</v>
      </c>
      <c r="S244" s="165" t="s">
        <v>148</v>
      </c>
      <c r="T244" s="165" t="s">
        <v>16</v>
      </c>
      <c r="U244" s="165" t="s">
        <v>148</v>
      </c>
      <c r="V244" s="165" t="s">
        <v>16</v>
      </c>
      <c r="W244" s="165" t="s">
        <v>16</v>
      </c>
      <c r="X244" s="165" t="s">
        <v>148</v>
      </c>
      <c r="Y244" s="165" t="s">
        <v>16</v>
      </c>
      <c r="Z244" s="165" t="s">
        <v>16</v>
      </c>
      <c r="AA244" s="165" t="s">
        <v>16</v>
      </c>
      <c r="AB244" s="165" t="s">
        <v>16</v>
      </c>
      <c r="AC244" s="165" t="s">
        <v>16</v>
      </c>
      <c r="AD244" s="165" t="s">
        <v>148</v>
      </c>
      <c r="AE244" s="165" t="s">
        <v>573</v>
      </c>
      <c r="AF244" s="165"/>
    </row>
    <row r="245" spans="1:32" x14ac:dyDescent="0.3">
      <c r="A245" s="165" t="s">
        <v>603</v>
      </c>
      <c r="B245" s="165" t="s">
        <v>14</v>
      </c>
      <c r="C245" s="165" t="s">
        <v>564</v>
      </c>
      <c r="D245" s="165" t="s">
        <v>15</v>
      </c>
      <c r="E245" s="157">
        <v>40693</v>
      </c>
      <c r="F245" s="165" t="s">
        <v>148</v>
      </c>
      <c r="G245" s="165" t="s">
        <v>149</v>
      </c>
      <c r="H245" s="165" t="s">
        <v>148</v>
      </c>
      <c r="I245" s="165" t="s">
        <v>16</v>
      </c>
      <c r="J245" s="165" t="s">
        <v>16</v>
      </c>
      <c r="K245" s="165" t="s">
        <v>148</v>
      </c>
      <c r="L245" s="165" t="s">
        <v>16</v>
      </c>
      <c r="M245" s="165" t="s">
        <v>16</v>
      </c>
      <c r="N245" s="165" t="s">
        <v>148</v>
      </c>
      <c r="O245" s="165" t="s">
        <v>16</v>
      </c>
      <c r="P245" s="165" t="s">
        <v>148</v>
      </c>
      <c r="Q245" s="165" t="s">
        <v>16</v>
      </c>
      <c r="R245" s="165" t="s">
        <v>148</v>
      </c>
      <c r="S245" s="165" t="s">
        <v>148</v>
      </c>
      <c r="T245" s="165" t="s">
        <v>148</v>
      </c>
      <c r="U245" s="165" t="s">
        <v>148</v>
      </c>
      <c r="V245" s="165" t="s">
        <v>16</v>
      </c>
      <c r="W245" s="165" t="s">
        <v>16</v>
      </c>
      <c r="X245" s="165" t="s">
        <v>148</v>
      </c>
      <c r="Y245" s="165" t="s">
        <v>16</v>
      </c>
      <c r="Z245" s="165" t="s">
        <v>16</v>
      </c>
      <c r="AA245" s="165" t="s">
        <v>149</v>
      </c>
      <c r="AB245" s="165" t="s">
        <v>16</v>
      </c>
      <c r="AC245" s="165" t="s">
        <v>148</v>
      </c>
      <c r="AD245" s="165" t="s">
        <v>16</v>
      </c>
      <c r="AE245" s="165" t="s">
        <v>573</v>
      </c>
      <c r="AF245" s="165"/>
    </row>
    <row r="246" spans="1:32" x14ac:dyDescent="0.3">
      <c r="A246" s="165" t="s">
        <v>604</v>
      </c>
      <c r="B246" s="165" t="s">
        <v>14</v>
      </c>
      <c r="C246" s="165" t="s">
        <v>564</v>
      </c>
      <c r="D246" s="165" t="s">
        <v>15</v>
      </c>
      <c r="E246" s="157">
        <v>40693</v>
      </c>
      <c r="F246" s="165" t="s">
        <v>16</v>
      </c>
      <c r="G246" s="165" t="s">
        <v>16</v>
      </c>
      <c r="H246" s="165" t="s">
        <v>16</v>
      </c>
      <c r="I246" s="165" t="s">
        <v>16</v>
      </c>
      <c r="J246" s="165" t="s">
        <v>16</v>
      </c>
      <c r="K246" s="165" t="s">
        <v>16</v>
      </c>
      <c r="L246" s="165" t="s">
        <v>16</v>
      </c>
      <c r="M246" s="165" t="s">
        <v>16</v>
      </c>
      <c r="N246" s="165" t="s">
        <v>16</v>
      </c>
      <c r="O246" s="165" t="s">
        <v>16</v>
      </c>
      <c r="P246" s="165" t="s">
        <v>16</v>
      </c>
      <c r="Q246" s="165" t="s">
        <v>16</v>
      </c>
      <c r="R246" s="165" t="s">
        <v>16</v>
      </c>
      <c r="S246" s="165" t="s">
        <v>16</v>
      </c>
      <c r="T246" s="165" t="s">
        <v>16</v>
      </c>
      <c r="U246" s="165" t="s">
        <v>16</v>
      </c>
      <c r="V246" s="165" t="s">
        <v>16</v>
      </c>
      <c r="W246" s="165" t="s">
        <v>16</v>
      </c>
      <c r="X246" s="165" t="s">
        <v>16</v>
      </c>
      <c r="Y246" s="165" t="s">
        <v>16</v>
      </c>
      <c r="Z246" s="165" t="s">
        <v>16</v>
      </c>
      <c r="AA246" s="165" t="s">
        <v>16</v>
      </c>
      <c r="AB246" s="165" t="s">
        <v>16</v>
      </c>
      <c r="AC246" s="165" t="s">
        <v>16</v>
      </c>
      <c r="AD246" s="165" t="s">
        <v>16</v>
      </c>
      <c r="AE246" s="165" t="s">
        <v>573</v>
      </c>
      <c r="AF246" s="165"/>
    </row>
    <row r="247" spans="1:32" x14ac:dyDescent="0.3">
      <c r="A247" s="165" t="s">
        <v>605</v>
      </c>
      <c r="B247" s="165" t="s">
        <v>14</v>
      </c>
      <c r="C247" s="165" t="s">
        <v>564</v>
      </c>
      <c r="D247" s="165" t="s">
        <v>15</v>
      </c>
      <c r="E247" s="157">
        <v>40693</v>
      </c>
      <c r="F247" s="165" t="s">
        <v>16</v>
      </c>
      <c r="G247" s="165" t="s">
        <v>16</v>
      </c>
      <c r="H247" s="165" t="s">
        <v>16</v>
      </c>
      <c r="I247" s="165" t="s">
        <v>16</v>
      </c>
      <c r="J247" s="165" t="s">
        <v>16</v>
      </c>
      <c r="K247" s="165" t="s">
        <v>16</v>
      </c>
      <c r="L247" s="165" t="s">
        <v>16</v>
      </c>
      <c r="M247" s="165" t="s">
        <v>16</v>
      </c>
      <c r="N247" s="165" t="s">
        <v>16</v>
      </c>
      <c r="O247" s="165" t="s">
        <v>16</v>
      </c>
      <c r="P247" s="165" t="s">
        <v>16</v>
      </c>
      <c r="Q247" s="165" t="s">
        <v>16</v>
      </c>
      <c r="R247" s="165" t="s">
        <v>16</v>
      </c>
      <c r="S247" s="165" t="s">
        <v>16</v>
      </c>
      <c r="T247" s="165" t="s">
        <v>16</v>
      </c>
      <c r="U247" s="165" t="s">
        <v>16</v>
      </c>
      <c r="V247" s="165" t="s">
        <v>16</v>
      </c>
      <c r="W247" s="165" t="s">
        <v>16</v>
      </c>
      <c r="X247" s="165" t="s">
        <v>16</v>
      </c>
      <c r="Y247" s="165" t="s">
        <v>16</v>
      </c>
      <c r="Z247" s="165" t="s">
        <v>16</v>
      </c>
      <c r="AA247" s="165" t="s">
        <v>16</v>
      </c>
      <c r="AB247" s="165" t="s">
        <v>16</v>
      </c>
      <c r="AC247" s="165" t="s">
        <v>148</v>
      </c>
      <c r="AD247" s="165" t="s">
        <v>16</v>
      </c>
      <c r="AE247" s="165"/>
      <c r="AF247" s="165"/>
    </row>
    <row r="248" spans="1:32" x14ac:dyDescent="0.3">
      <c r="A248" s="165" t="s">
        <v>606</v>
      </c>
      <c r="B248" s="165" t="s">
        <v>14</v>
      </c>
      <c r="C248" s="165" t="s">
        <v>564</v>
      </c>
      <c r="D248" s="165" t="s">
        <v>15</v>
      </c>
      <c r="E248" s="157">
        <v>40693</v>
      </c>
      <c r="F248" s="165" t="s">
        <v>16</v>
      </c>
      <c r="G248" s="165" t="s">
        <v>148</v>
      </c>
      <c r="H248" s="165" t="s">
        <v>16</v>
      </c>
      <c r="I248" s="165" t="s">
        <v>16</v>
      </c>
      <c r="J248" s="165" t="s">
        <v>148</v>
      </c>
      <c r="K248" s="165" t="s">
        <v>16</v>
      </c>
      <c r="L248" s="165" t="s">
        <v>16</v>
      </c>
      <c r="M248" s="165" t="s">
        <v>16</v>
      </c>
      <c r="N248" s="165" t="s">
        <v>16</v>
      </c>
      <c r="O248" s="165" t="s">
        <v>148</v>
      </c>
      <c r="P248" s="165" t="s">
        <v>16</v>
      </c>
      <c r="Q248" s="165" t="s">
        <v>16</v>
      </c>
      <c r="R248" s="165" t="s">
        <v>148</v>
      </c>
      <c r="S248" s="165" t="s">
        <v>114</v>
      </c>
      <c r="T248" s="165" t="s">
        <v>16</v>
      </c>
      <c r="U248" s="165" t="s">
        <v>148</v>
      </c>
      <c r="V248" s="165" t="s">
        <v>148</v>
      </c>
      <c r="W248" s="165" t="s">
        <v>150</v>
      </c>
      <c r="X248" s="165" t="s">
        <v>150</v>
      </c>
      <c r="Y248" s="165" t="s">
        <v>114</v>
      </c>
      <c r="Z248" s="165" t="s">
        <v>16</v>
      </c>
      <c r="AA248" s="165" t="s">
        <v>16</v>
      </c>
      <c r="AB248" s="165" t="s">
        <v>16</v>
      </c>
      <c r="AC248" s="165" t="s">
        <v>16</v>
      </c>
      <c r="AD248" s="165" t="s">
        <v>16</v>
      </c>
      <c r="AE248" s="165" t="s">
        <v>573</v>
      </c>
      <c r="AF248" s="165"/>
    </row>
    <row r="249" spans="1:32" x14ac:dyDescent="0.3">
      <c r="A249" s="165" t="s">
        <v>607</v>
      </c>
      <c r="B249" s="165" t="s">
        <v>14</v>
      </c>
      <c r="C249" s="165" t="s">
        <v>564</v>
      </c>
      <c r="D249" s="165" t="s">
        <v>15</v>
      </c>
      <c r="E249" s="157">
        <v>40693</v>
      </c>
      <c r="F249" s="165" t="s">
        <v>16</v>
      </c>
      <c r="G249" s="165" t="s">
        <v>16</v>
      </c>
      <c r="H249" s="165" t="s">
        <v>16</v>
      </c>
      <c r="I249" s="165" t="s">
        <v>16</v>
      </c>
      <c r="J249" s="165" t="s">
        <v>148</v>
      </c>
      <c r="K249" s="165" t="s">
        <v>16</v>
      </c>
      <c r="L249" s="165" t="s">
        <v>16</v>
      </c>
      <c r="M249" s="165" t="s">
        <v>16</v>
      </c>
      <c r="N249" s="165" t="s">
        <v>16</v>
      </c>
      <c r="O249" s="165" t="s">
        <v>148</v>
      </c>
      <c r="P249" s="165" t="s">
        <v>16</v>
      </c>
      <c r="Q249" s="165" t="s">
        <v>16</v>
      </c>
      <c r="R249" s="165" t="s">
        <v>148</v>
      </c>
      <c r="S249" s="165" t="s">
        <v>16</v>
      </c>
      <c r="T249" s="165" t="s">
        <v>16</v>
      </c>
      <c r="U249" s="165" t="s">
        <v>148</v>
      </c>
      <c r="V249" s="165" t="s">
        <v>16</v>
      </c>
      <c r="W249" s="165" t="s">
        <v>16</v>
      </c>
      <c r="X249" s="165" t="s">
        <v>16</v>
      </c>
      <c r="Y249" s="165" t="s">
        <v>16</v>
      </c>
      <c r="Z249" s="165" t="s">
        <v>16</v>
      </c>
      <c r="AA249" s="165" t="s">
        <v>16</v>
      </c>
      <c r="AB249" s="165" t="s">
        <v>16</v>
      </c>
      <c r="AC249" s="165" t="s">
        <v>148</v>
      </c>
      <c r="AD249" s="165" t="s">
        <v>148</v>
      </c>
      <c r="AE249" s="165" t="s">
        <v>566</v>
      </c>
      <c r="AF249" s="165" t="s">
        <v>608</v>
      </c>
    </row>
    <row r="250" spans="1:32" x14ac:dyDescent="0.3">
      <c r="A250" s="165" t="s">
        <v>609</v>
      </c>
      <c r="B250" s="165" t="s">
        <v>14</v>
      </c>
      <c r="C250" s="165" t="s">
        <v>564</v>
      </c>
      <c r="D250" s="165" t="s">
        <v>15</v>
      </c>
      <c r="E250" s="157">
        <v>40693</v>
      </c>
      <c r="F250" s="165" t="s">
        <v>149</v>
      </c>
      <c r="G250" s="165" t="s">
        <v>16</v>
      </c>
      <c r="H250" s="165" t="s">
        <v>16</v>
      </c>
      <c r="I250" s="165" t="s">
        <v>16</v>
      </c>
      <c r="J250" s="165" t="s">
        <v>16</v>
      </c>
      <c r="K250" s="165" t="s">
        <v>16</v>
      </c>
      <c r="L250" s="165" t="s">
        <v>16</v>
      </c>
      <c r="M250" s="165" t="s">
        <v>16</v>
      </c>
      <c r="N250" s="165" t="s">
        <v>149</v>
      </c>
      <c r="O250" s="165" t="s">
        <v>16</v>
      </c>
      <c r="P250" s="165" t="s">
        <v>16</v>
      </c>
      <c r="Q250" s="165" t="s">
        <v>16</v>
      </c>
      <c r="R250" s="165" t="s">
        <v>16</v>
      </c>
      <c r="S250" s="165" t="s">
        <v>149</v>
      </c>
      <c r="T250" s="165" t="s">
        <v>16</v>
      </c>
      <c r="U250" s="165" t="s">
        <v>16</v>
      </c>
      <c r="V250" s="165" t="s">
        <v>16</v>
      </c>
      <c r="W250" s="165" t="s">
        <v>148</v>
      </c>
      <c r="X250" s="165" t="s">
        <v>16</v>
      </c>
      <c r="Y250" s="165" t="s">
        <v>16</v>
      </c>
      <c r="Z250" s="165" t="s">
        <v>16</v>
      </c>
      <c r="AA250" s="165" t="s">
        <v>16</v>
      </c>
      <c r="AB250" s="165" t="s">
        <v>16</v>
      </c>
      <c r="AC250" s="165" t="s">
        <v>148</v>
      </c>
      <c r="AD250" s="165" t="s">
        <v>148</v>
      </c>
      <c r="AE250" s="165" t="s">
        <v>566</v>
      </c>
      <c r="AF250" s="165"/>
    </row>
    <row r="251" spans="1:32" x14ac:dyDescent="0.3">
      <c r="A251" s="165" t="s">
        <v>610</v>
      </c>
      <c r="B251" s="165" t="s">
        <v>14</v>
      </c>
      <c r="C251" s="165" t="s">
        <v>564</v>
      </c>
      <c r="D251" s="165" t="s">
        <v>15</v>
      </c>
      <c r="E251" s="157">
        <v>40693</v>
      </c>
      <c r="F251" s="165" t="s">
        <v>16</v>
      </c>
      <c r="G251" s="165" t="s">
        <v>16</v>
      </c>
      <c r="H251" s="165" t="s">
        <v>16</v>
      </c>
      <c r="I251" s="165" t="s">
        <v>16</v>
      </c>
      <c r="J251" s="165" t="s">
        <v>16</v>
      </c>
      <c r="K251" s="165" t="s">
        <v>16</v>
      </c>
      <c r="L251" s="165" t="s">
        <v>16</v>
      </c>
      <c r="M251" s="165" t="s">
        <v>148</v>
      </c>
      <c r="N251" s="165" t="s">
        <v>16</v>
      </c>
      <c r="O251" s="165" t="s">
        <v>16</v>
      </c>
      <c r="P251" s="165" t="s">
        <v>16</v>
      </c>
      <c r="Q251" s="165" t="s">
        <v>16</v>
      </c>
      <c r="R251" s="165" t="s">
        <v>16</v>
      </c>
      <c r="S251" s="165" t="s">
        <v>148</v>
      </c>
      <c r="T251" s="165" t="s">
        <v>16</v>
      </c>
      <c r="U251" s="165" t="s">
        <v>16</v>
      </c>
      <c r="V251" s="165" t="s">
        <v>16</v>
      </c>
      <c r="W251" s="165" t="s">
        <v>16</v>
      </c>
      <c r="X251" s="165" t="s">
        <v>16</v>
      </c>
      <c r="Y251" s="165" t="s">
        <v>16</v>
      </c>
      <c r="Z251" s="165" t="s">
        <v>16</v>
      </c>
      <c r="AA251" s="165" t="s">
        <v>16</v>
      </c>
      <c r="AB251" s="165" t="s">
        <v>16</v>
      </c>
      <c r="AC251" s="165" t="s">
        <v>148</v>
      </c>
      <c r="AD251" s="165" t="s">
        <v>148</v>
      </c>
      <c r="AE251" s="165" t="s">
        <v>570</v>
      </c>
      <c r="AF251" s="165"/>
    </row>
    <row r="252" spans="1:32" x14ac:dyDescent="0.3">
      <c r="A252" s="165" t="s">
        <v>611</v>
      </c>
      <c r="B252" s="165" t="s">
        <v>14</v>
      </c>
      <c r="C252" s="165" t="s">
        <v>564</v>
      </c>
      <c r="D252" s="165" t="s">
        <v>15</v>
      </c>
      <c r="E252" s="157">
        <v>40693</v>
      </c>
      <c r="F252" s="165" t="s">
        <v>16</v>
      </c>
      <c r="G252" s="165" t="s">
        <v>16</v>
      </c>
      <c r="H252" s="165" t="s">
        <v>16</v>
      </c>
      <c r="I252" s="165" t="s">
        <v>148</v>
      </c>
      <c r="J252" s="165" t="s">
        <v>148</v>
      </c>
      <c r="K252" s="165" t="s">
        <v>16</v>
      </c>
      <c r="L252" s="165" t="s">
        <v>16</v>
      </c>
      <c r="M252" s="165" t="s">
        <v>16</v>
      </c>
      <c r="N252" s="165" t="s">
        <v>16</v>
      </c>
      <c r="O252" s="165" t="s">
        <v>16</v>
      </c>
      <c r="P252" s="165" t="s">
        <v>148</v>
      </c>
      <c r="Q252" s="165" t="s">
        <v>16</v>
      </c>
      <c r="R252" s="165" t="s">
        <v>16</v>
      </c>
      <c r="S252" s="165" t="s">
        <v>148</v>
      </c>
      <c r="T252" s="165" t="s">
        <v>16</v>
      </c>
      <c r="U252" s="165" t="s">
        <v>16</v>
      </c>
      <c r="V252" s="165" t="s">
        <v>16</v>
      </c>
      <c r="W252" s="165" t="s">
        <v>16</v>
      </c>
      <c r="X252" s="165" t="s">
        <v>148</v>
      </c>
      <c r="Y252" s="165" t="s">
        <v>16</v>
      </c>
      <c r="Z252" s="165" t="s">
        <v>16</v>
      </c>
      <c r="AA252" s="165" t="s">
        <v>16</v>
      </c>
      <c r="AB252" s="165" t="s">
        <v>16</v>
      </c>
      <c r="AC252" s="165" t="s">
        <v>150</v>
      </c>
      <c r="AD252" s="165" t="s">
        <v>148</v>
      </c>
      <c r="AE252" s="165" t="s">
        <v>573</v>
      </c>
      <c r="AF252" s="165"/>
    </row>
    <row r="253" spans="1:32" x14ac:dyDescent="0.3">
      <c r="A253" s="165" t="s">
        <v>612</v>
      </c>
      <c r="B253" s="165" t="s">
        <v>14</v>
      </c>
      <c r="C253" s="165" t="s">
        <v>564</v>
      </c>
      <c r="D253" s="165" t="s">
        <v>15</v>
      </c>
      <c r="E253" s="157">
        <v>40693</v>
      </c>
      <c r="F253" s="165" t="s">
        <v>16</v>
      </c>
      <c r="G253" s="165" t="s">
        <v>16</v>
      </c>
      <c r="H253" s="165" t="s">
        <v>16</v>
      </c>
      <c r="I253" s="165" t="s">
        <v>16</v>
      </c>
      <c r="J253" s="165" t="s">
        <v>16</v>
      </c>
      <c r="K253" s="165" t="s">
        <v>16</v>
      </c>
      <c r="L253" s="165" t="s">
        <v>16</v>
      </c>
      <c r="M253" s="165" t="s">
        <v>16</v>
      </c>
      <c r="N253" s="165" t="s">
        <v>16</v>
      </c>
      <c r="O253" s="165" t="s">
        <v>16</v>
      </c>
      <c r="P253" s="165" t="s">
        <v>16</v>
      </c>
      <c r="Q253" s="165" t="s">
        <v>16</v>
      </c>
      <c r="R253" s="165" t="s">
        <v>16</v>
      </c>
      <c r="S253" s="165" t="s">
        <v>16</v>
      </c>
      <c r="T253" s="165" t="s">
        <v>16</v>
      </c>
      <c r="U253" s="165" t="s">
        <v>16</v>
      </c>
      <c r="V253" s="165" t="s">
        <v>16</v>
      </c>
      <c r="W253" s="165" t="s">
        <v>16</v>
      </c>
      <c r="X253" s="165" t="s">
        <v>16</v>
      </c>
      <c r="Y253" s="165" t="s">
        <v>16</v>
      </c>
      <c r="Z253" s="165" t="s">
        <v>16</v>
      </c>
      <c r="AA253" s="165" t="s">
        <v>16</v>
      </c>
      <c r="AB253" s="165" t="s">
        <v>16</v>
      </c>
      <c r="AC253" s="165" t="s">
        <v>149</v>
      </c>
      <c r="AD253" s="165" t="s">
        <v>16</v>
      </c>
      <c r="AE253" s="165"/>
      <c r="AF253" s="165"/>
    </row>
    <row r="254" spans="1:32" x14ac:dyDescent="0.3">
      <c r="A254" s="165" t="s">
        <v>613</v>
      </c>
      <c r="B254" s="165" t="s">
        <v>14</v>
      </c>
      <c r="C254" s="165" t="s">
        <v>564</v>
      </c>
      <c r="D254" s="165" t="s">
        <v>15</v>
      </c>
      <c r="E254" s="157">
        <v>40693</v>
      </c>
      <c r="F254" s="165" t="s">
        <v>16</v>
      </c>
      <c r="G254" s="165" t="s">
        <v>16</v>
      </c>
      <c r="H254" s="165" t="s">
        <v>16</v>
      </c>
      <c r="I254" s="165" t="s">
        <v>148</v>
      </c>
      <c r="J254" s="165" t="s">
        <v>148</v>
      </c>
      <c r="K254" s="165" t="s">
        <v>16</v>
      </c>
      <c r="L254" s="165" t="s">
        <v>16</v>
      </c>
      <c r="M254" s="165" t="s">
        <v>16</v>
      </c>
      <c r="N254" s="165" t="s">
        <v>16</v>
      </c>
      <c r="O254" s="165" t="s">
        <v>16</v>
      </c>
      <c r="P254" s="165" t="s">
        <v>148</v>
      </c>
      <c r="Q254" s="165" t="s">
        <v>148</v>
      </c>
      <c r="R254" s="165" t="s">
        <v>149</v>
      </c>
      <c r="S254" s="165" t="s">
        <v>16</v>
      </c>
      <c r="T254" s="165" t="s">
        <v>16</v>
      </c>
      <c r="U254" s="165" t="s">
        <v>148</v>
      </c>
      <c r="V254" s="165" t="s">
        <v>148</v>
      </c>
      <c r="W254" s="165" t="s">
        <v>148</v>
      </c>
      <c r="X254" s="165" t="s">
        <v>148</v>
      </c>
      <c r="Y254" s="165" t="s">
        <v>148</v>
      </c>
      <c r="Z254" s="165" t="s">
        <v>16</v>
      </c>
      <c r="AA254" s="165" t="s">
        <v>16</v>
      </c>
      <c r="AB254" s="165" t="s">
        <v>149</v>
      </c>
      <c r="AC254" s="165" t="s">
        <v>148</v>
      </c>
      <c r="AD254" s="165" t="s">
        <v>148</v>
      </c>
      <c r="AE254" s="165" t="s">
        <v>614</v>
      </c>
      <c r="AF254" s="165"/>
    </row>
    <row r="255" spans="1:32" x14ac:dyDescent="0.3">
      <c r="A255" s="165" t="s">
        <v>615</v>
      </c>
      <c r="B255" s="165" t="s">
        <v>14</v>
      </c>
      <c r="C255" s="165" t="s">
        <v>564</v>
      </c>
      <c r="D255" s="165" t="s">
        <v>15</v>
      </c>
      <c r="E255" s="157">
        <v>40693</v>
      </c>
      <c r="F255" s="165" t="s">
        <v>16</v>
      </c>
      <c r="G255" s="165" t="s">
        <v>16</v>
      </c>
      <c r="H255" s="165" t="s">
        <v>16</v>
      </c>
      <c r="I255" s="165" t="s">
        <v>16</v>
      </c>
      <c r="J255" s="165" t="s">
        <v>16</v>
      </c>
      <c r="K255" s="165" t="s">
        <v>16</v>
      </c>
      <c r="L255" s="165" t="s">
        <v>16</v>
      </c>
      <c r="M255" s="165" t="s">
        <v>16</v>
      </c>
      <c r="N255" s="165" t="s">
        <v>16</v>
      </c>
      <c r="O255" s="165" t="s">
        <v>16</v>
      </c>
      <c r="P255" s="165" t="s">
        <v>16</v>
      </c>
      <c r="Q255" s="165" t="s">
        <v>16</v>
      </c>
      <c r="R255" s="165" t="s">
        <v>16</v>
      </c>
      <c r="S255" s="165" t="s">
        <v>16</v>
      </c>
      <c r="T255" s="165" t="s">
        <v>16</v>
      </c>
      <c r="U255" s="165" t="s">
        <v>16</v>
      </c>
      <c r="V255" s="165" t="s">
        <v>16</v>
      </c>
      <c r="W255" s="165" t="s">
        <v>16</v>
      </c>
      <c r="X255" s="165" t="s">
        <v>16</v>
      </c>
      <c r="Y255" s="165" t="s">
        <v>16</v>
      </c>
      <c r="Z255" s="165" t="s">
        <v>16</v>
      </c>
      <c r="AA255" s="165" t="s">
        <v>16</v>
      </c>
      <c r="AB255" s="165" t="s">
        <v>16</v>
      </c>
      <c r="AC255" s="165" t="s">
        <v>148</v>
      </c>
      <c r="AD255" s="165" t="s">
        <v>16</v>
      </c>
      <c r="AE255" s="165" t="s">
        <v>566</v>
      </c>
      <c r="AF255" s="165" t="s">
        <v>616</v>
      </c>
    </row>
    <row r="256" spans="1:32" x14ac:dyDescent="0.3">
      <c r="A256" s="165" t="s">
        <v>617</v>
      </c>
      <c r="B256" s="165" t="s">
        <v>14</v>
      </c>
      <c r="C256" s="165" t="s">
        <v>564</v>
      </c>
      <c r="D256" s="165" t="s">
        <v>15</v>
      </c>
      <c r="E256" s="157">
        <v>40693</v>
      </c>
      <c r="F256" s="165" t="s">
        <v>16</v>
      </c>
      <c r="G256" s="165" t="s">
        <v>16</v>
      </c>
      <c r="H256" s="165" t="s">
        <v>16</v>
      </c>
      <c r="I256" s="165" t="s">
        <v>16</v>
      </c>
      <c r="J256" s="165" t="s">
        <v>16</v>
      </c>
      <c r="K256" s="165" t="s">
        <v>16</v>
      </c>
      <c r="L256" s="165" t="s">
        <v>16</v>
      </c>
      <c r="M256" s="165" t="s">
        <v>16</v>
      </c>
      <c r="N256" s="165" t="s">
        <v>16</v>
      </c>
      <c r="O256" s="165" t="s">
        <v>16</v>
      </c>
      <c r="P256" s="165" t="s">
        <v>16</v>
      </c>
      <c r="Q256" s="165" t="s">
        <v>16</v>
      </c>
      <c r="R256" s="165" t="s">
        <v>16</v>
      </c>
      <c r="S256" s="165" t="s">
        <v>16</v>
      </c>
      <c r="T256" s="165" t="s">
        <v>16</v>
      </c>
      <c r="U256" s="165" t="s">
        <v>16</v>
      </c>
      <c r="V256" s="165" t="s">
        <v>16</v>
      </c>
      <c r="W256" s="165" t="s">
        <v>16</v>
      </c>
      <c r="X256" s="165" t="s">
        <v>16</v>
      </c>
      <c r="Y256" s="165" t="s">
        <v>16</v>
      </c>
      <c r="Z256" s="165" t="s">
        <v>16</v>
      </c>
      <c r="AA256" s="165" t="s">
        <v>16</v>
      </c>
      <c r="AB256" s="165" t="s">
        <v>16</v>
      </c>
      <c r="AC256" s="165" t="s">
        <v>16</v>
      </c>
      <c r="AD256" s="165" t="s">
        <v>16</v>
      </c>
      <c r="AE256" s="165" t="s">
        <v>573</v>
      </c>
      <c r="AF256" s="165"/>
    </row>
    <row r="259" spans="1:32" x14ac:dyDescent="0.3">
      <c r="A259" s="165"/>
      <c r="B259" s="165"/>
      <c r="C259" s="165"/>
      <c r="D259" s="165"/>
      <c r="E259" s="165"/>
      <c r="F259" s="165" t="s">
        <v>124</v>
      </c>
      <c r="G259" s="165" t="s">
        <v>125</v>
      </c>
      <c r="H259" s="165" t="s">
        <v>126</v>
      </c>
      <c r="I259" s="165" t="s">
        <v>127</v>
      </c>
      <c r="J259" s="165" t="s">
        <v>214</v>
      </c>
      <c r="K259" s="165" t="s">
        <v>128</v>
      </c>
      <c r="L259" s="165" t="s">
        <v>129</v>
      </c>
      <c r="M259" s="165" t="s">
        <v>130</v>
      </c>
      <c r="N259" s="165" t="s">
        <v>131</v>
      </c>
      <c r="O259" s="165" t="s">
        <v>132</v>
      </c>
      <c r="P259" s="165" t="s">
        <v>133</v>
      </c>
      <c r="Q259" s="165" t="s">
        <v>134</v>
      </c>
      <c r="R259" s="165" t="s">
        <v>135</v>
      </c>
      <c r="S259" s="165" t="s">
        <v>136</v>
      </c>
      <c r="T259" s="165" t="s">
        <v>137</v>
      </c>
      <c r="U259" s="165" t="s">
        <v>138</v>
      </c>
      <c r="V259" s="165" t="s">
        <v>139</v>
      </c>
      <c r="W259" s="165" t="s">
        <v>140</v>
      </c>
      <c r="X259" s="165" t="s">
        <v>186</v>
      </c>
      <c r="Y259" s="165" t="s">
        <v>209</v>
      </c>
      <c r="Z259" s="165" t="s">
        <v>141</v>
      </c>
      <c r="AA259" s="165" t="s">
        <v>142</v>
      </c>
      <c r="AB259" s="165" t="s">
        <v>210</v>
      </c>
      <c r="AC259" s="165" t="s">
        <v>143</v>
      </c>
      <c r="AD259" s="165" t="s">
        <v>144</v>
      </c>
      <c r="AE259" s="165" t="s">
        <v>618</v>
      </c>
      <c r="AF259" s="165" t="s">
        <v>190</v>
      </c>
    </row>
    <row r="260" spans="1:32" x14ac:dyDescent="0.3">
      <c r="A260" s="165" t="s">
        <v>662</v>
      </c>
      <c r="B260" s="165" t="s">
        <v>14</v>
      </c>
      <c r="C260" s="165" t="s">
        <v>620</v>
      </c>
      <c r="D260" s="165" t="s">
        <v>15</v>
      </c>
      <c r="E260" s="157">
        <v>40723</v>
      </c>
      <c r="F260" s="165" t="s">
        <v>149</v>
      </c>
      <c r="G260" s="165" t="s">
        <v>149</v>
      </c>
      <c r="H260" s="165" t="s">
        <v>16</v>
      </c>
      <c r="I260" s="165" t="s">
        <v>16</v>
      </c>
      <c r="J260" s="165" t="s">
        <v>149</v>
      </c>
      <c r="K260" s="165" t="s">
        <v>149</v>
      </c>
      <c r="L260" s="165" t="s">
        <v>149</v>
      </c>
      <c r="M260" s="165" t="s">
        <v>16</v>
      </c>
      <c r="N260" s="165" t="s">
        <v>16</v>
      </c>
      <c r="O260" s="165" t="s">
        <v>149</v>
      </c>
      <c r="P260" s="165" t="s">
        <v>149</v>
      </c>
      <c r="Q260" s="165" t="s">
        <v>149</v>
      </c>
      <c r="R260" s="165" t="s">
        <v>16</v>
      </c>
      <c r="S260" s="165" t="s">
        <v>16</v>
      </c>
      <c r="T260" s="165" t="s">
        <v>16</v>
      </c>
      <c r="U260" s="165" t="s">
        <v>149</v>
      </c>
      <c r="V260" s="165" t="s">
        <v>149</v>
      </c>
      <c r="W260" s="165" t="s">
        <v>149</v>
      </c>
      <c r="X260" s="165" t="s">
        <v>149</v>
      </c>
      <c r="Y260" s="165" t="s">
        <v>149</v>
      </c>
      <c r="Z260" s="165" t="s">
        <v>16</v>
      </c>
      <c r="AA260" s="165" t="s">
        <v>16</v>
      </c>
      <c r="AB260" s="165" t="s">
        <v>16</v>
      </c>
      <c r="AC260" s="165" t="s">
        <v>16</v>
      </c>
      <c r="AD260" s="165" t="s">
        <v>16</v>
      </c>
      <c r="AE260" s="165" t="s">
        <v>624</v>
      </c>
      <c r="AF260" s="165"/>
    </row>
    <row r="261" spans="1:32" x14ac:dyDescent="0.3">
      <c r="A261" s="165" t="s">
        <v>663</v>
      </c>
      <c r="B261" s="165" t="s">
        <v>14</v>
      </c>
      <c r="C261" s="165" t="s">
        <v>620</v>
      </c>
      <c r="D261" s="165" t="s">
        <v>15</v>
      </c>
      <c r="E261" s="157">
        <v>40723</v>
      </c>
      <c r="F261" s="165" t="s">
        <v>148</v>
      </c>
      <c r="G261" s="165" t="s">
        <v>114</v>
      </c>
      <c r="H261" s="165" t="s">
        <v>148</v>
      </c>
      <c r="I261" s="165" t="s">
        <v>148</v>
      </c>
      <c r="J261" s="165" t="s">
        <v>148</v>
      </c>
      <c r="K261" s="165" t="s">
        <v>148</v>
      </c>
      <c r="L261" s="165" t="s">
        <v>148</v>
      </c>
      <c r="M261" s="165" t="s">
        <v>148</v>
      </c>
      <c r="N261" s="165" t="s">
        <v>148</v>
      </c>
      <c r="O261" s="165" t="s">
        <v>114</v>
      </c>
      <c r="P261" s="165" t="s">
        <v>148</v>
      </c>
      <c r="Q261" s="165" t="s">
        <v>16</v>
      </c>
      <c r="R261" s="165" t="s">
        <v>16</v>
      </c>
      <c r="S261" s="165" t="s">
        <v>16</v>
      </c>
      <c r="T261" s="165" t="s">
        <v>148</v>
      </c>
      <c r="U261" s="165" t="s">
        <v>148</v>
      </c>
      <c r="V261" s="165" t="s">
        <v>148</v>
      </c>
      <c r="W261" s="165" t="s">
        <v>148</v>
      </c>
      <c r="X261" s="165" t="s">
        <v>148</v>
      </c>
      <c r="Y261" s="165" t="s">
        <v>148</v>
      </c>
      <c r="Z261" s="165" t="s">
        <v>16</v>
      </c>
      <c r="AA261" s="165" t="s">
        <v>16</v>
      </c>
      <c r="AB261" s="165" t="s">
        <v>149</v>
      </c>
      <c r="AC261" s="165" t="s">
        <v>148</v>
      </c>
      <c r="AD261" s="165" t="s">
        <v>148</v>
      </c>
      <c r="AE261" s="165"/>
      <c r="AF261" s="165"/>
    </row>
    <row r="262" spans="1:32" x14ac:dyDescent="0.3">
      <c r="A262" s="165" t="s">
        <v>664</v>
      </c>
      <c r="B262" s="165" t="s">
        <v>14</v>
      </c>
      <c r="C262" s="165" t="s">
        <v>620</v>
      </c>
      <c r="D262" s="165" t="s">
        <v>15</v>
      </c>
      <c r="E262" s="157">
        <v>40723</v>
      </c>
      <c r="F262" s="165" t="s">
        <v>16</v>
      </c>
      <c r="G262" s="165" t="s">
        <v>16</v>
      </c>
      <c r="H262" s="165" t="s">
        <v>149</v>
      </c>
      <c r="I262" s="165" t="s">
        <v>16</v>
      </c>
      <c r="J262" s="165" t="s">
        <v>148</v>
      </c>
      <c r="K262" s="165" t="s">
        <v>16</v>
      </c>
      <c r="L262" s="165" t="s">
        <v>16</v>
      </c>
      <c r="M262" s="165" t="s">
        <v>16</v>
      </c>
      <c r="N262" s="165" t="s">
        <v>16</v>
      </c>
      <c r="O262" s="165" t="s">
        <v>148</v>
      </c>
      <c r="P262" s="165" t="s">
        <v>16</v>
      </c>
      <c r="Q262" s="165" t="s">
        <v>16</v>
      </c>
      <c r="R262" s="165" t="s">
        <v>16</v>
      </c>
      <c r="S262" s="165" t="s">
        <v>16</v>
      </c>
      <c r="T262" s="165" t="s">
        <v>16</v>
      </c>
      <c r="U262" s="165" t="s">
        <v>16</v>
      </c>
      <c r="V262" s="165" t="s">
        <v>16</v>
      </c>
      <c r="W262" s="165" t="s">
        <v>16</v>
      </c>
      <c r="X262" s="165" t="s">
        <v>16</v>
      </c>
      <c r="Y262" s="165" t="s">
        <v>16</v>
      </c>
      <c r="Z262" s="165" t="s">
        <v>16</v>
      </c>
      <c r="AA262" s="165" t="s">
        <v>16</v>
      </c>
      <c r="AB262" s="165" t="s">
        <v>16</v>
      </c>
      <c r="AC262" s="165" t="s">
        <v>16</v>
      </c>
      <c r="AD262" s="165" t="s">
        <v>16</v>
      </c>
      <c r="AE262" s="165" t="s">
        <v>621</v>
      </c>
      <c r="AF262" s="165"/>
    </row>
    <row r="263" spans="1:32" x14ac:dyDescent="0.3">
      <c r="A263" s="165" t="s">
        <v>665</v>
      </c>
      <c r="B263" s="165" t="s">
        <v>14</v>
      </c>
      <c r="C263" s="165" t="s">
        <v>620</v>
      </c>
      <c r="D263" s="165" t="s">
        <v>15</v>
      </c>
      <c r="E263" s="157">
        <v>40723</v>
      </c>
      <c r="F263" s="165" t="s">
        <v>16</v>
      </c>
      <c r="G263" s="165" t="s">
        <v>150</v>
      </c>
      <c r="H263" s="165" t="s">
        <v>16</v>
      </c>
      <c r="I263" s="165" t="s">
        <v>148</v>
      </c>
      <c r="J263" s="165" t="s">
        <v>150</v>
      </c>
      <c r="K263" s="165" t="s">
        <v>150</v>
      </c>
      <c r="L263" s="165" t="s">
        <v>150</v>
      </c>
      <c r="M263" s="165" t="s">
        <v>16</v>
      </c>
      <c r="N263" s="165" t="s">
        <v>148</v>
      </c>
      <c r="O263" s="165" t="s">
        <v>16</v>
      </c>
      <c r="P263" s="165" t="s">
        <v>16</v>
      </c>
      <c r="Q263" s="165" t="s">
        <v>16</v>
      </c>
      <c r="R263" s="165" t="s">
        <v>16</v>
      </c>
      <c r="S263" s="165" t="s">
        <v>16</v>
      </c>
      <c r="T263" s="165" t="s">
        <v>150</v>
      </c>
      <c r="U263" s="165" t="s">
        <v>148</v>
      </c>
      <c r="V263" s="165" t="s">
        <v>16</v>
      </c>
      <c r="W263" s="165" t="s">
        <v>16</v>
      </c>
      <c r="X263" s="165" t="s">
        <v>148</v>
      </c>
      <c r="Y263" s="165" t="s">
        <v>148</v>
      </c>
      <c r="Z263" s="165" t="s">
        <v>149</v>
      </c>
      <c r="AA263" s="165" t="s">
        <v>149</v>
      </c>
      <c r="AB263" s="165" t="s">
        <v>149</v>
      </c>
      <c r="AC263" s="165" t="s">
        <v>149</v>
      </c>
      <c r="AD263" s="165" t="s">
        <v>149</v>
      </c>
      <c r="AE263" s="165" t="s">
        <v>647</v>
      </c>
      <c r="AF263" s="165"/>
    </row>
    <row r="264" spans="1:32" x14ac:dyDescent="0.3">
      <c r="A264" s="165" t="s">
        <v>666</v>
      </c>
      <c r="B264" s="165" t="s">
        <v>14</v>
      </c>
      <c r="C264" s="165" t="s">
        <v>620</v>
      </c>
      <c r="D264" s="165" t="s">
        <v>15</v>
      </c>
      <c r="E264" s="157">
        <v>40723</v>
      </c>
      <c r="F264" s="165" t="s">
        <v>16</v>
      </c>
      <c r="G264" s="165" t="s">
        <v>16</v>
      </c>
      <c r="H264" s="165" t="s">
        <v>148</v>
      </c>
      <c r="I264" s="165" t="s">
        <v>148</v>
      </c>
      <c r="J264" s="165" t="s">
        <v>16</v>
      </c>
      <c r="K264" s="165" t="s">
        <v>16</v>
      </c>
      <c r="L264" s="165" t="s">
        <v>149</v>
      </c>
      <c r="M264" s="165" t="s">
        <v>16</v>
      </c>
      <c r="N264" s="165" t="s">
        <v>148</v>
      </c>
      <c r="O264" s="165" t="s">
        <v>16</v>
      </c>
      <c r="P264" s="165" t="s">
        <v>148</v>
      </c>
      <c r="Q264" s="165" t="s">
        <v>16</v>
      </c>
      <c r="R264" s="165" t="s">
        <v>16</v>
      </c>
      <c r="S264" s="165" t="s">
        <v>149</v>
      </c>
      <c r="T264" s="165" t="s">
        <v>16</v>
      </c>
      <c r="U264" s="165" t="s">
        <v>16</v>
      </c>
      <c r="V264" s="165" t="s">
        <v>16</v>
      </c>
      <c r="W264" s="165" t="s">
        <v>16</v>
      </c>
      <c r="X264" s="165" t="s">
        <v>16</v>
      </c>
      <c r="Y264" s="165" t="s">
        <v>114</v>
      </c>
      <c r="Z264" s="165" t="s">
        <v>149</v>
      </c>
      <c r="AA264" s="165" t="s">
        <v>16</v>
      </c>
      <c r="AB264" s="165" t="s">
        <v>16</v>
      </c>
      <c r="AC264" s="165" t="s">
        <v>148</v>
      </c>
      <c r="AD264" s="165" t="s">
        <v>16</v>
      </c>
      <c r="AE264" s="165" t="s">
        <v>628</v>
      </c>
      <c r="AF264" s="165"/>
    </row>
    <row r="265" spans="1:32" x14ac:dyDescent="0.3">
      <c r="A265" s="165" t="s">
        <v>667</v>
      </c>
      <c r="B265" s="165" t="s">
        <v>14</v>
      </c>
      <c r="C265" s="165" t="s">
        <v>620</v>
      </c>
      <c r="D265" s="165" t="s">
        <v>15</v>
      </c>
      <c r="E265" s="157">
        <v>40723</v>
      </c>
      <c r="F265" s="165" t="s">
        <v>148</v>
      </c>
      <c r="G265" s="165" t="s">
        <v>148</v>
      </c>
      <c r="H265" s="165" t="s">
        <v>149</v>
      </c>
      <c r="I265" s="165" t="s">
        <v>16</v>
      </c>
      <c r="J265" s="165" t="s">
        <v>148</v>
      </c>
      <c r="K265" s="165" t="s">
        <v>16</v>
      </c>
      <c r="L265" s="165" t="s">
        <v>16</v>
      </c>
      <c r="M265" s="165" t="s">
        <v>16</v>
      </c>
      <c r="N265" s="165" t="s">
        <v>16</v>
      </c>
      <c r="O265" s="165" t="s">
        <v>16</v>
      </c>
      <c r="P265" s="165" t="s">
        <v>16</v>
      </c>
      <c r="Q265" s="165" t="s">
        <v>148</v>
      </c>
      <c r="R265" s="165" t="s">
        <v>16</v>
      </c>
      <c r="S265" s="165" t="s">
        <v>16</v>
      </c>
      <c r="T265" s="165" t="s">
        <v>16</v>
      </c>
      <c r="U265" s="165" t="s">
        <v>16</v>
      </c>
      <c r="V265" s="165" t="s">
        <v>16</v>
      </c>
      <c r="W265" s="165" t="s">
        <v>16</v>
      </c>
      <c r="X265" s="165" t="s">
        <v>16</v>
      </c>
      <c r="Y265" s="165" t="s">
        <v>16</v>
      </c>
      <c r="Z265" s="165" t="s">
        <v>149</v>
      </c>
      <c r="AA265" s="165" t="s">
        <v>148</v>
      </c>
      <c r="AB265" s="165" t="s">
        <v>16</v>
      </c>
      <c r="AC265" s="165" t="s">
        <v>16</v>
      </c>
      <c r="AD265" s="165" t="s">
        <v>16</v>
      </c>
      <c r="AE265" s="165" t="s">
        <v>628</v>
      </c>
      <c r="AF265" s="165" t="s">
        <v>668</v>
      </c>
    </row>
    <row r="266" spans="1:32" x14ac:dyDescent="0.3">
      <c r="A266" s="165" t="s">
        <v>669</v>
      </c>
      <c r="B266" s="165" t="s">
        <v>14</v>
      </c>
      <c r="C266" s="165" t="s">
        <v>620</v>
      </c>
      <c r="D266" s="165" t="s">
        <v>15</v>
      </c>
      <c r="E266" s="157">
        <v>40723</v>
      </c>
      <c r="F266" s="165" t="s">
        <v>16</v>
      </c>
      <c r="G266" s="165" t="s">
        <v>16</v>
      </c>
      <c r="H266" s="165" t="s">
        <v>16</v>
      </c>
      <c r="I266" s="165" t="s">
        <v>16</v>
      </c>
      <c r="J266" s="165" t="s">
        <v>16</v>
      </c>
      <c r="K266" s="165" t="s">
        <v>16</v>
      </c>
      <c r="L266" s="165" t="s">
        <v>16</v>
      </c>
      <c r="M266" s="165" t="s">
        <v>16</v>
      </c>
      <c r="N266" s="165" t="s">
        <v>16</v>
      </c>
      <c r="O266" s="165" t="s">
        <v>16</v>
      </c>
      <c r="P266" s="165" t="s">
        <v>16</v>
      </c>
      <c r="Q266" s="165" t="s">
        <v>16</v>
      </c>
      <c r="R266" s="165" t="s">
        <v>16</v>
      </c>
      <c r="S266" s="165" t="s">
        <v>16</v>
      </c>
      <c r="T266" s="165" t="s">
        <v>16</v>
      </c>
      <c r="U266" s="165" t="s">
        <v>16</v>
      </c>
      <c r="V266" s="165" t="s">
        <v>16</v>
      </c>
      <c r="W266" s="165" t="s">
        <v>16</v>
      </c>
      <c r="X266" s="165" t="s">
        <v>16</v>
      </c>
      <c r="Y266" s="165" t="s">
        <v>16</v>
      </c>
      <c r="Z266" s="165" t="s">
        <v>16</v>
      </c>
      <c r="AA266" s="165" t="s">
        <v>16</v>
      </c>
      <c r="AB266" s="165" t="s">
        <v>16</v>
      </c>
      <c r="AC266" s="165" t="s">
        <v>16</v>
      </c>
      <c r="AD266" s="165" t="s">
        <v>16</v>
      </c>
      <c r="AE266" s="165" t="s">
        <v>628</v>
      </c>
      <c r="AF266" s="165"/>
    </row>
    <row r="267" spans="1:32" x14ac:dyDescent="0.3">
      <c r="A267" s="165" t="s">
        <v>670</v>
      </c>
      <c r="B267" s="165" t="s">
        <v>14</v>
      </c>
      <c r="C267" s="165" t="s">
        <v>620</v>
      </c>
      <c r="D267" s="165" t="s">
        <v>15</v>
      </c>
      <c r="E267" s="157">
        <v>40723</v>
      </c>
      <c r="F267" s="165" t="s">
        <v>148</v>
      </c>
      <c r="G267" s="165" t="s">
        <v>16</v>
      </c>
      <c r="H267" s="165" t="s">
        <v>149</v>
      </c>
      <c r="I267" s="165" t="s">
        <v>16</v>
      </c>
      <c r="J267" s="165" t="s">
        <v>148</v>
      </c>
      <c r="K267" s="165" t="s">
        <v>16</v>
      </c>
      <c r="L267" s="165" t="s">
        <v>149</v>
      </c>
      <c r="M267" s="165" t="s">
        <v>148</v>
      </c>
      <c r="N267" s="165" t="s">
        <v>16</v>
      </c>
      <c r="O267" s="165" t="s">
        <v>16</v>
      </c>
      <c r="P267" s="165" t="s">
        <v>148</v>
      </c>
      <c r="Q267" s="165" t="s">
        <v>16</v>
      </c>
      <c r="R267" s="165" t="s">
        <v>149</v>
      </c>
      <c r="S267" s="165" t="s">
        <v>16</v>
      </c>
      <c r="T267" s="165" t="s">
        <v>148</v>
      </c>
      <c r="U267" s="165" t="s">
        <v>148</v>
      </c>
      <c r="V267" s="165" t="s">
        <v>149</v>
      </c>
      <c r="W267" s="165" t="s">
        <v>16</v>
      </c>
      <c r="X267" s="165" t="s">
        <v>16</v>
      </c>
      <c r="Y267" s="165" t="s">
        <v>16</v>
      </c>
      <c r="Z267" s="165" t="s">
        <v>16</v>
      </c>
      <c r="AA267" s="165" t="s">
        <v>16</v>
      </c>
      <c r="AB267" s="165" t="s">
        <v>148</v>
      </c>
      <c r="AC267" s="165" t="s">
        <v>148</v>
      </c>
      <c r="AD267" s="165" t="s">
        <v>149</v>
      </c>
      <c r="AE267" s="165" t="s">
        <v>624</v>
      </c>
      <c r="AF267" s="165"/>
    </row>
    <row r="268" spans="1:32" x14ac:dyDescent="0.3">
      <c r="A268" s="165" t="s">
        <v>619</v>
      </c>
      <c r="B268" s="165" t="s">
        <v>14</v>
      </c>
      <c r="C268" s="165" t="s">
        <v>620</v>
      </c>
      <c r="D268" s="165" t="s">
        <v>15</v>
      </c>
      <c r="E268" s="157">
        <v>40723</v>
      </c>
      <c r="F268" s="165" t="s">
        <v>149</v>
      </c>
      <c r="G268" s="165" t="s">
        <v>16</v>
      </c>
      <c r="H268" s="165" t="s">
        <v>151</v>
      </c>
      <c r="I268" s="165" t="s">
        <v>16</v>
      </c>
      <c r="J268" s="165" t="s">
        <v>148</v>
      </c>
      <c r="K268" s="165" t="s">
        <v>16</v>
      </c>
      <c r="L268" s="165" t="s">
        <v>16</v>
      </c>
      <c r="M268" s="165" t="s">
        <v>149</v>
      </c>
      <c r="N268" s="165" t="s">
        <v>148</v>
      </c>
      <c r="O268" s="165" t="s">
        <v>149</v>
      </c>
      <c r="P268" s="165" t="s">
        <v>150</v>
      </c>
      <c r="Q268" s="165" t="s">
        <v>149</v>
      </c>
      <c r="R268" s="165" t="s">
        <v>16</v>
      </c>
      <c r="S268" s="165" t="s">
        <v>149</v>
      </c>
      <c r="T268" s="165" t="s">
        <v>148</v>
      </c>
      <c r="U268" s="165" t="s">
        <v>16</v>
      </c>
      <c r="V268" s="165" t="s">
        <v>148</v>
      </c>
      <c r="W268" s="165" t="s">
        <v>150</v>
      </c>
      <c r="X268" s="165" t="s">
        <v>16</v>
      </c>
      <c r="Y268" s="165" t="s">
        <v>148</v>
      </c>
      <c r="Z268" s="165" t="s">
        <v>16</v>
      </c>
      <c r="AA268" s="165" t="s">
        <v>148</v>
      </c>
      <c r="AB268" s="165" t="s">
        <v>149</v>
      </c>
      <c r="AC268" s="165" t="s">
        <v>148</v>
      </c>
      <c r="AD268" s="165" t="s">
        <v>148</v>
      </c>
      <c r="AE268" s="165" t="s">
        <v>621</v>
      </c>
      <c r="AF268" s="165"/>
    </row>
    <row r="269" spans="1:32" x14ac:dyDescent="0.3">
      <c r="A269" s="165" t="s">
        <v>622</v>
      </c>
      <c r="B269" s="165" t="s">
        <v>14</v>
      </c>
      <c r="C269" s="165" t="s">
        <v>620</v>
      </c>
      <c r="D269" s="165" t="s">
        <v>15</v>
      </c>
      <c r="E269" s="157">
        <v>40723</v>
      </c>
      <c r="F269" s="165" t="s">
        <v>16</v>
      </c>
      <c r="G269" s="165" t="s">
        <v>148</v>
      </c>
      <c r="H269" s="165" t="s">
        <v>16</v>
      </c>
      <c r="I269" s="165" t="s">
        <v>148</v>
      </c>
      <c r="J269" s="165" t="s">
        <v>148</v>
      </c>
      <c r="K269" s="165" t="s">
        <v>16</v>
      </c>
      <c r="L269" s="165" t="s">
        <v>16</v>
      </c>
      <c r="M269" s="165" t="s">
        <v>16</v>
      </c>
      <c r="N269" s="165" t="s">
        <v>16</v>
      </c>
      <c r="O269" s="165" t="s">
        <v>148</v>
      </c>
      <c r="P269" s="165" t="s">
        <v>148</v>
      </c>
      <c r="Q269" s="165" t="s">
        <v>16</v>
      </c>
      <c r="R269" s="165" t="s">
        <v>16</v>
      </c>
      <c r="S269" s="165" t="s">
        <v>16</v>
      </c>
      <c r="T269" s="165" t="s">
        <v>148</v>
      </c>
      <c r="U269" s="165" t="s">
        <v>16</v>
      </c>
      <c r="V269" s="165" t="s">
        <v>148</v>
      </c>
      <c r="W269" s="165" t="s">
        <v>16</v>
      </c>
      <c r="X269" s="165" t="s">
        <v>148</v>
      </c>
      <c r="Y269" s="165" t="s">
        <v>16</v>
      </c>
      <c r="Z269" s="165" t="s">
        <v>16</v>
      </c>
      <c r="AA269" s="165" t="s">
        <v>148</v>
      </c>
      <c r="AB269" s="165" t="s">
        <v>148</v>
      </c>
      <c r="AC269" s="165" t="s">
        <v>16</v>
      </c>
      <c r="AD269" s="165" t="s">
        <v>148</v>
      </c>
      <c r="AE269" s="165" t="s">
        <v>621</v>
      </c>
      <c r="AF269" s="165"/>
    </row>
    <row r="270" spans="1:32" x14ac:dyDescent="0.3">
      <c r="A270" s="165" t="s">
        <v>623</v>
      </c>
      <c r="B270" s="165" t="s">
        <v>14</v>
      </c>
      <c r="C270" s="165" t="s">
        <v>620</v>
      </c>
      <c r="D270" s="165" t="s">
        <v>15</v>
      </c>
      <c r="E270" s="157">
        <v>40723</v>
      </c>
      <c r="F270" s="165" t="s">
        <v>16</v>
      </c>
      <c r="G270" s="165" t="s">
        <v>148</v>
      </c>
      <c r="H270" s="165" t="s">
        <v>16</v>
      </c>
      <c r="I270" s="165" t="s">
        <v>16</v>
      </c>
      <c r="J270" s="165" t="s">
        <v>16</v>
      </c>
      <c r="K270" s="165" t="s">
        <v>16</v>
      </c>
      <c r="L270" s="165" t="s">
        <v>16</v>
      </c>
      <c r="M270" s="165" t="s">
        <v>16</v>
      </c>
      <c r="N270" s="165" t="s">
        <v>16</v>
      </c>
      <c r="O270" s="165" t="s">
        <v>16</v>
      </c>
      <c r="P270" s="165" t="s">
        <v>16</v>
      </c>
      <c r="Q270" s="165" t="s">
        <v>16</v>
      </c>
      <c r="R270" s="165" t="s">
        <v>16</v>
      </c>
      <c r="S270" s="165" t="s">
        <v>16</v>
      </c>
      <c r="T270" s="165" t="s">
        <v>16</v>
      </c>
      <c r="U270" s="165" t="s">
        <v>16</v>
      </c>
      <c r="V270" s="165" t="s">
        <v>16</v>
      </c>
      <c r="W270" s="165" t="s">
        <v>16</v>
      </c>
      <c r="X270" s="165" t="s">
        <v>16</v>
      </c>
      <c r="Y270" s="165" t="s">
        <v>16</v>
      </c>
      <c r="Z270" s="165" t="s">
        <v>16</v>
      </c>
      <c r="AA270" s="165" t="s">
        <v>16</v>
      </c>
      <c r="AB270" s="165" t="s">
        <v>16</v>
      </c>
      <c r="AC270" s="165" t="s">
        <v>16</v>
      </c>
      <c r="AD270" s="165" t="s">
        <v>16</v>
      </c>
      <c r="AE270" s="165" t="s">
        <v>624</v>
      </c>
      <c r="AF270" s="165"/>
    </row>
    <row r="271" spans="1:32" x14ac:dyDescent="0.3">
      <c r="A271" s="165" t="s">
        <v>625</v>
      </c>
      <c r="B271" s="165" t="s">
        <v>14</v>
      </c>
      <c r="C271" s="165" t="s">
        <v>620</v>
      </c>
      <c r="D271" s="165" t="s">
        <v>15</v>
      </c>
      <c r="E271" s="157">
        <v>40723</v>
      </c>
      <c r="F271" s="165" t="s">
        <v>16</v>
      </c>
      <c r="G271" s="165" t="s">
        <v>148</v>
      </c>
      <c r="H271" s="165" t="s">
        <v>148</v>
      </c>
      <c r="I271" s="165" t="s">
        <v>16</v>
      </c>
      <c r="J271" s="165" t="s">
        <v>16</v>
      </c>
      <c r="K271" s="165" t="s">
        <v>16</v>
      </c>
      <c r="L271" s="165" t="s">
        <v>148</v>
      </c>
      <c r="M271" s="165" t="s">
        <v>16</v>
      </c>
      <c r="N271" s="165" t="s">
        <v>148</v>
      </c>
      <c r="O271" s="165" t="s">
        <v>16</v>
      </c>
      <c r="P271" s="165" t="s">
        <v>16</v>
      </c>
      <c r="Q271" s="165" t="s">
        <v>16</v>
      </c>
      <c r="R271" s="165" t="s">
        <v>148</v>
      </c>
      <c r="S271" s="165" t="s">
        <v>148</v>
      </c>
      <c r="T271" s="165" t="s">
        <v>148</v>
      </c>
      <c r="U271" s="165" t="s">
        <v>16</v>
      </c>
      <c r="V271" s="165" t="s">
        <v>16</v>
      </c>
      <c r="W271" s="165" t="s">
        <v>16</v>
      </c>
      <c r="X271" s="165" t="s">
        <v>148</v>
      </c>
      <c r="Y271" s="165" t="s">
        <v>16</v>
      </c>
      <c r="Z271" s="165" t="s">
        <v>16</v>
      </c>
      <c r="AA271" s="165" t="s">
        <v>16</v>
      </c>
      <c r="AB271" s="165" t="s">
        <v>16</v>
      </c>
      <c r="AC271" s="165" t="s">
        <v>16</v>
      </c>
      <c r="AD271" s="165" t="s">
        <v>16</v>
      </c>
      <c r="AE271" s="165" t="s">
        <v>621</v>
      </c>
      <c r="AF271" s="165"/>
    </row>
    <row r="272" spans="1:32" x14ac:dyDescent="0.3">
      <c r="A272" s="165" t="s">
        <v>626</v>
      </c>
      <c r="B272" s="165" t="s">
        <v>14</v>
      </c>
      <c r="C272" s="165" t="s">
        <v>620</v>
      </c>
      <c r="D272" s="165" t="s">
        <v>15</v>
      </c>
      <c r="E272" s="157">
        <v>40723</v>
      </c>
      <c r="F272" s="165" t="s">
        <v>16</v>
      </c>
      <c r="G272" s="165" t="s">
        <v>16</v>
      </c>
      <c r="H272" s="165" t="s">
        <v>148</v>
      </c>
      <c r="I272" s="165" t="s">
        <v>16</v>
      </c>
      <c r="J272" s="165" t="s">
        <v>16</v>
      </c>
      <c r="K272" s="165" t="s">
        <v>16</v>
      </c>
      <c r="L272" s="165" t="s">
        <v>16</v>
      </c>
      <c r="M272" s="165" t="s">
        <v>16</v>
      </c>
      <c r="N272" s="165" t="s">
        <v>16</v>
      </c>
      <c r="O272" s="165" t="s">
        <v>16</v>
      </c>
      <c r="P272" s="165" t="s">
        <v>16</v>
      </c>
      <c r="Q272" s="165" t="s">
        <v>16</v>
      </c>
      <c r="R272" s="165" t="s">
        <v>16</v>
      </c>
      <c r="S272" s="165" t="s">
        <v>16</v>
      </c>
      <c r="T272" s="165" t="s">
        <v>16</v>
      </c>
      <c r="U272" s="165" t="s">
        <v>16</v>
      </c>
      <c r="V272" s="165" t="s">
        <v>148</v>
      </c>
      <c r="W272" s="165" t="s">
        <v>16</v>
      </c>
      <c r="X272" s="165" t="s">
        <v>16</v>
      </c>
      <c r="Y272" s="165" t="s">
        <v>114</v>
      </c>
      <c r="Z272" s="165" t="s">
        <v>148</v>
      </c>
      <c r="AA272" s="165" t="s">
        <v>16</v>
      </c>
      <c r="AB272" s="165" t="s">
        <v>16</v>
      </c>
      <c r="AC272" s="165" t="s">
        <v>16</v>
      </c>
      <c r="AD272" s="165" t="s">
        <v>16</v>
      </c>
      <c r="AE272" s="165"/>
      <c r="AF272" s="165"/>
    </row>
    <row r="273" spans="1:32" x14ac:dyDescent="0.3">
      <c r="A273" s="165" t="s">
        <v>627</v>
      </c>
      <c r="B273" s="165" t="s">
        <v>14</v>
      </c>
      <c r="C273" s="165" t="s">
        <v>620</v>
      </c>
      <c r="D273" s="165" t="s">
        <v>15</v>
      </c>
      <c r="E273" s="157">
        <v>40723</v>
      </c>
      <c r="F273" s="165" t="s">
        <v>149</v>
      </c>
      <c r="G273" s="165" t="s">
        <v>151</v>
      </c>
      <c r="H273" s="165" t="s">
        <v>151</v>
      </c>
      <c r="I273" s="165" t="s">
        <v>149</v>
      </c>
      <c r="J273" s="165" t="s">
        <v>16</v>
      </c>
      <c r="K273" s="165" t="s">
        <v>149</v>
      </c>
      <c r="L273" s="165" t="s">
        <v>149</v>
      </c>
      <c r="M273" s="165" t="s">
        <v>149</v>
      </c>
      <c r="N273" s="165" t="s">
        <v>16</v>
      </c>
      <c r="O273" s="165" t="s">
        <v>151</v>
      </c>
      <c r="P273" s="165" t="s">
        <v>16</v>
      </c>
      <c r="Q273" s="165" t="s">
        <v>16</v>
      </c>
      <c r="R273" s="165" t="s">
        <v>16</v>
      </c>
      <c r="S273" s="165" t="s">
        <v>148</v>
      </c>
      <c r="T273" s="165" t="s">
        <v>149</v>
      </c>
      <c r="U273" s="165" t="s">
        <v>149</v>
      </c>
      <c r="V273" s="165" t="s">
        <v>16</v>
      </c>
      <c r="W273" s="165" t="s">
        <v>148</v>
      </c>
      <c r="X273" s="165" t="s">
        <v>150</v>
      </c>
      <c r="Y273" s="165" t="s">
        <v>149</v>
      </c>
      <c r="Z273" s="165" t="s">
        <v>149</v>
      </c>
      <c r="AA273" s="165" t="s">
        <v>149</v>
      </c>
      <c r="AB273" s="165" t="s">
        <v>148</v>
      </c>
      <c r="AC273" s="165" t="s">
        <v>148</v>
      </c>
      <c r="AD273" s="165" t="s">
        <v>16</v>
      </c>
      <c r="AE273" s="165" t="s">
        <v>628</v>
      </c>
      <c r="AF273" s="165"/>
    </row>
    <row r="274" spans="1:32" x14ac:dyDescent="0.3">
      <c r="A274" s="165" t="s">
        <v>629</v>
      </c>
      <c r="B274" s="165" t="s">
        <v>14</v>
      </c>
      <c r="C274" s="165" t="s">
        <v>620</v>
      </c>
      <c r="D274" s="165" t="s">
        <v>15</v>
      </c>
      <c r="E274" s="157">
        <v>40723</v>
      </c>
      <c r="F274" s="165" t="s">
        <v>16</v>
      </c>
      <c r="G274" s="165" t="s">
        <v>16</v>
      </c>
      <c r="H274" s="165" t="s">
        <v>16</v>
      </c>
      <c r="I274" s="165" t="s">
        <v>16</v>
      </c>
      <c r="J274" s="165" t="s">
        <v>16</v>
      </c>
      <c r="K274" s="165" t="s">
        <v>16</v>
      </c>
      <c r="L274" s="165" t="s">
        <v>16</v>
      </c>
      <c r="M274" s="165" t="s">
        <v>16</v>
      </c>
      <c r="N274" s="165" t="s">
        <v>16</v>
      </c>
      <c r="O274" s="165" t="s">
        <v>16</v>
      </c>
      <c r="P274" s="165" t="s">
        <v>16</v>
      </c>
      <c r="Q274" s="165" t="s">
        <v>16</v>
      </c>
      <c r="R274" s="165" t="s">
        <v>16</v>
      </c>
      <c r="S274" s="165" t="s">
        <v>16</v>
      </c>
      <c r="T274" s="165" t="s">
        <v>16</v>
      </c>
      <c r="U274" s="165" t="s">
        <v>16</v>
      </c>
      <c r="V274" s="165" t="s">
        <v>16</v>
      </c>
      <c r="W274" s="165" t="s">
        <v>16</v>
      </c>
      <c r="X274" s="165" t="s">
        <v>16</v>
      </c>
      <c r="Y274" s="165" t="s">
        <v>16</v>
      </c>
      <c r="Z274" s="165" t="s">
        <v>16</v>
      </c>
      <c r="AA274" s="165" t="s">
        <v>16</v>
      </c>
      <c r="AB274" s="165" t="s">
        <v>16</v>
      </c>
      <c r="AC274" s="165" t="s">
        <v>150</v>
      </c>
      <c r="AD274" s="165" t="s">
        <v>148</v>
      </c>
      <c r="AE274" s="165" t="s">
        <v>624</v>
      </c>
      <c r="AF274" s="165" t="s">
        <v>630</v>
      </c>
    </row>
    <row r="275" spans="1:32" x14ac:dyDescent="0.3">
      <c r="A275" s="165" t="s">
        <v>631</v>
      </c>
      <c r="B275" s="165" t="s">
        <v>14</v>
      </c>
      <c r="C275" s="165" t="s">
        <v>620</v>
      </c>
      <c r="D275" s="165" t="s">
        <v>15</v>
      </c>
      <c r="E275" s="157">
        <v>40723</v>
      </c>
      <c r="F275" s="165" t="s">
        <v>16</v>
      </c>
      <c r="G275" s="165" t="s">
        <v>114</v>
      </c>
      <c r="H275" s="165" t="s">
        <v>16</v>
      </c>
      <c r="I275" s="165" t="s">
        <v>148</v>
      </c>
      <c r="J275" s="165" t="s">
        <v>16</v>
      </c>
      <c r="K275" s="165" t="s">
        <v>16</v>
      </c>
      <c r="L275" s="165" t="s">
        <v>16</v>
      </c>
      <c r="M275" s="165" t="s">
        <v>16</v>
      </c>
      <c r="N275" s="165" t="s">
        <v>148</v>
      </c>
      <c r="O275" s="165" t="s">
        <v>16</v>
      </c>
      <c r="P275" s="165" t="s">
        <v>16</v>
      </c>
      <c r="Q275" s="165" t="s">
        <v>16</v>
      </c>
      <c r="R275" s="165" t="s">
        <v>16</v>
      </c>
      <c r="S275" s="165" t="s">
        <v>148</v>
      </c>
      <c r="T275" s="165" t="s">
        <v>16</v>
      </c>
      <c r="U275" s="165" t="s">
        <v>148</v>
      </c>
      <c r="V275" s="165" t="s">
        <v>16</v>
      </c>
      <c r="W275" s="165" t="s">
        <v>149</v>
      </c>
      <c r="X275" s="165" t="s">
        <v>148</v>
      </c>
      <c r="Y275" s="165" t="s">
        <v>16</v>
      </c>
      <c r="Z275" s="165" t="s">
        <v>16</v>
      </c>
      <c r="AA275" s="165" t="s">
        <v>16</v>
      </c>
      <c r="AB275" s="165" t="s">
        <v>149</v>
      </c>
      <c r="AC275" s="165" t="s">
        <v>148</v>
      </c>
      <c r="AD275" s="165" t="s">
        <v>16</v>
      </c>
      <c r="AE275" s="165" t="s">
        <v>621</v>
      </c>
      <c r="AF275" s="165"/>
    </row>
    <row r="276" spans="1:32" x14ac:dyDescent="0.3">
      <c r="A276" s="165" t="s">
        <v>632</v>
      </c>
      <c r="B276" s="165" t="s">
        <v>14</v>
      </c>
      <c r="C276" s="165" t="s">
        <v>620</v>
      </c>
      <c r="D276" s="165" t="s">
        <v>15</v>
      </c>
      <c r="E276" s="157">
        <v>40723</v>
      </c>
      <c r="F276" s="165" t="s">
        <v>16</v>
      </c>
      <c r="G276" s="165" t="s">
        <v>16</v>
      </c>
      <c r="H276" s="165" t="s">
        <v>16</v>
      </c>
      <c r="I276" s="165" t="s">
        <v>16</v>
      </c>
      <c r="J276" s="165" t="s">
        <v>16</v>
      </c>
      <c r="K276" s="165" t="s">
        <v>16</v>
      </c>
      <c r="L276" s="165" t="s">
        <v>16</v>
      </c>
      <c r="M276" s="165" t="s">
        <v>16</v>
      </c>
      <c r="N276" s="165" t="s">
        <v>16</v>
      </c>
      <c r="O276" s="165" t="s">
        <v>16</v>
      </c>
      <c r="P276" s="165" t="s">
        <v>16</v>
      </c>
      <c r="Q276" s="165" t="s">
        <v>16</v>
      </c>
      <c r="R276" s="165" t="s">
        <v>16</v>
      </c>
      <c r="S276" s="165" t="s">
        <v>16</v>
      </c>
      <c r="T276" s="165" t="s">
        <v>16</v>
      </c>
      <c r="U276" s="165" t="s">
        <v>16</v>
      </c>
      <c r="V276" s="165" t="s">
        <v>16</v>
      </c>
      <c r="W276" s="165" t="s">
        <v>16</v>
      </c>
      <c r="X276" s="165" t="s">
        <v>16</v>
      </c>
      <c r="Y276" s="165" t="s">
        <v>16</v>
      </c>
      <c r="Z276" s="165" t="s">
        <v>16</v>
      </c>
      <c r="AA276" s="165" t="s">
        <v>16</v>
      </c>
      <c r="AB276" s="165" t="s">
        <v>16</v>
      </c>
      <c r="AC276" s="165" t="s">
        <v>16</v>
      </c>
      <c r="AD276" s="165" t="s">
        <v>16</v>
      </c>
      <c r="AE276" s="165" t="s">
        <v>624</v>
      </c>
      <c r="AF276" s="165" t="s">
        <v>633</v>
      </c>
    </row>
    <row r="277" spans="1:32" x14ac:dyDescent="0.3">
      <c r="A277" s="165" t="s">
        <v>634</v>
      </c>
      <c r="B277" s="165" t="s">
        <v>14</v>
      </c>
      <c r="C277" s="165" t="s">
        <v>620</v>
      </c>
      <c r="D277" s="165" t="s">
        <v>15</v>
      </c>
      <c r="E277" s="157">
        <v>40723</v>
      </c>
      <c r="F277" s="165" t="s">
        <v>16</v>
      </c>
      <c r="G277" s="165" t="s">
        <v>149</v>
      </c>
      <c r="H277" s="165" t="s">
        <v>149</v>
      </c>
      <c r="I277" s="165" t="s">
        <v>16</v>
      </c>
      <c r="J277" s="165" t="s">
        <v>16</v>
      </c>
      <c r="K277" s="165" t="s">
        <v>16</v>
      </c>
      <c r="L277" s="165" t="s">
        <v>16</v>
      </c>
      <c r="M277" s="165" t="s">
        <v>16</v>
      </c>
      <c r="N277" s="165" t="s">
        <v>16</v>
      </c>
      <c r="O277" s="165" t="s">
        <v>16</v>
      </c>
      <c r="P277" s="165" t="s">
        <v>16</v>
      </c>
      <c r="Q277" s="165" t="s">
        <v>16</v>
      </c>
      <c r="R277" s="165" t="s">
        <v>16</v>
      </c>
      <c r="S277" s="165" t="s">
        <v>16</v>
      </c>
      <c r="T277" s="165" t="s">
        <v>16</v>
      </c>
      <c r="U277" s="165" t="s">
        <v>16</v>
      </c>
      <c r="V277" s="165" t="s">
        <v>16</v>
      </c>
      <c r="W277" s="165" t="s">
        <v>16</v>
      </c>
      <c r="X277" s="165" t="s">
        <v>16</v>
      </c>
      <c r="Y277" s="165" t="s">
        <v>16</v>
      </c>
      <c r="Z277" s="165" t="s">
        <v>16</v>
      </c>
      <c r="AA277" s="165" t="s">
        <v>148</v>
      </c>
      <c r="AB277" s="165" t="s">
        <v>16</v>
      </c>
      <c r="AC277" s="165" t="s">
        <v>16</v>
      </c>
      <c r="AD277" s="165" t="s">
        <v>16</v>
      </c>
      <c r="AE277" s="165" t="s">
        <v>621</v>
      </c>
      <c r="AF277" s="165"/>
    </row>
    <row r="278" spans="1:32" x14ac:dyDescent="0.3">
      <c r="A278" s="165" t="s">
        <v>635</v>
      </c>
      <c r="B278" s="165" t="s">
        <v>14</v>
      </c>
      <c r="C278" s="165" t="s">
        <v>620</v>
      </c>
      <c r="D278" s="165" t="s">
        <v>15</v>
      </c>
      <c r="E278" s="157">
        <v>40723</v>
      </c>
      <c r="F278" s="165" t="s">
        <v>16</v>
      </c>
      <c r="G278" s="165" t="s">
        <v>16</v>
      </c>
      <c r="H278" s="165" t="s">
        <v>148</v>
      </c>
      <c r="I278" s="165" t="s">
        <v>16</v>
      </c>
      <c r="J278" s="165" t="s">
        <v>16</v>
      </c>
      <c r="K278" s="165" t="s">
        <v>16</v>
      </c>
      <c r="L278" s="165" t="s">
        <v>16</v>
      </c>
      <c r="M278" s="165" t="s">
        <v>16</v>
      </c>
      <c r="N278" s="165" t="s">
        <v>16</v>
      </c>
      <c r="O278" s="165" t="s">
        <v>16</v>
      </c>
      <c r="P278" s="165" t="s">
        <v>16</v>
      </c>
      <c r="Q278" s="165" t="s">
        <v>16</v>
      </c>
      <c r="R278" s="165" t="s">
        <v>148</v>
      </c>
      <c r="S278" s="165" t="s">
        <v>148</v>
      </c>
      <c r="T278" s="165" t="s">
        <v>16</v>
      </c>
      <c r="U278" s="165" t="s">
        <v>16</v>
      </c>
      <c r="V278" s="165" t="s">
        <v>16</v>
      </c>
      <c r="W278" s="165" t="s">
        <v>16</v>
      </c>
      <c r="X278" s="165" t="s">
        <v>16</v>
      </c>
      <c r="Y278" s="165" t="s">
        <v>16</v>
      </c>
      <c r="Z278" s="165" t="s">
        <v>16</v>
      </c>
      <c r="AA278" s="165" t="s">
        <v>16</v>
      </c>
      <c r="AB278" s="165" t="s">
        <v>16</v>
      </c>
      <c r="AC278" s="165" t="s">
        <v>148</v>
      </c>
      <c r="AD278" s="165" t="s">
        <v>16</v>
      </c>
      <c r="AE278" s="165" t="s">
        <v>628</v>
      </c>
      <c r="AF278" s="165"/>
    </row>
    <row r="279" spans="1:32" x14ac:dyDescent="0.3">
      <c r="A279" s="165" t="s">
        <v>636</v>
      </c>
      <c r="B279" s="165" t="s">
        <v>14</v>
      </c>
      <c r="C279" s="165" t="s">
        <v>620</v>
      </c>
      <c r="D279" s="165" t="s">
        <v>15</v>
      </c>
      <c r="E279" s="157">
        <v>40723</v>
      </c>
      <c r="F279" s="165" t="s">
        <v>16</v>
      </c>
      <c r="G279" s="165" t="s">
        <v>16</v>
      </c>
      <c r="H279" s="165" t="s">
        <v>16</v>
      </c>
      <c r="I279" s="165" t="s">
        <v>16</v>
      </c>
      <c r="J279" s="165" t="s">
        <v>148</v>
      </c>
      <c r="K279" s="165" t="s">
        <v>16</v>
      </c>
      <c r="L279" s="165" t="s">
        <v>16</v>
      </c>
      <c r="M279" s="165" t="s">
        <v>148</v>
      </c>
      <c r="N279" s="165" t="s">
        <v>148</v>
      </c>
      <c r="O279" s="165" t="s">
        <v>148</v>
      </c>
      <c r="P279" s="165" t="s">
        <v>148</v>
      </c>
      <c r="Q279" s="165" t="s">
        <v>148</v>
      </c>
      <c r="R279" s="165" t="s">
        <v>16</v>
      </c>
      <c r="S279" s="165" t="s">
        <v>16</v>
      </c>
      <c r="T279" s="165" t="s">
        <v>16</v>
      </c>
      <c r="U279" s="165" t="s">
        <v>148</v>
      </c>
      <c r="V279" s="165" t="s">
        <v>148</v>
      </c>
      <c r="W279" s="165" t="s">
        <v>16</v>
      </c>
      <c r="X279" s="165" t="s">
        <v>148</v>
      </c>
      <c r="Y279" s="165" t="s">
        <v>16</v>
      </c>
      <c r="Z279" s="165" t="s">
        <v>148</v>
      </c>
      <c r="AA279" s="165" t="s">
        <v>148</v>
      </c>
      <c r="AB279" s="165" t="s">
        <v>149</v>
      </c>
      <c r="AC279" s="165" t="s">
        <v>148</v>
      </c>
      <c r="AD279" s="165" t="s">
        <v>148</v>
      </c>
      <c r="AE279" s="165"/>
      <c r="AF279" s="165"/>
    </row>
    <row r="280" spans="1:32" x14ac:dyDescent="0.3">
      <c r="A280" s="165" t="s">
        <v>637</v>
      </c>
      <c r="B280" s="165" t="s">
        <v>14</v>
      </c>
      <c r="C280" s="165" t="s">
        <v>620</v>
      </c>
      <c r="D280" s="165" t="s">
        <v>15</v>
      </c>
      <c r="E280" s="157">
        <v>40723</v>
      </c>
      <c r="F280" s="165" t="s">
        <v>149</v>
      </c>
      <c r="G280" s="165" t="s">
        <v>16</v>
      </c>
      <c r="H280" s="165" t="s">
        <v>16</v>
      </c>
      <c r="I280" s="165" t="s">
        <v>148</v>
      </c>
      <c r="J280" s="165" t="s">
        <v>148</v>
      </c>
      <c r="K280" s="165" t="s">
        <v>16</v>
      </c>
      <c r="L280" s="165" t="s">
        <v>16</v>
      </c>
      <c r="M280" s="165" t="s">
        <v>16</v>
      </c>
      <c r="N280" s="165" t="s">
        <v>16</v>
      </c>
      <c r="O280" s="165" t="s">
        <v>16</v>
      </c>
      <c r="P280" s="165" t="s">
        <v>16</v>
      </c>
      <c r="Q280" s="165" t="s">
        <v>16</v>
      </c>
      <c r="R280" s="165" t="s">
        <v>16</v>
      </c>
      <c r="S280" s="165" t="s">
        <v>16</v>
      </c>
      <c r="T280" s="165" t="s">
        <v>16</v>
      </c>
      <c r="U280" s="165" t="s">
        <v>16</v>
      </c>
      <c r="V280" s="165" t="s">
        <v>16</v>
      </c>
      <c r="W280" s="165" t="s">
        <v>16</v>
      </c>
      <c r="X280" s="165" t="s">
        <v>16</v>
      </c>
      <c r="Y280" s="165" t="s">
        <v>16</v>
      </c>
      <c r="Z280" s="165" t="s">
        <v>16</v>
      </c>
      <c r="AA280" s="165" t="s">
        <v>16</v>
      </c>
      <c r="AB280" s="165" t="s">
        <v>16</v>
      </c>
      <c r="AC280" s="165" t="s">
        <v>16</v>
      </c>
      <c r="AD280" s="165" t="s">
        <v>16</v>
      </c>
      <c r="AE280" s="165" t="s">
        <v>624</v>
      </c>
      <c r="AF280" s="165"/>
    </row>
    <row r="281" spans="1:32" x14ac:dyDescent="0.3">
      <c r="A281" s="165" t="s">
        <v>638</v>
      </c>
      <c r="B281" s="165" t="s">
        <v>14</v>
      </c>
      <c r="C281" s="165" t="s">
        <v>620</v>
      </c>
      <c r="D281" s="165" t="s">
        <v>15</v>
      </c>
      <c r="E281" s="157">
        <v>40723</v>
      </c>
      <c r="F281" s="165" t="s">
        <v>16</v>
      </c>
      <c r="G281" s="165" t="s">
        <v>16</v>
      </c>
      <c r="H281" s="165" t="s">
        <v>16</v>
      </c>
      <c r="I281" s="165" t="s">
        <v>148</v>
      </c>
      <c r="J281" s="165" t="s">
        <v>148</v>
      </c>
      <c r="K281" s="165" t="s">
        <v>16</v>
      </c>
      <c r="L281" s="165" t="s">
        <v>16</v>
      </c>
      <c r="M281" s="165" t="s">
        <v>148</v>
      </c>
      <c r="N281" s="165" t="s">
        <v>148</v>
      </c>
      <c r="O281" s="165" t="s">
        <v>16</v>
      </c>
      <c r="P281" s="165" t="s">
        <v>148</v>
      </c>
      <c r="Q281" s="165" t="s">
        <v>16</v>
      </c>
      <c r="R281" s="165" t="s">
        <v>16</v>
      </c>
      <c r="S281" s="165" t="s">
        <v>16</v>
      </c>
      <c r="T281" s="165" t="s">
        <v>16</v>
      </c>
      <c r="U281" s="165" t="s">
        <v>16</v>
      </c>
      <c r="V281" s="165" t="s">
        <v>148</v>
      </c>
      <c r="W281" s="165" t="s">
        <v>148</v>
      </c>
      <c r="X281" s="165" t="s">
        <v>148</v>
      </c>
      <c r="Y281" s="165" t="s">
        <v>16</v>
      </c>
      <c r="Z281" s="165" t="s">
        <v>148</v>
      </c>
      <c r="AA281" s="165" t="s">
        <v>148</v>
      </c>
      <c r="AB281" s="165" t="s">
        <v>149</v>
      </c>
      <c r="AC281" s="165" t="s">
        <v>150</v>
      </c>
      <c r="AD281" s="165" t="s">
        <v>16</v>
      </c>
      <c r="AE281" s="165" t="s">
        <v>624</v>
      </c>
      <c r="AF281" s="165"/>
    </row>
    <row r="282" spans="1:32" x14ac:dyDescent="0.3">
      <c r="A282" s="165" t="s">
        <v>639</v>
      </c>
      <c r="B282" s="165" t="s">
        <v>14</v>
      </c>
      <c r="C282" s="165" t="s">
        <v>620</v>
      </c>
      <c r="D282" s="165" t="s">
        <v>15</v>
      </c>
      <c r="E282" s="157">
        <v>40723</v>
      </c>
      <c r="F282" s="165" t="s">
        <v>16</v>
      </c>
      <c r="G282" s="165" t="s">
        <v>16</v>
      </c>
      <c r="H282" s="165" t="s">
        <v>148</v>
      </c>
      <c r="I282" s="165" t="s">
        <v>16</v>
      </c>
      <c r="J282" s="165" t="s">
        <v>148</v>
      </c>
      <c r="K282" s="165" t="s">
        <v>16</v>
      </c>
      <c r="L282" s="165" t="s">
        <v>148</v>
      </c>
      <c r="M282" s="165" t="s">
        <v>149</v>
      </c>
      <c r="N282" s="165" t="s">
        <v>16</v>
      </c>
      <c r="O282" s="165" t="s">
        <v>16</v>
      </c>
      <c r="P282" s="165" t="s">
        <v>16</v>
      </c>
      <c r="Q282" s="165" t="s">
        <v>148</v>
      </c>
      <c r="R282" s="165" t="s">
        <v>148</v>
      </c>
      <c r="S282" s="165" t="s">
        <v>16</v>
      </c>
      <c r="T282" s="165" t="s">
        <v>149</v>
      </c>
      <c r="U282" s="165" t="s">
        <v>16</v>
      </c>
      <c r="V282" s="165" t="s">
        <v>16</v>
      </c>
      <c r="W282" s="165" t="s">
        <v>16</v>
      </c>
      <c r="X282" s="165" t="s">
        <v>16</v>
      </c>
      <c r="Y282" s="165" t="s">
        <v>148</v>
      </c>
      <c r="Z282" s="165" t="s">
        <v>149</v>
      </c>
      <c r="AA282" s="165" t="s">
        <v>16</v>
      </c>
      <c r="AB282" s="165" t="s">
        <v>16</v>
      </c>
      <c r="AC282" s="165" t="s">
        <v>148</v>
      </c>
      <c r="AD282" s="165" t="s">
        <v>16</v>
      </c>
      <c r="AE282" s="165" t="s">
        <v>621</v>
      </c>
      <c r="AF282" s="165"/>
    </row>
    <row r="283" spans="1:32" x14ac:dyDescent="0.3">
      <c r="A283" s="165" t="s">
        <v>640</v>
      </c>
      <c r="B283" s="165" t="s">
        <v>14</v>
      </c>
      <c r="C283" s="165" t="s">
        <v>620</v>
      </c>
      <c r="D283" s="165" t="s">
        <v>15</v>
      </c>
      <c r="E283" s="157">
        <v>40723</v>
      </c>
      <c r="F283" s="165" t="s">
        <v>16</v>
      </c>
      <c r="G283" s="165" t="s">
        <v>16</v>
      </c>
      <c r="H283" s="165" t="s">
        <v>16</v>
      </c>
      <c r="I283" s="165" t="s">
        <v>16</v>
      </c>
      <c r="J283" s="165" t="s">
        <v>114</v>
      </c>
      <c r="K283" s="165" t="s">
        <v>16</v>
      </c>
      <c r="L283" s="165" t="s">
        <v>16</v>
      </c>
      <c r="M283" s="165" t="s">
        <v>16</v>
      </c>
      <c r="N283" s="165" t="s">
        <v>16</v>
      </c>
      <c r="O283" s="165" t="s">
        <v>16</v>
      </c>
      <c r="P283" s="165" t="s">
        <v>16</v>
      </c>
      <c r="Q283" s="165" t="s">
        <v>16</v>
      </c>
      <c r="R283" s="165" t="s">
        <v>16</v>
      </c>
      <c r="S283" s="165" t="s">
        <v>16</v>
      </c>
      <c r="T283" s="165" t="s">
        <v>16</v>
      </c>
      <c r="U283" s="165" t="s">
        <v>16</v>
      </c>
      <c r="V283" s="165" t="s">
        <v>16</v>
      </c>
      <c r="W283" s="165" t="s">
        <v>16</v>
      </c>
      <c r="X283" s="165" t="s">
        <v>16</v>
      </c>
      <c r="Y283" s="165" t="s">
        <v>16</v>
      </c>
      <c r="Z283" s="165" t="s">
        <v>16</v>
      </c>
      <c r="AA283" s="165" t="s">
        <v>16</v>
      </c>
      <c r="AB283" s="165" t="s">
        <v>16</v>
      </c>
      <c r="AC283" s="165" t="s">
        <v>148</v>
      </c>
      <c r="AD283" s="165" t="s">
        <v>16</v>
      </c>
      <c r="AE283" s="165"/>
      <c r="AF283" s="165"/>
    </row>
    <row r="284" spans="1:32" x14ac:dyDescent="0.3">
      <c r="A284" s="165" t="s">
        <v>641</v>
      </c>
      <c r="B284" s="165" t="s">
        <v>14</v>
      </c>
      <c r="C284" s="165" t="s">
        <v>620</v>
      </c>
      <c r="D284" s="165" t="s">
        <v>15</v>
      </c>
      <c r="E284" s="157">
        <v>40723</v>
      </c>
      <c r="F284" s="165" t="s">
        <v>16</v>
      </c>
      <c r="G284" s="165" t="s">
        <v>16</v>
      </c>
      <c r="H284" s="165" t="s">
        <v>16</v>
      </c>
      <c r="I284" s="165" t="s">
        <v>16</v>
      </c>
      <c r="J284" s="165" t="s">
        <v>148</v>
      </c>
      <c r="K284" s="165" t="s">
        <v>16</v>
      </c>
      <c r="L284" s="165" t="s">
        <v>16</v>
      </c>
      <c r="M284" s="165" t="s">
        <v>16</v>
      </c>
      <c r="N284" s="165" t="s">
        <v>16</v>
      </c>
      <c r="O284" s="165" t="s">
        <v>16</v>
      </c>
      <c r="P284" s="165" t="s">
        <v>148</v>
      </c>
      <c r="Q284" s="165" t="s">
        <v>16</v>
      </c>
      <c r="R284" s="165" t="s">
        <v>16</v>
      </c>
      <c r="S284" s="165" t="s">
        <v>16</v>
      </c>
      <c r="T284" s="165" t="s">
        <v>16</v>
      </c>
      <c r="U284" s="165" t="s">
        <v>148</v>
      </c>
      <c r="V284" s="165" t="s">
        <v>16</v>
      </c>
      <c r="W284" s="165" t="s">
        <v>16</v>
      </c>
      <c r="X284" s="165" t="s">
        <v>16</v>
      </c>
      <c r="Y284" s="165" t="s">
        <v>16</v>
      </c>
      <c r="Z284" s="165" t="s">
        <v>16</v>
      </c>
      <c r="AA284" s="165" t="s">
        <v>16</v>
      </c>
      <c r="AB284" s="165" t="s">
        <v>16</v>
      </c>
      <c r="AC284" s="165" t="s">
        <v>148</v>
      </c>
      <c r="AD284" s="165" t="s">
        <v>148</v>
      </c>
      <c r="AE284" s="165" t="s">
        <v>642</v>
      </c>
      <c r="AF284" s="165"/>
    </row>
    <row r="285" spans="1:32" x14ac:dyDescent="0.3">
      <c r="A285" s="165" t="s">
        <v>643</v>
      </c>
      <c r="B285" s="165" t="s">
        <v>14</v>
      </c>
      <c r="C285" s="165" t="s">
        <v>620</v>
      </c>
      <c r="D285" s="165" t="s">
        <v>15</v>
      </c>
      <c r="E285" s="157">
        <v>40723</v>
      </c>
      <c r="F285" s="165" t="s">
        <v>16</v>
      </c>
      <c r="G285" s="165" t="s">
        <v>16</v>
      </c>
      <c r="H285" s="165" t="s">
        <v>16</v>
      </c>
      <c r="I285" s="165" t="s">
        <v>16</v>
      </c>
      <c r="J285" s="165" t="s">
        <v>16</v>
      </c>
      <c r="K285" s="165" t="s">
        <v>148</v>
      </c>
      <c r="L285" s="165" t="s">
        <v>16</v>
      </c>
      <c r="M285" s="165" t="s">
        <v>16</v>
      </c>
      <c r="N285" s="165" t="s">
        <v>148</v>
      </c>
      <c r="O285" s="165" t="s">
        <v>16</v>
      </c>
      <c r="P285" s="165" t="s">
        <v>16</v>
      </c>
      <c r="Q285" s="165" t="s">
        <v>16</v>
      </c>
      <c r="R285" s="165" t="s">
        <v>16</v>
      </c>
      <c r="S285" s="165" t="s">
        <v>16</v>
      </c>
      <c r="T285" s="165" t="s">
        <v>16</v>
      </c>
      <c r="U285" s="165" t="s">
        <v>148</v>
      </c>
      <c r="V285" s="165" t="s">
        <v>16</v>
      </c>
      <c r="W285" s="165" t="s">
        <v>16</v>
      </c>
      <c r="X285" s="165" t="s">
        <v>16</v>
      </c>
      <c r="Y285" s="165" t="s">
        <v>16</v>
      </c>
      <c r="Z285" s="165" t="s">
        <v>16</v>
      </c>
      <c r="AA285" s="165" t="s">
        <v>16</v>
      </c>
      <c r="AB285" s="165" t="s">
        <v>16</v>
      </c>
      <c r="AC285" s="165" t="s">
        <v>148</v>
      </c>
      <c r="AD285" s="165" t="s">
        <v>16</v>
      </c>
      <c r="AE285" s="165" t="s">
        <v>628</v>
      </c>
      <c r="AF285" s="165"/>
    </row>
    <row r="286" spans="1:32" x14ac:dyDescent="0.3">
      <c r="A286" s="165" t="s">
        <v>644</v>
      </c>
      <c r="B286" s="165" t="s">
        <v>14</v>
      </c>
      <c r="C286" s="165" t="s">
        <v>620</v>
      </c>
      <c r="D286" s="165" t="s">
        <v>15</v>
      </c>
      <c r="E286" s="157">
        <v>40723</v>
      </c>
      <c r="F286" s="165" t="s">
        <v>16</v>
      </c>
      <c r="G286" s="165" t="s">
        <v>16</v>
      </c>
      <c r="H286" s="165" t="s">
        <v>148</v>
      </c>
      <c r="I286" s="165" t="s">
        <v>148</v>
      </c>
      <c r="J286" s="165" t="s">
        <v>148</v>
      </c>
      <c r="K286" s="165" t="s">
        <v>16</v>
      </c>
      <c r="L286" s="165" t="s">
        <v>148</v>
      </c>
      <c r="M286" s="165" t="s">
        <v>148</v>
      </c>
      <c r="N286" s="165" t="s">
        <v>16</v>
      </c>
      <c r="O286" s="165" t="s">
        <v>16</v>
      </c>
      <c r="P286" s="165" t="s">
        <v>16</v>
      </c>
      <c r="Q286" s="165" t="s">
        <v>16</v>
      </c>
      <c r="R286" s="165" t="s">
        <v>16</v>
      </c>
      <c r="S286" s="165" t="s">
        <v>16</v>
      </c>
      <c r="T286" s="165" t="s">
        <v>16</v>
      </c>
      <c r="U286" s="165" t="s">
        <v>16</v>
      </c>
      <c r="V286" s="165" t="s">
        <v>148</v>
      </c>
      <c r="W286" s="165" t="s">
        <v>148</v>
      </c>
      <c r="X286" s="165" t="s">
        <v>148</v>
      </c>
      <c r="Y286" s="165" t="s">
        <v>16</v>
      </c>
      <c r="Z286" s="165" t="s">
        <v>16</v>
      </c>
      <c r="AA286" s="165" t="s">
        <v>148</v>
      </c>
      <c r="AB286" s="165" t="s">
        <v>16</v>
      </c>
      <c r="AC286" s="165" t="s">
        <v>150</v>
      </c>
      <c r="AD286" s="165" t="s">
        <v>16</v>
      </c>
      <c r="AE286" s="165" t="s">
        <v>628</v>
      </c>
      <c r="AF286" s="165" t="s">
        <v>645</v>
      </c>
    </row>
    <row r="287" spans="1:32" x14ac:dyDescent="0.3">
      <c r="A287" s="165" t="s">
        <v>646</v>
      </c>
      <c r="B287" s="165" t="s">
        <v>14</v>
      </c>
      <c r="C287" s="165" t="s">
        <v>620</v>
      </c>
      <c r="D287" s="165" t="s">
        <v>15</v>
      </c>
      <c r="E287" s="157">
        <v>40723</v>
      </c>
      <c r="F287" s="165" t="s">
        <v>16</v>
      </c>
      <c r="G287" s="165" t="s">
        <v>16</v>
      </c>
      <c r="H287" s="165" t="s">
        <v>16</v>
      </c>
      <c r="I287" s="165" t="s">
        <v>16</v>
      </c>
      <c r="J287" s="165" t="s">
        <v>16</v>
      </c>
      <c r="K287" s="165" t="s">
        <v>16</v>
      </c>
      <c r="L287" s="165" t="s">
        <v>148</v>
      </c>
      <c r="M287" s="165" t="s">
        <v>148</v>
      </c>
      <c r="N287" s="165" t="s">
        <v>16</v>
      </c>
      <c r="O287" s="165" t="s">
        <v>16</v>
      </c>
      <c r="P287" s="165" t="s">
        <v>16</v>
      </c>
      <c r="Q287" s="165" t="s">
        <v>16</v>
      </c>
      <c r="R287" s="165" t="s">
        <v>16</v>
      </c>
      <c r="S287" s="165" t="s">
        <v>16</v>
      </c>
      <c r="T287" s="165" t="s">
        <v>16</v>
      </c>
      <c r="U287" s="165" t="s">
        <v>16</v>
      </c>
      <c r="V287" s="165" t="s">
        <v>16</v>
      </c>
      <c r="W287" s="165" t="s">
        <v>16</v>
      </c>
      <c r="X287" s="165" t="s">
        <v>16</v>
      </c>
      <c r="Y287" s="165" t="s">
        <v>16</v>
      </c>
      <c r="Z287" s="165" t="s">
        <v>16</v>
      </c>
      <c r="AA287" s="165" t="s">
        <v>16</v>
      </c>
      <c r="AB287" s="165" t="s">
        <v>16</v>
      </c>
      <c r="AC287" s="165" t="s">
        <v>16</v>
      </c>
      <c r="AD287" s="165" t="s">
        <v>16</v>
      </c>
      <c r="AE287" s="165" t="s">
        <v>647</v>
      </c>
      <c r="AF287" s="165"/>
    </row>
    <row r="288" spans="1:32" x14ac:dyDescent="0.3">
      <c r="A288" s="165" t="s">
        <v>648</v>
      </c>
      <c r="B288" s="165" t="s">
        <v>14</v>
      </c>
      <c r="C288" s="165" t="s">
        <v>620</v>
      </c>
      <c r="D288" s="165" t="s">
        <v>15</v>
      </c>
      <c r="E288" s="157">
        <v>40723</v>
      </c>
      <c r="F288" s="165" t="s">
        <v>16</v>
      </c>
      <c r="G288" s="165" t="s">
        <v>16</v>
      </c>
      <c r="H288" s="165" t="s">
        <v>16</v>
      </c>
      <c r="I288" s="165" t="s">
        <v>16</v>
      </c>
      <c r="J288" s="165" t="s">
        <v>16</v>
      </c>
      <c r="K288" s="165" t="s">
        <v>16</v>
      </c>
      <c r="L288" s="165" t="s">
        <v>148</v>
      </c>
      <c r="M288" s="165" t="s">
        <v>16</v>
      </c>
      <c r="N288" s="165" t="s">
        <v>16</v>
      </c>
      <c r="O288" s="165" t="s">
        <v>16</v>
      </c>
      <c r="P288" s="165" t="s">
        <v>16</v>
      </c>
      <c r="Q288" s="165" t="s">
        <v>16</v>
      </c>
      <c r="R288" s="165" t="s">
        <v>16</v>
      </c>
      <c r="S288" s="165" t="s">
        <v>16</v>
      </c>
      <c r="T288" s="165" t="s">
        <v>16</v>
      </c>
      <c r="U288" s="165" t="s">
        <v>16</v>
      </c>
      <c r="V288" s="165" t="s">
        <v>16</v>
      </c>
      <c r="W288" s="165" t="s">
        <v>16</v>
      </c>
      <c r="X288" s="165" t="s">
        <v>16</v>
      </c>
      <c r="Y288" s="165" t="s">
        <v>16</v>
      </c>
      <c r="Z288" s="165" t="s">
        <v>16</v>
      </c>
      <c r="AA288" s="165" t="s">
        <v>16</v>
      </c>
      <c r="AB288" s="165" t="s">
        <v>16</v>
      </c>
      <c r="AC288" s="165" t="s">
        <v>16</v>
      </c>
      <c r="AD288" s="165" t="s">
        <v>148</v>
      </c>
      <c r="AE288" s="165"/>
      <c r="AF288" s="165"/>
    </row>
    <row r="289" spans="1:32" x14ac:dyDescent="0.3">
      <c r="A289" s="165" t="s">
        <v>649</v>
      </c>
      <c r="B289" s="165" t="s">
        <v>14</v>
      </c>
      <c r="C289" s="165" t="s">
        <v>620</v>
      </c>
      <c r="D289" s="165" t="s">
        <v>15</v>
      </c>
      <c r="E289" s="157">
        <v>40723</v>
      </c>
      <c r="F289" s="165" t="s">
        <v>16</v>
      </c>
      <c r="G289" s="165" t="s">
        <v>16</v>
      </c>
      <c r="H289" s="165" t="s">
        <v>16</v>
      </c>
      <c r="I289" s="165" t="s">
        <v>16</v>
      </c>
      <c r="J289" s="165" t="s">
        <v>16</v>
      </c>
      <c r="K289" s="165" t="s">
        <v>149</v>
      </c>
      <c r="L289" s="165" t="s">
        <v>16</v>
      </c>
      <c r="M289" s="165" t="s">
        <v>16</v>
      </c>
      <c r="N289" s="165" t="s">
        <v>148</v>
      </c>
      <c r="O289" s="165" t="s">
        <v>148</v>
      </c>
      <c r="P289" s="165" t="s">
        <v>16</v>
      </c>
      <c r="Q289" s="165" t="s">
        <v>16</v>
      </c>
      <c r="R289" s="165" t="s">
        <v>148</v>
      </c>
      <c r="S289" s="165" t="s">
        <v>16</v>
      </c>
      <c r="T289" s="165" t="s">
        <v>16</v>
      </c>
      <c r="U289" s="165" t="s">
        <v>148</v>
      </c>
      <c r="V289" s="165" t="s">
        <v>16</v>
      </c>
      <c r="W289" s="165" t="s">
        <v>16</v>
      </c>
      <c r="X289" s="165" t="s">
        <v>16</v>
      </c>
      <c r="Y289" s="165" t="s">
        <v>16</v>
      </c>
      <c r="Z289" s="165" t="s">
        <v>16</v>
      </c>
      <c r="AA289" s="165" t="s">
        <v>16</v>
      </c>
      <c r="AB289" s="165" t="s">
        <v>148</v>
      </c>
      <c r="AC289" s="165" t="s">
        <v>16</v>
      </c>
      <c r="AD289" s="165" t="s">
        <v>16</v>
      </c>
      <c r="AE289" s="165" t="s">
        <v>628</v>
      </c>
      <c r="AF289" s="165"/>
    </row>
    <row r="290" spans="1:32" x14ac:dyDescent="0.3">
      <c r="A290" s="165" t="s">
        <v>650</v>
      </c>
      <c r="B290" s="165" t="s">
        <v>14</v>
      </c>
      <c r="C290" s="165" t="s">
        <v>620</v>
      </c>
      <c r="D290" s="165" t="s">
        <v>15</v>
      </c>
      <c r="E290" s="157">
        <v>40723</v>
      </c>
      <c r="F290" s="165" t="s">
        <v>149</v>
      </c>
      <c r="G290" s="165" t="s">
        <v>148</v>
      </c>
      <c r="H290" s="165" t="s">
        <v>16</v>
      </c>
      <c r="I290" s="165" t="s">
        <v>16</v>
      </c>
      <c r="J290" s="165" t="s">
        <v>16</v>
      </c>
      <c r="K290" s="165" t="s">
        <v>149</v>
      </c>
      <c r="L290" s="165" t="s">
        <v>149</v>
      </c>
      <c r="M290" s="165" t="s">
        <v>149</v>
      </c>
      <c r="N290" s="165" t="s">
        <v>16</v>
      </c>
      <c r="O290" s="165" t="s">
        <v>16</v>
      </c>
      <c r="P290" s="165" t="s">
        <v>16</v>
      </c>
      <c r="Q290" s="165" t="s">
        <v>16</v>
      </c>
      <c r="R290" s="165" t="s">
        <v>16</v>
      </c>
      <c r="S290" s="165" t="s">
        <v>16</v>
      </c>
      <c r="T290" s="165" t="s">
        <v>16</v>
      </c>
      <c r="U290" s="165" t="s">
        <v>149</v>
      </c>
      <c r="V290" s="165" t="s">
        <v>149</v>
      </c>
      <c r="W290" s="165" t="s">
        <v>16</v>
      </c>
      <c r="X290" s="165" t="s">
        <v>16</v>
      </c>
      <c r="Y290" s="165" t="s">
        <v>16</v>
      </c>
      <c r="Z290" s="165" t="s">
        <v>16</v>
      </c>
      <c r="AA290" s="165" t="s">
        <v>16</v>
      </c>
      <c r="AB290" s="165" t="s">
        <v>16</v>
      </c>
      <c r="AC290" s="165" t="s">
        <v>148</v>
      </c>
      <c r="AD290" s="165" t="s">
        <v>16</v>
      </c>
      <c r="AE290" s="165" t="s">
        <v>621</v>
      </c>
      <c r="AF290" s="165"/>
    </row>
    <row r="291" spans="1:32" x14ac:dyDescent="0.3">
      <c r="A291" s="165" t="s">
        <v>651</v>
      </c>
      <c r="B291" s="165" t="s">
        <v>14</v>
      </c>
      <c r="C291" s="165" t="s">
        <v>620</v>
      </c>
      <c r="D291" s="165" t="s">
        <v>15</v>
      </c>
      <c r="E291" s="157">
        <v>40723</v>
      </c>
      <c r="F291" s="165" t="s">
        <v>16</v>
      </c>
      <c r="G291" s="165" t="s">
        <v>16</v>
      </c>
      <c r="H291" s="165" t="s">
        <v>16</v>
      </c>
      <c r="I291" s="165" t="s">
        <v>148</v>
      </c>
      <c r="J291" s="165" t="s">
        <v>16</v>
      </c>
      <c r="K291" s="165" t="s">
        <v>16</v>
      </c>
      <c r="L291" s="165" t="s">
        <v>148</v>
      </c>
      <c r="M291" s="165" t="s">
        <v>148</v>
      </c>
      <c r="N291" s="165" t="s">
        <v>16</v>
      </c>
      <c r="O291" s="165" t="s">
        <v>16</v>
      </c>
      <c r="P291" s="165" t="s">
        <v>16</v>
      </c>
      <c r="Q291" s="165" t="s">
        <v>16</v>
      </c>
      <c r="R291" s="165" t="s">
        <v>16</v>
      </c>
      <c r="S291" s="165" t="s">
        <v>148</v>
      </c>
      <c r="T291" s="165" t="s">
        <v>16</v>
      </c>
      <c r="U291" s="165" t="s">
        <v>16</v>
      </c>
      <c r="V291" s="165" t="s">
        <v>16</v>
      </c>
      <c r="W291" s="165" t="s">
        <v>148</v>
      </c>
      <c r="X291" s="165" t="s">
        <v>148</v>
      </c>
      <c r="Y291" s="165" t="s">
        <v>16</v>
      </c>
      <c r="Z291" s="165" t="s">
        <v>16</v>
      </c>
      <c r="AA291" s="165" t="s">
        <v>148</v>
      </c>
      <c r="AB291" s="165" t="s">
        <v>16</v>
      </c>
      <c r="AC291" s="165" t="s">
        <v>16</v>
      </c>
      <c r="AD291" s="165" t="s">
        <v>148</v>
      </c>
      <c r="AE291" s="165" t="s">
        <v>628</v>
      </c>
      <c r="AF291" s="165"/>
    </row>
    <row r="292" spans="1:32" x14ac:dyDescent="0.3">
      <c r="A292" s="165" t="s">
        <v>652</v>
      </c>
      <c r="B292" s="165" t="s">
        <v>14</v>
      </c>
      <c r="C292" s="165" t="s">
        <v>620</v>
      </c>
      <c r="D292" s="165" t="s">
        <v>15</v>
      </c>
      <c r="E292" s="157">
        <v>40723</v>
      </c>
      <c r="F292" s="165" t="s">
        <v>16</v>
      </c>
      <c r="G292" s="165" t="s">
        <v>148</v>
      </c>
      <c r="H292" s="165" t="s">
        <v>16</v>
      </c>
      <c r="I292" s="165" t="s">
        <v>16</v>
      </c>
      <c r="J292" s="165" t="s">
        <v>148</v>
      </c>
      <c r="K292" s="165" t="s">
        <v>16</v>
      </c>
      <c r="L292" s="165" t="s">
        <v>16</v>
      </c>
      <c r="M292" s="165" t="s">
        <v>16</v>
      </c>
      <c r="N292" s="165" t="s">
        <v>16</v>
      </c>
      <c r="O292" s="165" t="s">
        <v>16</v>
      </c>
      <c r="P292" s="165" t="s">
        <v>148</v>
      </c>
      <c r="Q292" s="165" t="s">
        <v>16</v>
      </c>
      <c r="R292" s="165" t="s">
        <v>16</v>
      </c>
      <c r="S292" s="165" t="s">
        <v>16</v>
      </c>
      <c r="T292" s="165" t="s">
        <v>16</v>
      </c>
      <c r="U292" s="165" t="s">
        <v>16</v>
      </c>
      <c r="V292" s="165" t="s">
        <v>16</v>
      </c>
      <c r="W292" s="165" t="s">
        <v>16</v>
      </c>
      <c r="X292" s="165" t="s">
        <v>16</v>
      </c>
      <c r="Y292" s="165" t="s">
        <v>16</v>
      </c>
      <c r="Z292" s="165" t="s">
        <v>16</v>
      </c>
      <c r="AA292" s="165" t="s">
        <v>16</v>
      </c>
      <c r="AB292" s="165" t="s">
        <v>149</v>
      </c>
      <c r="AC292" s="165" t="s">
        <v>150</v>
      </c>
      <c r="AD292" s="165" t="s">
        <v>150</v>
      </c>
      <c r="AE292" s="165" t="s">
        <v>624</v>
      </c>
      <c r="AF292" s="165" t="s">
        <v>653</v>
      </c>
    </row>
    <row r="293" spans="1:32" x14ac:dyDescent="0.3">
      <c r="A293" s="165" t="s">
        <v>654</v>
      </c>
      <c r="B293" s="165" t="s">
        <v>14</v>
      </c>
      <c r="C293" s="165" t="s">
        <v>620</v>
      </c>
      <c r="D293" s="165" t="s">
        <v>15</v>
      </c>
      <c r="E293" s="157">
        <v>40723</v>
      </c>
      <c r="F293" s="165" t="s">
        <v>16</v>
      </c>
      <c r="G293" s="165" t="s">
        <v>16</v>
      </c>
      <c r="H293" s="165" t="s">
        <v>148</v>
      </c>
      <c r="I293" s="165" t="s">
        <v>150</v>
      </c>
      <c r="J293" s="165" t="s">
        <v>150</v>
      </c>
      <c r="K293" s="165" t="s">
        <v>148</v>
      </c>
      <c r="L293" s="165" t="s">
        <v>150</v>
      </c>
      <c r="M293" s="165" t="s">
        <v>150</v>
      </c>
      <c r="N293" s="165" t="s">
        <v>148</v>
      </c>
      <c r="O293" s="165" t="s">
        <v>150</v>
      </c>
      <c r="P293" s="165" t="s">
        <v>150</v>
      </c>
      <c r="Q293" s="165" t="s">
        <v>16</v>
      </c>
      <c r="R293" s="165" t="s">
        <v>16</v>
      </c>
      <c r="S293" s="165" t="s">
        <v>148</v>
      </c>
      <c r="T293" s="165" t="s">
        <v>148</v>
      </c>
      <c r="U293" s="165" t="s">
        <v>150</v>
      </c>
      <c r="V293" s="165" t="s">
        <v>148</v>
      </c>
      <c r="W293" s="165" t="s">
        <v>148</v>
      </c>
      <c r="X293" s="165" t="s">
        <v>148</v>
      </c>
      <c r="Y293" s="165" t="s">
        <v>16</v>
      </c>
      <c r="Z293" s="165" t="s">
        <v>148</v>
      </c>
      <c r="AA293" s="165" t="s">
        <v>150</v>
      </c>
      <c r="AB293" s="165" t="s">
        <v>149</v>
      </c>
      <c r="AC293" s="165" t="s">
        <v>148</v>
      </c>
      <c r="AD293" s="165" t="s">
        <v>148</v>
      </c>
      <c r="AE293" s="165" t="s">
        <v>628</v>
      </c>
      <c r="AF293" s="165"/>
    </row>
    <row r="294" spans="1:32" x14ac:dyDescent="0.3">
      <c r="A294" s="165" t="s">
        <v>655</v>
      </c>
      <c r="B294" s="165" t="s">
        <v>14</v>
      </c>
      <c r="C294" s="165" t="s">
        <v>620</v>
      </c>
      <c r="D294" s="165" t="s">
        <v>15</v>
      </c>
      <c r="E294" s="157">
        <v>40723</v>
      </c>
      <c r="F294" s="165" t="s">
        <v>16</v>
      </c>
      <c r="G294" s="165" t="s">
        <v>16</v>
      </c>
      <c r="H294" s="165" t="s">
        <v>148</v>
      </c>
      <c r="I294" s="165" t="s">
        <v>148</v>
      </c>
      <c r="J294" s="165" t="s">
        <v>150</v>
      </c>
      <c r="K294" s="165" t="s">
        <v>148</v>
      </c>
      <c r="L294" s="165" t="s">
        <v>148</v>
      </c>
      <c r="M294" s="165" t="s">
        <v>150</v>
      </c>
      <c r="N294" s="165" t="s">
        <v>150</v>
      </c>
      <c r="O294" s="165" t="s">
        <v>150</v>
      </c>
      <c r="P294" s="165" t="s">
        <v>150</v>
      </c>
      <c r="Q294" s="165" t="s">
        <v>150</v>
      </c>
      <c r="R294" s="165" t="s">
        <v>150</v>
      </c>
      <c r="S294" s="165" t="s">
        <v>150</v>
      </c>
      <c r="T294" s="165" t="s">
        <v>150</v>
      </c>
      <c r="U294" s="165" t="s">
        <v>150</v>
      </c>
      <c r="V294" s="165" t="s">
        <v>150</v>
      </c>
      <c r="W294" s="165" t="s">
        <v>148</v>
      </c>
      <c r="X294" s="165" t="s">
        <v>148</v>
      </c>
      <c r="Y294" s="165" t="s">
        <v>148</v>
      </c>
      <c r="Z294" s="165" t="s">
        <v>148</v>
      </c>
      <c r="AA294" s="165" t="s">
        <v>148</v>
      </c>
      <c r="AB294" s="165" t="s">
        <v>148</v>
      </c>
      <c r="AC294" s="165" t="s">
        <v>148</v>
      </c>
      <c r="AD294" s="165" t="s">
        <v>148</v>
      </c>
      <c r="AE294" s="165" t="s">
        <v>624</v>
      </c>
      <c r="AF294" s="165"/>
    </row>
    <row r="295" spans="1:32" x14ac:dyDescent="0.3">
      <c r="A295" s="165" t="s">
        <v>656</v>
      </c>
      <c r="B295" s="165" t="s">
        <v>14</v>
      </c>
      <c r="C295" s="165" t="s">
        <v>620</v>
      </c>
      <c r="D295" s="165" t="s">
        <v>15</v>
      </c>
      <c r="E295" s="157">
        <v>40723</v>
      </c>
      <c r="F295" s="165" t="s">
        <v>16</v>
      </c>
      <c r="G295" s="165" t="s">
        <v>16</v>
      </c>
      <c r="H295" s="165" t="s">
        <v>16</v>
      </c>
      <c r="I295" s="165" t="s">
        <v>16</v>
      </c>
      <c r="J295" s="165" t="s">
        <v>16</v>
      </c>
      <c r="K295" s="165" t="s">
        <v>16</v>
      </c>
      <c r="L295" s="165" t="s">
        <v>16</v>
      </c>
      <c r="M295" s="165" t="s">
        <v>16</v>
      </c>
      <c r="N295" s="165" t="s">
        <v>16</v>
      </c>
      <c r="O295" s="165" t="s">
        <v>16</v>
      </c>
      <c r="P295" s="165" t="s">
        <v>16</v>
      </c>
      <c r="Q295" s="165" t="s">
        <v>16</v>
      </c>
      <c r="R295" s="165" t="s">
        <v>16</v>
      </c>
      <c r="S295" s="165" t="s">
        <v>16</v>
      </c>
      <c r="T295" s="165" t="s">
        <v>16</v>
      </c>
      <c r="U295" s="165" t="s">
        <v>16</v>
      </c>
      <c r="V295" s="165" t="s">
        <v>16</v>
      </c>
      <c r="W295" s="165" t="s">
        <v>16</v>
      </c>
      <c r="X295" s="165" t="s">
        <v>16</v>
      </c>
      <c r="Y295" s="165" t="s">
        <v>16</v>
      </c>
      <c r="Z295" s="165" t="s">
        <v>16</v>
      </c>
      <c r="AA295" s="165" t="s">
        <v>16</v>
      </c>
      <c r="AB295" s="165" t="s">
        <v>16</v>
      </c>
      <c r="AC295" s="165" t="s">
        <v>16</v>
      </c>
      <c r="AD295" s="165" t="s">
        <v>16</v>
      </c>
      <c r="AE295" s="165" t="s">
        <v>628</v>
      </c>
      <c r="AF295" s="165"/>
    </row>
    <row r="296" spans="1:32" x14ac:dyDescent="0.3">
      <c r="A296" s="165" t="s">
        <v>657</v>
      </c>
      <c r="B296" s="165" t="s">
        <v>14</v>
      </c>
      <c r="C296" s="165" t="s">
        <v>620</v>
      </c>
      <c r="D296" s="165" t="s">
        <v>15</v>
      </c>
      <c r="E296" s="157">
        <v>40723</v>
      </c>
      <c r="F296" s="165" t="s">
        <v>16</v>
      </c>
      <c r="G296" s="165" t="s">
        <v>16</v>
      </c>
      <c r="H296" s="165" t="s">
        <v>16</v>
      </c>
      <c r="I296" s="165" t="s">
        <v>16</v>
      </c>
      <c r="J296" s="165" t="s">
        <v>16</v>
      </c>
      <c r="K296" s="165" t="s">
        <v>16</v>
      </c>
      <c r="L296" s="165" t="s">
        <v>16</v>
      </c>
      <c r="M296" s="165" t="s">
        <v>16</v>
      </c>
      <c r="N296" s="165" t="s">
        <v>16</v>
      </c>
      <c r="O296" s="165" t="s">
        <v>16</v>
      </c>
      <c r="P296" s="165" t="s">
        <v>16</v>
      </c>
      <c r="Q296" s="165" t="s">
        <v>16</v>
      </c>
      <c r="R296" s="165" t="s">
        <v>16</v>
      </c>
      <c r="S296" s="165" t="s">
        <v>16</v>
      </c>
      <c r="T296" s="165" t="s">
        <v>16</v>
      </c>
      <c r="U296" s="165" t="s">
        <v>16</v>
      </c>
      <c r="V296" s="165" t="s">
        <v>16</v>
      </c>
      <c r="W296" s="165" t="s">
        <v>16</v>
      </c>
      <c r="X296" s="165" t="s">
        <v>16</v>
      </c>
      <c r="Y296" s="165" t="s">
        <v>16</v>
      </c>
      <c r="Z296" s="165" t="s">
        <v>16</v>
      </c>
      <c r="AA296" s="165" t="s">
        <v>16</v>
      </c>
      <c r="AB296" s="165" t="s">
        <v>16</v>
      </c>
      <c r="AC296" s="165" t="s">
        <v>16</v>
      </c>
      <c r="AD296" s="165" t="s">
        <v>16</v>
      </c>
      <c r="AE296" s="165" t="s">
        <v>628</v>
      </c>
      <c r="AF296" s="165"/>
    </row>
    <row r="297" spans="1:32" x14ac:dyDescent="0.3">
      <c r="A297" s="165" t="s">
        <v>658</v>
      </c>
      <c r="B297" s="165" t="s">
        <v>14</v>
      </c>
      <c r="C297" s="165" t="s">
        <v>620</v>
      </c>
      <c r="D297" s="165" t="s">
        <v>15</v>
      </c>
      <c r="E297" s="157">
        <v>40723</v>
      </c>
      <c r="F297" s="165" t="s">
        <v>148</v>
      </c>
      <c r="G297" s="165" t="s">
        <v>148</v>
      </c>
      <c r="H297" s="165" t="s">
        <v>16</v>
      </c>
      <c r="I297" s="165" t="s">
        <v>150</v>
      </c>
      <c r="J297" s="165" t="s">
        <v>148</v>
      </c>
      <c r="K297" s="165" t="s">
        <v>150</v>
      </c>
      <c r="L297" s="165" t="s">
        <v>148</v>
      </c>
      <c r="M297" s="165" t="s">
        <v>16</v>
      </c>
      <c r="N297" s="165" t="s">
        <v>150</v>
      </c>
      <c r="O297" s="165" t="s">
        <v>148</v>
      </c>
      <c r="P297" s="165" t="s">
        <v>148</v>
      </c>
      <c r="Q297" s="165" t="s">
        <v>16</v>
      </c>
      <c r="R297" s="165" t="s">
        <v>150</v>
      </c>
      <c r="S297" s="165" t="s">
        <v>150</v>
      </c>
      <c r="T297" s="165" t="s">
        <v>148</v>
      </c>
      <c r="U297" s="165" t="s">
        <v>150</v>
      </c>
      <c r="V297" s="165" t="s">
        <v>16</v>
      </c>
      <c r="W297" s="165" t="s">
        <v>148</v>
      </c>
      <c r="X297" s="165" t="s">
        <v>16</v>
      </c>
      <c r="Y297" s="165" t="s">
        <v>16</v>
      </c>
      <c r="Z297" s="165" t="s">
        <v>16</v>
      </c>
      <c r="AA297" s="165" t="s">
        <v>16</v>
      </c>
      <c r="AB297" s="165" t="s">
        <v>148</v>
      </c>
      <c r="AC297" s="165" t="s">
        <v>148</v>
      </c>
      <c r="AD297" s="165" t="s">
        <v>148</v>
      </c>
      <c r="AE297" s="165" t="s">
        <v>642</v>
      </c>
      <c r="AF297" s="165"/>
    </row>
    <row r="298" spans="1:32" x14ac:dyDescent="0.3">
      <c r="A298" s="165" t="s">
        <v>659</v>
      </c>
      <c r="B298" s="165" t="s">
        <v>14</v>
      </c>
      <c r="C298" s="165" t="s">
        <v>620</v>
      </c>
      <c r="D298" s="165" t="s">
        <v>15</v>
      </c>
      <c r="E298" s="157">
        <v>40723</v>
      </c>
      <c r="F298" s="165" t="s">
        <v>149</v>
      </c>
      <c r="G298" s="165" t="s">
        <v>16</v>
      </c>
      <c r="H298" s="165" t="s">
        <v>16</v>
      </c>
      <c r="I298" s="165" t="s">
        <v>16</v>
      </c>
      <c r="J298" s="165" t="s">
        <v>16</v>
      </c>
      <c r="K298" s="165" t="s">
        <v>16</v>
      </c>
      <c r="L298" s="165" t="s">
        <v>16</v>
      </c>
      <c r="M298" s="165" t="s">
        <v>16</v>
      </c>
      <c r="N298" s="165" t="s">
        <v>16</v>
      </c>
      <c r="O298" s="165" t="s">
        <v>16</v>
      </c>
      <c r="P298" s="165" t="s">
        <v>16</v>
      </c>
      <c r="Q298" s="165" t="s">
        <v>16</v>
      </c>
      <c r="R298" s="165" t="s">
        <v>16</v>
      </c>
      <c r="S298" s="165" t="s">
        <v>16</v>
      </c>
      <c r="T298" s="165" t="s">
        <v>16</v>
      </c>
      <c r="U298" s="165" t="s">
        <v>16</v>
      </c>
      <c r="V298" s="165" t="s">
        <v>16</v>
      </c>
      <c r="W298" s="165" t="s">
        <v>16</v>
      </c>
      <c r="X298" s="165" t="s">
        <v>16</v>
      </c>
      <c r="Y298" s="165" t="s">
        <v>16</v>
      </c>
      <c r="Z298" s="165" t="s">
        <v>16</v>
      </c>
      <c r="AA298" s="165" t="s">
        <v>16</v>
      </c>
      <c r="AB298" s="165" t="s">
        <v>16</v>
      </c>
      <c r="AC298" s="165" t="s">
        <v>16</v>
      </c>
      <c r="AD298" s="165" t="s">
        <v>16</v>
      </c>
      <c r="AE298" s="165" t="s">
        <v>628</v>
      </c>
      <c r="AF298" s="165"/>
    </row>
    <row r="299" spans="1:32" x14ac:dyDescent="0.3">
      <c r="A299" s="165" t="s">
        <v>660</v>
      </c>
      <c r="B299" s="165" t="s">
        <v>14</v>
      </c>
      <c r="C299" s="165" t="s">
        <v>620</v>
      </c>
      <c r="D299" s="165" t="s">
        <v>15</v>
      </c>
      <c r="E299" s="157">
        <v>40723</v>
      </c>
      <c r="F299" s="165" t="s">
        <v>16</v>
      </c>
      <c r="G299" s="165" t="s">
        <v>16</v>
      </c>
      <c r="H299" s="165" t="s">
        <v>16</v>
      </c>
      <c r="I299" s="165" t="s">
        <v>16</v>
      </c>
      <c r="J299" s="165" t="s">
        <v>148</v>
      </c>
      <c r="K299" s="165" t="s">
        <v>16</v>
      </c>
      <c r="L299" s="165" t="s">
        <v>16</v>
      </c>
      <c r="M299" s="165" t="s">
        <v>16</v>
      </c>
      <c r="N299" s="165" t="s">
        <v>16</v>
      </c>
      <c r="O299" s="165" t="s">
        <v>148</v>
      </c>
      <c r="P299" s="165" t="s">
        <v>148</v>
      </c>
      <c r="Q299" s="165" t="s">
        <v>16</v>
      </c>
      <c r="R299" s="165" t="s">
        <v>16</v>
      </c>
      <c r="S299" s="165" t="s">
        <v>16</v>
      </c>
      <c r="T299" s="165" t="s">
        <v>16</v>
      </c>
      <c r="U299" s="165" t="s">
        <v>16</v>
      </c>
      <c r="V299" s="165" t="s">
        <v>16</v>
      </c>
      <c r="W299" s="165" t="s">
        <v>16</v>
      </c>
      <c r="X299" s="165" t="s">
        <v>16</v>
      </c>
      <c r="Y299" s="165" t="s">
        <v>16</v>
      </c>
      <c r="Z299" s="165" t="s">
        <v>16</v>
      </c>
      <c r="AA299" s="165" t="s">
        <v>16</v>
      </c>
      <c r="AB299" s="165" t="s">
        <v>16</v>
      </c>
      <c r="AC299" s="165" t="s">
        <v>16</v>
      </c>
      <c r="AD299" s="165" t="s">
        <v>16</v>
      </c>
      <c r="AE299" s="165" t="s">
        <v>621</v>
      </c>
      <c r="AF299" s="165"/>
    </row>
    <row r="300" spans="1:32" x14ac:dyDescent="0.3">
      <c r="A300" s="165" t="s">
        <v>661</v>
      </c>
      <c r="B300" s="165" t="s">
        <v>14</v>
      </c>
      <c r="C300" s="165" t="s">
        <v>620</v>
      </c>
      <c r="D300" s="165" t="s">
        <v>15</v>
      </c>
      <c r="E300" s="157">
        <v>40723</v>
      </c>
      <c r="F300" s="165" t="s">
        <v>16</v>
      </c>
      <c r="G300" s="165" t="s">
        <v>148</v>
      </c>
      <c r="H300" s="165" t="s">
        <v>16</v>
      </c>
      <c r="I300" s="165" t="s">
        <v>148</v>
      </c>
      <c r="J300" s="165" t="s">
        <v>16</v>
      </c>
      <c r="K300" s="165" t="s">
        <v>148</v>
      </c>
      <c r="L300" s="165" t="s">
        <v>148</v>
      </c>
      <c r="M300" s="165" t="s">
        <v>16</v>
      </c>
      <c r="N300" s="165" t="s">
        <v>148</v>
      </c>
      <c r="O300" s="165" t="s">
        <v>148</v>
      </c>
      <c r="P300" s="165" t="s">
        <v>148</v>
      </c>
      <c r="Q300" s="165" t="s">
        <v>16</v>
      </c>
      <c r="R300" s="165" t="s">
        <v>16</v>
      </c>
      <c r="S300" s="165" t="s">
        <v>148</v>
      </c>
      <c r="T300" s="165" t="s">
        <v>16</v>
      </c>
      <c r="U300" s="165" t="s">
        <v>148</v>
      </c>
      <c r="V300" s="165" t="s">
        <v>16</v>
      </c>
      <c r="W300" s="165" t="s">
        <v>16</v>
      </c>
      <c r="X300" s="165" t="s">
        <v>16</v>
      </c>
      <c r="Y300" s="165" t="s">
        <v>16</v>
      </c>
      <c r="Z300" s="165" t="s">
        <v>16</v>
      </c>
      <c r="AA300" s="165" t="s">
        <v>16</v>
      </c>
      <c r="AB300" s="165" t="s">
        <v>16</v>
      </c>
      <c r="AC300" s="165" t="s">
        <v>16</v>
      </c>
      <c r="AD300" s="165" t="s">
        <v>16</v>
      </c>
      <c r="AE300" s="165" t="s">
        <v>647</v>
      </c>
      <c r="AF300" s="165"/>
    </row>
    <row r="303" spans="1:32" x14ac:dyDescent="0.3">
      <c r="A303" s="165"/>
      <c r="B303" s="165"/>
      <c r="C303" s="165"/>
      <c r="D303" s="165"/>
      <c r="E303" s="165"/>
      <c r="F303" s="165" t="s">
        <v>124</v>
      </c>
      <c r="G303" s="165" t="s">
        <v>125</v>
      </c>
      <c r="H303" s="165" t="s">
        <v>126</v>
      </c>
      <c r="I303" s="165" t="s">
        <v>127</v>
      </c>
      <c r="J303" s="165" t="s">
        <v>214</v>
      </c>
      <c r="K303" s="165" t="s">
        <v>128</v>
      </c>
      <c r="L303" s="165" t="s">
        <v>129</v>
      </c>
      <c r="M303" s="165" t="s">
        <v>130</v>
      </c>
      <c r="N303" s="165" t="s">
        <v>131</v>
      </c>
      <c r="O303" s="165" t="s">
        <v>132</v>
      </c>
      <c r="P303" s="165" t="s">
        <v>133</v>
      </c>
      <c r="Q303" s="165" t="s">
        <v>134</v>
      </c>
      <c r="R303" s="165" t="s">
        <v>135</v>
      </c>
      <c r="S303" s="165" t="s">
        <v>136</v>
      </c>
      <c r="T303" s="165" t="s">
        <v>137</v>
      </c>
      <c r="U303" s="165" t="s">
        <v>138</v>
      </c>
      <c r="V303" s="165" t="s">
        <v>139</v>
      </c>
      <c r="W303" s="165" t="s">
        <v>140</v>
      </c>
      <c r="X303" s="165" t="s">
        <v>186</v>
      </c>
      <c r="Y303" s="165" t="s">
        <v>209</v>
      </c>
      <c r="Z303" s="165" t="s">
        <v>141</v>
      </c>
      <c r="AA303" s="165" t="s">
        <v>142</v>
      </c>
      <c r="AB303" s="165" t="s">
        <v>210</v>
      </c>
      <c r="AC303" s="165" t="s">
        <v>143</v>
      </c>
      <c r="AD303" s="165" t="s">
        <v>144</v>
      </c>
      <c r="AE303" s="165" t="s">
        <v>671</v>
      </c>
      <c r="AF303" s="165" t="s">
        <v>190</v>
      </c>
    </row>
    <row r="304" spans="1:32" x14ac:dyDescent="0.3">
      <c r="A304" s="165" t="s">
        <v>672</v>
      </c>
      <c r="B304" s="165" t="s">
        <v>14</v>
      </c>
      <c r="C304" s="165" t="s">
        <v>673</v>
      </c>
      <c r="D304" s="165" t="s">
        <v>15</v>
      </c>
      <c r="E304" s="157">
        <v>40754</v>
      </c>
      <c r="F304" s="165" t="s">
        <v>16</v>
      </c>
      <c r="G304" s="165" t="s">
        <v>16</v>
      </c>
      <c r="H304" s="165" t="s">
        <v>148</v>
      </c>
      <c r="I304" s="165" t="s">
        <v>16</v>
      </c>
      <c r="J304" s="165" t="s">
        <v>16</v>
      </c>
      <c r="K304" s="165" t="s">
        <v>16</v>
      </c>
      <c r="L304" s="165" t="s">
        <v>16</v>
      </c>
      <c r="M304" s="165" t="s">
        <v>148</v>
      </c>
      <c r="N304" s="165" t="s">
        <v>148</v>
      </c>
      <c r="O304" s="165" t="s">
        <v>16</v>
      </c>
      <c r="P304" s="165" t="s">
        <v>16</v>
      </c>
      <c r="Q304" s="165" t="s">
        <v>16</v>
      </c>
      <c r="R304" s="165" t="s">
        <v>16</v>
      </c>
      <c r="S304" s="165" t="s">
        <v>16</v>
      </c>
      <c r="T304" s="165" t="s">
        <v>16</v>
      </c>
      <c r="U304" s="165" t="s">
        <v>148</v>
      </c>
      <c r="V304" s="165" t="s">
        <v>148</v>
      </c>
      <c r="W304" s="165" t="s">
        <v>16</v>
      </c>
      <c r="X304" s="165" t="s">
        <v>16</v>
      </c>
      <c r="Y304" s="165" t="s">
        <v>16</v>
      </c>
      <c r="Z304" s="165" t="s">
        <v>16</v>
      </c>
      <c r="AA304" s="165" t="s">
        <v>148</v>
      </c>
      <c r="AB304" s="165" t="s">
        <v>16</v>
      </c>
      <c r="AC304" s="165" t="s">
        <v>148</v>
      </c>
      <c r="AD304" s="165" t="s">
        <v>148</v>
      </c>
      <c r="AE304" s="165" t="s">
        <v>674</v>
      </c>
      <c r="AF304" s="165"/>
    </row>
    <row r="305" spans="1:32" x14ac:dyDescent="0.3">
      <c r="A305" s="165" t="s">
        <v>675</v>
      </c>
      <c r="B305" s="165" t="s">
        <v>14</v>
      </c>
      <c r="C305" s="165" t="s">
        <v>673</v>
      </c>
      <c r="D305" s="165" t="s">
        <v>15</v>
      </c>
      <c r="E305" s="157">
        <v>40754</v>
      </c>
      <c r="F305" s="165" t="s">
        <v>148</v>
      </c>
      <c r="G305" s="165" t="s">
        <v>148</v>
      </c>
      <c r="H305" s="165" t="s">
        <v>148</v>
      </c>
      <c r="I305" s="165" t="s">
        <v>148</v>
      </c>
      <c r="J305" s="165" t="s">
        <v>16</v>
      </c>
      <c r="K305" s="165" t="s">
        <v>148</v>
      </c>
      <c r="L305" s="165" t="s">
        <v>148</v>
      </c>
      <c r="M305" s="165" t="s">
        <v>148</v>
      </c>
      <c r="N305" s="165" t="s">
        <v>148</v>
      </c>
      <c r="O305" s="165" t="s">
        <v>16</v>
      </c>
      <c r="P305" s="165" t="s">
        <v>148</v>
      </c>
      <c r="Q305" s="165" t="s">
        <v>16</v>
      </c>
      <c r="R305" s="165" t="s">
        <v>149</v>
      </c>
      <c r="S305" s="165" t="s">
        <v>148</v>
      </c>
      <c r="T305" s="165" t="s">
        <v>149</v>
      </c>
      <c r="U305" s="165" t="s">
        <v>148</v>
      </c>
      <c r="V305" s="165" t="s">
        <v>16</v>
      </c>
      <c r="W305" s="165" t="s">
        <v>16</v>
      </c>
      <c r="X305" s="165" t="s">
        <v>16</v>
      </c>
      <c r="Y305" s="165" t="s">
        <v>16</v>
      </c>
      <c r="Z305" s="165" t="s">
        <v>148</v>
      </c>
      <c r="AA305" s="165" t="s">
        <v>16</v>
      </c>
      <c r="AB305" s="165" t="s">
        <v>16</v>
      </c>
      <c r="AC305" s="165" t="s">
        <v>16</v>
      </c>
      <c r="AD305" s="165" t="s">
        <v>148</v>
      </c>
      <c r="AE305" s="165" t="s">
        <v>676</v>
      </c>
      <c r="AF305" s="165"/>
    </row>
    <row r="306" spans="1:32" x14ac:dyDescent="0.3">
      <c r="A306" s="165" t="s">
        <v>677</v>
      </c>
      <c r="B306" s="165" t="s">
        <v>14</v>
      </c>
      <c r="C306" s="165" t="s">
        <v>673</v>
      </c>
      <c r="D306" s="165" t="s">
        <v>15</v>
      </c>
      <c r="E306" s="157">
        <v>40754</v>
      </c>
      <c r="F306" s="165" t="s">
        <v>16</v>
      </c>
      <c r="G306" s="165" t="s">
        <v>16</v>
      </c>
      <c r="H306" s="165" t="s">
        <v>16</v>
      </c>
      <c r="I306" s="165" t="s">
        <v>16</v>
      </c>
      <c r="J306" s="165" t="s">
        <v>16</v>
      </c>
      <c r="K306" s="165" t="s">
        <v>16</v>
      </c>
      <c r="L306" s="165" t="s">
        <v>16</v>
      </c>
      <c r="M306" s="165" t="s">
        <v>16</v>
      </c>
      <c r="N306" s="165" t="s">
        <v>16</v>
      </c>
      <c r="O306" s="165" t="s">
        <v>16</v>
      </c>
      <c r="P306" s="165" t="s">
        <v>16</v>
      </c>
      <c r="Q306" s="165" t="s">
        <v>16</v>
      </c>
      <c r="R306" s="165" t="s">
        <v>16</v>
      </c>
      <c r="S306" s="165" t="s">
        <v>16</v>
      </c>
      <c r="T306" s="165" t="s">
        <v>16</v>
      </c>
      <c r="U306" s="165" t="s">
        <v>16</v>
      </c>
      <c r="V306" s="165" t="s">
        <v>148</v>
      </c>
      <c r="W306" s="165" t="s">
        <v>16</v>
      </c>
      <c r="X306" s="165" t="s">
        <v>16</v>
      </c>
      <c r="Y306" s="165" t="s">
        <v>16</v>
      </c>
      <c r="Z306" s="165" t="s">
        <v>148</v>
      </c>
      <c r="AA306" s="165" t="s">
        <v>16</v>
      </c>
      <c r="AB306" s="165" t="s">
        <v>16</v>
      </c>
      <c r="AC306" s="165" t="s">
        <v>148</v>
      </c>
      <c r="AD306" s="165" t="s">
        <v>16</v>
      </c>
      <c r="AE306" s="165" t="s">
        <v>676</v>
      </c>
      <c r="AF306" s="165"/>
    </row>
    <row r="307" spans="1:32" x14ac:dyDescent="0.3">
      <c r="A307" s="165" t="s">
        <v>678</v>
      </c>
      <c r="B307" s="165" t="s">
        <v>14</v>
      </c>
      <c r="C307" s="165" t="s">
        <v>673</v>
      </c>
      <c r="D307" s="165" t="s">
        <v>15</v>
      </c>
      <c r="E307" s="157">
        <v>40754</v>
      </c>
      <c r="F307" s="165" t="s">
        <v>16</v>
      </c>
      <c r="G307" s="165" t="s">
        <v>16</v>
      </c>
      <c r="H307" s="165" t="s">
        <v>16</v>
      </c>
      <c r="I307" s="165" t="s">
        <v>16</v>
      </c>
      <c r="J307" s="165" t="s">
        <v>16</v>
      </c>
      <c r="K307" s="165" t="s">
        <v>16</v>
      </c>
      <c r="L307" s="165" t="s">
        <v>16</v>
      </c>
      <c r="M307" s="165" t="s">
        <v>16</v>
      </c>
      <c r="N307" s="165" t="s">
        <v>148</v>
      </c>
      <c r="O307" s="165" t="s">
        <v>16</v>
      </c>
      <c r="P307" s="165" t="s">
        <v>16</v>
      </c>
      <c r="Q307" s="165" t="s">
        <v>16</v>
      </c>
      <c r="R307" s="165" t="s">
        <v>16</v>
      </c>
      <c r="S307" s="165" t="s">
        <v>149</v>
      </c>
      <c r="T307" s="165" t="s">
        <v>16</v>
      </c>
      <c r="U307" s="165" t="s">
        <v>16</v>
      </c>
      <c r="V307" s="165" t="s">
        <v>16</v>
      </c>
      <c r="W307" s="165" t="s">
        <v>16</v>
      </c>
      <c r="X307" s="165" t="s">
        <v>16</v>
      </c>
      <c r="Y307" s="165" t="s">
        <v>16</v>
      </c>
      <c r="Z307" s="165" t="s">
        <v>16</v>
      </c>
      <c r="AA307" s="165" t="s">
        <v>16</v>
      </c>
      <c r="AB307" s="165" t="s">
        <v>148</v>
      </c>
      <c r="AC307" s="165" t="s">
        <v>16</v>
      </c>
      <c r="AD307" s="165" t="s">
        <v>16</v>
      </c>
      <c r="AE307" s="165" t="s">
        <v>674</v>
      </c>
      <c r="AF307" s="165"/>
    </row>
    <row r="308" spans="1:32" x14ac:dyDescent="0.3">
      <c r="A308" s="165" t="s">
        <v>679</v>
      </c>
      <c r="B308" s="165" t="s">
        <v>14</v>
      </c>
      <c r="C308" s="165" t="s">
        <v>673</v>
      </c>
      <c r="D308" s="165" t="s">
        <v>15</v>
      </c>
      <c r="E308" s="157">
        <v>40754</v>
      </c>
      <c r="F308" s="165" t="s">
        <v>16</v>
      </c>
      <c r="G308" s="165" t="s">
        <v>16</v>
      </c>
      <c r="H308" s="165" t="s">
        <v>148</v>
      </c>
      <c r="I308" s="165" t="s">
        <v>16</v>
      </c>
      <c r="J308" s="165" t="s">
        <v>16</v>
      </c>
      <c r="K308" s="165" t="s">
        <v>16</v>
      </c>
      <c r="L308" s="165" t="s">
        <v>16</v>
      </c>
      <c r="M308" s="165" t="s">
        <v>148</v>
      </c>
      <c r="N308" s="165" t="s">
        <v>148</v>
      </c>
      <c r="O308" s="165" t="s">
        <v>16</v>
      </c>
      <c r="P308" s="165" t="s">
        <v>148</v>
      </c>
      <c r="Q308" s="165" t="s">
        <v>149</v>
      </c>
      <c r="R308" s="165" t="s">
        <v>149</v>
      </c>
      <c r="S308" s="165" t="s">
        <v>16</v>
      </c>
      <c r="T308" s="165" t="s">
        <v>148</v>
      </c>
      <c r="U308" s="165" t="s">
        <v>16</v>
      </c>
      <c r="V308" s="165" t="s">
        <v>16</v>
      </c>
      <c r="W308" s="165" t="s">
        <v>148</v>
      </c>
      <c r="X308" s="165" t="s">
        <v>16</v>
      </c>
      <c r="Y308" s="165" t="s">
        <v>148</v>
      </c>
      <c r="Z308" s="165" t="s">
        <v>149</v>
      </c>
      <c r="AA308" s="165" t="s">
        <v>148</v>
      </c>
      <c r="AB308" s="165" t="s">
        <v>16</v>
      </c>
      <c r="AC308" s="165" t="s">
        <v>16</v>
      </c>
      <c r="AD308" s="165" t="s">
        <v>16</v>
      </c>
      <c r="AE308" s="165" t="s">
        <v>674</v>
      </c>
      <c r="AF308" s="165" t="s">
        <v>680</v>
      </c>
    </row>
    <row r="309" spans="1:32" x14ac:dyDescent="0.3">
      <c r="A309" s="165" t="s">
        <v>681</v>
      </c>
      <c r="B309" s="165" t="s">
        <v>14</v>
      </c>
      <c r="C309" s="165" t="s">
        <v>673</v>
      </c>
      <c r="D309" s="165" t="s">
        <v>15</v>
      </c>
      <c r="E309" s="157">
        <v>40754</v>
      </c>
      <c r="F309" s="165" t="s">
        <v>16</v>
      </c>
      <c r="G309" s="165" t="s">
        <v>16</v>
      </c>
      <c r="H309" s="165" t="s">
        <v>16</v>
      </c>
      <c r="I309" s="165" t="s">
        <v>16</v>
      </c>
      <c r="J309" s="165" t="s">
        <v>16</v>
      </c>
      <c r="K309" s="165" t="s">
        <v>16</v>
      </c>
      <c r="L309" s="165" t="s">
        <v>16</v>
      </c>
      <c r="M309" s="165" t="s">
        <v>16</v>
      </c>
      <c r="N309" s="165" t="s">
        <v>16</v>
      </c>
      <c r="O309" s="165" t="s">
        <v>16</v>
      </c>
      <c r="P309" s="165" t="s">
        <v>16</v>
      </c>
      <c r="Q309" s="165" t="s">
        <v>16</v>
      </c>
      <c r="R309" s="165" t="s">
        <v>16</v>
      </c>
      <c r="S309" s="165" t="s">
        <v>16</v>
      </c>
      <c r="T309" s="165" t="s">
        <v>16</v>
      </c>
      <c r="U309" s="165" t="s">
        <v>16</v>
      </c>
      <c r="V309" s="165" t="s">
        <v>16</v>
      </c>
      <c r="W309" s="165" t="s">
        <v>16</v>
      </c>
      <c r="X309" s="165" t="s">
        <v>16</v>
      </c>
      <c r="Y309" s="165" t="s">
        <v>16</v>
      </c>
      <c r="Z309" s="165" t="s">
        <v>16</v>
      </c>
      <c r="AA309" s="165" t="s">
        <v>16</v>
      </c>
      <c r="AB309" s="165" t="s">
        <v>16</v>
      </c>
      <c r="AC309" s="165" t="s">
        <v>16</v>
      </c>
      <c r="AD309" s="165" t="s">
        <v>16</v>
      </c>
      <c r="AE309" s="165" t="s">
        <v>682</v>
      </c>
      <c r="AF309" s="165"/>
    </row>
    <row r="310" spans="1:32" x14ac:dyDescent="0.3">
      <c r="A310" s="165" t="s">
        <v>683</v>
      </c>
      <c r="B310" s="165" t="s">
        <v>14</v>
      </c>
      <c r="C310" s="165" t="s">
        <v>673</v>
      </c>
      <c r="D310" s="165" t="s">
        <v>15</v>
      </c>
      <c r="E310" s="157">
        <v>40754</v>
      </c>
      <c r="F310" s="165" t="s">
        <v>16</v>
      </c>
      <c r="G310" s="165" t="s">
        <v>16</v>
      </c>
      <c r="H310" s="165" t="s">
        <v>16</v>
      </c>
      <c r="I310" s="165" t="s">
        <v>16</v>
      </c>
      <c r="J310" s="165" t="s">
        <v>16</v>
      </c>
      <c r="K310" s="165" t="s">
        <v>16</v>
      </c>
      <c r="L310" s="165" t="s">
        <v>16</v>
      </c>
      <c r="M310" s="165" t="s">
        <v>16</v>
      </c>
      <c r="N310" s="165" t="s">
        <v>16</v>
      </c>
      <c r="O310" s="165" t="s">
        <v>16</v>
      </c>
      <c r="P310" s="165" t="s">
        <v>16</v>
      </c>
      <c r="Q310" s="165" t="s">
        <v>16</v>
      </c>
      <c r="R310" s="165" t="s">
        <v>16</v>
      </c>
      <c r="S310" s="165" t="s">
        <v>16</v>
      </c>
      <c r="T310" s="165" t="s">
        <v>16</v>
      </c>
      <c r="U310" s="165" t="s">
        <v>16</v>
      </c>
      <c r="V310" s="165" t="s">
        <v>16</v>
      </c>
      <c r="W310" s="165" t="s">
        <v>16</v>
      </c>
      <c r="X310" s="165" t="s">
        <v>16</v>
      </c>
      <c r="Y310" s="165" t="s">
        <v>16</v>
      </c>
      <c r="Z310" s="165" t="s">
        <v>16</v>
      </c>
      <c r="AA310" s="165" t="s">
        <v>16</v>
      </c>
      <c r="AB310" s="165" t="s">
        <v>16</v>
      </c>
      <c r="AC310" s="165" t="s">
        <v>16</v>
      </c>
      <c r="AD310" s="165" t="s">
        <v>16</v>
      </c>
      <c r="AE310" s="165" t="s">
        <v>674</v>
      </c>
      <c r="AF310" s="165"/>
    </row>
    <row r="311" spans="1:32" x14ac:dyDescent="0.3">
      <c r="A311" s="165" t="s">
        <v>684</v>
      </c>
      <c r="B311" s="165" t="s">
        <v>14</v>
      </c>
      <c r="C311" s="165" t="s">
        <v>673</v>
      </c>
      <c r="D311" s="165" t="s">
        <v>15</v>
      </c>
      <c r="E311" s="157">
        <v>40754</v>
      </c>
      <c r="F311" s="165" t="s">
        <v>16</v>
      </c>
      <c r="G311" s="165" t="s">
        <v>149</v>
      </c>
      <c r="H311" s="165" t="s">
        <v>16</v>
      </c>
      <c r="I311" s="165" t="s">
        <v>149</v>
      </c>
      <c r="J311" s="165" t="s">
        <v>16</v>
      </c>
      <c r="K311" s="165" t="s">
        <v>151</v>
      </c>
      <c r="L311" s="165" t="s">
        <v>149</v>
      </c>
      <c r="M311" s="165" t="s">
        <v>149</v>
      </c>
      <c r="N311" s="165" t="s">
        <v>16</v>
      </c>
      <c r="O311" s="165" t="s">
        <v>148</v>
      </c>
      <c r="P311" s="165" t="s">
        <v>148</v>
      </c>
      <c r="Q311" s="165" t="s">
        <v>148</v>
      </c>
      <c r="R311" s="165" t="s">
        <v>149</v>
      </c>
      <c r="S311" s="165" t="s">
        <v>149</v>
      </c>
      <c r="T311" s="165" t="s">
        <v>149</v>
      </c>
      <c r="U311" s="165" t="s">
        <v>149</v>
      </c>
      <c r="V311" s="165" t="s">
        <v>149</v>
      </c>
      <c r="W311" s="165" t="s">
        <v>149</v>
      </c>
      <c r="X311" s="165" t="s">
        <v>16</v>
      </c>
      <c r="Y311" s="165" t="s">
        <v>149</v>
      </c>
      <c r="Z311" s="165" t="s">
        <v>149</v>
      </c>
      <c r="AA311" s="165" t="s">
        <v>149</v>
      </c>
      <c r="AB311" s="165" t="s">
        <v>16</v>
      </c>
      <c r="AC311" s="165" t="s">
        <v>148</v>
      </c>
      <c r="AD311" s="165" t="s">
        <v>16</v>
      </c>
      <c r="AE311" s="165" t="s">
        <v>685</v>
      </c>
      <c r="AF311" s="165"/>
    </row>
    <row r="312" spans="1:32" x14ac:dyDescent="0.3">
      <c r="A312" s="165" t="s">
        <v>686</v>
      </c>
      <c r="B312" s="165" t="s">
        <v>14</v>
      </c>
      <c r="C312" s="165" t="s">
        <v>673</v>
      </c>
      <c r="D312" s="165" t="s">
        <v>15</v>
      </c>
      <c r="E312" s="157">
        <v>40754</v>
      </c>
      <c r="F312" s="165" t="s">
        <v>148</v>
      </c>
      <c r="G312" s="165" t="s">
        <v>16</v>
      </c>
      <c r="H312" s="165" t="s">
        <v>16</v>
      </c>
      <c r="I312" s="165" t="s">
        <v>16</v>
      </c>
      <c r="J312" s="165" t="s">
        <v>16</v>
      </c>
      <c r="K312" s="165" t="s">
        <v>16</v>
      </c>
      <c r="L312" s="165" t="s">
        <v>16</v>
      </c>
      <c r="M312" s="165" t="s">
        <v>16</v>
      </c>
      <c r="N312" s="165" t="s">
        <v>16</v>
      </c>
      <c r="O312" s="165" t="s">
        <v>148</v>
      </c>
      <c r="P312" s="165" t="s">
        <v>16</v>
      </c>
      <c r="Q312" s="165" t="s">
        <v>16</v>
      </c>
      <c r="R312" s="165" t="s">
        <v>16</v>
      </c>
      <c r="S312" s="165" t="s">
        <v>16</v>
      </c>
      <c r="T312" s="165" t="s">
        <v>16</v>
      </c>
      <c r="U312" s="165" t="s">
        <v>16</v>
      </c>
      <c r="V312" s="165" t="s">
        <v>16</v>
      </c>
      <c r="W312" s="165" t="s">
        <v>16</v>
      </c>
      <c r="X312" s="165" t="s">
        <v>16</v>
      </c>
      <c r="Y312" s="165" t="s">
        <v>16</v>
      </c>
      <c r="Z312" s="165" t="s">
        <v>16</v>
      </c>
      <c r="AA312" s="165" t="s">
        <v>148</v>
      </c>
      <c r="AB312" s="165" t="s">
        <v>149</v>
      </c>
      <c r="AC312" s="165" t="s">
        <v>148</v>
      </c>
      <c r="AD312" s="165" t="s">
        <v>16</v>
      </c>
      <c r="AE312" s="165" t="s">
        <v>687</v>
      </c>
      <c r="AF312" s="165"/>
    </row>
    <row r="313" spans="1:32" x14ac:dyDescent="0.3">
      <c r="A313" s="165" t="s">
        <v>688</v>
      </c>
      <c r="B313" s="165" t="s">
        <v>14</v>
      </c>
      <c r="C313" s="165" t="s">
        <v>673</v>
      </c>
      <c r="D313" s="165" t="s">
        <v>15</v>
      </c>
      <c r="E313" s="157">
        <v>40754</v>
      </c>
      <c r="F313" s="165" t="s">
        <v>16</v>
      </c>
      <c r="G313" s="165" t="s">
        <v>16</v>
      </c>
      <c r="H313" s="165" t="s">
        <v>16</v>
      </c>
      <c r="I313" s="165" t="s">
        <v>16</v>
      </c>
      <c r="J313" s="165" t="s">
        <v>16</v>
      </c>
      <c r="K313" s="165" t="s">
        <v>16</v>
      </c>
      <c r="L313" s="165" t="s">
        <v>16</v>
      </c>
      <c r="M313" s="165" t="s">
        <v>16</v>
      </c>
      <c r="N313" s="165" t="s">
        <v>16</v>
      </c>
      <c r="O313" s="165" t="s">
        <v>16</v>
      </c>
      <c r="P313" s="165" t="s">
        <v>16</v>
      </c>
      <c r="Q313" s="165" t="s">
        <v>16</v>
      </c>
      <c r="R313" s="165" t="s">
        <v>16</v>
      </c>
      <c r="S313" s="165" t="s">
        <v>16</v>
      </c>
      <c r="T313" s="165" t="s">
        <v>16</v>
      </c>
      <c r="U313" s="165" t="s">
        <v>16</v>
      </c>
      <c r="V313" s="165" t="s">
        <v>16</v>
      </c>
      <c r="W313" s="165" t="s">
        <v>16</v>
      </c>
      <c r="X313" s="165" t="s">
        <v>16</v>
      </c>
      <c r="Y313" s="165" t="s">
        <v>16</v>
      </c>
      <c r="Z313" s="165" t="s">
        <v>16</v>
      </c>
      <c r="AA313" s="165" t="s">
        <v>16</v>
      </c>
      <c r="AB313" s="165" t="s">
        <v>16</v>
      </c>
      <c r="AC313" s="165" t="s">
        <v>148</v>
      </c>
      <c r="AD313" s="165" t="s">
        <v>16</v>
      </c>
      <c r="AE313" s="165" t="s">
        <v>676</v>
      </c>
      <c r="AF313" s="165"/>
    </row>
    <row r="314" spans="1:32" x14ac:dyDescent="0.3">
      <c r="A314" s="165" t="s">
        <v>689</v>
      </c>
      <c r="B314" s="165" t="s">
        <v>14</v>
      </c>
      <c r="C314" s="165" t="s">
        <v>673</v>
      </c>
      <c r="D314" s="165" t="s">
        <v>15</v>
      </c>
      <c r="E314" s="157">
        <v>40754</v>
      </c>
      <c r="F314" s="165" t="s">
        <v>149</v>
      </c>
      <c r="G314" s="165" t="s">
        <v>150</v>
      </c>
      <c r="H314" s="165" t="s">
        <v>16</v>
      </c>
      <c r="I314" s="165" t="s">
        <v>16</v>
      </c>
      <c r="J314" s="165" t="s">
        <v>16</v>
      </c>
      <c r="K314" s="165" t="s">
        <v>150</v>
      </c>
      <c r="L314" s="165" t="s">
        <v>148</v>
      </c>
      <c r="M314" s="165" t="s">
        <v>16</v>
      </c>
      <c r="N314" s="165" t="s">
        <v>150</v>
      </c>
      <c r="O314" s="165" t="s">
        <v>16</v>
      </c>
      <c r="P314" s="165" t="s">
        <v>148</v>
      </c>
      <c r="Q314" s="165" t="s">
        <v>148</v>
      </c>
      <c r="R314" s="165" t="s">
        <v>148</v>
      </c>
      <c r="S314" s="165" t="s">
        <v>148</v>
      </c>
      <c r="T314" s="165" t="s">
        <v>148</v>
      </c>
      <c r="U314" s="165" t="s">
        <v>148</v>
      </c>
      <c r="V314" s="165" t="s">
        <v>148</v>
      </c>
      <c r="W314" s="165" t="s">
        <v>148</v>
      </c>
      <c r="X314" s="165" t="s">
        <v>148</v>
      </c>
      <c r="Y314" s="165" t="s">
        <v>16</v>
      </c>
      <c r="Z314" s="165" t="s">
        <v>148</v>
      </c>
      <c r="AA314" s="165" t="s">
        <v>16</v>
      </c>
      <c r="AB314" s="165" t="s">
        <v>148</v>
      </c>
      <c r="AC314" s="165" t="s">
        <v>148</v>
      </c>
      <c r="AD314" s="165" t="s">
        <v>16</v>
      </c>
      <c r="AE314" s="165" t="s">
        <v>690</v>
      </c>
      <c r="AF314" s="165"/>
    </row>
    <row r="315" spans="1:32" x14ac:dyDescent="0.3">
      <c r="A315" s="165" t="s">
        <v>691</v>
      </c>
      <c r="B315" s="165" t="s">
        <v>14</v>
      </c>
      <c r="C315" s="165" t="s">
        <v>673</v>
      </c>
      <c r="D315" s="165" t="s">
        <v>15</v>
      </c>
      <c r="E315" s="157">
        <v>40754</v>
      </c>
      <c r="F315" s="165" t="s">
        <v>148</v>
      </c>
      <c r="G315" s="165" t="s">
        <v>148</v>
      </c>
      <c r="H315" s="165" t="s">
        <v>150</v>
      </c>
      <c r="I315" s="165" t="s">
        <v>150</v>
      </c>
      <c r="J315" s="165" t="s">
        <v>150</v>
      </c>
      <c r="K315" s="165" t="s">
        <v>148</v>
      </c>
      <c r="L315" s="165" t="s">
        <v>148</v>
      </c>
      <c r="M315" s="165" t="s">
        <v>148</v>
      </c>
      <c r="N315" s="165" t="s">
        <v>150</v>
      </c>
      <c r="O315" s="165" t="s">
        <v>148</v>
      </c>
      <c r="P315" s="165" t="s">
        <v>148</v>
      </c>
      <c r="Q315" s="165" t="s">
        <v>150</v>
      </c>
      <c r="R315" s="165" t="s">
        <v>150</v>
      </c>
      <c r="S315" s="165" t="s">
        <v>148</v>
      </c>
      <c r="T315" s="165" t="s">
        <v>148</v>
      </c>
      <c r="U315" s="165" t="s">
        <v>148</v>
      </c>
      <c r="V315" s="165" t="s">
        <v>150</v>
      </c>
      <c r="W315" s="165" t="s">
        <v>150</v>
      </c>
      <c r="X315" s="165" t="s">
        <v>148</v>
      </c>
      <c r="Y315" s="165" t="s">
        <v>148</v>
      </c>
      <c r="Z315" s="165" t="s">
        <v>148</v>
      </c>
      <c r="AA315" s="165" t="s">
        <v>148</v>
      </c>
      <c r="AB315" s="165" t="s">
        <v>148</v>
      </c>
      <c r="AC315" s="165" t="s">
        <v>148</v>
      </c>
      <c r="AD315" s="165" t="s">
        <v>148</v>
      </c>
      <c r="AE315" s="165" t="s">
        <v>692</v>
      </c>
      <c r="AF315" s="165"/>
    </row>
    <row r="316" spans="1:32" x14ac:dyDescent="0.3">
      <c r="A316" s="165" t="s">
        <v>693</v>
      </c>
      <c r="B316" s="165" t="s">
        <v>14</v>
      </c>
      <c r="C316" s="165" t="s">
        <v>673</v>
      </c>
      <c r="D316" s="165" t="s">
        <v>15</v>
      </c>
      <c r="E316" s="157">
        <v>40754</v>
      </c>
      <c r="F316" s="165" t="s">
        <v>16</v>
      </c>
      <c r="G316" s="165" t="s">
        <v>16</v>
      </c>
      <c r="H316" s="165" t="s">
        <v>148</v>
      </c>
      <c r="I316" s="165" t="s">
        <v>148</v>
      </c>
      <c r="J316" s="165" t="s">
        <v>16</v>
      </c>
      <c r="K316" s="165" t="s">
        <v>16</v>
      </c>
      <c r="L316" s="165" t="s">
        <v>16</v>
      </c>
      <c r="M316" s="165" t="s">
        <v>16</v>
      </c>
      <c r="N316" s="165" t="s">
        <v>148</v>
      </c>
      <c r="O316" s="165" t="s">
        <v>16</v>
      </c>
      <c r="P316" s="165" t="s">
        <v>16</v>
      </c>
      <c r="Q316" s="165" t="s">
        <v>16</v>
      </c>
      <c r="R316" s="165" t="s">
        <v>148</v>
      </c>
      <c r="S316" s="165" t="s">
        <v>16</v>
      </c>
      <c r="T316" s="165" t="s">
        <v>148</v>
      </c>
      <c r="U316" s="165" t="s">
        <v>148</v>
      </c>
      <c r="V316" s="165" t="s">
        <v>149</v>
      </c>
      <c r="W316" s="165" t="s">
        <v>149</v>
      </c>
      <c r="X316" s="165" t="s">
        <v>149</v>
      </c>
      <c r="Y316" s="165" t="s">
        <v>149</v>
      </c>
      <c r="Z316" s="165" t="s">
        <v>16</v>
      </c>
      <c r="AA316" s="165" t="s">
        <v>16</v>
      </c>
      <c r="AB316" s="165" t="s">
        <v>16</v>
      </c>
      <c r="AC316" s="165" t="s">
        <v>16</v>
      </c>
      <c r="AD316" s="165" t="s">
        <v>16</v>
      </c>
      <c r="AE316" s="165" t="s">
        <v>674</v>
      </c>
      <c r="AF316" s="165"/>
    </row>
    <row r="317" spans="1:32" x14ac:dyDescent="0.3">
      <c r="A317" s="165" t="s">
        <v>694</v>
      </c>
      <c r="B317" s="165" t="s">
        <v>14</v>
      </c>
      <c r="C317" s="165" t="s">
        <v>673</v>
      </c>
      <c r="D317" s="165" t="s">
        <v>15</v>
      </c>
      <c r="E317" s="157">
        <v>40754</v>
      </c>
      <c r="F317" s="165" t="s">
        <v>16</v>
      </c>
      <c r="G317" s="165" t="s">
        <v>16</v>
      </c>
      <c r="H317" s="165" t="s">
        <v>16</v>
      </c>
      <c r="I317" s="165" t="s">
        <v>148</v>
      </c>
      <c r="J317" s="165" t="s">
        <v>148</v>
      </c>
      <c r="K317" s="165" t="s">
        <v>16</v>
      </c>
      <c r="L317" s="165" t="s">
        <v>16</v>
      </c>
      <c r="M317" s="165" t="s">
        <v>148</v>
      </c>
      <c r="N317" s="165" t="s">
        <v>148</v>
      </c>
      <c r="O317" s="165" t="s">
        <v>148</v>
      </c>
      <c r="P317" s="165" t="s">
        <v>148</v>
      </c>
      <c r="Q317" s="165" t="s">
        <v>148</v>
      </c>
      <c r="R317" s="165" t="s">
        <v>148</v>
      </c>
      <c r="S317" s="165" t="s">
        <v>148</v>
      </c>
      <c r="T317" s="165" t="s">
        <v>148</v>
      </c>
      <c r="U317" s="165" t="s">
        <v>148</v>
      </c>
      <c r="V317" s="165" t="s">
        <v>148</v>
      </c>
      <c r="W317" s="165" t="s">
        <v>148</v>
      </c>
      <c r="X317" s="165" t="s">
        <v>148</v>
      </c>
      <c r="Y317" s="165" t="s">
        <v>148</v>
      </c>
      <c r="Z317" s="165" t="s">
        <v>148</v>
      </c>
      <c r="AA317" s="165" t="s">
        <v>148</v>
      </c>
      <c r="AB317" s="165" t="s">
        <v>16</v>
      </c>
      <c r="AC317" s="165" t="s">
        <v>148</v>
      </c>
      <c r="AD317" s="165" t="s">
        <v>148</v>
      </c>
      <c r="AE317" s="165" t="s">
        <v>676</v>
      </c>
      <c r="AF317" s="165"/>
    </row>
    <row r="318" spans="1:32" x14ac:dyDescent="0.3">
      <c r="A318" s="165" t="s">
        <v>695</v>
      </c>
      <c r="B318" s="165" t="s">
        <v>14</v>
      </c>
      <c r="C318" s="165" t="s">
        <v>673</v>
      </c>
      <c r="D318" s="165" t="s">
        <v>15</v>
      </c>
      <c r="E318" s="157">
        <v>40754</v>
      </c>
      <c r="F318" s="165" t="s">
        <v>16</v>
      </c>
      <c r="G318" s="165" t="s">
        <v>16</v>
      </c>
      <c r="H318" s="165" t="s">
        <v>16</v>
      </c>
      <c r="I318" s="165" t="s">
        <v>16</v>
      </c>
      <c r="J318" s="165" t="s">
        <v>148</v>
      </c>
      <c r="K318" s="165" t="s">
        <v>16</v>
      </c>
      <c r="L318" s="165" t="s">
        <v>16</v>
      </c>
      <c r="M318" s="165" t="s">
        <v>16</v>
      </c>
      <c r="N318" s="165" t="s">
        <v>16</v>
      </c>
      <c r="O318" s="165" t="s">
        <v>16</v>
      </c>
      <c r="P318" s="165" t="s">
        <v>16</v>
      </c>
      <c r="Q318" s="165" t="s">
        <v>16</v>
      </c>
      <c r="R318" s="165" t="s">
        <v>16</v>
      </c>
      <c r="S318" s="165" t="s">
        <v>16</v>
      </c>
      <c r="T318" s="165" t="s">
        <v>16</v>
      </c>
      <c r="U318" s="165" t="s">
        <v>16</v>
      </c>
      <c r="V318" s="165" t="s">
        <v>148</v>
      </c>
      <c r="W318" s="165" t="s">
        <v>16</v>
      </c>
      <c r="X318" s="165" t="s">
        <v>16</v>
      </c>
      <c r="Y318" s="165" t="s">
        <v>16</v>
      </c>
      <c r="Z318" s="165" t="s">
        <v>16</v>
      </c>
      <c r="AA318" s="165" t="s">
        <v>16</v>
      </c>
      <c r="AB318" s="165" t="s">
        <v>16</v>
      </c>
      <c r="AC318" s="165" t="s">
        <v>16</v>
      </c>
      <c r="AD318" s="165" t="s">
        <v>16</v>
      </c>
      <c r="AE318" s="165" t="s">
        <v>692</v>
      </c>
      <c r="AF318" s="165"/>
    </row>
    <row r="319" spans="1:32" x14ac:dyDescent="0.3">
      <c r="A319" s="165" t="s">
        <v>696</v>
      </c>
      <c r="B319" s="165" t="s">
        <v>14</v>
      </c>
      <c r="C319" s="165" t="s">
        <v>673</v>
      </c>
      <c r="D319" s="165" t="s">
        <v>15</v>
      </c>
      <c r="E319" s="157">
        <v>40754</v>
      </c>
      <c r="F319" s="165" t="s">
        <v>16</v>
      </c>
      <c r="G319" s="165" t="s">
        <v>16</v>
      </c>
      <c r="H319" s="165" t="s">
        <v>16</v>
      </c>
      <c r="I319" s="165" t="s">
        <v>16</v>
      </c>
      <c r="J319" s="165" t="s">
        <v>16</v>
      </c>
      <c r="K319" s="165" t="s">
        <v>16</v>
      </c>
      <c r="L319" s="165" t="s">
        <v>16</v>
      </c>
      <c r="M319" s="165" t="s">
        <v>16</v>
      </c>
      <c r="N319" s="165" t="s">
        <v>16</v>
      </c>
      <c r="O319" s="165" t="s">
        <v>16</v>
      </c>
      <c r="P319" s="165" t="s">
        <v>16</v>
      </c>
      <c r="Q319" s="165" t="s">
        <v>16</v>
      </c>
      <c r="R319" s="165" t="s">
        <v>16</v>
      </c>
      <c r="S319" s="165" t="s">
        <v>16</v>
      </c>
      <c r="T319" s="165" t="s">
        <v>16</v>
      </c>
      <c r="U319" s="165" t="s">
        <v>16</v>
      </c>
      <c r="V319" s="165" t="s">
        <v>16</v>
      </c>
      <c r="W319" s="165" t="s">
        <v>16</v>
      </c>
      <c r="X319" s="165" t="s">
        <v>16</v>
      </c>
      <c r="Y319" s="165" t="s">
        <v>16</v>
      </c>
      <c r="Z319" s="165" t="s">
        <v>16</v>
      </c>
      <c r="AA319" s="165" t="s">
        <v>16</v>
      </c>
      <c r="AB319" s="165" t="s">
        <v>16</v>
      </c>
      <c r="AC319" s="165" t="s">
        <v>16</v>
      </c>
      <c r="AD319" s="165" t="s">
        <v>16</v>
      </c>
      <c r="AE319" s="165" t="s">
        <v>692</v>
      </c>
      <c r="AF319" s="165"/>
    </row>
    <row r="320" spans="1:32" x14ac:dyDescent="0.3">
      <c r="A320" s="165" t="s">
        <v>697</v>
      </c>
      <c r="B320" s="165" t="s">
        <v>14</v>
      </c>
      <c r="C320" s="165" t="s">
        <v>673</v>
      </c>
      <c r="D320" s="165" t="s">
        <v>15</v>
      </c>
      <c r="E320" s="157">
        <v>40754</v>
      </c>
      <c r="F320" s="165" t="s">
        <v>16</v>
      </c>
      <c r="G320" s="165" t="s">
        <v>16</v>
      </c>
      <c r="H320" s="165" t="s">
        <v>16</v>
      </c>
      <c r="I320" s="165" t="s">
        <v>148</v>
      </c>
      <c r="J320" s="165" t="s">
        <v>16</v>
      </c>
      <c r="K320" s="165" t="s">
        <v>16</v>
      </c>
      <c r="L320" s="165" t="s">
        <v>16</v>
      </c>
      <c r="M320" s="165" t="s">
        <v>16</v>
      </c>
      <c r="N320" s="165" t="s">
        <v>148</v>
      </c>
      <c r="O320" s="165" t="s">
        <v>16</v>
      </c>
      <c r="P320" s="165" t="s">
        <v>148</v>
      </c>
      <c r="Q320" s="165" t="s">
        <v>16</v>
      </c>
      <c r="R320" s="165" t="s">
        <v>16</v>
      </c>
      <c r="S320" s="165" t="s">
        <v>16</v>
      </c>
      <c r="T320" s="165" t="s">
        <v>16</v>
      </c>
      <c r="U320" s="165" t="s">
        <v>148</v>
      </c>
      <c r="V320" s="165" t="s">
        <v>16</v>
      </c>
      <c r="W320" s="165" t="s">
        <v>16</v>
      </c>
      <c r="X320" s="165" t="s">
        <v>16</v>
      </c>
      <c r="Y320" s="165" t="s">
        <v>16</v>
      </c>
      <c r="Z320" s="165" t="s">
        <v>16</v>
      </c>
      <c r="AA320" s="165" t="s">
        <v>16</v>
      </c>
      <c r="AB320" s="165" t="s">
        <v>16</v>
      </c>
      <c r="AC320" s="165" t="s">
        <v>148</v>
      </c>
      <c r="AD320" s="165" t="s">
        <v>16</v>
      </c>
      <c r="AE320" s="165" t="s">
        <v>687</v>
      </c>
      <c r="AF320" s="165"/>
    </row>
    <row r="321" spans="1:32" x14ac:dyDescent="0.3">
      <c r="A321" s="165" t="s">
        <v>698</v>
      </c>
      <c r="B321" s="165" t="s">
        <v>14</v>
      </c>
      <c r="C321" s="165" t="s">
        <v>673</v>
      </c>
      <c r="D321" s="165" t="s">
        <v>15</v>
      </c>
      <c r="E321" s="157">
        <v>40754</v>
      </c>
      <c r="F321" s="165" t="s">
        <v>148</v>
      </c>
      <c r="G321" s="165" t="s">
        <v>148</v>
      </c>
      <c r="H321" s="165" t="s">
        <v>149</v>
      </c>
      <c r="I321" s="165" t="s">
        <v>16</v>
      </c>
      <c r="J321" s="165" t="s">
        <v>16</v>
      </c>
      <c r="K321" s="165" t="s">
        <v>16</v>
      </c>
      <c r="L321" s="165" t="s">
        <v>16</v>
      </c>
      <c r="M321" s="165" t="s">
        <v>16</v>
      </c>
      <c r="N321" s="165" t="s">
        <v>16</v>
      </c>
      <c r="O321" s="165" t="s">
        <v>16</v>
      </c>
      <c r="P321" s="165" t="s">
        <v>148</v>
      </c>
      <c r="Q321" s="165" t="s">
        <v>16</v>
      </c>
      <c r="R321" s="165" t="s">
        <v>16</v>
      </c>
      <c r="S321" s="165" t="s">
        <v>16</v>
      </c>
      <c r="T321" s="165" t="s">
        <v>16</v>
      </c>
      <c r="U321" s="165" t="s">
        <v>16</v>
      </c>
      <c r="V321" s="165" t="s">
        <v>16</v>
      </c>
      <c r="W321" s="165" t="s">
        <v>16</v>
      </c>
      <c r="X321" s="165" t="s">
        <v>16</v>
      </c>
      <c r="Y321" s="165" t="s">
        <v>16</v>
      </c>
      <c r="Z321" s="165" t="s">
        <v>16</v>
      </c>
      <c r="AA321" s="165" t="s">
        <v>16</v>
      </c>
      <c r="AB321" s="165" t="s">
        <v>16</v>
      </c>
      <c r="AC321" s="165" t="s">
        <v>16</v>
      </c>
      <c r="AD321" s="165" t="s">
        <v>16</v>
      </c>
      <c r="AE321" s="165" t="s">
        <v>692</v>
      </c>
      <c r="AF321" s="165"/>
    </row>
    <row r="322" spans="1:32" x14ac:dyDescent="0.3">
      <c r="A322" s="165" t="s">
        <v>699</v>
      </c>
      <c r="B322" s="165" t="s">
        <v>14</v>
      </c>
      <c r="C322" s="165" t="s">
        <v>673</v>
      </c>
      <c r="D322" s="165" t="s">
        <v>15</v>
      </c>
      <c r="E322" s="157">
        <v>40754</v>
      </c>
      <c r="F322" s="165" t="s">
        <v>16</v>
      </c>
      <c r="G322" s="165" t="s">
        <v>16</v>
      </c>
      <c r="H322" s="165" t="s">
        <v>16</v>
      </c>
      <c r="I322" s="165" t="s">
        <v>148</v>
      </c>
      <c r="J322" s="165" t="s">
        <v>148</v>
      </c>
      <c r="K322" s="165" t="s">
        <v>16</v>
      </c>
      <c r="L322" s="165" t="s">
        <v>16</v>
      </c>
      <c r="M322" s="165" t="s">
        <v>16</v>
      </c>
      <c r="N322" s="165" t="s">
        <v>148</v>
      </c>
      <c r="O322" s="165" t="s">
        <v>16</v>
      </c>
      <c r="P322" s="165" t="s">
        <v>16</v>
      </c>
      <c r="Q322" s="165" t="s">
        <v>16</v>
      </c>
      <c r="R322" s="165" t="s">
        <v>16</v>
      </c>
      <c r="S322" s="165" t="s">
        <v>16</v>
      </c>
      <c r="T322" s="165" t="s">
        <v>16</v>
      </c>
      <c r="U322" s="165" t="s">
        <v>16</v>
      </c>
      <c r="V322" s="165" t="s">
        <v>148</v>
      </c>
      <c r="W322" s="165" t="s">
        <v>148</v>
      </c>
      <c r="X322" s="165" t="s">
        <v>16</v>
      </c>
      <c r="Y322" s="165" t="s">
        <v>16</v>
      </c>
      <c r="Z322" s="165" t="s">
        <v>148</v>
      </c>
      <c r="AA322" s="165" t="s">
        <v>148</v>
      </c>
      <c r="AB322" s="165" t="s">
        <v>148</v>
      </c>
      <c r="AC322" s="165" t="s">
        <v>148</v>
      </c>
      <c r="AD322" s="165" t="s">
        <v>16</v>
      </c>
      <c r="AE322" s="165" t="s">
        <v>687</v>
      </c>
      <c r="AF322" s="165"/>
    </row>
    <row r="323" spans="1:32" x14ac:dyDescent="0.3">
      <c r="A323" s="165" t="s">
        <v>700</v>
      </c>
      <c r="B323" s="165" t="s">
        <v>14</v>
      </c>
      <c r="C323" s="165" t="s">
        <v>673</v>
      </c>
      <c r="D323" s="165" t="s">
        <v>15</v>
      </c>
      <c r="E323" s="157">
        <v>40754</v>
      </c>
      <c r="F323" s="165" t="s">
        <v>16</v>
      </c>
      <c r="G323" s="165" t="s">
        <v>16</v>
      </c>
      <c r="H323" s="165" t="s">
        <v>16</v>
      </c>
      <c r="I323" s="165" t="s">
        <v>16</v>
      </c>
      <c r="J323" s="165" t="s">
        <v>16</v>
      </c>
      <c r="K323" s="165" t="s">
        <v>148</v>
      </c>
      <c r="L323" s="165" t="s">
        <v>16</v>
      </c>
      <c r="M323" s="165" t="s">
        <v>16</v>
      </c>
      <c r="N323" s="165" t="s">
        <v>16</v>
      </c>
      <c r="O323" s="165" t="s">
        <v>16</v>
      </c>
      <c r="P323" s="165" t="s">
        <v>16</v>
      </c>
      <c r="Q323" s="165" t="s">
        <v>16</v>
      </c>
      <c r="R323" s="165" t="s">
        <v>16</v>
      </c>
      <c r="S323" s="165" t="s">
        <v>16</v>
      </c>
      <c r="T323" s="165" t="s">
        <v>16</v>
      </c>
      <c r="U323" s="165" t="s">
        <v>16</v>
      </c>
      <c r="V323" s="165" t="s">
        <v>148</v>
      </c>
      <c r="W323" s="165" t="s">
        <v>148</v>
      </c>
      <c r="X323" s="165" t="s">
        <v>16</v>
      </c>
      <c r="Y323" s="165" t="s">
        <v>16</v>
      </c>
      <c r="Z323" s="165" t="s">
        <v>16</v>
      </c>
      <c r="AA323" s="165" t="s">
        <v>16</v>
      </c>
      <c r="AB323" s="165" t="s">
        <v>16</v>
      </c>
      <c r="AC323" s="165" t="s">
        <v>16</v>
      </c>
      <c r="AD323" s="165" t="s">
        <v>16</v>
      </c>
      <c r="AE323" s="165" t="s">
        <v>674</v>
      </c>
      <c r="AF323" s="165" t="s">
        <v>701</v>
      </c>
    </row>
    <row r="324" spans="1:32" x14ac:dyDescent="0.3">
      <c r="A324" s="165" t="s">
        <v>702</v>
      </c>
      <c r="B324" s="165" t="s">
        <v>14</v>
      </c>
      <c r="C324" s="165" t="s">
        <v>673</v>
      </c>
      <c r="D324" s="165" t="s">
        <v>15</v>
      </c>
      <c r="E324" s="157">
        <v>40754</v>
      </c>
      <c r="F324" s="165" t="s">
        <v>16</v>
      </c>
      <c r="G324" s="165" t="s">
        <v>16</v>
      </c>
      <c r="H324" s="165" t="s">
        <v>16</v>
      </c>
      <c r="I324" s="165" t="s">
        <v>16</v>
      </c>
      <c r="J324" s="165" t="s">
        <v>16</v>
      </c>
      <c r="K324" s="165" t="s">
        <v>16</v>
      </c>
      <c r="L324" s="165" t="s">
        <v>16</v>
      </c>
      <c r="M324" s="165" t="s">
        <v>16</v>
      </c>
      <c r="N324" s="165" t="s">
        <v>16</v>
      </c>
      <c r="O324" s="165" t="s">
        <v>148</v>
      </c>
      <c r="P324" s="165" t="s">
        <v>16</v>
      </c>
      <c r="Q324" s="165" t="s">
        <v>16</v>
      </c>
      <c r="R324" s="165" t="s">
        <v>16</v>
      </c>
      <c r="S324" s="165" t="s">
        <v>16</v>
      </c>
      <c r="T324" s="165" t="s">
        <v>16</v>
      </c>
      <c r="U324" s="165" t="s">
        <v>148</v>
      </c>
      <c r="V324" s="165" t="s">
        <v>16</v>
      </c>
      <c r="W324" s="165" t="s">
        <v>16</v>
      </c>
      <c r="X324" s="165" t="s">
        <v>148</v>
      </c>
      <c r="Y324" s="165" t="s">
        <v>16</v>
      </c>
      <c r="Z324" s="165" t="s">
        <v>149</v>
      </c>
      <c r="AA324" s="165" t="s">
        <v>16</v>
      </c>
      <c r="AB324" s="165" t="s">
        <v>16</v>
      </c>
      <c r="AC324" s="165" t="s">
        <v>148</v>
      </c>
      <c r="AD324" s="165" t="s">
        <v>16</v>
      </c>
      <c r="AE324" s="165" t="s">
        <v>687</v>
      </c>
      <c r="AF324" s="165"/>
    </row>
    <row r="325" spans="1:32" x14ac:dyDescent="0.3">
      <c r="A325" s="165" t="s">
        <v>703</v>
      </c>
      <c r="B325" s="165" t="s">
        <v>14</v>
      </c>
      <c r="C325" s="165" t="s">
        <v>673</v>
      </c>
      <c r="D325" s="165" t="s">
        <v>15</v>
      </c>
      <c r="E325" s="157">
        <v>40754</v>
      </c>
      <c r="F325" s="165" t="s">
        <v>16</v>
      </c>
      <c r="G325" s="165" t="s">
        <v>16</v>
      </c>
      <c r="H325" s="165" t="s">
        <v>16</v>
      </c>
      <c r="I325" s="165" t="s">
        <v>149</v>
      </c>
      <c r="J325" s="165" t="s">
        <v>149</v>
      </c>
      <c r="K325" s="165" t="s">
        <v>16</v>
      </c>
      <c r="L325" s="165" t="s">
        <v>16</v>
      </c>
      <c r="M325" s="165" t="s">
        <v>148</v>
      </c>
      <c r="N325" s="165" t="s">
        <v>16</v>
      </c>
      <c r="O325" s="165" t="s">
        <v>16</v>
      </c>
      <c r="P325" s="165" t="s">
        <v>16</v>
      </c>
      <c r="Q325" s="165" t="s">
        <v>16</v>
      </c>
      <c r="R325" s="165" t="s">
        <v>16</v>
      </c>
      <c r="S325" s="165" t="s">
        <v>16</v>
      </c>
      <c r="T325" s="165" t="s">
        <v>149</v>
      </c>
      <c r="U325" s="165" t="s">
        <v>16</v>
      </c>
      <c r="V325" s="165" t="s">
        <v>16</v>
      </c>
      <c r="W325" s="165" t="s">
        <v>148</v>
      </c>
      <c r="X325" s="165" t="s">
        <v>16</v>
      </c>
      <c r="Y325" s="165" t="s">
        <v>16</v>
      </c>
      <c r="Z325" s="165" t="s">
        <v>149</v>
      </c>
      <c r="AA325" s="165" t="s">
        <v>148</v>
      </c>
      <c r="AB325" s="165" t="s">
        <v>16</v>
      </c>
      <c r="AC325" s="165" t="s">
        <v>16</v>
      </c>
      <c r="AD325" s="165" t="s">
        <v>16</v>
      </c>
      <c r="AE325" s="165" t="s">
        <v>676</v>
      </c>
      <c r="AF325" s="165"/>
    </row>
    <row r="326" spans="1:32" x14ac:dyDescent="0.3">
      <c r="A326" s="165" t="s">
        <v>704</v>
      </c>
      <c r="B326" s="165" t="s">
        <v>14</v>
      </c>
      <c r="C326" s="165" t="s">
        <v>673</v>
      </c>
      <c r="D326" s="165" t="s">
        <v>15</v>
      </c>
      <c r="E326" s="157">
        <v>40754</v>
      </c>
      <c r="F326" s="165" t="s">
        <v>16</v>
      </c>
      <c r="G326" s="165" t="s">
        <v>148</v>
      </c>
      <c r="H326" s="165" t="s">
        <v>16</v>
      </c>
      <c r="I326" s="165" t="s">
        <v>148</v>
      </c>
      <c r="J326" s="165" t="s">
        <v>148</v>
      </c>
      <c r="K326" s="165" t="s">
        <v>16</v>
      </c>
      <c r="L326" s="165" t="s">
        <v>16</v>
      </c>
      <c r="M326" s="165" t="s">
        <v>16</v>
      </c>
      <c r="N326" s="165" t="s">
        <v>148</v>
      </c>
      <c r="O326" s="165" t="s">
        <v>16</v>
      </c>
      <c r="P326" s="165" t="s">
        <v>148</v>
      </c>
      <c r="Q326" s="165" t="s">
        <v>16</v>
      </c>
      <c r="R326" s="165" t="s">
        <v>148</v>
      </c>
      <c r="S326" s="165" t="s">
        <v>148</v>
      </c>
      <c r="T326" s="165" t="s">
        <v>16</v>
      </c>
      <c r="U326" s="165" t="s">
        <v>148</v>
      </c>
      <c r="V326" s="165" t="s">
        <v>16</v>
      </c>
      <c r="W326" s="165" t="s">
        <v>16</v>
      </c>
      <c r="X326" s="165" t="s">
        <v>148</v>
      </c>
      <c r="Y326" s="165" t="s">
        <v>16</v>
      </c>
      <c r="Z326" s="165" t="s">
        <v>16</v>
      </c>
      <c r="AA326" s="165" t="s">
        <v>16</v>
      </c>
      <c r="AB326" s="165" t="s">
        <v>149</v>
      </c>
      <c r="AC326" s="165" t="s">
        <v>16</v>
      </c>
      <c r="AD326" s="165" t="s">
        <v>16</v>
      </c>
      <c r="AE326" s="165" t="s">
        <v>705</v>
      </c>
      <c r="AF326" s="165"/>
    </row>
    <row r="327" spans="1:32" x14ac:dyDescent="0.3">
      <c r="A327" s="165" t="s">
        <v>706</v>
      </c>
      <c r="B327" s="165" t="s">
        <v>14</v>
      </c>
      <c r="C327" s="165" t="s">
        <v>673</v>
      </c>
      <c r="D327" s="165" t="s">
        <v>15</v>
      </c>
      <c r="E327" s="157">
        <v>40754</v>
      </c>
      <c r="F327" s="165" t="s">
        <v>16</v>
      </c>
      <c r="G327" s="165" t="s">
        <v>16</v>
      </c>
      <c r="H327" s="165" t="s">
        <v>16</v>
      </c>
      <c r="I327" s="165" t="s">
        <v>16</v>
      </c>
      <c r="J327" s="165" t="s">
        <v>16</v>
      </c>
      <c r="K327" s="165" t="s">
        <v>16</v>
      </c>
      <c r="L327" s="165" t="s">
        <v>148</v>
      </c>
      <c r="M327" s="165" t="s">
        <v>16</v>
      </c>
      <c r="N327" s="165" t="s">
        <v>16</v>
      </c>
      <c r="O327" s="165" t="s">
        <v>16</v>
      </c>
      <c r="P327" s="165" t="s">
        <v>148</v>
      </c>
      <c r="Q327" s="165" t="s">
        <v>16</v>
      </c>
      <c r="R327" s="165" t="s">
        <v>16</v>
      </c>
      <c r="S327" s="165" t="s">
        <v>16</v>
      </c>
      <c r="T327" s="165" t="s">
        <v>148</v>
      </c>
      <c r="U327" s="165" t="s">
        <v>16</v>
      </c>
      <c r="V327" s="165" t="s">
        <v>16</v>
      </c>
      <c r="W327" s="165" t="s">
        <v>16</v>
      </c>
      <c r="X327" s="165" t="s">
        <v>16</v>
      </c>
      <c r="Y327" s="165" t="s">
        <v>16</v>
      </c>
      <c r="Z327" s="165" t="s">
        <v>16</v>
      </c>
      <c r="AA327" s="165" t="s">
        <v>16</v>
      </c>
      <c r="AB327" s="165" t="s">
        <v>16</v>
      </c>
      <c r="AC327" s="165" t="s">
        <v>16</v>
      </c>
      <c r="AD327" s="165" t="s">
        <v>16</v>
      </c>
      <c r="AE327" s="165" t="s">
        <v>676</v>
      </c>
      <c r="AF327" s="165"/>
    </row>
    <row r="328" spans="1:32" x14ac:dyDescent="0.3">
      <c r="A328" s="165" t="s">
        <v>707</v>
      </c>
      <c r="B328" s="165" t="s">
        <v>14</v>
      </c>
      <c r="C328" s="165" t="s">
        <v>673</v>
      </c>
      <c r="D328" s="165" t="s">
        <v>15</v>
      </c>
      <c r="E328" s="157">
        <v>40754</v>
      </c>
      <c r="F328" s="165" t="s">
        <v>16</v>
      </c>
      <c r="G328" s="165" t="s">
        <v>16</v>
      </c>
      <c r="H328" s="165" t="s">
        <v>16</v>
      </c>
      <c r="I328" s="165" t="s">
        <v>16</v>
      </c>
      <c r="J328" s="165" t="s">
        <v>16</v>
      </c>
      <c r="K328" s="165" t="s">
        <v>16</v>
      </c>
      <c r="L328" s="165" t="s">
        <v>16</v>
      </c>
      <c r="M328" s="165" t="s">
        <v>16</v>
      </c>
      <c r="N328" s="165" t="s">
        <v>148</v>
      </c>
      <c r="O328" s="165" t="s">
        <v>16</v>
      </c>
      <c r="P328" s="165" t="s">
        <v>16</v>
      </c>
      <c r="Q328" s="165" t="s">
        <v>16</v>
      </c>
      <c r="R328" s="165" t="s">
        <v>16</v>
      </c>
      <c r="S328" s="165" t="s">
        <v>16</v>
      </c>
      <c r="T328" s="165" t="s">
        <v>16</v>
      </c>
      <c r="U328" s="165" t="s">
        <v>16</v>
      </c>
      <c r="V328" s="165" t="s">
        <v>16</v>
      </c>
      <c r="W328" s="165" t="s">
        <v>16</v>
      </c>
      <c r="X328" s="165" t="s">
        <v>16</v>
      </c>
      <c r="Y328" s="165" t="s">
        <v>16</v>
      </c>
      <c r="Z328" s="165" t="s">
        <v>16</v>
      </c>
      <c r="AA328" s="165" t="s">
        <v>16</v>
      </c>
      <c r="AB328" s="165" t="s">
        <v>16</v>
      </c>
      <c r="AC328" s="165" t="s">
        <v>148</v>
      </c>
      <c r="AD328" s="165" t="s">
        <v>148</v>
      </c>
      <c r="AE328" s="165"/>
      <c r="AF328" s="165"/>
    </row>
    <row r="329" spans="1:32" x14ac:dyDescent="0.3">
      <c r="A329" s="165" t="s">
        <v>708</v>
      </c>
      <c r="B329" s="165" t="s">
        <v>14</v>
      </c>
      <c r="C329" s="165" t="s">
        <v>673</v>
      </c>
      <c r="D329" s="165" t="s">
        <v>15</v>
      </c>
      <c r="E329" s="157">
        <v>40754</v>
      </c>
      <c r="F329" s="165" t="s">
        <v>16</v>
      </c>
      <c r="G329" s="165" t="s">
        <v>16</v>
      </c>
      <c r="H329" s="165" t="s">
        <v>148</v>
      </c>
      <c r="I329" s="165" t="s">
        <v>148</v>
      </c>
      <c r="J329" s="165" t="s">
        <v>148</v>
      </c>
      <c r="K329" s="165" t="s">
        <v>16</v>
      </c>
      <c r="L329" s="165" t="s">
        <v>148</v>
      </c>
      <c r="M329" s="165" t="s">
        <v>148</v>
      </c>
      <c r="N329" s="165" t="s">
        <v>148</v>
      </c>
      <c r="O329" s="165" t="s">
        <v>16</v>
      </c>
      <c r="P329" s="165" t="s">
        <v>148</v>
      </c>
      <c r="Q329" s="165" t="s">
        <v>16</v>
      </c>
      <c r="R329" s="165" t="s">
        <v>16</v>
      </c>
      <c r="S329" s="165" t="s">
        <v>16</v>
      </c>
      <c r="T329" s="165" t="s">
        <v>16</v>
      </c>
      <c r="U329" s="165" t="s">
        <v>148</v>
      </c>
      <c r="V329" s="165" t="s">
        <v>16</v>
      </c>
      <c r="W329" s="165" t="s">
        <v>148</v>
      </c>
      <c r="X329" s="165" t="s">
        <v>16</v>
      </c>
      <c r="Y329" s="165" t="s">
        <v>148</v>
      </c>
      <c r="Z329" s="165" t="s">
        <v>16</v>
      </c>
      <c r="AA329" s="165" t="s">
        <v>16</v>
      </c>
      <c r="AB329" s="165" t="s">
        <v>148</v>
      </c>
      <c r="AC329" s="165" t="s">
        <v>148</v>
      </c>
      <c r="AD329" s="165" t="s">
        <v>148</v>
      </c>
      <c r="AE329" s="165" t="s">
        <v>709</v>
      </c>
      <c r="AF329" s="165"/>
    </row>
    <row r="330" spans="1:32" x14ac:dyDescent="0.3">
      <c r="A330" s="165" t="s">
        <v>710</v>
      </c>
      <c r="B330" s="165" t="s">
        <v>14</v>
      </c>
      <c r="C330" s="165" t="s">
        <v>673</v>
      </c>
      <c r="D330" s="165" t="s">
        <v>15</v>
      </c>
      <c r="E330" s="157">
        <v>40754</v>
      </c>
      <c r="F330" s="165" t="s">
        <v>16</v>
      </c>
      <c r="G330" s="165" t="s">
        <v>16</v>
      </c>
      <c r="H330" s="165" t="s">
        <v>16</v>
      </c>
      <c r="I330" s="165" t="s">
        <v>16</v>
      </c>
      <c r="J330" s="165" t="s">
        <v>16</v>
      </c>
      <c r="K330" s="165" t="s">
        <v>16</v>
      </c>
      <c r="L330" s="165" t="s">
        <v>16</v>
      </c>
      <c r="M330" s="165" t="s">
        <v>16</v>
      </c>
      <c r="N330" s="165" t="s">
        <v>16</v>
      </c>
      <c r="O330" s="165" t="s">
        <v>16</v>
      </c>
      <c r="P330" s="165" t="s">
        <v>16</v>
      </c>
      <c r="Q330" s="165" t="s">
        <v>16</v>
      </c>
      <c r="R330" s="165" t="s">
        <v>16</v>
      </c>
      <c r="S330" s="165" t="s">
        <v>16</v>
      </c>
      <c r="T330" s="165" t="s">
        <v>16</v>
      </c>
      <c r="U330" s="165" t="s">
        <v>16</v>
      </c>
      <c r="V330" s="165" t="s">
        <v>16</v>
      </c>
      <c r="W330" s="165" t="s">
        <v>16</v>
      </c>
      <c r="X330" s="165" t="s">
        <v>16</v>
      </c>
      <c r="Y330" s="165" t="s">
        <v>16</v>
      </c>
      <c r="Z330" s="165" t="s">
        <v>16</v>
      </c>
      <c r="AA330" s="165" t="s">
        <v>16</v>
      </c>
      <c r="AB330" s="165" t="s">
        <v>16</v>
      </c>
      <c r="AC330" s="165" t="s">
        <v>16</v>
      </c>
      <c r="AD330" s="165" t="s">
        <v>16</v>
      </c>
      <c r="AE330" s="165" t="s">
        <v>711</v>
      </c>
      <c r="AF330" s="165"/>
    </row>
    <row r="331" spans="1:32" x14ac:dyDescent="0.3">
      <c r="A331" s="165" t="s">
        <v>712</v>
      </c>
      <c r="B331" s="165" t="s">
        <v>14</v>
      </c>
      <c r="C331" s="165" t="s">
        <v>673</v>
      </c>
      <c r="D331" s="165" t="s">
        <v>15</v>
      </c>
      <c r="E331" s="157">
        <v>40754</v>
      </c>
      <c r="F331" s="165" t="s">
        <v>16</v>
      </c>
      <c r="G331" s="165" t="s">
        <v>16</v>
      </c>
      <c r="H331" s="165" t="s">
        <v>16</v>
      </c>
      <c r="I331" s="165" t="s">
        <v>148</v>
      </c>
      <c r="J331" s="165" t="s">
        <v>150</v>
      </c>
      <c r="K331" s="165" t="s">
        <v>148</v>
      </c>
      <c r="L331" s="165" t="s">
        <v>148</v>
      </c>
      <c r="M331" s="165" t="s">
        <v>150</v>
      </c>
      <c r="N331" s="165" t="s">
        <v>148</v>
      </c>
      <c r="O331" s="165" t="s">
        <v>16</v>
      </c>
      <c r="P331" s="165" t="s">
        <v>148</v>
      </c>
      <c r="Q331" s="165" t="s">
        <v>16</v>
      </c>
      <c r="R331" s="165" t="s">
        <v>16</v>
      </c>
      <c r="S331" s="165" t="s">
        <v>16</v>
      </c>
      <c r="T331" s="165" t="s">
        <v>16</v>
      </c>
      <c r="U331" s="165" t="s">
        <v>148</v>
      </c>
      <c r="V331" s="165" t="s">
        <v>16</v>
      </c>
      <c r="W331" s="165" t="s">
        <v>16</v>
      </c>
      <c r="X331" s="165" t="s">
        <v>16</v>
      </c>
      <c r="Y331" s="165" t="s">
        <v>16</v>
      </c>
      <c r="Z331" s="165" t="s">
        <v>16</v>
      </c>
      <c r="AA331" s="165" t="s">
        <v>148</v>
      </c>
      <c r="AB331" s="165" t="s">
        <v>16</v>
      </c>
      <c r="AC331" s="165" t="s">
        <v>148</v>
      </c>
      <c r="AD331" s="165" t="s">
        <v>16</v>
      </c>
      <c r="AE331" s="165" t="s">
        <v>687</v>
      </c>
      <c r="AF331" s="165"/>
    </row>
    <row r="332" spans="1:32" x14ac:dyDescent="0.3">
      <c r="A332" s="165" t="s">
        <v>713</v>
      </c>
      <c r="B332" s="165" t="s">
        <v>14</v>
      </c>
      <c r="C332" s="165" t="s">
        <v>673</v>
      </c>
      <c r="D332" s="165" t="s">
        <v>15</v>
      </c>
      <c r="E332" s="157">
        <v>40754</v>
      </c>
      <c r="F332" s="165" t="s">
        <v>16</v>
      </c>
      <c r="G332" s="165" t="s">
        <v>149</v>
      </c>
      <c r="H332" s="165" t="s">
        <v>149</v>
      </c>
      <c r="I332" s="165" t="s">
        <v>16</v>
      </c>
      <c r="J332" s="165" t="s">
        <v>16</v>
      </c>
      <c r="K332" s="165" t="s">
        <v>149</v>
      </c>
      <c r="L332" s="165" t="s">
        <v>16</v>
      </c>
      <c r="M332" s="165" t="s">
        <v>148</v>
      </c>
      <c r="N332" s="165" t="s">
        <v>16</v>
      </c>
      <c r="O332" s="165" t="s">
        <v>16</v>
      </c>
      <c r="P332" s="165" t="s">
        <v>16</v>
      </c>
      <c r="Q332" s="165" t="s">
        <v>16</v>
      </c>
      <c r="R332" s="165" t="s">
        <v>148</v>
      </c>
      <c r="S332" s="165" t="s">
        <v>16</v>
      </c>
      <c r="T332" s="165" t="s">
        <v>16</v>
      </c>
      <c r="U332" s="165" t="s">
        <v>148</v>
      </c>
      <c r="V332" s="165" t="s">
        <v>16</v>
      </c>
      <c r="W332" s="165" t="s">
        <v>16</v>
      </c>
      <c r="X332" s="165" t="s">
        <v>148</v>
      </c>
      <c r="Y332" s="165" t="s">
        <v>16</v>
      </c>
      <c r="Z332" s="165" t="s">
        <v>16</v>
      </c>
      <c r="AA332" s="165" t="s">
        <v>16</v>
      </c>
      <c r="AB332" s="165" t="s">
        <v>148</v>
      </c>
      <c r="AC332" s="165" t="s">
        <v>16</v>
      </c>
      <c r="AD332" s="165" t="s">
        <v>16</v>
      </c>
      <c r="AE332" s="165" t="s">
        <v>714</v>
      </c>
      <c r="AF332" s="165"/>
    </row>
    <row r="333" spans="1:32" x14ac:dyDescent="0.3">
      <c r="A333" s="165" t="s">
        <v>715</v>
      </c>
      <c r="B333" s="165" t="s">
        <v>14</v>
      </c>
      <c r="C333" s="165" t="s">
        <v>673</v>
      </c>
      <c r="D333" s="165" t="s">
        <v>15</v>
      </c>
      <c r="E333" s="157">
        <v>40754</v>
      </c>
      <c r="F333" s="165" t="s">
        <v>16</v>
      </c>
      <c r="G333" s="165" t="s">
        <v>16</v>
      </c>
      <c r="H333" s="165" t="s">
        <v>16</v>
      </c>
      <c r="I333" s="165" t="s">
        <v>16</v>
      </c>
      <c r="J333" s="165" t="s">
        <v>16</v>
      </c>
      <c r="K333" s="165" t="s">
        <v>16</v>
      </c>
      <c r="L333" s="165" t="s">
        <v>16</v>
      </c>
      <c r="M333" s="165" t="s">
        <v>16</v>
      </c>
      <c r="N333" s="165" t="s">
        <v>16</v>
      </c>
      <c r="O333" s="165" t="s">
        <v>16</v>
      </c>
      <c r="P333" s="165" t="s">
        <v>16</v>
      </c>
      <c r="Q333" s="165" t="s">
        <v>16</v>
      </c>
      <c r="R333" s="165" t="s">
        <v>16</v>
      </c>
      <c r="S333" s="165" t="s">
        <v>16</v>
      </c>
      <c r="T333" s="165" t="s">
        <v>16</v>
      </c>
      <c r="U333" s="165" t="s">
        <v>16</v>
      </c>
      <c r="V333" s="165" t="s">
        <v>16</v>
      </c>
      <c r="W333" s="165" t="s">
        <v>16</v>
      </c>
      <c r="X333" s="165" t="s">
        <v>16</v>
      </c>
      <c r="Y333" s="165" t="s">
        <v>16</v>
      </c>
      <c r="Z333" s="165" t="s">
        <v>16</v>
      </c>
      <c r="AA333" s="165" t="s">
        <v>148</v>
      </c>
      <c r="AB333" s="165" t="s">
        <v>16</v>
      </c>
      <c r="AC333" s="165" t="s">
        <v>150</v>
      </c>
      <c r="AD333" s="165" t="s">
        <v>148</v>
      </c>
      <c r="AE333" s="165"/>
      <c r="AF333" s="165"/>
    </row>
    <row r="334" spans="1:32" x14ac:dyDescent="0.3">
      <c r="A334" s="165" t="s">
        <v>716</v>
      </c>
      <c r="B334" s="165" t="s">
        <v>14</v>
      </c>
      <c r="C334" s="165" t="s">
        <v>673</v>
      </c>
      <c r="D334" s="165" t="s">
        <v>15</v>
      </c>
      <c r="E334" s="157">
        <v>40754</v>
      </c>
      <c r="F334" s="165" t="s">
        <v>16</v>
      </c>
      <c r="G334" s="165" t="s">
        <v>16</v>
      </c>
      <c r="H334" s="165" t="s">
        <v>16</v>
      </c>
      <c r="I334" s="165" t="s">
        <v>148</v>
      </c>
      <c r="J334" s="165" t="s">
        <v>148</v>
      </c>
      <c r="K334" s="165" t="s">
        <v>16</v>
      </c>
      <c r="L334" s="165" t="s">
        <v>16</v>
      </c>
      <c r="M334" s="165" t="s">
        <v>16</v>
      </c>
      <c r="N334" s="165" t="s">
        <v>16</v>
      </c>
      <c r="O334" s="165" t="s">
        <v>16</v>
      </c>
      <c r="P334" s="165" t="s">
        <v>148</v>
      </c>
      <c r="Q334" s="165" t="s">
        <v>16</v>
      </c>
      <c r="R334" s="165" t="s">
        <v>148</v>
      </c>
      <c r="S334" s="165" t="s">
        <v>16</v>
      </c>
      <c r="T334" s="165" t="s">
        <v>16</v>
      </c>
      <c r="U334" s="165" t="s">
        <v>16</v>
      </c>
      <c r="V334" s="165" t="s">
        <v>16</v>
      </c>
      <c r="W334" s="165" t="s">
        <v>148</v>
      </c>
      <c r="X334" s="165" t="s">
        <v>148</v>
      </c>
      <c r="Y334" s="165" t="s">
        <v>16</v>
      </c>
      <c r="Z334" s="165" t="s">
        <v>16</v>
      </c>
      <c r="AA334" s="165" t="s">
        <v>16</v>
      </c>
      <c r="AB334" s="165" t="s">
        <v>16</v>
      </c>
      <c r="AC334" s="165" t="s">
        <v>16</v>
      </c>
      <c r="AD334" s="165" t="s">
        <v>16</v>
      </c>
      <c r="AE334" s="165" t="s">
        <v>692</v>
      </c>
      <c r="AF334" s="165"/>
    </row>
    <row r="335" spans="1:32" x14ac:dyDescent="0.3">
      <c r="A335" s="165" t="s">
        <v>717</v>
      </c>
      <c r="B335" s="165" t="s">
        <v>14</v>
      </c>
      <c r="C335" s="165" t="s">
        <v>673</v>
      </c>
      <c r="D335" s="165" t="s">
        <v>15</v>
      </c>
      <c r="E335" s="157">
        <v>40754</v>
      </c>
      <c r="F335" s="165" t="s">
        <v>148</v>
      </c>
      <c r="G335" s="165" t="s">
        <v>16</v>
      </c>
      <c r="H335" s="165" t="s">
        <v>148</v>
      </c>
      <c r="I335" s="165" t="s">
        <v>16</v>
      </c>
      <c r="J335" s="165" t="s">
        <v>148</v>
      </c>
      <c r="K335" s="165" t="s">
        <v>148</v>
      </c>
      <c r="L335" s="165" t="s">
        <v>148</v>
      </c>
      <c r="M335" s="165" t="s">
        <v>150</v>
      </c>
      <c r="N335" s="165" t="s">
        <v>148</v>
      </c>
      <c r="O335" s="165" t="s">
        <v>16</v>
      </c>
      <c r="P335" s="165" t="s">
        <v>150</v>
      </c>
      <c r="Q335" s="165" t="s">
        <v>16</v>
      </c>
      <c r="R335" s="165" t="s">
        <v>16</v>
      </c>
      <c r="S335" s="165" t="s">
        <v>150</v>
      </c>
      <c r="T335" s="165" t="s">
        <v>16</v>
      </c>
      <c r="U335" s="165" t="s">
        <v>148</v>
      </c>
      <c r="V335" s="165" t="s">
        <v>148</v>
      </c>
      <c r="W335" s="165" t="s">
        <v>16</v>
      </c>
      <c r="X335" s="165" t="s">
        <v>150</v>
      </c>
      <c r="Y335" s="165" t="s">
        <v>16</v>
      </c>
      <c r="Z335" s="165" t="s">
        <v>148</v>
      </c>
      <c r="AA335" s="165" t="s">
        <v>16</v>
      </c>
      <c r="AB335" s="165" t="s">
        <v>16</v>
      </c>
      <c r="AC335" s="165" t="s">
        <v>150</v>
      </c>
      <c r="AD335" s="165" t="s">
        <v>16</v>
      </c>
      <c r="AE335" s="165" t="s">
        <v>674</v>
      </c>
      <c r="AF335" s="165"/>
    </row>
    <row r="336" spans="1:32" x14ac:dyDescent="0.3">
      <c r="A336" s="165" t="s">
        <v>718</v>
      </c>
      <c r="B336" s="165" t="s">
        <v>14</v>
      </c>
      <c r="C336" s="165" t="s">
        <v>673</v>
      </c>
      <c r="D336" s="165" t="s">
        <v>15</v>
      </c>
      <c r="E336" s="157">
        <v>40754</v>
      </c>
      <c r="F336" s="165" t="s">
        <v>16</v>
      </c>
      <c r="G336" s="165" t="s">
        <v>16</v>
      </c>
      <c r="H336" s="165" t="s">
        <v>16</v>
      </c>
      <c r="I336" s="165" t="s">
        <v>16</v>
      </c>
      <c r="J336" s="165" t="s">
        <v>16</v>
      </c>
      <c r="K336" s="165" t="s">
        <v>16</v>
      </c>
      <c r="L336" s="165" t="s">
        <v>16</v>
      </c>
      <c r="M336" s="165" t="s">
        <v>148</v>
      </c>
      <c r="N336" s="165" t="s">
        <v>16</v>
      </c>
      <c r="O336" s="165" t="s">
        <v>16</v>
      </c>
      <c r="P336" s="165" t="s">
        <v>16</v>
      </c>
      <c r="Q336" s="165" t="s">
        <v>16</v>
      </c>
      <c r="R336" s="165" t="s">
        <v>16</v>
      </c>
      <c r="S336" s="165" t="s">
        <v>16</v>
      </c>
      <c r="T336" s="165" t="s">
        <v>16</v>
      </c>
      <c r="U336" s="165" t="s">
        <v>148</v>
      </c>
      <c r="V336" s="165" t="s">
        <v>16</v>
      </c>
      <c r="W336" s="165" t="s">
        <v>16</v>
      </c>
      <c r="X336" s="165" t="s">
        <v>148</v>
      </c>
      <c r="Y336" s="165" t="s">
        <v>16</v>
      </c>
      <c r="Z336" s="165" t="s">
        <v>148</v>
      </c>
      <c r="AA336" s="165" t="s">
        <v>148</v>
      </c>
      <c r="AB336" s="165" t="s">
        <v>16</v>
      </c>
      <c r="AC336" s="165" t="s">
        <v>148</v>
      </c>
      <c r="AD336" s="165" t="s">
        <v>148</v>
      </c>
      <c r="AE336" s="165"/>
      <c r="AF336" s="165"/>
    </row>
    <row r="337" spans="1:32" x14ac:dyDescent="0.3">
      <c r="A337" s="165" t="s">
        <v>719</v>
      </c>
      <c r="B337" s="165" t="s">
        <v>14</v>
      </c>
      <c r="C337" s="165" t="s">
        <v>673</v>
      </c>
      <c r="D337" s="165" t="s">
        <v>15</v>
      </c>
      <c r="E337" s="157">
        <v>40754</v>
      </c>
      <c r="F337" s="165" t="s">
        <v>16</v>
      </c>
      <c r="G337" s="165" t="s">
        <v>148</v>
      </c>
      <c r="H337" s="165" t="s">
        <v>16</v>
      </c>
      <c r="I337" s="165" t="s">
        <v>16</v>
      </c>
      <c r="J337" s="165" t="s">
        <v>16</v>
      </c>
      <c r="K337" s="165" t="s">
        <v>16</v>
      </c>
      <c r="L337" s="165" t="s">
        <v>16</v>
      </c>
      <c r="M337" s="165" t="s">
        <v>16</v>
      </c>
      <c r="N337" s="165" t="s">
        <v>16</v>
      </c>
      <c r="O337" s="165" t="s">
        <v>16</v>
      </c>
      <c r="P337" s="165" t="s">
        <v>16</v>
      </c>
      <c r="Q337" s="165" t="s">
        <v>16</v>
      </c>
      <c r="R337" s="165" t="s">
        <v>148</v>
      </c>
      <c r="S337" s="165" t="s">
        <v>16</v>
      </c>
      <c r="T337" s="165" t="s">
        <v>16</v>
      </c>
      <c r="U337" s="165" t="s">
        <v>16</v>
      </c>
      <c r="V337" s="165" t="s">
        <v>16</v>
      </c>
      <c r="W337" s="165" t="s">
        <v>16</v>
      </c>
      <c r="X337" s="165" t="s">
        <v>16</v>
      </c>
      <c r="Y337" s="165" t="s">
        <v>16</v>
      </c>
      <c r="Z337" s="165" t="s">
        <v>16</v>
      </c>
      <c r="AA337" s="165" t="s">
        <v>16</v>
      </c>
      <c r="AB337" s="165" t="s">
        <v>16</v>
      </c>
      <c r="AC337" s="165" t="s">
        <v>16</v>
      </c>
      <c r="AD337" s="165" t="s">
        <v>16</v>
      </c>
      <c r="AE337" s="165" t="s">
        <v>676</v>
      </c>
      <c r="AF337" s="165"/>
    </row>
    <row r="338" spans="1:32" x14ac:dyDescent="0.3">
      <c r="A338" s="165" t="s">
        <v>720</v>
      </c>
      <c r="B338" s="165" t="s">
        <v>14</v>
      </c>
      <c r="C338" s="165" t="s">
        <v>673</v>
      </c>
      <c r="D338" s="165" t="s">
        <v>15</v>
      </c>
      <c r="E338" s="157">
        <v>40754</v>
      </c>
      <c r="F338" s="165" t="s">
        <v>148</v>
      </c>
      <c r="G338" s="165" t="s">
        <v>149</v>
      </c>
      <c r="H338" s="165" t="s">
        <v>16</v>
      </c>
      <c r="I338" s="165" t="s">
        <v>16</v>
      </c>
      <c r="J338" s="165" t="s">
        <v>16</v>
      </c>
      <c r="K338" s="165" t="s">
        <v>148</v>
      </c>
      <c r="L338" s="165" t="s">
        <v>148</v>
      </c>
      <c r="M338" s="165" t="s">
        <v>148</v>
      </c>
      <c r="N338" s="165" t="s">
        <v>16</v>
      </c>
      <c r="O338" s="165" t="s">
        <v>151</v>
      </c>
      <c r="P338" s="165" t="s">
        <v>16</v>
      </c>
      <c r="Q338" s="165" t="s">
        <v>16</v>
      </c>
      <c r="R338" s="165" t="s">
        <v>16</v>
      </c>
      <c r="S338" s="165" t="s">
        <v>16</v>
      </c>
      <c r="T338" s="165" t="s">
        <v>16</v>
      </c>
      <c r="U338" s="165" t="s">
        <v>148</v>
      </c>
      <c r="V338" s="165" t="s">
        <v>16</v>
      </c>
      <c r="W338" s="165" t="s">
        <v>16</v>
      </c>
      <c r="X338" s="165" t="s">
        <v>16</v>
      </c>
      <c r="Y338" s="165" t="s">
        <v>16</v>
      </c>
      <c r="Z338" s="165" t="s">
        <v>150</v>
      </c>
      <c r="AA338" s="165" t="s">
        <v>148</v>
      </c>
      <c r="AB338" s="165" t="s">
        <v>16</v>
      </c>
      <c r="AC338" s="165" t="s">
        <v>16</v>
      </c>
      <c r="AD338" s="165" t="s">
        <v>16</v>
      </c>
      <c r="AE338" s="165" t="s">
        <v>692</v>
      </c>
      <c r="AF338" s="165" t="s">
        <v>721</v>
      </c>
    </row>
    <row r="339" spans="1:32" x14ac:dyDescent="0.3">
      <c r="A339" s="165" t="s">
        <v>722</v>
      </c>
      <c r="B339" s="165" t="s">
        <v>14</v>
      </c>
      <c r="C339" s="165" t="s">
        <v>673</v>
      </c>
      <c r="D339" s="165" t="s">
        <v>15</v>
      </c>
      <c r="E339" s="157">
        <v>40754</v>
      </c>
      <c r="F339" s="165" t="s">
        <v>148</v>
      </c>
      <c r="G339" s="165" t="s">
        <v>16</v>
      </c>
      <c r="H339" s="165" t="s">
        <v>16</v>
      </c>
      <c r="I339" s="165" t="s">
        <v>16</v>
      </c>
      <c r="J339" s="165" t="s">
        <v>148</v>
      </c>
      <c r="K339" s="165" t="s">
        <v>149</v>
      </c>
      <c r="L339" s="165" t="s">
        <v>148</v>
      </c>
      <c r="M339" s="165" t="s">
        <v>148</v>
      </c>
      <c r="N339" s="165" t="s">
        <v>16</v>
      </c>
      <c r="O339" s="165" t="s">
        <v>148</v>
      </c>
      <c r="P339" s="165" t="s">
        <v>148</v>
      </c>
      <c r="Q339" s="165" t="s">
        <v>16</v>
      </c>
      <c r="R339" s="165" t="s">
        <v>16</v>
      </c>
      <c r="S339" s="165" t="s">
        <v>16</v>
      </c>
      <c r="T339" s="165" t="s">
        <v>148</v>
      </c>
      <c r="U339" s="165" t="s">
        <v>148</v>
      </c>
      <c r="V339" s="165" t="s">
        <v>148</v>
      </c>
      <c r="W339" s="165" t="s">
        <v>16</v>
      </c>
      <c r="X339" s="165" t="s">
        <v>16</v>
      </c>
      <c r="Y339" s="165" t="s">
        <v>16</v>
      </c>
      <c r="Z339" s="165" t="s">
        <v>16</v>
      </c>
      <c r="AA339" s="165" t="s">
        <v>148</v>
      </c>
      <c r="AB339" s="165" t="s">
        <v>148</v>
      </c>
      <c r="AC339" s="165" t="s">
        <v>16</v>
      </c>
      <c r="AD339" s="165" t="s">
        <v>16</v>
      </c>
      <c r="AE339" s="165" t="s">
        <v>692</v>
      </c>
      <c r="AF339" s="165"/>
    </row>
    <row r="340" spans="1:32" x14ac:dyDescent="0.3">
      <c r="A340" s="165" t="s">
        <v>723</v>
      </c>
      <c r="B340" s="165" t="s">
        <v>14</v>
      </c>
      <c r="C340" s="165" t="s">
        <v>673</v>
      </c>
      <c r="D340" s="165" t="s">
        <v>15</v>
      </c>
      <c r="E340" s="157">
        <v>40754</v>
      </c>
      <c r="F340" s="165" t="s">
        <v>148</v>
      </c>
      <c r="G340" s="165" t="s">
        <v>16</v>
      </c>
      <c r="H340" s="165" t="s">
        <v>150</v>
      </c>
      <c r="I340" s="165" t="s">
        <v>148</v>
      </c>
      <c r="J340" s="165" t="s">
        <v>16</v>
      </c>
      <c r="K340" s="165" t="s">
        <v>148</v>
      </c>
      <c r="L340" s="165" t="s">
        <v>16</v>
      </c>
      <c r="M340" s="165" t="s">
        <v>148</v>
      </c>
      <c r="N340" s="165" t="s">
        <v>16</v>
      </c>
      <c r="O340" s="165" t="s">
        <v>16</v>
      </c>
      <c r="P340" s="165" t="s">
        <v>16</v>
      </c>
      <c r="Q340" s="165" t="s">
        <v>16</v>
      </c>
      <c r="R340" s="165" t="s">
        <v>148</v>
      </c>
      <c r="S340" s="165" t="s">
        <v>148</v>
      </c>
      <c r="T340" s="165" t="s">
        <v>148</v>
      </c>
      <c r="U340" s="165" t="s">
        <v>148</v>
      </c>
      <c r="V340" s="165" t="s">
        <v>16</v>
      </c>
      <c r="W340" s="165" t="s">
        <v>16</v>
      </c>
      <c r="X340" s="165" t="s">
        <v>16</v>
      </c>
      <c r="Y340" s="165" t="s">
        <v>114</v>
      </c>
      <c r="Z340" s="165" t="s">
        <v>150</v>
      </c>
      <c r="AA340" s="165" t="s">
        <v>16</v>
      </c>
      <c r="AB340" s="165" t="s">
        <v>16</v>
      </c>
      <c r="AC340" s="165" t="s">
        <v>148</v>
      </c>
      <c r="AD340" s="165" t="s">
        <v>16</v>
      </c>
      <c r="AE340" s="165" t="s">
        <v>714</v>
      </c>
      <c r="AF340" s="165" t="s">
        <v>724</v>
      </c>
    </row>
    <row r="343" spans="1:32" x14ac:dyDescent="0.3">
      <c r="A343" s="165"/>
      <c r="B343" s="165"/>
      <c r="C343" s="165"/>
      <c r="D343" s="165"/>
      <c r="E343" s="165"/>
      <c r="F343" s="165" t="s">
        <v>124</v>
      </c>
      <c r="G343" s="165" t="s">
        <v>125</v>
      </c>
      <c r="H343" s="165" t="s">
        <v>126</v>
      </c>
      <c r="I343" s="165" t="s">
        <v>127</v>
      </c>
      <c r="J343" s="165" t="s">
        <v>214</v>
      </c>
      <c r="K343" s="165" t="s">
        <v>128</v>
      </c>
      <c r="L343" s="165" t="s">
        <v>129</v>
      </c>
      <c r="M343" s="165" t="s">
        <v>130</v>
      </c>
      <c r="N343" s="165" t="s">
        <v>131</v>
      </c>
      <c r="O343" s="165" t="s">
        <v>132</v>
      </c>
      <c r="P343" s="165" t="s">
        <v>133</v>
      </c>
      <c r="Q343" s="165" t="s">
        <v>134</v>
      </c>
      <c r="R343" s="165" t="s">
        <v>135</v>
      </c>
      <c r="S343" s="165" t="s">
        <v>136</v>
      </c>
      <c r="T343" s="165" t="s">
        <v>137</v>
      </c>
      <c r="U343" s="165" t="s">
        <v>138</v>
      </c>
      <c r="V343" s="165" t="s">
        <v>139</v>
      </c>
      <c r="W343" s="165" t="s">
        <v>140</v>
      </c>
      <c r="X343" s="165" t="s">
        <v>186</v>
      </c>
      <c r="Y343" s="165" t="s">
        <v>209</v>
      </c>
      <c r="Z343" s="165" t="s">
        <v>141</v>
      </c>
      <c r="AA343" s="165" t="s">
        <v>142</v>
      </c>
      <c r="AB343" s="165" t="s">
        <v>210</v>
      </c>
      <c r="AC343" s="165" t="s">
        <v>143</v>
      </c>
      <c r="AD343" s="165" t="s">
        <v>144</v>
      </c>
      <c r="AE343" s="165" t="s">
        <v>725</v>
      </c>
      <c r="AF343" s="165" t="s">
        <v>190</v>
      </c>
    </row>
    <row r="344" spans="1:32" x14ac:dyDescent="0.3">
      <c r="A344" s="165" t="s">
        <v>726</v>
      </c>
      <c r="B344" s="165" t="s">
        <v>14</v>
      </c>
      <c r="C344" s="165" t="s">
        <v>727</v>
      </c>
      <c r="D344" s="165" t="s">
        <v>15</v>
      </c>
      <c r="E344" s="157">
        <v>40785</v>
      </c>
      <c r="F344" s="165" t="s">
        <v>16</v>
      </c>
      <c r="G344" s="165" t="s">
        <v>16</v>
      </c>
      <c r="H344" s="165" t="s">
        <v>148</v>
      </c>
      <c r="I344" s="165" t="s">
        <v>148</v>
      </c>
      <c r="J344" s="165" t="s">
        <v>150</v>
      </c>
      <c r="K344" s="165" t="s">
        <v>16</v>
      </c>
      <c r="L344" s="165" t="s">
        <v>16</v>
      </c>
      <c r="M344" s="165" t="s">
        <v>150</v>
      </c>
      <c r="N344" s="165" t="s">
        <v>148</v>
      </c>
      <c r="O344" s="165" t="s">
        <v>148</v>
      </c>
      <c r="P344" s="165" t="s">
        <v>150</v>
      </c>
      <c r="Q344" s="165" t="s">
        <v>16</v>
      </c>
      <c r="R344" s="165" t="s">
        <v>16</v>
      </c>
      <c r="S344" s="165" t="s">
        <v>150</v>
      </c>
      <c r="T344" s="165" t="s">
        <v>148</v>
      </c>
      <c r="U344" s="165" t="s">
        <v>148</v>
      </c>
      <c r="V344" s="165" t="s">
        <v>16</v>
      </c>
      <c r="W344" s="165" t="s">
        <v>16</v>
      </c>
      <c r="X344" s="165" t="s">
        <v>148</v>
      </c>
      <c r="Y344" s="165" t="s">
        <v>16</v>
      </c>
      <c r="Z344" s="165" t="s">
        <v>148</v>
      </c>
      <c r="AA344" s="165" t="s">
        <v>148</v>
      </c>
      <c r="AB344" s="165" t="s">
        <v>149</v>
      </c>
      <c r="AC344" s="165" t="s">
        <v>148</v>
      </c>
      <c r="AD344" s="165" t="s">
        <v>148</v>
      </c>
      <c r="AE344" s="165" t="s">
        <v>728</v>
      </c>
      <c r="AF344" s="165"/>
    </row>
    <row r="345" spans="1:32" x14ac:dyDescent="0.3">
      <c r="A345" s="165" t="s">
        <v>729</v>
      </c>
      <c r="B345" s="165" t="s">
        <v>14</v>
      </c>
      <c r="C345" s="165" t="s">
        <v>727</v>
      </c>
      <c r="D345" s="165" t="s">
        <v>15</v>
      </c>
      <c r="E345" s="157">
        <v>40785</v>
      </c>
      <c r="F345" s="165" t="s">
        <v>16</v>
      </c>
      <c r="G345" s="165" t="s">
        <v>16</v>
      </c>
      <c r="H345" s="165" t="s">
        <v>16</v>
      </c>
      <c r="I345" s="165" t="s">
        <v>16</v>
      </c>
      <c r="J345" s="165" t="s">
        <v>16</v>
      </c>
      <c r="K345" s="165" t="s">
        <v>16</v>
      </c>
      <c r="L345" s="165" t="s">
        <v>16</v>
      </c>
      <c r="M345" s="165" t="s">
        <v>16</v>
      </c>
      <c r="N345" s="165" t="s">
        <v>16</v>
      </c>
      <c r="O345" s="165" t="s">
        <v>16</v>
      </c>
      <c r="P345" s="165" t="s">
        <v>16</v>
      </c>
      <c r="Q345" s="165" t="s">
        <v>16</v>
      </c>
      <c r="R345" s="165" t="s">
        <v>16</v>
      </c>
      <c r="S345" s="165" t="s">
        <v>16</v>
      </c>
      <c r="T345" s="165" t="s">
        <v>16</v>
      </c>
      <c r="U345" s="165" t="s">
        <v>16</v>
      </c>
      <c r="V345" s="165" t="s">
        <v>16</v>
      </c>
      <c r="W345" s="165" t="s">
        <v>16</v>
      </c>
      <c r="X345" s="165" t="s">
        <v>16</v>
      </c>
      <c r="Y345" s="165" t="s">
        <v>16</v>
      </c>
      <c r="Z345" s="165" t="s">
        <v>16</v>
      </c>
      <c r="AA345" s="165" t="s">
        <v>16</v>
      </c>
      <c r="AB345" s="165" t="s">
        <v>16</v>
      </c>
      <c r="AC345" s="165" t="s">
        <v>16</v>
      </c>
      <c r="AD345" s="165" t="s">
        <v>16</v>
      </c>
      <c r="AE345" s="165" t="s">
        <v>730</v>
      </c>
      <c r="AF345" s="165"/>
    </row>
    <row r="346" spans="1:32" x14ac:dyDescent="0.3">
      <c r="A346" s="165" t="s">
        <v>731</v>
      </c>
      <c r="B346" s="165" t="s">
        <v>14</v>
      </c>
      <c r="C346" s="165" t="s">
        <v>727</v>
      </c>
      <c r="D346" s="165" t="s">
        <v>15</v>
      </c>
      <c r="E346" s="157">
        <v>40785</v>
      </c>
      <c r="F346" s="165" t="s">
        <v>16</v>
      </c>
      <c r="G346" s="165" t="s">
        <v>16</v>
      </c>
      <c r="H346" s="165" t="s">
        <v>148</v>
      </c>
      <c r="I346" s="165" t="s">
        <v>148</v>
      </c>
      <c r="J346" s="165" t="s">
        <v>16</v>
      </c>
      <c r="K346" s="165" t="s">
        <v>148</v>
      </c>
      <c r="L346" s="165" t="s">
        <v>16</v>
      </c>
      <c r="M346" s="165" t="s">
        <v>16</v>
      </c>
      <c r="N346" s="165" t="s">
        <v>148</v>
      </c>
      <c r="O346" s="165" t="s">
        <v>16</v>
      </c>
      <c r="P346" s="165" t="s">
        <v>16</v>
      </c>
      <c r="Q346" s="165" t="s">
        <v>149</v>
      </c>
      <c r="R346" s="165" t="s">
        <v>16</v>
      </c>
      <c r="S346" s="165" t="s">
        <v>148</v>
      </c>
      <c r="T346" s="165" t="s">
        <v>16</v>
      </c>
      <c r="U346" s="165" t="s">
        <v>148</v>
      </c>
      <c r="V346" s="165" t="s">
        <v>16</v>
      </c>
      <c r="W346" s="165" t="s">
        <v>16</v>
      </c>
      <c r="X346" s="165" t="s">
        <v>16</v>
      </c>
      <c r="Y346" s="165" t="s">
        <v>16</v>
      </c>
      <c r="Z346" s="165" t="s">
        <v>16</v>
      </c>
      <c r="AA346" s="165" t="s">
        <v>16</v>
      </c>
      <c r="AB346" s="165" t="s">
        <v>148</v>
      </c>
      <c r="AC346" s="165" t="s">
        <v>148</v>
      </c>
      <c r="AD346" s="165" t="s">
        <v>149</v>
      </c>
      <c r="AE346" s="165" t="s">
        <v>732</v>
      </c>
      <c r="AF346" s="165"/>
    </row>
    <row r="347" spans="1:32" x14ac:dyDescent="0.3">
      <c r="A347" s="165" t="s">
        <v>733</v>
      </c>
      <c r="B347" s="165" t="s">
        <v>14</v>
      </c>
      <c r="C347" s="165" t="s">
        <v>727</v>
      </c>
      <c r="D347" s="165" t="s">
        <v>15</v>
      </c>
      <c r="E347" s="157">
        <v>40785</v>
      </c>
      <c r="F347" s="165" t="s">
        <v>16</v>
      </c>
      <c r="G347" s="165" t="s">
        <v>16</v>
      </c>
      <c r="H347" s="165" t="s">
        <v>148</v>
      </c>
      <c r="I347" s="165" t="s">
        <v>148</v>
      </c>
      <c r="J347" s="165" t="s">
        <v>148</v>
      </c>
      <c r="K347" s="165" t="s">
        <v>16</v>
      </c>
      <c r="L347" s="165" t="s">
        <v>16</v>
      </c>
      <c r="M347" s="165" t="s">
        <v>148</v>
      </c>
      <c r="N347" s="165" t="s">
        <v>148</v>
      </c>
      <c r="O347" s="165" t="s">
        <v>148</v>
      </c>
      <c r="P347" s="165" t="s">
        <v>148</v>
      </c>
      <c r="Q347" s="165" t="s">
        <v>16</v>
      </c>
      <c r="R347" s="165" t="s">
        <v>16</v>
      </c>
      <c r="S347" s="165" t="s">
        <v>16</v>
      </c>
      <c r="T347" s="165" t="s">
        <v>16</v>
      </c>
      <c r="U347" s="165" t="s">
        <v>148</v>
      </c>
      <c r="V347" s="165" t="s">
        <v>148</v>
      </c>
      <c r="W347" s="165" t="s">
        <v>16</v>
      </c>
      <c r="X347" s="165" t="s">
        <v>148</v>
      </c>
      <c r="Y347" s="165" t="s">
        <v>114</v>
      </c>
      <c r="Z347" s="165" t="s">
        <v>148</v>
      </c>
      <c r="AA347" s="165" t="s">
        <v>148</v>
      </c>
      <c r="AB347" s="165" t="s">
        <v>16</v>
      </c>
      <c r="AC347" s="165" t="s">
        <v>148</v>
      </c>
      <c r="AD347" s="165" t="s">
        <v>148</v>
      </c>
      <c r="AE347" s="165" t="s">
        <v>728</v>
      </c>
      <c r="AF347" s="165" t="s">
        <v>734</v>
      </c>
    </row>
    <row r="348" spans="1:32" x14ac:dyDescent="0.3">
      <c r="A348" s="165" t="s">
        <v>735</v>
      </c>
      <c r="B348" s="165" t="s">
        <v>14</v>
      </c>
      <c r="C348" s="165" t="s">
        <v>727</v>
      </c>
      <c r="D348" s="165" t="s">
        <v>15</v>
      </c>
      <c r="E348" s="157">
        <v>40785</v>
      </c>
      <c r="F348" s="165" t="s">
        <v>16</v>
      </c>
      <c r="G348" s="165" t="s">
        <v>16</v>
      </c>
      <c r="H348" s="165" t="s">
        <v>16</v>
      </c>
      <c r="I348" s="165" t="s">
        <v>148</v>
      </c>
      <c r="J348" s="165" t="s">
        <v>148</v>
      </c>
      <c r="K348" s="165" t="s">
        <v>16</v>
      </c>
      <c r="L348" s="165" t="s">
        <v>16</v>
      </c>
      <c r="M348" s="165" t="s">
        <v>16</v>
      </c>
      <c r="N348" s="165" t="s">
        <v>148</v>
      </c>
      <c r="O348" s="165" t="s">
        <v>148</v>
      </c>
      <c r="P348" s="165" t="s">
        <v>148</v>
      </c>
      <c r="Q348" s="165" t="s">
        <v>148</v>
      </c>
      <c r="R348" s="165" t="s">
        <v>148</v>
      </c>
      <c r="S348" s="165" t="s">
        <v>16</v>
      </c>
      <c r="T348" s="165" t="s">
        <v>16</v>
      </c>
      <c r="U348" s="165" t="s">
        <v>16</v>
      </c>
      <c r="V348" s="165" t="s">
        <v>148</v>
      </c>
      <c r="W348" s="165" t="s">
        <v>148</v>
      </c>
      <c r="X348" s="165" t="s">
        <v>148</v>
      </c>
      <c r="Y348" s="165" t="s">
        <v>148</v>
      </c>
      <c r="Z348" s="165" t="s">
        <v>16</v>
      </c>
      <c r="AA348" s="165" t="s">
        <v>16</v>
      </c>
      <c r="AB348" s="165" t="s">
        <v>148</v>
      </c>
      <c r="AC348" s="165" t="s">
        <v>148</v>
      </c>
      <c r="AD348" s="165" t="s">
        <v>148</v>
      </c>
      <c r="AE348" s="165" t="s">
        <v>728</v>
      </c>
      <c r="AF348" s="165"/>
    </row>
    <row r="349" spans="1:32" x14ac:dyDescent="0.3">
      <c r="A349" s="165" t="s">
        <v>736</v>
      </c>
      <c r="B349" s="165" t="s">
        <v>14</v>
      </c>
      <c r="C349" s="165" t="s">
        <v>727</v>
      </c>
      <c r="D349" s="165" t="s">
        <v>15</v>
      </c>
      <c r="E349" s="157">
        <v>40785</v>
      </c>
      <c r="F349" s="165" t="s">
        <v>16</v>
      </c>
      <c r="G349" s="165" t="s">
        <v>16</v>
      </c>
      <c r="H349" s="165" t="s">
        <v>148</v>
      </c>
      <c r="I349" s="165" t="s">
        <v>16</v>
      </c>
      <c r="J349" s="165" t="s">
        <v>16</v>
      </c>
      <c r="K349" s="165" t="s">
        <v>16</v>
      </c>
      <c r="L349" s="165" t="s">
        <v>148</v>
      </c>
      <c r="M349" s="165" t="s">
        <v>148</v>
      </c>
      <c r="N349" s="165" t="s">
        <v>16</v>
      </c>
      <c r="O349" s="165" t="s">
        <v>16</v>
      </c>
      <c r="P349" s="165" t="s">
        <v>148</v>
      </c>
      <c r="Q349" s="165" t="s">
        <v>16</v>
      </c>
      <c r="R349" s="165" t="s">
        <v>16</v>
      </c>
      <c r="S349" s="165" t="s">
        <v>16</v>
      </c>
      <c r="T349" s="165" t="s">
        <v>16</v>
      </c>
      <c r="U349" s="165" t="s">
        <v>16</v>
      </c>
      <c r="V349" s="165" t="s">
        <v>148</v>
      </c>
      <c r="W349" s="165" t="s">
        <v>16</v>
      </c>
      <c r="X349" s="165" t="s">
        <v>16</v>
      </c>
      <c r="Y349" s="165" t="s">
        <v>16</v>
      </c>
      <c r="Z349" s="165" t="s">
        <v>16</v>
      </c>
      <c r="AA349" s="165" t="s">
        <v>16</v>
      </c>
      <c r="AB349" s="165" t="s">
        <v>16</v>
      </c>
      <c r="AC349" s="165" t="s">
        <v>16</v>
      </c>
      <c r="AD349" s="165" t="s">
        <v>16</v>
      </c>
      <c r="AE349" s="165" t="s">
        <v>728</v>
      </c>
      <c r="AF349" s="165"/>
    </row>
    <row r="350" spans="1:32" x14ac:dyDescent="0.3">
      <c r="A350" s="165" t="s">
        <v>737</v>
      </c>
      <c r="B350" s="165" t="s">
        <v>14</v>
      </c>
      <c r="C350" s="165" t="s">
        <v>727</v>
      </c>
      <c r="D350" s="165" t="s">
        <v>15</v>
      </c>
      <c r="E350" s="157">
        <v>40785</v>
      </c>
      <c r="F350" s="165" t="s">
        <v>149</v>
      </c>
      <c r="G350" s="165" t="s">
        <v>149</v>
      </c>
      <c r="H350" s="165" t="s">
        <v>149</v>
      </c>
      <c r="I350" s="165" t="s">
        <v>149</v>
      </c>
      <c r="J350" s="165" t="s">
        <v>149</v>
      </c>
      <c r="K350" s="165" t="s">
        <v>149</v>
      </c>
      <c r="L350" s="165" t="s">
        <v>149</v>
      </c>
      <c r="M350" s="165" t="s">
        <v>149</v>
      </c>
      <c r="N350" s="165" t="s">
        <v>150</v>
      </c>
      <c r="O350" s="165" t="s">
        <v>148</v>
      </c>
      <c r="P350" s="165" t="s">
        <v>16</v>
      </c>
      <c r="Q350" s="165" t="s">
        <v>16</v>
      </c>
      <c r="R350" s="165" t="s">
        <v>16</v>
      </c>
      <c r="S350" s="165" t="s">
        <v>148</v>
      </c>
      <c r="T350" s="165" t="s">
        <v>149</v>
      </c>
      <c r="U350" s="165" t="s">
        <v>149</v>
      </c>
      <c r="V350" s="165" t="s">
        <v>149</v>
      </c>
      <c r="W350" s="165" t="s">
        <v>148</v>
      </c>
      <c r="X350" s="165" t="s">
        <v>148</v>
      </c>
      <c r="Y350" s="165" t="s">
        <v>149</v>
      </c>
      <c r="Z350" s="165" t="s">
        <v>149</v>
      </c>
      <c r="AA350" s="165" t="s">
        <v>151</v>
      </c>
      <c r="AB350" s="165" t="s">
        <v>148</v>
      </c>
      <c r="AC350" s="165" t="s">
        <v>150</v>
      </c>
      <c r="AD350" s="165" t="s">
        <v>16</v>
      </c>
      <c r="AE350" s="165" t="s">
        <v>738</v>
      </c>
      <c r="AF350" s="165"/>
    </row>
    <row r="351" spans="1:32" x14ac:dyDescent="0.3">
      <c r="A351" s="165" t="s">
        <v>739</v>
      </c>
      <c r="B351" s="165" t="s">
        <v>14</v>
      </c>
      <c r="C351" s="165" t="s">
        <v>727</v>
      </c>
      <c r="D351" s="165" t="s">
        <v>15</v>
      </c>
      <c r="E351" s="157">
        <v>40785</v>
      </c>
      <c r="F351" s="165" t="s">
        <v>16</v>
      </c>
      <c r="G351" s="165" t="s">
        <v>16</v>
      </c>
      <c r="H351" s="165" t="s">
        <v>16</v>
      </c>
      <c r="I351" s="165" t="s">
        <v>16</v>
      </c>
      <c r="J351" s="165" t="s">
        <v>16</v>
      </c>
      <c r="K351" s="165" t="s">
        <v>148</v>
      </c>
      <c r="L351" s="165" t="s">
        <v>16</v>
      </c>
      <c r="M351" s="165" t="s">
        <v>16</v>
      </c>
      <c r="N351" s="165" t="s">
        <v>148</v>
      </c>
      <c r="O351" s="165" t="s">
        <v>148</v>
      </c>
      <c r="P351" s="165" t="s">
        <v>16</v>
      </c>
      <c r="Q351" s="165" t="s">
        <v>16</v>
      </c>
      <c r="R351" s="165" t="s">
        <v>16</v>
      </c>
      <c r="S351" s="165" t="s">
        <v>16</v>
      </c>
      <c r="T351" s="165" t="s">
        <v>16</v>
      </c>
      <c r="U351" s="165" t="s">
        <v>16</v>
      </c>
      <c r="V351" s="165" t="s">
        <v>16</v>
      </c>
      <c r="W351" s="165" t="s">
        <v>16</v>
      </c>
      <c r="X351" s="165" t="s">
        <v>16</v>
      </c>
      <c r="Y351" s="165" t="s">
        <v>16</v>
      </c>
      <c r="Z351" s="165" t="s">
        <v>16</v>
      </c>
      <c r="AA351" s="165" t="s">
        <v>16</v>
      </c>
      <c r="AB351" s="165" t="s">
        <v>16</v>
      </c>
      <c r="AC351" s="165" t="s">
        <v>148</v>
      </c>
      <c r="AD351" s="165" t="s">
        <v>16</v>
      </c>
      <c r="AE351" s="165" t="s">
        <v>740</v>
      </c>
      <c r="AF351" s="165"/>
    </row>
    <row r="352" spans="1:32" x14ac:dyDescent="0.3">
      <c r="A352" s="165" t="s">
        <v>741</v>
      </c>
      <c r="B352" s="165" t="s">
        <v>14</v>
      </c>
      <c r="C352" s="165" t="s">
        <v>727</v>
      </c>
      <c r="D352" s="165" t="s">
        <v>15</v>
      </c>
      <c r="E352" s="157">
        <v>40785</v>
      </c>
      <c r="F352" s="165" t="s">
        <v>16</v>
      </c>
      <c r="G352" s="165" t="s">
        <v>16</v>
      </c>
      <c r="H352" s="165" t="s">
        <v>16</v>
      </c>
      <c r="I352" s="165" t="s">
        <v>16</v>
      </c>
      <c r="J352" s="165" t="s">
        <v>16</v>
      </c>
      <c r="K352" s="165" t="s">
        <v>16</v>
      </c>
      <c r="L352" s="165" t="s">
        <v>16</v>
      </c>
      <c r="M352" s="165" t="s">
        <v>16</v>
      </c>
      <c r="N352" s="165" t="s">
        <v>16</v>
      </c>
      <c r="O352" s="165" t="s">
        <v>16</v>
      </c>
      <c r="P352" s="165" t="s">
        <v>16</v>
      </c>
      <c r="Q352" s="165" t="s">
        <v>16</v>
      </c>
      <c r="R352" s="165" t="s">
        <v>16</v>
      </c>
      <c r="S352" s="165" t="s">
        <v>16</v>
      </c>
      <c r="T352" s="165" t="s">
        <v>16</v>
      </c>
      <c r="U352" s="165" t="s">
        <v>16</v>
      </c>
      <c r="V352" s="165" t="s">
        <v>16</v>
      </c>
      <c r="W352" s="165" t="s">
        <v>16</v>
      </c>
      <c r="X352" s="165" t="s">
        <v>16</v>
      </c>
      <c r="Y352" s="165" t="s">
        <v>16</v>
      </c>
      <c r="Z352" s="165" t="s">
        <v>16</v>
      </c>
      <c r="AA352" s="165" t="s">
        <v>16</v>
      </c>
      <c r="AB352" s="165" t="s">
        <v>16</v>
      </c>
      <c r="AC352" s="165" t="s">
        <v>16</v>
      </c>
      <c r="AD352" s="165" t="s">
        <v>16</v>
      </c>
      <c r="AE352" s="165" t="s">
        <v>742</v>
      </c>
      <c r="AF352" s="165"/>
    </row>
    <row r="353" spans="1:32" x14ac:dyDescent="0.3">
      <c r="A353" s="165" t="s">
        <v>743</v>
      </c>
      <c r="B353" s="165" t="s">
        <v>14</v>
      </c>
      <c r="C353" s="165" t="s">
        <v>727</v>
      </c>
      <c r="D353" s="165" t="s">
        <v>15</v>
      </c>
      <c r="E353" s="157">
        <v>40785</v>
      </c>
      <c r="F353" s="165" t="s">
        <v>148</v>
      </c>
      <c r="G353" s="165" t="s">
        <v>114</v>
      </c>
      <c r="H353" s="165" t="s">
        <v>16</v>
      </c>
      <c r="I353" s="165" t="s">
        <v>16</v>
      </c>
      <c r="J353" s="165" t="s">
        <v>16</v>
      </c>
      <c r="K353" s="165" t="s">
        <v>148</v>
      </c>
      <c r="L353" s="165" t="s">
        <v>148</v>
      </c>
      <c r="M353" s="165" t="s">
        <v>148</v>
      </c>
      <c r="N353" s="165" t="s">
        <v>148</v>
      </c>
      <c r="O353" s="165" t="s">
        <v>148</v>
      </c>
      <c r="P353" s="165" t="s">
        <v>148</v>
      </c>
      <c r="Q353" s="165" t="s">
        <v>148</v>
      </c>
      <c r="R353" s="165" t="s">
        <v>148</v>
      </c>
      <c r="S353" s="165" t="s">
        <v>148</v>
      </c>
      <c r="T353" s="165" t="s">
        <v>148</v>
      </c>
      <c r="U353" s="165" t="s">
        <v>148</v>
      </c>
      <c r="V353" s="165" t="s">
        <v>148</v>
      </c>
      <c r="W353" s="165" t="s">
        <v>148</v>
      </c>
      <c r="X353" s="165" t="s">
        <v>148</v>
      </c>
      <c r="Y353" s="165" t="s">
        <v>148</v>
      </c>
      <c r="Z353" s="165" t="s">
        <v>148</v>
      </c>
      <c r="AA353" s="165" t="s">
        <v>148</v>
      </c>
      <c r="AB353" s="165" t="s">
        <v>149</v>
      </c>
      <c r="AC353" s="165" t="s">
        <v>148</v>
      </c>
      <c r="AD353" s="165" t="s">
        <v>148</v>
      </c>
      <c r="AE353" s="165" t="s">
        <v>740</v>
      </c>
      <c r="AF353" s="165"/>
    </row>
    <row r="354" spans="1:32" x14ac:dyDescent="0.3">
      <c r="A354" s="165" t="s">
        <v>744</v>
      </c>
      <c r="B354" s="165" t="s">
        <v>14</v>
      </c>
      <c r="C354" s="165" t="s">
        <v>727</v>
      </c>
      <c r="D354" s="165" t="s">
        <v>15</v>
      </c>
      <c r="E354" s="157">
        <v>40785</v>
      </c>
      <c r="F354" s="165" t="s">
        <v>16</v>
      </c>
      <c r="G354" s="165" t="s">
        <v>16</v>
      </c>
      <c r="H354" s="165" t="s">
        <v>16</v>
      </c>
      <c r="I354" s="165" t="s">
        <v>148</v>
      </c>
      <c r="J354" s="165" t="s">
        <v>16</v>
      </c>
      <c r="K354" s="165" t="s">
        <v>16</v>
      </c>
      <c r="L354" s="165" t="s">
        <v>16</v>
      </c>
      <c r="M354" s="165" t="s">
        <v>148</v>
      </c>
      <c r="N354" s="165" t="s">
        <v>148</v>
      </c>
      <c r="O354" s="165" t="s">
        <v>149</v>
      </c>
      <c r="P354" s="165" t="s">
        <v>148</v>
      </c>
      <c r="Q354" s="165" t="s">
        <v>16</v>
      </c>
      <c r="R354" s="165" t="s">
        <v>148</v>
      </c>
      <c r="S354" s="165" t="s">
        <v>16</v>
      </c>
      <c r="T354" s="165" t="s">
        <v>148</v>
      </c>
      <c r="U354" s="165" t="s">
        <v>148</v>
      </c>
      <c r="V354" s="165" t="s">
        <v>148</v>
      </c>
      <c r="W354" s="165" t="s">
        <v>16</v>
      </c>
      <c r="X354" s="165" t="s">
        <v>16</v>
      </c>
      <c r="Y354" s="165" t="s">
        <v>16</v>
      </c>
      <c r="Z354" s="165" t="s">
        <v>16</v>
      </c>
      <c r="AA354" s="165" t="s">
        <v>149</v>
      </c>
      <c r="AB354" s="165" t="s">
        <v>149</v>
      </c>
      <c r="AC354" s="165" t="s">
        <v>16</v>
      </c>
      <c r="AD354" s="165" t="s">
        <v>16</v>
      </c>
      <c r="AE354" s="165" t="s">
        <v>730</v>
      </c>
      <c r="AF354" s="165" t="s">
        <v>745</v>
      </c>
    </row>
    <row r="355" spans="1:32" x14ac:dyDescent="0.3">
      <c r="A355" s="165" t="s">
        <v>746</v>
      </c>
      <c r="B355" s="165" t="s">
        <v>14</v>
      </c>
      <c r="C355" s="165" t="s">
        <v>727</v>
      </c>
      <c r="D355" s="165" t="s">
        <v>15</v>
      </c>
      <c r="E355" s="157">
        <v>40785</v>
      </c>
      <c r="F355" s="165" t="s">
        <v>149</v>
      </c>
      <c r="G355" s="165" t="s">
        <v>16</v>
      </c>
      <c r="H355" s="165" t="s">
        <v>16</v>
      </c>
      <c r="I355" s="165" t="s">
        <v>16</v>
      </c>
      <c r="J355" s="165" t="s">
        <v>148</v>
      </c>
      <c r="K355" s="165" t="s">
        <v>16</v>
      </c>
      <c r="L355" s="165" t="s">
        <v>148</v>
      </c>
      <c r="M355" s="165" t="s">
        <v>148</v>
      </c>
      <c r="N355" s="165" t="s">
        <v>16</v>
      </c>
      <c r="O355" s="165" t="s">
        <v>16</v>
      </c>
      <c r="P355" s="165" t="s">
        <v>16</v>
      </c>
      <c r="Q355" s="165" t="s">
        <v>16</v>
      </c>
      <c r="R355" s="165" t="s">
        <v>16</v>
      </c>
      <c r="S355" s="165" t="s">
        <v>16</v>
      </c>
      <c r="T355" s="165" t="s">
        <v>16</v>
      </c>
      <c r="U355" s="165" t="s">
        <v>16</v>
      </c>
      <c r="V355" s="165" t="s">
        <v>16</v>
      </c>
      <c r="W355" s="165" t="s">
        <v>16</v>
      </c>
      <c r="X355" s="165" t="s">
        <v>16</v>
      </c>
      <c r="Y355" s="165" t="s">
        <v>16</v>
      </c>
      <c r="Z355" s="165" t="s">
        <v>16</v>
      </c>
      <c r="AA355" s="165" t="s">
        <v>16</v>
      </c>
      <c r="AB355" s="165" t="s">
        <v>16</v>
      </c>
      <c r="AC355" s="165" t="s">
        <v>16</v>
      </c>
      <c r="AD355" s="165" t="s">
        <v>16</v>
      </c>
      <c r="AE355" s="165" t="s">
        <v>740</v>
      </c>
      <c r="AF355" s="165"/>
    </row>
    <row r="356" spans="1:32" x14ac:dyDescent="0.3">
      <c r="A356" s="165" t="s">
        <v>747</v>
      </c>
      <c r="B356" s="165" t="s">
        <v>14</v>
      </c>
      <c r="C356" s="165" t="s">
        <v>727</v>
      </c>
      <c r="D356" s="165" t="s">
        <v>15</v>
      </c>
      <c r="E356" s="157">
        <v>40785</v>
      </c>
      <c r="F356" s="165" t="s">
        <v>149</v>
      </c>
      <c r="G356" s="165" t="s">
        <v>16</v>
      </c>
      <c r="H356" s="165" t="s">
        <v>16</v>
      </c>
      <c r="I356" s="165" t="s">
        <v>16</v>
      </c>
      <c r="J356" s="165" t="s">
        <v>16</v>
      </c>
      <c r="K356" s="165" t="s">
        <v>16</v>
      </c>
      <c r="L356" s="165" t="s">
        <v>16</v>
      </c>
      <c r="M356" s="165" t="s">
        <v>16</v>
      </c>
      <c r="N356" s="165" t="s">
        <v>16</v>
      </c>
      <c r="O356" s="165" t="s">
        <v>16</v>
      </c>
      <c r="P356" s="165" t="s">
        <v>16</v>
      </c>
      <c r="Q356" s="165" t="s">
        <v>16</v>
      </c>
      <c r="R356" s="165" t="s">
        <v>16</v>
      </c>
      <c r="S356" s="165" t="s">
        <v>16</v>
      </c>
      <c r="T356" s="165" t="s">
        <v>16</v>
      </c>
      <c r="U356" s="165" t="s">
        <v>16</v>
      </c>
      <c r="V356" s="165" t="s">
        <v>16</v>
      </c>
      <c r="W356" s="165" t="s">
        <v>16</v>
      </c>
      <c r="X356" s="165" t="s">
        <v>16</v>
      </c>
      <c r="Y356" s="165" t="s">
        <v>16</v>
      </c>
      <c r="Z356" s="165" t="s">
        <v>16</v>
      </c>
      <c r="AA356" s="165" t="s">
        <v>16</v>
      </c>
      <c r="AB356" s="165" t="s">
        <v>16</v>
      </c>
      <c r="AC356" s="165" t="s">
        <v>148</v>
      </c>
      <c r="AD356" s="165" t="s">
        <v>16</v>
      </c>
      <c r="AE356" s="165" t="s">
        <v>748</v>
      </c>
      <c r="AF356" s="165"/>
    </row>
    <row r="357" spans="1:32" x14ac:dyDescent="0.3">
      <c r="A357" s="165" t="s">
        <v>749</v>
      </c>
      <c r="B357" s="165" t="s">
        <v>14</v>
      </c>
      <c r="C357" s="165" t="s">
        <v>727</v>
      </c>
      <c r="D357" s="165" t="s">
        <v>15</v>
      </c>
      <c r="E357" s="157">
        <v>40785</v>
      </c>
      <c r="F357" s="165" t="s">
        <v>148</v>
      </c>
      <c r="G357" s="165" t="s">
        <v>16</v>
      </c>
      <c r="H357" s="165" t="s">
        <v>148</v>
      </c>
      <c r="I357" s="165" t="s">
        <v>148</v>
      </c>
      <c r="J357" s="165" t="s">
        <v>16</v>
      </c>
      <c r="K357" s="165" t="s">
        <v>16</v>
      </c>
      <c r="L357" s="165" t="s">
        <v>16</v>
      </c>
      <c r="M357" s="165" t="s">
        <v>16</v>
      </c>
      <c r="N357" s="165" t="s">
        <v>148</v>
      </c>
      <c r="O357" s="165" t="s">
        <v>16</v>
      </c>
      <c r="P357" s="165" t="s">
        <v>16</v>
      </c>
      <c r="Q357" s="165" t="s">
        <v>16</v>
      </c>
      <c r="R357" s="165" t="s">
        <v>16</v>
      </c>
      <c r="S357" s="165" t="s">
        <v>16</v>
      </c>
      <c r="T357" s="165" t="s">
        <v>16</v>
      </c>
      <c r="U357" s="165" t="s">
        <v>16</v>
      </c>
      <c r="V357" s="165" t="s">
        <v>16</v>
      </c>
      <c r="W357" s="165" t="s">
        <v>16</v>
      </c>
      <c r="X357" s="165" t="s">
        <v>16</v>
      </c>
      <c r="Y357" s="165" t="s">
        <v>16</v>
      </c>
      <c r="Z357" s="165" t="s">
        <v>16</v>
      </c>
      <c r="AA357" s="165" t="s">
        <v>16</v>
      </c>
      <c r="AB357" s="165" t="s">
        <v>16</v>
      </c>
      <c r="AC357" s="165" t="s">
        <v>148</v>
      </c>
      <c r="AD357" s="165" t="s">
        <v>16</v>
      </c>
      <c r="AE357" s="165" t="s">
        <v>742</v>
      </c>
      <c r="AF357" s="165" t="s">
        <v>750</v>
      </c>
    </row>
    <row r="358" spans="1:32" x14ac:dyDescent="0.3">
      <c r="A358" s="165" t="s">
        <v>751</v>
      </c>
      <c r="B358" s="165" t="s">
        <v>14</v>
      </c>
      <c r="C358" s="165" t="s">
        <v>727</v>
      </c>
      <c r="D358" s="165" t="s">
        <v>15</v>
      </c>
      <c r="E358" s="157">
        <v>40785</v>
      </c>
      <c r="F358" s="165" t="s">
        <v>16</v>
      </c>
      <c r="G358" s="165" t="s">
        <v>16</v>
      </c>
      <c r="H358" s="165" t="s">
        <v>16</v>
      </c>
      <c r="I358" s="165" t="s">
        <v>148</v>
      </c>
      <c r="J358" s="165" t="s">
        <v>16</v>
      </c>
      <c r="K358" s="165" t="s">
        <v>16</v>
      </c>
      <c r="L358" s="165" t="s">
        <v>16</v>
      </c>
      <c r="M358" s="165" t="s">
        <v>16</v>
      </c>
      <c r="N358" s="165" t="s">
        <v>148</v>
      </c>
      <c r="O358" s="165" t="s">
        <v>16</v>
      </c>
      <c r="P358" s="165" t="s">
        <v>16</v>
      </c>
      <c r="Q358" s="165" t="s">
        <v>16</v>
      </c>
      <c r="R358" s="165" t="s">
        <v>16</v>
      </c>
      <c r="S358" s="165" t="s">
        <v>16</v>
      </c>
      <c r="T358" s="165" t="s">
        <v>16</v>
      </c>
      <c r="U358" s="165" t="s">
        <v>16</v>
      </c>
      <c r="V358" s="165" t="s">
        <v>16</v>
      </c>
      <c r="W358" s="165" t="s">
        <v>16</v>
      </c>
      <c r="X358" s="165" t="s">
        <v>16</v>
      </c>
      <c r="Y358" s="165" t="s">
        <v>16</v>
      </c>
      <c r="Z358" s="165" t="s">
        <v>16</v>
      </c>
      <c r="AA358" s="165" t="s">
        <v>16</v>
      </c>
      <c r="AB358" s="165" t="s">
        <v>16</v>
      </c>
      <c r="AC358" s="165" t="s">
        <v>16</v>
      </c>
      <c r="AD358" s="165" t="s">
        <v>16</v>
      </c>
      <c r="AE358" s="165" t="s">
        <v>742</v>
      </c>
      <c r="AF358" s="165"/>
    </row>
    <row r="359" spans="1:32" x14ac:dyDescent="0.3">
      <c r="A359" s="165" t="s">
        <v>752</v>
      </c>
      <c r="B359" s="165" t="s">
        <v>14</v>
      </c>
      <c r="C359" s="165" t="s">
        <v>727</v>
      </c>
      <c r="D359" s="165" t="s">
        <v>15</v>
      </c>
      <c r="E359" s="157">
        <v>40785</v>
      </c>
      <c r="F359" s="165" t="s">
        <v>150</v>
      </c>
      <c r="G359" s="165" t="s">
        <v>16</v>
      </c>
      <c r="H359" s="165" t="s">
        <v>148</v>
      </c>
      <c r="I359" s="165" t="s">
        <v>16</v>
      </c>
      <c r="J359" s="165" t="s">
        <v>16</v>
      </c>
      <c r="K359" s="165" t="s">
        <v>150</v>
      </c>
      <c r="L359" s="165" t="s">
        <v>150</v>
      </c>
      <c r="M359" s="165" t="s">
        <v>16</v>
      </c>
      <c r="N359" s="165" t="s">
        <v>148</v>
      </c>
      <c r="O359" s="165" t="s">
        <v>16</v>
      </c>
      <c r="P359" s="165" t="s">
        <v>16</v>
      </c>
      <c r="Q359" s="165" t="s">
        <v>16</v>
      </c>
      <c r="R359" s="165" t="s">
        <v>16</v>
      </c>
      <c r="S359" s="165" t="s">
        <v>16</v>
      </c>
      <c r="T359" s="165" t="s">
        <v>16</v>
      </c>
      <c r="U359" s="165" t="s">
        <v>16</v>
      </c>
      <c r="V359" s="165" t="s">
        <v>16</v>
      </c>
      <c r="W359" s="165" t="s">
        <v>150</v>
      </c>
      <c r="X359" s="165" t="s">
        <v>16</v>
      </c>
      <c r="Y359" s="165" t="s">
        <v>16</v>
      </c>
      <c r="Z359" s="165" t="s">
        <v>151</v>
      </c>
      <c r="AA359" s="165" t="s">
        <v>151</v>
      </c>
      <c r="AB359" s="165" t="s">
        <v>151</v>
      </c>
      <c r="AC359" s="165" t="s">
        <v>150</v>
      </c>
      <c r="AD359" s="165" t="s">
        <v>16</v>
      </c>
      <c r="AE359" s="165" t="s">
        <v>740</v>
      </c>
      <c r="AF359" s="165"/>
    </row>
    <row r="360" spans="1:32" x14ac:dyDescent="0.3">
      <c r="A360" s="165" t="s">
        <v>753</v>
      </c>
      <c r="B360" s="165" t="s">
        <v>14</v>
      </c>
      <c r="C360" s="165" t="s">
        <v>727</v>
      </c>
      <c r="D360" s="165" t="s">
        <v>15</v>
      </c>
      <c r="E360" s="157">
        <v>40785</v>
      </c>
      <c r="F360" s="165" t="s">
        <v>16</v>
      </c>
      <c r="G360" s="165" t="s">
        <v>16</v>
      </c>
      <c r="H360" s="165" t="s">
        <v>16</v>
      </c>
      <c r="I360" s="165" t="s">
        <v>148</v>
      </c>
      <c r="J360" s="165" t="s">
        <v>16</v>
      </c>
      <c r="K360" s="165" t="s">
        <v>16</v>
      </c>
      <c r="L360" s="165" t="s">
        <v>16</v>
      </c>
      <c r="M360" s="165" t="s">
        <v>16</v>
      </c>
      <c r="N360" s="165" t="s">
        <v>148</v>
      </c>
      <c r="O360" s="165" t="s">
        <v>148</v>
      </c>
      <c r="P360" s="165" t="s">
        <v>16</v>
      </c>
      <c r="Q360" s="165" t="s">
        <v>16</v>
      </c>
      <c r="R360" s="165" t="s">
        <v>16</v>
      </c>
      <c r="S360" s="165" t="s">
        <v>16</v>
      </c>
      <c r="T360" s="165" t="s">
        <v>16</v>
      </c>
      <c r="U360" s="165" t="s">
        <v>16</v>
      </c>
      <c r="V360" s="165" t="s">
        <v>16</v>
      </c>
      <c r="W360" s="165" t="s">
        <v>16</v>
      </c>
      <c r="X360" s="165" t="s">
        <v>16</v>
      </c>
      <c r="Y360" s="165" t="s">
        <v>16</v>
      </c>
      <c r="Z360" s="165" t="s">
        <v>16</v>
      </c>
      <c r="AA360" s="165" t="s">
        <v>16</v>
      </c>
      <c r="AB360" s="165" t="s">
        <v>16</v>
      </c>
      <c r="AC360" s="165" t="s">
        <v>148</v>
      </c>
      <c r="AD360" s="165" t="s">
        <v>16</v>
      </c>
      <c r="AE360" s="165" t="s">
        <v>730</v>
      </c>
      <c r="AF360" s="165"/>
    </row>
    <row r="361" spans="1:32" x14ac:dyDescent="0.3">
      <c r="A361" s="165" t="s">
        <v>754</v>
      </c>
      <c r="B361" s="165" t="s">
        <v>14</v>
      </c>
      <c r="C361" s="165" t="s">
        <v>727</v>
      </c>
      <c r="D361" s="165" t="s">
        <v>15</v>
      </c>
      <c r="E361" s="157">
        <v>40785</v>
      </c>
      <c r="F361" s="165" t="s">
        <v>149</v>
      </c>
      <c r="G361" s="165" t="s">
        <v>149</v>
      </c>
      <c r="H361" s="165" t="s">
        <v>16</v>
      </c>
      <c r="I361" s="165" t="s">
        <v>148</v>
      </c>
      <c r="J361" s="165" t="s">
        <v>16</v>
      </c>
      <c r="K361" s="165" t="s">
        <v>149</v>
      </c>
      <c r="L361" s="165" t="s">
        <v>148</v>
      </c>
      <c r="M361" s="165" t="s">
        <v>148</v>
      </c>
      <c r="N361" s="165" t="s">
        <v>148</v>
      </c>
      <c r="O361" s="165" t="s">
        <v>148</v>
      </c>
      <c r="P361" s="165" t="s">
        <v>148</v>
      </c>
      <c r="Q361" s="165" t="s">
        <v>16</v>
      </c>
      <c r="R361" s="165" t="s">
        <v>148</v>
      </c>
      <c r="S361" s="165" t="s">
        <v>16</v>
      </c>
      <c r="T361" s="165" t="s">
        <v>16</v>
      </c>
      <c r="U361" s="165" t="s">
        <v>148</v>
      </c>
      <c r="V361" s="165" t="s">
        <v>16</v>
      </c>
      <c r="W361" s="165" t="s">
        <v>16</v>
      </c>
      <c r="X361" s="165" t="s">
        <v>148</v>
      </c>
      <c r="Y361" s="165" t="s">
        <v>16</v>
      </c>
      <c r="Z361" s="165" t="s">
        <v>149</v>
      </c>
      <c r="AA361" s="165" t="s">
        <v>148</v>
      </c>
      <c r="AB361" s="165" t="s">
        <v>16</v>
      </c>
      <c r="AC361" s="165" t="s">
        <v>148</v>
      </c>
      <c r="AD361" s="165" t="s">
        <v>148</v>
      </c>
      <c r="AE361" s="165" t="s">
        <v>742</v>
      </c>
      <c r="AF361" s="165"/>
    </row>
    <row r="362" spans="1:32" x14ac:dyDescent="0.3">
      <c r="A362" s="165" t="s">
        <v>755</v>
      </c>
      <c r="B362" s="165" t="s">
        <v>14</v>
      </c>
      <c r="C362" s="165" t="s">
        <v>727</v>
      </c>
      <c r="D362" s="165" t="s">
        <v>15</v>
      </c>
      <c r="E362" s="157">
        <v>40785</v>
      </c>
      <c r="F362" s="165" t="s">
        <v>148</v>
      </c>
      <c r="G362" s="165" t="s">
        <v>148</v>
      </c>
      <c r="H362" s="165" t="s">
        <v>148</v>
      </c>
      <c r="I362" s="165" t="s">
        <v>148</v>
      </c>
      <c r="J362" s="165" t="s">
        <v>148</v>
      </c>
      <c r="K362" s="165" t="s">
        <v>148</v>
      </c>
      <c r="L362" s="165" t="s">
        <v>148</v>
      </c>
      <c r="M362" s="165" t="s">
        <v>148</v>
      </c>
      <c r="N362" s="165" t="s">
        <v>16</v>
      </c>
      <c r="O362" s="165" t="s">
        <v>16</v>
      </c>
      <c r="P362" s="165" t="s">
        <v>16</v>
      </c>
      <c r="Q362" s="165" t="s">
        <v>16</v>
      </c>
      <c r="R362" s="165" t="s">
        <v>148</v>
      </c>
      <c r="S362" s="165" t="s">
        <v>148</v>
      </c>
      <c r="T362" s="165" t="s">
        <v>148</v>
      </c>
      <c r="U362" s="165" t="s">
        <v>148</v>
      </c>
      <c r="V362" s="165" t="s">
        <v>16</v>
      </c>
      <c r="W362" s="165" t="s">
        <v>148</v>
      </c>
      <c r="X362" s="165" t="s">
        <v>148</v>
      </c>
      <c r="Y362" s="165" t="s">
        <v>148</v>
      </c>
      <c r="Z362" s="165" t="s">
        <v>148</v>
      </c>
      <c r="AA362" s="165" t="s">
        <v>148</v>
      </c>
      <c r="AB362" s="165" t="s">
        <v>16</v>
      </c>
      <c r="AC362" s="165" t="s">
        <v>148</v>
      </c>
      <c r="AD362" s="165" t="s">
        <v>148</v>
      </c>
      <c r="AE362" s="165" t="s">
        <v>740</v>
      </c>
      <c r="AF362" s="165"/>
    </row>
    <row r="363" spans="1:32" x14ac:dyDescent="0.3">
      <c r="A363" s="165" t="s">
        <v>756</v>
      </c>
      <c r="B363" s="165" t="s">
        <v>14</v>
      </c>
      <c r="C363" s="165" t="s">
        <v>727</v>
      </c>
      <c r="D363" s="165" t="s">
        <v>15</v>
      </c>
      <c r="E363" s="157">
        <v>40785</v>
      </c>
      <c r="F363" s="165" t="s">
        <v>16</v>
      </c>
      <c r="G363" s="165" t="s">
        <v>148</v>
      </c>
      <c r="H363" s="165" t="s">
        <v>16</v>
      </c>
      <c r="I363" s="165" t="s">
        <v>148</v>
      </c>
      <c r="J363" s="165" t="s">
        <v>16</v>
      </c>
      <c r="K363" s="165" t="s">
        <v>16</v>
      </c>
      <c r="L363" s="165" t="s">
        <v>16</v>
      </c>
      <c r="M363" s="165" t="s">
        <v>16</v>
      </c>
      <c r="N363" s="165" t="s">
        <v>148</v>
      </c>
      <c r="O363" s="165" t="s">
        <v>148</v>
      </c>
      <c r="P363" s="165" t="s">
        <v>16</v>
      </c>
      <c r="Q363" s="165" t="s">
        <v>16</v>
      </c>
      <c r="R363" s="165" t="s">
        <v>148</v>
      </c>
      <c r="S363" s="165" t="s">
        <v>16</v>
      </c>
      <c r="T363" s="165" t="s">
        <v>16</v>
      </c>
      <c r="U363" s="165" t="s">
        <v>148</v>
      </c>
      <c r="V363" s="165" t="s">
        <v>148</v>
      </c>
      <c r="W363" s="165" t="s">
        <v>16</v>
      </c>
      <c r="X363" s="165" t="s">
        <v>16</v>
      </c>
      <c r="Y363" s="165" t="s">
        <v>16</v>
      </c>
      <c r="Z363" s="165" t="s">
        <v>149</v>
      </c>
      <c r="AA363" s="165" t="s">
        <v>16</v>
      </c>
      <c r="AB363" s="165" t="s">
        <v>16</v>
      </c>
      <c r="AC363" s="165" t="s">
        <v>149</v>
      </c>
      <c r="AD363" s="165" t="s">
        <v>16</v>
      </c>
      <c r="AE363" s="165" t="s">
        <v>730</v>
      </c>
      <c r="AF363" s="165"/>
    </row>
    <row r="364" spans="1:32" x14ac:dyDescent="0.3">
      <c r="A364" s="165" t="s">
        <v>757</v>
      </c>
      <c r="B364" s="165" t="s">
        <v>14</v>
      </c>
      <c r="C364" s="165" t="s">
        <v>727</v>
      </c>
      <c r="D364" s="165" t="s">
        <v>15</v>
      </c>
      <c r="E364" s="157">
        <v>40785</v>
      </c>
      <c r="F364" s="165" t="s">
        <v>16</v>
      </c>
      <c r="G364" s="165" t="s">
        <v>16</v>
      </c>
      <c r="H364" s="165" t="s">
        <v>16</v>
      </c>
      <c r="I364" s="165" t="s">
        <v>16</v>
      </c>
      <c r="J364" s="165" t="s">
        <v>16</v>
      </c>
      <c r="K364" s="165" t="s">
        <v>16</v>
      </c>
      <c r="L364" s="165" t="s">
        <v>16</v>
      </c>
      <c r="M364" s="165" t="s">
        <v>16</v>
      </c>
      <c r="N364" s="165" t="s">
        <v>16</v>
      </c>
      <c r="O364" s="165" t="s">
        <v>16</v>
      </c>
      <c r="P364" s="165" t="s">
        <v>16</v>
      </c>
      <c r="Q364" s="165" t="s">
        <v>16</v>
      </c>
      <c r="R364" s="165" t="s">
        <v>16</v>
      </c>
      <c r="S364" s="165" t="s">
        <v>16</v>
      </c>
      <c r="T364" s="165" t="s">
        <v>16</v>
      </c>
      <c r="U364" s="165" t="s">
        <v>16</v>
      </c>
      <c r="V364" s="165" t="s">
        <v>16</v>
      </c>
      <c r="W364" s="165" t="s">
        <v>16</v>
      </c>
      <c r="X364" s="165" t="s">
        <v>16</v>
      </c>
      <c r="Y364" s="165" t="s">
        <v>16</v>
      </c>
      <c r="Z364" s="165" t="s">
        <v>16</v>
      </c>
      <c r="AA364" s="165" t="s">
        <v>16</v>
      </c>
      <c r="AB364" s="165" t="s">
        <v>16</v>
      </c>
      <c r="AC364" s="165" t="s">
        <v>148</v>
      </c>
      <c r="AD364" s="165" t="s">
        <v>16</v>
      </c>
      <c r="AE364" s="165" t="s">
        <v>728</v>
      </c>
      <c r="AF364" s="165"/>
    </row>
    <row r="365" spans="1:32" x14ac:dyDescent="0.3">
      <c r="A365" s="165" t="s">
        <v>758</v>
      </c>
      <c r="B365" s="165" t="s">
        <v>14</v>
      </c>
      <c r="C365" s="165" t="s">
        <v>727</v>
      </c>
      <c r="D365" s="165" t="s">
        <v>15</v>
      </c>
      <c r="E365" s="157">
        <v>40785</v>
      </c>
      <c r="F365" s="165" t="s">
        <v>16</v>
      </c>
      <c r="G365" s="165" t="s">
        <v>16</v>
      </c>
      <c r="H365" s="165" t="s">
        <v>16</v>
      </c>
      <c r="I365" s="165" t="s">
        <v>16</v>
      </c>
      <c r="J365" s="165" t="s">
        <v>16</v>
      </c>
      <c r="K365" s="165" t="s">
        <v>16</v>
      </c>
      <c r="L365" s="165" t="s">
        <v>149</v>
      </c>
      <c r="M365" s="165" t="s">
        <v>16</v>
      </c>
      <c r="N365" s="165" t="s">
        <v>16</v>
      </c>
      <c r="O365" s="165" t="s">
        <v>149</v>
      </c>
      <c r="P365" s="165" t="s">
        <v>16</v>
      </c>
      <c r="Q365" s="165" t="s">
        <v>16</v>
      </c>
      <c r="R365" s="165" t="s">
        <v>148</v>
      </c>
      <c r="S365" s="165" t="s">
        <v>148</v>
      </c>
      <c r="T365" s="165" t="s">
        <v>148</v>
      </c>
      <c r="U365" s="165" t="s">
        <v>16</v>
      </c>
      <c r="V365" s="165" t="s">
        <v>16</v>
      </c>
      <c r="W365" s="165" t="s">
        <v>148</v>
      </c>
      <c r="X365" s="165" t="s">
        <v>16</v>
      </c>
      <c r="Y365" s="165" t="s">
        <v>16</v>
      </c>
      <c r="Z365" s="165" t="s">
        <v>16</v>
      </c>
      <c r="AA365" s="165" t="s">
        <v>149</v>
      </c>
      <c r="AB365" s="165" t="s">
        <v>16</v>
      </c>
      <c r="AC365" s="165" t="s">
        <v>148</v>
      </c>
      <c r="AD365" s="165" t="s">
        <v>16</v>
      </c>
      <c r="AE365" s="165" t="s">
        <v>728</v>
      </c>
      <c r="AF365" s="165" t="s">
        <v>759</v>
      </c>
    </row>
    <row r="366" spans="1:32" x14ac:dyDescent="0.3">
      <c r="A366" s="165" t="s">
        <v>760</v>
      </c>
      <c r="B366" s="165" t="s">
        <v>14</v>
      </c>
      <c r="C366" s="165" t="s">
        <v>727</v>
      </c>
      <c r="D366" s="165" t="s">
        <v>15</v>
      </c>
      <c r="E366" s="157">
        <v>40785</v>
      </c>
      <c r="F366" s="165" t="s">
        <v>149</v>
      </c>
      <c r="G366" s="165" t="s">
        <v>16</v>
      </c>
      <c r="H366" s="165" t="s">
        <v>16</v>
      </c>
      <c r="I366" s="165" t="s">
        <v>16</v>
      </c>
      <c r="J366" s="165" t="s">
        <v>16</v>
      </c>
      <c r="K366" s="165" t="s">
        <v>16</v>
      </c>
      <c r="L366" s="165" t="s">
        <v>16</v>
      </c>
      <c r="M366" s="165" t="s">
        <v>16</v>
      </c>
      <c r="N366" s="165" t="s">
        <v>16</v>
      </c>
      <c r="O366" s="165" t="s">
        <v>16</v>
      </c>
      <c r="P366" s="165" t="s">
        <v>16</v>
      </c>
      <c r="Q366" s="165" t="s">
        <v>16</v>
      </c>
      <c r="R366" s="165" t="s">
        <v>16</v>
      </c>
      <c r="S366" s="165" t="s">
        <v>16</v>
      </c>
      <c r="T366" s="165" t="s">
        <v>16</v>
      </c>
      <c r="U366" s="165" t="s">
        <v>16</v>
      </c>
      <c r="V366" s="165" t="s">
        <v>16</v>
      </c>
      <c r="W366" s="165" t="s">
        <v>16</v>
      </c>
      <c r="X366" s="165" t="s">
        <v>16</v>
      </c>
      <c r="Y366" s="165" t="s">
        <v>16</v>
      </c>
      <c r="Z366" s="165" t="s">
        <v>16</v>
      </c>
      <c r="AA366" s="165" t="s">
        <v>16</v>
      </c>
      <c r="AB366" s="165" t="s">
        <v>16</v>
      </c>
      <c r="AC366" s="165" t="s">
        <v>16</v>
      </c>
      <c r="AD366" s="165" t="s">
        <v>16</v>
      </c>
      <c r="AE366" s="165" t="s">
        <v>740</v>
      </c>
      <c r="AF366" s="165"/>
    </row>
    <row r="367" spans="1:32" x14ac:dyDescent="0.3">
      <c r="A367" s="165" t="s">
        <v>761</v>
      </c>
      <c r="B367" s="165" t="s">
        <v>14</v>
      </c>
      <c r="C367" s="165" t="s">
        <v>727</v>
      </c>
      <c r="D367" s="165" t="s">
        <v>15</v>
      </c>
      <c r="E367" s="157">
        <v>40785</v>
      </c>
      <c r="F367" s="165" t="s">
        <v>148</v>
      </c>
      <c r="G367" s="165" t="s">
        <v>16</v>
      </c>
      <c r="H367" s="165" t="s">
        <v>149</v>
      </c>
      <c r="I367" s="165" t="s">
        <v>150</v>
      </c>
      <c r="J367" s="165" t="s">
        <v>16</v>
      </c>
      <c r="K367" s="165" t="s">
        <v>149</v>
      </c>
      <c r="L367" s="165" t="s">
        <v>149</v>
      </c>
      <c r="M367" s="165" t="s">
        <v>149</v>
      </c>
      <c r="N367" s="165" t="s">
        <v>148</v>
      </c>
      <c r="O367" s="165" t="s">
        <v>16</v>
      </c>
      <c r="P367" s="165" t="s">
        <v>148</v>
      </c>
      <c r="Q367" s="165" t="s">
        <v>16</v>
      </c>
      <c r="R367" s="165" t="s">
        <v>16</v>
      </c>
      <c r="S367" s="165" t="s">
        <v>16</v>
      </c>
      <c r="T367" s="165" t="s">
        <v>16</v>
      </c>
      <c r="U367" s="165" t="s">
        <v>148</v>
      </c>
      <c r="V367" s="165" t="s">
        <v>16</v>
      </c>
      <c r="W367" s="165" t="s">
        <v>16</v>
      </c>
      <c r="X367" s="165" t="s">
        <v>148</v>
      </c>
      <c r="Y367" s="165" t="s">
        <v>114</v>
      </c>
      <c r="Z367" s="165" t="s">
        <v>148</v>
      </c>
      <c r="AA367" s="165" t="s">
        <v>148</v>
      </c>
      <c r="AB367" s="165" t="s">
        <v>16</v>
      </c>
      <c r="AC367" s="165" t="s">
        <v>16</v>
      </c>
      <c r="AD367" s="165" t="s">
        <v>149</v>
      </c>
      <c r="AE367" s="165" t="s">
        <v>762</v>
      </c>
      <c r="AF367" s="165"/>
    </row>
    <row r="368" spans="1:32" x14ac:dyDescent="0.3">
      <c r="A368" s="165" t="s">
        <v>763</v>
      </c>
      <c r="B368" s="165" t="s">
        <v>14</v>
      </c>
      <c r="C368" s="165" t="s">
        <v>727</v>
      </c>
      <c r="D368" s="165" t="s">
        <v>15</v>
      </c>
      <c r="E368" s="157">
        <v>40785</v>
      </c>
      <c r="F368" s="165" t="s">
        <v>16</v>
      </c>
      <c r="G368" s="165" t="s">
        <v>16</v>
      </c>
      <c r="H368" s="165" t="s">
        <v>16</v>
      </c>
      <c r="I368" s="165" t="s">
        <v>16</v>
      </c>
      <c r="J368" s="165" t="s">
        <v>16</v>
      </c>
      <c r="K368" s="165" t="s">
        <v>16</v>
      </c>
      <c r="L368" s="165" t="s">
        <v>16</v>
      </c>
      <c r="M368" s="165" t="s">
        <v>16</v>
      </c>
      <c r="N368" s="165" t="s">
        <v>148</v>
      </c>
      <c r="O368" s="165" t="s">
        <v>16</v>
      </c>
      <c r="P368" s="165" t="s">
        <v>16</v>
      </c>
      <c r="Q368" s="165" t="s">
        <v>16</v>
      </c>
      <c r="R368" s="165" t="s">
        <v>16</v>
      </c>
      <c r="S368" s="165" t="s">
        <v>16</v>
      </c>
      <c r="T368" s="165" t="s">
        <v>16</v>
      </c>
      <c r="U368" s="165" t="s">
        <v>16</v>
      </c>
      <c r="V368" s="165" t="s">
        <v>16</v>
      </c>
      <c r="W368" s="165" t="s">
        <v>148</v>
      </c>
      <c r="X368" s="165" t="s">
        <v>16</v>
      </c>
      <c r="Y368" s="165" t="s">
        <v>16</v>
      </c>
      <c r="Z368" s="165" t="s">
        <v>16</v>
      </c>
      <c r="AA368" s="165" t="s">
        <v>16</v>
      </c>
      <c r="AB368" s="165" t="s">
        <v>16</v>
      </c>
      <c r="AC368" s="165" t="s">
        <v>16</v>
      </c>
      <c r="AD368" s="165" t="s">
        <v>148</v>
      </c>
      <c r="AE368" s="165"/>
      <c r="AF368" s="165"/>
    </row>
    <row r="369" spans="1:32" x14ac:dyDescent="0.3">
      <c r="A369" s="165" t="s">
        <v>764</v>
      </c>
      <c r="B369" s="165" t="s">
        <v>14</v>
      </c>
      <c r="C369" s="165" t="s">
        <v>727</v>
      </c>
      <c r="D369" s="165" t="s">
        <v>15</v>
      </c>
      <c r="E369" s="157">
        <v>40785</v>
      </c>
      <c r="F369" s="165" t="s">
        <v>16</v>
      </c>
      <c r="G369" s="165" t="s">
        <v>16</v>
      </c>
      <c r="H369" s="165" t="s">
        <v>16</v>
      </c>
      <c r="I369" s="165" t="s">
        <v>16</v>
      </c>
      <c r="J369" s="165" t="s">
        <v>16</v>
      </c>
      <c r="K369" s="165" t="s">
        <v>16</v>
      </c>
      <c r="L369" s="165" t="s">
        <v>16</v>
      </c>
      <c r="M369" s="165" t="s">
        <v>16</v>
      </c>
      <c r="N369" s="165" t="s">
        <v>16</v>
      </c>
      <c r="O369" s="165" t="s">
        <v>16</v>
      </c>
      <c r="P369" s="165" t="s">
        <v>16</v>
      </c>
      <c r="Q369" s="165" t="s">
        <v>16</v>
      </c>
      <c r="R369" s="165" t="s">
        <v>16</v>
      </c>
      <c r="S369" s="165" t="s">
        <v>16</v>
      </c>
      <c r="T369" s="165" t="s">
        <v>16</v>
      </c>
      <c r="U369" s="165" t="s">
        <v>16</v>
      </c>
      <c r="V369" s="165" t="s">
        <v>16</v>
      </c>
      <c r="W369" s="165" t="s">
        <v>16</v>
      </c>
      <c r="X369" s="165" t="s">
        <v>16</v>
      </c>
      <c r="Y369" s="165" t="s">
        <v>16</v>
      </c>
      <c r="Z369" s="165" t="s">
        <v>16</v>
      </c>
      <c r="AA369" s="165" t="s">
        <v>16</v>
      </c>
      <c r="AB369" s="165" t="s">
        <v>16</v>
      </c>
      <c r="AC369" s="165" t="s">
        <v>148</v>
      </c>
      <c r="AD369" s="165" t="s">
        <v>16</v>
      </c>
      <c r="AE369" s="165" t="s">
        <v>728</v>
      </c>
      <c r="AF369" s="165"/>
    </row>
    <row r="370" spans="1:32" x14ac:dyDescent="0.3">
      <c r="A370" s="165" t="s">
        <v>765</v>
      </c>
      <c r="B370" s="165" t="s">
        <v>14</v>
      </c>
      <c r="C370" s="165" t="s">
        <v>727</v>
      </c>
      <c r="D370" s="165" t="s">
        <v>15</v>
      </c>
      <c r="E370" s="157">
        <v>40785</v>
      </c>
      <c r="F370" s="165" t="s">
        <v>148</v>
      </c>
      <c r="G370" s="165" t="s">
        <v>16</v>
      </c>
      <c r="H370" s="165" t="s">
        <v>16</v>
      </c>
      <c r="I370" s="165" t="s">
        <v>16</v>
      </c>
      <c r="J370" s="165" t="s">
        <v>148</v>
      </c>
      <c r="K370" s="165" t="s">
        <v>16</v>
      </c>
      <c r="L370" s="165" t="s">
        <v>16</v>
      </c>
      <c r="M370" s="165" t="s">
        <v>16</v>
      </c>
      <c r="N370" s="165" t="s">
        <v>16</v>
      </c>
      <c r="O370" s="165" t="s">
        <v>16</v>
      </c>
      <c r="P370" s="165" t="s">
        <v>16</v>
      </c>
      <c r="Q370" s="165" t="s">
        <v>148</v>
      </c>
      <c r="R370" s="165" t="s">
        <v>16</v>
      </c>
      <c r="S370" s="165" t="s">
        <v>16</v>
      </c>
      <c r="T370" s="165" t="s">
        <v>16</v>
      </c>
      <c r="U370" s="165" t="s">
        <v>16</v>
      </c>
      <c r="V370" s="165" t="s">
        <v>16</v>
      </c>
      <c r="W370" s="165" t="s">
        <v>16</v>
      </c>
      <c r="X370" s="165" t="s">
        <v>16</v>
      </c>
      <c r="Y370" s="165" t="s">
        <v>16</v>
      </c>
      <c r="Z370" s="165" t="s">
        <v>16</v>
      </c>
      <c r="AA370" s="165" t="s">
        <v>16</v>
      </c>
      <c r="AB370" s="165" t="s">
        <v>16</v>
      </c>
      <c r="AC370" s="165" t="s">
        <v>16</v>
      </c>
      <c r="AD370" s="165" t="s">
        <v>16</v>
      </c>
      <c r="AE370" s="165" t="s">
        <v>730</v>
      </c>
      <c r="AF370" s="165"/>
    </row>
    <row r="371" spans="1:32" x14ac:dyDescent="0.3">
      <c r="A371" s="165" t="s">
        <v>766</v>
      </c>
      <c r="B371" s="165" t="s">
        <v>14</v>
      </c>
      <c r="C371" s="165" t="s">
        <v>727</v>
      </c>
      <c r="D371" s="165" t="s">
        <v>15</v>
      </c>
      <c r="E371" s="157">
        <v>40785</v>
      </c>
      <c r="F371" s="165" t="s">
        <v>16</v>
      </c>
      <c r="G371" s="165" t="s">
        <v>16</v>
      </c>
      <c r="H371" s="165" t="s">
        <v>16</v>
      </c>
      <c r="I371" s="165" t="s">
        <v>16</v>
      </c>
      <c r="J371" s="165" t="s">
        <v>16</v>
      </c>
      <c r="K371" s="165" t="s">
        <v>16</v>
      </c>
      <c r="L371" s="165" t="s">
        <v>16</v>
      </c>
      <c r="M371" s="165" t="s">
        <v>16</v>
      </c>
      <c r="N371" s="165" t="s">
        <v>148</v>
      </c>
      <c r="O371" s="165" t="s">
        <v>16</v>
      </c>
      <c r="P371" s="165" t="s">
        <v>16</v>
      </c>
      <c r="Q371" s="165" t="s">
        <v>16</v>
      </c>
      <c r="R371" s="165" t="s">
        <v>16</v>
      </c>
      <c r="S371" s="165" t="s">
        <v>16</v>
      </c>
      <c r="T371" s="165" t="s">
        <v>16</v>
      </c>
      <c r="U371" s="165" t="s">
        <v>16</v>
      </c>
      <c r="V371" s="165" t="s">
        <v>16</v>
      </c>
      <c r="W371" s="165" t="s">
        <v>148</v>
      </c>
      <c r="X371" s="165" t="s">
        <v>16</v>
      </c>
      <c r="Y371" s="165" t="s">
        <v>16</v>
      </c>
      <c r="Z371" s="165" t="s">
        <v>16</v>
      </c>
      <c r="AA371" s="165" t="s">
        <v>148</v>
      </c>
      <c r="AB371" s="165" t="s">
        <v>16</v>
      </c>
      <c r="AC371" s="165" t="s">
        <v>148</v>
      </c>
      <c r="AD371" s="165" t="s">
        <v>148</v>
      </c>
      <c r="AE371" s="165" t="s">
        <v>740</v>
      </c>
      <c r="AF371" s="165"/>
    </row>
    <row r="372" spans="1:32" x14ac:dyDescent="0.3">
      <c r="A372" s="165" t="s">
        <v>767</v>
      </c>
      <c r="B372" s="165" t="s">
        <v>14</v>
      </c>
      <c r="C372" s="165" t="s">
        <v>727</v>
      </c>
      <c r="D372" s="165" t="s">
        <v>15</v>
      </c>
      <c r="E372" s="157">
        <v>40785</v>
      </c>
      <c r="F372" s="165" t="s">
        <v>148</v>
      </c>
      <c r="G372" s="165" t="s">
        <v>150</v>
      </c>
      <c r="H372" s="165" t="s">
        <v>148</v>
      </c>
      <c r="I372" s="165" t="s">
        <v>16</v>
      </c>
      <c r="J372" s="165" t="s">
        <v>16</v>
      </c>
      <c r="K372" s="165" t="s">
        <v>16</v>
      </c>
      <c r="L372" s="165" t="s">
        <v>16</v>
      </c>
      <c r="M372" s="165" t="s">
        <v>148</v>
      </c>
      <c r="N372" s="165" t="s">
        <v>16</v>
      </c>
      <c r="O372" s="165" t="s">
        <v>16</v>
      </c>
      <c r="P372" s="165" t="s">
        <v>16</v>
      </c>
      <c r="Q372" s="165" t="s">
        <v>148</v>
      </c>
      <c r="R372" s="165" t="s">
        <v>16</v>
      </c>
      <c r="S372" s="165" t="s">
        <v>16</v>
      </c>
      <c r="T372" s="165" t="s">
        <v>16</v>
      </c>
      <c r="U372" s="165" t="s">
        <v>148</v>
      </c>
      <c r="V372" s="165" t="s">
        <v>150</v>
      </c>
      <c r="W372" s="165" t="s">
        <v>16</v>
      </c>
      <c r="X372" s="165" t="s">
        <v>16</v>
      </c>
      <c r="Y372" s="165" t="s">
        <v>148</v>
      </c>
      <c r="Z372" s="165" t="s">
        <v>148</v>
      </c>
      <c r="AA372" s="165" t="s">
        <v>148</v>
      </c>
      <c r="AB372" s="165" t="s">
        <v>16</v>
      </c>
      <c r="AC372" s="165" t="s">
        <v>148</v>
      </c>
      <c r="AD372" s="165" t="s">
        <v>148</v>
      </c>
      <c r="AE372" s="165" t="s">
        <v>768</v>
      </c>
      <c r="AF372" s="165"/>
    </row>
    <row r="373" spans="1:32" x14ac:dyDescent="0.3">
      <c r="A373" s="165" t="s">
        <v>769</v>
      </c>
      <c r="B373" s="165" t="s">
        <v>14</v>
      </c>
      <c r="C373" s="165" t="s">
        <v>727</v>
      </c>
      <c r="D373" s="165" t="s">
        <v>15</v>
      </c>
      <c r="E373" s="157">
        <v>40785</v>
      </c>
      <c r="F373" s="165" t="s">
        <v>148</v>
      </c>
      <c r="G373" s="165" t="s">
        <v>16</v>
      </c>
      <c r="H373" s="165" t="s">
        <v>16</v>
      </c>
      <c r="I373" s="165" t="s">
        <v>16</v>
      </c>
      <c r="J373" s="165" t="s">
        <v>148</v>
      </c>
      <c r="K373" s="165" t="s">
        <v>16</v>
      </c>
      <c r="L373" s="165" t="s">
        <v>148</v>
      </c>
      <c r="M373" s="165" t="s">
        <v>150</v>
      </c>
      <c r="N373" s="165" t="s">
        <v>16</v>
      </c>
      <c r="O373" s="165" t="s">
        <v>16</v>
      </c>
      <c r="P373" s="165" t="s">
        <v>16</v>
      </c>
      <c r="Q373" s="165" t="s">
        <v>149</v>
      </c>
      <c r="R373" s="165" t="s">
        <v>149</v>
      </c>
      <c r="S373" s="165" t="s">
        <v>16</v>
      </c>
      <c r="T373" s="165" t="s">
        <v>16</v>
      </c>
      <c r="U373" s="165" t="s">
        <v>16</v>
      </c>
      <c r="V373" s="165" t="s">
        <v>16</v>
      </c>
      <c r="W373" s="165" t="s">
        <v>148</v>
      </c>
      <c r="X373" s="165" t="s">
        <v>16</v>
      </c>
      <c r="Y373" s="165" t="s">
        <v>16</v>
      </c>
      <c r="Z373" s="165" t="s">
        <v>16</v>
      </c>
      <c r="AA373" s="165" t="s">
        <v>16</v>
      </c>
      <c r="AB373" s="165" t="s">
        <v>16</v>
      </c>
      <c r="AC373" s="165" t="s">
        <v>16</v>
      </c>
      <c r="AD373" s="165" t="s">
        <v>16</v>
      </c>
      <c r="AE373" s="165" t="s">
        <v>770</v>
      </c>
      <c r="AF373" s="165" t="s">
        <v>771</v>
      </c>
    </row>
    <row r="374" spans="1:32" x14ac:dyDescent="0.3">
      <c r="A374" s="165" t="s">
        <v>772</v>
      </c>
      <c r="B374" s="165" t="s">
        <v>14</v>
      </c>
      <c r="C374" s="165" t="s">
        <v>727</v>
      </c>
      <c r="D374" s="165" t="s">
        <v>15</v>
      </c>
      <c r="E374" s="157">
        <v>40785</v>
      </c>
      <c r="F374" s="165" t="s">
        <v>148</v>
      </c>
      <c r="G374" s="165" t="s">
        <v>16</v>
      </c>
      <c r="H374" s="165" t="s">
        <v>16</v>
      </c>
      <c r="I374" s="165" t="s">
        <v>150</v>
      </c>
      <c r="J374" s="165" t="s">
        <v>148</v>
      </c>
      <c r="K374" s="165" t="s">
        <v>16</v>
      </c>
      <c r="L374" s="165" t="s">
        <v>16</v>
      </c>
      <c r="M374" s="165" t="s">
        <v>16</v>
      </c>
      <c r="N374" s="165" t="s">
        <v>150</v>
      </c>
      <c r="O374" s="165" t="s">
        <v>150</v>
      </c>
      <c r="P374" s="165" t="s">
        <v>150</v>
      </c>
      <c r="Q374" s="165" t="s">
        <v>148</v>
      </c>
      <c r="R374" s="165" t="s">
        <v>16</v>
      </c>
      <c r="S374" s="165" t="s">
        <v>148</v>
      </c>
      <c r="T374" s="165" t="s">
        <v>16</v>
      </c>
      <c r="U374" s="165" t="s">
        <v>148</v>
      </c>
      <c r="V374" s="165" t="s">
        <v>16</v>
      </c>
      <c r="W374" s="165" t="s">
        <v>16</v>
      </c>
      <c r="X374" s="165" t="s">
        <v>148</v>
      </c>
      <c r="Y374" s="165" t="s">
        <v>16</v>
      </c>
      <c r="Z374" s="165" t="s">
        <v>148</v>
      </c>
      <c r="AA374" s="165" t="s">
        <v>148</v>
      </c>
      <c r="AB374" s="165" t="s">
        <v>16</v>
      </c>
      <c r="AC374" s="165" t="s">
        <v>16</v>
      </c>
      <c r="AD374" s="165" t="s">
        <v>16</v>
      </c>
      <c r="AE374" s="165" t="s">
        <v>728</v>
      </c>
      <c r="AF374" s="165"/>
    </row>
    <row r="375" spans="1:32" x14ac:dyDescent="0.3">
      <c r="A375" s="165" t="s">
        <v>773</v>
      </c>
      <c r="B375" s="165" t="s">
        <v>14</v>
      </c>
      <c r="C375" s="165" t="s">
        <v>727</v>
      </c>
      <c r="D375" s="165" t="s">
        <v>15</v>
      </c>
      <c r="E375" s="157">
        <v>40785</v>
      </c>
      <c r="F375" s="165" t="s">
        <v>16</v>
      </c>
      <c r="G375" s="165" t="s">
        <v>16</v>
      </c>
      <c r="H375" s="165" t="s">
        <v>16</v>
      </c>
      <c r="I375" s="165" t="s">
        <v>16</v>
      </c>
      <c r="J375" s="165" t="s">
        <v>16</v>
      </c>
      <c r="K375" s="165" t="s">
        <v>16</v>
      </c>
      <c r="L375" s="165" t="s">
        <v>16</v>
      </c>
      <c r="M375" s="165" t="s">
        <v>16</v>
      </c>
      <c r="N375" s="165" t="s">
        <v>16</v>
      </c>
      <c r="O375" s="165" t="s">
        <v>16</v>
      </c>
      <c r="P375" s="165" t="s">
        <v>16</v>
      </c>
      <c r="Q375" s="165" t="s">
        <v>16</v>
      </c>
      <c r="R375" s="165" t="s">
        <v>16</v>
      </c>
      <c r="S375" s="165" t="s">
        <v>16</v>
      </c>
      <c r="T375" s="165" t="s">
        <v>16</v>
      </c>
      <c r="U375" s="165" t="s">
        <v>16</v>
      </c>
      <c r="V375" s="165" t="s">
        <v>16</v>
      </c>
      <c r="W375" s="165" t="s">
        <v>16</v>
      </c>
      <c r="X375" s="165" t="s">
        <v>16</v>
      </c>
      <c r="Y375" s="165" t="s">
        <v>16</v>
      </c>
      <c r="Z375" s="165" t="s">
        <v>16</v>
      </c>
      <c r="AA375" s="165" t="s">
        <v>16</v>
      </c>
      <c r="AB375" s="165" t="s">
        <v>16</v>
      </c>
      <c r="AC375" s="165" t="s">
        <v>16</v>
      </c>
      <c r="AD375" s="165" t="s">
        <v>16</v>
      </c>
      <c r="AE375" s="165" t="s">
        <v>728</v>
      </c>
      <c r="AF375" s="165"/>
    </row>
    <row r="376" spans="1:32" x14ac:dyDescent="0.3">
      <c r="A376" s="165" t="s">
        <v>774</v>
      </c>
      <c r="B376" s="165" t="s">
        <v>14</v>
      </c>
      <c r="C376" s="165" t="s">
        <v>727</v>
      </c>
      <c r="D376" s="165" t="s">
        <v>15</v>
      </c>
      <c r="E376" s="157">
        <v>40785</v>
      </c>
      <c r="F376" s="165" t="s">
        <v>16</v>
      </c>
      <c r="G376" s="165" t="s">
        <v>16</v>
      </c>
      <c r="H376" s="165" t="s">
        <v>16</v>
      </c>
      <c r="I376" s="165" t="s">
        <v>16</v>
      </c>
      <c r="J376" s="165" t="s">
        <v>16</v>
      </c>
      <c r="K376" s="165" t="s">
        <v>16</v>
      </c>
      <c r="L376" s="165" t="s">
        <v>16</v>
      </c>
      <c r="M376" s="165" t="s">
        <v>16</v>
      </c>
      <c r="N376" s="165" t="s">
        <v>16</v>
      </c>
      <c r="O376" s="165" t="s">
        <v>16</v>
      </c>
      <c r="P376" s="165" t="s">
        <v>16</v>
      </c>
      <c r="Q376" s="165" t="s">
        <v>16</v>
      </c>
      <c r="R376" s="165" t="s">
        <v>16</v>
      </c>
      <c r="S376" s="165" t="s">
        <v>16</v>
      </c>
      <c r="T376" s="165" t="s">
        <v>16</v>
      </c>
      <c r="U376" s="165" t="s">
        <v>16</v>
      </c>
      <c r="V376" s="165" t="s">
        <v>16</v>
      </c>
      <c r="W376" s="165" t="s">
        <v>16</v>
      </c>
      <c r="X376" s="165" t="s">
        <v>16</v>
      </c>
      <c r="Y376" s="165" t="s">
        <v>16</v>
      </c>
      <c r="Z376" s="165" t="s">
        <v>16</v>
      </c>
      <c r="AA376" s="165" t="s">
        <v>16</v>
      </c>
      <c r="AB376" s="165" t="s">
        <v>16</v>
      </c>
      <c r="AC376" s="165" t="s">
        <v>16</v>
      </c>
      <c r="AD376" s="165" t="s">
        <v>16</v>
      </c>
      <c r="AE376" s="165" t="s">
        <v>728</v>
      </c>
      <c r="AF376" s="165"/>
    </row>
    <row r="377" spans="1:32" x14ac:dyDescent="0.3">
      <c r="A377" s="165" t="s">
        <v>775</v>
      </c>
      <c r="B377" s="165" t="s">
        <v>14</v>
      </c>
      <c r="C377" s="165" t="s">
        <v>727</v>
      </c>
      <c r="D377" s="165" t="s">
        <v>15</v>
      </c>
      <c r="E377" s="157">
        <v>40785</v>
      </c>
      <c r="F377" s="165" t="s">
        <v>16</v>
      </c>
      <c r="G377" s="165" t="s">
        <v>16</v>
      </c>
      <c r="H377" s="165" t="s">
        <v>16</v>
      </c>
      <c r="I377" s="165" t="s">
        <v>148</v>
      </c>
      <c r="J377" s="165" t="s">
        <v>16</v>
      </c>
      <c r="K377" s="165" t="s">
        <v>16</v>
      </c>
      <c r="L377" s="165" t="s">
        <v>16</v>
      </c>
      <c r="M377" s="165" t="s">
        <v>16</v>
      </c>
      <c r="N377" s="165" t="s">
        <v>148</v>
      </c>
      <c r="O377" s="165" t="s">
        <v>16</v>
      </c>
      <c r="P377" s="165" t="s">
        <v>148</v>
      </c>
      <c r="Q377" s="165" t="s">
        <v>16</v>
      </c>
      <c r="R377" s="165" t="s">
        <v>148</v>
      </c>
      <c r="S377" s="165" t="s">
        <v>16</v>
      </c>
      <c r="T377" s="165" t="s">
        <v>16</v>
      </c>
      <c r="U377" s="165" t="s">
        <v>16</v>
      </c>
      <c r="V377" s="165" t="s">
        <v>16</v>
      </c>
      <c r="W377" s="165" t="s">
        <v>16</v>
      </c>
      <c r="X377" s="165" t="s">
        <v>16</v>
      </c>
      <c r="Y377" s="165" t="s">
        <v>16</v>
      </c>
      <c r="Z377" s="165" t="s">
        <v>149</v>
      </c>
      <c r="AA377" s="165" t="s">
        <v>16</v>
      </c>
      <c r="AB377" s="165" t="s">
        <v>148</v>
      </c>
      <c r="AC377" s="165" t="s">
        <v>148</v>
      </c>
      <c r="AD377" s="165" t="s">
        <v>16</v>
      </c>
      <c r="AE377" s="165" t="s">
        <v>728</v>
      </c>
      <c r="AF377" s="165"/>
    </row>
    <row r="381" spans="1:32" x14ac:dyDescent="0.3">
      <c r="A381" s="165"/>
      <c r="B381" s="165"/>
      <c r="C381" s="165"/>
      <c r="D381" s="165"/>
      <c r="E381" s="165"/>
      <c r="F381" s="165" t="s">
        <v>124</v>
      </c>
      <c r="G381" s="165" t="s">
        <v>125</v>
      </c>
      <c r="H381" s="165" t="s">
        <v>126</v>
      </c>
      <c r="I381" s="165" t="s">
        <v>127</v>
      </c>
      <c r="J381" s="165" t="s">
        <v>214</v>
      </c>
      <c r="K381" s="165" t="s">
        <v>128</v>
      </c>
      <c r="L381" s="165" t="s">
        <v>129</v>
      </c>
      <c r="M381" s="165" t="s">
        <v>130</v>
      </c>
      <c r="N381" s="165" t="s">
        <v>131</v>
      </c>
      <c r="O381" s="165" t="s">
        <v>132</v>
      </c>
      <c r="P381" s="165" t="s">
        <v>133</v>
      </c>
      <c r="Q381" s="165" t="s">
        <v>134</v>
      </c>
      <c r="R381" s="165" t="s">
        <v>135</v>
      </c>
      <c r="S381" s="165" t="s">
        <v>136</v>
      </c>
      <c r="T381" s="165" t="s">
        <v>137</v>
      </c>
      <c r="U381" s="165" t="s">
        <v>138</v>
      </c>
      <c r="V381" s="165" t="s">
        <v>139</v>
      </c>
      <c r="W381" s="165" t="s">
        <v>140</v>
      </c>
      <c r="X381" s="165" t="s">
        <v>186</v>
      </c>
      <c r="Y381" s="165" t="s">
        <v>209</v>
      </c>
      <c r="Z381" s="165" t="s">
        <v>141</v>
      </c>
      <c r="AA381" s="165" t="s">
        <v>142</v>
      </c>
      <c r="AB381" s="165" t="s">
        <v>210</v>
      </c>
      <c r="AC381" s="165" t="s">
        <v>143</v>
      </c>
      <c r="AD381" s="165" t="s">
        <v>144</v>
      </c>
      <c r="AE381" s="165" t="s">
        <v>776</v>
      </c>
      <c r="AF381" s="165" t="s">
        <v>190</v>
      </c>
    </row>
    <row r="382" spans="1:32" x14ac:dyDescent="0.3">
      <c r="A382" s="165" t="s">
        <v>777</v>
      </c>
      <c r="B382" s="165" t="s">
        <v>14</v>
      </c>
      <c r="C382" s="165" t="s">
        <v>778</v>
      </c>
      <c r="D382" s="165" t="s">
        <v>15</v>
      </c>
      <c r="E382" s="157">
        <v>40815</v>
      </c>
      <c r="F382" s="165" t="s">
        <v>16</v>
      </c>
      <c r="G382" s="165" t="s">
        <v>16</v>
      </c>
      <c r="H382" s="165" t="s">
        <v>16</v>
      </c>
      <c r="I382" s="165" t="s">
        <v>148</v>
      </c>
      <c r="J382" s="165" t="s">
        <v>148</v>
      </c>
      <c r="K382" s="165" t="s">
        <v>16</v>
      </c>
      <c r="L382" s="165" t="s">
        <v>148</v>
      </c>
      <c r="M382" s="165" t="s">
        <v>148</v>
      </c>
      <c r="N382" s="165" t="s">
        <v>148</v>
      </c>
      <c r="O382" s="165" t="s">
        <v>16</v>
      </c>
      <c r="P382" s="165" t="s">
        <v>148</v>
      </c>
      <c r="Q382" s="165" t="s">
        <v>16</v>
      </c>
      <c r="R382" s="165" t="s">
        <v>16</v>
      </c>
      <c r="S382" s="165" t="s">
        <v>16</v>
      </c>
      <c r="T382" s="165" t="s">
        <v>16</v>
      </c>
      <c r="U382" s="165" t="s">
        <v>148</v>
      </c>
      <c r="V382" s="165" t="s">
        <v>148</v>
      </c>
      <c r="W382" s="165" t="s">
        <v>16</v>
      </c>
      <c r="X382" s="165" t="s">
        <v>16</v>
      </c>
      <c r="Y382" s="165" t="s">
        <v>114</v>
      </c>
      <c r="Z382" s="165" t="s">
        <v>148</v>
      </c>
      <c r="AA382" s="165" t="s">
        <v>148</v>
      </c>
      <c r="AB382" s="165" t="s">
        <v>16</v>
      </c>
      <c r="AC382" s="165" t="s">
        <v>16</v>
      </c>
      <c r="AD382" s="165" t="s">
        <v>148</v>
      </c>
      <c r="AE382" s="165" t="s">
        <v>779</v>
      </c>
      <c r="AF382" s="165" t="s">
        <v>780</v>
      </c>
    </row>
    <row r="383" spans="1:32" x14ac:dyDescent="0.3">
      <c r="A383" s="165" t="s">
        <v>781</v>
      </c>
      <c r="B383" s="165" t="s">
        <v>14</v>
      </c>
      <c r="C383" s="165" t="s">
        <v>778</v>
      </c>
      <c r="D383" s="165" t="s">
        <v>15</v>
      </c>
      <c r="E383" s="157">
        <v>40815</v>
      </c>
      <c r="F383" s="165" t="s">
        <v>149</v>
      </c>
      <c r="G383" s="165" t="s">
        <v>149</v>
      </c>
      <c r="H383" s="165" t="s">
        <v>149</v>
      </c>
      <c r="I383" s="165" t="s">
        <v>148</v>
      </c>
      <c r="J383" s="165" t="s">
        <v>149</v>
      </c>
      <c r="K383" s="165" t="s">
        <v>149</v>
      </c>
      <c r="L383" s="165" t="s">
        <v>148</v>
      </c>
      <c r="M383" s="165" t="s">
        <v>148</v>
      </c>
      <c r="N383" s="165" t="s">
        <v>16</v>
      </c>
      <c r="O383" s="165" t="s">
        <v>149</v>
      </c>
      <c r="P383" s="165" t="s">
        <v>148</v>
      </c>
      <c r="Q383" s="165" t="s">
        <v>149</v>
      </c>
      <c r="R383" s="165" t="s">
        <v>148</v>
      </c>
      <c r="S383" s="165" t="s">
        <v>148</v>
      </c>
      <c r="T383" s="165" t="s">
        <v>148</v>
      </c>
      <c r="U383" s="165" t="s">
        <v>16</v>
      </c>
      <c r="V383" s="165" t="s">
        <v>16</v>
      </c>
      <c r="W383" s="165" t="s">
        <v>149</v>
      </c>
      <c r="X383" s="165" t="s">
        <v>149</v>
      </c>
      <c r="Y383" s="165" t="s">
        <v>16</v>
      </c>
      <c r="Z383" s="165" t="s">
        <v>16</v>
      </c>
      <c r="AA383" s="165" t="s">
        <v>148</v>
      </c>
      <c r="AB383" s="165" t="s">
        <v>148</v>
      </c>
      <c r="AC383" s="165" t="s">
        <v>150</v>
      </c>
      <c r="AD383" s="165" t="s">
        <v>148</v>
      </c>
      <c r="AE383" s="165" t="s">
        <v>782</v>
      </c>
      <c r="AF383" s="165"/>
    </row>
    <row r="384" spans="1:32" x14ac:dyDescent="0.3">
      <c r="A384" s="165" t="s">
        <v>783</v>
      </c>
      <c r="B384" s="165" t="s">
        <v>14</v>
      </c>
      <c r="C384" s="165" t="s">
        <v>778</v>
      </c>
      <c r="D384" s="165" t="s">
        <v>15</v>
      </c>
      <c r="E384" s="157">
        <v>40815</v>
      </c>
      <c r="F384" s="165" t="s">
        <v>16</v>
      </c>
      <c r="G384" s="165" t="s">
        <v>16</v>
      </c>
      <c r="H384" s="165" t="s">
        <v>148</v>
      </c>
      <c r="I384" s="165" t="s">
        <v>148</v>
      </c>
      <c r="J384" s="165" t="s">
        <v>16</v>
      </c>
      <c r="K384" s="165" t="s">
        <v>16</v>
      </c>
      <c r="L384" s="165" t="s">
        <v>16</v>
      </c>
      <c r="M384" s="165" t="s">
        <v>16</v>
      </c>
      <c r="N384" s="165" t="s">
        <v>148</v>
      </c>
      <c r="O384" s="165" t="s">
        <v>16</v>
      </c>
      <c r="P384" s="165" t="s">
        <v>16</v>
      </c>
      <c r="Q384" s="165" t="s">
        <v>16</v>
      </c>
      <c r="R384" s="165" t="s">
        <v>16</v>
      </c>
      <c r="S384" s="165" t="s">
        <v>16</v>
      </c>
      <c r="T384" s="165" t="s">
        <v>16</v>
      </c>
      <c r="U384" s="165" t="s">
        <v>16</v>
      </c>
      <c r="V384" s="165" t="s">
        <v>16</v>
      </c>
      <c r="W384" s="165" t="s">
        <v>16</v>
      </c>
      <c r="X384" s="165" t="s">
        <v>16</v>
      </c>
      <c r="Y384" s="165" t="s">
        <v>16</v>
      </c>
      <c r="Z384" s="165" t="s">
        <v>16</v>
      </c>
      <c r="AA384" s="165" t="s">
        <v>16</v>
      </c>
      <c r="AB384" s="165" t="s">
        <v>16</v>
      </c>
      <c r="AC384" s="165" t="s">
        <v>148</v>
      </c>
      <c r="AD384" s="165" t="s">
        <v>16</v>
      </c>
      <c r="AE384" s="165" t="s">
        <v>782</v>
      </c>
      <c r="AF384" s="165" t="s">
        <v>784</v>
      </c>
    </row>
    <row r="385" spans="1:32" x14ac:dyDescent="0.3">
      <c r="A385" s="165" t="s">
        <v>785</v>
      </c>
      <c r="B385" s="165" t="s">
        <v>14</v>
      </c>
      <c r="C385" s="165" t="s">
        <v>778</v>
      </c>
      <c r="D385" s="165" t="s">
        <v>15</v>
      </c>
      <c r="E385" s="157">
        <v>40815</v>
      </c>
      <c r="F385" s="165" t="s">
        <v>16</v>
      </c>
      <c r="G385" s="165" t="s">
        <v>16</v>
      </c>
      <c r="H385" s="165" t="s">
        <v>16</v>
      </c>
      <c r="I385" s="165" t="s">
        <v>16</v>
      </c>
      <c r="J385" s="165" t="s">
        <v>16</v>
      </c>
      <c r="K385" s="165" t="s">
        <v>16</v>
      </c>
      <c r="L385" s="165" t="s">
        <v>16</v>
      </c>
      <c r="M385" s="165" t="s">
        <v>16</v>
      </c>
      <c r="N385" s="165" t="s">
        <v>16</v>
      </c>
      <c r="O385" s="165" t="s">
        <v>16</v>
      </c>
      <c r="P385" s="165" t="s">
        <v>16</v>
      </c>
      <c r="Q385" s="165" t="s">
        <v>16</v>
      </c>
      <c r="R385" s="165" t="s">
        <v>16</v>
      </c>
      <c r="S385" s="165" t="s">
        <v>16</v>
      </c>
      <c r="T385" s="165" t="s">
        <v>16</v>
      </c>
      <c r="U385" s="165" t="s">
        <v>16</v>
      </c>
      <c r="V385" s="165" t="s">
        <v>16</v>
      </c>
      <c r="W385" s="165" t="s">
        <v>16</v>
      </c>
      <c r="X385" s="165" t="s">
        <v>16</v>
      </c>
      <c r="Y385" s="165" t="s">
        <v>16</v>
      </c>
      <c r="Z385" s="165" t="s">
        <v>149</v>
      </c>
      <c r="AA385" s="165" t="s">
        <v>16</v>
      </c>
      <c r="AB385" s="165" t="s">
        <v>16</v>
      </c>
      <c r="AC385" s="165" t="s">
        <v>16</v>
      </c>
      <c r="AD385" s="165" t="s">
        <v>16</v>
      </c>
      <c r="AE385" s="165" t="s">
        <v>782</v>
      </c>
      <c r="AF385" s="165"/>
    </row>
    <row r="386" spans="1:32" x14ac:dyDescent="0.3">
      <c r="A386" s="165" t="s">
        <v>786</v>
      </c>
      <c r="B386" s="165" t="s">
        <v>14</v>
      </c>
      <c r="C386" s="165" t="s">
        <v>778</v>
      </c>
      <c r="D386" s="165" t="s">
        <v>15</v>
      </c>
      <c r="E386" s="157">
        <v>40815</v>
      </c>
      <c r="F386" s="165" t="s">
        <v>16</v>
      </c>
      <c r="G386" s="165" t="s">
        <v>16</v>
      </c>
      <c r="H386" s="165" t="s">
        <v>16</v>
      </c>
      <c r="I386" s="165" t="s">
        <v>148</v>
      </c>
      <c r="J386" s="165" t="s">
        <v>16</v>
      </c>
      <c r="K386" s="165" t="s">
        <v>16</v>
      </c>
      <c r="L386" s="165" t="s">
        <v>16</v>
      </c>
      <c r="M386" s="165" t="s">
        <v>16</v>
      </c>
      <c r="N386" s="165" t="s">
        <v>16</v>
      </c>
      <c r="O386" s="165" t="s">
        <v>16</v>
      </c>
      <c r="P386" s="165" t="s">
        <v>148</v>
      </c>
      <c r="Q386" s="165" t="s">
        <v>16</v>
      </c>
      <c r="R386" s="165" t="s">
        <v>16</v>
      </c>
      <c r="S386" s="165" t="s">
        <v>16</v>
      </c>
      <c r="T386" s="165" t="s">
        <v>16</v>
      </c>
      <c r="U386" s="165" t="s">
        <v>16</v>
      </c>
      <c r="V386" s="165" t="s">
        <v>16</v>
      </c>
      <c r="W386" s="165" t="s">
        <v>148</v>
      </c>
      <c r="X386" s="165" t="s">
        <v>16</v>
      </c>
      <c r="Y386" s="165" t="s">
        <v>16</v>
      </c>
      <c r="Z386" s="165" t="s">
        <v>16</v>
      </c>
      <c r="AA386" s="165" t="s">
        <v>16</v>
      </c>
      <c r="AB386" s="165" t="s">
        <v>16</v>
      </c>
      <c r="AC386" s="165" t="s">
        <v>16</v>
      </c>
      <c r="AD386" s="165" t="s">
        <v>16</v>
      </c>
      <c r="AE386" s="165" t="s">
        <v>782</v>
      </c>
      <c r="AF386" s="165"/>
    </row>
    <row r="387" spans="1:32" x14ac:dyDescent="0.3">
      <c r="A387" s="165" t="s">
        <v>787</v>
      </c>
      <c r="B387" s="165" t="s">
        <v>14</v>
      </c>
      <c r="C387" s="165" t="s">
        <v>778</v>
      </c>
      <c r="D387" s="165" t="s">
        <v>15</v>
      </c>
      <c r="E387" s="157">
        <v>40815</v>
      </c>
      <c r="F387" s="165" t="s">
        <v>16</v>
      </c>
      <c r="G387" s="165" t="s">
        <v>16</v>
      </c>
      <c r="H387" s="165" t="s">
        <v>16</v>
      </c>
      <c r="I387" s="165" t="s">
        <v>16</v>
      </c>
      <c r="J387" s="165" t="s">
        <v>16</v>
      </c>
      <c r="K387" s="165" t="s">
        <v>16</v>
      </c>
      <c r="L387" s="165" t="s">
        <v>16</v>
      </c>
      <c r="M387" s="165" t="s">
        <v>16</v>
      </c>
      <c r="N387" s="165" t="s">
        <v>16</v>
      </c>
      <c r="O387" s="165" t="s">
        <v>16</v>
      </c>
      <c r="P387" s="165" t="s">
        <v>16</v>
      </c>
      <c r="Q387" s="165" t="s">
        <v>16</v>
      </c>
      <c r="R387" s="165" t="s">
        <v>16</v>
      </c>
      <c r="S387" s="165" t="s">
        <v>16</v>
      </c>
      <c r="T387" s="165" t="s">
        <v>16</v>
      </c>
      <c r="U387" s="165" t="s">
        <v>16</v>
      </c>
      <c r="V387" s="165" t="s">
        <v>16</v>
      </c>
      <c r="W387" s="165" t="s">
        <v>16</v>
      </c>
      <c r="X387" s="165" t="s">
        <v>16</v>
      </c>
      <c r="Y387" s="165" t="s">
        <v>16</v>
      </c>
      <c r="Z387" s="165" t="s">
        <v>16</v>
      </c>
      <c r="AA387" s="165" t="s">
        <v>16</v>
      </c>
      <c r="AB387" s="165" t="s">
        <v>16</v>
      </c>
      <c r="AC387" s="165" t="s">
        <v>16</v>
      </c>
      <c r="AD387" s="165" t="s">
        <v>16</v>
      </c>
      <c r="AE387" s="165" t="s">
        <v>782</v>
      </c>
      <c r="AF387" s="165" t="s">
        <v>788</v>
      </c>
    </row>
    <row r="388" spans="1:32" x14ac:dyDescent="0.3">
      <c r="A388" s="165" t="s">
        <v>789</v>
      </c>
      <c r="B388" s="165" t="s">
        <v>14</v>
      </c>
      <c r="C388" s="165" t="s">
        <v>778</v>
      </c>
      <c r="D388" s="165" t="s">
        <v>15</v>
      </c>
      <c r="E388" s="157">
        <v>40815</v>
      </c>
      <c r="F388" s="165" t="s">
        <v>148</v>
      </c>
      <c r="G388" s="165" t="s">
        <v>16</v>
      </c>
      <c r="H388" s="165" t="s">
        <v>16</v>
      </c>
      <c r="I388" s="165" t="s">
        <v>16</v>
      </c>
      <c r="J388" s="165" t="s">
        <v>16</v>
      </c>
      <c r="K388" s="165" t="s">
        <v>16</v>
      </c>
      <c r="L388" s="165" t="s">
        <v>16</v>
      </c>
      <c r="M388" s="165" t="s">
        <v>16</v>
      </c>
      <c r="N388" s="165" t="s">
        <v>16</v>
      </c>
      <c r="O388" s="165" t="s">
        <v>16</v>
      </c>
      <c r="P388" s="165" t="s">
        <v>16</v>
      </c>
      <c r="Q388" s="165" t="s">
        <v>16</v>
      </c>
      <c r="R388" s="165" t="s">
        <v>16</v>
      </c>
      <c r="S388" s="165" t="s">
        <v>16</v>
      </c>
      <c r="T388" s="165" t="s">
        <v>16</v>
      </c>
      <c r="U388" s="165" t="s">
        <v>16</v>
      </c>
      <c r="V388" s="165" t="s">
        <v>148</v>
      </c>
      <c r="W388" s="165" t="s">
        <v>16</v>
      </c>
      <c r="X388" s="165" t="s">
        <v>16</v>
      </c>
      <c r="Y388" s="165" t="s">
        <v>16</v>
      </c>
      <c r="Z388" s="165" t="s">
        <v>16</v>
      </c>
      <c r="AA388" s="165" t="s">
        <v>148</v>
      </c>
      <c r="AB388" s="165" t="s">
        <v>16</v>
      </c>
      <c r="AC388" s="165" t="s">
        <v>148</v>
      </c>
      <c r="AD388" s="165" t="s">
        <v>16</v>
      </c>
      <c r="AE388" s="165" t="s">
        <v>782</v>
      </c>
      <c r="AF388" s="165"/>
    </row>
    <row r="389" spans="1:32" x14ac:dyDescent="0.3">
      <c r="A389" s="165" t="s">
        <v>790</v>
      </c>
      <c r="B389" s="165" t="s">
        <v>14</v>
      </c>
      <c r="C389" s="165" t="s">
        <v>778</v>
      </c>
      <c r="D389" s="165" t="s">
        <v>15</v>
      </c>
      <c r="E389" s="157">
        <v>40815</v>
      </c>
      <c r="F389" s="165" t="s">
        <v>148</v>
      </c>
      <c r="G389" s="165" t="s">
        <v>148</v>
      </c>
      <c r="H389" s="165" t="s">
        <v>16</v>
      </c>
      <c r="I389" s="165" t="s">
        <v>16</v>
      </c>
      <c r="J389" s="165" t="s">
        <v>16</v>
      </c>
      <c r="K389" s="165" t="s">
        <v>16</v>
      </c>
      <c r="L389" s="165" t="s">
        <v>16</v>
      </c>
      <c r="M389" s="165" t="s">
        <v>16</v>
      </c>
      <c r="N389" s="165" t="s">
        <v>16</v>
      </c>
      <c r="O389" s="165" t="s">
        <v>16</v>
      </c>
      <c r="P389" s="165" t="s">
        <v>16</v>
      </c>
      <c r="Q389" s="165" t="s">
        <v>16</v>
      </c>
      <c r="R389" s="165" t="s">
        <v>16</v>
      </c>
      <c r="S389" s="165" t="s">
        <v>16</v>
      </c>
      <c r="T389" s="165" t="s">
        <v>16</v>
      </c>
      <c r="U389" s="165" t="s">
        <v>16</v>
      </c>
      <c r="V389" s="165" t="s">
        <v>16</v>
      </c>
      <c r="W389" s="165" t="s">
        <v>16</v>
      </c>
      <c r="X389" s="165" t="s">
        <v>16</v>
      </c>
      <c r="Y389" s="165" t="s">
        <v>16</v>
      </c>
      <c r="Z389" s="165" t="s">
        <v>16</v>
      </c>
      <c r="AA389" s="165" t="s">
        <v>16</v>
      </c>
      <c r="AB389" s="165" t="s">
        <v>16</v>
      </c>
      <c r="AC389" s="165" t="s">
        <v>16</v>
      </c>
      <c r="AD389" s="165" t="s">
        <v>16</v>
      </c>
      <c r="AE389" s="165" t="s">
        <v>791</v>
      </c>
      <c r="AF389" s="165"/>
    </row>
    <row r="390" spans="1:32" x14ac:dyDescent="0.3">
      <c r="A390" s="165" t="s">
        <v>792</v>
      </c>
      <c r="B390" s="165" t="s">
        <v>14</v>
      </c>
      <c r="C390" s="165" t="s">
        <v>778</v>
      </c>
      <c r="D390" s="165" t="s">
        <v>15</v>
      </c>
      <c r="E390" s="157">
        <v>40815</v>
      </c>
      <c r="F390" s="165" t="s">
        <v>16</v>
      </c>
      <c r="G390" s="165" t="s">
        <v>148</v>
      </c>
      <c r="H390" s="165" t="s">
        <v>16</v>
      </c>
      <c r="I390" s="165" t="s">
        <v>16</v>
      </c>
      <c r="J390" s="165" t="s">
        <v>148</v>
      </c>
      <c r="K390" s="165" t="s">
        <v>149</v>
      </c>
      <c r="L390" s="165" t="s">
        <v>16</v>
      </c>
      <c r="M390" s="165" t="s">
        <v>148</v>
      </c>
      <c r="N390" s="165" t="s">
        <v>16</v>
      </c>
      <c r="O390" s="165" t="s">
        <v>16</v>
      </c>
      <c r="P390" s="165" t="s">
        <v>148</v>
      </c>
      <c r="Q390" s="165" t="s">
        <v>16</v>
      </c>
      <c r="R390" s="165" t="s">
        <v>16</v>
      </c>
      <c r="S390" s="165" t="s">
        <v>16</v>
      </c>
      <c r="T390" s="165" t="s">
        <v>16</v>
      </c>
      <c r="U390" s="165" t="s">
        <v>148</v>
      </c>
      <c r="V390" s="165" t="s">
        <v>16</v>
      </c>
      <c r="W390" s="165" t="s">
        <v>16</v>
      </c>
      <c r="X390" s="165" t="s">
        <v>148</v>
      </c>
      <c r="Y390" s="165" t="s">
        <v>16</v>
      </c>
      <c r="Z390" s="165" t="s">
        <v>16</v>
      </c>
      <c r="AA390" s="165" t="s">
        <v>148</v>
      </c>
      <c r="AB390" s="165" t="s">
        <v>16</v>
      </c>
      <c r="AC390" s="165" t="s">
        <v>16</v>
      </c>
      <c r="AD390" s="165" t="s">
        <v>16</v>
      </c>
      <c r="AE390" s="165" t="s">
        <v>779</v>
      </c>
      <c r="AF390" s="165"/>
    </row>
    <row r="391" spans="1:32" x14ac:dyDescent="0.3">
      <c r="A391" s="165" t="s">
        <v>793</v>
      </c>
      <c r="B391" s="165" t="s">
        <v>14</v>
      </c>
      <c r="C391" s="165" t="s">
        <v>778</v>
      </c>
      <c r="D391" s="165" t="s">
        <v>15</v>
      </c>
      <c r="E391" s="157">
        <v>40815</v>
      </c>
      <c r="F391" s="165" t="s">
        <v>149</v>
      </c>
      <c r="G391" s="165" t="s">
        <v>149</v>
      </c>
      <c r="H391" s="165" t="s">
        <v>16</v>
      </c>
      <c r="I391" s="165" t="s">
        <v>16</v>
      </c>
      <c r="J391" s="165" t="s">
        <v>149</v>
      </c>
      <c r="K391" s="165" t="s">
        <v>16</v>
      </c>
      <c r="L391" s="165" t="s">
        <v>16</v>
      </c>
      <c r="M391" s="165" t="s">
        <v>16</v>
      </c>
      <c r="N391" s="165" t="s">
        <v>16</v>
      </c>
      <c r="O391" s="165" t="s">
        <v>16</v>
      </c>
      <c r="P391" s="165" t="s">
        <v>16</v>
      </c>
      <c r="Q391" s="165" t="s">
        <v>16</v>
      </c>
      <c r="R391" s="165" t="s">
        <v>16</v>
      </c>
      <c r="S391" s="165" t="s">
        <v>16</v>
      </c>
      <c r="T391" s="165" t="s">
        <v>16</v>
      </c>
      <c r="U391" s="165" t="s">
        <v>16</v>
      </c>
      <c r="V391" s="165" t="s">
        <v>16</v>
      </c>
      <c r="W391" s="165" t="s">
        <v>16</v>
      </c>
      <c r="X391" s="165" t="s">
        <v>16</v>
      </c>
      <c r="Y391" s="165" t="s">
        <v>16</v>
      </c>
      <c r="Z391" s="165" t="s">
        <v>149</v>
      </c>
      <c r="AA391" s="165" t="s">
        <v>149</v>
      </c>
      <c r="AB391" s="165" t="s">
        <v>16</v>
      </c>
      <c r="AC391" s="165" t="s">
        <v>16</v>
      </c>
      <c r="AD391" s="165" t="s">
        <v>16</v>
      </c>
      <c r="AE391" s="165" t="s">
        <v>782</v>
      </c>
      <c r="AF391" s="165"/>
    </row>
    <row r="392" spans="1:32" x14ac:dyDescent="0.3">
      <c r="A392" s="165" t="s">
        <v>794</v>
      </c>
      <c r="B392" s="165" t="s">
        <v>14</v>
      </c>
      <c r="C392" s="165" t="s">
        <v>778</v>
      </c>
      <c r="D392" s="165" t="s">
        <v>15</v>
      </c>
      <c r="E392" s="157">
        <v>40815</v>
      </c>
      <c r="F392" s="165" t="s">
        <v>149</v>
      </c>
      <c r="G392" s="165" t="s">
        <v>149</v>
      </c>
      <c r="H392" s="165" t="s">
        <v>149</v>
      </c>
      <c r="I392" s="165" t="s">
        <v>149</v>
      </c>
      <c r="J392" s="165" t="s">
        <v>16</v>
      </c>
      <c r="K392" s="165" t="s">
        <v>149</v>
      </c>
      <c r="L392" s="165" t="s">
        <v>149</v>
      </c>
      <c r="M392" s="165" t="s">
        <v>16</v>
      </c>
      <c r="N392" s="165" t="s">
        <v>148</v>
      </c>
      <c r="O392" s="165" t="s">
        <v>16</v>
      </c>
      <c r="P392" s="165" t="s">
        <v>16</v>
      </c>
      <c r="Q392" s="165" t="s">
        <v>16</v>
      </c>
      <c r="R392" s="165" t="s">
        <v>149</v>
      </c>
      <c r="S392" s="165" t="s">
        <v>16</v>
      </c>
      <c r="T392" s="165" t="s">
        <v>149</v>
      </c>
      <c r="U392" s="165" t="s">
        <v>149</v>
      </c>
      <c r="V392" s="165" t="s">
        <v>149</v>
      </c>
      <c r="W392" s="165" t="s">
        <v>149</v>
      </c>
      <c r="X392" s="165" t="s">
        <v>16</v>
      </c>
      <c r="Y392" s="165" t="s">
        <v>149</v>
      </c>
      <c r="Z392" s="165" t="s">
        <v>149</v>
      </c>
      <c r="AA392" s="165" t="s">
        <v>149</v>
      </c>
      <c r="AB392" s="165" t="s">
        <v>148</v>
      </c>
      <c r="AC392" s="165" t="s">
        <v>148</v>
      </c>
      <c r="AD392" s="165" t="s">
        <v>16</v>
      </c>
      <c r="AE392" s="165" t="s">
        <v>782</v>
      </c>
      <c r="AF392" s="165"/>
    </row>
    <row r="393" spans="1:32" x14ac:dyDescent="0.3">
      <c r="A393" s="165" t="s">
        <v>795</v>
      </c>
      <c r="B393" s="165" t="s">
        <v>14</v>
      </c>
      <c r="C393" s="165" t="s">
        <v>778</v>
      </c>
      <c r="D393" s="165" t="s">
        <v>15</v>
      </c>
      <c r="E393" s="157">
        <v>40815</v>
      </c>
      <c r="F393" s="165" t="s">
        <v>16</v>
      </c>
      <c r="G393" s="165" t="s">
        <v>148</v>
      </c>
      <c r="H393" s="165" t="s">
        <v>16</v>
      </c>
      <c r="I393" s="165" t="s">
        <v>16</v>
      </c>
      <c r="J393" s="165" t="s">
        <v>16</v>
      </c>
      <c r="K393" s="165" t="s">
        <v>16</v>
      </c>
      <c r="L393" s="165" t="s">
        <v>16</v>
      </c>
      <c r="M393" s="165" t="s">
        <v>16</v>
      </c>
      <c r="N393" s="165" t="s">
        <v>16</v>
      </c>
      <c r="O393" s="165" t="s">
        <v>16</v>
      </c>
      <c r="P393" s="165" t="s">
        <v>16</v>
      </c>
      <c r="Q393" s="165" t="s">
        <v>16</v>
      </c>
      <c r="R393" s="165" t="s">
        <v>16</v>
      </c>
      <c r="S393" s="165" t="s">
        <v>16</v>
      </c>
      <c r="T393" s="165" t="s">
        <v>16</v>
      </c>
      <c r="U393" s="165" t="s">
        <v>16</v>
      </c>
      <c r="V393" s="165" t="s">
        <v>16</v>
      </c>
      <c r="W393" s="165" t="s">
        <v>16</v>
      </c>
      <c r="X393" s="165" t="s">
        <v>16</v>
      </c>
      <c r="Y393" s="165" t="s">
        <v>16</v>
      </c>
      <c r="Z393" s="165" t="s">
        <v>149</v>
      </c>
      <c r="AA393" s="165" t="s">
        <v>16</v>
      </c>
      <c r="AB393" s="165" t="s">
        <v>16</v>
      </c>
      <c r="AC393" s="165" t="s">
        <v>16</v>
      </c>
      <c r="AD393" s="165" t="s">
        <v>16</v>
      </c>
      <c r="AE393" s="165" t="s">
        <v>782</v>
      </c>
      <c r="AF393" s="165"/>
    </row>
    <row r="394" spans="1:32" x14ac:dyDescent="0.3">
      <c r="A394" s="165" t="s">
        <v>796</v>
      </c>
      <c r="B394" s="165" t="s">
        <v>14</v>
      </c>
      <c r="C394" s="165" t="s">
        <v>778</v>
      </c>
      <c r="D394" s="165" t="s">
        <v>15</v>
      </c>
      <c r="E394" s="157">
        <v>40815</v>
      </c>
      <c r="F394" s="165" t="s">
        <v>16</v>
      </c>
      <c r="G394" s="165" t="s">
        <v>16</v>
      </c>
      <c r="H394" s="165" t="s">
        <v>16</v>
      </c>
      <c r="I394" s="165" t="s">
        <v>16</v>
      </c>
      <c r="J394" s="165" t="s">
        <v>16</v>
      </c>
      <c r="K394" s="165" t="s">
        <v>16</v>
      </c>
      <c r="L394" s="165" t="s">
        <v>149</v>
      </c>
      <c r="M394" s="165" t="s">
        <v>16</v>
      </c>
      <c r="N394" s="165" t="s">
        <v>16</v>
      </c>
      <c r="O394" s="165" t="s">
        <v>16</v>
      </c>
      <c r="P394" s="165" t="s">
        <v>16</v>
      </c>
      <c r="Q394" s="165" t="s">
        <v>16</v>
      </c>
      <c r="R394" s="165" t="s">
        <v>16</v>
      </c>
      <c r="S394" s="165" t="s">
        <v>16</v>
      </c>
      <c r="T394" s="165" t="s">
        <v>148</v>
      </c>
      <c r="U394" s="165" t="s">
        <v>16</v>
      </c>
      <c r="V394" s="165" t="s">
        <v>16</v>
      </c>
      <c r="W394" s="165" t="s">
        <v>148</v>
      </c>
      <c r="X394" s="165" t="s">
        <v>16</v>
      </c>
      <c r="Y394" s="165" t="s">
        <v>16</v>
      </c>
      <c r="Z394" s="165" t="s">
        <v>16</v>
      </c>
      <c r="AA394" s="165" t="s">
        <v>16</v>
      </c>
      <c r="AB394" s="165" t="s">
        <v>148</v>
      </c>
      <c r="AC394" s="165" t="s">
        <v>148</v>
      </c>
      <c r="AD394" s="165" t="s">
        <v>148</v>
      </c>
      <c r="AE394" s="165" t="s">
        <v>797</v>
      </c>
      <c r="AF394" s="165"/>
    </row>
    <row r="395" spans="1:32" x14ac:dyDescent="0.3">
      <c r="A395" s="165" t="s">
        <v>798</v>
      </c>
      <c r="B395" s="165" t="s">
        <v>14</v>
      </c>
      <c r="C395" s="165" t="s">
        <v>778</v>
      </c>
      <c r="D395" s="165" t="s">
        <v>15</v>
      </c>
      <c r="E395" s="157">
        <v>40815</v>
      </c>
      <c r="F395" s="165" t="s">
        <v>16</v>
      </c>
      <c r="G395" s="165" t="s">
        <v>16</v>
      </c>
      <c r="H395" s="165" t="s">
        <v>149</v>
      </c>
      <c r="I395" s="165" t="s">
        <v>148</v>
      </c>
      <c r="J395" s="165" t="s">
        <v>16</v>
      </c>
      <c r="K395" s="165" t="s">
        <v>149</v>
      </c>
      <c r="L395" s="165" t="s">
        <v>149</v>
      </c>
      <c r="M395" s="165" t="s">
        <v>16</v>
      </c>
      <c r="N395" s="165" t="s">
        <v>16</v>
      </c>
      <c r="O395" s="165" t="s">
        <v>16</v>
      </c>
      <c r="P395" s="165" t="s">
        <v>149</v>
      </c>
      <c r="Q395" s="165" t="s">
        <v>149</v>
      </c>
      <c r="R395" s="165" t="s">
        <v>149</v>
      </c>
      <c r="S395" s="165" t="s">
        <v>16</v>
      </c>
      <c r="T395" s="165" t="s">
        <v>16</v>
      </c>
      <c r="U395" s="165" t="s">
        <v>16</v>
      </c>
      <c r="V395" s="165" t="s">
        <v>16</v>
      </c>
      <c r="W395" s="165" t="s">
        <v>16</v>
      </c>
      <c r="X395" s="165" t="s">
        <v>16</v>
      </c>
      <c r="Y395" s="165" t="s">
        <v>114</v>
      </c>
      <c r="Z395" s="165" t="s">
        <v>16</v>
      </c>
      <c r="AA395" s="165" t="s">
        <v>16</v>
      </c>
      <c r="AB395" s="165" t="s">
        <v>148</v>
      </c>
      <c r="AC395" s="165" t="s">
        <v>16</v>
      </c>
      <c r="AD395" s="165" t="s">
        <v>16</v>
      </c>
      <c r="AE395" s="165" t="s">
        <v>779</v>
      </c>
      <c r="AF395" s="165"/>
    </row>
    <row r="396" spans="1:32" x14ac:dyDescent="0.3">
      <c r="A396" s="165" t="s">
        <v>799</v>
      </c>
      <c r="B396" s="165" t="s">
        <v>14</v>
      </c>
      <c r="C396" s="165" t="s">
        <v>778</v>
      </c>
      <c r="D396" s="165" t="s">
        <v>15</v>
      </c>
      <c r="E396" s="157">
        <v>40815</v>
      </c>
      <c r="F396" s="165" t="s">
        <v>16</v>
      </c>
      <c r="G396" s="165" t="s">
        <v>16</v>
      </c>
      <c r="H396" s="165" t="s">
        <v>16</v>
      </c>
      <c r="I396" s="165" t="s">
        <v>16</v>
      </c>
      <c r="J396" s="165" t="s">
        <v>16</v>
      </c>
      <c r="K396" s="165" t="s">
        <v>16</v>
      </c>
      <c r="L396" s="165" t="s">
        <v>16</v>
      </c>
      <c r="M396" s="165" t="s">
        <v>16</v>
      </c>
      <c r="N396" s="165" t="s">
        <v>16</v>
      </c>
      <c r="O396" s="165" t="s">
        <v>16</v>
      </c>
      <c r="P396" s="165" t="s">
        <v>16</v>
      </c>
      <c r="Q396" s="165" t="s">
        <v>16</v>
      </c>
      <c r="R396" s="165" t="s">
        <v>16</v>
      </c>
      <c r="S396" s="165" t="s">
        <v>16</v>
      </c>
      <c r="T396" s="165" t="s">
        <v>16</v>
      </c>
      <c r="U396" s="165" t="s">
        <v>16</v>
      </c>
      <c r="V396" s="165" t="s">
        <v>16</v>
      </c>
      <c r="W396" s="165" t="s">
        <v>16</v>
      </c>
      <c r="X396" s="165" t="s">
        <v>16</v>
      </c>
      <c r="Y396" s="165" t="s">
        <v>16</v>
      </c>
      <c r="Z396" s="165" t="s">
        <v>16</v>
      </c>
      <c r="AA396" s="165" t="s">
        <v>16</v>
      </c>
      <c r="AB396" s="165" t="s">
        <v>16</v>
      </c>
      <c r="AC396" s="165" t="s">
        <v>16</v>
      </c>
      <c r="AD396" s="165" t="s">
        <v>16</v>
      </c>
      <c r="AE396" s="165" t="s">
        <v>779</v>
      </c>
      <c r="AF396" s="165"/>
    </row>
    <row r="397" spans="1:32" x14ac:dyDescent="0.3">
      <c r="A397" s="165" t="s">
        <v>800</v>
      </c>
      <c r="B397" s="165" t="s">
        <v>14</v>
      </c>
      <c r="C397" s="165" t="s">
        <v>778</v>
      </c>
      <c r="D397" s="165" t="s">
        <v>15</v>
      </c>
      <c r="E397" s="157">
        <v>40815</v>
      </c>
      <c r="F397" s="165" t="s">
        <v>148</v>
      </c>
      <c r="G397" s="165" t="s">
        <v>114</v>
      </c>
      <c r="H397" s="165" t="s">
        <v>16</v>
      </c>
      <c r="I397" s="165" t="s">
        <v>148</v>
      </c>
      <c r="J397" s="165" t="s">
        <v>16</v>
      </c>
      <c r="K397" s="165" t="s">
        <v>148</v>
      </c>
      <c r="L397" s="165" t="s">
        <v>16</v>
      </c>
      <c r="M397" s="165" t="s">
        <v>148</v>
      </c>
      <c r="N397" s="165" t="s">
        <v>148</v>
      </c>
      <c r="O397" s="165" t="s">
        <v>148</v>
      </c>
      <c r="P397" s="165" t="s">
        <v>148</v>
      </c>
      <c r="Q397" s="165" t="s">
        <v>16</v>
      </c>
      <c r="R397" s="165" t="s">
        <v>148</v>
      </c>
      <c r="S397" s="165" t="s">
        <v>16</v>
      </c>
      <c r="T397" s="165" t="s">
        <v>148</v>
      </c>
      <c r="U397" s="165" t="s">
        <v>148</v>
      </c>
      <c r="V397" s="165" t="s">
        <v>148</v>
      </c>
      <c r="W397" s="165" t="s">
        <v>16</v>
      </c>
      <c r="X397" s="165" t="s">
        <v>148</v>
      </c>
      <c r="Y397" s="165" t="s">
        <v>16</v>
      </c>
      <c r="Z397" s="165" t="s">
        <v>148</v>
      </c>
      <c r="AA397" s="165" t="s">
        <v>148</v>
      </c>
      <c r="AB397" s="165" t="s">
        <v>16</v>
      </c>
      <c r="AC397" s="165" t="s">
        <v>148</v>
      </c>
      <c r="AD397" s="165" t="s">
        <v>16</v>
      </c>
      <c r="AE397" s="165" t="s">
        <v>782</v>
      </c>
      <c r="AF397" s="165"/>
    </row>
    <row r="398" spans="1:32" x14ac:dyDescent="0.3">
      <c r="A398" s="165" t="s">
        <v>801</v>
      </c>
      <c r="B398" s="165" t="s">
        <v>14</v>
      </c>
      <c r="C398" s="165" t="s">
        <v>778</v>
      </c>
      <c r="D398" s="165" t="s">
        <v>15</v>
      </c>
      <c r="E398" s="157">
        <v>40815</v>
      </c>
      <c r="F398" s="165" t="s">
        <v>16</v>
      </c>
      <c r="G398" s="165" t="s">
        <v>16</v>
      </c>
      <c r="H398" s="165" t="s">
        <v>16</v>
      </c>
      <c r="I398" s="165" t="s">
        <v>16</v>
      </c>
      <c r="J398" s="165" t="s">
        <v>148</v>
      </c>
      <c r="K398" s="165" t="s">
        <v>16</v>
      </c>
      <c r="L398" s="165" t="s">
        <v>16</v>
      </c>
      <c r="M398" s="165" t="s">
        <v>16</v>
      </c>
      <c r="N398" s="165" t="s">
        <v>148</v>
      </c>
      <c r="O398" s="165" t="s">
        <v>148</v>
      </c>
      <c r="P398" s="165" t="s">
        <v>148</v>
      </c>
      <c r="Q398" s="165" t="s">
        <v>16</v>
      </c>
      <c r="R398" s="165" t="s">
        <v>16</v>
      </c>
      <c r="S398" s="165" t="s">
        <v>16</v>
      </c>
      <c r="T398" s="165" t="s">
        <v>16</v>
      </c>
      <c r="U398" s="165" t="s">
        <v>148</v>
      </c>
      <c r="V398" s="165" t="s">
        <v>16</v>
      </c>
      <c r="W398" s="165" t="s">
        <v>16</v>
      </c>
      <c r="X398" s="165" t="s">
        <v>16</v>
      </c>
      <c r="Y398" s="165" t="s">
        <v>16</v>
      </c>
      <c r="Z398" s="165" t="s">
        <v>16</v>
      </c>
      <c r="AA398" s="165" t="s">
        <v>16</v>
      </c>
      <c r="AB398" s="165" t="s">
        <v>16</v>
      </c>
      <c r="AC398" s="165" t="s">
        <v>148</v>
      </c>
      <c r="AD398" s="165" t="s">
        <v>16</v>
      </c>
      <c r="AE398" s="165" t="s">
        <v>782</v>
      </c>
      <c r="AF398" s="165"/>
    </row>
    <row r="399" spans="1:32" x14ac:dyDescent="0.3">
      <c r="A399" s="165" t="s">
        <v>802</v>
      </c>
      <c r="B399" s="165" t="s">
        <v>14</v>
      </c>
      <c r="C399" s="165" t="s">
        <v>778</v>
      </c>
      <c r="D399" s="165" t="s">
        <v>15</v>
      </c>
      <c r="E399" s="157">
        <v>40815</v>
      </c>
      <c r="F399" s="165" t="s">
        <v>16</v>
      </c>
      <c r="G399" s="165" t="s">
        <v>16</v>
      </c>
      <c r="H399" s="165" t="s">
        <v>16</v>
      </c>
      <c r="I399" s="165" t="s">
        <v>16</v>
      </c>
      <c r="J399" s="165" t="s">
        <v>16</v>
      </c>
      <c r="K399" s="165" t="s">
        <v>16</v>
      </c>
      <c r="L399" s="165" t="s">
        <v>16</v>
      </c>
      <c r="M399" s="165" t="s">
        <v>16</v>
      </c>
      <c r="N399" s="165" t="s">
        <v>148</v>
      </c>
      <c r="O399" s="165" t="s">
        <v>16</v>
      </c>
      <c r="P399" s="165" t="s">
        <v>16</v>
      </c>
      <c r="Q399" s="165" t="s">
        <v>16</v>
      </c>
      <c r="R399" s="165" t="s">
        <v>16</v>
      </c>
      <c r="S399" s="165" t="s">
        <v>16</v>
      </c>
      <c r="T399" s="165" t="s">
        <v>16</v>
      </c>
      <c r="U399" s="165" t="s">
        <v>16</v>
      </c>
      <c r="V399" s="165" t="s">
        <v>16</v>
      </c>
      <c r="W399" s="165" t="s">
        <v>16</v>
      </c>
      <c r="X399" s="165" t="s">
        <v>16</v>
      </c>
      <c r="Y399" s="165" t="s">
        <v>16</v>
      </c>
      <c r="Z399" s="165" t="s">
        <v>16</v>
      </c>
      <c r="AA399" s="165" t="s">
        <v>16</v>
      </c>
      <c r="AB399" s="165" t="s">
        <v>16</v>
      </c>
      <c r="AC399" s="165" t="s">
        <v>16</v>
      </c>
      <c r="AD399" s="165" t="s">
        <v>16</v>
      </c>
      <c r="AE399" s="165"/>
      <c r="AF399" s="165"/>
    </row>
    <row r="400" spans="1:32" x14ac:dyDescent="0.3">
      <c r="A400" s="165" t="s">
        <v>803</v>
      </c>
      <c r="B400" s="165" t="s">
        <v>14</v>
      </c>
      <c r="C400" s="165" t="s">
        <v>778</v>
      </c>
      <c r="D400" s="165" t="s">
        <v>15</v>
      </c>
      <c r="E400" s="157">
        <v>40815</v>
      </c>
      <c r="F400" s="165" t="s">
        <v>16</v>
      </c>
      <c r="G400" s="165" t="s">
        <v>16</v>
      </c>
      <c r="H400" s="165" t="s">
        <v>16</v>
      </c>
      <c r="I400" s="165" t="s">
        <v>16</v>
      </c>
      <c r="J400" s="165" t="s">
        <v>148</v>
      </c>
      <c r="K400" s="165" t="s">
        <v>16</v>
      </c>
      <c r="L400" s="165" t="s">
        <v>16</v>
      </c>
      <c r="M400" s="165" t="s">
        <v>148</v>
      </c>
      <c r="N400" s="165" t="s">
        <v>16</v>
      </c>
      <c r="O400" s="165" t="s">
        <v>16</v>
      </c>
      <c r="P400" s="165" t="s">
        <v>148</v>
      </c>
      <c r="Q400" s="165" t="s">
        <v>16</v>
      </c>
      <c r="R400" s="165" t="s">
        <v>16</v>
      </c>
      <c r="S400" s="165" t="s">
        <v>148</v>
      </c>
      <c r="T400" s="165" t="s">
        <v>16</v>
      </c>
      <c r="U400" s="165" t="s">
        <v>148</v>
      </c>
      <c r="V400" s="165" t="s">
        <v>148</v>
      </c>
      <c r="W400" s="165" t="s">
        <v>16</v>
      </c>
      <c r="X400" s="165" t="s">
        <v>16</v>
      </c>
      <c r="Y400" s="165" t="s">
        <v>16</v>
      </c>
      <c r="Z400" s="165" t="s">
        <v>16</v>
      </c>
      <c r="AA400" s="165" t="s">
        <v>16</v>
      </c>
      <c r="AB400" s="165" t="s">
        <v>16</v>
      </c>
      <c r="AC400" s="165" t="s">
        <v>149</v>
      </c>
      <c r="AD400" s="165" t="s">
        <v>148</v>
      </c>
      <c r="AE400" s="165" t="s">
        <v>782</v>
      </c>
      <c r="AF400" s="165"/>
    </row>
    <row r="401" spans="1:32" x14ac:dyDescent="0.3">
      <c r="A401" s="165" t="s">
        <v>804</v>
      </c>
      <c r="B401" s="165" t="s">
        <v>14</v>
      </c>
      <c r="C401" s="165" t="s">
        <v>778</v>
      </c>
      <c r="D401" s="165" t="s">
        <v>15</v>
      </c>
      <c r="E401" s="157">
        <v>40815</v>
      </c>
      <c r="F401" s="165" t="s">
        <v>16</v>
      </c>
      <c r="G401" s="165" t="s">
        <v>16</v>
      </c>
      <c r="H401" s="165" t="s">
        <v>16</v>
      </c>
      <c r="I401" s="165" t="s">
        <v>16</v>
      </c>
      <c r="J401" s="165" t="s">
        <v>16</v>
      </c>
      <c r="K401" s="165" t="s">
        <v>16</v>
      </c>
      <c r="L401" s="165" t="s">
        <v>16</v>
      </c>
      <c r="M401" s="165" t="s">
        <v>16</v>
      </c>
      <c r="N401" s="165" t="s">
        <v>16</v>
      </c>
      <c r="O401" s="165" t="s">
        <v>148</v>
      </c>
      <c r="P401" s="165" t="s">
        <v>16</v>
      </c>
      <c r="Q401" s="165" t="s">
        <v>16</v>
      </c>
      <c r="R401" s="165" t="s">
        <v>16</v>
      </c>
      <c r="S401" s="165" t="s">
        <v>16</v>
      </c>
      <c r="T401" s="165" t="s">
        <v>16</v>
      </c>
      <c r="U401" s="165" t="s">
        <v>16</v>
      </c>
      <c r="V401" s="165" t="s">
        <v>16</v>
      </c>
      <c r="W401" s="165" t="s">
        <v>16</v>
      </c>
      <c r="X401" s="165" t="s">
        <v>16</v>
      </c>
      <c r="Y401" s="165" t="s">
        <v>16</v>
      </c>
      <c r="Z401" s="165" t="s">
        <v>16</v>
      </c>
      <c r="AA401" s="165" t="s">
        <v>16</v>
      </c>
      <c r="AB401" s="165" t="s">
        <v>16</v>
      </c>
      <c r="AC401" s="165" t="s">
        <v>16</v>
      </c>
      <c r="AD401" s="165" t="s">
        <v>16</v>
      </c>
      <c r="AE401" s="165" t="s">
        <v>782</v>
      </c>
      <c r="AF401" s="165"/>
    </row>
    <row r="402" spans="1:32" x14ac:dyDescent="0.3">
      <c r="A402" s="165" t="s">
        <v>805</v>
      </c>
      <c r="B402" s="165" t="s">
        <v>14</v>
      </c>
      <c r="C402" s="165" t="s">
        <v>778</v>
      </c>
      <c r="D402" s="165" t="s">
        <v>15</v>
      </c>
      <c r="E402" s="157">
        <v>40815</v>
      </c>
      <c r="F402" s="165" t="s">
        <v>16</v>
      </c>
      <c r="G402" s="165" t="s">
        <v>16</v>
      </c>
      <c r="H402" s="165" t="s">
        <v>16</v>
      </c>
      <c r="I402" s="165" t="s">
        <v>16</v>
      </c>
      <c r="J402" s="165" t="s">
        <v>16</v>
      </c>
      <c r="K402" s="165" t="s">
        <v>16</v>
      </c>
      <c r="L402" s="165" t="s">
        <v>16</v>
      </c>
      <c r="M402" s="165" t="s">
        <v>16</v>
      </c>
      <c r="N402" s="165" t="s">
        <v>16</v>
      </c>
      <c r="O402" s="165" t="s">
        <v>16</v>
      </c>
      <c r="P402" s="165" t="s">
        <v>16</v>
      </c>
      <c r="Q402" s="165" t="s">
        <v>16</v>
      </c>
      <c r="R402" s="165" t="s">
        <v>16</v>
      </c>
      <c r="S402" s="165" t="s">
        <v>16</v>
      </c>
      <c r="T402" s="165" t="s">
        <v>16</v>
      </c>
      <c r="U402" s="165" t="s">
        <v>16</v>
      </c>
      <c r="V402" s="165" t="s">
        <v>16</v>
      </c>
      <c r="W402" s="165" t="s">
        <v>16</v>
      </c>
      <c r="X402" s="165" t="s">
        <v>16</v>
      </c>
      <c r="Y402" s="165" t="s">
        <v>16</v>
      </c>
      <c r="Z402" s="165" t="s">
        <v>16</v>
      </c>
      <c r="AA402" s="165" t="s">
        <v>16</v>
      </c>
      <c r="AB402" s="165" t="s">
        <v>16</v>
      </c>
      <c r="AC402" s="165" t="s">
        <v>16</v>
      </c>
      <c r="AD402" s="165" t="s">
        <v>16</v>
      </c>
      <c r="AE402" s="165"/>
      <c r="AF402" s="165"/>
    </row>
    <row r="403" spans="1:32" x14ac:dyDescent="0.3">
      <c r="A403" s="165" t="s">
        <v>806</v>
      </c>
      <c r="B403" s="165" t="s">
        <v>14</v>
      </c>
      <c r="C403" s="165" t="s">
        <v>778</v>
      </c>
      <c r="D403" s="165" t="s">
        <v>15</v>
      </c>
      <c r="E403" s="157">
        <v>40815</v>
      </c>
      <c r="F403" s="165" t="s">
        <v>16</v>
      </c>
      <c r="G403" s="165" t="s">
        <v>148</v>
      </c>
      <c r="H403" s="165" t="s">
        <v>16</v>
      </c>
      <c r="I403" s="165" t="s">
        <v>148</v>
      </c>
      <c r="J403" s="165" t="s">
        <v>16</v>
      </c>
      <c r="K403" s="165" t="s">
        <v>16</v>
      </c>
      <c r="L403" s="165" t="s">
        <v>16</v>
      </c>
      <c r="M403" s="165" t="s">
        <v>148</v>
      </c>
      <c r="N403" s="165" t="s">
        <v>16</v>
      </c>
      <c r="O403" s="165" t="s">
        <v>16</v>
      </c>
      <c r="P403" s="165" t="s">
        <v>16</v>
      </c>
      <c r="Q403" s="165" t="s">
        <v>16</v>
      </c>
      <c r="R403" s="165" t="s">
        <v>148</v>
      </c>
      <c r="S403" s="165" t="s">
        <v>16</v>
      </c>
      <c r="T403" s="165" t="s">
        <v>16</v>
      </c>
      <c r="U403" s="165" t="s">
        <v>16</v>
      </c>
      <c r="V403" s="165" t="s">
        <v>148</v>
      </c>
      <c r="W403" s="165" t="s">
        <v>16</v>
      </c>
      <c r="X403" s="165" t="s">
        <v>16</v>
      </c>
      <c r="Y403" s="165" t="s">
        <v>16</v>
      </c>
      <c r="Z403" s="165" t="s">
        <v>16</v>
      </c>
      <c r="AA403" s="165" t="s">
        <v>16</v>
      </c>
      <c r="AB403" s="165" t="s">
        <v>149</v>
      </c>
      <c r="AC403" s="165" t="s">
        <v>16</v>
      </c>
      <c r="AD403" s="165" t="s">
        <v>148</v>
      </c>
      <c r="AE403" s="165" t="s">
        <v>807</v>
      </c>
      <c r="AF403" s="165"/>
    </row>
    <row r="404" spans="1:32" x14ac:dyDescent="0.3">
      <c r="A404" s="165" t="s">
        <v>808</v>
      </c>
      <c r="B404" s="165" t="s">
        <v>14</v>
      </c>
      <c r="C404" s="165" t="s">
        <v>778</v>
      </c>
      <c r="D404" s="165" t="s">
        <v>15</v>
      </c>
      <c r="E404" s="157">
        <v>40815</v>
      </c>
      <c r="F404" s="165" t="s">
        <v>148</v>
      </c>
      <c r="G404" s="165" t="s">
        <v>16</v>
      </c>
      <c r="H404" s="165" t="s">
        <v>16</v>
      </c>
      <c r="I404" s="165" t="s">
        <v>16</v>
      </c>
      <c r="J404" s="165" t="s">
        <v>16</v>
      </c>
      <c r="K404" s="165" t="s">
        <v>16</v>
      </c>
      <c r="L404" s="165" t="s">
        <v>16</v>
      </c>
      <c r="M404" s="165" t="s">
        <v>149</v>
      </c>
      <c r="N404" s="165" t="s">
        <v>149</v>
      </c>
      <c r="O404" s="165" t="s">
        <v>149</v>
      </c>
      <c r="P404" s="165" t="s">
        <v>149</v>
      </c>
      <c r="Q404" s="165" t="s">
        <v>149</v>
      </c>
      <c r="R404" s="165" t="s">
        <v>149</v>
      </c>
      <c r="S404" s="165" t="s">
        <v>149</v>
      </c>
      <c r="T404" s="165" t="s">
        <v>16</v>
      </c>
      <c r="U404" s="165" t="s">
        <v>16</v>
      </c>
      <c r="V404" s="165" t="s">
        <v>16</v>
      </c>
      <c r="W404" s="165" t="s">
        <v>148</v>
      </c>
      <c r="X404" s="165" t="s">
        <v>16</v>
      </c>
      <c r="Y404" s="165" t="s">
        <v>149</v>
      </c>
      <c r="Z404" s="165" t="s">
        <v>149</v>
      </c>
      <c r="AA404" s="165" t="s">
        <v>149</v>
      </c>
      <c r="AB404" s="165" t="s">
        <v>16</v>
      </c>
      <c r="AC404" s="165" t="s">
        <v>149</v>
      </c>
      <c r="AD404" s="165" t="s">
        <v>148</v>
      </c>
      <c r="AE404" s="165" t="s">
        <v>797</v>
      </c>
      <c r="AF404" s="165" t="s">
        <v>809</v>
      </c>
    </row>
    <row r="405" spans="1:32" x14ac:dyDescent="0.3">
      <c r="A405" s="165" t="s">
        <v>810</v>
      </c>
      <c r="B405" s="165" t="s">
        <v>14</v>
      </c>
      <c r="C405" s="165" t="s">
        <v>778</v>
      </c>
      <c r="D405" s="165" t="s">
        <v>15</v>
      </c>
      <c r="E405" s="157">
        <v>40815</v>
      </c>
      <c r="F405" s="165" t="s">
        <v>16</v>
      </c>
      <c r="G405" s="165" t="s">
        <v>16</v>
      </c>
      <c r="H405" s="165" t="s">
        <v>16</v>
      </c>
      <c r="I405" s="165" t="s">
        <v>16</v>
      </c>
      <c r="J405" s="165" t="s">
        <v>16</v>
      </c>
      <c r="K405" s="165" t="s">
        <v>16</v>
      </c>
      <c r="L405" s="165" t="s">
        <v>16</v>
      </c>
      <c r="M405" s="165" t="s">
        <v>16</v>
      </c>
      <c r="N405" s="165" t="s">
        <v>16</v>
      </c>
      <c r="O405" s="165" t="s">
        <v>16</v>
      </c>
      <c r="P405" s="165" t="s">
        <v>149</v>
      </c>
      <c r="Q405" s="165" t="s">
        <v>149</v>
      </c>
      <c r="R405" s="165" t="s">
        <v>16</v>
      </c>
      <c r="S405" s="165" t="s">
        <v>16</v>
      </c>
      <c r="T405" s="165" t="s">
        <v>16</v>
      </c>
      <c r="U405" s="165" t="s">
        <v>16</v>
      </c>
      <c r="V405" s="165" t="s">
        <v>16</v>
      </c>
      <c r="W405" s="165" t="s">
        <v>16</v>
      </c>
      <c r="X405" s="165" t="s">
        <v>16</v>
      </c>
      <c r="Y405" s="165" t="s">
        <v>16</v>
      </c>
      <c r="Z405" s="165" t="s">
        <v>16</v>
      </c>
      <c r="AA405" s="165" t="s">
        <v>16</v>
      </c>
      <c r="AB405" s="165" t="s">
        <v>16</v>
      </c>
      <c r="AC405" s="165" t="s">
        <v>16</v>
      </c>
      <c r="AD405" s="165" t="s">
        <v>16</v>
      </c>
      <c r="AE405" s="165" t="s">
        <v>782</v>
      </c>
      <c r="AF405" s="165"/>
    </row>
    <row r="406" spans="1:32" x14ac:dyDescent="0.3">
      <c r="A406" s="165" t="s">
        <v>811</v>
      </c>
      <c r="B406" s="165" t="s">
        <v>14</v>
      </c>
      <c r="C406" s="165" t="s">
        <v>778</v>
      </c>
      <c r="D406" s="165" t="s">
        <v>15</v>
      </c>
      <c r="E406" s="157">
        <v>40815</v>
      </c>
      <c r="F406" s="165" t="s">
        <v>16</v>
      </c>
      <c r="G406" s="165" t="s">
        <v>16</v>
      </c>
      <c r="H406" s="165" t="s">
        <v>16</v>
      </c>
      <c r="I406" s="165" t="s">
        <v>16</v>
      </c>
      <c r="J406" s="165" t="s">
        <v>16</v>
      </c>
      <c r="K406" s="165" t="s">
        <v>16</v>
      </c>
      <c r="L406" s="165" t="s">
        <v>16</v>
      </c>
      <c r="M406" s="165" t="s">
        <v>16</v>
      </c>
      <c r="N406" s="165" t="s">
        <v>148</v>
      </c>
      <c r="O406" s="165" t="s">
        <v>16</v>
      </c>
      <c r="P406" s="165" t="s">
        <v>16</v>
      </c>
      <c r="Q406" s="165" t="s">
        <v>16</v>
      </c>
      <c r="R406" s="165" t="s">
        <v>16</v>
      </c>
      <c r="S406" s="165" t="s">
        <v>16</v>
      </c>
      <c r="T406" s="165" t="s">
        <v>16</v>
      </c>
      <c r="U406" s="165" t="s">
        <v>16</v>
      </c>
      <c r="V406" s="165" t="s">
        <v>16</v>
      </c>
      <c r="W406" s="165" t="s">
        <v>16</v>
      </c>
      <c r="X406" s="165" t="s">
        <v>16</v>
      </c>
      <c r="Y406" s="165" t="s">
        <v>114</v>
      </c>
      <c r="Z406" s="165" t="s">
        <v>16</v>
      </c>
      <c r="AA406" s="165" t="s">
        <v>16</v>
      </c>
      <c r="AB406" s="165" t="s">
        <v>16</v>
      </c>
      <c r="AC406" s="165" t="s">
        <v>16</v>
      </c>
      <c r="AD406" s="165" t="s">
        <v>16</v>
      </c>
      <c r="AE406" s="165" t="s">
        <v>782</v>
      </c>
      <c r="AF406" s="165"/>
    </row>
    <row r="407" spans="1:32" x14ac:dyDescent="0.3">
      <c r="A407" s="165" t="s">
        <v>812</v>
      </c>
      <c r="B407" s="165" t="s">
        <v>14</v>
      </c>
      <c r="C407" s="165" t="s">
        <v>778</v>
      </c>
      <c r="D407" s="165" t="s">
        <v>15</v>
      </c>
      <c r="E407" s="157">
        <v>40815</v>
      </c>
      <c r="F407" s="165" t="s">
        <v>16</v>
      </c>
      <c r="G407" s="165" t="s">
        <v>16</v>
      </c>
      <c r="H407" s="165" t="s">
        <v>16</v>
      </c>
      <c r="I407" s="165" t="s">
        <v>16</v>
      </c>
      <c r="J407" s="165" t="s">
        <v>16</v>
      </c>
      <c r="K407" s="165" t="s">
        <v>16</v>
      </c>
      <c r="L407" s="165" t="s">
        <v>16</v>
      </c>
      <c r="M407" s="165" t="s">
        <v>16</v>
      </c>
      <c r="N407" s="165" t="s">
        <v>16</v>
      </c>
      <c r="O407" s="165" t="s">
        <v>16</v>
      </c>
      <c r="P407" s="165" t="s">
        <v>16</v>
      </c>
      <c r="Q407" s="165" t="s">
        <v>16</v>
      </c>
      <c r="R407" s="165" t="s">
        <v>16</v>
      </c>
      <c r="S407" s="165" t="s">
        <v>16</v>
      </c>
      <c r="T407" s="165" t="s">
        <v>16</v>
      </c>
      <c r="U407" s="165" t="s">
        <v>16</v>
      </c>
      <c r="V407" s="165" t="s">
        <v>16</v>
      </c>
      <c r="W407" s="165" t="s">
        <v>16</v>
      </c>
      <c r="X407" s="165" t="s">
        <v>16</v>
      </c>
      <c r="Y407" s="165" t="s">
        <v>16</v>
      </c>
      <c r="Z407" s="165" t="s">
        <v>16</v>
      </c>
      <c r="AA407" s="165" t="s">
        <v>16</v>
      </c>
      <c r="AB407" s="165" t="s">
        <v>16</v>
      </c>
      <c r="AC407" s="165" t="s">
        <v>16</v>
      </c>
      <c r="AD407" s="165" t="s">
        <v>16</v>
      </c>
      <c r="AE407" s="165" t="s">
        <v>813</v>
      </c>
      <c r="AF407" s="165"/>
    </row>
    <row r="408" spans="1:32" x14ac:dyDescent="0.3">
      <c r="A408" s="165" t="s">
        <v>814</v>
      </c>
      <c r="B408" s="165" t="s">
        <v>14</v>
      </c>
      <c r="C408" s="165" t="s">
        <v>778</v>
      </c>
      <c r="D408" s="165" t="s">
        <v>15</v>
      </c>
      <c r="E408" s="157">
        <v>40815</v>
      </c>
      <c r="F408" s="165" t="s">
        <v>148</v>
      </c>
      <c r="G408" s="165" t="s">
        <v>16</v>
      </c>
      <c r="H408" s="165" t="s">
        <v>149</v>
      </c>
      <c r="I408" s="165" t="s">
        <v>16</v>
      </c>
      <c r="J408" s="165" t="s">
        <v>16</v>
      </c>
      <c r="K408" s="165" t="s">
        <v>16</v>
      </c>
      <c r="L408" s="165" t="s">
        <v>16</v>
      </c>
      <c r="M408" s="165" t="s">
        <v>16</v>
      </c>
      <c r="N408" s="165" t="s">
        <v>148</v>
      </c>
      <c r="O408" s="165" t="s">
        <v>16</v>
      </c>
      <c r="P408" s="165" t="s">
        <v>148</v>
      </c>
      <c r="Q408" s="165" t="s">
        <v>16</v>
      </c>
      <c r="R408" s="165" t="s">
        <v>16</v>
      </c>
      <c r="S408" s="165" t="s">
        <v>148</v>
      </c>
      <c r="T408" s="165" t="s">
        <v>16</v>
      </c>
      <c r="U408" s="165" t="s">
        <v>16</v>
      </c>
      <c r="V408" s="165" t="s">
        <v>16</v>
      </c>
      <c r="W408" s="165" t="s">
        <v>150</v>
      </c>
      <c r="X408" s="165" t="s">
        <v>16</v>
      </c>
      <c r="Y408" s="165" t="s">
        <v>16</v>
      </c>
      <c r="Z408" s="165" t="s">
        <v>16</v>
      </c>
      <c r="AA408" s="165" t="s">
        <v>16</v>
      </c>
      <c r="AB408" s="165" t="s">
        <v>16</v>
      </c>
      <c r="AC408" s="165" t="s">
        <v>148</v>
      </c>
      <c r="AD408" s="165" t="s">
        <v>16</v>
      </c>
      <c r="AE408" s="165" t="s">
        <v>815</v>
      </c>
      <c r="AF408" s="165"/>
    </row>
    <row r="409" spans="1:32" x14ac:dyDescent="0.3">
      <c r="A409" s="165" t="s">
        <v>816</v>
      </c>
      <c r="B409" s="165" t="s">
        <v>14</v>
      </c>
      <c r="C409" s="165" t="s">
        <v>778</v>
      </c>
      <c r="D409" s="165" t="s">
        <v>15</v>
      </c>
      <c r="E409" s="157">
        <v>40815</v>
      </c>
      <c r="F409" s="165" t="s">
        <v>148</v>
      </c>
      <c r="G409" s="165" t="s">
        <v>16</v>
      </c>
      <c r="H409" s="165" t="s">
        <v>148</v>
      </c>
      <c r="I409" s="165" t="s">
        <v>16</v>
      </c>
      <c r="J409" s="165" t="s">
        <v>16</v>
      </c>
      <c r="K409" s="165" t="s">
        <v>148</v>
      </c>
      <c r="L409" s="165" t="s">
        <v>16</v>
      </c>
      <c r="M409" s="165" t="s">
        <v>148</v>
      </c>
      <c r="N409" s="165" t="s">
        <v>148</v>
      </c>
      <c r="O409" s="165" t="s">
        <v>16</v>
      </c>
      <c r="P409" s="165" t="s">
        <v>16</v>
      </c>
      <c r="Q409" s="165" t="s">
        <v>16</v>
      </c>
      <c r="R409" s="165" t="s">
        <v>16</v>
      </c>
      <c r="S409" s="165" t="s">
        <v>16</v>
      </c>
      <c r="T409" s="165" t="s">
        <v>16</v>
      </c>
      <c r="U409" s="165" t="s">
        <v>148</v>
      </c>
      <c r="V409" s="165" t="s">
        <v>148</v>
      </c>
      <c r="W409" s="165" t="s">
        <v>148</v>
      </c>
      <c r="X409" s="165" t="s">
        <v>16</v>
      </c>
      <c r="Y409" s="165" t="s">
        <v>16</v>
      </c>
      <c r="Z409" s="165" t="s">
        <v>148</v>
      </c>
      <c r="AA409" s="165" t="s">
        <v>148</v>
      </c>
      <c r="AB409" s="165" t="s">
        <v>16</v>
      </c>
      <c r="AC409" s="165" t="s">
        <v>148</v>
      </c>
      <c r="AD409" s="165" t="s">
        <v>148</v>
      </c>
      <c r="AE409" s="165" t="s">
        <v>779</v>
      </c>
      <c r="AF409" s="165"/>
    </row>
    <row r="410" spans="1:32" x14ac:dyDescent="0.3">
      <c r="A410" s="165" t="s">
        <v>817</v>
      </c>
      <c r="B410" s="165" t="s">
        <v>14</v>
      </c>
      <c r="C410" s="165" t="s">
        <v>778</v>
      </c>
      <c r="D410" s="165" t="s">
        <v>15</v>
      </c>
      <c r="E410" s="157">
        <v>40815</v>
      </c>
      <c r="F410" s="165" t="s">
        <v>16</v>
      </c>
      <c r="G410" s="165" t="s">
        <v>16</v>
      </c>
      <c r="H410" s="165" t="s">
        <v>16</v>
      </c>
      <c r="I410" s="165" t="s">
        <v>16</v>
      </c>
      <c r="J410" s="165" t="s">
        <v>148</v>
      </c>
      <c r="K410" s="165" t="s">
        <v>16</v>
      </c>
      <c r="L410" s="165" t="s">
        <v>16</v>
      </c>
      <c r="M410" s="165" t="s">
        <v>16</v>
      </c>
      <c r="N410" s="165" t="s">
        <v>16</v>
      </c>
      <c r="O410" s="165" t="s">
        <v>148</v>
      </c>
      <c r="P410" s="165" t="s">
        <v>148</v>
      </c>
      <c r="Q410" s="165" t="s">
        <v>16</v>
      </c>
      <c r="R410" s="165" t="s">
        <v>16</v>
      </c>
      <c r="S410" s="165" t="s">
        <v>16</v>
      </c>
      <c r="T410" s="165" t="s">
        <v>16</v>
      </c>
      <c r="U410" s="165" t="s">
        <v>148</v>
      </c>
      <c r="V410" s="165" t="s">
        <v>148</v>
      </c>
      <c r="W410" s="165" t="s">
        <v>16</v>
      </c>
      <c r="X410" s="165" t="s">
        <v>16</v>
      </c>
      <c r="Y410" s="165" t="s">
        <v>16</v>
      </c>
      <c r="Z410" s="165" t="s">
        <v>16</v>
      </c>
      <c r="AA410" s="165" t="s">
        <v>16</v>
      </c>
      <c r="AB410" s="165" t="s">
        <v>16</v>
      </c>
      <c r="AC410" s="165" t="s">
        <v>148</v>
      </c>
      <c r="AD410" s="165" t="s">
        <v>148</v>
      </c>
      <c r="AE410" s="165"/>
      <c r="AF410" s="165"/>
    </row>
    <row r="411" spans="1:32" x14ac:dyDescent="0.3">
      <c r="A411" s="165" t="s">
        <v>818</v>
      </c>
      <c r="B411" s="165" t="s">
        <v>14</v>
      </c>
      <c r="C411" s="165" t="s">
        <v>778</v>
      </c>
      <c r="D411" s="165" t="s">
        <v>15</v>
      </c>
      <c r="E411" s="157">
        <v>40815</v>
      </c>
      <c r="F411" s="165" t="s">
        <v>148</v>
      </c>
      <c r="G411" s="165" t="s">
        <v>148</v>
      </c>
      <c r="H411" s="165" t="s">
        <v>16</v>
      </c>
      <c r="I411" s="165" t="s">
        <v>16</v>
      </c>
      <c r="J411" s="165" t="s">
        <v>16</v>
      </c>
      <c r="K411" s="165" t="s">
        <v>16</v>
      </c>
      <c r="L411" s="165" t="s">
        <v>148</v>
      </c>
      <c r="M411" s="165" t="s">
        <v>148</v>
      </c>
      <c r="N411" s="165" t="s">
        <v>148</v>
      </c>
      <c r="O411" s="165" t="s">
        <v>16</v>
      </c>
      <c r="P411" s="165" t="s">
        <v>148</v>
      </c>
      <c r="Q411" s="165" t="s">
        <v>16</v>
      </c>
      <c r="R411" s="165" t="s">
        <v>16</v>
      </c>
      <c r="S411" s="165" t="s">
        <v>16</v>
      </c>
      <c r="T411" s="165" t="s">
        <v>16</v>
      </c>
      <c r="U411" s="165" t="s">
        <v>16</v>
      </c>
      <c r="V411" s="165" t="s">
        <v>16</v>
      </c>
      <c r="W411" s="165" t="s">
        <v>16</v>
      </c>
      <c r="X411" s="165" t="s">
        <v>16</v>
      </c>
      <c r="Y411" s="165" t="s">
        <v>16</v>
      </c>
      <c r="Z411" s="165" t="s">
        <v>16</v>
      </c>
      <c r="AA411" s="165" t="s">
        <v>148</v>
      </c>
      <c r="AB411" s="165" t="s">
        <v>16</v>
      </c>
      <c r="AC411" s="165" t="s">
        <v>16</v>
      </c>
      <c r="AD411" s="165" t="s">
        <v>16</v>
      </c>
      <c r="AE411" s="165" t="s">
        <v>782</v>
      </c>
      <c r="AF411" s="165"/>
    </row>
    <row r="412" spans="1:32" x14ac:dyDescent="0.3">
      <c r="A412" s="165" t="s">
        <v>819</v>
      </c>
      <c r="B412" s="165" t="s">
        <v>14</v>
      </c>
      <c r="C412" s="165" t="s">
        <v>778</v>
      </c>
      <c r="D412" s="165" t="s">
        <v>15</v>
      </c>
      <c r="E412" s="157">
        <v>40815</v>
      </c>
      <c r="F412" s="165" t="s">
        <v>148</v>
      </c>
      <c r="G412" s="165" t="s">
        <v>16</v>
      </c>
      <c r="H412" s="165" t="s">
        <v>16</v>
      </c>
      <c r="I412" s="165" t="s">
        <v>148</v>
      </c>
      <c r="J412" s="165" t="s">
        <v>16</v>
      </c>
      <c r="K412" s="165" t="s">
        <v>16</v>
      </c>
      <c r="L412" s="165" t="s">
        <v>148</v>
      </c>
      <c r="M412" s="165" t="s">
        <v>16</v>
      </c>
      <c r="N412" s="165" t="s">
        <v>16</v>
      </c>
      <c r="O412" s="165" t="s">
        <v>16</v>
      </c>
      <c r="P412" s="165" t="s">
        <v>148</v>
      </c>
      <c r="Q412" s="165" t="s">
        <v>16</v>
      </c>
      <c r="R412" s="165" t="s">
        <v>16</v>
      </c>
      <c r="S412" s="165" t="s">
        <v>149</v>
      </c>
      <c r="T412" s="165" t="s">
        <v>16</v>
      </c>
      <c r="U412" s="165" t="s">
        <v>16</v>
      </c>
      <c r="V412" s="165" t="s">
        <v>148</v>
      </c>
      <c r="W412" s="165" t="s">
        <v>16</v>
      </c>
      <c r="X412" s="165" t="s">
        <v>148</v>
      </c>
      <c r="Y412" s="165" t="s">
        <v>16</v>
      </c>
      <c r="Z412" s="165" t="s">
        <v>149</v>
      </c>
      <c r="AA412" s="165" t="s">
        <v>16</v>
      </c>
      <c r="AB412" s="165" t="s">
        <v>16</v>
      </c>
      <c r="AC412" s="165" t="s">
        <v>16</v>
      </c>
      <c r="AD412" s="165" t="s">
        <v>148</v>
      </c>
      <c r="AE412" s="165" t="s">
        <v>779</v>
      </c>
      <c r="AF412" s="165"/>
    </row>
    <row r="413" spans="1:32" x14ac:dyDescent="0.3">
      <c r="A413" s="165" t="s">
        <v>820</v>
      </c>
      <c r="B413" s="165" t="s">
        <v>14</v>
      </c>
      <c r="C413" s="165" t="s">
        <v>778</v>
      </c>
      <c r="D413" s="165" t="s">
        <v>15</v>
      </c>
      <c r="E413" s="157">
        <v>40815</v>
      </c>
      <c r="F413" s="165" t="s">
        <v>16</v>
      </c>
      <c r="G413" s="165" t="s">
        <v>16</v>
      </c>
      <c r="H413" s="165" t="s">
        <v>16</v>
      </c>
      <c r="I413" s="165" t="s">
        <v>16</v>
      </c>
      <c r="J413" s="165" t="s">
        <v>16</v>
      </c>
      <c r="K413" s="165" t="s">
        <v>16</v>
      </c>
      <c r="L413" s="165" t="s">
        <v>16</v>
      </c>
      <c r="M413" s="165" t="s">
        <v>16</v>
      </c>
      <c r="N413" s="165" t="s">
        <v>16</v>
      </c>
      <c r="O413" s="165" t="s">
        <v>16</v>
      </c>
      <c r="P413" s="165" t="s">
        <v>16</v>
      </c>
      <c r="Q413" s="165" t="s">
        <v>16</v>
      </c>
      <c r="R413" s="165" t="s">
        <v>16</v>
      </c>
      <c r="S413" s="165" t="s">
        <v>16</v>
      </c>
      <c r="T413" s="165" t="s">
        <v>16</v>
      </c>
      <c r="U413" s="165" t="s">
        <v>16</v>
      </c>
      <c r="V413" s="165" t="s">
        <v>16</v>
      </c>
      <c r="W413" s="165" t="s">
        <v>16</v>
      </c>
      <c r="X413" s="165" t="s">
        <v>16</v>
      </c>
      <c r="Y413" s="165" t="s">
        <v>16</v>
      </c>
      <c r="Z413" s="165" t="s">
        <v>16</v>
      </c>
      <c r="AA413" s="165" t="s">
        <v>16</v>
      </c>
      <c r="AB413" s="165" t="s">
        <v>16</v>
      </c>
      <c r="AC413" s="165" t="s">
        <v>16</v>
      </c>
      <c r="AD413" s="165" t="s">
        <v>16</v>
      </c>
      <c r="AE413" s="165"/>
      <c r="AF413" s="165"/>
    </row>
    <row r="414" spans="1:32" x14ac:dyDescent="0.3">
      <c r="A414" s="165" t="s">
        <v>821</v>
      </c>
      <c r="B414" s="165" t="s">
        <v>14</v>
      </c>
      <c r="C414" s="165" t="s">
        <v>778</v>
      </c>
      <c r="D414" s="165" t="s">
        <v>15</v>
      </c>
      <c r="E414" s="157">
        <v>40815</v>
      </c>
      <c r="F414" s="165" t="s">
        <v>16</v>
      </c>
      <c r="G414" s="165" t="s">
        <v>16</v>
      </c>
      <c r="H414" s="165" t="s">
        <v>16</v>
      </c>
      <c r="I414" s="165" t="s">
        <v>16</v>
      </c>
      <c r="J414" s="165" t="s">
        <v>16</v>
      </c>
      <c r="K414" s="165" t="s">
        <v>16</v>
      </c>
      <c r="L414" s="165" t="s">
        <v>16</v>
      </c>
      <c r="M414" s="165" t="s">
        <v>16</v>
      </c>
      <c r="N414" s="165" t="s">
        <v>16</v>
      </c>
      <c r="O414" s="165" t="s">
        <v>16</v>
      </c>
      <c r="P414" s="165" t="s">
        <v>16</v>
      </c>
      <c r="Q414" s="165" t="s">
        <v>16</v>
      </c>
      <c r="R414" s="165" t="s">
        <v>16</v>
      </c>
      <c r="S414" s="165" t="s">
        <v>16</v>
      </c>
      <c r="T414" s="165" t="s">
        <v>16</v>
      </c>
      <c r="U414" s="165" t="s">
        <v>16</v>
      </c>
      <c r="V414" s="165" t="s">
        <v>16</v>
      </c>
      <c r="W414" s="165" t="s">
        <v>16</v>
      </c>
      <c r="X414" s="165" t="s">
        <v>16</v>
      </c>
      <c r="Y414" s="165" t="s">
        <v>16</v>
      </c>
      <c r="Z414" s="165" t="s">
        <v>16</v>
      </c>
      <c r="AA414" s="165" t="s">
        <v>16</v>
      </c>
      <c r="AB414" s="165" t="s">
        <v>16</v>
      </c>
      <c r="AC414" s="165" t="s">
        <v>16</v>
      </c>
      <c r="AD414" s="165" t="s">
        <v>16</v>
      </c>
      <c r="AE414" s="165" t="s">
        <v>782</v>
      </c>
      <c r="AF414" s="165"/>
    </row>
    <row r="415" spans="1:32" x14ac:dyDescent="0.3">
      <c r="A415" s="165" t="s">
        <v>822</v>
      </c>
      <c r="B415" s="165" t="s">
        <v>14</v>
      </c>
      <c r="C415" s="165" t="s">
        <v>778</v>
      </c>
      <c r="D415" s="165" t="s">
        <v>15</v>
      </c>
      <c r="E415" s="157">
        <v>40815</v>
      </c>
      <c r="F415" s="165" t="s">
        <v>149</v>
      </c>
      <c r="G415" s="165" t="s">
        <v>16</v>
      </c>
      <c r="H415" s="165" t="s">
        <v>16</v>
      </c>
      <c r="I415" s="165" t="s">
        <v>16</v>
      </c>
      <c r="J415" s="165" t="s">
        <v>16</v>
      </c>
      <c r="K415" s="165" t="s">
        <v>16</v>
      </c>
      <c r="L415" s="165" t="s">
        <v>16</v>
      </c>
      <c r="M415" s="165" t="s">
        <v>16</v>
      </c>
      <c r="N415" s="165" t="s">
        <v>16</v>
      </c>
      <c r="O415" s="165" t="s">
        <v>16</v>
      </c>
      <c r="P415" s="165" t="s">
        <v>16</v>
      </c>
      <c r="Q415" s="165" t="s">
        <v>16</v>
      </c>
      <c r="R415" s="165" t="s">
        <v>16</v>
      </c>
      <c r="S415" s="165" t="s">
        <v>16</v>
      </c>
      <c r="T415" s="165" t="s">
        <v>149</v>
      </c>
      <c r="U415" s="165" t="s">
        <v>149</v>
      </c>
      <c r="V415" s="165" t="s">
        <v>149</v>
      </c>
      <c r="W415" s="165" t="s">
        <v>16</v>
      </c>
      <c r="X415" s="165" t="s">
        <v>16</v>
      </c>
      <c r="Y415" s="165" t="s">
        <v>16</v>
      </c>
      <c r="Z415" s="165" t="s">
        <v>16</v>
      </c>
      <c r="AA415" s="165" t="s">
        <v>16</v>
      </c>
      <c r="AB415" s="165" t="s">
        <v>149</v>
      </c>
      <c r="AC415" s="165" t="s">
        <v>148</v>
      </c>
      <c r="AD415" s="165" t="s">
        <v>16</v>
      </c>
      <c r="AE415" s="165" t="s">
        <v>779</v>
      </c>
      <c r="AF415" s="165"/>
    </row>
    <row r="416" spans="1:32" x14ac:dyDescent="0.3">
      <c r="A416" s="165" t="s">
        <v>823</v>
      </c>
      <c r="B416" s="165" t="s">
        <v>14</v>
      </c>
      <c r="C416" s="165" t="s">
        <v>778</v>
      </c>
      <c r="D416" s="165" t="s">
        <v>15</v>
      </c>
      <c r="E416" s="157">
        <v>40815</v>
      </c>
      <c r="F416" s="165" t="s">
        <v>16</v>
      </c>
      <c r="G416" s="165" t="s">
        <v>16</v>
      </c>
      <c r="H416" s="165" t="s">
        <v>16</v>
      </c>
      <c r="I416" s="165" t="s">
        <v>16</v>
      </c>
      <c r="J416" s="165" t="s">
        <v>16</v>
      </c>
      <c r="K416" s="165" t="s">
        <v>16</v>
      </c>
      <c r="L416" s="165" t="s">
        <v>16</v>
      </c>
      <c r="M416" s="165" t="s">
        <v>16</v>
      </c>
      <c r="N416" s="165" t="s">
        <v>16</v>
      </c>
      <c r="O416" s="165" t="s">
        <v>16</v>
      </c>
      <c r="P416" s="165" t="s">
        <v>16</v>
      </c>
      <c r="Q416" s="165" t="s">
        <v>16</v>
      </c>
      <c r="R416" s="165" t="s">
        <v>16</v>
      </c>
      <c r="S416" s="165" t="s">
        <v>16</v>
      </c>
      <c r="T416" s="165" t="s">
        <v>16</v>
      </c>
      <c r="U416" s="165" t="s">
        <v>16</v>
      </c>
      <c r="V416" s="165" t="s">
        <v>16</v>
      </c>
      <c r="W416" s="165" t="s">
        <v>16</v>
      </c>
      <c r="X416" s="165" t="s">
        <v>16</v>
      </c>
      <c r="Y416" s="165" t="s">
        <v>16</v>
      </c>
      <c r="Z416" s="165" t="s">
        <v>16</v>
      </c>
      <c r="AA416" s="165" t="s">
        <v>16</v>
      </c>
      <c r="AB416" s="165" t="s">
        <v>16</v>
      </c>
      <c r="AC416" s="165" t="s">
        <v>16</v>
      </c>
      <c r="AD416" s="165" t="s">
        <v>16</v>
      </c>
      <c r="AE416" s="165" t="s">
        <v>779</v>
      </c>
      <c r="AF416" s="165"/>
    </row>
    <row r="417" spans="1:32" x14ac:dyDescent="0.3">
      <c r="A417" s="165" t="s">
        <v>824</v>
      </c>
      <c r="B417" s="165" t="s">
        <v>14</v>
      </c>
      <c r="C417" s="165" t="s">
        <v>778</v>
      </c>
      <c r="D417" s="165" t="s">
        <v>15</v>
      </c>
      <c r="E417" s="157">
        <v>40815</v>
      </c>
      <c r="F417" s="165" t="s">
        <v>16</v>
      </c>
      <c r="G417" s="165" t="s">
        <v>16</v>
      </c>
      <c r="H417" s="165" t="s">
        <v>16</v>
      </c>
      <c r="I417" s="165" t="s">
        <v>16</v>
      </c>
      <c r="J417" s="165" t="s">
        <v>16</v>
      </c>
      <c r="K417" s="165" t="s">
        <v>16</v>
      </c>
      <c r="L417" s="165" t="s">
        <v>148</v>
      </c>
      <c r="M417" s="165" t="s">
        <v>16</v>
      </c>
      <c r="N417" s="165" t="s">
        <v>150</v>
      </c>
      <c r="O417" s="165" t="s">
        <v>150</v>
      </c>
      <c r="P417" s="165" t="s">
        <v>150</v>
      </c>
      <c r="Q417" s="165" t="s">
        <v>16</v>
      </c>
      <c r="R417" s="165" t="s">
        <v>148</v>
      </c>
      <c r="S417" s="165" t="s">
        <v>16</v>
      </c>
      <c r="T417" s="165" t="s">
        <v>16</v>
      </c>
      <c r="U417" s="165" t="s">
        <v>148</v>
      </c>
      <c r="V417" s="165" t="s">
        <v>16</v>
      </c>
      <c r="W417" s="165" t="s">
        <v>16</v>
      </c>
      <c r="X417" s="165" t="s">
        <v>16</v>
      </c>
      <c r="Y417" s="165" t="s">
        <v>16</v>
      </c>
      <c r="Z417" s="165" t="s">
        <v>16</v>
      </c>
      <c r="AA417" s="165" t="s">
        <v>16</v>
      </c>
      <c r="AB417" s="165" t="s">
        <v>148</v>
      </c>
      <c r="AC417" s="165" t="s">
        <v>16</v>
      </c>
      <c r="AD417" s="165" t="s">
        <v>16</v>
      </c>
      <c r="AE417" s="165" t="s">
        <v>825</v>
      </c>
      <c r="AF417" s="165" t="s">
        <v>826</v>
      </c>
    </row>
    <row r="418" spans="1:32" x14ac:dyDescent="0.3">
      <c r="A418" s="165"/>
      <c r="B418" s="165"/>
      <c r="C418" s="165"/>
      <c r="D418" s="165"/>
      <c r="E418" s="165"/>
      <c r="F418" s="165"/>
      <c r="G418" s="165"/>
      <c r="H418" s="165"/>
      <c r="I418" s="165"/>
      <c r="J418" s="165"/>
      <c r="K418" s="165"/>
      <c r="L418" s="165"/>
      <c r="M418" s="165"/>
      <c r="N418" s="165"/>
      <c r="O418" s="165"/>
      <c r="P418" s="165"/>
      <c r="Q418" s="165"/>
      <c r="R418" s="165"/>
      <c r="S418" s="165"/>
      <c r="T418" s="165"/>
      <c r="U418" s="165"/>
      <c r="V418" s="165"/>
      <c r="W418" s="165"/>
      <c r="X418" s="165"/>
      <c r="Y418" s="165"/>
      <c r="Z418" s="165"/>
      <c r="AA418" s="165"/>
      <c r="AB418" s="165"/>
      <c r="AC418" s="165"/>
      <c r="AD418" s="165"/>
      <c r="AE418" s="165"/>
      <c r="AF418" s="165"/>
    </row>
    <row r="420" spans="1:32" x14ac:dyDescent="0.3">
      <c r="A420" s="165"/>
      <c r="B420" s="165"/>
      <c r="C420" s="165"/>
      <c r="D420" s="165"/>
      <c r="E420" s="165"/>
      <c r="F420" s="165" t="s">
        <v>124</v>
      </c>
      <c r="G420" s="165" t="s">
        <v>125</v>
      </c>
      <c r="H420" s="165" t="s">
        <v>126</v>
      </c>
      <c r="I420" s="165" t="s">
        <v>127</v>
      </c>
      <c r="J420" s="165" t="s">
        <v>214</v>
      </c>
      <c r="K420" s="165" t="s">
        <v>128</v>
      </c>
      <c r="L420" s="165" t="s">
        <v>129</v>
      </c>
      <c r="M420" s="165" t="s">
        <v>130</v>
      </c>
      <c r="N420" s="165" t="s">
        <v>131</v>
      </c>
      <c r="O420" s="165" t="s">
        <v>132</v>
      </c>
      <c r="P420" s="165" t="s">
        <v>133</v>
      </c>
      <c r="Q420" s="165" t="s">
        <v>134</v>
      </c>
      <c r="R420" s="165" t="s">
        <v>135</v>
      </c>
      <c r="S420" s="165" t="s">
        <v>136</v>
      </c>
      <c r="T420" s="165" t="s">
        <v>137</v>
      </c>
      <c r="U420" s="165" t="s">
        <v>138</v>
      </c>
      <c r="V420" s="165" t="s">
        <v>139</v>
      </c>
      <c r="W420" s="165" t="s">
        <v>140</v>
      </c>
      <c r="X420" s="165" t="s">
        <v>186</v>
      </c>
      <c r="Y420" s="165" t="s">
        <v>209</v>
      </c>
      <c r="Z420" s="165" t="s">
        <v>141</v>
      </c>
      <c r="AA420" s="165" t="s">
        <v>142</v>
      </c>
      <c r="AB420" s="165" t="s">
        <v>210</v>
      </c>
      <c r="AC420" s="165" t="s">
        <v>143</v>
      </c>
      <c r="AD420" s="165" t="s">
        <v>144</v>
      </c>
      <c r="AE420" s="165" t="s">
        <v>827</v>
      </c>
      <c r="AF420" s="165" t="s">
        <v>190</v>
      </c>
    </row>
    <row r="421" spans="1:32" x14ac:dyDescent="0.3">
      <c r="A421" s="165" t="s">
        <v>828</v>
      </c>
      <c r="B421" s="165" t="s">
        <v>14</v>
      </c>
      <c r="C421" s="165" t="s">
        <v>829</v>
      </c>
      <c r="D421" s="165" t="s">
        <v>15</v>
      </c>
      <c r="E421" s="157">
        <v>40846</v>
      </c>
      <c r="F421" s="165" t="s">
        <v>16</v>
      </c>
      <c r="G421" s="165" t="s">
        <v>16</v>
      </c>
      <c r="H421" s="165" t="s">
        <v>16</v>
      </c>
      <c r="I421" s="165" t="s">
        <v>16</v>
      </c>
      <c r="J421" s="165" t="s">
        <v>16</v>
      </c>
      <c r="K421" s="165" t="s">
        <v>16</v>
      </c>
      <c r="L421" s="165" t="s">
        <v>16</v>
      </c>
      <c r="M421" s="165" t="s">
        <v>16</v>
      </c>
      <c r="N421" s="165" t="s">
        <v>16</v>
      </c>
      <c r="O421" s="165" t="s">
        <v>16</v>
      </c>
      <c r="P421" s="165" t="s">
        <v>16</v>
      </c>
      <c r="Q421" s="165" t="s">
        <v>16</v>
      </c>
      <c r="R421" s="165" t="s">
        <v>16</v>
      </c>
      <c r="S421" s="165" t="s">
        <v>16</v>
      </c>
      <c r="T421" s="165" t="s">
        <v>16</v>
      </c>
      <c r="U421" s="165" t="s">
        <v>16</v>
      </c>
      <c r="V421" s="165" t="s">
        <v>16</v>
      </c>
      <c r="W421" s="165" t="s">
        <v>16</v>
      </c>
      <c r="X421" s="165" t="s">
        <v>16</v>
      </c>
      <c r="Y421" s="165" t="s">
        <v>16</v>
      </c>
      <c r="Z421" s="165" t="s">
        <v>16</v>
      </c>
      <c r="AA421" s="165" t="s">
        <v>16</v>
      </c>
      <c r="AB421" s="165" t="s">
        <v>16</v>
      </c>
      <c r="AC421" s="165" t="s">
        <v>16</v>
      </c>
      <c r="AD421" s="165" t="s">
        <v>16</v>
      </c>
      <c r="AE421" s="165" t="s">
        <v>830</v>
      </c>
      <c r="AF421" s="165"/>
    </row>
    <row r="422" spans="1:32" x14ac:dyDescent="0.3">
      <c r="A422" s="165" t="s">
        <v>831</v>
      </c>
      <c r="B422" s="165" t="s">
        <v>14</v>
      </c>
      <c r="C422" s="165" t="s">
        <v>829</v>
      </c>
      <c r="D422" s="165" t="s">
        <v>15</v>
      </c>
      <c r="E422" s="157">
        <v>40846</v>
      </c>
      <c r="F422" s="165" t="s">
        <v>148</v>
      </c>
      <c r="G422" s="165" t="s">
        <v>148</v>
      </c>
      <c r="H422" s="165" t="s">
        <v>148</v>
      </c>
      <c r="I422" s="165" t="s">
        <v>148</v>
      </c>
      <c r="J422" s="165" t="s">
        <v>150</v>
      </c>
      <c r="K422" s="165" t="s">
        <v>16</v>
      </c>
      <c r="L422" s="165" t="s">
        <v>16</v>
      </c>
      <c r="M422" s="165" t="s">
        <v>16</v>
      </c>
      <c r="N422" s="165" t="s">
        <v>148</v>
      </c>
      <c r="O422" s="165" t="s">
        <v>150</v>
      </c>
      <c r="P422" s="165" t="s">
        <v>150</v>
      </c>
      <c r="Q422" s="165" t="s">
        <v>16</v>
      </c>
      <c r="R422" s="165" t="s">
        <v>16</v>
      </c>
      <c r="S422" s="165" t="s">
        <v>16</v>
      </c>
      <c r="T422" s="165" t="s">
        <v>16</v>
      </c>
      <c r="U422" s="165" t="s">
        <v>16</v>
      </c>
      <c r="V422" s="165" t="s">
        <v>16</v>
      </c>
      <c r="W422" s="165" t="s">
        <v>148</v>
      </c>
      <c r="X422" s="165" t="s">
        <v>148</v>
      </c>
      <c r="Y422" s="165" t="s">
        <v>148</v>
      </c>
      <c r="Z422" s="165" t="s">
        <v>16</v>
      </c>
      <c r="AA422" s="165" t="s">
        <v>148</v>
      </c>
      <c r="AB422" s="165" t="s">
        <v>149</v>
      </c>
      <c r="AC422" s="165" t="s">
        <v>150</v>
      </c>
      <c r="AD422" s="165" t="s">
        <v>16</v>
      </c>
      <c r="AE422" s="165" t="s">
        <v>832</v>
      </c>
      <c r="AF422" s="165"/>
    </row>
    <row r="423" spans="1:32" x14ac:dyDescent="0.3">
      <c r="A423" s="165" t="s">
        <v>833</v>
      </c>
      <c r="B423" s="165" t="s">
        <v>14</v>
      </c>
      <c r="C423" s="165" t="s">
        <v>829</v>
      </c>
      <c r="D423" s="165" t="s">
        <v>15</v>
      </c>
      <c r="E423" s="157">
        <v>40846</v>
      </c>
      <c r="F423" s="165" t="s">
        <v>16</v>
      </c>
      <c r="G423" s="165" t="s">
        <v>16</v>
      </c>
      <c r="H423" s="165" t="s">
        <v>148</v>
      </c>
      <c r="I423" s="165" t="s">
        <v>16</v>
      </c>
      <c r="J423" s="165" t="s">
        <v>148</v>
      </c>
      <c r="K423" s="165" t="s">
        <v>16</v>
      </c>
      <c r="L423" s="165" t="s">
        <v>16</v>
      </c>
      <c r="M423" s="165" t="s">
        <v>148</v>
      </c>
      <c r="N423" s="165" t="s">
        <v>16</v>
      </c>
      <c r="O423" s="165" t="s">
        <v>16</v>
      </c>
      <c r="P423" s="165" t="s">
        <v>148</v>
      </c>
      <c r="Q423" s="165" t="s">
        <v>16</v>
      </c>
      <c r="R423" s="165" t="s">
        <v>16</v>
      </c>
      <c r="S423" s="165" t="s">
        <v>16</v>
      </c>
      <c r="T423" s="165" t="s">
        <v>148</v>
      </c>
      <c r="U423" s="165" t="s">
        <v>148</v>
      </c>
      <c r="V423" s="165" t="s">
        <v>16</v>
      </c>
      <c r="W423" s="165" t="s">
        <v>16</v>
      </c>
      <c r="X423" s="165" t="s">
        <v>16</v>
      </c>
      <c r="Y423" s="165" t="s">
        <v>16</v>
      </c>
      <c r="Z423" s="165" t="s">
        <v>16</v>
      </c>
      <c r="AA423" s="165" t="s">
        <v>148</v>
      </c>
      <c r="AB423" s="165" t="s">
        <v>16</v>
      </c>
      <c r="AC423" s="165" t="s">
        <v>150</v>
      </c>
      <c r="AD423" s="165" t="s">
        <v>16</v>
      </c>
      <c r="AE423" s="165" t="s">
        <v>832</v>
      </c>
      <c r="AF423" s="165"/>
    </row>
    <row r="424" spans="1:32" x14ac:dyDescent="0.3">
      <c r="A424" s="165" t="s">
        <v>834</v>
      </c>
      <c r="B424" s="165" t="s">
        <v>14</v>
      </c>
      <c r="C424" s="165" t="s">
        <v>829</v>
      </c>
      <c r="D424" s="165" t="s">
        <v>15</v>
      </c>
      <c r="E424" s="157">
        <v>40846</v>
      </c>
      <c r="F424" s="165" t="s">
        <v>148</v>
      </c>
      <c r="G424" s="165" t="s">
        <v>16</v>
      </c>
      <c r="H424" s="165" t="s">
        <v>16</v>
      </c>
      <c r="I424" s="165" t="s">
        <v>148</v>
      </c>
      <c r="J424" s="165" t="s">
        <v>16</v>
      </c>
      <c r="K424" s="165" t="s">
        <v>16</v>
      </c>
      <c r="L424" s="165" t="s">
        <v>16</v>
      </c>
      <c r="M424" s="165" t="s">
        <v>148</v>
      </c>
      <c r="N424" s="165" t="s">
        <v>148</v>
      </c>
      <c r="O424" s="165" t="s">
        <v>16</v>
      </c>
      <c r="P424" s="165" t="s">
        <v>148</v>
      </c>
      <c r="Q424" s="165" t="s">
        <v>16</v>
      </c>
      <c r="R424" s="165" t="s">
        <v>16</v>
      </c>
      <c r="S424" s="165" t="s">
        <v>16</v>
      </c>
      <c r="T424" s="165" t="s">
        <v>16</v>
      </c>
      <c r="U424" s="165" t="s">
        <v>16</v>
      </c>
      <c r="V424" s="165" t="s">
        <v>148</v>
      </c>
      <c r="W424" s="165" t="s">
        <v>148</v>
      </c>
      <c r="X424" s="165" t="s">
        <v>148</v>
      </c>
      <c r="Y424" s="165" t="s">
        <v>148</v>
      </c>
      <c r="Z424" s="165" t="s">
        <v>148</v>
      </c>
      <c r="AA424" s="165" t="s">
        <v>148</v>
      </c>
      <c r="AB424" s="165" t="s">
        <v>16</v>
      </c>
      <c r="AC424" s="165" t="s">
        <v>148</v>
      </c>
      <c r="AD424" s="165" t="s">
        <v>16</v>
      </c>
      <c r="AE424" s="165" t="s">
        <v>835</v>
      </c>
      <c r="AF424" s="165"/>
    </row>
    <row r="425" spans="1:32" x14ac:dyDescent="0.3">
      <c r="A425" s="165" t="s">
        <v>836</v>
      </c>
      <c r="B425" s="165" t="s">
        <v>14</v>
      </c>
      <c r="C425" s="165" t="s">
        <v>829</v>
      </c>
      <c r="D425" s="165" t="s">
        <v>15</v>
      </c>
      <c r="E425" s="157">
        <v>40846</v>
      </c>
      <c r="F425" s="165" t="s">
        <v>16</v>
      </c>
      <c r="G425" s="165" t="s">
        <v>16</v>
      </c>
      <c r="H425" s="165" t="s">
        <v>16</v>
      </c>
      <c r="I425" s="165" t="s">
        <v>16</v>
      </c>
      <c r="J425" s="165" t="s">
        <v>16</v>
      </c>
      <c r="K425" s="165" t="s">
        <v>16</v>
      </c>
      <c r="L425" s="165" t="s">
        <v>16</v>
      </c>
      <c r="M425" s="165" t="s">
        <v>16</v>
      </c>
      <c r="N425" s="165" t="s">
        <v>16</v>
      </c>
      <c r="O425" s="165" t="s">
        <v>16</v>
      </c>
      <c r="P425" s="165" t="s">
        <v>16</v>
      </c>
      <c r="Q425" s="165" t="s">
        <v>16</v>
      </c>
      <c r="R425" s="165" t="s">
        <v>16</v>
      </c>
      <c r="S425" s="165" t="s">
        <v>16</v>
      </c>
      <c r="T425" s="165" t="s">
        <v>16</v>
      </c>
      <c r="U425" s="165" t="s">
        <v>16</v>
      </c>
      <c r="V425" s="165" t="s">
        <v>16</v>
      </c>
      <c r="W425" s="165" t="s">
        <v>16</v>
      </c>
      <c r="X425" s="165" t="s">
        <v>16</v>
      </c>
      <c r="Y425" s="165" t="s">
        <v>16</v>
      </c>
      <c r="Z425" s="165" t="s">
        <v>16</v>
      </c>
      <c r="AA425" s="165" t="s">
        <v>16</v>
      </c>
      <c r="AB425" s="165" t="s">
        <v>16</v>
      </c>
      <c r="AC425" s="165" t="s">
        <v>16</v>
      </c>
      <c r="AD425" s="165" t="s">
        <v>16</v>
      </c>
      <c r="AE425" s="165" t="s">
        <v>837</v>
      </c>
      <c r="AF425" s="165" t="s">
        <v>838</v>
      </c>
    </row>
    <row r="426" spans="1:32" x14ac:dyDescent="0.3">
      <c r="A426" s="165" t="s">
        <v>839</v>
      </c>
      <c r="B426" s="165" t="s">
        <v>14</v>
      </c>
      <c r="C426" s="165" t="s">
        <v>829</v>
      </c>
      <c r="D426" s="165" t="s">
        <v>15</v>
      </c>
      <c r="E426" s="157">
        <v>40846</v>
      </c>
      <c r="F426" s="165" t="s">
        <v>16</v>
      </c>
      <c r="G426" s="165" t="s">
        <v>16</v>
      </c>
      <c r="H426" s="165" t="s">
        <v>16</v>
      </c>
      <c r="I426" s="165" t="s">
        <v>16</v>
      </c>
      <c r="J426" s="165" t="s">
        <v>148</v>
      </c>
      <c r="K426" s="165" t="s">
        <v>16</v>
      </c>
      <c r="L426" s="165" t="s">
        <v>148</v>
      </c>
      <c r="M426" s="165" t="s">
        <v>16</v>
      </c>
      <c r="N426" s="165" t="s">
        <v>148</v>
      </c>
      <c r="O426" s="165" t="s">
        <v>148</v>
      </c>
      <c r="P426" s="165" t="s">
        <v>148</v>
      </c>
      <c r="Q426" s="165" t="s">
        <v>16</v>
      </c>
      <c r="R426" s="165" t="s">
        <v>148</v>
      </c>
      <c r="S426" s="165" t="s">
        <v>16</v>
      </c>
      <c r="T426" s="165" t="s">
        <v>16</v>
      </c>
      <c r="U426" s="165" t="s">
        <v>148</v>
      </c>
      <c r="V426" s="165" t="s">
        <v>148</v>
      </c>
      <c r="W426" s="165" t="s">
        <v>16</v>
      </c>
      <c r="X426" s="165" t="s">
        <v>16</v>
      </c>
      <c r="Y426" s="165" t="s">
        <v>16</v>
      </c>
      <c r="Z426" s="165" t="s">
        <v>16</v>
      </c>
      <c r="AA426" s="165" t="s">
        <v>148</v>
      </c>
      <c r="AB426" s="165" t="s">
        <v>16</v>
      </c>
      <c r="AC426" s="165" t="s">
        <v>16</v>
      </c>
      <c r="AD426" s="165" t="s">
        <v>148</v>
      </c>
      <c r="AE426" s="165" t="s">
        <v>830</v>
      </c>
      <c r="AF426" s="165" t="s">
        <v>840</v>
      </c>
    </row>
    <row r="427" spans="1:32" x14ac:dyDescent="0.3">
      <c r="A427" s="165" t="s">
        <v>841</v>
      </c>
      <c r="B427" s="165" t="s">
        <v>14</v>
      </c>
      <c r="C427" s="165" t="s">
        <v>829</v>
      </c>
      <c r="D427" s="165" t="s">
        <v>15</v>
      </c>
      <c r="E427" s="157">
        <v>40846</v>
      </c>
      <c r="F427" s="165" t="s">
        <v>149</v>
      </c>
      <c r="G427" s="165" t="s">
        <v>149</v>
      </c>
      <c r="H427" s="165" t="s">
        <v>148</v>
      </c>
      <c r="I427" s="165" t="s">
        <v>150</v>
      </c>
      <c r="J427" s="165" t="s">
        <v>16</v>
      </c>
      <c r="K427" s="165" t="s">
        <v>148</v>
      </c>
      <c r="L427" s="165" t="s">
        <v>148</v>
      </c>
      <c r="M427" s="165" t="s">
        <v>148</v>
      </c>
      <c r="N427" s="165" t="s">
        <v>148</v>
      </c>
      <c r="O427" s="165" t="s">
        <v>16</v>
      </c>
      <c r="P427" s="165" t="s">
        <v>150</v>
      </c>
      <c r="Q427" s="165" t="s">
        <v>16</v>
      </c>
      <c r="R427" s="165" t="s">
        <v>150</v>
      </c>
      <c r="S427" s="165" t="s">
        <v>150</v>
      </c>
      <c r="T427" s="165" t="s">
        <v>148</v>
      </c>
      <c r="U427" s="165" t="s">
        <v>16</v>
      </c>
      <c r="V427" s="165" t="s">
        <v>149</v>
      </c>
      <c r="W427" s="165" t="s">
        <v>148</v>
      </c>
      <c r="X427" s="165" t="s">
        <v>16</v>
      </c>
      <c r="Y427" s="165" t="s">
        <v>148</v>
      </c>
      <c r="Z427" s="165" t="s">
        <v>148</v>
      </c>
      <c r="AA427" s="165" t="s">
        <v>150</v>
      </c>
      <c r="AB427" s="165" t="s">
        <v>148</v>
      </c>
      <c r="AC427" s="165" t="s">
        <v>150</v>
      </c>
      <c r="AD427" s="165" t="s">
        <v>148</v>
      </c>
      <c r="AE427" s="165" t="s">
        <v>842</v>
      </c>
      <c r="AF427" s="165"/>
    </row>
    <row r="428" spans="1:32" x14ac:dyDescent="0.3">
      <c r="A428" s="165" t="s">
        <v>843</v>
      </c>
      <c r="B428" s="165" t="s">
        <v>14</v>
      </c>
      <c r="C428" s="165" t="s">
        <v>829</v>
      </c>
      <c r="D428" s="165" t="s">
        <v>15</v>
      </c>
      <c r="E428" s="157">
        <v>40846</v>
      </c>
      <c r="F428" s="165" t="s">
        <v>148</v>
      </c>
      <c r="G428" s="165" t="s">
        <v>16</v>
      </c>
      <c r="H428" s="165" t="s">
        <v>149</v>
      </c>
      <c r="I428" s="165" t="s">
        <v>148</v>
      </c>
      <c r="J428" s="165" t="s">
        <v>148</v>
      </c>
      <c r="K428" s="165" t="s">
        <v>16</v>
      </c>
      <c r="L428" s="165" t="s">
        <v>148</v>
      </c>
      <c r="M428" s="165" t="s">
        <v>148</v>
      </c>
      <c r="N428" s="165" t="s">
        <v>148</v>
      </c>
      <c r="O428" s="165" t="s">
        <v>16</v>
      </c>
      <c r="P428" s="165" t="s">
        <v>148</v>
      </c>
      <c r="Q428" s="165" t="s">
        <v>16</v>
      </c>
      <c r="R428" s="165" t="s">
        <v>16</v>
      </c>
      <c r="S428" s="165" t="s">
        <v>148</v>
      </c>
      <c r="T428" s="165" t="s">
        <v>148</v>
      </c>
      <c r="U428" s="165" t="s">
        <v>148</v>
      </c>
      <c r="V428" s="165" t="s">
        <v>16</v>
      </c>
      <c r="W428" s="165" t="s">
        <v>16</v>
      </c>
      <c r="X428" s="165" t="s">
        <v>16</v>
      </c>
      <c r="Y428" s="165" t="s">
        <v>16</v>
      </c>
      <c r="Z428" s="165" t="s">
        <v>148</v>
      </c>
      <c r="AA428" s="165" t="s">
        <v>148</v>
      </c>
      <c r="AB428" s="165" t="s">
        <v>149</v>
      </c>
      <c r="AC428" s="165" t="s">
        <v>148</v>
      </c>
      <c r="AD428" s="165" t="s">
        <v>16</v>
      </c>
      <c r="AE428" s="165" t="s">
        <v>830</v>
      </c>
      <c r="AF428" s="165" t="s">
        <v>844</v>
      </c>
    </row>
    <row r="429" spans="1:32" x14ac:dyDescent="0.3">
      <c r="A429" s="165" t="s">
        <v>845</v>
      </c>
      <c r="B429" s="165" t="s">
        <v>14</v>
      </c>
      <c r="C429" s="165" t="s">
        <v>829</v>
      </c>
      <c r="D429" s="165" t="s">
        <v>15</v>
      </c>
      <c r="E429" s="157">
        <v>40846</v>
      </c>
      <c r="F429" s="165" t="s">
        <v>16</v>
      </c>
      <c r="G429" s="165" t="s">
        <v>16</v>
      </c>
      <c r="H429" s="165" t="s">
        <v>148</v>
      </c>
      <c r="I429" s="165" t="s">
        <v>16</v>
      </c>
      <c r="J429" s="165" t="s">
        <v>16</v>
      </c>
      <c r="K429" s="165" t="s">
        <v>16</v>
      </c>
      <c r="L429" s="165" t="s">
        <v>16</v>
      </c>
      <c r="M429" s="165" t="s">
        <v>148</v>
      </c>
      <c r="N429" s="165" t="s">
        <v>148</v>
      </c>
      <c r="O429" s="165" t="s">
        <v>16</v>
      </c>
      <c r="P429" s="165" t="s">
        <v>16</v>
      </c>
      <c r="Q429" s="165" t="s">
        <v>16</v>
      </c>
      <c r="R429" s="165" t="s">
        <v>148</v>
      </c>
      <c r="S429" s="165" t="s">
        <v>16</v>
      </c>
      <c r="T429" s="165" t="s">
        <v>16</v>
      </c>
      <c r="U429" s="165" t="s">
        <v>16</v>
      </c>
      <c r="V429" s="165" t="s">
        <v>16</v>
      </c>
      <c r="W429" s="165" t="s">
        <v>16</v>
      </c>
      <c r="X429" s="165" t="s">
        <v>16</v>
      </c>
      <c r="Y429" s="165" t="s">
        <v>16</v>
      </c>
      <c r="Z429" s="165" t="s">
        <v>16</v>
      </c>
      <c r="AA429" s="165" t="s">
        <v>16</v>
      </c>
      <c r="AB429" s="165" t="s">
        <v>16</v>
      </c>
      <c r="AC429" s="165" t="s">
        <v>16</v>
      </c>
      <c r="AD429" s="165" t="s">
        <v>16</v>
      </c>
      <c r="AE429" s="165" t="s">
        <v>830</v>
      </c>
      <c r="AF429" s="165"/>
    </row>
    <row r="430" spans="1:32" x14ac:dyDescent="0.3">
      <c r="A430" s="165" t="s">
        <v>846</v>
      </c>
      <c r="B430" s="165" t="s">
        <v>14</v>
      </c>
      <c r="C430" s="165" t="s">
        <v>829</v>
      </c>
      <c r="D430" s="165" t="s">
        <v>15</v>
      </c>
      <c r="E430" s="157">
        <v>40846</v>
      </c>
      <c r="F430" s="165" t="s">
        <v>16</v>
      </c>
      <c r="G430" s="165" t="s">
        <v>16</v>
      </c>
      <c r="H430" s="165" t="s">
        <v>148</v>
      </c>
      <c r="I430" s="165" t="s">
        <v>148</v>
      </c>
      <c r="J430" s="165" t="s">
        <v>149</v>
      </c>
      <c r="K430" s="165" t="s">
        <v>148</v>
      </c>
      <c r="L430" s="165" t="s">
        <v>148</v>
      </c>
      <c r="M430" s="165" t="s">
        <v>16</v>
      </c>
      <c r="N430" s="165" t="s">
        <v>148</v>
      </c>
      <c r="O430" s="165" t="s">
        <v>148</v>
      </c>
      <c r="P430" s="165" t="s">
        <v>148</v>
      </c>
      <c r="Q430" s="165" t="s">
        <v>16</v>
      </c>
      <c r="R430" s="165" t="s">
        <v>148</v>
      </c>
      <c r="S430" s="165" t="s">
        <v>148</v>
      </c>
      <c r="T430" s="165" t="s">
        <v>16</v>
      </c>
      <c r="U430" s="165" t="s">
        <v>16</v>
      </c>
      <c r="V430" s="165" t="s">
        <v>16</v>
      </c>
      <c r="W430" s="165" t="s">
        <v>16</v>
      </c>
      <c r="X430" s="165" t="s">
        <v>16</v>
      </c>
      <c r="Y430" s="165" t="s">
        <v>114</v>
      </c>
      <c r="Z430" s="165" t="s">
        <v>148</v>
      </c>
      <c r="AA430" s="165" t="s">
        <v>148</v>
      </c>
      <c r="AB430" s="165" t="s">
        <v>16</v>
      </c>
      <c r="AC430" s="165" t="s">
        <v>148</v>
      </c>
      <c r="AD430" s="165" t="s">
        <v>16</v>
      </c>
      <c r="AE430" s="165" t="s">
        <v>847</v>
      </c>
      <c r="AF430" s="165"/>
    </row>
    <row r="431" spans="1:32" x14ac:dyDescent="0.3">
      <c r="A431" s="165" t="s">
        <v>848</v>
      </c>
      <c r="B431" s="165" t="s">
        <v>14</v>
      </c>
      <c r="C431" s="165" t="s">
        <v>829</v>
      </c>
      <c r="D431" s="165" t="s">
        <v>15</v>
      </c>
      <c r="E431" s="157">
        <v>40846</v>
      </c>
      <c r="F431" s="165" t="s">
        <v>16</v>
      </c>
      <c r="G431" s="165" t="s">
        <v>148</v>
      </c>
      <c r="H431" s="165" t="s">
        <v>16</v>
      </c>
      <c r="I431" s="165" t="s">
        <v>16</v>
      </c>
      <c r="J431" s="165" t="s">
        <v>16</v>
      </c>
      <c r="K431" s="165" t="s">
        <v>149</v>
      </c>
      <c r="L431" s="165" t="s">
        <v>149</v>
      </c>
      <c r="M431" s="165" t="s">
        <v>149</v>
      </c>
      <c r="N431" s="165" t="s">
        <v>16</v>
      </c>
      <c r="O431" s="165" t="s">
        <v>149</v>
      </c>
      <c r="P431" s="165" t="s">
        <v>149</v>
      </c>
      <c r="Q431" s="165" t="s">
        <v>149</v>
      </c>
      <c r="R431" s="165" t="s">
        <v>149</v>
      </c>
      <c r="S431" s="165" t="s">
        <v>16</v>
      </c>
      <c r="T431" s="165" t="s">
        <v>16</v>
      </c>
      <c r="U431" s="165" t="s">
        <v>149</v>
      </c>
      <c r="V431" s="165" t="s">
        <v>149</v>
      </c>
      <c r="W431" s="165" t="s">
        <v>16</v>
      </c>
      <c r="X431" s="165" t="s">
        <v>149</v>
      </c>
      <c r="Y431" s="165" t="s">
        <v>16</v>
      </c>
      <c r="Z431" s="165" t="s">
        <v>149</v>
      </c>
      <c r="AA431" s="165" t="s">
        <v>149</v>
      </c>
      <c r="AB431" s="165" t="s">
        <v>16</v>
      </c>
      <c r="AC431" s="165" t="s">
        <v>148</v>
      </c>
      <c r="AD431" s="165" t="s">
        <v>149</v>
      </c>
      <c r="AE431" s="165" t="s">
        <v>849</v>
      </c>
      <c r="AF431" s="165" t="s">
        <v>850</v>
      </c>
    </row>
    <row r="432" spans="1:32" x14ac:dyDescent="0.3">
      <c r="A432" s="165" t="s">
        <v>851</v>
      </c>
      <c r="B432" s="165" t="s">
        <v>14</v>
      </c>
      <c r="C432" s="165" t="s">
        <v>829</v>
      </c>
      <c r="D432" s="165" t="s">
        <v>15</v>
      </c>
      <c r="E432" s="157">
        <v>40846</v>
      </c>
      <c r="F432" s="165" t="s">
        <v>148</v>
      </c>
      <c r="G432" s="165" t="s">
        <v>148</v>
      </c>
      <c r="H432" s="165" t="s">
        <v>148</v>
      </c>
      <c r="I432" s="165" t="s">
        <v>16</v>
      </c>
      <c r="J432" s="165" t="s">
        <v>16</v>
      </c>
      <c r="K432" s="165" t="s">
        <v>148</v>
      </c>
      <c r="L432" s="165" t="s">
        <v>16</v>
      </c>
      <c r="M432" s="165" t="s">
        <v>16</v>
      </c>
      <c r="N432" s="165" t="s">
        <v>16</v>
      </c>
      <c r="O432" s="165" t="s">
        <v>148</v>
      </c>
      <c r="P432" s="165" t="s">
        <v>148</v>
      </c>
      <c r="Q432" s="165" t="s">
        <v>16</v>
      </c>
      <c r="R432" s="165" t="s">
        <v>148</v>
      </c>
      <c r="S432" s="165" t="s">
        <v>16</v>
      </c>
      <c r="T432" s="165" t="s">
        <v>16</v>
      </c>
      <c r="U432" s="165" t="s">
        <v>149</v>
      </c>
      <c r="V432" s="165" t="s">
        <v>149</v>
      </c>
      <c r="W432" s="165" t="s">
        <v>16</v>
      </c>
      <c r="X432" s="165" t="s">
        <v>16</v>
      </c>
      <c r="Y432" s="165" t="s">
        <v>148</v>
      </c>
      <c r="Z432" s="165" t="s">
        <v>148</v>
      </c>
      <c r="AA432" s="165" t="s">
        <v>148</v>
      </c>
      <c r="AB432" s="165" t="s">
        <v>148</v>
      </c>
      <c r="AC432" s="165" t="s">
        <v>16</v>
      </c>
      <c r="AD432" s="165" t="s">
        <v>16</v>
      </c>
      <c r="AE432" s="165" t="s">
        <v>830</v>
      </c>
      <c r="AF432" s="165"/>
    </row>
    <row r="433" spans="1:32" x14ac:dyDescent="0.3">
      <c r="A433" s="165" t="s">
        <v>852</v>
      </c>
      <c r="B433" s="165" t="s">
        <v>14</v>
      </c>
      <c r="C433" s="165" t="s">
        <v>829</v>
      </c>
      <c r="D433" s="165" t="s">
        <v>15</v>
      </c>
      <c r="E433" s="157">
        <v>40846</v>
      </c>
      <c r="F433" s="165" t="s">
        <v>16</v>
      </c>
      <c r="G433" s="165" t="s">
        <v>16</v>
      </c>
      <c r="H433" s="165" t="s">
        <v>16</v>
      </c>
      <c r="I433" s="165" t="s">
        <v>148</v>
      </c>
      <c r="J433" s="165" t="s">
        <v>148</v>
      </c>
      <c r="K433" s="165" t="s">
        <v>16</v>
      </c>
      <c r="L433" s="165" t="s">
        <v>16</v>
      </c>
      <c r="M433" s="165" t="s">
        <v>16</v>
      </c>
      <c r="N433" s="165" t="s">
        <v>16</v>
      </c>
      <c r="O433" s="165" t="s">
        <v>148</v>
      </c>
      <c r="P433" s="165" t="s">
        <v>16</v>
      </c>
      <c r="Q433" s="165" t="s">
        <v>16</v>
      </c>
      <c r="R433" s="165" t="s">
        <v>16</v>
      </c>
      <c r="S433" s="165" t="s">
        <v>148</v>
      </c>
      <c r="T433" s="165" t="s">
        <v>148</v>
      </c>
      <c r="U433" s="165" t="s">
        <v>16</v>
      </c>
      <c r="V433" s="165" t="s">
        <v>148</v>
      </c>
      <c r="W433" s="165" t="s">
        <v>148</v>
      </c>
      <c r="X433" s="165" t="s">
        <v>148</v>
      </c>
      <c r="Y433" s="165" t="s">
        <v>148</v>
      </c>
      <c r="Z433" s="165" t="s">
        <v>16</v>
      </c>
      <c r="AA433" s="165" t="s">
        <v>148</v>
      </c>
      <c r="AB433" s="165" t="s">
        <v>16</v>
      </c>
      <c r="AC433" s="165" t="s">
        <v>16</v>
      </c>
      <c r="AD433" s="165" t="s">
        <v>16</v>
      </c>
      <c r="AE433" s="165" t="s">
        <v>837</v>
      </c>
      <c r="AF433" s="165"/>
    </row>
    <row r="434" spans="1:32" x14ac:dyDescent="0.3">
      <c r="A434" s="165" t="s">
        <v>853</v>
      </c>
      <c r="B434" s="165" t="s">
        <v>14</v>
      </c>
      <c r="C434" s="165" t="s">
        <v>829</v>
      </c>
      <c r="D434" s="165" t="s">
        <v>15</v>
      </c>
      <c r="E434" s="157">
        <v>40846</v>
      </c>
      <c r="F434" s="165" t="s">
        <v>16</v>
      </c>
      <c r="G434" s="165" t="s">
        <v>16</v>
      </c>
      <c r="H434" s="165" t="s">
        <v>16</v>
      </c>
      <c r="I434" s="165" t="s">
        <v>148</v>
      </c>
      <c r="J434" s="165" t="s">
        <v>16</v>
      </c>
      <c r="K434" s="165" t="s">
        <v>16</v>
      </c>
      <c r="L434" s="165" t="s">
        <v>16</v>
      </c>
      <c r="M434" s="165" t="s">
        <v>16</v>
      </c>
      <c r="N434" s="165" t="s">
        <v>148</v>
      </c>
      <c r="O434" s="165" t="s">
        <v>148</v>
      </c>
      <c r="P434" s="165" t="s">
        <v>148</v>
      </c>
      <c r="Q434" s="165" t="s">
        <v>16</v>
      </c>
      <c r="R434" s="165" t="s">
        <v>16</v>
      </c>
      <c r="S434" s="165" t="s">
        <v>16</v>
      </c>
      <c r="T434" s="165" t="s">
        <v>148</v>
      </c>
      <c r="U434" s="165" t="s">
        <v>16</v>
      </c>
      <c r="V434" s="165" t="s">
        <v>16</v>
      </c>
      <c r="W434" s="165" t="s">
        <v>16</v>
      </c>
      <c r="X434" s="165" t="s">
        <v>16</v>
      </c>
      <c r="Y434" s="165" t="s">
        <v>16</v>
      </c>
      <c r="Z434" s="165" t="s">
        <v>16</v>
      </c>
      <c r="AA434" s="165" t="s">
        <v>16</v>
      </c>
      <c r="AB434" s="165" t="s">
        <v>16</v>
      </c>
      <c r="AC434" s="165" t="s">
        <v>148</v>
      </c>
      <c r="AD434" s="165" t="s">
        <v>16</v>
      </c>
      <c r="AE434" s="165" t="s">
        <v>830</v>
      </c>
      <c r="AF434" s="165"/>
    </row>
    <row r="435" spans="1:32" x14ac:dyDescent="0.3">
      <c r="A435" s="165" t="s">
        <v>854</v>
      </c>
      <c r="B435" s="165" t="s">
        <v>14</v>
      </c>
      <c r="C435" s="165" t="s">
        <v>829</v>
      </c>
      <c r="D435" s="165" t="s">
        <v>15</v>
      </c>
      <c r="E435" s="157">
        <v>40846</v>
      </c>
      <c r="F435" s="165" t="s">
        <v>16</v>
      </c>
      <c r="G435" s="165" t="s">
        <v>16</v>
      </c>
      <c r="H435" s="165" t="s">
        <v>16</v>
      </c>
      <c r="I435" s="165" t="s">
        <v>16</v>
      </c>
      <c r="J435" s="165" t="s">
        <v>16</v>
      </c>
      <c r="K435" s="165" t="s">
        <v>16</v>
      </c>
      <c r="L435" s="165" t="s">
        <v>16</v>
      </c>
      <c r="M435" s="165" t="s">
        <v>16</v>
      </c>
      <c r="N435" s="165" t="s">
        <v>16</v>
      </c>
      <c r="O435" s="165" t="s">
        <v>148</v>
      </c>
      <c r="P435" s="165" t="s">
        <v>16</v>
      </c>
      <c r="Q435" s="165" t="s">
        <v>16</v>
      </c>
      <c r="R435" s="165" t="s">
        <v>16</v>
      </c>
      <c r="S435" s="165" t="s">
        <v>16</v>
      </c>
      <c r="T435" s="165" t="s">
        <v>16</v>
      </c>
      <c r="U435" s="165" t="s">
        <v>16</v>
      </c>
      <c r="V435" s="165" t="s">
        <v>16</v>
      </c>
      <c r="W435" s="165" t="s">
        <v>16</v>
      </c>
      <c r="X435" s="165" t="s">
        <v>16</v>
      </c>
      <c r="Y435" s="165" t="s">
        <v>16</v>
      </c>
      <c r="Z435" s="165" t="s">
        <v>16</v>
      </c>
      <c r="AA435" s="165" t="s">
        <v>16</v>
      </c>
      <c r="AB435" s="165" t="s">
        <v>16</v>
      </c>
      <c r="AC435" s="165" t="s">
        <v>16</v>
      </c>
      <c r="AD435" s="165" t="s">
        <v>16</v>
      </c>
      <c r="AE435" s="165" t="s">
        <v>855</v>
      </c>
      <c r="AF435" s="165"/>
    </row>
    <row r="436" spans="1:32" x14ac:dyDescent="0.3">
      <c r="A436" s="165" t="s">
        <v>856</v>
      </c>
      <c r="B436" s="165" t="s">
        <v>14</v>
      </c>
      <c r="C436" s="165" t="s">
        <v>829</v>
      </c>
      <c r="D436" s="165" t="s">
        <v>15</v>
      </c>
      <c r="E436" s="157">
        <v>40846</v>
      </c>
      <c r="F436" s="165" t="s">
        <v>16</v>
      </c>
      <c r="G436" s="165" t="s">
        <v>16</v>
      </c>
      <c r="H436" s="165" t="s">
        <v>16</v>
      </c>
      <c r="I436" s="165" t="s">
        <v>16</v>
      </c>
      <c r="J436" s="165" t="s">
        <v>16</v>
      </c>
      <c r="K436" s="165" t="s">
        <v>16</v>
      </c>
      <c r="L436" s="165" t="s">
        <v>16</v>
      </c>
      <c r="M436" s="165" t="s">
        <v>16</v>
      </c>
      <c r="N436" s="165" t="s">
        <v>16</v>
      </c>
      <c r="O436" s="165" t="s">
        <v>16</v>
      </c>
      <c r="P436" s="165" t="s">
        <v>16</v>
      </c>
      <c r="Q436" s="165" t="s">
        <v>16</v>
      </c>
      <c r="R436" s="165" t="s">
        <v>16</v>
      </c>
      <c r="S436" s="165" t="s">
        <v>16</v>
      </c>
      <c r="T436" s="165" t="s">
        <v>16</v>
      </c>
      <c r="U436" s="165" t="s">
        <v>16</v>
      </c>
      <c r="V436" s="165" t="s">
        <v>16</v>
      </c>
      <c r="W436" s="165" t="s">
        <v>148</v>
      </c>
      <c r="X436" s="165" t="s">
        <v>148</v>
      </c>
      <c r="Y436" s="165" t="s">
        <v>16</v>
      </c>
      <c r="Z436" s="165" t="s">
        <v>16</v>
      </c>
      <c r="AA436" s="165" t="s">
        <v>16</v>
      </c>
      <c r="AB436" s="165" t="s">
        <v>16</v>
      </c>
      <c r="AC436" s="165" t="s">
        <v>16</v>
      </c>
      <c r="AD436" s="165" t="s">
        <v>16</v>
      </c>
      <c r="AE436" s="165" t="s">
        <v>857</v>
      </c>
      <c r="AF436" s="165"/>
    </row>
    <row r="437" spans="1:32" x14ac:dyDescent="0.3">
      <c r="A437" s="165" t="s">
        <v>858</v>
      </c>
      <c r="B437" s="165" t="s">
        <v>14</v>
      </c>
      <c r="C437" s="165" t="s">
        <v>829</v>
      </c>
      <c r="D437" s="165" t="s">
        <v>15</v>
      </c>
      <c r="E437" s="157">
        <v>40846</v>
      </c>
      <c r="F437" s="165" t="s">
        <v>16</v>
      </c>
      <c r="G437" s="165" t="s">
        <v>149</v>
      </c>
      <c r="H437" s="165" t="s">
        <v>149</v>
      </c>
      <c r="I437" s="165" t="s">
        <v>148</v>
      </c>
      <c r="J437" s="165" t="s">
        <v>16</v>
      </c>
      <c r="K437" s="165" t="s">
        <v>149</v>
      </c>
      <c r="L437" s="165" t="s">
        <v>151</v>
      </c>
      <c r="M437" s="165" t="s">
        <v>151</v>
      </c>
      <c r="N437" s="165" t="s">
        <v>148</v>
      </c>
      <c r="O437" s="165" t="s">
        <v>148</v>
      </c>
      <c r="P437" s="165" t="s">
        <v>149</v>
      </c>
      <c r="Q437" s="165" t="s">
        <v>149</v>
      </c>
      <c r="R437" s="165" t="s">
        <v>16</v>
      </c>
      <c r="S437" s="165" t="s">
        <v>16</v>
      </c>
      <c r="T437" s="165" t="s">
        <v>149</v>
      </c>
      <c r="U437" s="165" t="s">
        <v>16</v>
      </c>
      <c r="V437" s="165" t="s">
        <v>149</v>
      </c>
      <c r="W437" s="165" t="s">
        <v>16</v>
      </c>
      <c r="X437" s="165" t="s">
        <v>148</v>
      </c>
      <c r="Y437" s="165" t="s">
        <v>149</v>
      </c>
      <c r="Z437" s="165" t="s">
        <v>149</v>
      </c>
      <c r="AA437" s="165" t="s">
        <v>149</v>
      </c>
      <c r="AB437" s="165" t="s">
        <v>16</v>
      </c>
      <c r="AC437" s="165" t="s">
        <v>148</v>
      </c>
      <c r="AD437" s="165" t="s">
        <v>16</v>
      </c>
      <c r="AE437" s="165" t="s">
        <v>859</v>
      </c>
      <c r="AF437" s="165"/>
    </row>
    <row r="438" spans="1:32" x14ac:dyDescent="0.3">
      <c r="A438" s="165" t="s">
        <v>860</v>
      </c>
      <c r="B438" s="165" t="s">
        <v>14</v>
      </c>
      <c r="C438" s="165" t="s">
        <v>829</v>
      </c>
      <c r="D438" s="165" t="s">
        <v>15</v>
      </c>
      <c r="E438" s="157">
        <v>40846</v>
      </c>
      <c r="F438" s="165" t="s">
        <v>16</v>
      </c>
      <c r="G438" s="165" t="s">
        <v>16</v>
      </c>
      <c r="H438" s="165" t="s">
        <v>16</v>
      </c>
      <c r="I438" s="165" t="s">
        <v>16</v>
      </c>
      <c r="J438" s="165" t="s">
        <v>16</v>
      </c>
      <c r="K438" s="165" t="s">
        <v>148</v>
      </c>
      <c r="L438" s="165" t="s">
        <v>16</v>
      </c>
      <c r="M438" s="165" t="s">
        <v>148</v>
      </c>
      <c r="N438" s="165" t="s">
        <v>148</v>
      </c>
      <c r="O438" s="165" t="s">
        <v>16</v>
      </c>
      <c r="P438" s="165" t="s">
        <v>16</v>
      </c>
      <c r="Q438" s="165" t="s">
        <v>16</v>
      </c>
      <c r="R438" s="165" t="s">
        <v>16</v>
      </c>
      <c r="S438" s="165" t="s">
        <v>16</v>
      </c>
      <c r="T438" s="165" t="s">
        <v>148</v>
      </c>
      <c r="U438" s="165" t="s">
        <v>148</v>
      </c>
      <c r="V438" s="165" t="s">
        <v>148</v>
      </c>
      <c r="W438" s="165" t="s">
        <v>16</v>
      </c>
      <c r="X438" s="165" t="s">
        <v>16</v>
      </c>
      <c r="Y438" s="165" t="s">
        <v>16</v>
      </c>
      <c r="Z438" s="165" t="s">
        <v>16</v>
      </c>
      <c r="AA438" s="165" t="s">
        <v>16</v>
      </c>
      <c r="AB438" s="165" t="s">
        <v>16</v>
      </c>
      <c r="AC438" s="165" t="s">
        <v>16</v>
      </c>
      <c r="AD438" s="165" t="s">
        <v>16</v>
      </c>
      <c r="AE438" s="165" t="s">
        <v>835</v>
      </c>
      <c r="AF438" s="165"/>
    </row>
    <row r="439" spans="1:32" x14ac:dyDescent="0.3">
      <c r="A439" s="165" t="s">
        <v>861</v>
      </c>
      <c r="B439" s="165" t="s">
        <v>14</v>
      </c>
      <c r="C439" s="165" t="s">
        <v>829</v>
      </c>
      <c r="D439" s="165" t="s">
        <v>15</v>
      </c>
      <c r="E439" s="157">
        <v>40846</v>
      </c>
      <c r="F439" s="165" t="s">
        <v>16</v>
      </c>
      <c r="G439" s="165" t="s">
        <v>16</v>
      </c>
      <c r="H439" s="165" t="s">
        <v>16</v>
      </c>
      <c r="I439" s="165" t="s">
        <v>16</v>
      </c>
      <c r="J439" s="165" t="s">
        <v>16</v>
      </c>
      <c r="K439" s="165" t="s">
        <v>16</v>
      </c>
      <c r="L439" s="165" t="s">
        <v>16</v>
      </c>
      <c r="M439" s="165" t="s">
        <v>148</v>
      </c>
      <c r="N439" s="165" t="s">
        <v>16</v>
      </c>
      <c r="O439" s="165" t="s">
        <v>16</v>
      </c>
      <c r="P439" s="165" t="s">
        <v>16</v>
      </c>
      <c r="Q439" s="165" t="s">
        <v>16</v>
      </c>
      <c r="R439" s="165" t="s">
        <v>149</v>
      </c>
      <c r="S439" s="165" t="s">
        <v>16</v>
      </c>
      <c r="T439" s="165" t="s">
        <v>16</v>
      </c>
      <c r="U439" s="165" t="s">
        <v>16</v>
      </c>
      <c r="V439" s="165" t="s">
        <v>16</v>
      </c>
      <c r="W439" s="165" t="s">
        <v>16</v>
      </c>
      <c r="X439" s="165" t="s">
        <v>16</v>
      </c>
      <c r="Y439" s="165" t="s">
        <v>148</v>
      </c>
      <c r="Z439" s="165" t="s">
        <v>16</v>
      </c>
      <c r="AA439" s="165" t="s">
        <v>16</v>
      </c>
      <c r="AB439" s="165" t="s">
        <v>16</v>
      </c>
      <c r="AC439" s="165" t="s">
        <v>16</v>
      </c>
      <c r="AD439" s="165" t="s">
        <v>16</v>
      </c>
      <c r="AE439" s="165" t="s">
        <v>842</v>
      </c>
      <c r="AF439" s="165"/>
    </row>
    <row r="440" spans="1:32" x14ac:dyDescent="0.3">
      <c r="A440" s="165" t="s">
        <v>862</v>
      </c>
      <c r="B440" s="165" t="s">
        <v>14</v>
      </c>
      <c r="C440" s="165" t="s">
        <v>829</v>
      </c>
      <c r="D440" s="165" t="s">
        <v>15</v>
      </c>
      <c r="E440" s="157">
        <v>40846</v>
      </c>
      <c r="F440" s="165" t="s">
        <v>16</v>
      </c>
      <c r="G440" s="165" t="s">
        <v>16</v>
      </c>
      <c r="H440" s="165" t="s">
        <v>16</v>
      </c>
      <c r="I440" s="165" t="s">
        <v>16</v>
      </c>
      <c r="J440" s="165" t="s">
        <v>16</v>
      </c>
      <c r="K440" s="165" t="s">
        <v>149</v>
      </c>
      <c r="L440" s="165" t="s">
        <v>149</v>
      </c>
      <c r="M440" s="165" t="s">
        <v>149</v>
      </c>
      <c r="N440" s="165" t="s">
        <v>16</v>
      </c>
      <c r="O440" s="165" t="s">
        <v>16</v>
      </c>
      <c r="P440" s="165" t="s">
        <v>16</v>
      </c>
      <c r="Q440" s="165" t="s">
        <v>16</v>
      </c>
      <c r="R440" s="165" t="s">
        <v>16</v>
      </c>
      <c r="S440" s="165" t="s">
        <v>16</v>
      </c>
      <c r="T440" s="165" t="s">
        <v>16</v>
      </c>
      <c r="U440" s="165" t="s">
        <v>149</v>
      </c>
      <c r="V440" s="165" t="s">
        <v>16</v>
      </c>
      <c r="W440" s="165" t="s">
        <v>16</v>
      </c>
      <c r="X440" s="165" t="s">
        <v>16</v>
      </c>
      <c r="Y440" s="165" t="s">
        <v>16</v>
      </c>
      <c r="Z440" s="165" t="s">
        <v>149</v>
      </c>
      <c r="AA440" s="165" t="s">
        <v>149</v>
      </c>
      <c r="AB440" s="165" t="s">
        <v>16</v>
      </c>
      <c r="AC440" s="165" t="s">
        <v>148</v>
      </c>
      <c r="AD440" s="165" t="s">
        <v>16</v>
      </c>
      <c r="AE440" s="165" t="s">
        <v>842</v>
      </c>
      <c r="AF440" s="165" t="s">
        <v>863</v>
      </c>
    </row>
    <row r="441" spans="1:32" x14ac:dyDescent="0.3">
      <c r="A441" s="165" t="s">
        <v>864</v>
      </c>
      <c r="B441" s="165" t="s">
        <v>14</v>
      </c>
      <c r="C441" s="165" t="s">
        <v>829</v>
      </c>
      <c r="D441" s="165" t="s">
        <v>15</v>
      </c>
      <c r="E441" s="157">
        <v>40846</v>
      </c>
      <c r="F441" s="165" t="s">
        <v>16</v>
      </c>
      <c r="G441" s="165" t="s">
        <v>16</v>
      </c>
      <c r="H441" s="165" t="s">
        <v>16</v>
      </c>
      <c r="I441" s="165" t="s">
        <v>16</v>
      </c>
      <c r="J441" s="165" t="s">
        <v>148</v>
      </c>
      <c r="K441" s="165" t="s">
        <v>148</v>
      </c>
      <c r="L441" s="165" t="s">
        <v>16</v>
      </c>
      <c r="M441" s="165" t="s">
        <v>16</v>
      </c>
      <c r="N441" s="165" t="s">
        <v>148</v>
      </c>
      <c r="O441" s="165" t="s">
        <v>148</v>
      </c>
      <c r="P441" s="165" t="s">
        <v>148</v>
      </c>
      <c r="Q441" s="165" t="s">
        <v>16</v>
      </c>
      <c r="R441" s="165" t="s">
        <v>16</v>
      </c>
      <c r="S441" s="165" t="s">
        <v>148</v>
      </c>
      <c r="T441" s="165" t="s">
        <v>16</v>
      </c>
      <c r="U441" s="165" t="s">
        <v>148</v>
      </c>
      <c r="V441" s="165" t="s">
        <v>16</v>
      </c>
      <c r="W441" s="165" t="s">
        <v>16</v>
      </c>
      <c r="X441" s="165" t="s">
        <v>16</v>
      </c>
      <c r="Y441" s="165" t="s">
        <v>16</v>
      </c>
      <c r="Z441" s="165" t="s">
        <v>16</v>
      </c>
      <c r="AA441" s="165" t="s">
        <v>148</v>
      </c>
      <c r="AB441" s="165" t="s">
        <v>148</v>
      </c>
      <c r="AC441" s="165" t="s">
        <v>16</v>
      </c>
      <c r="AD441" s="165" t="s">
        <v>16</v>
      </c>
      <c r="AE441" s="165" t="s">
        <v>830</v>
      </c>
      <c r="AF441" s="165"/>
    </row>
    <row r="442" spans="1:32" x14ac:dyDescent="0.3">
      <c r="A442" s="165" t="s">
        <v>865</v>
      </c>
      <c r="B442" s="165" t="s">
        <v>14</v>
      </c>
      <c r="C442" s="165" t="s">
        <v>829</v>
      </c>
      <c r="D442" s="165" t="s">
        <v>15</v>
      </c>
      <c r="E442" s="157">
        <v>40846</v>
      </c>
      <c r="F442" s="165" t="s">
        <v>148</v>
      </c>
      <c r="G442" s="165" t="s">
        <v>148</v>
      </c>
      <c r="H442" s="165" t="s">
        <v>148</v>
      </c>
      <c r="I442" s="165" t="s">
        <v>16</v>
      </c>
      <c r="J442" s="165" t="s">
        <v>16</v>
      </c>
      <c r="K442" s="165" t="s">
        <v>16</v>
      </c>
      <c r="L442" s="165" t="s">
        <v>16</v>
      </c>
      <c r="M442" s="165" t="s">
        <v>148</v>
      </c>
      <c r="N442" s="165" t="s">
        <v>16</v>
      </c>
      <c r="O442" s="165" t="s">
        <v>16</v>
      </c>
      <c r="P442" s="165" t="s">
        <v>16</v>
      </c>
      <c r="Q442" s="165" t="s">
        <v>16</v>
      </c>
      <c r="R442" s="165" t="s">
        <v>16</v>
      </c>
      <c r="S442" s="165" t="s">
        <v>16</v>
      </c>
      <c r="T442" s="165" t="s">
        <v>16</v>
      </c>
      <c r="U442" s="165" t="s">
        <v>16</v>
      </c>
      <c r="V442" s="165" t="s">
        <v>148</v>
      </c>
      <c r="W442" s="165" t="s">
        <v>16</v>
      </c>
      <c r="X442" s="165" t="s">
        <v>16</v>
      </c>
      <c r="Y442" s="165" t="s">
        <v>16</v>
      </c>
      <c r="Z442" s="165" t="s">
        <v>16</v>
      </c>
      <c r="AA442" s="165" t="s">
        <v>16</v>
      </c>
      <c r="AB442" s="165" t="s">
        <v>16</v>
      </c>
      <c r="AC442" s="165" t="s">
        <v>16</v>
      </c>
      <c r="AD442" s="165" t="s">
        <v>16</v>
      </c>
      <c r="AE442" s="165" t="s">
        <v>837</v>
      </c>
      <c r="AF442" s="165"/>
    </row>
    <row r="443" spans="1:32" x14ac:dyDescent="0.3">
      <c r="A443" s="165" t="s">
        <v>866</v>
      </c>
      <c r="B443" s="165" t="s">
        <v>14</v>
      </c>
      <c r="C443" s="165" t="s">
        <v>829</v>
      </c>
      <c r="D443" s="165" t="s">
        <v>15</v>
      </c>
      <c r="E443" s="157">
        <v>40846</v>
      </c>
      <c r="F443" s="165" t="s">
        <v>148</v>
      </c>
      <c r="G443" s="165" t="s">
        <v>148</v>
      </c>
      <c r="H443" s="165" t="s">
        <v>16</v>
      </c>
      <c r="I443" s="165" t="s">
        <v>148</v>
      </c>
      <c r="J443" s="165" t="s">
        <v>16</v>
      </c>
      <c r="K443" s="165" t="s">
        <v>16</v>
      </c>
      <c r="L443" s="165" t="s">
        <v>16</v>
      </c>
      <c r="M443" s="165" t="s">
        <v>148</v>
      </c>
      <c r="N443" s="165" t="s">
        <v>148</v>
      </c>
      <c r="O443" s="165" t="s">
        <v>16</v>
      </c>
      <c r="P443" s="165" t="s">
        <v>150</v>
      </c>
      <c r="Q443" s="165" t="s">
        <v>16</v>
      </c>
      <c r="R443" s="165" t="s">
        <v>16</v>
      </c>
      <c r="S443" s="165" t="s">
        <v>148</v>
      </c>
      <c r="T443" s="165" t="s">
        <v>16</v>
      </c>
      <c r="U443" s="165" t="s">
        <v>16</v>
      </c>
      <c r="V443" s="165" t="s">
        <v>16</v>
      </c>
      <c r="W443" s="165" t="s">
        <v>148</v>
      </c>
      <c r="X443" s="165" t="s">
        <v>148</v>
      </c>
      <c r="Y443" s="165" t="s">
        <v>16</v>
      </c>
      <c r="Z443" s="165" t="s">
        <v>16</v>
      </c>
      <c r="AA443" s="165" t="s">
        <v>16</v>
      </c>
      <c r="AB443" s="165" t="s">
        <v>16</v>
      </c>
      <c r="AC443" s="165" t="s">
        <v>148</v>
      </c>
      <c r="AD443" s="165" t="s">
        <v>16</v>
      </c>
      <c r="AE443" s="165" t="s">
        <v>835</v>
      </c>
      <c r="AF443" s="165"/>
    </row>
    <row r="444" spans="1:32" x14ac:dyDescent="0.3">
      <c r="A444" s="165" t="s">
        <v>867</v>
      </c>
      <c r="B444" s="165" t="s">
        <v>14</v>
      </c>
      <c r="C444" s="165" t="s">
        <v>829</v>
      </c>
      <c r="D444" s="165" t="s">
        <v>15</v>
      </c>
      <c r="E444" s="157">
        <v>40846</v>
      </c>
      <c r="F444" s="165" t="s">
        <v>16</v>
      </c>
      <c r="G444" s="165" t="s">
        <v>16</v>
      </c>
      <c r="H444" s="165" t="s">
        <v>16</v>
      </c>
      <c r="I444" s="165" t="s">
        <v>16</v>
      </c>
      <c r="J444" s="165" t="s">
        <v>16</v>
      </c>
      <c r="K444" s="165" t="s">
        <v>16</v>
      </c>
      <c r="L444" s="165" t="s">
        <v>16</v>
      </c>
      <c r="M444" s="165" t="s">
        <v>16</v>
      </c>
      <c r="N444" s="165" t="s">
        <v>16</v>
      </c>
      <c r="O444" s="165" t="s">
        <v>16</v>
      </c>
      <c r="P444" s="165" t="s">
        <v>16</v>
      </c>
      <c r="Q444" s="165" t="s">
        <v>16</v>
      </c>
      <c r="R444" s="165" t="s">
        <v>16</v>
      </c>
      <c r="S444" s="165" t="s">
        <v>16</v>
      </c>
      <c r="T444" s="165" t="s">
        <v>16</v>
      </c>
      <c r="U444" s="165" t="s">
        <v>16</v>
      </c>
      <c r="V444" s="165" t="s">
        <v>16</v>
      </c>
      <c r="W444" s="165" t="s">
        <v>16</v>
      </c>
      <c r="X444" s="165" t="s">
        <v>16</v>
      </c>
      <c r="Y444" s="165" t="s">
        <v>16</v>
      </c>
      <c r="Z444" s="165" t="s">
        <v>16</v>
      </c>
      <c r="AA444" s="165" t="s">
        <v>16</v>
      </c>
      <c r="AB444" s="165" t="s">
        <v>16</v>
      </c>
      <c r="AC444" s="165" t="s">
        <v>16</v>
      </c>
      <c r="AD444" s="165" t="s">
        <v>16</v>
      </c>
      <c r="AE444" s="165" t="s">
        <v>868</v>
      </c>
      <c r="AF444" s="165" t="s">
        <v>869</v>
      </c>
    </row>
    <row r="445" spans="1:32" x14ac:dyDescent="0.3">
      <c r="A445" s="165" t="s">
        <v>870</v>
      </c>
      <c r="B445" s="165" t="s">
        <v>14</v>
      </c>
      <c r="C445" s="165" t="s">
        <v>829</v>
      </c>
      <c r="D445" s="165" t="s">
        <v>15</v>
      </c>
      <c r="E445" s="157">
        <v>40846</v>
      </c>
      <c r="F445" s="165" t="s">
        <v>148</v>
      </c>
      <c r="G445" s="165" t="s">
        <v>150</v>
      </c>
      <c r="H445" s="165" t="s">
        <v>16</v>
      </c>
      <c r="I445" s="165" t="s">
        <v>16</v>
      </c>
      <c r="J445" s="165" t="s">
        <v>16</v>
      </c>
      <c r="K445" s="165" t="s">
        <v>16</v>
      </c>
      <c r="L445" s="165" t="s">
        <v>16</v>
      </c>
      <c r="M445" s="165" t="s">
        <v>16</v>
      </c>
      <c r="N445" s="165" t="s">
        <v>148</v>
      </c>
      <c r="O445" s="165" t="s">
        <v>148</v>
      </c>
      <c r="P445" s="165" t="s">
        <v>150</v>
      </c>
      <c r="Q445" s="165" t="s">
        <v>16</v>
      </c>
      <c r="R445" s="165" t="s">
        <v>16</v>
      </c>
      <c r="S445" s="165" t="s">
        <v>16</v>
      </c>
      <c r="T445" s="165" t="s">
        <v>16</v>
      </c>
      <c r="U445" s="165" t="s">
        <v>16</v>
      </c>
      <c r="V445" s="165" t="s">
        <v>16</v>
      </c>
      <c r="W445" s="165" t="s">
        <v>16</v>
      </c>
      <c r="X445" s="165" t="s">
        <v>148</v>
      </c>
      <c r="Y445" s="165" t="s">
        <v>16</v>
      </c>
      <c r="Z445" s="165" t="s">
        <v>16</v>
      </c>
      <c r="AA445" s="165" t="s">
        <v>16</v>
      </c>
      <c r="AB445" s="165" t="s">
        <v>148</v>
      </c>
      <c r="AC445" s="165" t="s">
        <v>148</v>
      </c>
      <c r="AD445" s="165" t="s">
        <v>149</v>
      </c>
      <c r="AE445" s="165" t="s">
        <v>837</v>
      </c>
      <c r="AF445" s="165"/>
    </row>
    <row r="446" spans="1:32" x14ac:dyDescent="0.3">
      <c r="A446" s="165" t="s">
        <v>871</v>
      </c>
      <c r="B446" s="165" t="s">
        <v>14</v>
      </c>
      <c r="C446" s="165" t="s">
        <v>829</v>
      </c>
      <c r="D446" s="165" t="s">
        <v>15</v>
      </c>
      <c r="E446" s="157">
        <v>40846</v>
      </c>
      <c r="F446" s="165" t="s">
        <v>148</v>
      </c>
      <c r="G446" s="165" t="s">
        <v>16</v>
      </c>
      <c r="H446" s="165" t="s">
        <v>16</v>
      </c>
      <c r="I446" s="165" t="s">
        <v>16</v>
      </c>
      <c r="J446" s="165" t="s">
        <v>148</v>
      </c>
      <c r="K446" s="165" t="s">
        <v>16</v>
      </c>
      <c r="L446" s="165" t="s">
        <v>16</v>
      </c>
      <c r="M446" s="165" t="s">
        <v>16</v>
      </c>
      <c r="N446" s="165" t="s">
        <v>16</v>
      </c>
      <c r="O446" s="165" t="s">
        <v>16</v>
      </c>
      <c r="P446" s="165" t="s">
        <v>16</v>
      </c>
      <c r="Q446" s="165" t="s">
        <v>16</v>
      </c>
      <c r="R446" s="165" t="s">
        <v>16</v>
      </c>
      <c r="S446" s="165" t="s">
        <v>16</v>
      </c>
      <c r="T446" s="165" t="s">
        <v>16</v>
      </c>
      <c r="U446" s="165" t="s">
        <v>16</v>
      </c>
      <c r="V446" s="165" t="s">
        <v>16</v>
      </c>
      <c r="W446" s="165" t="s">
        <v>150</v>
      </c>
      <c r="X446" s="165" t="s">
        <v>148</v>
      </c>
      <c r="Y446" s="165" t="s">
        <v>16</v>
      </c>
      <c r="Z446" s="165" t="s">
        <v>16</v>
      </c>
      <c r="AA446" s="165" t="s">
        <v>16</v>
      </c>
      <c r="AB446" s="165" t="s">
        <v>16</v>
      </c>
      <c r="AC446" s="165" t="s">
        <v>16</v>
      </c>
      <c r="AD446" s="165" t="s">
        <v>16</v>
      </c>
      <c r="AE446" s="165" t="s">
        <v>872</v>
      </c>
      <c r="AF446" s="165"/>
    </row>
    <row r="447" spans="1:32" x14ac:dyDescent="0.3">
      <c r="A447" s="165" t="s">
        <v>873</v>
      </c>
      <c r="B447" s="165" t="s">
        <v>14</v>
      </c>
      <c r="C447" s="165" t="s">
        <v>829</v>
      </c>
      <c r="D447" s="165" t="s">
        <v>15</v>
      </c>
      <c r="E447" s="157">
        <v>40846</v>
      </c>
      <c r="F447" s="165" t="s">
        <v>16</v>
      </c>
      <c r="G447" s="165" t="s">
        <v>16</v>
      </c>
      <c r="H447" s="165" t="s">
        <v>16</v>
      </c>
      <c r="I447" s="165" t="s">
        <v>16</v>
      </c>
      <c r="J447" s="165" t="s">
        <v>16</v>
      </c>
      <c r="K447" s="165" t="s">
        <v>16</v>
      </c>
      <c r="L447" s="165" t="s">
        <v>16</v>
      </c>
      <c r="M447" s="165" t="s">
        <v>16</v>
      </c>
      <c r="N447" s="165" t="s">
        <v>148</v>
      </c>
      <c r="O447" s="165" t="s">
        <v>16</v>
      </c>
      <c r="P447" s="165" t="s">
        <v>16</v>
      </c>
      <c r="Q447" s="165" t="s">
        <v>16</v>
      </c>
      <c r="R447" s="165" t="s">
        <v>16</v>
      </c>
      <c r="S447" s="165" t="s">
        <v>16</v>
      </c>
      <c r="T447" s="165" t="s">
        <v>16</v>
      </c>
      <c r="U447" s="165" t="s">
        <v>16</v>
      </c>
      <c r="V447" s="165" t="s">
        <v>16</v>
      </c>
      <c r="W447" s="165" t="s">
        <v>16</v>
      </c>
      <c r="X447" s="165" t="s">
        <v>16</v>
      </c>
      <c r="Y447" s="165" t="s">
        <v>16</v>
      </c>
      <c r="Z447" s="165" t="s">
        <v>16</v>
      </c>
      <c r="AA447" s="165" t="s">
        <v>148</v>
      </c>
      <c r="AB447" s="165" t="s">
        <v>16</v>
      </c>
      <c r="AC447" s="165" t="s">
        <v>148</v>
      </c>
      <c r="AD447" s="165" t="s">
        <v>16</v>
      </c>
      <c r="AE447" s="165" t="s">
        <v>835</v>
      </c>
      <c r="AF447" s="165"/>
    </row>
    <row r="448" spans="1:32" x14ac:dyDescent="0.3">
      <c r="A448" s="165" t="s">
        <v>874</v>
      </c>
      <c r="B448" s="165" t="s">
        <v>14</v>
      </c>
      <c r="C448" s="165" t="s">
        <v>829</v>
      </c>
      <c r="D448" s="165" t="s">
        <v>15</v>
      </c>
      <c r="E448" s="157">
        <v>40846</v>
      </c>
      <c r="F448" s="165" t="s">
        <v>16</v>
      </c>
      <c r="G448" s="165" t="s">
        <v>16</v>
      </c>
      <c r="H448" s="165" t="s">
        <v>148</v>
      </c>
      <c r="I448" s="165" t="s">
        <v>16</v>
      </c>
      <c r="J448" s="165" t="s">
        <v>149</v>
      </c>
      <c r="K448" s="165" t="s">
        <v>16</v>
      </c>
      <c r="L448" s="165" t="s">
        <v>16</v>
      </c>
      <c r="M448" s="165" t="s">
        <v>148</v>
      </c>
      <c r="N448" s="165" t="s">
        <v>148</v>
      </c>
      <c r="O448" s="165" t="s">
        <v>16</v>
      </c>
      <c r="P448" s="165" t="s">
        <v>16</v>
      </c>
      <c r="Q448" s="165" t="s">
        <v>16</v>
      </c>
      <c r="R448" s="165" t="s">
        <v>16</v>
      </c>
      <c r="S448" s="165" t="s">
        <v>148</v>
      </c>
      <c r="T448" s="165" t="s">
        <v>148</v>
      </c>
      <c r="U448" s="165" t="s">
        <v>16</v>
      </c>
      <c r="V448" s="165" t="s">
        <v>148</v>
      </c>
      <c r="W448" s="165" t="s">
        <v>16</v>
      </c>
      <c r="X448" s="165" t="s">
        <v>16</v>
      </c>
      <c r="Y448" s="165" t="s">
        <v>148</v>
      </c>
      <c r="Z448" s="165" t="s">
        <v>16</v>
      </c>
      <c r="AA448" s="165" t="s">
        <v>148</v>
      </c>
      <c r="AB448" s="165" t="s">
        <v>16</v>
      </c>
      <c r="AC448" s="165" t="s">
        <v>148</v>
      </c>
      <c r="AD448" s="165" t="s">
        <v>148</v>
      </c>
      <c r="AE448" s="165" t="s">
        <v>837</v>
      </c>
      <c r="AF448" s="165"/>
    </row>
    <row r="449" spans="1:32" x14ac:dyDescent="0.3">
      <c r="A449" s="165" t="s">
        <v>875</v>
      </c>
      <c r="B449" s="165" t="s">
        <v>14</v>
      </c>
      <c r="C449" s="165" t="s">
        <v>829</v>
      </c>
      <c r="D449" s="165" t="s">
        <v>15</v>
      </c>
      <c r="E449" s="157">
        <v>40846</v>
      </c>
      <c r="F449" s="165" t="s">
        <v>16</v>
      </c>
      <c r="G449" s="165" t="s">
        <v>149</v>
      </c>
      <c r="H449" s="165" t="s">
        <v>149</v>
      </c>
      <c r="I449" s="165" t="s">
        <v>16</v>
      </c>
      <c r="J449" s="165" t="s">
        <v>149</v>
      </c>
      <c r="K449" s="165" t="s">
        <v>16</v>
      </c>
      <c r="L449" s="165" t="s">
        <v>16</v>
      </c>
      <c r="M449" s="165" t="s">
        <v>16</v>
      </c>
      <c r="N449" s="165" t="s">
        <v>16</v>
      </c>
      <c r="O449" s="165" t="s">
        <v>16</v>
      </c>
      <c r="P449" s="165" t="s">
        <v>16</v>
      </c>
      <c r="Q449" s="165" t="s">
        <v>16</v>
      </c>
      <c r="R449" s="165" t="s">
        <v>16</v>
      </c>
      <c r="S449" s="165" t="s">
        <v>16</v>
      </c>
      <c r="T449" s="165" t="s">
        <v>16</v>
      </c>
      <c r="U449" s="165" t="s">
        <v>16</v>
      </c>
      <c r="V449" s="165" t="s">
        <v>16</v>
      </c>
      <c r="W449" s="165" t="s">
        <v>16</v>
      </c>
      <c r="X449" s="165" t="s">
        <v>16</v>
      </c>
      <c r="Y449" s="165" t="s">
        <v>16</v>
      </c>
      <c r="Z449" s="165" t="s">
        <v>16</v>
      </c>
      <c r="AA449" s="165" t="s">
        <v>16</v>
      </c>
      <c r="AB449" s="165" t="s">
        <v>16</v>
      </c>
      <c r="AC449" s="165" t="s">
        <v>16</v>
      </c>
      <c r="AD449" s="165" t="s">
        <v>16</v>
      </c>
      <c r="AE449" s="165" t="s">
        <v>830</v>
      </c>
      <c r="AF449" s="165"/>
    </row>
    <row r="450" spans="1:32" x14ac:dyDescent="0.3">
      <c r="A450" s="165" t="s">
        <v>876</v>
      </c>
      <c r="B450" s="165" t="s">
        <v>14</v>
      </c>
      <c r="C450" s="165" t="s">
        <v>829</v>
      </c>
      <c r="D450" s="165" t="s">
        <v>15</v>
      </c>
      <c r="E450" s="157">
        <v>40846</v>
      </c>
      <c r="F450" s="165" t="s">
        <v>16</v>
      </c>
      <c r="G450" s="165" t="s">
        <v>16</v>
      </c>
      <c r="H450" s="165" t="s">
        <v>16</v>
      </c>
      <c r="I450" s="165" t="s">
        <v>16</v>
      </c>
      <c r="J450" s="165" t="s">
        <v>16</v>
      </c>
      <c r="K450" s="165" t="s">
        <v>16</v>
      </c>
      <c r="L450" s="165" t="s">
        <v>16</v>
      </c>
      <c r="M450" s="165" t="s">
        <v>16</v>
      </c>
      <c r="N450" s="165" t="s">
        <v>16</v>
      </c>
      <c r="O450" s="165" t="s">
        <v>16</v>
      </c>
      <c r="P450" s="165" t="s">
        <v>16</v>
      </c>
      <c r="Q450" s="165" t="s">
        <v>16</v>
      </c>
      <c r="R450" s="165" t="s">
        <v>16</v>
      </c>
      <c r="S450" s="165" t="s">
        <v>16</v>
      </c>
      <c r="T450" s="165" t="s">
        <v>16</v>
      </c>
      <c r="U450" s="165" t="s">
        <v>16</v>
      </c>
      <c r="V450" s="165" t="s">
        <v>16</v>
      </c>
      <c r="W450" s="165" t="s">
        <v>16</v>
      </c>
      <c r="X450" s="165" t="s">
        <v>16</v>
      </c>
      <c r="Y450" s="165" t="s">
        <v>16</v>
      </c>
      <c r="Z450" s="165" t="s">
        <v>16</v>
      </c>
      <c r="AA450" s="165" t="s">
        <v>16</v>
      </c>
      <c r="AB450" s="165" t="s">
        <v>16</v>
      </c>
      <c r="AC450" s="165" t="s">
        <v>16</v>
      </c>
      <c r="AD450" s="165" t="s">
        <v>16</v>
      </c>
      <c r="AE450" s="165" t="s">
        <v>835</v>
      </c>
      <c r="AF450" s="165"/>
    </row>
    <row r="451" spans="1:32" x14ac:dyDescent="0.3">
      <c r="A451" s="165" t="s">
        <v>877</v>
      </c>
      <c r="B451" s="165" t="s">
        <v>14</v>
      </c>
      <c r="C451" s="165" t="s">
        <v>829</v>
      </c>
      <c r="D451" s="165" t="s">
        <v>15</v>
      </c>
      <c r="E451" s="157">
        <v>40846</v>
      </c>
      <c r="F451" s="165" t="s">
        <v>16</v>
      </c>
      <c r="G451" s="165" t="s">
        <v>16</v>
      </c>
      <c r="H451" s="165" t="s">
        <v>16</v>
      </c>
      <c r="I451" s="165" t="s">
        <v>16</v>
      </c>
      <c r="J451" s="165" t="s">
        <v>16</v>
      </c>
      <c r="K451" s="165" t="s">
        <v>16</v>
      </c>
      <c r="L451" s="165" t="s">
        <v>16</v>
      </c>
      <c r="M451" s="165" t="s">
        <v>16</v>
      </c>
      <c r="N451" s="165" t="s">
        <v>16</v>
      </c>
      <c r="O451" s="165" t="s">
        <v>16</v>
      </c>
      <c r="P451" s="165" t="s">
        <v>16</v>
      </c>
      <c r="Q451" s="165" t="s">
        <v>16</v>
      </c>
      <c r="R451" s="165" t="s">
        <v>16</v>
      </c>
      <c r="S451" s="165" t="s">
        <v>16</v>
      </c>
      <c r="T451" s="165" t="s">
        <v>16</v>
      </c>
      <c r="U451" s="165" t="s">
        <v>16</v>
      </c>
      <c r="V451" s="165" t="s">
        <v>16</v>
      </c>
      <c r="W451" s="165" t="s">
        <v>16</v>
      </c>
      <c r="X451" s="165" t="s">
        <v>16</v>
      </c>
      <c r="Y451" s="165" t="s">
        <v>16</v>
      </c>
      <c r="Z451" s="165" t="s">
        <v>148</v>
      </c>
      <c r="AA451" s="165" t="s">
        <v>16</v>
      </c>
      <c r="AB451" s="165" t="s">
        <v>16</v>
      </c>
      <c r="AC451" s="165" t="s">
        <v>148</v>
      </c>
      <c r="AD451" s="165" t="s">
        <v>16</v>
      </c>
      <c r="AE451" s="165"/>
      <c r="AF451" s="165"/>
    </row>
    <row r="452" spans="1:32" x14ac:dyDescent="0.3">
      <c r="A452" s="165" t="s">
        <v>878</v>
      </c>
      <c r="B452" s="165" t="s">
        <v>14</v>
      </c>
      <c r="C452" s="165" t="s">
        <v>829</v>
      </c>
      <c r="D452" s="165" t="s">
        <v>15</v>
      </c>
      <c r="E452" s="157">
        <v>40846</v>
      </c>
      <c r="F452" s="165" t="s">
        <v>149</v>
      </c>
      <c r="G452" s="165" t="s">
        <v>16</v>
      </c>
      <c r="H452" s="165" t="s">
        <v>16</v>
      </c>
      <c r="I452" s="165" t="s">
        <v>149</v>
      </c>
      <c r="J452" s="165" t="s">
        <v>148</v>
      </c>
      <c r="K452" s="165" t="s">
        <v>149</v>
      </c>
      <c r="L452" s="165" t="s">
        <v>149</v>
      </c>
      <c r="M452" s="165" t="s">
        <v>16</v>
      </c>
      <c r="N452" s="165" t="s">
        <v>16</v>
      </c>
      <c r="O452" s="165" t="s">
        <v>148</v>
      </c>
      <c r="P452" s="165" t="s">
        <v>16</v>
      </c>
      <c r="Q452" s="165" t="s">
        <v>16</v>
      </c>
      <c r="R452" s="165" t="s">
        <v>16</v>
      </c>
      <c r="S452" s="165" t="s">
        <v>148</v>
      </c>
      <c r="T452" s="165" t="s">
        <v>16</v>
      </c>
      <c r="U452" s="165" t="s">
        <v>148</v>
      </c>
      <c r="V452" s="165" t="s">
        <v>16</v>
      </c>
      <c r="W452" s="165" t="s">
        <v>16</v>
      </c>
      <c r="X452" s="165" t="s">
        <v>16</v>
      </c>
      <c r="Y452" s="165" t="s">
        <v>16</v>
      </c>
      <c r="Z452" s="165" t="s">
        <v>16</v>
      </c>
      <c r="AA452" s="165" t="s">
        <v>16</v>
      </c>
      <c r="AB452" s="165" t="s">
        <v>148</v>
      </c>
      <c r="AC452" s="165" t="s">
        <v>148</v>
      </c>
      <c r="AD452" s="165" t="s">
        <v>149</v>
      </c>
      <c r="AE452" s="165" t="s">
        <v>842</v>
      </c>
      <c r="AF452" s="165" t="s">
        <v>879</v>
      </c>
    </row>
    <row r="453" spans="1:32" x14ac:dyDescent="0.3">
      <c r="A453" s="165" t="s">
        <v>880</v>
      </c>
      <c r="B453" s="165" t="s">
        <v>14</v>
      </c>
      <c r="C453" s="165" t="s">
        <v>829</v>
      </c>
      <c r="D453" s="165" t="s">
        <v>15</v>
      </c>
      <c r="E453" s="157">
        <v>40846</v>
      </c>
      <c r="F453" s="165" t="s">
        <v>16</v>
      </c>
      <c r="G453" s="165" t="s">
        <v>16</v>
      </c>
      <c r="H453" s="165" t="s">
        <v>16</v>
      </c>
      <c r="I453" s="165" t="s">
        <v>16</v>
      </c>
      <c r="J453" s="165" t="s">
        <v>16</v>
      </c>
      <c r="K453" s="165" t="s">
        <v>16</v>
      </c>
      <c r="L453" s="165" t="s">
        <v>16</v>
      </c>
      <c r="M453" s="165" t="s">
        <v>16</v>
      </c>
      <c r="N453" s="165" t="s">
        <v>16</v>
      </c>
      <c r="O453" s="165" t="s">
        <v>16</v>
      </c>
      <c r="P453" s="165" t="s">
        <v>16</v>
      </c>
      <c r="Q453" s="165" t="s">
        <v>16</v>
      </c>
      <c r="R453" s="165" t="s">
        <v>16</v>
      </c>
      <c r="S453" s="165" t="s">
        <v>16</v>
      </c>
      <c r="T453" s="165" t="s">
        <v>16</v>
      </c>
      <c r="U453" s="165" t="s">
        <v>16</v>
      </c>
      <c r="V453" s="165" t="s">
        <v>16</v>
      </c>
      <c r="W453" s="165" t="s">
        <v>16</v>
      </c>
      <c r="X453" s="165" t="s">
        <v>16</v>
      </c>
      <c r="Y453" s="165" t="s">
        <v>16</v>
      </c>
      <c r="Z453" s="165" t="s">
        <v>16</v>
      </c>
      <c r="AA453" s="165" t="s">
        <v>16</v>
      </c>
      <c r="AB453" s="165" t="s">
        <v>16</v>
      </c>
      <c r="AC453" s="165" t="s">
        <v>16</v>
      </c>
      <c r="AD453" s="165" t="s">
        <v>16</v>
      </c>
      <c r="AE453" s="165" t="s">
        <v>830</v>
      </c>
      <c r="AF453" s="165"/>
    </row>
    <row r="454" spans="1:32" x14ac:dyDescent="0.3">
      <c r="A454" s="165" t="s">
        <v>881</v>
      </c>
      <c r="B454" s="165" t="s">
        <v>14</v>
      </c>
      <c r="C454" s="165" t="s">
        <v>829</v>
      </c>
      <c r="D454" s="165" t="s">
        <v>15</v>
      </c>
      <c r="E454" s="157">
        <v>40846</v>
      </c>
      <c r="F454" s="165" t="s">
        <v>16</v>
      </c>
      <c r="G454" s="165" t="s">
        <v>16</v>
      </c>
      <c r="H454" s="165" t="s">
        <v>16</v>
      </c>
      <c r="I454" s="165" t="s">
        <v>16</v>
      </c>
      <c r="J454" s="165" t="s">
        <v>16</v>
      </c>
      <c r="K454" s="165" t="s">
        <v>16</v>
      </c>
      <c r="L454" s="165" t="s">
        <v>16</v>
      </c>
      <c r="M454" s="165" t="s">
        <v>16</v>
      </c>
      <c r="N454" s="165" t="s">
        <v>16</v>
      </c>
      <c r="O454" s="165" t="s">
        <v>16</v>
      </c>
      <c r="P454" s="165" t="s">
        <v>16</v>
      </c>
      <c r="Q454" s="165" t="s">
        <v>16</v>
      </c>
      <c r="R454" s="165" t="s">
        <v>16</v>
      </c>
      <c r="S454" s="165" t="s">
        <v>16</v>
      </c>
      <c r="T454" s="165" t="s">
        <v>16</v>
      </c>
      <c r="U454" s="165" t="s">
        <v>16</v>
      </c>
      <c r="V454" s="165" t="s">
        <v>16</v>
      </c>
      <c r="W454" s="165" t="s">
        <v>16</v>
      </c>
      <c r="X454" s="165" t="s">
        <v>16</v>
      </c>
      <c r="Y454" s="165" t="s">
        <v>16</v>
      </c>
      <c r="Z454" s="165" t="s">
        <v>16</v>
      </c>
      <c r="AA454" s="165" t="s">
        <v>16</v>
      </c>
      <c r="AB454" s="165" t="s">
        <v>16</v>
      </c>
      <c r="AC454" s="165" t="s">
        <v>16</v>
      </c>
      <c r="AD454" s="165" t="s">
        <v>16</v>
      </c>
      <c r="AE454" s="165" t="s">
        <v>882</v>
      </c>
      <c r="AF454" s="165"/>
    </row>
    <row r="455" spans="1:32" x14ac:dyDescent="0.3">
      <c r="A455" s="165" t="s">
        <v>883</v>
      </c>
      <c r="B455" s="165" t="s">
        <v>14</v>
      </c>
      <c r="C455" s="165" t="s">
        <v>829</v>
      </c>
      <c r="D455" s="165" t="s">
        <v>15</v>
      </c>
      <c r="E455" s="157">
        <v>40846</v>
      </c>
      <c r="F455" s="165" t="s">
        <v>16</v>
      </c>
      <c r="G455" s="165" t="s">
        <v>16</v>
      </c>
      <c r="H455" s="165" t="s">
        <v>16</v>
      </c>
      <c r="I455" s="165" t="s">
        <v>16</v>
      </c>
      <c r="J455" s="165" t="s">
        <v>16</v>
      </c>
      <c r="K455" s="165" t="s">
        <v>16</v>
      </c>
      <c r="L455" s="165" t="s">
        <v>16</v>
      </c>
      <c r="M455" s="165" t="s">
        <v>16</v>
      </c>
      <c r="N455" s="165" t="s">
        <v>148</v>
      </c>
      <c r="O455" s="165" t="s">
        <v>16</v>
      </c>
      <c r="P455" s="165" t="s">
        <v>16</v>
      </c>
      <c r="Q455" s="165" t="s">
        <v>16</v>
      </c>
      <c r="R455" s="165" t="s">
        <v>16</v>
      </c>
      <c r="S455" s="165" t="s">
        <v>16</v>
      </c>
      <c r="T455" s="165" t="s">
        <v>148</v>
      </c>
      <c r="U455" s="165" t="s">
        <v>16</v>
      </c>
      <c r="V455" s="165" t="s">
        <v>16</v>
      </c>
      <c r="W455" s="165" t="s">
        <v>16</v>
      </c>
      <c r="X455" s="165" t="s">
        <v>16</v>
      </c>
      <c r="Y455" s="165" t="s">
        <v>16</v>
      </c>
      <c r="Z455" s="165" t="s">
        <v>16</v>
      </c>
      <c r="AA455" s="165" t="s">
        <v>16</v>
      </c>
      <c r="AB455" s="165" t="s">
        <v>16</v>
      </c>
      <c r="AC455" s="165" t="s">
        <v>16</v>
      </c>
      <c r="AD455" s="165" t="s">
        <v>16</v>
      </c>
      <c r="AE455" s="165"/>
      <c r="AF455" s="165"/>
    </row>
    <row r="456" spans="1:32" x14ac:dyDescent="0.3">
      <c r="A456" s="165" t="s">
        <v>884</v>
      </c>
      <c r="B456" s="165" t="s">
        <v>14</v>
      </c>
      <c r="C456" s="165" t="s">
        <v>829</v>
      </c>
      <c r="D456" s="165" t="s">
        <v>15</v>
      </c>
      <c r="E456" s="157">
        <v>40846</v>
      </c>
      <c r="F456" s="165" t="s">
        <v>148</v>
      </c>
      <c r="G456" s="165" t="s">
        <v>148</v>
      </c>
      <c r="H456" s="165" t="s">
        <v>16</v>
      </c>
      <c r="I456" s="165" t="s">
        <v>148</v>
      </c>
      <c r="J456" s="165" t="s">
        <v>16</v>
      </c>
      <c r="K456" s="165" t="s">
        <v>148</v>
      </c>
      <c r="L456" s="165" t="s">
        <v>16</v>
      </c>
      <c r="M456" s="165" t="s">
        <v>16</v>
      </c>
      <c r="N456" s="165" t="s">
        <v>148</v>
      </c>
      <c r="O456" s="165" t="s">
        <v>148</v>
      </c>
      <c r="P456" s="165" t="s">
        <v>16</v>
      </c>
      <c r="Q456" s="165" t="s">
        <v>16</v>
      </c>
      <c r="R456" s="165" t="s">
        <v>148</v>
      </c>
      <c r="S456" s="165" t="s">
        <v>148</v>
      </c>
      <c r="T456" s="165" t="s">
        <v>16</v>
      </c>
      <c r="U456" s="165" t="s">
        <v>148</v>
      </c>
      <c r="V456" s="165" t="s">
        <v>148</v>
      </c>
      <c r="W456" s="165" t="s">
        <v>16</v>
      </c>
      <c r="X456" s="165" t="s">
        <v>16</v>
      </c>
      <c r="Y456" s="165" t="s">
        <v>16</v>
      </c>
      <c r="Z456" s="165" t="s">
        <v>16</v>
      </c>
      <c r="AA456" s="165" t="s">
        <v>16</v>
      </c>
      <c r="AB456" s="165" t="s">
        <v>148</v>
      </c>
      <c r="AC456" s="165" t="s">
        <v>16</v>
      </c>
      <c r="AD456" s="165" t="s">
        <v>16</v>
      </c>
      <c r="AE456" s="165" t="s">
        <v>837</v>
      </c>
      <c r="AF456" s="165"/>
    </row>
    <row r="457" spans="1:32" x14ac:dyDescent="0.3">
      <c r="A457" s="165" t="s">
        <v>885</v>
      </c>
      <c r="B457" s="165" t="s">
        <v>14</v>
      </c>
      <c r="C457" s="165" t="s">
        <v>829</v>
      </c>
      <c r="D457" s="165" t="s">
        <v>15</v>
      </c>
      <c r="E457" s="157">
        <v>40846</v>
      </c>
      <c r="F457" s="165" t="s">
        <v>16</v>
      </c>
      <c r="G457" s="165" t="s">
        <v>16</v>
      </c>
      <c r="H457" s="165" t="s">
        <v>16</v>
      </c>
      <c r="I457" s="165" t="s">
        <v>16</v>
      </c>
      <c r="J457" s="165" t="s">
        <v>16</v>
      </c>
      <c r="K457" s="165" t="s">
        <v>16</v>
      </c>
      <c r="L457" s="165" t="s">
        <v>16</v>
      </c>
      <c r="M457" s="165" t="s">
        <v>16</v>
      </c>
      <c r="N457" s="165" t="s">
        <v>16</v>
      </c>
      <c r="O457" s="165" t="s">
        <v>16</v>
      </c>
      <c r="P457" s="165" t="s">
        <v>16</v>
      </c>
      <c r="Q457" s="165" t="s">
        <v>16</v>
      </c>
      <c r="R457" s="165" t="s">
        <v>16</v>
      </c>
      <c r="S457" s="165" t="s">
        <v>16</v>
      </c>
      <c r="T457" s="165" t="s">
        <v>16</v>
      </c>
      <c r="U457" s="165" t="s">
        <v>16</v>
      </c>
      <c r="V457" s="165" t="s">
        <v>16</v>
      </c>
      <c r="W457" s="165" t="s">
        <v>16</v>
      </c>
      <c r="X457" s="165" t="s">
        <v>16</v>
      </c>
      <c r="Y457" s="165" t="s">
        <v>16</v>
      </c>
      <c r="Z457" s="165" t="s">
        <v>16</v>
      </c>
      <c r="AA457" s="165" t="s">
        <v>16</v>
      </c>
      <c r="AB457" s="165" t="s">
        <v>16</v>
      </c>
      <c r="AC457" s="165" t="s">
        <v>16</v>
      </c>
      <c r="AD457" s="165" t="s">
        <v>16</v>
      </c>
      <c r="AE457" s="165" t="s">
        <v>837</v>
      </c>
      <c r="AF457" s="165"/>
    </row>
    <row r="458" spans="1:32" x14ac:dyDescent="0.3">
      <c r="A458" s="165" t="s">
        <v>886</v>
      </c>
      <c r="B458" s="165" t="s">
        <v>14</v>
      </c>
      <c r="C458" s="165" t="s">
        <v>829</v>
      </c>
      <c r="D458" s="165" t="s">
        <v>15</v>
      </c>
      <c r="E458" s="157">
        <v>40846</v>
      </c>
      <c r="F458" s="165" t="s">
        <v>148</v>
      </c>
      <c r="G458" s="165" t="s">
        <v>16</v>
      </c>
      <c r="H458" s="165" t="s">
        <v>148</v>
      </c>
      <c r="I458" s="165" t="s">
        <v>16</v>
      </c>
      <c r="J458" s="165" t="s">
        <v>16</v>
      </c>
      <c r="K458" s="165" t="s">
        <v>16</v>
      </c>
      <c r="L458" s="165" t="s">
        <v>16</v>
      </c>
      <c r="M458" s="165" t="s">
        <v>148</v>
      </c>
      <c r="N458" s="165" t="s">
        <v>16</v>
      </c>
      <c r="O458" s="165" t="s">
        <v>16</v>
      </c>
      <c r="P458" s="165" t="s">
        <v>16</v>
      </c>
      <c r="Q458" s="165" t="s">
        <v>16</v>
      </c>
      <c r="R458" s="165" t="s">
        <v>148</v>
      </c>
      <c r="S458" s="165" t="s">
        <v>148</v>
      </c>
      <c r="T458" s="165" t="s">
        <v>16</v>
      </c>
      <c r="U458" s="165" t="s">
        <v>16</v>
      </c>
      <c r="V458" s="165" t="s">
        <v>16</v>
      </c>
      <c r="W458" s="165" t="s">
        <v>148</v>
      </c>
      <c r="X458" s="165" t="s">
        <v>16</v>
      </c>
      <c r="Y458" s="165" t="s">
        <v>16</v>
      </c>
      <c r="Z458" s="165" t="s">
        <v>148</v>
      </c>
      <c r="AA458" s="165" t="s">
        <v>148</v>
      </c>
      <c r="AB458" s="165" t="s">
        <v>16</v>
      </c>
      <c r="AC458" s="165" t="s">
        <v>148</v>
      </c>
      <c r="AD458" s="165" t="s">
        <v>148</v>
      </c>
      <c r="AE458" s="165" t="s">
        <v>830</v>
      </c>
      <c r="AF458" s="165"/>
    </row>
    <row r="460" spans="1:32" x14ac:dyDescent="0.3">
      <c r="A460" s="165"/>
      <c r="B460" s="165"/>
      <c r="C460" s="165"/>
      <c r="D460" s="165"/>
      <c r="E460" s="165"/>
      <c r="F460" s="165" t="s">
        <v>124</v>
      </c>
      <c r="G460" s="165" t="s">
        <v>125</v>
      </c>
      <c r="H460" s="165" t="s">
        <v>126</v>
      </c>
      <c r="I460" s="165" t="s">
        <v>127</v>
      </c>
      <c r="J460" s="165" t="s">
        <v>214</v>
      </c>
      <c r="K460" s="165" t="s">
        <v>128</v>
      </c>
      <c r="L460" s="165" t="s">
        <v>129</v>
      </c>
      <c r="M460" s="165" t="s">
        <v>130</v>
      </c>
      <c r="N460" s="165" t="s">
        <v>131</v>
      </c>
      <c r="O460" s="165" t="s">
        <v>132</v>
      </c>
      <c r="P460" s="165" t="s">
        <v>133</v>
      </c>
      <c r="Q460" s="165" t="s">
        <v>134</v>
      </c>
      <c r="R460" s="165" t="s">
        <v>135</v>
      </c>
      <c r="S460" s="165" t="s">
        <v>136</v>
      </c>
      <c r="T460" s="165" t="s">
        <v>137</v>
      </c>
      <c r="U460" s="165" t="s">
        <v>138</v>
      </c>
      <c r="V460" s="165" t="s">
        <v>139</v>
      </c>
      <c r="W460" s="165" t="s">
        <v>140</v>
      </c>
      <c r="X460" s="165" t="s">
        <v>186</v>
      </c>
      <c r="Y460" s="165" t="s">
        <v>209</v>
      </c>
      <c r="Z460" s="165" t="s">
        <v>141</v>
      </c>
      <c r="AA460" s="165" t="s">
        <v>142</v>
      </c>
      <c r="AB460" s="165" t="s">
        <v>210</v>
      </c>
      <c r="AC460" s="165" t="s">
        <v>143</v>
      </c>
      <c r="AD460" s="165" t="s">
        <v>144</v>
      </c>
      <c r="AE460" s="165" t="s">
        <v>887</v>
      </c>
      <c r="AF460" s="165" t="s">
        <v>190</v>
      </c>
    </row>
    <row r="461" spans="1:32" x14ac:dyDescent="0.3">
      <c r="A461" s="165" t="s">
        <v>888</v>
      </c>
      <c r="B461" s="165" t="s">
        <v>14</v>
      </c>
      <c r="C461" s="165" t="s">
        <v>889</v>
      </c>
      <c r="D461" s="165" t="s">
        <v>15</v>
      </c>
      <c r="E461" s="157">
        <v>40876</v>
      </c>
      <c r="F461" s="165" t="s">
        <v>16</v>
      </c>
      <c r="G461" s="165" t="s">
        <v>16</v>
      </c>
      <c r="H461" s="165" t="s">
        <v>16</v>
      </c>
      <c r="I461" s="165" t="s">
        <v>16</v>
      </c>
      <c r="J461" s="165" t="s">
        <v>16</v>
      </c>
      <c r="K461" s="165" t="s">
        <v>16</v>
      </c>
      <c r="L461" s="165" t="s">
        <v>16</v>
      </c>
      <c r="M461" s="165" t="s">
        <v>16</v>
      </c>
      <c r="N461" s="165" t="s">
        <v>148</v>
      </c>
      <c r="O461" s="165" t="s">
        <v>148</v>
      </c>
      <c r="P461" s="165" t="s">
        <v>148</v>
      </c>
      <c r="Q461" s="165" t="s">
        <v>148</v>
      </c>
      <c r="R461" s="165" t="s">
        <v>148</v>
      </c>
      <c r="S461" s="165" t="s">
        <v>16</v>
      </c>
      <c r="T461" s="165" t="s">
        <v>16</v>
      </c>
      <c r="U461" s="165" t="s">
        <v>16</v>
      </c>
      <c r="V461" s="165" t="s">
        <v>16</v>
      </c>
      <c r="W461" s="165" t="s">
        <v>16</v>
      </c>
      <c r="X461" s="165" t="s">
        <v>16</v>
      </c>
      <c r="Y461" s="165" t="s">
        <v>16</v>
      </c>
      <c r="Z461" s="165" t="s">
        <v>148</v>
      </c>
      <c r="AA461" s="165" t="s">
        <v>148</v>
      </c>
      <c r="AB461" s="165" t="s">
        <v>148</v>
      </c>
      <c r="AC461" s="165" t="s">
        <v>148</v>
      </c>
      <c r="AD461" s="165" t="s">
        <v>148</v>
      </c>
      <c r="AE461" s="165" t="s">
        <v>890</v>
      </c>
      <c r="AF461" s="165"/>
    </row>
    <row r="462" spans="1:32" x14ac:dyDescent="0.3">
      <c r="A462" s="165" t="s">
        <v>891</v>
      </c>
      <c r="B462" s="165" t="s">
        <v>14</v>
      </c>
      <c r="C462" s="165" t="s">
        <v>889</v>
      </c>
      <c r="D462" s="165" t="s">
        <v>15</v>
      </c>
      <c r="E462" s="157">
        <v>40876</v>
      </c>
      <c r="F462" s="165" t="s">
        <v>16</v>
      </c>
      <c r="G462" s="165" t="s">
        <v>16</v>
      </c>
      <c r="H462" s="165" t="s">
        <v>16</v>
      </c>
      <c r="I462" s="165" t="s">
        <v>16</v>
      </c>
      <c r="J462" s="165" t="s">
        <v>16</v>
      </c>
      <c r="K462" s="165" t="s">
        <v>16</v>
      </c>
      <c r="L462" s="165" t="s">
        <v>16</v>
      </c>
      <c r="M462" s="165" t="s">
        <v>16</v>
      </c>
      <c r="N462" s="165" t="s">
        <v>16</v>
      </c>
      <c r="O462" s="165" t="s">
        <v>16</v>
      </c>
      <c r="P462" s="165" t="s">
        <v>16</v>
      </c>
      <c r="Q462" s="165" t="s">
        <v>16</v>
      </c>
      <c r="R462" s="165" t="s">
        <v>16</v>
      </c>
      <c r="S462" s="165" t="s">
        <v>16</v>
      </c>
      <c r="T462" s="165" t="s">
        <v>16</v>
      </c>
      <c r="U462" s="165" t="s">
        <v>16</v>
      </c>
      <c r="V462" s="165" t="s">
        <v>16</v>
      </c>
      <c r="W462" s="165" t="s">
        <v>16</v>
      </c>
      <c r="X462" s="165" t="s">
        <v>16</v>
      </c>
      <c r="Y462" s="165" t="s">
        <v>16</v>
      </c>
      <c r="Z462" s="165" t="s">
        <v>16</v>
      </c>
      <c r="AA462" s="165" t="s">
        <v>16</v>
      </c>
      <c r="AB462" s="165" t="s">
        <v>16</v>
      </c>
      <c r="AC462" s="165" t="s">
        <v>16</v>
      </c>
      <c r="AD462" s="165" t="s">
        <v>16</v>
      </c>
      <c r="AE462" s="165" t="s">
        <v>892</v>
      </c>
      <c r="AF462" s="165"/>
    </row>
    <row r="463" spans="1:32" x14ac:dyDescent="0.3">
      <c r="A463" s="165" t="s">
        <v>893</v>
      </c>
      <c r="B463" s="165" t="s">
        <v>14</v>
      </c>
      <c r="C463" s="165" t="s">
        <v>889</v>
      </c>
      <c r="D463" s="165" t="s">
        <v>15</v>
      </c>
      <c r="E463" s="157">
        <v>40876</v>
      </c>
      <c r="F463" s="165" t="s">
        <v>148</v>
      </c>
      <c r="G463" s="165" t="s">
        <v>16</v>
      </c>
      <c r="H463" s="165" t="s">
        <v>148</v>
      </c>
      <c r="I463" s="165" t="s">
        <v>16</v>
      </c>
      <c r="J463" s="165" t="s">
        <v>148</v>
      </c>
      <c r="K463" s="165" t="s">
        <v>150</v>
      </c>
      <c r="L463" s="165" t="s">
        <v>150</v>
      </c>
      <c r="M463" s="165" t="s">
        <v>16</v>
      </c>
      <c r="N463" s="165" t="s">
        <v>148</v>
      </c>
      <c r="O463" s="165" t="s">
        <v>150</v>
      </c>
      <c r="P463" s="165" t="s">
        <v>16</v>
      </c>
      <c r="Q463" s="165" t="s">
        <v>16</v>
      </c>
      <c r="R463" s="165" t="s">
        <v>16</v>
      </c>
      <c r="S463" s="165" t="s">
        <v>16</v>
      </c>
      <c r="T463" s="165" t="s">
        <v>16</v>
      </c>
      <c r="U463" s="165" t="s">
        <v>16</v>
      </c>
      <c r="V463" s="165" t="s">
        <v>16</v>
      </c>
      <c r="W463" s="165" t="s">
        <v>148</v>
      </c>
      <c r="X463" s="165" t="s">
        <v>148</v>
      </c>
      <c r="Y463" s="165" t="s">
        <v>148</v>
      </c>
      <c r="Z463" s="165" t="s">
        <v>148</v>
      </c>
      <c r="AA463" s="165" t="s">
        <v>148</v>
      </c>
      <c r="AB463" s="165" t="s">
        <v>151</v>
      </c>
      <c r="AC463" s="165" t="s">
        <v>150</v>
      </c>
      <c r="AD463" s="165" t="s">
        <v>16</v>
      </c>
      <c r="AE463" s="165" t="s">
        <v>894</v>
      </c>
      <c r="AF463" s="165"/>
    </row>
    <row r="464" spans="1:32" x14ac:dyDescent="0.3">
      <c r="A464" s="165" t="s">
        <v>895</v>
      </c>
      <c r="B464" s="165" t="s">
        <v>14</v>
      </c>
      <c r="C464" s="165" t="s">
        <v>889</v>
      </c>
      <c r="D464" s="165" t="s">
        <v>15</v>
      </c>
      <c r="E464" s="157">
        <v>40876</v>
      </c>
      <c r="F464" s="165" t="s">
        <v>16</v>
      </c>
      <c r="G464" s="165" t="s">
        <v>16</v>
      </c>
      <c r="H464" s="165" t="s">
        <v>16</v>
      </c>
      <c r="I464" s="165" t="s">
        <v>16</v>
      </c>
      <c r="J464" s="165" t="s">
        <v>16</v>
      </c>
      <c r="K464" s="165" t="s">
        <v>16</v>
      </c>
      <c r="L464" s="165" t="s">
        <v>16</v>
      </c>
      <c r="M464" s="165" t="s">
        <v>16</v>
      </c>
      <c r="N464" s="165" t="s">
        <v>16</v>
      </c>
      <c r="O464" s="165" t="s">
        <v>16</v>
      </c>
      <c r="P464" s="165" t="s">
        <v>16</v>
      </c>
      <c r="Q464" s="165" t="s">
        <v>16</v>
      </c>
      <c r="R464" s="165" t="s">
        <v>16</v>
      </c>
      <c r="S464" s="165" t="s">
        <v>16</v>
      </c>
      <c r="T464" s="165" t="s">
        <v>16</v>
      </c>
      <c r="U464" s="165" t="s">
        <v>16</v>
      </c>
      <c r="V464" s="165" t="s">
        <v>16</v>
      </c>
      <c r="W464" s="165" t="s">
        <v>16</v>
      </c>
      <c r="X464" s="165" t="s">
        <v>16</v>
      </c>
      <c r="Y464" s="165" t="s">
        <v>16</v>
      </c>
      <c r="Z464" s="165" t="s">
        <v>16</v>
      </c>
      <c r="AA464" s="165" t="s">
        <v>16</v>
      </c>
      <c r="AB464" s="165" t="s">
        <v>16</v>
      </c>
      <c r="AC464" s="165" t="s">
        <v>16</v>
      </c>
      <c r="AD464" s="165" t="s">
        <v>16</v>
      </c>
      <c r="AE464" s="165" t="s">
        <v>896</v>
      </c>
      <c r="AF464" s="165"/>
    </row>
    <row r="465" spans="1:32" x14ac:dyDescent="0.3">
      <c r="A465" s="165" t="s">
        <v>897</v>
      </c>
      <c r="B465" s="165" t="s">
        <v>14</v>
      </c>
      <c r="C465" s="165" t="s">
        <v>889</v>
      </c>
      <c r="D465" s="165" t="s">
        <v>15</v>
      </c>
      <c r="E465" s="157">
        <v>40876</v>
      </c>
      <c r="F465" s="165" t="s">
        <v>148</v>
      </c>
      <c r="G465" s="165" t="s">
        <v>16</v>
      </c>
      <c r="H465" s="165" t="s">
        <v>16</v>
      </c>
      <c r="I465" s="165" t="s">
        <v>148</v>
      </c>
      <c r="J465" s="165" t="s">
        <v>148</v>
      </c>
      <c r="K465" s="165" t="s">
        <v>148</v>
      </c>
      <c r="L465" s="165" t="s">
        <v>16</v>
      </c>
      <c r="M465" s="165" t="s">
        <v>16</v>
      </c>
      <c r="N465" s="165" t="s">
        <v>148</v>
      </c>
      <c r="O465" s="165" t="s">
        <v>148</v>
      </c>
      <c r="P465" s="165" t="s">
        <v>148</v>
      </c>
      <c r="Q465" s="165" t="s">
        <v>16</v>
      </c>
      <c r="R465" s="165" t="s">
        <v>16</v>
      </c>
      <c r="S465" s="165" t="s">
        <v>148</v>
      </c>
      <c r="T465" s="165" t="s">
        <v>148</v>
      </c>
      <c r="U465" s="165" t="s">
        <v>148</v>
      </c>
      <c r="V465" s="165" t="s">
        <v>148</v>
      </c>
      <c r="W465" s="165" t="s">
        <v>16</v>
      </c>
      <c r="X465" s="165" t="s">
        <v>16</v>
      </c>
      <c r="Y465" s="165" t="s">
        <v>114</v>
      </c>
      <c r="Z465" s="165" t="s">
        <v>16</v>
      </c>
      <c r="AA465" s="165" t="s">
        <v>16</v>
      </c>
      <c r="AB465" s="165" t="s">
        <v>16</v>
      </c>
      <c r="AC465" s="165" t="s">
        <v>16</v>
      </c>
      <c r="AD465" s="165" t="s">
        <v>16</v>
      </c>
      <c r="AE465" s="165" t="s">
        <v>898</v>
      </c>
      <c r="AF465" s="165"/>
    </row>
    <row r="466" spans="1:32" x14ac:dyDescent="0.3">
      <c r="A466" s="165" t="s">
        <v>899</v>
      </c>
      <c r="B466" s="165" t="s">
        <v>14</v>
      </c>
      <c r="C466" s="165" t="s">
        <v>889</v>
      </c>
      <c r="D466" s="165" t="s">
        <v>15</v>
      </c>
      <c r="E466" s="157">
        <v>40876</v>
      </c>
      <c r="F466" s="165" t="s">
        <v>149</v>
      </c>
      <c r="G466" s="165" t="s">
        <v>149</v>
      </c>
      <c r="H466" s="165" t="s">
        <v>149</v>
      </c>
      <c r="I466" s="165" t="s">
        <v>149</v>
      </c>
      <c r="J466" s="165" t="s">
        <v>16</v>
      </c>
      <c r="K466" s="165" t="s">
        <v>149</v>
      </c>
      <c r="L466" s="165" t="s">
        <v>149</v>
      </c>
      <c r="M466" s="165" t="s">
        <v>149</v>
      </c>
      <c r="N466" s="165" t="s">
        <v>149</v>
      </c>
      <c r="O466" s="165" t="s">
        <v>148</v>
      </c>
      <c r="P466" s="165" t="s">
        <v>149</v>
      </c>
      <c r="Q466" s="165" t="s">
        <v>149</v>
      </c>
      <c r="R466" s="165" t="s">
        <v>149</v>
      </c>
      <c r="S466" s="165" t="s">
        <v>16</v>
      </c>
      <c r="T466" s="165" t="s">
        <v>149</v>
      </c>
      <c r="U466" s="165" t="s">
        <v>149</v>
      </c>
      <c r="V466" s="165" t="s">
        <v>149</v>
      </c>
      <c r="W466" s="165" t="s">
        <v>148</v>
      </c>
      <c r="X466" s="165" t="s">
        <v>148</v>
      </c>
      <c r="Y466" s="165" t="s">
        <v>149</v>
      </c>
      <c r="Z466" s="165" t="s">
        <v>149</v>
      </c>
      <c r="AA466" s="165" t="s">
        <v>149</v>
      </c>
      <c r="AB466" s="165" t="s">
        <v>149</v>
      </c>
      <c r="AC466" s="165" t="s">
        <v>16</v>
      </c>
      <c r="AD466" s="165" t="s">
        <v>16</v>
      </c>
      <c r="AE466" s="165" t="s">
        <v>896</v>
      </c>
      <c r="AF466" s="165"/>
    </row>
    <row r="467" spans="1:32" x14ac:dyDescent="0.3">
      <c r="A467" s="165" t="s">
        <v>900</v>
      </c>
      <c r="B467" s="165" t="s">
        <v>14</v>
      </c>
      <c r="C467" s="165" t="s">
        <v>889</v>
      </c>
      <c r="D467" s="165" t="s">
        <v>15</v>
      </c>
      <c r="E467" s="157">
        <v>40876</v>
      </c>
      <c r="F467" s="165" t="s">
        <v>16</v>
      </c>
      <c r="G467" s="165" t="s">
        <v>148</v>
      </c>
      <c r="H467" s="165" t="s">
        <v>16</v>
      </c>
      <c r="I467" s="165" t="s">
        <v>16</v>
      </c>
      <c r="J467" s="165" t="s">
        <v>148</v>
      </c>
      <c r="K467" s="165" t="s">
        <v>16</v>
      </c>
      <c r="L467" s="165" t="s">
        <v>148</v>
      </c>
      <c r="M467" s="165" t="s">
        <v>16</v>
      </c>
      <c r="N467" s="165" t="s">
        <v>148</v>
      </c>
      <c r="O467" s="165" t="s">
        <v>16</v>
      </c>
      <c r="P467" s="165" t="s">
        <v>16</v>
      </c>
      <c r="Q467" s="165" t="s">
        <v>16</v>
      </c>
      <c r="R467" s="165" t="s">
        <v>16</v>
      </c>
      <c r="S467" s="165" t="s">
        <v>16</v>
      </c>
      <c r="T467" s="165" t="s">
        <v>16</v>
      </c>
      <c r="U467" s="165" t="s">
        <v>16</v>
      </c>
      <c r="V467" s="165" t="s">
        <v>16</v>
      </c>
      <c r="W467" s="165" t="s">
        <v>16</v>
      </c>
      <c r="X467" s="165" t="s">
        <v>16</v>
      </c>
      <c r="Y467" s="165" t="s">
        <v>16</v>
      </c>
      <c r="Z467" s="165" t="s">
        <v>16</v>
      </c>
      <c r="AA467" s="165" t="s">
        <v>16</v>
      </c>
      <c r="AB467" s="165" t="s">
        <v>148</v>
      </c>
      <c r="AC467" s="165" t="s">
        <v>148</v>
      </c>
      <c r="AD467" s="165" t="s">
        <v>16</v>
      </c>
      <c r="AE467" s="165"/>
      <c r="AF467" s="165"/>
    </row>
    <row r="468" spans="1:32" x14ac:dyDescent="0.3">
      <c r="A468" s="165" t="s">
        <v>901</v>
      </c>
      <c r="B468" s="165" t="s">
        <v>14</v>
      </c>
      <c r="C468" s="165" t="s">
        <v>889</v>
      </c>
      <c r="D468" s="165" t="s">
        <v>15</v>
      </c>
      <c r="E468" s="157">
        <v>40876</v>
      </c>
      <c r="F468" s="165" t="s">
        <v>16</v>
      </c>
      <c r="G468" s="165" t="s">
        <v>16</v>
      </c>
      <c r="H468" s="165" t="s">
        <v>16</v>
      </c>
      <c r="I468" s="165" t="s">
        <v>16</v>
      </c>
      <c r="J468" s="165" t="s">
        <v>16</v>
      </c>
      <c r="K468" s="165" t="s">
        <v>16</v>
      </c>
      <c r="L468" s="165" t="s">
        <v>16</v>
      </c>
      <c r="M468" s="165" t="s">
        <v>148</v>
      </c>
      <c r="N468" s="165" t="s">
        <v>16</v>
      </c>
      <c r="O468" s="165" t="s">
        <v>16</v>
      </c>
      <c r="P468" s="165" t="s">
        <v>16</v>
      </c>
      <c r="Q468" s="165" t="s">
        <v>16</v>
      </c>
      <c r="R468" s="165" t="s">
        <v>148</v>
      </c>
      <c r="S468" s="165" t="s">
        <v>16</v>
      </c>
      <c r="T468" s="165" t="s">
        <v>148</v>
      </c>
      <c r="U468" s="165" t="s">
        <v>16</v>
      </c>
      <c r="V468" s="165" t="s">
        <v>16</v>
      </c>
      <c r="W468" s="165" t="s">
        <v>16</v>
      </c>
      <c r="X468" s="165" t="s">
        <v>16</v>
      </c>
      <c r="Y468" s="165" t="s">
        <v>16</v>
      </c>
      <c r="Z468" s="165" t="s">
        <v>16</v>
      </c>
      <c r="AA468" s="165" t="s">
        <v>16</v>
      </c>
      <c r="AB468" s="165" t="s">
        <v>16</v>
      </c>
      <c r="AC468" s="165" t="s">
        <v>16</v>
      </c>
      <c r="AD468" s="165" t="s">
        <v>16</v>
      </c>
      <c r="AE468" s="165" t="s">
        <v>902</v>
      </c>
      <c r="AF468" s="165" t="s">
        <v>903</v>
      </c>
    </row>
    <row r="469" spans="1:32" x14ac:dyDescent="0.3">
      <c r="A469" s="165" t="s">
        <v>904</v>
      </c>
      <c r="B469" s="165" t="s">
        <v>14</v>
      </c>
      <c r="C469" s="165" t="s">
        <v>889</v>
      </c>
      <c r="D469" s="165" t="s">
        <v>15</v>
      </c>
      <c r="E469" s="157">
        <v>40876</v>
      </c>
      <c r="F469" s="165" t="s">
        <v>150</v>
      </c>
      <c r="G469" s="165" t="s">
        <v>16</v>
      </c>
      <c r="H469" s="165" t="s">
        <v>148</v>
      </c>
      <c r="I469" s="165" t="s">
        <v>150</v>
      </c>
      <c r="J469" s="165" t="s">
        <v>150</v>
      </c>
      <c r="K469" s="165" t="s">
        <v>16</v>
      </c>
      <c r="L469" s="165" t="s">
        <v>16</v>
      </c>
      <c r="M469" s="165" t="s">
        <v>16</v>
      </c>
      <c r="N469" s="165" t="s">
        <v>148</v>
      </c>
      <c r="O469" s="165" t="s">
        <v>150</v>
      </c>
      <c r="P469" s="165" t="s">
        <v>150</v>
      </c>
      <c r="Q469" s="165" t="s">
        <v>16</v>
      </c>
      <c r="R469" s="165" t="s">
        <v>16</v>
      </c>
      <c r="S469" s="165" t="s">
        <v>148</v>
      </c>
      <c r="T469" s="165" t="s">
        <v>150</v>
      </c>
      <c r="U469" s="165" t="s">
        <v>150</v>
      </c>
      <c r="V469" s="165" t="s">
        <v>150</v>
      </c>
      <c r="W469" s="165" t="s">
        <v>148</v>
      </c>
      <c r="X469" s="165" t="s">
        <v>150</v>
      </c>
      <c r="Y469" s="165" t="s">
        <v>150</v>
      </c>
      <c r="Z469" s="165" t="s">
        <v>148</v>
      </c>
      <c r="AA469" s="165" t="s">
        <v>148</v>
      </c>
      <c r="AB469" s="165" t="s">
        <v>148</v>
      </c>
      <c r="AC469" s="165" t="s">
        <v>150</v>
      </c>
      <c r="AD469" s="165" t="s">
        <v>16</v>
      </c>
      <c r="AE469" s="165" t="s">
        <v>896</v>
      </c>
      <c r="AF469" s="165"/>
    </row>
    <row r="470" spans="1:32" x14ac:dyDescent="0.3">
      <c r="A470" s="165" t="s">
        <v>905</v>
      </c>
      <c r="B470" s="165" t="s">
        <v>14</v>
      </c>
      <c r="C470" s="165" t="s">
        <v>889</v>
      </c>
      <c r="D470" s="165" t="s">
        <v>15</v>
      </c>
      <c r="E470" s="157">
        <v>40876</v>
      </c>
      <c r="F470" s="165" t="s">
        <v>16</v>
      </c>
      <c r="G470" s="165" t="s">
        <v>16</v>
      </c>
      <c r="H470" s="165" t="s">
        <v>16</v>
      </c>
      <c r="I470" s="165" t="s">
        <v>16</v>
      </c>
      <c r="J470" s="165" t="s">
        <v>16</v>
      </c>
      <c r="K470" s="165" t="s">
        <v>16</v>
      </c>
      <c r="L470" s="165" t="s">
        <v>16</v>
      </c>
      <c r="M470" s="165" t="s">
        <v>16</v>
      </c>
      <c r="N470" s="165" t="s">
        <v>16</v>
      </c>
      <c r="O470" s="165" t="s">
        <v>16</v>
      </c>
      <c r="P470" s="165" t="s">
        <v>16</v>
      </c>
      <c r="Q470" s="165" t="s">
        <v>16</v>
      </c>
      <c r="R470" s="165" t="s">
        <v>16</v>
      </c>
      <c r="S470" s="165" t="s">
        <v>16</v>
      </c>
      <c r="T470" s="165" t="s">
        <v>16</v>
      </c>
      <c r="U470" s="165" t="s">
        <v>16</v>
      </c>
      <c r="V470" s="165" t="s">
        <v>16</v>
      </c>
      <c r="W470" s="165" t="s">
        <v>16</v>
      </c>
      <c r="X470" s="165" t="s">
        <v>16</v>
      </c>
      <c r="Y470" s="165" t="s">
        <v>16</v>
      </c>
      <c r="Z470" s="165" t="s">
        <v>16</v>
      </c>
      <c r="AA470" s="165" t="s">
        <v>16</v>
      </c>
      <c r="AB470" s="165" t="s">
        <v>16</v>
      </c>
      <c r="AC470" s="165" t="s">
        <v>149</v>
      </c>
      <c r="AD470" s="165" t="s">
        <v>16</v>
      </c>
      <c r="AE470" s="165" t="s">
        <v>892</v>
      </c>
      <c r="AF470" s="165"/>
    </row>
    <row r="471" spans="1:32" x14ac:dyDescent="0.3">
      <c r="A471" s="165" t="s">
        <v>906</v>
      </c>
      <c r="B471" s="165" t="s">
        <v>14</v>
      </c>
      <c r="C471" s="165" t="s">
        <v>889</v>
      </c>
      <c r="D471" s="165" t="s">
        <v>15</v>
      </c>
      <c r="E471" s="157">
        <v>40876</v>
      </c>
      <c r="F471" s="165" t="s">
        <v>16</v>
      </c>
      <c r="G471" s="165" t="s">
        <v>148</v>
      </c>
      <c r="H471" s="165" t="s">
        <v>149</v>
      </c>
      <c r="I471" s="165" t="s">
        <v>149</v>
      </c>
      <c r="J471" s="165" t="s">
        <v>149</v>
      </c>
      <c r="K471" s="165" t="s">
        <v>148</v>
      </c>
      <c r="L471" s="165" t="s">
        <v>149</v>
      </c>
      <c r="M471" s="165" t="s">
        <v>16</v>
      </c>
      <c r="N471" s="165" t="s">
        <v>16</v>
      </c>
      <c r="O471" s="165" t="s">
        <v>149</v>
      </c>
      <c r="P471" s="165" t="s">
        <v>16</v>
      </c>
      <c r="Q471" s="165" t="s">
        <v>16</v>
      </c>
      <c r="R471" s="165" t="s">
        <v>148</v>
      </c>
      <c r="S471" s="165" t="s">
        <v>16</v>
      </c>
      <c r="T471" s="165" t="s">
        <v>16</v>
      </c>
      <c r="U471" s="165" t="s">
        <v>149</v>
      </c>
      <c r="V471" s="165" t="s">
        <v>16</v>
      </c>
      <c r="W471" s="165" t="s">
        <v>148</v>
      </c>
      <c r="X471" s="165" t="s">
        <v>16</v>
      </c>
      <c r="Y471" s="165" t="s">
        <v>149</v>
      </c>
      <c r="Z471" s="165" t="s">
        <v>16</v>
      </c>
      <c r="AA471" s="165" t="s">
        <v>16</v>
      </c>
      <c r="AB471" s="165" t="s">
        <v>148</v>
      </c>
      <c r="AC471" s="165" t="s">
        <v>150</v>
      </c>
      <c r="AD471" s="165" t="s">
        <v>149</v>
      </c>
      <c r="AE471" s="165" t="s">
        <v>892</v>
      </c>
      <c r="AF471" s="165" t="s">
        <v>907</v>
      </c>
    </row>
    <row r="472" spans="1:32" x14ac:dyDescent="0.3">
      <c r="A472" s="165" t="s">
        <v>908</v>
      </c>
      <c r="B472" s="165" t="s">
        <v>14</v>
      </c>
      <c r="C472" s="165" t="s">
        <v>889</v>
      </c>
      <c r="D472" s="165" t="s">
        <v>15</v>
      </c>
      <c r="E472" s="157">
        <v>40876</v>
      </c>
      <c r="F472" s="165" t="s">
        <v>16</v>
      </c>
      <c r="G472" s="165" t="s">
        <v>16</v>
      </c>
      <c r="H472" s="165" t="s">
        <v>16</v>
      </c>
      <c r="I472" s="165" t="s">
        <v>16</v>
      </c>
      <c r="J472" s="165" t="s">
        <v>16</v>
      </c>
      <c r="K472" s="165" t="s">
        <v>16</v>
      </c>
      <c r="L472" s="165" t="s">
        <v>16</v>
      </c>
      <c r="M472" s="165" t="s">
        <v>16</v>
      </c>
      <c r="N472" s="165" t="s">
        <v>16</v>
      </c>
      <c r="O472" s="165" t="s">
        <v>16</v>
      </c>
      <c r="P472" s="165" t="s">
        <v>16</v>
      </c>
      <c r="Q472" s="165" t="s">
        <v>16</v>
      </c>
      <c r="R472" s="165" t="s">
        <v>16</v>
      </c>
      <c r="S472" s="165" t="s">
        <v>16</v>
      </c>
      <c r="T472" s="165" t="s">
        <v>16</v>
      </c>
      <c r="U472" s="165" t="s">
        <v>16</v>
      </c>
      <c r="V472" s="165" t="s">
        <v>16</v>
      </c>
      <c r="W472" s="165" t="s">
        <v>16</v>
      </c>
      <c r="X472" s="165" t="s">
        <v>16</v>
      </c>
      <c r="Y472" s="165" t="s">
        <v>16</v>
      </c>
      <c r="Z472" s="165" t="s">
        <v>148</v>
      </c>
      <c r="AA472" s="165" t="s">
        <v>16</v>
      </c>
      <c r="AB472" s="165" t="s">
        <v>16</v>
      </c>
      <c r="AC472" s="165" t="s">
        <v>16</v>
      </c>
      <c r="AD472" s="165" t="s">
        <v>16</v>
      </c>
      <c r="AE472" s="165" t="s">
        <v>890</v>
      </c>
      <c r="AF472" s="165"/>
    </row>
    <row r="473" spans="1:32" x14ac:dyDescent="0.3">
      <c r="A473" s="165" t="s">
        <v>909</v>
      </c>
      <c r="B473" s="165" t="s">
        <v>14</v>
      </c>
      <c r="C473" s="165" t="s">
        <v>889</v>
      </c>
      <c r="D473" s="165" t="s">
        <v>15</v>
      </c>
      <c r="E473" s="157">
        <v>40876</v>
      </c>
      <c r="F473" s="165" t="s">
        <v>16</v>
      </c>
      <c r="G473" s="165" t="s">
        <v>16</v>
      </c>
      <c r="H473" s="165" t="s">
        <v>16</v>
      </c>
      <c r="I473" s="165" t="s">
        <v>148</v>
      </c>
      <c r="J473" s="165" t="s">
        <v>148</v>
      </c>
      <c r="K473" s="165" t="s">
        <v>16</v>
      </c>
      <c r="L473" s="165" t="s">
        <v>16</v>
      </c>
      <c r="M473" s="165" t="s">
        <v>148</v>
      </c>
      <c r="N473" s="165" t="s">
        <v>16</v>
      </c>
      <c r="O473" s="165" t="s">
        <v>16</v>
      </c>
      <c r="P473" s="165" t="s">
        <v>148</v>
      </c>
      <c r="Q473" s="165" t="s">
        <v>16</v>
      </c>
      <c r="R473" s="165" t="s">
        <v>16</v>
      </c>
      <c r="S473" s="165" t="s">
        <v>148</v>
      </c>
      <c r="T473" s="165" t="s">
        <v>16</v>
      </c>
      <c r="U473" s="165" t="s">
        <v>148</v>
      </c>
      <c r="V473" s="165" t="s">
        <v>148</v>
      </c>
      <c r="W473" s="165" t="s">
        <v>148</v>
      </c>
      <c r="X473" s="165" t="s">
        <v>148</v>
      </c>
      <c r="Y473" s="165" t="s">
        <v>16</v>
      </c>
      <c r="Z473" s="165" t="s">
        <v>16</v>
      </c>
      <c r="AA473" s="165" t="s">
        <v>16</v>
      </c>
      <c r="AB473" s="165" t="s">
        <v>16</v>
      </c>
      <c r="AC473" s="165" t="s">
        <v>148</v>
      </c>
      <c r="AD473" s="165" t="s">
        <v>148</v>
      </c>
      <c r="AE473" s="165" t="s">
        <v>910</v>
      </c>
      <c r="AF473" s="165"/>
    </row>
    <row r="474" spans="1:32" x14ac:dyDescent="0.3">
      <c r="A474" s="165" t="s">
        <v>911</v>
      </c>
      <c r="B474" s="165" t="s">
        <v>14</v>
      </c>
      <c r="C474" s="165" t="s">
        <v>889</v>
      </c>
      <c r="D474" s="165" t="s">
        <v>15</v>
      </c>
      <c r="E474" s="157">
        <v>40876</v>
      </c>
      <c r="F474" s="165" t="s">
        <v>16</v>
      </c>
      <c r="G474" s="165" t="s">
        <v>16</v>
      </c>
      <c r="H474" s="165" t="s">
        <v>148</v>
      </c>
      <c r="I474" s="165" t="s">
        <v>148</v>
      </c>
      <c r="J474" s="165" t="s">
        <v>16</v>
      </c>
      <c r="K474" s="165" t="s">
        <v>16</v>
      </c>
      <c r="L474" s="165" t="s">
        <v>16</v>
      </c>
      <c r="M474" s="165" t="s">
        <v>148</v>
      </c>
      <c r="N474" s="165" t="s">
        <v>148</v>
      </c>
      <c r="O474" s="165" t="s">
        <v>16</v>
      </c>
      <c r="P474" s="165" t="s">
        <v>148</v>
      </c>
      <c r="Q474" s="165" t="s">
        <v>16</v>
      </c>
      <c r="R474" s="165" t="s">
        <v>16</v>
      </c>
      <c r="S474" s="165" t="s">
        <v>148</v>
      </c>
      <c r="T474" s="165" t="s">
        <v>16</v>
      </c>
      <c r="U474" s="165" t="s">
        <v>16</v>
      </c>
      <c r="V474" s="165" t="s">
        <v>148</v>
      </c>
      <c r="W474" s="165" t="s">
        <v>148</v>
      </c>
      <c r="X474" s="165" t="s">
        <v>148</v>
      </c>
      <c r="Y474" s="165" t="s">
        <v>148</v>
      </c>
      <c r="Z474" s="165" t="s">
        <v>16</v>
      </c>
      <c r="AA474" s="165" t="s">
        <v>16</v>
      </c>
      <c r="AB474" s="165" t="s">
        <v>16</v>
      </c>
      <c r="AC474" s="165" t="s">
        <v>148</v>
      </c>
      <c r="AD474" s="165" t="s">
        <v>16</v>
      </c>
      <c r="AE474" s="165" t="s">
        <v>896</v>
      </c>
      <c r="AF474" s="165"/>
    </row>
    <row r="475" spans="1:32" x14ac:dyDescent="0.3">
      <c r="A475" s="165" t="s">
        <v>912</v>
      </c>
      <c r="B475" s="165" t="s">
        <v>14</v>
      </c>
      <c r="C475" s="165" t="s">
        <v>889</v>
      </c>
      <c r="D475" s="165" t="s">
        <v>15</v>
      </c>
      <c r="E475" s="157">
        <v>40876</v>
      </c>
      <c r="F475" s="165" t="s">
        <v>16</v>
      </c>
      <c r="G475" s="165" t="s">
        <v>16</v>
      </c>
      <c r="H475" s="165" t="s">
        <v>148</v>
      </c>
      <c r="I475" s="165" t="s">
        <v>16</v>
      </c>
      <c r="J475" s="165" t="s">
        <v>114</v>
      </c>
      <c r="K475" s="165" t="s">
        <v>148</v>
      </c>
      <c r="L475" s="165" t="s">
        <v>16</v>
      </c>
      <c r="M475" s="165" t="s">
        <v>148</v>
      </c>
      <c r="N475" s="165" t="s">
        <v>149</v>
      </c>
      <c r="O475" s="165" t="s">
        <v>16</v>
      </c>
      <c r="P475" s="165" t="s">
        <v>149</v>
      </c>
      <c r="Q475" s="165" t="s">
        <v>149</v>
      </c>
      <c r="R475" s="165" t="s">
        <v>149</v>
      </c>
      <c r="S475" s="165" t="s">
        <v>148</v>
      </c>
      <c r="T475" s="165" t="s">
        <v>148</v>
      </c>
      <c r="U475" s="165" t="s">
        <v>16</v>
      </c>
      <c r="V475" s="165" t="s">
        <v>16</v>
      </c>
      <c r="W475" s="165" t="s">
        <v>16</v>
      </c>
      <c r="X475" s="165" t="s">
        <v>114</v>
      </c>
      <c r="Y475" s="165" t="s">
        <v>114</v>
      </c>
      <c r="Z475" s="165" t="s">
        <v>16</v>
      </c>
      <c r="AA475" s="165" t="s">
        <v>148</v>
      </c>
      <c r="AB475" s="165" t="s">
        <v>149</v>
      </c>
      <c r="AC475" s="165" t="s">
        <v>16</v>
      </c>
      <c r="AD475" s="165" t="s">
        <v>148</v>
      </c>
      <c r="AE475" s="165" t="s">
        <v>890</v>
      </c>
      <c r="AF475" s="165"/>
    </row>
    <row r="476" spans="1:32" x14ac:dyDescent="0.3">
      <c r="A476" s="165" t="s">
        <v>913</v>
      </c>
      <c r="B476" s="165" t="s">
        <v>14</v>
      </c>
      <c r="C476" s="165" t="s">
        <v>889</v>
      </c>
      <c r="D476" s="165" t="s">
        <v>15</v>
      </c>
      <c r="E476" s="157">
        <v>40876</v>
      </c>
      <c r="F476" s="165" t="s">
        <v>148</v>
      </c>
      <c r="G476" s="165" t="s">
        <v>148</v>
      </c>
      <c r="H476" s="165" t="s">
        <v>16</v>
      </c>
      <c r="I476" s="165" t="s">
        <v>16</v>
      </c>
      <c r="J476" s="165" t="s">
        <v>148</v>
      </c>
      <c r="K476" s="165" t="s">
        <v>16</v>
      </c>
      <c r="L476" s="165" t="s">
        <v>16</v>
      </c>
      <c r="M476" s="165" t="s">
        <v>16</v>
      </c>
      <c r="N476" s="165" t="s">
        <v>148</v>
      </c>
      <c r="O476" s="165" t="s">
        <v>16</v>
      </c>
      <c r="P476" s="165" t="s">
        <v>148</v>
      </c>
      <c r="Q476" s="165" t="s">
        <v>16</v>
      </c>
      <c r="R476" s="165" t="s">
        <v>16</v>
      </c>
      <c r="S476" s="165" t="s">
        <v>16</v>
      </c>
      <c r="T476" s="165" t="s">
        <v>16</v>
      </c>
      <c r="U476" s="165" t="s">
        <v>16</v>
      </c>
      <c r="V476" s="165" t="s">
        <v>16</v>
      </c>
      <c r="W476" s="165" t="s">
        <v>16</v>
      </c>
      <c r="X476" s="165" t="s">
        <v>148</v>
      </c>
      <c r="Y476" s="165" t="s">
        <v>16</v>
      </c>
      <c r="Z476" s="165" t="s">
        <v>16</v>
      </c>
      <c r="AA476" s="165" t="s">
        <v>16</v>
      </c>
      <c r="AB476" s="165" t="s">
        <v>16</v>
      </c>
      <c r="AC476" s="165" t="s">
        <v>16</v>
      </c>
      <c r="AD476" s="165" t="s">
        <v>16</v>
      </c>
      <c r="AE476" s="165"/>
      <c r="AF476" s="165"/>
    </row>
    <row r="477" spans="1:32" x14ac:dyDescent="0.3">
      <c r="A477" s="165" t="s">
        <v>914</v>
      </c>
      <c r="B477" s="165" t="s">
        <v>14</v>
      </c>
      <c r="C477" s="165" t="s">
        <v>889</v>
      </c>
      <c r="D477" s="165" t="s">
        <v>15</v>
      </c>
      <c r="E477" s="157">
        <v>40876</v>
      </c>
      <c r="F477" s="165" t="s">
        <v>16</v>
      </c>
      <c r="G477" s="165" t="s">
        <v>16</v>
      </c>
      <c r="H477" s="165" t="s">
        <v>16</v>
      </c>
      <c r="I477" s="165" t="s">
        <v>16</v>
      </c>
      <c r="J477" s="165" t="s">
        <v>16</v>
      </c>
      <c r="K477" s="165" t="s">
        <v>16</v>
      </c>
      <c r="L477" s="165" t="s">
        <v>16</v>
      </c>
      <c r="M477" s="165" t="s">
        <v>16</v>
      </c>
      <c r="N477" s="165" t="s">
        <v>16</v>
      </c>
      <c r="O477" s="165" t="s">
        <v>16</v>
      </c>
      <c r="P477" s="165" t="s">
        <v>16</v>
      </c>
      <c r="Q477" s="165" t="s">
        <v>16</v>
      </c>
      <c r="R477" s="165" t="s">
        <v>16</v>
      </c>
      <c r="S477" s="165" t="s">
        <v>16</v>
      </c>
      <c r="T477" s="165" t="s">
        <v>16</v>
      </c>
      <c r="U477" s="165" t="s">
        <v>16</v>
      </c>
      <c r="V477" s="165" t="s">
        <v>16</v>
      </c>
      <c r="W477" s="165" t="s">
        <v>16</v>
      </c>
      <c r="X477" s="165" t="s">
        <v>16</v>
      </c>
      <c r="Y477" s="165" t="s">
        <v>148</v>
      </c>
      <c r="Z477" s="165" t="s">
        <v>16</v>
      </c>
      <c r="AA477" s="165" t="s">
        <v>16</v>
      </c>
      <c r="AB477" s="165" t="s">
        <v>16</v>
      </c>
      <c r="AC477" s="165" t="s">
        <v>148</v>
      </c>
      <c r="AD477" s="165" t="s">
        <v>16</v>
      </c>
      <c r="AE477" s="165" t="s">
        <v>892</v>
      </c>
      <c r="AF477" s="165" t="s">
        <v>915</v>
      </c>
    </row>
    <row r="478" spans="1:32" x14ac:dyDescent="0.3">
      <c r="A478" s="165" t="s">
        <v>916</v>
      </c>
      <c r="B478" s="165" t="s">
        <v>14</v>
      </c>
      <c r="C478" s="165" t="s">
        <v>889</v>
      </c>
      <c r="D478" s="165" t="s">
        <v>15</v>
      </c>
      <c r="E478" s="157">
        <v>40876</v>
      </c>
      <c r="F478" s="165" t="s">
        <v>148</v>
      </c>
      <c r="G478" s="165" t="s">
        <v>150</v>
      </c>
      <c r="H478" s="165" t="s">
        <v>149</v>
      </c>
      <c r="I478" s="165" t="s">
        <v>148</v>
      </c>
      <c r="J478" s="165" t="s">
        <v>148</v>
      </c>
      <c r="K478" s="165" t="s">
        <v>149</v>
      </c>
      <c r="L478" s="165" t="s">
        <v>149</v>
      </c>
      <c r="M478" s="165" t="s">
        <v>148</v>
      </c>
      <c r="N478" s="165" t="s">
        <v>148</v>
      </c>
      <c r="O478" s="165" t="s">
        <v>148</v>
      </c>
      <c r="P478" s="165" t="s">
        <v>148</v>
      </c>
      <c r="Q478" s="165" t="s">
        <v>16</v>
      </c>
      <c r="R478" s="165" t="s">
        <v>16</v>
      </c>
      <c r="S478" s="165" t="s">
        <v>16</v>
      </c>
      <c r="T478" s="165" t="s">
        <v>16</v>
      </c>
      <c r="U478" s="165" t="s">
        <v>148</v>
      </c>
      <c r="V478" s="165" t="s">
        <v>150</v>
      </c>
      <c r="W478" s="165" t="s">
        <v>16</v>
      </c>
      <c r="X478" s="165" t="s">
        <v>16</v>
      </c>
      <c r="Y478" s="165" t="s">
        <v>16</v>
      </c>
      <c r="Z478" s="165" t="s">
        <v>149</v>
      </c>
      <c r="AA478" s="165" t="s">
        <v>16</v>
      </c>
      <c r="AB478" s="165" t="s">
        <v>148</v>
      </c>
      <c r="AC478" s="165" t="s">
        <v>148</v>
      </c>
      <c r="AD478" s="165" t="s">
        <v>16</v>
      </c>
      <c r="AE478" s="165" t="s">
        <v>896</v>
      </c>
      <c r="AF478" s="165"/>
    </row>
    <row r="479" spans="1:32" x14ac:dyDescent="0.3">
      <c r="A479" s="165" t="s">
        <v>917</v>
      </c>
      <c r="B479" s="165" t="s">
        <v>14</v>
      </c>
      <c r="C479" s="165" t="s">
        <v>889</v>
      </c>
      <c r="D479" s="165" t="s">
        <v>15</v>
      </c>
      <c r="E479" s="157">
        <v>40876</v>
      </c>
      <c r="F479" s="165" t="s">
        <v>16</v>
      </c>
      <c r="G479" s="165" t="s">
        <v>16</v>
      </c>
      <c r="H479" s="165" t="s">
        <v>16</v>
      </c>
      <c r="I479" s="165" t="s">
        <v>16</v>
      </c>
      <c r="J479" s="165" t="s">
        <v>16</v>
      </c>
      <c r="K479" s="165" t="s">
        <v>16</v>
      </c>
      <c r="L479" s="165" t="s">
        <v>16</v>
      </c>
      <c r="M479" s="165" t="s">
        <v>16</v>
      </c>
      <c r="N479" s="165" t="s">
        <v>16</v>
      </c>
      <c r="O479" s="165" t="s">
        <v>16</v>
      </c>
      <c r="P479" s="165" t="s">
        <v>16</v>
      </c>
      <c r="Q479" s="165" t="s">
        <v>16</v>
      </c>
      <c r="R479" s="165" t="s">
        <v>16</v>
      </c>
      <c r="S479" s="165" t="s">
        <v>16</v>
      </c>
      <c r="T479" s="165" t="s">
        <v>16</v>
      </c>
      <c r="U479" s="165" t="s">
        <v>16</v>
      </c>
      <c r="V479" s="165" t="s">
        <v>16</v>
      </c>
      <c r="W479" s="165" t="s">
        <v>16</v>
      </c>
      <c r="X479" s="165" t="s">
        <v>16</v>
      </c>
      <c r="Y479" s="165" t="s">
        <v>16</v>
      </c>
      <c r="Z479" s="165" t="s">
        <v>16</v>
      </c>
      <c r="AA479" s="165" t="s">
        <v>16</v>
      </c>
      <c r="AB479" s="165" t="s">
        <v>16</v>
      </c>
      <c r="AC479" s="165" t="s">
        <v>16</v>
      </c>
      <c r="AD479" s="165" t="s">
        <v>16</v>
      </c>
      <c r="AE479" s="165" t="s">
        <v>890</v>
      </c>
      <c r="AF479" s="165"/>
    </row>
    <row r="480" spans="1:32" x14ac:dyDescent="0.3">
      <c r="A480" s="165" t="s">
        <v>918</v>
      </c>
      <c r="B480" s="165" t="s">
        <v>14</v>
      </c>
      <c r="C480" s="165" t="s">
        <v>889</v>
      </c>
      <c r="D480" s="165" t="s">
        <v>15</v>
      </c>
      <c r="E480" s="157">
        <v>40876</v>
      </c>
      <c r="F480" s="165" t="s">
        <v>16</v>
      </c>
      <c r="G480" s="165" t="s">
        <v>16</v>
      </c>
      <c r="H480" s="165" t="s">
        <v>148</v>
      </c>
      <c r="I480" s="165" t="s">
        <v>16</v>
      </c>
      <c r="J480" s="165" t="s">
        <v>148</v>
      </c>
      <c r="K480" s="165" t="s">
        <v>16</v>
      </c>
      <c r="L480" s="165" t="s">
        <v>16</v>
      </c>
      <c r="M480" s="165" t="s">
        <v>148</v>
      </c>
      <c r="N480" s="165" t="s">
        <v>148</v>
      </c>
      <c r="O480" s="165" t="s">
        <v>16</v>
      </c>
      <c r="P480" s="165" t="s">
        <v>16</v>
      </c>
      <c r="Q480" s="165" t="s">
        <v>16</v>
      </c>
      <c r="R480" s="165" t="s">
        <v>16</v>
      </c>
      <c r="S480" s="165" t="s">
        <v>16</v>
      </c>
      <c r="T480" s="165" t="s">
        <v>16</v>
      </c>
      <c r="U480" s="165" t="s">
        <v>148</v>
      </c>
      <c r="V480" s="165" t="s">
        <v>16</v>
      </c>
      <c r="W480" s="165" t="s">
        <v>148</v>
      </c>
      <c r="X480" s="165" t="s">
        <v>16</v>
      </c>
      <c r="Y480" s="165" t="s">
        <v>16</v>
      </c>
      <c r="Z480" s="165" t="s">
        <v>16</v>
      </c>
      <c r="AA480" s="165" t="s">
        <v>16</v>
      </c>
      <c r="AB480" s="165" t="s">
        <v>16</v>
      </c>
      <c r="AC480" s="165" t="s">
        <v>148</v>
      </c>
      <c r="AD480" s="165" t="s">
        <v>148</v>
      </c>
      <c r="AE480" s="165" t="s">
        <v>919</v>
      </c>
      <c r="AF480" s="165"/>
    </row>
    <row r="481" spans="1:32" x14ac:dyDescent="0.3">
      <c r="A481" s="165" t="s">
        <v>920</v>
      </c>
      <c r="B481" s="165" t="s">
        <v>14</v>
      </c>
      <c r="C481" s="165" t="s">
        <v>889</v>
      </c>
      <c r="D481" s="165" t="s">
        <v>15</v>
      </c>
      <c r="E481" s="157">
        <v>40876</v>
      </c>
      <c r="F481" s="165" t="s">
        <v>16</v>
      </c>
      <c r="G481" s="165" t="s">
        <v>16</v>
      </c>
      <c r="H481" s="165" t="s">
        <v>16</v>
      </c>
      <c r="I481" s="165" t="s">
        <v>16</v>
      </c>
      <c r="J481" s="165" t="s">
        <v>16</v>
      </c>
      <c r="K481" s="165" t="s">
        <v>16</v>
      </c>
      <c r="L481" s="165" t="s">
        <v>16</v>
      </c>
      <c r="M481" s="165" t="s">
        <v>16</v>
      </c>
      <c r="N481" s="165" t="s">
        <v>16</v>
      </c>
      <c r="O481" s="165" t="s">
        <v>16</v>
      </c>
      <c r="P481" s="165" t="s">
        <v>16</v>
      </c>
      <c r="Q481" s="165" t="s">
        <v>16</v>
      </c>
      <c r="R481" s="165" t="s">
        <v>16</v>
      </c>
      <c r="S481" s="165" t="s">
        <v>16</v>
      </c>
      <c r="T481" s="165" t="s">
        <v>16</v>
      </c>
      <c r="U481" s="165" t="s">
        <v>16</v>
      </c>
      <c r="V481" s="165" t="s">
        <v>16</v>
      </c>
      <c r="W481" s="165" t="s">
        <v>16</v>
      </c>
      <c r="X481" s="165" t="s">
        <v>16</v>
      </c>
      <c r="Y481" s="165" t="s">
        <v>16</v>
      </c>
      <c r="Z481" s="165" t="s">
        <v>16</v>
      </c>
      <c r="AA481" s="165" t="s">
        <v>16</v>
      </c>
      <c r="AB481" s="165" t="s">
        <v>16</v>
      </c>
      <c r="AC481" s="165" t="s">
        <v>16</v>
      </c>
      <c r="AD481" s="165" t="s">
        <v>16</v>
      </c>
      <c r="AE481" s="165" t="s">
        <v>896</v>
      </c>
      <c r="AF481" s="165"/>
    </row>
    <row r="482" spans="1:32" x14ac:dyDescent="0.3">
      <c r="A482" s="165" t="s">
        <v>921</v>
      </c>
      <c r="B482" s="165" t="s">
        <v>14</v>
      </c>
      <c r="C482" s="165" t="s">
        <v>889</v>
      </c>
      <c r="D482" s="165" t="s">
        <v>15</v>
      </c>
      <c r="E482" s="157">
        <v>40876</v>
      </c>
      <c r="F482" s="165" t="s">
        <v>16</v>
      </c>
      <c r="G482" s="165" t="s">
        <v>16</v>
      </c>
      <c r="H482" s="165" t="s">
        <v>16</v>
      </c>
      <c r="I482" s="165" t="s">
        <v>148</v>
      </c>
      <c r="J482" s="165" t="s">
        <v>16</v>
      </c>
      <c r="K482" s="165" t="s">
        <v>16</v>
      </c>
      <c r="L482" s="165" t="s">
        <v>16</v>
      </c>
      <c r="M482" s="165" t="s">
        <v>16</v>
      </c>
      <c r="N482" s="165" t="s">
        <v>16</v>
      </c>
      <c r="O482" s="165" t="s">
        <v>148</v>
      </c>
      <c r="P482" s="165" t="s">
        <v>148</v>
      </c>
      <c r="Q482" s="165" t="s">
        <v>16</v>
      </c>
      <c r="R482" s="165" t="s">
        <v>16</v>
      </c>
      <c r="S482" s="165" t="s">
        <v>16</v>
      </c>
      <c r="T482" s="165" t="s">
        <v>148</v>
      </c>
      <c r="U482" s="165" t="s">
        <v>148</v>
      </c>
      <c r="V482" s="165" t="s">
        <v>16</v>
      </c>
      <c r="W482" s="165" t="s">
        <v>16</v>
      </c>
      <c r="X482" s="165" t="s">
        <v>16</v>
      </c>
      <c r="Y482" s="165" t="s">
        <v>148</v>
      </c>
      <c r="Z482" s="165" t="s">
        <v>16</v>
      </c>
      <c r="AA482" s="165" t="s">
        <v>148</v>
      </c>
      <c r="AB482" s="165" t="s">
        <v>16</v>
      </c>
      <c r="AC482" s="165" t="s">
        <v>16</v>
      </c>
      <c r="AD482" s="165" t="s">
        <v>16</v>
      </c>
      <c r="AE482" s="165" t="s">
        <v>890</v>
      </c>
      <c r="AF482" s="165"/>
    </row>
    <row r="483" spans="1:32" x14ac:dyDescent="0.3">
      <c r="A483" s="165" t="s">
        <v>922</v>
      </c>
      <c r="B483" s="165" t="s">
        <v>14</v>
      </c>
      <c r="C483" s="165" t="s">
        <v>889</v>
      </c>
      <c r="D483" s="165" t="s">
        <v>15</v>
      </c>
      <c r="E483" s="157">
        <v>40876</v>
      </c>
      <c r="F483" s="165" t="s">
        <v>149</v>
      </c>
      <c r="G483" s="165" t="s">
        <v>16</v>
      </c>
      <c r="H483" s="165" t="s">
        <v>16</v>
      </c>
      <c r="I483" s="165" t="s">
        <v>16</v>
      </c>
      <c r="J483" s="165" t="s">
        <v>16</v>
      </c>
      <c r="K483" s="165" t="s">
        <v>16</v>
      </c>
      <c r="L483" s="165" t="s">
        <v>16</v>
      </c>
      <c r="M483" s="165" t="s">
        <v>16</v>
      </c>
      <c r="N483" s="165" t="s">
        <v>148</v>
      </c>
      <c r="O483" s="165" t="s">
        <v>148</v>
      </c>
      <c r="P483" s="165" t="s">
        <v>16</v>
      </c>
      <c r="Q483" s="165" t="s">
        <v>16</v>
      </c>
      <c r="R483" s="165" t="s">
        <v>16</v>
      </c>
      <c r="S483" s="165" t="s">
        <v>16</v>
      </c>
      <c r="T483" s="165" t="s">
        <v>16</v>
      </c>
      <c r="U483" s="165" t="s">
        <v>16</v>
      </c>
      <c r="V483" s="165" t="s">
        <v>16</v>
      </c>
      <c r="W483" s="165" t="s">
        <v>16</v>
      </c>
      <c r="X483" s="165" t="s">
        <v>16</v>
      </c>
      <c r="Y483" s="165" t="s">
        <v>16</v>
      </c>
      <c r="Z483" s="165" t="s">
        <v>16</v>
      </c>
      <c r="AA483" s="165" t="s">
        <v>148</v>
      </c>
      <c r="AB483" s="165" t="s">
        <v>16</v>
      </c>
      <c r="AC483" s="165" t="s">
        <v>148</v>
      </c>
      <c r="AD483" s="165" t="s">
        <v>16</v>
      </c>
      <c r="AE483" s="165"/>
      <c r="AF483" s="165"/>
    </row>
    <row r="484" spans="1:32" x14ac:dyDescent="0.3">
      <c r="A484" s="165" t="s">
        <v>923</v>
      </c>
      <c r="B484" s="165" t="s">
        <v>14</v>
      </c>
      <c r="C484" s="165" t="s">
        <v>889</v>
      </c>
      <c r="D484" s="165" t="s">
        <v>15</v>
      </c>
      <c r="E484" s="157">
        <v>40876</v>
      </c>
      <c r="F484" s="165" t="s">
        <v>148</v>
      </c>
      <c r="G484" s="165" t="s">
        <v>148</v>
      </c>
      <c r="H484" s="165" t="s">
        <v>148</v>
      </c>
      <c r="I484" s="165" t="s">
        <v>16</v>
      </c>
      <c r="J484" s="165" t="s">
        <v>16</v>
      </c>
      <c r="K484" s="165" t="s">
        <v>16</v>
      </c>
      <c r="L484" s="165" t="s">
        <v>16</v>
      </c>
      <c r="M484" s="165" t="s">
        <v>148</v>
      </c>
      <c r="N484" s="165" t="s">
        <v>16</v>
      </c>
      <c r="O484" s="165" t="s">
        <v>148</v>
      </c>
      <c r="P484" s="165" t="s">
        <v>148</v>
      </c>
      <c r="Q484" s="165" t="s">
        <v>16</v>
      </c>
      <c r="R484" s="165" t="s">
        <v>148</v>
      </c>
      <c r="S484" s="165" t="s">
        <v>148</v>
      </c>
      <c r="T484" s="165" t="s">
        <v>148</v>
      </c>
      <c r="U484" s="165" t="s">
        <v>16</v>
      </c>
      <c r="V484" s="165" t="s">
        <v>16</v>
      </c>
      <c r="W484" s="165" t="s">
        <v>16</v>
      </c>
      <c r="X484" s="165" t="s">
        <v>148</v>
      </c>
      <c r="Y484" s="165" t="s">
        <v>16</v>
      </c>
      <c r="Z484" s="165" t="s">
        <v>16</v>
      </c>
      <c r="AA484" s="165" t="s">
        <v>148</v>
      </c>
      <c r="AB484" s="165" t="s">
        <v>16</v>
      </c>
      <c r="AC484" s="165" t="s">
        <v>148</v>
      </c>
      <c r="AD484" s="165" t="s">
        <v>16</v>
      </c>
      <c r="AE484" s="165"/>
      <c r="AF484" s="165"/>
    </row>
    <row r="485" spans="1:32" x14ac:dyDescent="0.3">
      <c r="A485" s="165" t="s">
        <v>924</v>
      </c>
      <c r="B485" s="165" t="s">
        <v>14</v>
      </c>
      <c r="C485" s="165" t="s">
        <v>889</v>
      </c>
      <c r="D485" s="165" t="s">
        <v>15</v>
      </c>
      <c r="E485" s="157">
        <v>40876</v>
      </c>
      <c r="F485" s="165" t="s">
        <v>16</v>
      </c>
      <c r="G485" s="165" t="s">
        <v>16</v>
      </c>
      <c r="H485" s="165" t="s">
        <v>16</v>
      </c>
      <c r="I485" s="165" t="s">
        <v>16</v>
      </c>
      <c r="J485" s="165" t="s">
        <v>16</v>
      </c>
      <c r="K485" s="165" t="s">
        <v>16</v>
      </c>
      <c r="L485" s="165" t="s">
        <v>16</v>
      </c>
      <c r="M485" s="165" t="s">
        <v>16</v>
      </c>
      <c r="N485" s="165" t="s">
        <v>16</v>
      </c>
      <c r="O485" s="165" t="s">
        <v>16</v>
      </c>
      <c r="P485" s="165" t="s">
        <v>16</v>
      </c>
      <c r="Q485" s="165" t="s">
        <v>16</v>
      </c>
      <c r="R485" s="165" t="s">
        <v>16</v>
      </c>
      <c r="S485" s="165" t="s">
        <v>16</v>
      </c>
      <c r="T485" s="165" t="s">
        <v>16</v>
      </c>
      <c r="U485" s="165" t="s">
        <v>16</v>
      </c>
      <c r="V485" s="165" t="s">
        <v>16</v>
      </c>
      <c r="W485" s="165" t="s">
        <v>16</v>
      </c>
      <c r="X485" s="165" t="s">
        <v>16</v>
      </c>
      <c r="Y485" s="165" t="s">
        <v>16</v>
      </c>
      <c r="Z485" s="165" t="s">
        <v>16</v>
      </c>
      <c r="AA485" s="165" t="s">
        <v>16</v>
      </c>
      <c r="AB485" s="165" t="s">
        <v>16</v>
      </c>
      <c r="AC485" s="165" t="s">
        <v>16</v>
      </c>
      <c r="AD485" s="165" t="s">
        <v>16</v>
      </c>
      <c r="AE485" s="165" t="s">
        <v>890</v>
      </c>
      <c r="AF485" s="165"/>
    </row>
    <row r="486" spans="1:32" x14ac:dyDescent="0.3">
      <c r="A486" s="165" t="s">
        <v>925</v>
      </c>
      <c r="B486" s="165" t="s">
        <v>14</v>
      </c>
      <c r="C486" s="165" t="s">
        <v>889</v>
      </c>
      <c r="D486" s="165" t="s">
        <v>15</v>
      </c>
      <c r="E486" s="157">
        <v>40876</v>
      </c>
      <c r="F486" s="165" t="s">
        <v>16</v>
      </c>
      <c r="G486" s="165" t="s">
        <v>16</v>
      </c>
      <c r="H486" s="165" t="s">
        <v>16</v>
      </c>
      <c r="I486" s="165" t="s">
        <v>16</v>
      </c>
      <c r="J486" s="165" t="s">
        <v>16</v>
      </c>
      <c r="K486" s="165" t="s">
        <v>16</v>
      </c>
      <c r="L486" s="165" t="s">
        <v>16</v>
      </c>
      <c r="M486" s="165" t="s">
        <v>16</v>
      </c>
      <c r="N486" s="165" t="s">
        <v>16</v>
      </c>
      <c r="O486" s="165" t="s">
        <v>16</v>
      </c>
      <c r="P486" s="165" t="s">
        <v>16</v>
      </c>
      <c r="Q486" s="165" t="s">
        <v>16</v>
      </c>
      <c r="R486" s="165" t="s">
        <v>16</v>
      </c>
      <c r="S486" s="165" t="s">
        <v>16</v>
      </c>
      <c r="T486" s="165" t="s">
        <v>16</v>
      </c>
      <c r="U486" s="165" t="s">
        <v>16</v>
      </c>
      <c r="V486" s="165" t="s">
        <v>16</v>
      </c>
      <c r="W486" s="165" t="s">
        <v>16</v>
      </c>
      <c r="X486" s="165" t="s">
        <v>16</v>
      </c>
      <c r="Y486" s="165" t="s">
        <v>16</v>
      </c>
      <c r="Z486" s="165" t="s">
        <v>16</v>
      </c>
      <c r="AA486" s="165" t="s">
        <v>16</v>
      </c>
      <c r="AB486" s="165" t="s">
        <v>16</v>
      </c>
      <c r="AC486" s="165" t="s">
        <v>148</v>
      </c>
      <c r="AD486" s="165" t="s">
        <v>16</v>
      </c>
      <c r="AE486" s="165" t="s">
        <v>892</v>
      </c>
      <c r="AF486" s="165"/>
    </row>
    <row r="487" spans="1:32" x14ac:dyDescent="0.3">
      <c r="A487" s="165" t="s">
        <v>926</v>
      </c>
      <c r="B487" s="165" t="s">
        <v>14</v>
      </c>
      <c r="C487" s="165" t="s">
        <v>889</v>
      </c>
      <c r="D487" s="165" t="s">
        <v>15</v>
      </c>
      <c r="E487" s="157">
        <v>40876</v>
      </c>
      <c r="F487" s="165" t="s">
        <v>16</v>
      </c>
      <c r="G487" s="165" t="s">
        <v>16</v>
      </c>
      <c r="H487" s="165" t="s">
        <v>16</v>
      </c>
      <c r="I487" s="165" t="s">
        <v>16</v>
      </c>
      <c r="J487" s="165" t="s">
        <v>16</v>
      </c>
      <c r="K487" s="165" t="s">
        <v>16</v>
      </c>
      <c r="L487" s="165" t="s">
        <v>16</v>
      </c>
      <c r="M487" s="165" t="s">
        <v>16</v>
      </c>
      <c r="N487" s="165" t="s">
        <v>16</v>
      </c>
      <c r="O487" s="165" t="s">
        <v>16</v>
      </c>
      <c r="P487" s="165" t="s">
        <v>149</v>
      </c>
      <c r="Q487" s="165" t="s">
        <v>149</v>
      </c>
      <c r="R487" s="165" t="s">
        <v>16</v>
      </c>
      <c r="S487" s="165" t="s">
        <v>16</v>
      </c>
      <c r="T487" s="165" t="s">
        <v>16</v>
      </c>
      <c r="U487" s="165" t="s">
        <v>16</v>
      </c>
      <c r="V487" s="165" t="s">
        <v>16</v>
      </c>
      <c r="W487" s="165" t="s">
        <v>16</v>
      </c>
      <c r="X487" s="165" t="s">
        <v>16</v>
      </c>
      <c r="Y487" s="165" t="s">
        <v>16</v>
      </c>
      <c r="Z487" s="165" t="s">
        <v>16</v>
      </c>
      <c r="AA487" s="165" t="s">
        <v>16</v>
      </c>
      <c r="AB487" s="165" t="s">
        <v>16</v>
      </c>
      <c r="AC487" s="165" t="s">
        <v>16</v>
      </c>
      <c r="AD487" s="165" t="s">
        <v>16</v>
      </c>
      <c r="AE487" s="165"/>
      <c r="AF487" s="165"/>
    </row>
    <row r="490" spans="1:32" x14ac:dyDescent="0.3">
      <c r="A490" s="165"/>
      <c r="B490" s="165"/>
      <c r="C490" s="165"/>
      <c r="D490" s="165"/>
      <c r="E490" s="165"/>
      <c r="F490" s="165" t="s">
        <v>124</v>
      </c>
      <c r="G490" s="165" t="s">
        <v>125</v>
      </c>
      <c r="H490" s="165" t="s">
        <v>126</v>
      </c>
      <c r="I490" s="165" t="s">
        <v>127</v>
      </c>
      <c r="J490" s="165" t="s">
        <v>214</v>
      </c>
      <c r="K490" s="165" t="s">
        <v>128</v>
      </c>
      <c r="L490" s="165" t="s">
        <v>129</v>
      </c>
      <c r="M490" s="165" t="s">
        <v>130</v>
      </c>
      <c r="N490" s="165" t="s">
        <v>131</v>
      </c>
      <c r="O490" s="165" t="s">
        <v>132</v>
      </c>
      <c r="P490" s="165" t="s">
        <v>133</v>
      </c>
      <c r="Q490" s="165" t="s">
        <v>134</v>
      </c>
      <c r="R490" s="165" t="s">
        <v>135</v>
      </c>
      <c r="S490" s="165" t="s">
        <v>136</v>
      </c>
      <c r="T490" s="165" t="s">
        <v>137</v>
      </c>
      <c r="U490" s="165" t="s">
        <v>138</v>
      </c>
      <c r="V490" s="165" t="s">
        <v>139</v>
      </c>
      <c r="W490" s="165" t="s">
        <v>140</v>
      </c>
      <c r="X490" s="165" t="s">
        <v>186</v>
      </c>
      <c r="Y490" s="165" t="s">
        <v>209</v>
      </c>
      <c r="Z490" s="165" t="s">
        <v>141</v>
      </c>
      <c r="AA490" s="165" t="s">
        <v>142</v>
      </c>
      <c r="AB490" s="165" t="s">
        <v>210</v>
      </c>
      <c r="AC490" s="165" t="s">
        <v>143</v>
      </c>
      <c r="AD490" s="165" t="s">
        <v>144</v>
      </c>
      <c r="AE490" s="165" t="s">
        <v>927</v>
      </c>
      <c r="AF490" s="165" t="s">
        <v>190</v>
      </c>
    </row>
    <row r="491" spans="1:32" x14ac:dyDescent="0.3">
      <c r="A491" s="165" t="s">
        <v>928</v>
      </c>
      <c r="B491" s="165" t="s">
        <v>14</v>
      </c>
      <c r="C491" s="165" t="s">
        <v>929</v>
      </c>
      <c r="D491" s="165" t="s">
        <v>15</v>
      </c>
      <c r="E491" s="157">
        <v>40907</v>
      </c>
      <c r="F491" s="165" t="s">
        <v>148</v>
      </c>
      <c r="G491" s="165" t="s">
        <v>16</v>
      </c>
      <c r="H491" s="165" t="s">
        <v>150</v>
      </c>
      <c r="I491" s="165" t="s">
        <v>150</v>
      </c>
      <c r="J491" s="165" t="s">
        <v>16</v>
      </c>
      <c r="K491" s="165" t="s">
        <v>148</v>
      </c>
      <c r="L491" s="165" t="s">
        <v>150</v>
      </c>
      <c r="M491" s="165" t="s">
        <v>148</v>
      </c>
      <c r="N491" s="165" t="s">
        <v>16</v>
      </c>
      <c r="O491" s="165" t="s">
        <v>149</v>
      </c>
      <c r="P491" s="165" t="s">
        <v>150</v>
      </c>
      <c r="Q491" s="165" t="s">
        <v>148</v>
      </c>
      <c r="R491" s="165" t="s">
        <v>148</v>
      </c>
      <c r="S491" s="165" t="s">
        <v>150</v>
      </c>
      <c r="T491" s="165" t="s">
        <v>150</v>
      </c>
      <c r="U491" s="165" t="s">
        <v>148</v>
      </c>
      <c r="V491" s="165" t="s">
        <v>149</v>
      </c>
      <c r="W491" s="165" t="s">
        <v>16</v>
      </c>
      <c r="X491" s="165" t="s">
        <v>16</v>
      </c>
      <c r="Y491" s="165" t="s">
        <v>148</v>
      </c>
      <c r="Z491" s="165" t="s">
        <v>148</v>
      </c>
      <c r="AA491" s="165" t="s">
        <v>150</v>
      </c>
      <c r="AB491" s="165" t="s">
        <v>16</v>
      </c>
      <c r="AC491" s="165" t="s">
        <v>148</v>
      </c>
      <c r="AD491" s="165" t="s">
        <v>148</v>
      </c>
      <c r="AE491" s="165" t="s">
        <v>930</v>
      </c>
      <c r="AF491" s="165"/>
    </row>
    <row r="492" spans="1:32" x14ac:dyDescent="0.3">
      <c r="A492" s="165" t="s">
        <v>931</v>
      </c>
      <c r="B492" s="165" t="s">
        <v>14</v>
      </c>
      <c r="C492" s="165" t="s">
        <v>929</v>
      </c>
      <c r="D492" s="165" t="s">
        <v>15</v>
      </c>
      <c r="E492" s="157">
        <v>40907</v>
      </c>
      <c r="F492" s="165" t="s">
        <v>150</v>
      </c>
      <c r="G492" s="165" t="s">
        <v>16</v>
      </c>
      <c r="H492" s="165" t="s">
        <v>148</v>
      </c>
      <c r="I492" s="165" t="s">
        <v>16</v>
      </c>
      <c r="J492" s="165" t="s">
        <v>148</v>
      </c>
      <c r="K492" s="165" t="s">
        <v>150</v>
      </c>
      <c r="L492" s="165" t="s">
        <v>150</v>
      </c>
      <c r="M492" s="165" t="s">
        <v>16</v>
      </c>
      <c r="N492" s="165" t="s">
        <v>150</v>
      </c>
      <c r="O492" s="165" t="s">
        <v>148</v>
      </c>
      <c r="P492" s="165" t="s">
        <v>16</v>
      </c>
      <c r="Q492" s="165" t="s">
        <v>16</v>
      </c>
      <c r="R492" s="165" t="s">
        <v>16</v>
      </c>
      <c r="S492" s="165" t="s">
        <v>16</v>
      </c>
      <c r="T492" s="165" t="s">
        <v>16</v>
      </c>
      <c r="U492" s="165" t="s">
        <v>148</v>
      </c>
      <c r="V492" s="165" t="s">
        <v>148</v>
      </c>
      <c r="W492" s="165" t="s">
        <v>16</v>
      </c>
      <c r="X492" s="165" t="s">
        <v>150</v>
      </c>
      <c r="Y492" s="165" t="s">
        <v>16</v>
      </c>
      <c r="Z492" s="165" t="s">
        <v>16</v>
      </c>
      <c r="AA492" s="165" t="s">
        <v>148</v>
      </c>
      <c r="AB492" s="165" t="s">
        <v>16</v>
      </c>
      <c r="AC492" s="165" t="s">
        <v>148</v>
      </c>
      <c r="AD492" s="165" t="s">
        <v>16</v>
      </c>
      <c r="AE492" s="165" t="s">
        <v>932</v>
      </c>
      <c r="AF492" s="165"/>
    </row>
    <row r="493" spans="1:32" x14ac:dyDescent="0.3">
      <c r="A493" s="165" t="s">
        <v>933</v>
      </c>
      <c r="B493" s="165" t="s">
        <v>14</v>
      </c>
      <c r="C493" s="165" t="s">
        <v>929</v>
      </c>
      <c r="D493" s="165" t="s">
        <v>15</v>
      </c>
      <c r="E493" s="157">
        <v>40907</v>
      </c>
      <c r="F493" s="165" t="s">
        <v>148</v>
      </c>
      <c r="G493" s="165" t="s">
        <v>16</v>
      </c>
      <c r="H493" s="165" t="s">
        <v>16</v>
      </c>
      <c r="I493" s="165" t="s">
        <v>16</v>
      </c>
      <c r="J493" s="165" t="s">
        <v>16</v>
      </c>
      <c r="K493" s="165" t="s">
        <v>148</v>
      </c>
      <c r="L493" s="165" t="s">
        <v>16</v>
      </c>
      <c r="M493" s="165" t="s">
        <v>16</v>
      </c>
      <c r="N493" s="165" t="s">
        <v>16</v>
      </c>
      <c r="O493" s="165" t="s">
        <v>16</v>
      </c>
      <c r="P493" s="165" t="s">
        <v>16</v>
      </c>
      <c r="Q493" s="165" t="s">
        <v>16</v>
      </c>
      <c r="R493" s="165" t="s">
        <v>16</v>
      </c>
      <c r="S493" s="165" t="s">
        <v>16</v>
      </c>
      <c r="T493" s="165" t="s">
        <v>16</v>
      </c>
      <c r="U493" s="165" t="s">
        <v>148</v>
      </c>
      <c r="V493" s="165" t="s">
        <v>16</v>
      </c>
      <c r="W493" s="165" t="s">
        <v>16</v>
      </c>
      <c r="X493" s="165" t="s">
        <v>150</v>
      </c>
      <c r="Y493" s="165" t="s">
        <v>16</v>
      </c>
      <c r="Z493" s="165" t="s">
        <v>16</v>
      </c>
      <c r="AA493" s="165" t="s">
        <v>16</v>
      </c>
      <c r="AB493" s="165" t="s">
        <v>16</v>
      </c>
      <c r="AC493" s="165" t="s">
        <v>148</v>
      </c>
      <c r="AD493" s="165" t="s">
        <v>16</v>
      </c>
      <c r="AE493" s="165" t="s">
        <v>934</v>
      </c>
      <c r="AF493" s="165"/>
    </row>
    <row r="494" spans="1:32" x14ac:dyDescent="0.3">
      <c r="A494" s="165" t="s">
        <v>935</v>
      </c>
      <c r="B494" s="165" t="s">
        <v>14</v>
      </c>
      <c r="C494" s="165" t="s">
        <v>929</v>
      </c>
      <c r="D494" s="165" t="s">
        <v>15</v>
      </c>
      <c r="E494" s="157">
        <v>40907</v>
      </c>
      <c r="F494" s="165" t="s">
        <v>16</v>
      </c>
      <c r="G494" s="165" t="s">
        <v>149</v>
      </c>
      <c r="H494" s="165" t="s">
        <v>16</v>
      </c>
      <c r="I494" s="165" t="s">
        <v>148</v>
      </c>
      <c r="J494" s="165" t="s">
        <v>148</v>
      </c>
      <c r="K494" s="165" t="s">
        <v>16</v>
      </c>
      <c r="L494" s="165" t="s">
        <v>16</v>
      </c>
      <c r="M494" s="165" t="s">
        <v>16</v>
      </c>
      <c r="N494" s="165" t="s">
        <v>148</v>
      </c>
      <c r="O494" s="165" t="s">
        <v>16</v>
      </c>
      <c r="P494" s="165" t="s">
        <v>148</v>
      </c>
      <c r="Q494" s="165" t="s">
        <v>16</v>
      </c>
      <c r="R494" s="165" t="s">
        <v>16</v>
      </c>
      <c r="S494" s="165" t="s">
        <v>148</v>
      </c>
      <c r="T494" s="165" t="s">
        <v>148</v>
      </c>
      <c r="U494" s="165" t="s">
        <v>148</v>
      </c>
      <c r="V494" s="165" t="s">
        <v>148</v>
      </c>
      <c r="W494" s="165" t="s">
        <v>148</v>
      </c>
      <c r="X494" s="165" t="s">
        <v>148</v>
      </c>
      <c r="Y494" s="165" t="s">
        <v>148</v>
      </c>
      <c r="Z494" s="165" t="s">
        <v>16</v>
      </c>
      <c r="AA494" s="165" t="s">
        <v>148</v>
      </c>
      <c r="AB494" s="165" t="s">
        <v>148</v>
      </c>
      <c r="AC494" s="165" t="s">
        <v>148</v>
      </c>
      <c r="AD494" s="165" t="s">
        <v>148</v>
      </c>
      <c r="AE494" s="165" t="s">
        <v>930</v>
      </c>
      <c r="AF494" s="165"/>
    </row>
    <row r="495" spans="1:32" x14ac:dyDescent="0.3">
      <c r="A495" s="165" t="s">
        <v>936</v>
      </c>
      <c r="B495" s="165" t="s">
        <v>14</v>
      </c>
      <c r="C495" s="165" t="s">
        <v>929</v>
      </c>
      <c r="D495" s="165" t="s">
        <v>15</v>
      </c>
      <c r="E495" s="157">
        <v>40907</v>
      </c>
      <c r="F495" s="165" t="s">
        <v>16</v>
      </c>
      <c r="G495" s="165" t="s">
        <v>16</v>
      </c>
      <c r="H495" s="165" t="s">
        <v>16</v>
      </c>
      <c r="I495" s="165" t="s">
        <v>16</v>
      </c>
      <c r="J495" s="165" t="s">
        <v>16</v>
      </c>
      <c r="K495" s="165" t="s">
        <v>16</v>
      </c>
      <c r="L495" s="165" t="s">
        <v>16</v>
      </c>
      <c r="M495" s="165" t="s">
        <v>16</v>
      </c>
      <c r="N495" s="165" t="s">
        <v>148</v>
      </c>
      <c r="O495" s="165" t="s">
        <v>148</v>
      </c>
      <c r="P495" s="165" t="s">
        <v>148</v>
      </c>
      <c r="Q495" s="165" t="s">
        <v>16</v>
      </c>
      <c r="R495" s="165" t="s">
        <v>16</v>
      </c>
      <c r="S495" s="165" t="s">
        <v>148</v>
      </c>
      <c r="T495" s="165" t="s">
        <v>16</v>
      </c>
      <c r="U495" s="165" t="s">
        <v>16</v>
      </c>
      <c r="V495" s="165" t="s">
        <v>16</v>
      </c>
      <c r="W495" s="165" t="s">
        <v>16</v>
      </c>
      <c r="X495" s="165" t="s">
        <v>16</v>
      </c>
      <c r="Y495" s="165" t="s">
        <v>16</v>
      </c>
      <c r="Z495" s="165" t="s">
        <v>16</v>
      </c>
      <c r="AA495" s="165" t="s">
        <v>16</v>
      </c>
      <c r="AB495" s="165" t="s">
        <v>16</v>
      </c>
      <c r="AC495" s="165" t="s">
        <v>16</v>
      </c>
      <c r="AD495" s="165" t="s">
        <v>16</v>
      </c>
      <c r="AE495" s="165" t="s">
        <v>937</v>
      </c>
      <c r="AF495" s="165"/>
    </row>
    <row r="496" spans="1:32" x14ac:dyDescent="0.3">
      <c r="A496" s="165" t="s">
        <v>938</v>
      </c>
      <c r="B496" s="165" t="s">
        <v>14</v>
      </c>
      <c r="C496" s="165" t="s">
        <v>929</v>
      </c>
      <c r="D496" s="165" t="s">
        <v>15</v>
      </c>
      <c r="E496" s="157">
        <v>40907</v>
      </c>
      <c r="F496" s="165" t="s">
        <v>16</v>
      </c>
      <c r="G496" s="165" t="s">
        <v>16</v>
      </c>
      <c r="H496" s="165" t="s">
        <v>16</v>
      </c>
      <c r="I496" s="165" t="s">
        <v>16</v>
      </c>
      <c r="J496" s="165" t="s">
        <v>16</v>
      </c>
      <c r="K496" s="165" t="s">
        <v>16</v>
      </c>
      <c r="L496" s="165" t="s">
        <v>16</v>
      </c>
      <c r="M496" s="165" t="s">
        <v>16</v>
      </c>
      <c r="N496" s="165" t="s">
        <v>16</v>
      </c>
      <c r="O496" s="165" t="s">
        <v>16</v>
      </c>
      <c r="P496" s="165" t="s">
        <v>16</v>
      </c>
      <c r="Q496" s="165" t="s">
        <v>16</v>
      </c>
      <c r="R496" s="165" t="s">
        <v>16</v>
      </c>
      <c r="S496" s="165" t="s">
        <v>16</v>
      </c>
      <c r="T496" s="165" t="s">
        <v>16</v>
      </c>
      <c r="U496" s="165" t="s">
        <v>16</v>
      </c>
      <c r="V496" s="165" t="s">
        <v>16</v>
      </c>
      <c r="W496" s="165" t="s">
        <v>16</v>
      </c>
      <c r="X496" s="165" t="s">
        <v>16</v>
      </c>
      <c r="Y496" s="165" t="s">
        <v>16</v>
      </c>
      <c r="Z496" s="165" t="s">
        <v>16</v>
      </c>
      <c r="AA496" s="165" t="s">
        <v>16</v>
      </c>
      <c r="AB496" s="165" t="s">
        <v>16</v>
      </c>
      <c r="AC496" s="165" t="s">
        <v>16</v>
      </c>
      <c r="AD496" s="165" t="s">
        <v>16</v>
      </c>
      <c r="AE496" s="165" t="s">
        <v>934</v>
      </c>
      <c r="AF496" s="165"/>
    </row>
    <row r="497" spans="1:32" x14ac:dyDescent="0.3">
      <c r="A497" s="165" t="s">
        <v>939</v>
      </c>
      <c r="B497" s="165" t="s">
        <v>14</v>
      </c>
      <c r="C497" s="165" t="s">
        <v>929</v>
      </c>
      <c r="D497" s="165" t="s">
        <v>15</v>
      </c>
      <c r="E497" s="157">
        <v>40907</v>
      </c>
      <c r="F497" s="165" t="s">
        <v>16</v>
      </c>
      <c r="G497" s="165" t="s">
        <v>16</v>
      </c>
      <c r="H497" s="165" t="s">
        <v>16</v>
      </c>
      <c r="I497" s="165" t="s">
        <v>16</v>
      </c>
      <c r="J497" s="165" t="s">
        <v>16</v>
      </c>
      <c r="K497" s="165" t="s">
        <v>16</v>
      </c>
      <c r="L497" s="165" t="s">
        <v>148</v>
      </c>
      <c r="M497" s="165" t="s">
        <v>16</v>
      </c>
      <c r="N497" s="165" t="s">
        <v>16</v>
      </c>
      <c r="O497" s="165" t="s">
        <v>16</v>
      </c>
      <c r="P497" s="165" t="s">
        <v>16</v>
      </c>
      <c r="Q497" s="165" t="s">
        <v>16</v>
      </c>
      <c r="R497" s="165" t="s">
        <v>16</v>
      </c>
      <c r="S497" s="165" t="s">
        <v>16</v>
      </c>
      <c r="T497" s="165" t="s">
        <v>16</v>
      </c>
      <c r="U497" s="165" t="s">
        <v>148</v>
      </c>
      <c r="V497" s="165" t="s">
        <v>16</v>
      </c>
      <c r="W497" s="165" t="s">
        <v>16</v>
      </c>
      <c r="X497" s="165" t="s">
        <v>16</v>
      </c>
      <c r="Y497" s="165" t="s">
        <v>16</v>
      </c>
      <c r="Z497" s="165" t="s">
        <v>16</v>
      </c>
      <c r="AA497" s="165" t="s">
        <v>16</v>
      </c>
      <c r="AB497" s="165" t="s">
        <v>16</v>
      </c>
      <c r="AC497" s="165" t="s">
        <v>16</v>
      </c>
      <c r="AD497" s="165" t="s">
        <v>16</v>
      </c>
      <c r="AE497" s="165" t="s">
        <v>930</v>
      </c>
      <c r="AF497" s="165"/>
    </row>
    <row r="498" spans="1:32" x14ac:dyDescent="0.3">
      <c r="A498" s="165" t="s">
        <v>940</v>
      </c>
      <c r="B498" s="165" t="s">
        <v>14</v>
      </c>
      <c r="C498" s="165" t="s">
        <v>929</v>
      </c>
      <c r="D498" s="165" t="s">
        <v>15</v>
      </c>
      <c r="E498" s="157">
        <v>40907</v>
      </c>
      <c r="F498" s="165" t="s">
        <v>16</v>
      </c>
      <c r="G498" s="165" t="s">
        <v>114</v>
      </c>
      <c r="H498" s="165" t="s">
        <v>16</v>
      </c>
      <c r="I498" s="165" t="s">
        <v>148</v>
      </c>
      <c r="J498" s="165" t="s">
        <v>16</v>
      </c>
      <c r="K498" s="165" t="s">
        <v>148</v>
      </c>
      <c r="L498" s="165" t="s">
        <v>149</v>
      </c>
      <c r="M498" s="165" t="s">
        <v>148</v>
      </c>
      <c r="N498" s="165" t="s">
        <v>148</v>
      </c>
      <c r="O498" s="165" t="s">
        <v>149</v>
      </c>
      <c r="P498" s="165" t="s">
        <v>148</v>
      </c>
      <c r="Q498" s="165" t="s">
        <v>16</v>
      </c>
      <c r="R498" s="165" t="s">
        <v>148</v>
      </c>
      <c r="S498" s="165" t="s">
        <v>148</v>
      </c>
      <c r="T498" s="165" t="s">
        <v>148</v>
      </c>
      <c r="U498" s="165" t="s">
        <v>148</v>
      </c>
      <c r="V498" s="165" t="s">
        <v>16</v>
      </c>
      <c r="W498" s="165" t="s">
        <v>16</v>
      </c>
      <c r="X498" s="165" t="s">
        <v>16</v>
      </c>
      <c r="Y498" s="165" t="s">
        <v>114</v>
      </c>
      <c r="Z498" s="165" t="s">
        <v>16</v>
      </c>
      <c r="AA498" s="165" t="s">
        <v>16</v>
      </c>
      <c r="AB498" s="165" t="s">
        <v>16</v>
      </c>
      <c r="AC498" s="165" t="s">
        <v>149</v>
      </c>
      <c r="AD498" s="165" t="s">
        <v>16</v>
      </c>
      <c r="AE498" s="165" t="s">
        <v>941</v>
      </c>
      <c r="AF498" s="165"/>
    </row>
    <row r="499" spans="1:32" x14ac:dyDescent="0.3">
      <c r="A499" s="165" t="s">
        <v>942</v>
      </c>
      <c r="B499" s="165" t="s">
        <v>14</v>
      </c>
      <c r="C499" s="165" t="s">
        <v>929</v>
      </c>
      <c r="D499" s="165" t="s">
        <v>15</v>
      </c>
      <c r="E499" s="157">
        <v>40907</v>
      </c>
      <c r="F499" s="165" t="s">
        <v>16</v>
      </c>
      <c r="G499" s="165" t="s">
        <v>16</v>
      </c>
      <c r="H499" s="165" t="s">
        <v>16</v>
      </c>
      <c r="I499" s="165" t="s">
        <v>16</v>
      </c>
      <c r="J499" s="165" t="s">
        <v>16</v>
      </c>
      <c r="K499" s="165" t="s">
        <v>16</v>
      </c>
      <c r="L499" s="165" t="s">
        <v>148</v>
      </c>
      <c r="M499" s="165" t="s">
        <v>150</v>
      </c>
      <c r="N499" s="165" t="s">
        <v>148</v>
      </c>
      <c r="O499" s="165" t="s">
        <v>16</v>
      </c>
      <c r="P499" s="165" t="s">
        <v>16</v>
      </c>
      <c r="Q499" s="165" t="s">
        <v>16</v>
      </c>
      <c r="R499" s="165" t="s">
        <v>16</v>
      </c>
      <c r="S499" s="165" t="s">
        <v>148</v>
      </c>
      <c r="T499" s="165" t="s">
        <v>148</v>
      </c>
      <c r="U499" s="165" t="s">
        <v>148</v>
      </c>
      <c r="V499" s="165" t="s">
        <v>16</v>
      </c>
      <c r="W499" s="165" t="s">
        <v>16</v>
      </c>
      <c r="X499" s="165" t="s">
        <v>16</v>
      </c>
      <c r="Y499" s="165" t="s">
        <v>16</v>
      </c>
      <c r="Z499" s="165" t="s">
        <v>148</v>
      </c>
      <c r="AA499" s="165" t="s">
        <v>16</v>
      </c>
      <c r="AB499" s="165" t="s">
        <v>16</v>
      </c>
      <c r="AC499" s="165" t="s">
        <v>16</v>
      </c>
      <c r="AD499" s="165" t="s">
        <v>16</v>
      </c>
      <c r="AE499" s="165"/>
      <c r="AF499" s="165"/>
    </row>
    <row r="500" spans="1:32" x14ac:dyDescent="0.3">
      <c r="A500" s="165" t="s">
        <v>943</v>
      </c>
      <c r="B500" s="165" t="s">
        <v>14</v>
      </c>
      <c r="C500" s="165" t="s">
        <v>929</v>
      </c>
      <c r="D500" s="165" t="s">
        <v>15</v>
      </c>
      <c r="E500" s="157">
        <v>40907</v>
      </c>
      <c r="F500" s="165" t="s">
        <v>148</v>
      </c>
      <c r="G500" s="165" t="s">
        <v>16</v>
      </c>
      <c r="H500" s="165" t="s">
        <v>16</v>
      </c>
      <c r="I500" s="165" t="s">
        <v>148</v>
      </c>
      <c r="J500" s="165" t="s">
        <v>16</v>
      </c>
      <c r="K500" s="165" t="s">
        <v>16</v>
      </c>
      <c r="L500" s="165" t="s">
        <v>16</v>
      </c>
      <c r="M500" s="165" t="s">
        <v>16</v>
      </c>
      <c r="N500" s="165" t="s">
        <v>16</v>
      </c>
      <c r="O500" s="165" t="s">
        <v>148</v>
      </c>
      <c r="P500" s="165" t="s">
        <v>16</v>
      </c>
      <c r="Q500" s="165" t="s">
        <v>16</v>
      </c>
      <c r="R500" s="165" t="s">
        <v>16</v>
      </c>
      <c r="S500" s="165" t="s">
        <v>16</v>
      </c>
      <c r="T500" s="165" t="s">
        <v>16</v>
      </c>
      <c r="U500" s="165" t="s">
        <v>16</v>
      </c>
      <c r="V500" s="165" t="s">
        <v>16</v>
      </c>
      <c r="W500" s="165" t="s">
        <v>16</v>
      </c>
      <c r="X500" s="165" t="s">
        <v>16</v>
      </c>
      <c r="Y500" s="165" t="s">
        <v>16</v>
      </c>
      <c r="Z500" s="165" t="s">
        <v>16</v>
      </c>
      <c r="AA500" s="165" t="s">
        <v>16</v>
      </c>
      <c r="AB500" s="165" t="s">
        <v>16</v>
      </c>
      <c r="AC500" s="165" t="s">
        <v>16</v>
      </c>
      <c r="AD500" s="165" t="s">
        <v>16</v>
      </c>
      <c r="AE500" s="165" t="s">
        <v>944</v>
      </c>
      <c r="AF500" s="165" t="s">
        <v>945</v>
      </c>
    </row>
    <row r="501" spans="1:32" x14ac:dyDescent="0.3">
      <c r="A501" s="165" t="s">
        <v>946</v>
      </c>
      <c r="B501" s="165" t="s">
        <v>14</v>
      </c>
      <c r="C501" s="165" t="s">
        <v>929</v>
      </c>
      <c r="D501" s="165" t="s">
        <v>15</v>
      </c>
      <c r="E501" s="157">
        <v>40907</v>
      </c>
      <c r="F501" s="165" t="s">
        <v>16</v>
      </c>
      <c r="G501" s="165" t="s">
        <v>16</v>
      </c>
      <c r="H501" s="165" t="s">
        <v>16</v>
      </c>
      <c r="I501" s="165" t="s">
        <v>16</v>
      </c>
      <c r="J501" s="165" t="s">
        <v>16</v>
      </c>
      <c r="K501" s="165" t="s">
        <v>16</v>
      </c>
      <c r="L501" s="165" t="s">
        <v>16</v>
      </c>
      <c r="M501" s="165" t="s">
        <v>148</v>
      </c>
      <c r="N501" s="165" t="s">
        <v>148</v>
      </c>
      <c r="O501" s="165" t="s">
        <v>16</v>
      </c>
      <c r="P501" s="165" t="s">
        <v>148</v>
      </c>
      <c r="Q501" s="165" t="s">
        <v>16</v>
      </c>
      <c r="R501" s="165" t="s">
        <v>148</v>
      </c>
      <c r="S501" s="165" t="s">
        <v>148</v>
      </c>
      <c r="T501" s="165" t="s">
        <v>16</v>
      </c>
      <c r="U501" s="165" t="s">
        <v>16</v>
      </c>
      <c r="V501" s="165" t="s">
        <v>148</v>
      </c>
      <c r="W501" s="165" t="s">
        <v>148</v>
      </c>
      <c r="X501" s="165" t="s">
        <v>16</v>
      </c>
      <c r="Y501" s="165" t="s">
        <v>16</v>
      </c>
      <c r="Z501" s="165" t="s">
        <v>16</v>
      </c>
      <c r="AA501" s="165" t="s">
        <v>16</v>
      </c>
      <c r="AB501" s="165" t="s">
        <v>148</v>
      </c>
      <c r="AC501" s="165" t="s">
        <v>148</v>
      </c>
      <c r="AD501" s="165" t="s">
        <v>16</v>
      </c>
      <c r="AE501" s="165" t="s">
        <v>930</v>
      </c>
      <c r="AF501" s="165"/>
    </row>
    <row r="502" spans="1:32" x14ac:dyDescent="0.3">
      <c r="A502" s="165" t="s">
        <v>947</v>
      </c>
      <c r="B502" s="165" t="s">
        <v>14</v>
      </c>
      <c r="C502" s="165" t="s">
        <v>929</v>
      </c>
      <c r="D502" s="165" t="s">
        <v>15</v>
      </c>
      <c r="E502" s="157">
        <v>40907</v>
      </c>
      <c r="F502" s="165" t="s">
        <v>16</v>
      </c>
      <c r="G502" s="165" t="s">
        <v>148</v>
      </c>
      <c r="H502" s="165" t="s">
        <v>149</v>
      </c>
      <c r="I502" s="165" t="s">
        <v>149</v>
      </c>
      <c r="J502" s="165" t="s">
        <v>16</v>
      </c>
      <c r="K502" s="165" t="s">
        <v>149</v>
      </c>
      <c r="L502" s="165" t="s">
        <v>149</v>
      </c>
      <c r="M502" s="165" t="s">
        <v>16</v>
      </c>
      <c r="N502" s="165" t="s">
        <v>148</v>
      </c>
      <c r="O502" s="165" t="s">
        <v>149</v>
      </c>
      <c r="P502" s="165" t="s">
        <v>16</v>
      </c>
      <c r="Q502" s="165" t="s">
        <v>149</v>
      </c>
      <c r="R502" s="165" t="s">
        <v>16</v>
      </c>
      <c r="S502" s="165" t="s">
        <v>148</v>
      </c>
      <c r="T502" s="165" t="s">
        <v>149</v>
      </c>
      <c r="U502" s="165" t="s">
        <v>16</v>
      </c>
      <c r="V502" s="165" t="s">
        <v>149</v>
      </c>
      <c r="W502" s="165" t="s">
        <v>149</v>
      </c>
      <c r="X502" s="165" t="s">
        <v>16</v>
      </c>
      <c r="Y502" s="165" t="s">
        <v>149</v>
      </c>
      <c r="Z502" s="165" t="s">
        <v>16</v>
      </c>
      <c r="AA502" s="165" t="s">
        <v>16</v>
      </c>
      <c r="AB502" s="165" t="s">
        <v>16</v>
      </c>
      <c r="AC502" s="165" t="s">
        <v>148</v>
      </c>
      <c r="AD502" s="165" t="s">
        <v>149</v>
      </c>
      <c r="AE502" s="165" t="s">
        <v>930</v>
      </c>
      <c r="AF502" s="165" t="s">
        <v>948</v>
      </c>
    </row>
    <row r="503" spans="1:32" x14ac:dyDescent="0.3">
      <c r="A503" s="165" t="s">
        <v>949</v>
      </c>
      <c r="B503" s="165" t="s">
        <v>14</v>
      </c>
      <c r="C503" s="165" t="s">
        <v>929</v>
      </c>
      <c r="D503" s="165" t="s">
        <v>15</v>
      </c>
      <c r="E503" s="157">
        <v>40907</v>
      </c>
      <c r="F503" s="165" t="s">
        <v>148</v>
      </c>
      <c r="G503" s="165" t="s">
        <v>150</v>
      </c>
      <c r="H503" s="165" t="s">
        <v>148</v>
      </c>
      <c r="I503" s="165" t="s">
        <v>16</v>
      </c>
      <c r="J503" s="165" t="s">
        <v>148</v>
      </c>
      <c r="K503" s="165" t="s">
        <v>16</v>
      </c>
      <c r="L503" s="165" t="s">
        <v>16</v>
      </c>
      <c r="M503" s="165" t="s">
        <v>148</v>
      </c>
      <c r="N503" s="165" t="s">
        <v>16</v>
      </c>
      <c r="O503" s="165" t="s">
        <v>148</v>
      </c>
      <c r="P503" s="165" t="s">
        <v>148</v>
      </c>
      <c r="Q503" s="165" t="s">
        <v>16</v>
      </c>
      <c r="R503" s="165" t="s">
        <v>16</v>
      </c>
      <c r="S503" s="165" t="s">
        <v>148</v>
      </c>
      <c r="T503" s="165" t="s">
        <v>148</v>
      </c>
      <c r="U503" s="165" t="s">
        <v>148</v>
      </c>
      <c r="V503" s="165" t="s">
        <v>16</v>
      </c>
      <c r="W503" s="165" t="s">
        <v>148</v>
      </c>
      <c r="X503" s="165" t="s">
        <v>16</v>
      </c>
      <c r="Y503" s="165" t="s">
        <v>16</v>
      </c>
      <c r="Z503" s="165" t="s">
        <v>16</v>
      </c>
      <c r="AA503" s="165" t="s">
        <v>16</v>
      </c>
      <c r="AB503" s="165" t="s">
        <v>16</v>
      </c>
      <c r="AC503" s="165" t="s">
        <v>16</v>
      </c>
      <c r="AD503" s="165" t="s">
        <v>148</v>
      </c>
      <c r="AE503" s="165" t="s">
        <v>950</v>
      </c>
      <c r="AF503" s="165" t="s">
        <v>951</v>
      </c>
    </row>
    <row r="504" spans="1:32" x14ac:dyDescent="0.3">
      <c r="A504" s="165" t="s">
        <v>952</v>
      </c>
      <c r="B504" s="165" t="s">
        <v>14</v>
      </c>
      <c r="C504" s="165" t="s">
        <v>929</v>
      </c>
      <c r="D504" s="165" t="s">
        <v>15</v>
      </c>
      <c r="E504" s="157">
        <v>40907</v>
      </c>
      <c r="F504" s="165" t="s">
        <v>16</v>
      </c>
      <c r="G504" s="165" t="s">
        <v>148</v>
      </c>
      <c r="H504" s="165" t="s">
        <v>16</v>
      </c>
      <c r="I504" s="165" t="s">
        <v>16</v>
      </c>
      <c r="J504" s="165" t="s">
        <v>16</v>
      </c>
      <c r="K504" s="165" t="s">
        <v>16</v>
      </c>
      <c r="L504" s="165" t="s">
        <v>16</v>
      </c>
      <c r="M504" s="165" t="s">
        <v>16</v>
      </c>
      <c r="N504" s="165" t="s">
        <v>16</v>
      </c>
      <c r="O504" s="165" t="s">
        <v>16</v>
      </c>
      <c r="P504" s="165" t="s">
        <v>16</v>
      </c>
      <c r="Q504" s="165" t="s">
        <v>16</v>
      </c>
      <c r="R504" s="165" t="s">
        <v>16</v>
      </c>
      <c r="S504" s="165" t="s">
        <v>16</v>
      </c>
      <c r="T504" s="165" t="s">
        <v>16</v>
      </c>
      <c r="U504" s="165" t="s">
        <v>16</v>
      </c>
      <c r="V504" s="165" t="s">
        <v>16</v>
      </c>
      <c r="W504" s="165" t="s">
        <v>16</v>
      </c>
      <c r="X504" s="165" t="s">
        <v>16</v>
      </c>
      <c r="Y504" s="165" t="s">
        <v>16</v>
      </c>
      <c r="Z504" s="165" t="s">
        <v>16</v>
      </c>
      <c r="AA504" s="165" t="s">
        <v>16</v>
      </c>
      <c r="AB504" s="165" t="s">
        <v>16</v>
      </c>
      <c r="AC504" s="165" t="s">
        <v>16</v>
      </c>
      <c r="AD504" s="165" t="s">
        <v>16</v>
      </c>
      <c r="AE504" s="165" t="s">
        <v>930</v>
      </c>
      <c r="AF504" s="165"/>
    </row>
    <row r="505" spans="1:32" x14ac:dyDescent="0.3">
      <c r="A505" s="165" t="s">
        <v>953</v>
      </c>
      <c r="B505" s="165" t="s">
        <v>14</v>
      </c>
      <c r="C505" s="165" t="s">
        <v>929</v>
      </c>
      <c r="D505" s="165" t="s">
        <v>15</v>
      </c>
      <c r="E505" s="157">
        <v>40907</v>
      </c>
      <c r="F505" s="165" t="s">
        <v>149</v>
      </c>
      <c r="G505" s="165" t="s">
        <v>149</v>
      </c>
      <c r="H505" s="165" t="s">
        <v>149</v>
      </c>
      <c r="I505" s="165" t="s">
        <v>149</v>
      </c>
      <c r="J505" s="165" t="s">
        <v>16</v>
      </c>
      <c r="K505" s="165" t="s">
        <v>149</v>
      </c>
      <c r="L505" s="165" t="s">
        <v>151</v>
      </c>
      <c r="M505" s="165" t="s">
        <v>149</v>
      </c>
      <c r="N505" s="165" t="s">
        <v>149</v>
      </c>
      <c r="O505" s="165" t="s">
        <v>149</v>
      </c>
      <c r="P505" s="165" t="s">
        <v>149</v>
      </c>
      <c r="Q505" s="165" t="s">
        <v>149</v>
      </c>
      <c r="R505" s="165" t="s">
        <v>16</v>
      </c>
      <c r="S505" s="165" t="s">
        <v>16</v>
      </c>
      <c r="T505" s="165" t="s">
        <v>149</v>
      </c>
      <c r="U505" s="165" t="s">
        <v>151</v>
      </c>
      <c r="V505" s="165" t="s">
        <v>151</v>
      </c>
      <c r="W505" s="165" t="s">
        <v>149</v>
      </c>
      <c r="X505" s="165" t="s">
        <v>16</v>
      </c>
      <c r="Y505" s="165" t="s">
        <v>151</v>
      </c>
      <c r="Z505" s="165" t="s">
        <v>149</v>
      </c>
      <c r="AA505" s="165" t="s">
        <v>151</v>
      </c>
      <c r="AB505" s="165" t="s">
        <v>148</v>
      </c>
      <c r="AC505" s="165" t="s">
        <v>148</v>
      </c>
      <c r="AD505" s="165" t="s">
        <v>149</v>
      </c>
      <c r="AE505" s="165" t="s">
        <v>954</v>
      </c>
      <c r="AF505" s="165"/>
    </row>
    <row r="506" spans="1:32" x14ac:dyDescent="0.3">
      <c r="A506" s="165" t="s">
        <v>955</v>
      </c>
      <c r="B506" s="165" t="s">
        <v>14</v>
      </c>
      <c r="C506" s="165" t="s">
        <v>929</v>
      </c>
      <c r="D506" s="165" t="s">
        <v>15</v>
      </c>
      <c r="E506" s="157">
        <v>40907</v>
      </c>
      <c r="F506" s="165" t="s">
        <v>148</v>
      </c>
      <c r="G506" s="165" t="s">
        <v>16</v>
      </c>
      <c r="H506" s="165" t="s">
        <v>16</v>
      </c>
      <c r="I506" s="165" t="s">
        <v>16</v>
      </c>
      <c r="J506" s="165" t="s">
        <v>16</v>
      </c>
      <c r="K506" s="165" t="s">
        <v>16</v>
      </c>
      <c r="L506" s="165" t="s">
        <v>16</v>
      </c>
      <c r="M506" s="165" t="s">
        <v>16</v>
      </c>
      <c r="N506" s="165" t="s">
        <v>16</v>
      </c>
      <c r="O506" s="165" t="s">
        <v>148</v>
      </c>
      <c r="P506" s="165" t="s">
        <v>16</v>
      </c>
      <c r="Q506" s="165" t="s">
        <v>16</v>
      </c>
      <c r="R506" s="165" t="s">
        <v>16</v>
      </c>
      <c r="S506" s="165" t="s">
        <v>16</v>
      </c>
      <c r="T506" s="165" t="s">
        <v>16</v>
      </c>
      <c r="U506" s="165" t="s">
        <v>16</v>
      </c>
      <c r="V506" s="165" t="s">
        <v>16</v>
      </c>
      <c r="W506" s="165" t="s">
        <v>16</v>
      </c>
      <c r="X506" s="165" t="s">
        <v>16</v>
      </c>
      <c r="Y506" s="165" t="s">
        <v>16</v>
      </c>
      <c r="Z506" s="165" t="s">
        <v>16</v>
      </c>
      <c r="AA506" s="165" t="s">
        <v>16</v>
      </c>
      <c r="AB506" s="165" t="s">
        <v>149</v>
      </c>
      <c r="AC506" s="165" t="s">
        <v>16</v>
      </c>
      <c r="AD506" s="165" t="s">
        <v>16</v>
      </c>
      <c r="AE506" s="165" t="s">
        <v>934</v>
      </c>
      <c r="AF506" s="165"/>
    </row>
    <row r="507" spans="1:32" x14ac:dyDescent="0.3">
      <c r="A507" s="165" t="s">
        <v>956</v>
      </c>
      <c r="B507" s="165" t="s">
        <v>14</v>
      </c>
      <c r="C507" s="165" t="s">
        <v>929</v>
      </c>
      <c r="D507" s="165" t="s">
        <v>15</v>
      </c>
      <c r="E507" s="157">
        <v>40907</v>
      </c>
      <c r="F507" s="165" t="s">
        <v>16</v>
      </c>
      <c r="G507" s="165" t="s">
        <v>16</v>
      </c>
      <c r="H507" s="165" t="s">
        <v>16</v>
      </c>
      <c r="I507" s="165" t="s">
        <v>16</v>
      </c>
      <c r="J507" s="165" t="s">
        <v>16</v>
      </c>
      <c r="K507" s="165" t="s">
        <v>16</v>
      </c>
      <c r="L507" s="165" t="s">
        <v>16</v>
      </c>
      <c r="M507" s="165" t="s">
        <v>16</v>
      </c>
      <c r="N507" s="165" t="s">
        <v>16</v>
      </c>
      <c r="O507" s="165" t="s">
        <v>16</v>
      </c>
      <c r="P507" s="165" t="s">
        <v>16</v>
      </c>
      <c r="Q507" s="165" t="s">
        <v>16</v>
      </c>
      <c r="R507" s="165" t="s">
        <v>16</v>
      </c>
      <c r="S507" s="165" t="s">
        <v>16</v>
      </c>
      <c r="T507" s="165" t="s">
        <v>16</v>
      </c>
      <c r="U507" s="165" t="s">
        <v>16</v>
      </c>
      <c r="V507" s="165" t="s">
        <v>16</v>
      </c>
      <c r="W507" s="165" t="s">
        <v>16</v>
      </c>
      <c r="X507" s="165" t="s">
        <v>16</v>
      </c>
      <c r="Y507" s="165" t="s">
        <v>16</v>
      </c>
      <c r="Z507" s="165" t="s">
        <v>16</v>
      </c>
      <c r="AA507" s="165" t="s">
        <v>16</v>
      </c>
      <c r="AB507" s="165" t="s">
        <v>16</v>
      </c>
      <c r="AC507" s="165" t="s">
        <v>16</v>
      </c>
      <c r="AD507" s="165" t="s">
        <v>16</v>
      </c>
      <c r="AE507" s="165" t="s">
        <v>930</v>
      </c>
      <c r="AF507" s="165"/>
    </row>
    <row r="508" spans="1:32" x14ac:dyDescent="0.3">
      <c r="A508" s="165" t="s">
        <v>957</v>
      </c>
      <c r="B508" s="165" t="s">
        <v>14</v>
      </c>
      <c r="C508" s="165" t="s">
        <v>929</v>
      </c>
      <c r="D508" s="165" t="s">
        <v>15</v>
      </c>
      <c r="E508" s="157">
        <v>40907</v>
      </c>
      <c r="F508" s="165" t="s">
        <v>16</v>
      </c>
      <c r="G508" s="165" t="s">
        <v>16</v>
      </c>
      <c r="H508" s="165" t="s">
        <v>16</v>
      </c>
      <c r="I508" s="165" t="s">
        <v>148</v>
      </c>
      <c r="J508" s="165" t="s">
        <v>149</v>
      </c>
      <c r="K508" s="165" t="s">
        <v>16</v>
      </c>
      <c r="L508" s="165" t="s">
        <v>16</v>
      </c>
      <c r="M508" s="165" t="s">
        <v>16</v>
      </c>
      <c r="N508" s="165" t="s">
        <v>148</v>
      </c>
      <c r="O508" s="165" t="s">
        <v>148</v>
      </c>
      <c r="P508" s="165" t="s">
        <v>148</v>
      </c>
      <c r="Q508" s="165" t="s">
        <v>149</v>
      </c>
      <c r="R508" s="165" t="s">
        <v>16</v>
      </c>
      <c r="S508" s="165" t="s">
        <v>148</v>
      </c>
      <c r="T508" s="165" t="s">
        <v>16</v>
      </c>
      <c r="U508" s="165" t="s">
        <v>16</v>
      </c>
      <c r="V508" s="165" t="s">
        <v>16</v>
      </c>
      <c r="W508" s="165" t="s">
        <v>16</v>
      </c>
      <c r="X508" s="165" t="s">
        <v>148</v>
      </c>
      <c r="Y508" s="165" t="s">
        <v>16</v>
      </c>
      <c r="Z508" s="165" t="s">
        <v>149</v>
      </c>
      <c r="AA508" s="165" t="s">
        <v>149</v>
      </c>
      <c r="AB508" s="165" t="s">
        <v>16</v>
      </c>
      <c r="AC508" s="165" t="s">
        <v>16</v>
      </c>
      <c r="AD508" s="165" t="s">
        <v>16</v>
      </c>
      <c r="AE508" s="165" t="s">
        <v>930</v>
      </c>
      <c r="AF508" s="165"/>
    </row>
    <row r="509" spans="1:32" x14ac:dyDescent="0.3">
      <c r="A509" s="165" t="s">
        <v>958</v>
      </c>
      <c r="B509" s="165" t="s">
        <v>14</v>
      </c>
      <c r="C509" s="165" t="s">
        <v>929</v>
      </c>
      <c r="D509" s="165" t="s">
        <v>15</v>
      </c>
      <c r="E509" s="157">
        <v>40907</v>
      </c>
      <c r="F509" s="165" t="s">
        <v>16</v>
      </c>
      <c r="G509" s="165" t="s">
        <v>148</v>
      </c>
      <c r="H509" s="165" t="s">
        <v>16</v>
      </c>
      <c r="I509" s="165" t="s">
        <v>148</v>
      </c>
      <c r="J509" s="165" t="s">
        <v>148</v>
      </c>
      <c r="K509" s="165" t="s">
        <v>16</v>
      </c>
      <c r="L509" s="165" t="s">
        <v>16</v>
      </c>
      <c r="M509" s="165" t="s">
        <v>16</v>
      </c>
      <c r="N509" s="165" t="s">
        <v>148</v>
      </c>
      <c r="O509" s="165" t="s">
        <v>16</v>
      </c>
      <c r="P509" s="165" t="s">
        <v>148</v>
      </c>
      <c r="Q509" s="165" t="s">
        <v>16</v>
      </c>
      <c r="R509" s="165" t="s">
        <v>16</v>
      </c>
      <c r="S509" s="165" t="s">
        <v>148</v>
      </c>
      <c r="T509" s="165" t="s">
        <v>16</v>
      </c>
      <c r="U509" s="165" t="s">
        <v>16</v>
      </c>
      <c r="V509" s="165" t="s">
        <v>16</v>
      </c>
      <c r="W509" s="165" t="s">
        <v>16</v>
      </c>
      <c r="X509" s="165" t="s">
        <v>148</v>
      </c>
      <c r="Y509" s="165" t="s">
        <v>16</v>
      </c>
      <c r="Z509" s="165" t="s">
        <v>16</v>
      </c>
      <c r="AA509" s="165" t="s">
        <v>16</v>
      </c>
      <c r="AB509" s="165" t="s">
        <v>149</v>
      </c>
      <c r="AC509" s="165" t="s">
        <v>16</v>
      </c>
      <c r="AD509" s="165" t="s">
        <v>148</v>
      </c>
      <c r="AE509" s="165" t="s">
        <v>950</v>
      </c>
      <c r="AF509" s="165"/>
    </row>
    <row r="510" spans="1:32" x14ac:dyDescent="0.3">
      <c r="A510" s="165" t="s">
        <v>959</v>
      </c>
      <c r="B510" s="165" t="s">
        <v>14</v>
      </c>
      <c r="C510" s="165" t="s">
        <v>929</v>
      </c>
      <c r="D510" s="165" t="s">
        <v>15</v>
      </c>
      <c r="E510" s="157">
        <v>40907</v>
      </c>
      <c r="F510" s="165" t="s">
        <v>148</v>
      </c>
      <c r="G510" s="165" t="s">
        <v>148</v>
      </c>
      <c r="H510" s="165" t="s">
        <v>148</v>
      </c>
      <c r="I510" s="165" t="s">
        <v>148</v>
      </c>
      <c r="J510" s="165" t="s">
        <v>148</v>
      </c>
      <c r="K510" s="165" t="s">
        <v>16</v>
      </c>
      <c r="L510" s="165" t="s">
        <v>16</v>
      </c>
      <c r="M510" s="165" t="s">
        <v>148</v>
      </c>
      <c r="N510" s="165" t="s">
        <v>16</v>
      </c>
      <c r="O510" s="165" t="s">
        <v>148</v>
      </c>
      <c r="P510" s="165" t="s">
        <v>148</v>
      </c>
      <c r="Q510" s="165" t="s">
        <v>16</v>
      </c>
      <c r="R510" s="165" t="s">
        <v>16</v>
      </c>
      <c r="S510" s="165" t="s">
        <v>148</v>
      </c>
      <c r="T510" s="165" t="s">
        <v>16</v>
      </c>
      <c r="U510" s="165" t="s">
        <v>148</v>
      </c>
      <c r="V510" s="165" t="s">
        <v>16</v>
      </c>
      <c r="W510" s="165" t="s">
        <v>16</v>
      </c>
      <c r="X510" s="165" t="s">
        <v>16</v>
      </c>
      <c r="Y510" s="165" t="s">
        <v>16</v>
      </c>
      <c r="Z510" s="165" t="s">
        <v>16</v>
      </c>
      <c r="AA510" s="165" t="s">
        <v>16</v>
      </c>
      <c r="AB510" s="165" t="s">
        <v>148</v>
      </c>
      <c r="AC510" s="165" t="s">
        <v>16</v>
      </c>
      <c r="AD510" s="165" t="s">
        <v>16</v>
      </c>
      <c r="AE510" s="165" t="s">
        <v>960</v>
      </c>
      <c r="AF510" s="165"/>
    </row>
    <row r="511" spans="1:32" x14ac:dyDescent="0.3">
      <c r="A511" s="165" t="s">
        <v>961</v>
      </c>
      <c r="B511" s="165" t="s">
        <v>14</v>
      </c>
      <c r="C511" s="165" t="s">
        <v>929</v>
      </c>
      <c r="D511" s="165" t="s">
        <v>15</v>
      </c>
      <c r="E511" s="157">
        <v>40907</v>
      </c>
      <c r="F511" s="165" t="s">
        <v>148</v>
      </c>
      <c r="G511" s="165" t="s">
        <v>16</v>
      </c>
      <c r="H511" s="165" t="s">
        <v>149</v>
      </c>
      <c r="I511" s="165" t="s">
        <v>149</v>
      </c>
      <c r="J511" s="165" t="s">
        <v>149</v>
      </c>
      <c r="K511" s="165" t="s">
        <v>16</v>
      </c>
      <c r="L511" s="165" t="s">
        <v>149</v>
      </c>
      <c r="M511" s="165" t="s">
        <v>149</v>
      </c>
      <c r="N511" s="165" t="s">
        <v>148</v>
      </c>
      <c r="O511" s="165" t="s">
        <v>149</v>
      </c>
      <c r="P511" s="165" t="s">
        <v>16</v>
      </c>
      <c r="Q511" s="165" t="s">
        <v>16</v>
      </c>
      <c r="R511" s="165" t="s">
        <v>16</v>
      </c>
      <c r="S511" s="165" t="s">
        <v>16</v>
      </c>
      <c r="T511" s="165" t="s">
        <v>16</v>
      </c>
      <c r="U511" s="165" t="s">
        <v>151</v>
      </c>
      <c r="V511" s="165" t="s">
        <v>16</v>
      </c>
      <c r="W511" s="165" t="s">
        <v>16</v>
      </c>
      <c r="X511" s="165" t="s">
        <v>151</v>
      </c>
      <c r="Y511" s="165" t="s">
        <v>148</v>
      </c>
      <c r="Z511" s="165" t="s">
        <v>149</v>
      </c>
      <c r="AA511" s="165" t="s">
        <v>16</v>
      </c>
      <c r="AB511" s="165" t="s">
        <v>148</v>
      </c>
      <c r="AC511" s="165" t="s">
        <v>16</v>
      </c>
      <c r="AD511" s="165" t="s">
        <v>151</v>
      </c>
      <c r="AE511" s="165" t="s">
        <v>962</v>
      </c>
      <c r="AF511" s="165" t="s">
        <v>963</v>
      </c>
    </row>
    <row r="512" spans="1:32" x14ac:dyDescent="0.3">
      <c r="A512" s="165" t="s">
        <v>964</v>
      </c>
      <c r="B512" s="165" t="s">
        <v>14</v>
      </c>
      <c r="C512" s="165" t="s">
        <v>929</v>
      </c>
      <c r="D512" s="165" t="s">
        <v>15</v>
      </c>
      <c r="E512" s="157">
        <v>40907</v>
      </c>
      <c r="F512" s="165" t="s">
        <v>16</v>
      </c>
      <c r="G512" s="165" t="s">
        <v>16</v>
      </c>
      <c r="H512" s="165" t="s">
        <v>148</v>
      </c>
      <c r="I512" s="165" t="s">
        <v>148</v>
      </c>
      <c r="J512" s="165" t="s">
        <v>16</v>
      </c>
      <c r="K512" s="165" t="s">
        <v>16</v>
      </c>
      <c r="L512" s="165" t="s">
        <v>16</v>
      </c>
      <c r="M512" s="165" t="s">
        <v>148</v>
      </c>
      <c r="N512" s="165" t="s">
        <v>148</v>
      </c>
      <c r="O512" s="165" t="s">
        <v>148</v>
      </c>
      <c r="P512" s="165" t="s">
        <v>148</v>
      </c>
      <c r="Q512" s="165" t="s">
        <v>16</v>
      </c>
      <c r="R512" s="165" t="s">
        <v>16</v>
      </c>
      <c r="S512" s="165" t="s">
        <v>149</v>
      </c>
      <c r="T512" s="165" t="s">
        <v>148</v>
      </c>
      <c r="U512" s="165" t="s">
        <v>16</v>
      </c>
      <c r="V512" s="165" t="s">
        <v>16</v>
      </c>
      <c r="W512" s="165" t="s">
        <v>16</v>
      </c>
      <c r="X512" s="165" t="s">
        <v>16</v>
      </c>
      <c r="Y512" s="165" t="s">
        <v>148</v>
      </c>
      <c r="Z512" s="165" t="s">
        <v>149</v>
      </c>
      <c r="AA512" s="165" t="s">
        <v>16</v>
      </c>
      <c r="AB512" s="165" t="s">
        <v>16</v>
      </c>
      <c r="AC512" s="165" t="s">
        <v>148</v>
      </c>
      <c r="AD512" s="165" t="s">
        <v>148</v>
      </c>
      <c r="AE512" s="165" t="s">
        <v>965</v>
      </c>
      <c r="AF512" s="165"/>
    </row>
    <row r="513" spans="1:32" x14ac:dyDescent="0.3">
      <c r="A513" s="165" t="s">
        <v>966</v>
      </c>
      <c r="B513" s="165" t="s">
        <v>14</v>
      </c>
      <c r="C513" s="165" t="s">
        <v>929</v>
      </c>
      <c r="D513" s="165" t="s">
        <v>15</v>
      </c>
      <c r="E513" s="157">
        <v>40907</v>
      </c>
      <c r="F513" s="165" t="s">
        <v>16</v>
      </c>
      <c r="G513" s="165" t="s">
        <v>16</v>
      </c>
      <c r="H513" s="165" t="s">
        <v>16</v>
      </c>
      <c r="I513" s="165" t="s">
        <v>16</v>
      </c>
      <c r="J513" s="165" t="s">
        <v>16</v>
      </c>
      <c r="K513" s="165" t="s">
        <v>16</v>
      </c>
      <c r="L513" s="165" t="s">
        <v>148</v>
      </c>
      <c r="M513" s="165" t="s">
        <v>16</v>
      </c>
      <c r="N513" s="165" t="s">
        <v>148</v>
      </c>
      <c r="O513" s="165" t="s">
        <v>16</v>
      </c>
      <c r="P513" s="165" t="s">
        <v>16</v>
      </c>
      <c r="Q513" s="165" t="s">
        <v>16</v>
      </c>
      <c r="R513" s="165" t="s">
        <v>16</v>
      </c>
      <c r="S513" s="165" t="s">
        <v>16</v>
      </c>
      <c r="T513" s="165" t="s">
        <v>16</v>
      </c>
      <c r="U513" s="165" t="s">
        <v>148</v>
      </c>
      <c r="V513" s="165" t="s">
        <v>16</v>
      </c>
      <c r="W513" s="165" t="s">
        <v>16</v>
      </c>
      <c r="X513" s="165" t="s">
        <v>16</v>
      </c>
      <c r="Y513" s="165" t="s">
        <v>16</v>
      </c>
      <c r="Z513" s="165" t="s">
        <v>16</v>
      </c>
      <c r="AA513" s="165" t="s">
        <v>16</v>
      </c>
      <c r="AB513" s="165" t="s">
        <v>16</v>
      </c>
      <c r="AC513" s="165" t="s">
        <v>16</v>
      </c>
      <c r="AD513" s="165" t="s">
        <v>16</v>
      </c>
      <c r="AE513" s="165" t="s">
        <v>930</v>
      </c>
      <c r="AF513" s="165" t="s">
        <v>967</v>
      </c>
    </row>
    <row r="514" spans="1:32" x14ac:dyDescent="0.3">
      <c r="A514" s="165" t="s">
        <v>968</v>
      </c>
      <c r="B514" s="165" t="s">
        <v>14</v>
      </c>
      <c r="C514" s="165" t="s">
        <v>929</v>
      </c>
      <c r="D514" s="165" t="s">
        <v>15</v>
      </c>
      <c r="E514" s="157">
        <v>40907</v>
      </c>
      <c r="F514" s="165" t="s">
        <v>16</v>
      </c>
      <c r="G514" s="165" t="s">
        <v>16</v>
      </c>
      <c r="H514" s="165" t="s">
        <v>16</v>
      </c>
      <c r="I514" s="165" t="s">
        <v>16</v>
      </c>
      <c r="J514" s="165" t="s">
        <v>16</v>
      </c>
      <c r="K514" s="165" t="s">
        <v>16</v>
      </c>
      <c r="L514" s="165" t="s">
        <v>16</v>
      </c>
      <c r="M514" s="165" t="s">
        <v>16</v>
      </c>
      <c r="N514" s="165" t="s">
        <v>16</v>
      </c>
      <c r="O514" s="165" t="s">
        <v>16</v>
      </c>
      <c r="P514" s="165" t="s">
        <v>16</v>
      </c>
      <c r="Q514" s="165" t="s">
        <v>16</v>
      </c>
      <c r="R514" s="165" t="s">
        <v>16</v>
      </c>
      <c r="S514" s="165" t="s">
        <v>149</v>
      </c>
      <c r="T514" s="165" t="s">
        <v>16</v>
      </c>
      <c r="U514" s="165" t="s">
        <v>16</v>
      </c>
      <c r="V514" s="165" t="s">
        <v>16</v>
      </c>
      <c r="W514" s="165" t="s">
        <v>16</v>
      </c>
      <c r="X514" s="165" t="s">
        <v>16</v>
      </c>
      <c r="Y514" s="165" t="s">
        <v>16</v>
      </c>
      <c r="Z514" s="165" t="s">
        <v>149</v>
      </c>
      <c r="AA514" s="165" t="s">
        <v>149</v>
      </c>
      <c r="AB514" s="165" t="s">
        <v>16</v>
      </c>
      <c r="AC514" s="165" t="s">
        <v>16</v>
      </c>
      <c r="AD514" s="165" t="s">
        <v>16</v>
      </c>
      <c r="AE514" s="165" t="s">
        <v>969</v>
      </c>
      <c r="AF514" s="165"/>
    </row>
    <row r="515" spans="1:32" x14ac:dyDescent="0.3">
      <c r="A515" s="165" t="s">
        <v>970</v>
      </c>
      <c r="B515" s="165" t="s">
        <v>14</v>
      </c>
      <c r="C515" s="165" t="s">
        <v>929</v>
      </c>
      <c r="D515" s="165" t="s">
        <v>15</v>
      </c>
      <c r="E515" s="157">
        <v>40907</v>
      </c>
      <c r="F515" s="165" t="s">
        <v>16</v>
      </c>
      <c r="G515" s="165" t="s">
        <v>16</v>
      </c>
      <c r="H515" s="165" t="s">
        <v>16</v>
      </c>
      <c r="I515" s="165" t="s">
        <v>16</v>
      </c>
      <c r="J515" s="165" t="s">
        <v>16</v>
      </c>
      <c r="K515" s="165" t="s">
        <v>16</v>
      </c>
      <c r="L515" s="165" t="s">
        <v>16</v>
      </c>
      <c r="M515" s="165" t="s">
        <v>16</v>
      </c>
      <c r="N515" s="165" t="s">
        <v>16</v>
      </c>
      <c r="O515" s="165" t="s">
        <v>16</v>
      </c>
      <c r="P515" s="165" t="s">
        <v>16</v>
      </c>
      <c r="Q515" s="165" t="s">
        <v>16</v>
      </c>
      <c r="R515" s="165" t="s">
        <v>16</v>
      </c>
      <c r="S515" s="165" t="s">
        <v>149</v>
      </c>
      <c r="T515" s="165" t="s">
        <v>149</v>
      </c>
      <c r="U515" s="165" t="s">
        <v>16</v>
      </c>
      <c r="V515" s="165" t="s">
        <v>16</v>
      </c>
      <c r="W515" s="165" t="s">
        <v>16</v>
      </c>
      <c r="X515" s="165" t="s">
        <v>16</v>
      </c>
      <c r="Y515" s="165" t="s">
        <v>16</v>
      </c>
      <c r="Z515" s="165" t="s">
        <v>16</v>
      </c>
      <c r="AA515" s="165" t="s">
        <v>16</v>
      </c>
      <c r="AB515" s="165" t="s">
        <v>16</v>
      </c>
      <c r="AC515" s="165" t="s">
        <v>16</v>
      </c>
      <c r="AD515" s="165" t="s">
        <v>16</v>
      </c>
      <c r="AE515" s="165"/>
      <c r="AF515" s="165"/>
    </row>
    <row r="516" spans="1:32" x14ac:dyDescent="0.3">
      <c r="A516" s="165" t="s">
        <v>971</v>
      </c>
      <c r="B516" s="165" t="s">
        <v>14</v>
      </c>
      <c r="C516" s="165" t="s">
        <v>929</v>
      </c>
      <c r="D516" s="165" t="s">
        <v>15</v>
      </c>
      <c r="E516" s="157">
        <v>40907</v>
      </c>
      <c r="F516" s="165" t="s">
        <v>16</v>
      </c>
      <c r="G516" s="165" t="s">
        <v>16</v>
      </c>
      <c r="H516" s="165" t="s">
        <v>16</v>
      </c>
      <c r="I516" s="165" t="s">
        <v>16</v>
      </c>
      <c r="J516" s="165" t="s">
        <v>148</v>
      </c>
      <c r="K516" s="165" t="s">
        <v>16</v>
      </c>
      <c r="L516" s="165" t="s">
        <v>16</v>
      </c>
      <c r="M516" s="165" t="s">
        <v>16</v>
      </c>
      <c r="N516" s="165" t="s">
        <v>148</v>
      </c>
      <c r="O516" s="165" t="s">
        <v>148</v>
      </c>
      <c r="P516" s="165" t="s">
        <v>148</v>
      </c>
      <c r="Q516" s="165" t="s">
        <v>16</v>
      </c>
      <c r="R516" s="165" t="s">
        <v>16</v>
      </c>
      <c r="S516" s="165" t="s">
        <v>16</v>
      </c>
      <c r="T516" s="165" t="s">
        <v>16</v>
      </c>
      <c r="U516" s="165" t="s">
        <v>148</v>
      </c>
      <c r="V516" s="165" t="s">
        <v>16</v>
      </c>
      <c r="W516" s="165" t="s">
        <v>16</v>
      </c>
      <c r="X516" s="165" t="s">
        <v>16</v>
      </c>
      <c r="Y516" s="165" t="s">
        <v>16</v>
      </c>
      <c r="Z516" s="165" t="s">
        <v>16</v>
      </c>
      <c r="AA516" s="165" t="s">
        <v>148</v>
      </c>
      <c r="AB516" s="165" t="s">
        <v>16</v>
      </c>
      <c r="AC516" s="165" t="s">
        <v>148</v>
      </c>
      <c r="AD516" s="165" t="s">
        <v>16</v>
      </c>
      <c r="AE516" s="165" t="s">
        <v>972</v>
      </c>
      <c r="AF516" s="165"/>
    </row>
    <row r="517" spans="1:32" x14ac:dyDescent="0.3">
      <c r="A517" s="165" t="s">
        <v>973</v>
      </c>
      <c r="B517" s="165" t="s">
        <v>14</v>
      </c>
      <c r="C517" s="165" t="s">
        <v>929</v>
      </c>
      <c r="D517" s="165" t="s">
        <v>15</v>
      </c>
      <c r="E517" s="157">
        <v>40907</v>
      </c>
      <c r="F517" s="165" t="s">
        <v>16</v>
      </c>
      <c r="G517" s="165" t="s">
        <v>16</v>
      </c>
      <c r="H517" s="165" t="s">
        <v>16</v>
      </c>
      <c r="I517" s="165" t="s">
        <v>16</v>
      </c>
      <c r="J517" s="165" t="s">
        <v>16</v>
      </c>
      <c r="K517" s="165" t="s">
        <v>16</v>
      </c>
      <c r="L517" s="165" t="s">
        <v>16</v>
      </c>
      <c r="M517" s="165" t="s">
        <v>16</v>
      </c>
      <c r="N517" s="165" t="s">
        <v>16</v>
      </c>
      <c r="O517" s="165" t="s">
        <v>16</v>
      </c>
      <c r="P517" s="165" t="s">
        <v>16</v>
      </c>
      <c r="Q517" s="165" t="s">
        <v>16</v>
      </c>
      <c r="R517" s="165" t="s">
        <v>16</v>
      </c>
      <c r="S517" s="165" t="s">
        <v>16</v>
      </c>
      <c r="T517" s="165" t="s">
        <v>16</v>
      </c>
      <c r="U517" s="165" t="s">
        <v>16</v>
      </c>
      <c r="V517" s="165" t="s">
        <v>16</v>
      </c>
      <c r="W517" s="165" t="s">
        <v>16</v>
      </c>
      <c r="X517" s="165" t="s">
        <v>16</v>
      </c>
      <c r="Y517" s="165" t="s">
        <v>16</v>
      </c>
      <c r="Z517" s="165" t="s">
        <v>16</v>
      </c>
      <c r="AA517" s="165" t="s">
        <v>16</v>
      </c>
      <c r="AB517" s="165" t="s">
        <v>16</v>
      </c>
      <c r="AC517" s="165" t="s">
        <v>16</v>
      </c>
      <c r="AD517" s="165" t="s">
        <v>16</v>
      </c>
      <c r="AE517" s="165" t="s">
        <v>960</v>
      </c>
      <c r="AF517" s="165"/>
    </row>
    <row r="518" spans="1:32" x14ac:dyDescent="0.3">
      <c r="A518" s="165" t="s">
        <v>974</v>
      </c>
      <c r="B518" s="165" t="s">
        <v>14</v>
      </c>
      <c r="C518" s="165" t="s">
        <v>929</v>
      </c>
      <c r="D518" s="165" t="s">
        <v>15</v>
      </c>
      <c r="E518" s="157">
        <v>40907</v>
      </c>
      <c r="F518" s="165" t="s">
        <v>16</v>
      </c>
      <c r="G518" s="165" t="s">
        <v>16</v>
      </c>
      <c r="H518" s="165" t="s">
        <v>148</v>
      </c>
      <c r="I518" s="165" t="s">
        <v>148</v>
      </c>
      <c r="J518" s="165" t="s">
        <v>148</v>
      </c>
      <c r="K518" s="165" t="s">
        <v>16</v>
      </c>
      <c r="L518" s="165" t="s">
        <v>148</v>
      </c>
      <c r="M518" s="165" t="s">
        <v>148</v>
      </c>
      <c r="N518" s="165" t="s">
        <v>148</v>
      </c>
      <c r="O518" s="165" t="s">
        <v>148</v>
      </c>
      <c r="P518" s="165" t="s">
        <v>148</v>
      </c>
      <c r="Q518" s="165" t="s">
        <v>16</v>
      </c>
      <c r="R518" s="165" t="s">
        <v>16</v>
      </c>
      <c r="S518" s="165" t="s">
        <v>148</v>
      </c>
      <c r="T518" s="165" t="s">
        <v>148</v>
      </c>
      <c r="U518" s="165" t="s">
        <v>148</v>
      </c>
      <c r="V518" s="165" t="s">
        <v>16</v>
      </c>
      <c r="W518" s="165" t="s">
        <v>16</v>
      </c>
      <c r="X518" s="165" t="s">
        <v>16</v>
      </c>
      <c r="Y518" s="165" t="s">
        <v>16</v>
      </c>
      <c r="Z518" s="165" t="s">
        <v>148</v>
      </c>
      <c r="AA518" s="165" t="s">
        <v>148</v>
      </c>
      <c r="AB518" s="165" t="s">
        <v>16</v>
      </c>
      <c r="AC518" s="165" t="s">
        <v>148</v>
      </c>
      <c r="AD518" s="165" t="s">
        <v>16</v>
      </c>
      <c r="AE518" s="165" t="s">
        <v>975</v>
      </c>
      <c r="AF518" s="165"/>
    </row>
    <row r="519" spans="1:32" x14ac:dyDescent="0.3">
      <c r="A519" s="165" t="s">
        <v>976</v>
      </c>
      <c r="B519" s="165" t="s">
        <v>14</v>
      </c>
      <c r="C519" s="165" t="s">
        <v>929</v>
      </c>
      <c r="D519" s="165" t="s">
        <v>15</v>
      </c>
      <c r="E519" s="157">
        <v>40907</v>
      </c>
      <c r="F519" s="165" t="s">
        <v>16</v>
      </c>
      <c r="G519" s="165" t="s">
        <v>16</v>
      </c>
      <c r="H519" s="165" t="s">
        <v>16</v>
      </c>
      <c r="I519" s="165" t="s">
        <v>16</v>
      </c>
      <c r="J519" s="165" t="s">
        <v>16</v>
      </c>
      <c r="K519" s="165" t="s">
        <v>16</v>
      </c>
      <c r="L519" s="165" t="s">
        <v>16</v>
      </c>
      <c r="M519" s="165" t="s">
        <v>16</v>
      </c>
      <c r="N519" s="165" t="s">
        <v>16</v>
      </c>
      <c r="O519" s="165" t="s">
        <v>16</v>
      </c>
      <c r="P519" s="165" t="s">
        <v>16</v>
      </c>
      <c r="Q519" s="165" t="s">
        <v>16</v>
      </c>
      <c r="R519" s="165" t="s">
        <v>16</v>
      </c>
      <c r="S519" s="165" t="s">
        <v>16</v>
      </c>
      <c r="T519" s="165" t="s">
        <v>16</v>
      </c>
      <c r="U519" s="165" t="s">
        <v>16</v>
      </c>
      <c r="V519" s="165" t="s">
        <v>16</v>
      </c>
      <c r="W519" s="165" t="s">
        <v>16</v>
      </c>
      <c r="X519" s="165" t="s">
        <v>16</v>
      </c>
      <c r="Y519" s="165" t="s">
        <v>16</v>
      </c>
      <c r="Z519" s="165" t="s">
        <v>16</v>
      </c>
      <c r="AA519" s="165" t="s">
        <v>16</v>
      </c>
      <c r="AB519" s="165" t="s">
        <v>16</v>
      </c>
      <c r="AC519" s="165" t="s">
        <v>16</v>
      </c>
      <c r="AD519" s="165" t="s">
        <v>16</v>
      </c>
      <c r="AE519" s="165" t="s">
        <v>977</v>
      </c>
      <c r="AF519" s="165"/>
    </row>
    <row r="520" spans="1:32" x14ac:dyDescent="0.3">
      <c r="A520" s="165" t="s">
        <v>978</v>
      </c>
      <c r="B520" s="165" t="s">
        <v>14</v>
      </c>
      <c r="C520" s="165" t="s">
        <v>929</v>
      </c>
      <c r="D520" s="165" t="s">
        <v>15</v>
      </c>
      <c r="E520" s="157">
        <v>40907</v>
      </c>
      <c r="F520" s="165" t="s">
        <v>16</v>
      </c>
      <c r="G520" s="165" t="s">
        <v>16</v>
      </c>
      <c r="H520" s="165" t="s">
        <v>148</v>
      </c>
      <c r="I520" s="165" t="s">
        <v>16</v>
      </c>
      <c r="J520" s="165" t="s">
        <v>114</v>
      </c>
      <c r="K520" s="165" t="s">
        <v>148</v>
      </c>
      <c r="L520" s="165" t="s">
        <v>148</v>
      </c>
      <c r="M520" s="165" t="s">
        <v>16</v>
      </c>
      <c r="N520" s="165" t="s">
        <v>148</v>
      </c>
      <c r="O520" s="165" t="s">
        <v>16</v>
      </c>
      <c r="P520" s="165" t="s">
        <v>148</v>
      </c>
      <c r="Q520" s="165" t="s">
        <v>16</v>
      </c>
      <c r="R520" s="165" t="s">
        <v>148</v>
      </c>
      <c r="S520" s="165" t="s">
        <v>148</v>
      </c>
      <c r="T520" s="165" t="s">
        <v>16</v>
      </c>
      <c r="U520" s="165" t="s">
        <v>16</v>
      </c>
      <c r="V520" s="165" t="s">
        <v>148</v>
      </c>
      <c r="W520" s="165" t="s">
        <v>16</v>
      </c>
      <c r="X520" s="165" t="s">
        <v>16</v>
      </c>
      <c r="Y520" s="165" t="s">
        <v>16</v>
      </c>
      <c r="Z520" s="165" t="s">
        <v>16</v>
      </c>
      <c r="AA520" s="165" t="s">
        <v>148</v>
      </c>
      <c r="AB520" s="165" t="s">
        <v>16</v>
      </c>
      <c r="AC520" s="165" t="s">
        <v>148</v>
      </c>
      <c r="AD520" s="165" t="s">
        <v>16</v>
      </c>
      <c r="AE520" s="165" t="s">
        <v>934</v>
      </c>
      <c r="AF520" s="165"/>
    </row>
    <row r="523" spans="1:32" x14ac:dyDescent="0.3">
      <c r="A523" s="165"/>
      <c r="B523" s="165"/>
      <c r="C523" s="165"/>
      <c r="D523" s="165"/>
      <c r="E523" s="165"/>
      <c r="F523" s="165" t="s">
        <v>124</v>
      </c>
      <c r="G523" s="165" t="s">
        <v>125</v>
      </c>
      <c r="H523" s="165" t="s">
        <v>126</v>
      </c>
      <c r="I523" s="165" t="s">
        <v>127</v>
      </c>
      <c r="J523" s="165" t="s">
        <v>214</v>
      </c>
      <c r="K523" s="165" t="s">
        <v>128</v>
      </c>
      <c r="L523" s="165" t="s">
        <v>129</v>
      </c>
      <c r="M523" s="165" t="s">
        <v>130</v>
      </c>
      <c r="N523" s="165" t="s">
        <v>131</v>
      </c>
      <c r="O523" s="165" t="s">
        <v>132</v>
      </c>
      <c r="P523" s="165" t="s">
        <v>133</v>
      </c>
      <c r="Q523" s="165" t="s">
        <v>134</v>
      </c>
      <c r="R523" s="165" t="s">
        <v>135</v>
      </c>
      <c r="S523" s="165" t="s">
        <v>136</v>
      </c>
      <c r="T523" s="165" t="s">
        <v>137</v>
      </c>
      <c r="U523" s="165" t="s">
        <v>138</v>
      </c>
      <c r="V523" s="165" t="s">
        <v>139</v>
      </c>
      <c r="W523" s="165" t="s">
        <v>140</v>
      </c>
      <c r="X523" s="165" t="s">
        <v>186</v>
      </c>
      <c r="Y523" s="165" t="s">
        <v>209</v>
      </c>
      <c r="Z523" s="165" t="s">
        <v>141</v>
      </c>
      <c r="AA523" s="165" t="s">
        <v>142</v>
      </c>
      <c r="AB523" s="165" t="s">
        <v>210</v>
      </c>
      <c r="AC523" s="165" t="s">
        <v>143</v>
      </c>
      <c r="AD523" s="165" t="s">
        <v>144</v>
      </c>
      <c r="AE523" s="165" t="s">
        <v>979</v>
      </c>
      <c r="AF523" s="165" t="s">
        <v>190</v>
      </c>
    </row>
    <row r="524" spans="1:32" x14ac:dyDescent="0.3">
      <c r="A524" s="165" t="s">
        <v>980</v>
      </c>
      <c r="B524" s="165" t="s">
        <v>14</v>
      </c>
      <c r="C524" s="165" t="s">
        <v>981</v>
      </c>
      <c r="D524" s="165" t="s">
        <v>15</v>
      </c>
      <c r="E524" s="157">
        <v>40938</v>
      </c>
      <c r="F524" s="165" t="s">
        <v>150</v>
      </c>
      <c r="G524" s="165" t="s">
        <v>150</v>
      </c>
      <c r="H524" s="165" t="s">
        <v>16</v>
      </c>
      <c r="I524" s="165" t="s">
        <v>148</v>
      </c>
      <c r="J524" s="165" t="s">
        <v>16</v>
      </c>
      <c r="K524" s="165" t="s">
        <v>150</v>
      </c>
      <c r="L524" s="165" t="s">
        <v>150</v>
      </c>
      <c r="M524" s="165" t="s">
        <v>16</v>
      </c>
      <c r="N524" s="165" t="s">
        <v>16</v>
      </c>
      <c r="O524" s="165" t="s">
        <v>16</v>
      </c>
      <c r="P524" s="165" t="s">
        <v>16</v>
      </c>
      <c r="Q524" s="165" t="s">
        <v>16</v>
      </c>
      <c r="R524" s="165" t="s">
        <v>16</v>
      </c>
      <c r="S524" s="165" t="s">
        <v>148</v>
      </c>
      <c r="T524" s="165" t="s">
        <v>16</v>
      </c>
      <c r="U524" s="165" t="s">
        <v>148</v>
      </c>
      <c r="V524" s="165" t="s">
        <v>16</v>
      </c>
      <c r="W524" s="165" t="s">
        <v>148</v>
      </c>
      <c r="X524" s="165" t="s">
        <v>150</v>
      </c>
      <c r="Y524" s="165" t="s">
        <v>16</v>
      </c>
      <c r="Z524" s="165" t="s">
        <v>16</v>
      </c>
      <c r="AA524" s="165" t="s">
        <v>148</v>
      </c>
      <c r="AB524" s="165" t="s">
        <v>148</v>
      </c>
      <c r="AC524" s="165" t="s">
        <v>16</v>
      </c>
      <c r="AD524" s="165" t="s">
        <v>151</v>
      </c>
      <c r="AE524" s="165" t="s">
        <v>982</v>
      </c>
      <c r="AF524" s="165"/>
    </row>
    <row r="525" spans="1:32" x14ac:dyDescent="0.3">
      <c r="A525" s="165" t="s">
        <v>983</v>
      </c>
      <c r="B525" s="165" t="s">
        <v>14</v>
      </c>
      <c r="C525" s="165" t="s">
        <v>981</v>
      </c>
      <c r="D525" s="165" t="s">
        <v>15</v>
      </c>
      <c r="E525" s="157">
        <v>40938</v>
      </c>
      <c r="F525" s="165" t="s">
        <v>149</v>
      </c>
      <c r="G525" s="165" t="s">
        <v>149</v>
      </c>
      <c r="H525" s="165" t="s">
        <v>16</v>
      </c>
      <c r="I525" s="165" t="s">
        <v>16</v>
      </c>
      <c r="J525" s="165" t="s">
        <v>16</v>
      </c>
      <c r="K525" s="165" t="s">
        <v>16</v>
      </c>
      <c r="L525" s="165" t="s">
        <v>16</v>
      </c>
      <c r="M525" s="165" t="s">
        <v>16</v>
      </c>
      <c r="N525" s="165" t="s">
        <v>16</v>
      </c>
      <c r="O525" s="165" t="s">
        <v>16</v>
      </c>
      <c r="P525" s="165" t="s">
        <v>16</v>
      </c>
      <c r="Q525" s="165" t="s">
        <v>16</v>
      </c>
      <c r="R525" s="165" t="s">
        <v>16</v>
      </c>
      <c r="S525" s="165" t="s">
        <v>16</v>
      </c>
      <c r="T525" s="165" t="s">
        <v>16</v>
      </c>
      <c r="U525" s="165" t="s">
        <v>16</v>
      </c>
      <c r="V525" s="165" t="s">
        <v>16</v>
      </c>
      <c r="W525" s="165" t="s">
        <v>16</v>
      </c>
      <c r="X525" s="165" t="s">
        <v>16</v>
      </c>
      <c r="Y525" s="165" t="s">
        <v>148</v>
      </c>
      <c r="Z525" s="165" t="s">
        <v>16</v>
      </c>
      <c r="AA525" s="165" t="s">
        <v>16</v>
      </c>
      <c r="AB525" s="165" t="s">
        <v>16</v>
      </c>
      <c r="AC525" s="165" t="s">
        <v>16</v>
      </c>
      <c r="AD525" s="165" t="s">
        <v>16</v>
      </c>
      <c r="AE525" s="165" t="s">
        <v>984</v>
      </c>
      <c r="AF525" s="165" t="s">
        <v>985</v>
      </c>
    </row>
    <row r="526" spans="1:32" x14ac:dyDescent="0.3">
      <c r="A526" s="165" t="s">
        <v>986</v>
      </c>
      <c r="B526" s="165" t="s">
        <v>14</v>
      </c>
      <c r="C526" s="165" t="s">
        <v>981</v>
      </c>
      <c r="D526" s="165" t="s">
        <v>15</v>
      </c>
      <c r="E526" s="157">
        <v>40938</v>
      </c>
      <c r="F526" s="165" t="s">
        <v>16</v>
      </c>
      <c r="G526" s="165" t="s">
        <v>16</v>
      </c>
      <c r="H526" s="165" t="s">
        <v>16</v>
      </c>
      <c r="I526" s="165" t="s">
        <v>16</v>
      </c>
      <c r="J526" s="165" t="s">
        <v>16</v>
      </c>
      <c r="K526" s="165" t="s">
        <v>16</v>
      </c>
      <c r="L526" s="165" t="s">
        <v>16</v>
      </c>
      <c r="M526" s="165" t="s">
        <v>16</v>
      </c>
      <c r="N526" s="165" t="s">
        <v>148</v>
      </c>
      <c r="O526" s="165" t="s">
        <v>16</v>
      </c>
      <c r="P526" s="165" t="s">
        <v>16</v>
      </c>
      <c r="Q526" s="165" t="s">
        <v>16</v>
      </c>
      <c r="R526" s="165" t="s">
        <v>16</v>
      </c>
      <c r="S526" s="165" t="s">
        <v>16</v>
      </c>
      <c r="T526" s="165" t="s">
        <v>16</v>
      </c>
      <c r="U526" s="165" t="s">
        <v>16</v>
      </c>
      <c r="V526" s="165" t="s">
        <v>16</v>
      </c>
      <c r="W526" s="165" t="s">
        <v>16</v>
      </c>
      <c r="X526" s="165" t="s">
        <v>16</v>
      </c>
      <c r="Y526" s="165" t="s">
        <v>16</v>
      </c>
      <c r="Z526" s="165" t="s">
        <v>16</v>
      </c>
      <c r="AA526" s="165" t="s">
        <v>16</v>
      </c>
      <c r="AB526" s="165" t="s">
        <v>16</v>
      </c>
      <c r="AC526" s="165" t="s">
        <v>16</v>
      </c>
      <c r="AD526" s="165" t="s">
        <v>16</v>
      </c>
      <c r="AE526" s="165" t="s">
        <v>984</v>
      </c>
      <c r="AF526" s="165" t="s">
        <v>987</v>
      </c>
    </row>
    <row r="527" spans="1:32" x14ac:dyDescent="0.3">
      <c r="A527" s="165" t="s">
        <v>988</v>
      </c>
      <c r="B527" s="165" t="s">
        <v>14</v>
      </c>
      <c r="C527" s="165" t="s">
        <v>981</v>
      </c>
      <c r="D527" s="165" t="s">
        <v>15</v>
      </c>
      <c r="E527" s="157">
        <v>40938</v>
      </c>
      <c r="F527" s="165" t="s">
        <v>16</v>
      </c>
      <c r="G527" s="165" t="s">
        <v>16</v>
      </c>
      <c r="H527" s="165" t="s">
        <v>16</v>
      </c>
      <c r="I527" s="165" t="s">
        <v>16</v>
      </c>
      <c r="J527" s="165" t="s">
        <v>16</v>
      </c>
      <c r="K527" s="165" t="s">
        <v>16</v>
      </c>
      <c r="L527" s="165" t="s">
        <v>16</v>
      </c>
      <c r="M527" s="165" t="s">
        <v>16</v>
      </c>
      <c r="N527" s="165" t="s">
        <v>16</v>
      </c>
      <c r="O527" s="165" t="s">
        <v>16</v>
      </c>
      <c r="P527" s="165" t="s">
        <v>16</v>
      </c>
      <c r="Q527" s="165" t="s">
        <v>16</v>
      </c>
      <c r="R527" s="165" t="s">
        <v>16</v>
      </c>
      <c r="S527" s="165" t="s">
        <v>16</v>
      </c>
      <c r="T527" s="165" t="s">
        <v>16</v>
      </c>
      <c r="U527" s="165" t="s">
        <v>16</v>
      </c>
      <c r="V527" s="165" t="s">
        <v>16</v>
      </c>
      <c r="W527" s="165" t="s">
        <v>16</v>
      </c>
      <c r="X527" s="165" t="s">
        <v>16</v>
      </c>
      <c r="Y527" s="165" t="s">
        <v>16</v>
      </c>
      <c r="Z527" s="165" t="s">
        <v>16</v>
      </c>
      <c r="AA527" s="165" t="s">
        <v>16</v>
      </c>
      <c r="AB527" s="165" t="s">
        <v>16</v>
      </c>
      <c r="AC527" s="165" t="s">
        <v>16</v>
      </c>
      <c r="AD527" s="165" t="s">
        <v>16</v>
      </c>
      <c r="AE527" s="165" t="s">
        <v>989</v>
      </c>
      <c r="AF527" s="165"/>
    </row>
    <row r="528" spans="1:32" x14ac:dyDescent="0.3">
      <c r="A528" s="165" t="s">
        <v>990</v>
      </c>
      <c r="B528" s="165" t="s">
        <v>14</v>
      </c>
      <c r="C528" s="165" t="s">
        <v>981</v>
      </c>
      <c r="D528" s="165" t="s">
        <v>15</v>
      </c>
      <c r="E528" s="157">
        <v>40938</v>
      </c>
      <c r="F528" s="165" t="s">
        <v>148</v>
      </c>
      <c r="G528" s="165" t="s">
        <v>149</v>
      </c>
      <c r="H528" s="165" t="s">
        <v>16</v>
      </c>
      <c r="I528" s="165" t="s">
        <v>16</v>
      </c>
      <c r="J528" s="165" t="s">
        <v>148</v>
      </c>
      <c r="K528" s="165" t="s">
        <v>16</v>
      </c>
      <c r="L528" s="165" t="s">
        <v>16</v>
      </c>
      <c r="M528" s="165" t="s">
        <v>148</v>
      </c>
      <c r="N528" s="165" t="s">
        <v>148</v>
      </c>
      <c r="O528" s="165" t="s">
        <v>148</v>
      </c>
      <c r="P528" s="165" t="s">
        <v>16</v>
      </c>
      <c r="Q528" s="165" t="s">
        <v>16</v>
      </c>
      <c r="R528" s="165" t="s">
        <v>16</v>
      </c>
      <c r="S528" s="165" t="s">
        <v>148</v>
      </c>
      <c r="T528" s="165" t="s">
        <v>148</v>
      </c>
      <c r="U528" s="165" t="s">
        <v>16</v>
      </c>
      <c r="V528" s="165" t="s">
        <v>16</v>
      </c>
      <c r="W528" s="165" t="s">
        <v>16</v>
      </c>
      <c r="X528" s="165" t="s">
        <v>148</v>
      </c>
      <c r="Y528" s="165" t="s">
        <v>148</v>
      </c>
      <c r="Z528" s="165" t="s">
        <v>16</v>
      </c>
      <c r="AA528" s="165" t="s">
        <v>148</v>
      </c>
      <c r="AB528" s="165" t="s">
        <v>16</v>
      </c>
      <c r="AC528" s="165" t="s">
        <v>16</v>
      </c>
      <c r="AD528" s="165" t="s">
        <v>16</v>
      </c>
      <c r="AE528" s="165" t="s">
        <v>989</v>
      </c>
      <c r="AF528" s="165"/>
    </row>
    <row r="529" spans="1:32" x14ac:dyDescent="0.3">
      <c r="A529" s="165" t="s">
        <v>991</v>
      </c>
      <c r="B529" s="165" t="s">
        <v>14</v>
      </c>
      <c r="C529" s="165" t="s">
        <v>981</v>
      </c>
      <c r="D529" s="165" t="s">
        <v>15</v>
      </c>
      <c r="E529" s="157">
        <v>40938</v>
      </c>
      <c r="F529" s="165" t="s">
        <v>16</v>
      </c>
      <c r="G529" s="165" t="s">
        <v>149</v>
      </c>
      <c r="H529" s="165" t="s">
        <v>150</v>
      </c>
      <c r="I529" s="165" t="s">
        <v>150</v>
      </c>
      <c r="J529" s="165" t="s">
        <v>16</v>
      </c>
      <c r="K529" s="165" t="s">
        <v>16</v>
      </c>
      <c r="L529" s="165" t="s">
        <v>16</v>
      </c>
      <c r="M529" s="165" t="s">
        <v>148</v>
      </c>
      <c r="N529" s="165" t="s">
        <v>148</v>
      </c>
      <c r="O529" s="165" t="s">
        <v>148</v>
      </c>
      <c r="P529" s="165" t="s">
        <v>148</v>
      </c>
      <c r="Q529" s="165" t="s">
        <v>148</v>
      </c>
      <c r="R529" s="165" t="s">
        <v>150</v>
      </c>
      <c r="S529" s="165" t="s">
        <v>150</v>
      </c>
      <c r="T529" s="165" t="s">
        <v>149</v>
      </c>
      <c r="U529" s="165" t="s">
        <v>148</v>
      </c>
      <c r="V529" s="165" t="s">
        <v>16</v>
      </c>
      <c r="W529" s="165" t="s">
        <v>16</v>
      </c>
      <c r="X529" s="165" t="s">
        <v>148</v>
      </c>
      <c r="Y529" s="165" t="s">
        <v>16</v>
      </c>
      <c r="Z529" s="165" t="s">
        <v>148</v>
      </c>
      <c r="AA529" s="165" t="s">
        <v>148</v>
      </c>
      <c r="AB529" s="165" t="s">
        <v>149</v>
      </c>
      <c r="AC529" s="165" t="s">
        <v>16</v>
      </c>
      <c r="AD529" s="165" t="s">
        <v>148</v>
      </c>
      <c r="AE529" s="165" t="s">
        <v>982</v>
      </c>
      <c r="AF529" s="165"/>
    </row>
    <row r="530" spans="1:32" x14ac:dyDescent="0.3">
      <c r="A530" s="165" t="s">
        <v>992</v>
      </c>
      <c r="B530" s="165" t="s">
        <v>14</v>
      </c>
      <c r="C530" s="165" t="s">
        <v>981</v>
      </c>
      <c r="D530" s="165" t="s">
        <v>15</v>
      </c>
      <c r="E530" s="157">
        <v>40938</v>
      </c>
      <c r="F530" s="165" t="s">
        <v>16</v>
      </c>
      <c r="G530" s="165" t="s">
        <v>16</v>
      </c>
      <c r="H530" s="165" t="s">
        <v>16</v>
      </c>
      <c r="I530" s="165" t="s">
        <v>148</v>
      </c>
      <c r="J530" s="165" t="s">
        <v>148</v>
      </c>
      <c r="K530" s="165" t="s">
        <v>148</v>
      </c>
      <c r="L530" s="165" t="s">
        <v>148</v>
      </c>
      <c r="M530" s="165" t="s">
        <v>16</v>
      </c>
      <c r="N530" s="165" t="s">
        <v>148</v>
      </c>
      <c r="O530" s="165" t="s">
        <v>16</v>
      </c>
      <c r="P530" s="165" t="s">
        <v>148</v>
      </c>
      <c r="Q530" s="165" t="s">
        <v>16</v>
      </c>
      <c r="R530" s="165" t="s">
        <v>16</v>
      </c>
      <c r="S530" s="165" t="s">
        <v>16</v>
      </c>
      <c r="T530" s="165" t="s">
        <v>16</v>
      </c>
      <c r="U530" s="165" t="s">
        <v>148</v>
      </c>
      <c r="V530" s="165" t="s">
        <v>16</v>
      </c>
      <c r="W530" s="165" t="s">
        <v>16</v>
      </c>
      <c r="X530" s="165" t="s">
        <v>148</v>
      </c>
      <c r="Y530" s="165" t="s">
        <v>114</v>
      </c>
      <c r="Z530" s="165" t="s">
        <v>16</v>
      </c>
      <c r="AA530" s="165" t="s">
        <v>148</v>
      </c>
      <c r="AB530" s="165" t="s">
        <v>16</v>
      </c>
      <c r="AC530" s="165" t="s">
        <v>148</v>
      </c>
      <c r="AD530" s="165" t="s">
        <v>16</v>
      </c>
      <c r="AE530" s="165" t="s">
        <v>993</v>
      </c>
      <c r="AF530" s="165"/>
    </row>
    <row r="531" spans="1:32" x14ac:dyDescent="0.3">
      <c r="A531" s="165" t="s">
        <v>994</v>
      </c>
      <c r="B531" s="165" t="s">
        <v>14</v>
      </c>
      <c r="C531" s="165" t="s">
        <v>981</v>
      </c>
      <c r="D531" s="165" t="s">
        <v>15</v>
      </c>
      <c r="E531" s="157">
        <v>40938</v>
      </c>
      <c r="F531" s="165" t="s">
        <v>16</v>
      </c>
      <c r="G531" s="165" t="s">
        <v>148</v>
      </c>
      <c r="H531" s="165" t="s">
        <v>16</v>
      </c>
      <c r="I531" s="165" t="s">
        <v>148</v>
      </c>
      <c r="J531" s="165" t="s">
        <v>16</v>
      </c>
      <c r="K531" s="165" t="s">
        <v>148</v>
      </c>
      <c r="L531" s="165" t="s">
        <v>16</v>
      </c>
      <c r="M531" s="165" t="s">
        <v>148</v>
      </c>
      <c r="N531" s="165" t="s">
        <v>148</v>
      </c>
      <c r="O531" s="165" t="s">
        <v>148</v>
      </c>
      <c r="P531" s="165" t="s">
        <v>16</v>
      </c>
      <c r="Q531" s="165" t="s">
        <v>148</v>
      </c>
      <c r="R531" s="165" t="s">
        <v>16</v>
      </c>
      <c r="S531" s="165" t="s">
        <v>148</v>
      </c>
      <c r="T531" s="165" t="s">
        <v>148</v>
      </c>
      <c r="U531" s="165" t="s">
        <v>148</v>
      </c>
      <c r="V531" s="165" t="s">
        <v>16</v>
      </c>
      <c r="W531" s="165" t="s">
        <v>16</v>
      </c>
      <c r="X531" s="165" t="s">
        <v>148</v>
      </c>
      <c r="Y531" s="165" t="s">
        <v>16</v>
      </c>
      <c r="Z531" s="165" t="s">
        <v>16</v>
      </c>
      <c r="AA531" s="165" t="s">
        <v>16</v>
      </c>
      <c r="AB531" s="165" t="s">
        <v>16</v>
      </c>
      <c r="AC531" s="165" t="s">
        <v>148</v>
      </c>
      <c r="AD531" s="165" t="s">
        <v>148</v>
      </c>
      <c r="AE531" s="165" t="s">
        <v>995</v>
      </c>
      <c r="AF531" s="165"/>
    </row>
    <row r="532" spans="1:32" x14ac:dyDescent="0.3">
      <c r="A532" s="165" t="s">
        <v>996</v>
      </c>
      <c r="B532" s="165" t="s">
        <v>14</v>
      </c>
      <c r="C532" s="165" t="s">
        <v>981</v>
      </c>
      <c r="D532" s="165" t="s">
        <v>15</v>
      </c>
      <c r="E532" s="157">
        <v>40938</v>
      </c>
      <c r="F532" s="165" t="s">
        <v>148</v>
      </c>
      <c r="G532" s="165" t="s">
        <v>148</v>
      </c>
      <c r="H532" s="165" t="s">
        <v>16</v>
      </c>
      <c r="I532" s="165" t="s">
        <v>16</v>
      </c>
      <c r="J532" s="165" t="s">
        <v>16</v>
      </c>
      <c r="K532" s="165" t="s">
        <v>149</v>
      </c>
      <c r="L532" s="165" t="s">
        <v>148</v>
      </c>
      <c r="M532" s="165" t="s">
        <v>16</v>
      </c>
      <c r="N532" s="165" t="s">
        <v>148</v>
      </c>
      <c r="O532" s="165" t="s">
        <v>150</v>
      </c>
      <c r="P532" s="165" t="s">
        <v>148</v>
      </c>
      <c r="Q532" s="165" t="s">
        <v>16</v>
      </c>
      <c r="R532" s="165" t="s">
        <v>16</v>
      </c>
      <c r="S532" s="165" t="s">
        <v>16</v>
      </c>
      <c r="T532" s="165" t="s">
        <v>16</v>
      </c>
      <c r="U532" s="165" t="s">
        <v>16</v>
      </c>
      <c r="V532" s="165" t="s">
        <v>16</v>
      </c>
      <c r="W532" s="165" t="s">
        <v>16</v>
      </c>
      <c r="X532" s="165" t="s">
        <v>16</v>
      </c>
      <c r="Y532" s="165" t="s">
        <v>16</v>
      </c>
      <c r="Z532" s="165" t="s">
        <v>16</v>
      </c>
      <c r="AA532" s="165" t="s">
        <v>16</v>
      </c>
      <c r="AB532" s="165" t="s">
        <v>16</v>
      </c>
      <c r="AC532" s="165" t="s">
        <v>16</v>
      </c>
      <c r="AD532" s="165" t="s">
        <v>16</v>
      </c>
      <c r="AE532" s="165" t="s">
        <v>984</v>
      </c>
      <c r="AF532" s="165"/>
    </row>
    <row r="533" spans="1:32" x14ac:dyDescent="0.3">
      <c r="A533" s="165" t="s">
        <v>997</v>
      </c>
      <c r="B533" s="165" t="s">
        <v>14</v>
      </c>
      <c r="C533" s="165" t="s">
        <v>981</v>
      </c>
      <c r="D533" s="165" t="s">
        <v>15</v>
      </c>
      <c r="E533" s="157">
        <v>40938</v>
      </c>
      <c r="F533" s="165" t="s">
        <v>149</v>
      </c>
      <c r="G533" s="165" t="s">
        <v>149</v>
      </c>
      <c r="H533" s="165" t="s">
        <v>149</v>
      </c>
      <c r="I533" s="165" t="s">
        <v>149</v>
      </c>
      <c r="J533" s="165" t="s">
        <v>149</v>
      </c>
      <c r="K533" s="165" t="s">
        <v>149</v>
      </c>
      <c r="L533" s="165" t="s">
        <v>149</v>
      </c>
      <c r="M533" s="165" t="s">
        <v>149</v>
      </c>
      <c r="N533" s="165" t="s">
        <v>150</v>
      </c>
      <c r="O533" s="165" t="s">
        <v>149</v>
      </c>
      <c r="P533" s="165" t="s">
        <v>149</v>
      </c>
      <c r="Q533" s="165" t="s">
        <v>149</v>
      </c>
      <c r="R533" s="165" t="s">
        <v>149</v>
      </c>
      <c r="S533" s="165" t="s">
        <v>16</v>
      </c>
      <c r="T533" s="165" t="s">
        <v>149</v>
      </c>
      <c r="U533" s="165" t="s">
        <v>149</v>
      </c>
      <c r="V533" s="165" t="s">
        <v>149</v>
      </c>
      <c r="W533" s="165" t="s">
        <v>16</v>
      </c>
      <c r="X533" s="165" t="s">
        <v>16</v>
      </c>
      <c r="Y533" s="165" t="s">
        <v>149</v>
      </c>
      <c r="Z533" s="165" t="s">
        <v>149</v>
      </c>
      <c r="AA533" s="165" t="s">
        <v>149</v>
      </c>
      <c r="AB533" s="165" t="s">
        <v>16</v>
      </c>
      <c r="AC533" s="165" t="s">
        <v>148</v>
      </c>
      <c r="AD533" s="165" t="s">
        <v>148</v>
      </c>
      <c r="AE533" s="165" t="s">
        <v>995</v>
      </c>
      <c r="AF533" s="165"/>
    </row>
    <row r="534" spans="1:32" x14ac:dyDescent="0.3">
      <c r="A534" s="165" t="s">
        <v>998</v>
      </c>
      <c r="B534" s="165" t="s">
        <v>14</v>
      </c>
      <c r="C534" s="165" t="s">
        <v>981</v>
      </c>
      <c r="D534" s="165" t="s">
        <v>15</v>
      </c>
      <c r="E534" s="157">
        <v>40938</v>
      </c>
      <c r="F534" s="165" t="s">
        <v>148</v>
      </c>
      <c r="G534" s="165" t="s">
        <v>148</v>
      </c>
      <c r="H534" s="165" t="s">
        <v>16</v>
      </c>
      <c r="I534" s="165" t="s">
        <v>16</v>
      </c>
      <c r="J534" s="165" t="s">
        <v>148</v>
      </c>
      <c r="K534" s="165" t="s">
        <v>16</v>
      </c>
      <c r="L534" s="165" t="s">
        <v>148</v>
      </c>
      <c r="M534" s="165" t="s">
        <v>16</v>
      </c>
      <c r="N534" s="165" t="s">
        <v>148</v>
      </c>
      <c r="O534" s="165" t="s">
        <v>148</v>
      </c>
      <c r="P534" s="165" t="s">
        <v>148</v>
      </c>
      <c r="Q534" s="165" t="s">
        <v>16</v>
      </c>
      <c r="R534" s="165" t="s">
        <v>16</v>
      </c>
      <c r="S534" s="165" t="s">
        <v>16</v>
      </c>
      <c r="T534" s="165" t="s">
        <v>16</v>
      </c>
      <c r="U534" s="165" t="s">
        <v>148</v>
      </c>
      <c r="V534" s="165" t="s">
        <v>148</v>
      </c>
      <c r="W534" s="165" t="s">
        <v>16</v>
      </c>
      <c r="X534" s="165" t="s">
        <v>148</v>
      </c>
      <c r="Y534" s="165" t="s">
        <v>114</v>
      </c>
      <c r="Z534" s="165" t="s">
        <v>16</v>
      </c>
      <c r="AA534" s="165" t="s">
        <v>148</v>
      </c>
      <c r="AB534" s="165" t="s">
        <v>149</v>
      </c>
      <c r="AC534" s="165" t="s">
        <v>16</v>
      </c>
      <c r="AD534" s="165" t="s">
        <v>148</v>
      </c>
      <c r="AE534" s="165" t="s">
        <v>995</v>
      </c>
      <c r="AF534" s="165" t="s">
        <v>999</v>
      </c>
    </row>
    <row r="535" spans="1:32" x14ac:dyDescent="0.3">
      <c r="A535" s="165" t="s">
        <v>1000</v>
      </c>
      <c r="B535" s="165" t="s">
        <v>14</v>
      </c>
      <c r="C535" s="165" t="s">
        <v>981</v>
      </c>
      <c r="D535" s="165" t="s">
        <v>15</v>
      </c>
      <c r="E535" s="157">
        <v>40938</v>
      </c>
      <c r="F535" s="165" t="s">
        <v>16</v>
      </c>
      <c r="G535" s="165" t="s">
        <v>16</v>
      </c>
      <c r="H535" s="165" t="s">
        <v>16</v>
      </c>
      <c r="I535" s="165" t="s">
        <v>148</v>
      </c>
      <c r="J535" s="165" t="s">
        <v>148</v>
      </c>
      <c r="K535" s="165" t="s">
        <v>16</v>
      </c>
      <c r="L535" s="165" t="s">
        <v>16</v>
      </c>
      <c r="M535" s="165" t="s">
        <v>16</v>
      </c>
      <c r="N535" s="165" t="s">
        <v>148</v>
      </c>
      <c r="O535" s="165" t="s">
        <v>148</v>
      </c>
      <c r="P535" s="165" t="s">
        <v>114</v>
      </c>
      <c r="Q535" s="165" t="s">
        <v>114</v>
      </c>
      <c r="R535" s="165" t="s">
        <v>114</v>
      </c>
      <c r="S535" s="165" t="s">
        <v>16</v>
      </c>
      <c r="T535" s="165" t="s">
        <v>16</v>
      </c>
      <c r="U535" s="165" t="s">
        <v>16</v>
      </c>
      <c r="V535" s="165" t="s">
        <v>16</v>
      </c>
      <c r="W535" s="165" t="s">
        <v>16</v>
      </c>
      <c r="X535" s="165" t="s">
        <v>16</v>
      </c>
      <c r="Y535" s="165" t="s">
        <v>16</v>
      </c>
      <c r="Z535" s="165" t="s">
        <v>149</v>
      </c>
      <c r="AA535" s="165" t="s">
        <v>149</v>
      </c>
      <c r="AB535" s="165" t="s">
        <v>148</v>
      </c>
      <c r="AC535" s="165" t="s">
        <v>16</v>
      </c>
      <c r="AD535" s="165" t="s">
        <v>16</v>
      </c>
      <c r="AE535" s="165" t="s">
        <v>984</v>
      </c>
      <c r="AF535" s="165"/>
    </row>
    <row r="536" spans="1:32" x14ac:dyDescent="0.3">
      <c r="A536" s="165" t="s">
        <v>1001</v>
      </c>
      <c r="B536" s="165" t="s">
        <v>14</v>
      </c>
      <c r="C536" s="165" t="s">
        <v>981</v>
      </c>
      <c r="D536" s="165" t="s">
        <v>15</v>
      </c>
      <c r="E536" s="157">
        <v>40938</v>
      </c>
      <c r="F536" s="165" t="s">
        <v>148</v>
      </c>
      <c r="G536" s="165" t="s">
        <v>148</v>
      </c>
      <c r="H536" s="165" t="s">
        <v>148</v>
      </c>
      <c r="I536" s="165" t="s">
        <v>148</v>
      </c>
      <c r="J536" s="165" t="s">
        <v>148</v>
      </c>
      <c r="K536" s="165" t="s">
        <v>16</v>
      </c>
      <c r="L536" s="165" t="s">
        <v>148</v>
      </c>
      <c r="M536" s="165" t="s">
        <v>148</v>
      </c>
      <c r="N536" s="165" t="s">
        <v>148</v>
      </c>
      <c r="O536" s="165" t="s">
        <v>16</v>
      </c>
      <c r="P536" s="165" t="s">
        <v>148</v>
      </c>
      <c r="Q536" s="165" t="s">
        <v>16</v>
      </c>
      <c r="R536" s="165" t="s">
        <v>148</v>
      </c>
      <c r="S536" s="165" t="s">
        <v>148</v>
      </c>
      <c r="T536" s="165" t="s">
        <v>148</v>
      </c>
      <c r="U536" s="165" t="s">
        <v>16</v>
      </c>
      <c r="V536" s="165" t="s">
        <v>16</v>
      </c>
      <c r="W536" s="165" t="s">
        <v>148</v>
      </c>
      <c r="X536" s="165" t="s">
        <v>16</v>
      </c>
      <c r="Y536" s="165" t="s">
        <v>16</v>
      </c>
      <c r="Z536" s="165" t="s">
        <v>16</v>
      </c>
      <c r="AA536" s="165" t="s">
        <v>16</v>
      </c>
      <c r="AB536" s="165" t="s">
        <v>16</v>
      </c>
      <c r="AC536" s="165" t="s">
        <v>148</v>
      </c>
      <c r="AD536" s="165" t="s">
        <v>148</v>
      </c>
      <c r="AE536" s="165" t="s">
        <v>984</v>
      </c>
      <c r="AF536" s="165"/>
    </row>
    <row r="537" spans="1:32" x14ac:dyDescent="0.3">
      <c r="A537" s="165" t="s">
        <v>1002</v>
      </c>
      <c r="B537" s="165" t="s">
        <v>14</v>
      </c>
      <c r="C537" s="165" t="s">
        <v>981</v>
      </c>
      <c r="D537" s="165" t="s">
        <v>15</v>
      </c>
      <c r="E537" s="157">
        <v>40938</v>
      </c>
      <c r="F537" s="165" t="s">
        <v>16</v>
      </c>
      <c r="G537" s="165" t="s">
        <v>16</v>
      </c>
      <c r="H537" s="165" t="s">
        <v>16</v>
      </c>
      <c r="I537" s="165" t="s">
        <v>16</v>
      </c>
      <c r="J537" s="165" t="s">
        <v>16</v>
      </c>
      <c r="K537" s="165" t="s">
        <v>16</v>
      </c>
      <c r="L537" s="165" t="s">
        <v>16</v>
      </c>
      <c r="M537" s="165" t="s">
        <v>16</v>
      </c>
      <c r="N537" s="165" t="s">
        <v>16</v>
      </c>
      <c r="O537" s="165" t="s">
        <v>16</v>
      </c>
      <c r="P537" s="165" t="s">
        <v>16</v>
      </c>
      <c r="Q537" s="165" t="s">
        <v>16</v>
      </c>
      <c r="R537" s="165" t="s">
        <v>16</v>
      </c>
      <c r="S537" s="165" t="s">
        <v>16</v>
      </c>
      <c r="T537" s="165" t="s">
        <v>16</v>
      </c>
      <c r="U537" s="165" t="s">
        <v>16</v>
      </c>
      <c r="V537" s="165" t="s">
        <v>16</v>
      </c>
      <c r="W537" s="165" t="s">
        <v>16</v>
      </c>
      <c r="X537" s="165" t="s">
        <v>16</v>
      </c>
      <c r="Y537" s="165" t="s">
        <v>16</v>
      </c>
      <c r="Z537" s="165" t="s">
        <v>16</v>
      </c>
      <c r="AA537" s="165" t="s">
        <v>16</v>
      </c>
      <c r="AB537" s="165" t="s">
        <v>16</v>
      </c>
      <c r="AC537" s="165" t="s">
        <v>16</v>
      </c>
      <c r="AD537" s="165" t="s">
        <v>16</v>
      </c>
      <c r="AE537" s="165"/>
      <c r="AF537" s="165"/>
    </row>
    <row r="538" spans="1:32" x14ac:dyDescent="0.3">
      <c r="A538" s="165" t="s">
        <v>1003</v>
      </c>
      <c r="B538" s="165" t="s">
        <v>14</v>
      </c>
      <c r="C538" s="165" t="s">
        <v>981</v>
      </c>
      <c r="D538" s="165" t="s">
        <v>15</v>
      </c>
      <c r="E538" s="157">
        <v>40938</v>
      </c>
      <c r="F538" s="165" t="s">
        <v>148</v>
      </c>
      <c r="G538" s="165" t="s">
        <v>16</v>
      </c>
      <c r="H538" s="165" t="s">
        <v>16</v>
      </c>
      <c r="I538" s="165" t="s">
        <v>148</v>
      </c>
      <c r="J538" s="165" t="s">
        <v>148</v>
      </c>
      <c r="K538" s="165" t="s">
        <v>16</v>
      </c>
      <c r="L538" s="165" t="s">
        <v>16</v>
      </c>
      <c r="M538" s="165" t="s">
        <v>16</v>
      </c>
      <c r="N538" s="165" t="s">
        <v>16</v>
      </c>
      <c r="O538" s="165" t="s">
        <v>16</v>
      </c>
      <c r="P538" s="165" t="s">
        <v>148</v>
      </c>
      <c r="Q538" s="165" t="s">
        <v>16</v>
      </c>
      <c r="R538" s="165" t="s">
        <v>148</v>
      </c>
      <c r="S538" s="165" t="s">
        <v>148</v>
      </c>
      <c r="T538" s="165" t="s">
        <v>16</v>
      </c>
      <c r="U538" s="165" t="s">
        <v>16</v>
      </c>
      <c r="V538" s="165" t="s">
        <v>16</v>
      </c>
      <c r="W538" s="165" t="s">
        <v>148</v>
      </c>
      <c r="X538" s="165" t="s">
        <v>148</v>
      </c>
      <c r="Y538" s="165" t="s">
        <v>16</v>
      </c>
      <c r="Z538" s="165" t="s">
        <v>16</v>
      </c>
      <c r="AA538" s="165" t="s">
        <v>148</v>
      </c>
      <c r="AB538" s="165" t="s">
        <v>16</v>
      </c>
      <c r="AC538" s="165" t="s">
        <v>16</v>
      </c>
      <c r="AD538" s="165" t="s">
        <v>148</v>
      </c>
      <c r="AE538" s="165" t="s">
        <v>984</v>
      </c>
      <c r="AF538" s="165"/>
    </row>
    <row r="539" spans="1:32" x14ac:dyDescent="0.3">
      <c r="A539" s="165" t="s">
        <v>1004</v>
      </c>
      <c r="B539" s="165" t="s">
        <v>14</v>
      </c>
      <c r="C539" s="165" t="s">
        <v>981</v>
      </c>
      <c r="D539" s="165" t="s">
        <v>15</v>
      </c>
      <c r="E539" s="157">
        <v>40938</v>
      </c>
      <c r="F539" s="165" t="s">
        <v>16</v>
      </c>
      <c r="G539" s="165" t="s">
        <v>16</v>
      </c>
      <c r="H539" s="165" t="s">
        <v>16</v>
      </c>
      <c r="I539" s="165" t="s">
        <v>16</v>
      </c>
      <c r="J539" s="165" t="s">
        <v>16</v>
      </c>
      <c r="K539" s="165" t="s">
        <v>16</v>
      </c>
      <c r="L539" s="165" t="s">
        <v>16</v>
      </c>
      <c r="M539" s="165" t="s">
        <v>16</v>
      </c>
      <c r="N539" s="165" t="s">
        <v>16</v>
      </c>
      <c r="O539" s="165" t="s">
        <v>16</v>
      </c>
      <c r="P539" s="165" t="s">
        <v>16</v>
      </c>
      <c r="Q539" s="165" t="s">
        <v>16</v>
      </c>
      <c r="R539" s="165" t="s">
        <v>16</v>
      </c>
      <c r="S539" s="165" t="s">
        <v>16</v>
      </c>
      <c r="T539" s="165" t="s">
        <v>16</v>
      </c>
      <c r="U539" s="165" t="s">
        <v>16</v>
      </c>
      <c r="V539" s="165" t="s">
        <v>16</v>
      </c>
      <c r="W539" s="165" t="s">
        <v>16</v>
      </c>
      <c r="X539" s="165" t="s">
        <v>16</v>
      </c>
      <c r="Y539" s="165" t="s">
        <v>16</v>
      </c>
      <c r="Z539" s="165" t="s">
        <v>16</v>
      </c>
      <c r="AA539" s="165" t="s">
        <v>16</v>
      </c>
      <c r="AB539" s="165" t="s">
        <v>16</v>
      </c>
      <c r="AC539" s="165" t="s">
        <v>16</v>
      </c>
      <c r="AD539" s="165" t="s">
        <v>16</v>
      </c>
      <c r="AE539" s="165" t="s">
        <v>993</v>
      </c>
      <c r="AF539" s="165"/>
    </row>
    <row r="540" spans="1:32" x14ac:dyDescent="0.3">
      <c r="A540" s="165" t="s">
        <v>1005</v>
      </c>
      <c r="B540" s="165" t="s">
        <v>14</v>
      </c>
      <c r="C540" s="165" t="s">
        <v>981</v>
      </c>
      <c r="D540" s="165" t="s">
        <v>15</v>
      </c>
      <c r="E540" s="157">
        <v>40938</v>
      </c>
      <c r="F540" s="165" t="s">
        <v>16</v>
      </c>
      <c r="G540" s="165" t="s">
        <v>16</v>
      </c>
      <c r="H540" s="165" t="s">
        <v>16</v>
      </c>
      <c r="I540" s="165" t="s">
        <v>16</v>
      </c>
      <c r="J540" s="165" t="s">
        <v>16</v>
      </c>
      <c r="K540" s="165" t="s">
        <v>16</v>
      </c>
      <c r="L540" s="165" t="s">
        <v>16</v>
      </c>
      <c r="M540" s="165" t="s">
        <v>16</v>
      </c>
      <c r="N540" s="165" t="s">
        <v>16</v>
      </c>
      <c r="O540" s="165" t="s">
        <v>16</v>
      </c>
      <c r="P540" s="165" t="s">
        <v>16</v>
      </c>
      <c r="Q540" s="165" t="s">
        <v>16</v>
      </c>
      <c r="R540" s="165" t="s">
        <v>16</v>
      </c>
      <c r="S540" s="165" t="s">
        <v>16</v>
      </c>
      <c r="T540" s="165" t="s">
        <v>16</v>
      </c>
      <c r="U540" s="165" t="s">
        <v>16</v>
      </c>
      <c r="V540" s="165" t="s">
        <v>16</v>
      </c>
      <c r="W540" s="165" t="s">
        <v>16</v>
      </c>
      <c r="X540" s="165" t="s">
        <v>16</v>
      </c>
      <c r="Y540" s="165" t="s">
        <v>16</v>
      </c>
      <c r="Z540" s="165" t="s">
        <v>16</v>
      </c>
      <c r="AA540" s="165" t="s">
        <v>16</v>
      </c>
      <c r="AB540" s="165" t="s">
        <v>16</v>
      </c>
      <c r="AC540" s="165" t="s">
        <v>16</v>
      </c>
      <c r="AD540" s="165" t="s">
        <v>16</v>
      </c>
      <c r="AE540" s="165" t="s">
        <v>993</v>
      </c>
      <c r="AF540" s="165"/>
    </row>
    <row r="541" spans="1:32" x14ac:dyDescent="0.3">
      <c r="A541" s="165" t="s">
        <v>1006</v>
      </c>
      <c r="B541" s="165" t="s">
        <v>14</v>
      </c>
      <c r="C541" s="165" t="s">
        <v>981</v>
      </c>
      <c r="D541" s="165" t="s">
        <v>15</v>
      </c>
      <c r="E541" s="157">
        <v>40938</v>
      </c>
      <c r="F541" s="165" t="s">
        <v>16</v>
      </c>
      <c r="G541" s="165" t="s">
        <v>149</v>
      </c>
      <c r="H541" s="165" t="s">
        <v>16</v>
      </c>
      <c r="I541" s="165" t="s">
        <v>16</v>
      </c>
      <c r="J541" s="165" t="s">
        <v>149</v>
      </c>
      <c r="K541" s="165" t="s">
        <v>16</v>
      </c>
      <c r="L541" s="165" t="s">
        <v>16</v>
      </c>
      <c r="M541" s="165" t="s">
        <v>16</v>
      </c>
      <c r="N541" s="165" t="s">
        <v>148</v>
      </c>
      <c r="O541" s="165" t="s">
        <v>148</v>
      </c>
      <c r="P541" s="165" t="s">
        <v>148</v>
      </c>
      <c r="Q541" s="165" t="s">
        <v>16</v>
      </c>
      <c r="R541" s="165" t="s">
        <v>16</v>
      </c>
      <c r="S541" s="165" t="s">
        <v>16</v>
      </c>
      <c r="T541" s="165" t="s">
        <v>16</v>
      </c>
      <c r="U541" s="165" t="s">
        <v>16</v>
      </c>
      <c r="V541" s="165" t="s">
        <v>16</v>
      </c>
      <c r="W541" s="165" t="s">
        <v>16</v>
      </c>
      <c r="X541" s="165" t="s">
        <v>16</v>
      </c>
      <c r="Y541" s="165" t="s">
        <v>16</v>
      </c>
      <c r="Z541" s="165" t="s">
        <v>149</v>
      </c>
      <c r="AA541" s="165" t="s">
        <v>149</v>
      </c>
      <c r="AB541" s="165" t="s">
        <v>16</v>
      </c>
      <c r="AC541" s="165" t="s">
        <v>16</v>
      </c>
      <c r="AD541" s="165" t="s">
        <v>16</v>
      </c>
      <c r="AE541" s="165" t="s">
        <v>982</v>
      </c>
      <c r="AF541" s="165"/>
    </row>
    <row r="542" spans="1:32" x14ac:dyDescent="0.3">
      <c r="A542" s="165" t="s">
        <v>1007</v>
      </c>
      <c r="B542" s="165" t="s">
        <v>14</v>
      </c>
      <c r="C542" s="165" t="s">
        <v>981</v>
      </c>
      <c r="D542" s="165" t="s">
        <v>15</v>
      </c>
      <c r="E542" s="157">
        <v>40938</v>
      </c>
      <c r="F542" s="165" t="s">
        <v>16</v>
      </c>
      <c r="G542" s="165" t="s">
        <v>16</v>
      </c>
      <c r="H542" s="165" t="s">
        <v>16</v>
      </c>
      <c r="I542" s="165" t="s">
        <v>16</v>
      </c>
      <c r="J542" s="165" t="s">
        <v>16</v>
      </c>
      <c r="K542" s="165" t="s">
        <v>16</v>
      </c>
      <c r="L542" s="165" t="s">
        <v>16</v>
      </c>
      <c r="M542" s="165" t="s">
        <v>16</v>
      </c>
      <c r="N542" s="165" t="s">
        <v>148</v>
      </c>
      <c r="O542" s="165" t="s">
        <v>16</v>
      </c>
      <c r="P542" s="165" t="s">
        <v>16</v>
      </c>
      <c r="Q542" s="165" t="s">
        <v>16</v>
      </c>
      <c r="R542" s="165" t="s">
        <v>16</v>
      </c>
      <c r="S542" s="165" t="s">
        <v>16</v>
      </c>
      <c r="T542" s="165" t="s">
        <v>16</v>
      </c>
      <c r="U542" s="165" t="s">
        <v>16</v>
      </c>
      <c r="V542" s="165" t="s">
        <v>16</v>
      </c>
      <c r="W542" s="165" t="s">
        <v>16</v>
      </c>
      <c r="X542" s="165" t="s">
        <v>16</v>
      </c>
      <c r="Y542" s="165" t="s">
        <v>16</v>
      </c>
      <c r="Z542" s="165" t="s">
        <v>16</v>
      </c>
      <c r="AA542" s="165" t="s">
        <v>16</v>
      </c>
      <c r="AB542" s="165" t="s">
        <v>16</v>
      </c>
      <c r="AC542" s="165" t="s">
        <v>16</v>
      </c>
      <c r="AD542" s="165" t="s">
        <v>16</v>
      </c>
      <c r="AE542" s="165" t="s">
        <v>984</v>
      </c>
      <c r="AF542" s="165"/>
    </row>
    <row r="543" spans="1:32" x14ac:dyDescent="0.3">
      <c r="A543" s="165" t="s">
        <v>1008</v>
      </c>
      <c r="B543" s="165" t="s">
        <v>14</v>
      </c>
      <c r="C543" s="165" t="s">
        <v>981</v>
      </c>
      <c r="D543" s="165" t="s">
        <v>15</v>
      </c>
      <c r="E543" s="157">
        <v>40938</v>
      </c>
      <c r="F543" s="165" t="s">
        <v>16</v>
      </c>
      <c r="G543" s="165" t="s">
        <v>16</v>
      </c>
      <c r="H543" s="165" t="s">
        <v>16</v>
      </c>
      <c r="I543" s="165" t="s">
        <v>16</v>
      </c>
      <c r="J543" s="165" t="s">
        <v>16</v>
      </c>
      <c r="K543" s="165" t="s">
        <v>16</v>
      </c>
      <c r="L543" s="165" t="s">
        <v>16</v>
      </c>
      <c r="M543" s="165" t="s">
        <v>16</v>
      </c>
      <c r="N543" s="165" t="s">
        <v>16</v>
      </c>
      <c r="O543" s="165" t="s">
        <v>16</v>
      </c>
      <c r="P543" s="165" t="s">
        <v>16</v>
      </c>
      <c r="Q543" s="165" t="s">
        <v>16</v>
      </c>
      <c r="R543" s="165" t="s">
        <v>16</v>
      </c>
      <c r="S543" s="165" t="s">
        <v>16</v>
      </c>
      <c r="T543" s="165" t="s">
        <v>16</v>
      </c>
      <c r="U543" s="165" t="s">
        <v>16</v>
      </c>
      <c r="V543" s="165" t="s">
        <v>16</v>
      </c>
      <c r="W543" s="165" t="s">
        <v>16</v>
      </c>
      <c r="X543" s="165" t="s">
        <v>16</v>
      </c>
      <c r="Y543" s="165" t="s">
        <v>16</v>
      </c>
      <c r="Z543" s="165" t="s">
        <v>16</v>
      </c>
      <c r="AA543" s="165" t="s">
        <v>16</v>
      </c>
      <c r="AB543" s="165" t="s">
        <v>16</v>
      </c>
      <c r="AC543" s="165" t="s">
        <v>16</v>
      </c>
      <c r="AD543" s="165" t="s">
        <v>16</v>
      </c>
      <c r="AE543" s="165" t="s">
        <v>993</v>
      </c>
      <c r="AF543" s="165"/>
    </row>
    <row r="544" spans="1:32" x14ac:dyDescent="0.3">
      <c r="A544" s="165" t="s">
        <v>1009</v>
      </c>
      <c r="B544" s="165" t="s">
        <v>14</v>
      </c>
      <c r="C544" s="165" t="s">
        <v>981</v>
      </c>
      <c r="D544" s="165" t="s">
        <v>15</v>
      </c>
      <c r="E544" s="157">
        <v>40938</v>
      </c>
      <c r="F544" s="165" t="s">
        <v>16</v>
      </c>
      <c r="G544" s="165" t="s">
        <v>16</v>
      </c>
      <c r="H544" s="165" t="s">
        <v>16</v>
      </c>
      <c r="I544" s="165" t="s">
        <v>150</v>
      </c>
      <c r="J544" s="165" t="s">
        <v>16</v>
      </c>
      <c r="K544" s="165" t="s">
        <v>16</v>
      </c>
      <c r="L544" s="165" t="s">
        <v>148</v>
      </c>
      <c r="M544" s="165" t="s">
        <v>148</v>
      </c>
      <c r="N544" s="165" t="s">
        <v>148</v>
      </c>
      <c r="O544" s="165" t="s">
        <v>16</v>
      </c>
      <c r="P544" s="165" t="s">
        <v>148</v>
      </c>
      <c r="Q544" s="165" t="s">
        <v>16</v>
      </c>
      <c r="R544" s="165" t="s">
        <v>150</v>
      </c>
      <c r="S544" s="165" t="s">
        <v>16</v>
      </c>
      <c r="T544" s="165" t="s">
        <v>16</v>
      </c>
      <c r="U544" s="165" t="s">
        <v>150</v>
      </c>
      <c r="V544" s="165" t="s">
        <v>16</v>
      </c>
      <c r="W544" s="165" t="s">
        <v>16</v>
      </c>
      <c r="X544" s="165" t="s">
        <v>16</v>
      </c>
      <c r="Y544" s="165" t="s">
        <v>16</v>
      </c>
      <c r="Z544" s="165" t="s">
        <v>16</v>
      </c>
      <c r="AA544" s="165" t="s">
        <v>16</v>
      </c>
      <c r="AB544" s="165" t="s">
        <v>16</v>
      </c>
      <c r="AC544" s="165" t="s">
        <v>16</v>
      </c>
      <c r="AD544" s="165" t="s">
        <v>16</v>
      </c>
      <c r="AE544" s="165" t="s">
        <v>984</v>
      </c>
      <c r="AF544" s="165" t="s">
        <v>1010</v>
      </c>
    </row>
    <row r="545" spans="1:32" x14ac:dyDescent="0.3">
      <c r="A545" s="165" t="s">
        <v>1011</v>
      </c>
      <c r="B545" s="165" t="s">
        <v>14</v>
      </c>
      <c r="C545" s="165" t="s">
        <v>981</v>
      </c>
      <c r="D545" s="165" t="s">
        <v>15</v>
      </c>
      <c r="E545" s="157">
        <v>40938</v>
      </c>
      <c r="F545" s="165" t="s">
        <v>148</v>
      </c>
      <c r="G545" s="165" t="s">
        <v>16</v>
      </c>
      <c r="H545" s="165" t="s">
        <v>114</v>
      </c>
      <c r="I545" s="165" t="s">
        <v>16</v>
      </c>
      <c r="J545" s="165" t="s">
        <v>114</v>
      </c>
      <c r="K545" s="165" t="s">
        <v>149</v>
      </c>
      <c r="L545" s="165" t="s">
        <v>149</v>
      </c>
      <c r="M545" s="165" t="s">
        <v>150</v>
      </c>
      <c r="N545" s="165" t="s">
        <v>148</v>
      </c>
      <c r="O545" s="165" t="s">
        <v>16</v>
      </c>
      <c r="P545" s="165" t="s">
        <v>16</v>
      </c>
      <c r="Q545" s="165" t="s">
        <v>16</v>
      </c>
      <c r="R545" s="165" t="s">
        <v>16</v>
      </c>
      <c r="S545" s="165" t="s">
        <v>148</v>
      </c>
      <c r="T545" s="165" t="s">
        <v>16</v>
      </c>
      <c r="U545" s="165" t="s">
        <v>16</v>
      </c>
      <c r="V545" s="165" t="s">
        <v>148</v>
      </c>
      <c r="W545" s="165" t="s">
        <v>16</v>
      </c>
      <c r="X545" s="165" t="s">
        <v>16</v>
      </c>
      <c r="Y545" s="165" t="s">
        <v>16</v>
      </c>
      <c r="Z545" s="165" t="s">
        <v>16</v>
      </c>
      <c r="AA545" s="165" t="s">
        <v>148</v>
      </c>
      <c r="AB545" s="165" t="s">
        <v>16</v>
      </c>
      <c r="AC545" s="165" t="s">
        <v>16</v>
      </c>
      <c r="AD545" s="165" t="s">
        <v>16</v>
      </c>
      <c r="AE545" s="165" t="s">
        <v>984</v>
      </c>
      <c r="AF545" s="165"/>
    </row>
    <row r="546" spans="1:32" x14ac:dyDescent="0.3">
      <c r="A546" s="165" t="s">
        <v>1012</v>
      </c>
      <c r="B546" s="165" t="s">
        <v>14</v>
      </c>
      <c r="C546" s="165" t="s">
        <v>981</v>
      </c>
      <c r="D546" s="165" t="s">
        <v>15</v>
      </c>
      <c r="E546" s="157">
        <v>40938</v>
      </c>
      <c r="F546" s="165" t="s">
        <v>16</v>
      </c>
      <c r="G546" s="165" t="s">
        <v>16</v>
      </c>
      <c r="H546" s="165" t="s">
        <v>16</v>
      </c>
      <c r="I546" s="165" t="s">
        <v>16</v>
      </c>
      <c r="J546" s="165" t="s">
        <v>16</v>
      </c>
      <c r="K546" s="165" t="s">
        <v>16</v>
      </c>
      <c r="L546" s="165" t="s">
        <v>16</v>
      </c>
      <c r="M546" s="165" t="s">
        <v>16</v>
      </c>
      <c r="N546" s="165" t="s">
        <v>16</v>
      </c>
      <c r="O546" s="165" t="s">
        <v>148</v>
      </c>
      <c r="P546" s="165" t="s">
        <v>16</v>
      </c>
      <c r="Q546" s="165" t="s">
        <v>16</v>
      </c>
      <c r="R546" s="165" t="s">
        <v>16</v>
      </c>
      <c r="S546" s="165" t="s">
        <v>16</v>
      </c>
      <c r="T546" s="165" t="s">
        <v>16</v>
      </c>
      <c r="U546" s="165" t="s">
        <v>16</v>
      </c>
      <c r="V546" s="165" t="s">
        <v>16</v>
      </c>
      <c r="W546" s="165" t="s">
        <v>16</v>
      </c>
      <c r="X546" s="165" t="s">
        <v>16</v>
      </c>
      <c r="Y546" s="165" t="s">
        <v>16</v>
      </c>
      <c r="Z546" s="165" t="s">
        <v>16</v>
      </c>
      <c r="AA546" s="165" t="s">
        <v>16</v>
      </c>
      <c r="AB546" s="165" t="s">
        <v>16</v>
      </c>
      <c r="AC546" s="165" t="s">
        <v>16</v>
      </c>
      <c r="AD546" s="165" t="s">
        <v>16</v>
      </c>
      <c r="AE546" s="165" t="s">
        <v>982</v>
      </c>
      <c r="AF546" s="165" t="s">
        <v>1013</v>
      </c>
    </row>
    <row r="547" spans="1:32" x14ac:dyDescent="0.3">
      <c r="A547" s="165" t="s">
        <v>1014</v>
      </c>
      <c r="B547" s="165" t="s">
        <v>14</v>
      </c>
      <c r="C547" s="165" t="s">
        <v>981</v>
      </c>
      <c r="D547" s="165" t="s">
        <v>15</v>
      </c>
      <c r="E547" s="157">
        <v>40938</v>
      </c>
      <c r="F547" s="165" t="s">
        <v>16</v>
      </c>
      <c r="G547" s="165" t="s">
        <v>16</v>
      </c>
      <c r="H547" s="165" t="s">
        <v>16</v>
      </c>
      <c r="I547" s="165" t="s">
        <v>16</v>
      </c>
      <c r="J547" s="165" t="s">
        <v>16</v>
      </c>
      <c r="K547" s="165" t="s">
        <v>16</v>
      </c>
      <c r="L547" s="165" t="s">
        <v>16</v>
      </c>
      <c r="M547" s="165" t="s">
        <v>16</v>
      </c>
      <c r="N547" s="165" t="s">
        <v>16</v>
      </c>
      <c r="O547" s="165" t="s">
        <v>16</v>
      </c>
      <c r="P547" s="165" t="s">
        <v>16</v>
      </c>
      <c r="Q547" s="165" t="s">
        <v>16</v>
      </c>
      <c r="R547" s="165" t="s">
        <v>16</v>
      </c>
      <c r="S547" s="165" t="s">
        <v>16</v>
      </c>
      <c r="T547" s="165" t="s">
        <v>16</v>
      </c>
      <c r="U547" s="165" t="s">
        <v>16</v>
      </c>
      <c r="V547" s="165" t="s">
        <v>16</v>
      </c>
      <c r="W547" s="165" t="s">
        <v>16</v>
      </c>
      <c r="X547" s="165" t="s">
        <v>16</v>
      </c>
      <c r="Y547" s="165" t="s">
        <v>16</v>
      </c>
      <c r="Z547" s="165" t="s">
        <v>16</v>
      </c>
      <c r="AA547" s="165" t="s">
        <v>16</v>
      </c>
      <c r="AB547" s="165" t="s">
        <v>16</v>
      </c>
      <c r="AC547" s="165" t="s">
        <v>16</v>
      </c>
      <c r="AD547" s="165" t="s">
        <v>16</v>
      </c>
      <c r="AE547" s="165" t="s">
        <v>993</v>
      </c>
      <c r="AF547" s="165"/>
    </row>
    <row r="548" spans="1:32" x14ac:dyDescent="0.3">
      <c r="A548" s="165" t="s">
        <v>1015</v>
      </c>
      <c r="B548" s="165" t="s">
        <v>14</v>
      </c>
      <c r="C548" s="165" t="s">
        <v>981</v>
      </c>
      <c r="D548" s="165" t="s">
        <v>15</v>
      </c>
      <c r="E548" s="157">
        <v>40938</v>
      </c>
      <c r="F548" s="165" t="s">
        <v>16</v>
      </c>
      <c r="G548" s="165" t="s">
        <v>148</v>
      </c>
      <c r="H548" s="165" t="s">
        <v>16</v>
      </c>
      <c r="I548" s="165" t="s">
        <v>16</v>
      </c>
      <c r="J548" s="165" t="s">
        <v>16</v>
      </c>
      <c r="K548" s="165" t="s">
        <v>16</v>
      </c>
      <c r="L548" s="165" t="s">
        <v>16</v>
      </c>
      <c r="M548" s="165" t="s">
        <v>16</v>
      </c>
      <c r="N548" s="165" t="s">
        <v>148</v>
      </c>
      <c r="O548" s="165" t="s">
        <v>148</v>
      </c>
      <c r="P548" s="165" t="s">
        <v>148</v>
      </c>
      <c r="Q548" s="165" t="s">
        <v>16</v>
      </c>
      <c r="R548" s="165" t="s">
        <v>148</v>
      </c>
      <c r="S548" s="165" t="s">
        <v>149</v>
      </c>
      <c r="T548" s="165" t="s">
        <v>149</v>
      </c>
      <c r="U548" s="165" t="s">
        <v>16</v>
      </c>
      <c r="V548" s="165" t="s">
        <v>16</v>
      </c>
      <c r="W548" s="165" t="s">
        <v>16</v>
      </c>
      <c r="X548" s="165" t="s">
        <v>16</v>
      </c>
      <c r="Y548" s="165" t="s">
        <v>16</v>
      </c>
      <c r="Z548" s="165" t="s">
        <v>16</v>
      </c>
      <c r="AA548" s="165" t="s">
        <v>16</v>
      </c>
      <c r="AB548" s="165" t="s">
        <v>16</v>
      </c>
      <c r="AC548" s="165" t="s">
        <v>148</v>
      </c>
      <c r="AD548" s="165" t="s">
        <v>16</v>
      </c>
      <c r="AE548" s="165" t="s">
        <v>982</v>
      </c>
      <c r="AF548" s="165"/>
    </row>
    <row r="549" spans="1:32" x14ac:dyDescent="0.3">
      <c r="A549" s="165" t="s">
        <v>1016</v>
      </c>
      <c r="B549" s="165" t="s">
        <v>14</v>
      </c>
      <c r="C549" s="165" t="s">
        <v>981</v>
      </c>
      <c r="D549" s="165" t="s">
        <v>15</v>
      </c>
      <c r="E549" s="157">
        <v>40938</v>
      </c>
      <c r="F549" s="165" t="s">
        <v>16</v>
      </c>
      <c r="G549" s="165" t="s">
        <v>16</v>
      </c>
      <c r="H549" s="165" t="s">
        <v>148</v>
      </c>
      <c r="I549" s="165" t="s">
        <v>16</v>
      </c>
      <c r="J549" s="165" t="s">
        <v>16</v>
      </c>
      <c r="K549" s="165" t="s">
        <v>16</v>
      </c>
      <c r="L549" s="165" t="s">
        <v>149</v>
      </c>
      <c r="M549" s="165" t="s">
        <v>16</v>
      </c>
      <c r="N549" s="165" t="s">
        <v>16</v>
      </c>
      <c r="O549" s="165" t="s">
        <v>16</v>
      </c>
      <c r="P549" s="165" t="s">
        <v>16</v>
      </c>
      <c r="Q549" s="165" t="s">
        <v>16</v>
      </c>
      <c r="R549" s="165" t="s">
        <v>148</v>
      </c>
      <c r="S549" s="165" t="s">
        <v>148</v>
      </c>
      <c r="T549" s="165" t="s">
        <v>16</v>
      </c>
      <c r="U549" s="165" t="s">
        <v>16</v>
      </c>
      <c r="V549" s="165" t="s">
        <v>16</v>
      </c>
      <c r="W549" s="165" t="s">
        <v>16</v>
      </c>
      <c r="X549" s="165" t="s">
        <v>16</v>
      </c>
      <c r="Y549" s="165" t="s">
        <v>16</v>
      </c>
      <c r="Z549" s="165" t="s">
        <v>16</v>
      </c>
      <c r="AA549" s="165" t="s">
        <v>16</v>
      </c>
      <c r="AB549" s="165" t="s">
        <v>16</v>
      </c>
      <c r="AC549" s="165" t="s">
        <v>16</v>
      </c>
      <c r="AD549" s="165" t="s">
        <v>16</v>
      </c>
      <c r="AE549" s="165" t="s">
        <v>993</v>
      </c>
      <c r="AF549" s="165" t="s">
        <v>1017</v>
      </c>
    </row>
    <row r="550" spans="1:32" x14ac:dyDescent="0.3">
      <c r="A550" s="165" t="s">
        <v>1018</v>
      </c>
      <c r="B550" s="165" t="s">
        <v>14</v>
      </c>
      <c r="C550" s="165" t="s">
        <v>981</v>
      </c>
      <c r="D550" s="165" t="s">
        <v>15</v>
      </c>
      <c r="E550" s="157">
        <v>40938</v>
      </c>
      <c r="F550" s="165" t="s">
        <v>16</v>
      </c>
      <c r="G550" s="165" t="s">
        <v>16</v>
      </c>
      <c r="H550" s="165" t="s">
        <v>16</v>
      </c>
      <c r="I550" s="165" t="s">
        <v>16</v>
      </c>
      <c r="J550" s="165" t="s">
        <v>16</v>
      </c>
      <c r="K550" s="165" t="s">
        <v>16</v>
      </c>
      <c r="L550" s="165" t="s">
        <v>16</v>
      </c>
      <c r="M550" s="165" t="s">
        <v>16</v>
      </c>
      <c r="N550" s="165" t="s">
        <v>16</v>
      </c>
      <c r="O550" s="165" t="s">
        <v>16</v>
      </c>
      <c r="P550" s="165" t="s">
        <v>16</v>
      </c>
      <c r="Q550" s="165" t="s">
        <v>16</v>
      </c>
      <c r="R550" s="165" t="s">
        <v>16</v>
      </c>
      <c r="S550" s="165" t="s">
        <v>16</v>
      </c>
      <c r="T550" s="165" t="s">
        <v>16</v>
      </c>
      <c r="U550" s="165" t="s">
        <v>16</v>
      </c>
      <c r="V550" s="165" t="s">
        <v>16</v>
      </c>
      <c r="W550" s="165" t="s">
        <v>16</v>
      </c>
      <c r="X550" s="165" t="s">
        <v>16</v>
      </c>
      <c r="Y550" s="165" t="s">
        <v>16</v>
      </c>
      <c r="Z550" s="165" t="s">
        <v>16</v>
      </c>
      <c r="AA550" s="165" t="s">
        <v>16</v>
      </c>
      <c r="AB550" s="165" t="s">
        <v>16</v>
      </c>
      <c r="AC550" s="165" t="s">
        <v>148</v>
      </c>
      <c r="AD550" s="165" t="s">
        <v>16</v>
      </c>
      <c r="AE550" s="165"/>
      <c r="AF550" s="165" t="s">
        <v>1019</v>
      </c>
    </row>
    <row r="551" spans="1:32" x14ac:dyDescent="0.3">
      <c r="A551" s="165" t="s">
        <v>1020</v>
      </c>
      <c r="B551" s="165" t="s">
        <v>14</v>
      </c>
      <c r="C551" s="165" t="s">
        <v>981</v>
      </c>
      <c r="D551" s="165" t="s">
        <v>15</v>
      </c>
      <c r="E551" s="157">
        <v>40938</v>
      </c>
      <c r="F551" s="165" t="s">
        <v>16</v>
      </c>
      <c r="G551" s="165" t="s">
        <v>148</v>
      </c>
      <c r="H551" s="165" t="s">
        <v>16</v>
      </c>
      <c r="I551" s="165" t="s">
        <v>148</v>
      </c>
      <c r="J551" s="165" t="s">
        <v>16</v>
      </c>
      <c r="K551" s="165" t="s">
        <v>16</v>
      </c>
      <c r="L551" s="165" t="s">
        <v>148</v>
      </c>
      <c r="M551" s="165" t="s">
        <v>16</v>
      </c>
      <c r="N551" s="165" t="s">
        <v>16</v>
      </c>
      <c r="O551" s="165" t="s">
        <v>16</v>
      </c>
      <c r="P551" s="165" t="s">
        <v>16</v>
      </c>
      <c r="Q551" s="165" t="s">
        <v>16</v>
      </c>
      <c r="R551" s="165" t="s">
        <v>148</v>
      </c>
      <c r="S551" s="165" t="s">
        <v>16</v>
      </c>
      <c r="T551" s="165" t="s">
        <v>148</v>
      </c>
      <c r="U551" s="165" t="s">
        <v>16</v>
      </c>
      <c r="V551" s="165" t="s">
        <v>16</v>
      </c>
      <c r="W551" s="165" t="s">
        <v>16</v>
      </c>
      <c r="X551" s="165" t="s">
        <v>148</v>
      </c>
      <c r="Y551" s="165" t="s">
        <v>16</v>
      </c>
      <c r="Z551" s="165" t="s">
        <v>16</v>
      </c>
      <c r="AA551" s="165" t="s">
        <v>16</v>
      </c>
      <c r="AB551" s="165" t="s">
        <v>16</v>
      </c>
      <c r="AC551" s="165" t="s">
        <v>148</v>
      </c>
      <c r="AD551" s="165" t="s">
        <v>148</v>
      </c>
      <c r="AE551" s="165" t="s">
        <v>982</v>
      </c>
      <c r="AF551" s="165" t="s">
        <v>1021</v>
      </c>
    </row>
    <row r="552" spans="1:32" x14ac:dyDescent="0.3">
      <c r="A552" s="165" t="s">
        <v>1022</v>
      </c>
      <c r="B552" s="165" t="s">
        <v>14</v>
      </c>
      <c r="C552" s="165" t="s">
        <v>981</v>
      </c>
      <c r="D552" s="165" t="s">
        <v>15</v>
      </c>
      <c r="E552" s="157">
        <v>40938</v>
      </c>
      <c r="F552" s="165" t="s">
        <v>149</v>
      </c>
      <c r="G552" s="165" t="s">
        <v>16</v>
      </c>
      <c r="H552" s="165" t="s">
        <v>16</v>
      </c>
      <c r="I552" s="165" t="s">
        <v>16</v>
      </c>
      <c r="J552" s="165" t="s">
        <v>16</v>
      </c>
      <c r="K552" s="165" t="s">
        <v>16</v>
      </c>
      <c r="L552" s="165" t="s">
        <v>16</v>
      </c>
      <c r="M552" s="165" t="s">
        <v>148</v>
      </c>
      <c r="N552" s="165" t="s">
        <v>149</v>
      </c>
      <c r="O552" s="165" t="s">
        <v>16</v>
      </c>
      <c r="P552" s="165" t="s">
        <v>149</v>
      </c>
      <c r="Q552" s="165" t="s">
        <v>16</v>
      </c>
      <c r="R552" s="165" t="s">
        <v>16</v>
      </c>
      <c r="S552" s="165" t="s">
        <v>16</v>
      </c>
      <c r="T552" s="165" t="s">
        <v>16</v>
      </c>
      <c r="U552" s="165" t="s">
        <v>16</v>
      </c>
      <c r="V552" s="165" t="s">
        <v>16</v>
      </c>
      <c r="W552" s="165" t="s">
        <v>16</v>
      </c>
      <c r="X552" s="165" t="s">
        <v>16</v>
      </c>
      <c r="Y552" s="165" t="s">
        <v>16</v>
      </c>
      <c r="Z552" s="165" t="s">
        <v>16</v>
      </c>
      <c r="AA552" s="165" t="s">
        <v>16</v>
      </c>
      <c r="AB552" s="165" t="s">
        <v>16</v>
      </c>
      <c r="AC552" s="165" t="s">
        <v>16</v>
      </c>
      <c r="AD552" s="165" t="s">
        <v>16</v>
      </c>
      <c r="AE552" s="165" t="s">
        <v>984</v>
      </c>
      <c r="AF552" s="165"/>
    </row>
    <row r="553" spans="1:32" x14ac:dyDescent="0.3">
      <c r="A553" s="165" t="s">
        <v>1023</v>
      </c>
      <c r="B553" s="165" t="s">
        <v>14</v>
      </c>
      <c r="C553" s="165" t="s">
        <v>981</v>
      </c>
      <c r="D553" s="165" t="s">
        <v>15</v>
      </c>
      <c r="E553" s="157">
        <v>40938</v>
      </c>
      <c r="F553" s="165" t="s">
        <v>148</v>
      </c>
      <c r="G553" s="165" t="s">
        <v>16</v>
      </c>
      <c r="H553" s="165" t="s">
        <v>16</v>
      </c>
      <c r="I553" s="165" t="s">
        <v>16</v>
      </c>
      <c r="J553" s="165" t="s">
        <v>16</v>
      </c>
      <c r="K553" s="165" t="s">
        <v>16</v>
      </c>
      <c r="L553" s="165" t="s">
        <v>16</v>
      </c>
      <c r="M553" s="165" t="s">
        <v>16</v>
      </c>
      <c r="N553" s="165" t="s">
        <v>16</v>
      </c>
      <c r="O553" s="165" t="s">
        <v>16</v>
      </c>
      <c r="P553" s="165" t="s">
        <v>16</v>
      </c>
      <c r="Q553" s="165" t="s">
        <v>148</v>
      </c>
      <c r="R553" s="165" t="s">
        <v>16</v>
      </c>
      <c r="S553" s="165" t="s">
        <v>16</v>
      </c>
      <c r="T553" s="165" t="s">
        <v>16</v>
      </c>
      <c r="U553" s="165" t="s">
        <v>16</v>
      </c>
      <c r="V553" s="165" t="s">
        <v>148</v>
      </c>
      <c r="W553" s="165" t="s">
        <v>16</v>
      </c>
      <c r="X553" s="165" t="s">
        <v>16</v>
      </c>
      <c r="Y553" s="165" t="s">
        <v>16</v>
      </c>
      <c r="Z553" s="165" t="s">
        <v>16</v>
      </c>
      <c r="AA553" s="165" t="s">
        <v>16</v>
      </c>
      <c r="AB553" s="165" t="s">
        <v>16</v>
      </c>
      <c r="AC553" s="165" t="s">
        <v>148</v>
      </c>
      <c r="AD553" s="165" t="s">
        <v>16</v>
      </c>
      <c r="AE553" s="165" t="s">
        <v>1024</v>
      </c>
      <c r="AF553" s="165"/>
    </row>
    <row r="554" spans="1:32" x14ac:dyDescent="0.3">
      <c r="A554" s="165" t="s">
        <v>1025</v>
      </c>
      <c r="B554" s="165" t="s">
        <v>14</v>
      </c>
      <c r="C554" s="165" t="s">
        <v>981</v>
      </c>
      <c r="D554" s="165" t="s">
        <v>15</v>
      </c>
      <c r="E554" s="157">
        <v>40938</v>
      </c>
      <c r="F554" s="165" t="s">
        <v>16</v>
      </c>
      <c r="G554" s="165" t="s">
        <v>16</v>
      </c>
      <c r="H554" s="165" t="s">
        <v>16</v>
      </c>
      <c r="I554" s="165" t="s">
        <v>16</v>
      </c>
      <c r="J554" s="165" t="s">
        <v>16</v>
      </c>
      <c r="K554" s="165" t="s">
        <v>16</v>
      </c>
      <c r="L554" s="165" t="s">
        <v>16</v>
      </c>
      <c r="M554" s="165" t="s">
        <v>16</v>
      </c>
      <c r="N554" s="165" t="s">
        <v>16</v>
      </c>
      <c r="O554" s="165" t="s">
        <v>16</v>
      </c>
      <c r="P554" s="165" t="s">
        <v>16</v>
      </c>
      <c r="Q554" s="165" t="s">
        <v>16</v>
      </c>
      <c r="R554" s="165" t="s">
        <v>16</v>
      </c>
      <c r="S554" s="165" t="s">
        <v>16</v>
      </c>
      <c r="T554" s="165" t="s">
        <v>16</v>
      </c>
      <c r="U554" s="165" t="s">
        <v>16</v>
      </c>
      <c r="V554" s="165" t="s">
        <v>16</v>
      </c>
      <c r="W554" s="165" t="s">
        <v>16</v>
      </c>
      <c r="X554" s="165" t="s">
        <v>16</v>
      </c>
      <c r="Y554" s="165" t="s">
        <v>16</v>
      </c>
      <c r="Z554" s="165" t="s">
        <v>16</v>
      </c>
      <c r="AA554" s="165" t="s">
        <v>16</v>
      </c>
      <c r="AB554" s="165" t="s">
        <v>16</v>
      </c>
      <c r="AC554" s="165" t="s">
        <v>16</v>
      </c>
      <c r="AD554" s="165" t="s">
        <v>16</v>
      </c>
      <c r="AE554" s="165" t="s">
        <v>984</v>
      </c>
      <c r="AF554" s="165"/>
    </row>
    <row r="555" spans="1:32" x14ac:dyDescent="0.3">
      <c r="A555" s="165" t="s">
        <v>1026</v>
      </c>
      <c r="B555" s="165" t="s">
        <v>14</v>
      </c>
      <c r="C555" s="165" t="s">
        <v>981</v>
      </c>
      <c r="D555" s="165" t="s">
        <v>15</v>
      </c>
      <c r="E555" s="157">
        <v>40938</v>
      </c>
      <c r="F555" s="165" t="s">
        <v>149</v>
      </c>
      <c r="G555" s="165" t="s">
        <v>149</v>
      </c>
      <c r="H555" s="165" t="s">
        <v>16</v>
      </c>
      <c r="I555" s="165" t="s">
        <v>16</v>
      </c>
      <c r="J555" s="165" t="s">
        <v>16</v>
      </c>
      <c r="K555" s="165" t="s">
        <v>148</v>
      </c>
      <c r="L555" s="165" t="s">
        <v>16</v>
      </c>
      <c r="M555" s="165" t="s">
        <v>149</v>
      </c>
      <c r="N555" s="165" t="s">
        <v>149</v>
      </c>
      <c r="O555" s="165" t="s">
        <v>16</v>
      </c>
      <c r="P555" s="165" t="s">
        <v>16</v>
      </c>
      <c r="Q555" s="165" t="s">
        <v>149</v>
      </c>
      <c r="R555" s="165" t="s">
        <v>16</v>
      </c>
      <c r="S555" s="165" t="s">
        <v>16</v>
      </c>
      <c r="T555" s="165" t="s">
        <v>16</v>
      </c>
      <c r="U555" s="165" t="s">
        <v>16</v>
      </c>
      <c r="V555" s="165" t="s">
        <v>16</v>
      </c>
      <c r="W555" s="165" t="s">
        <v>16</v>
      </c>
      <c r="X555" s="165" t="s">
        <v>16</v>
      </c>
      <c r="Y555" s="165" t="s">
        <v>16</v>
      </c>
      <c r="Z555" s="165" t="s">
        <v>149</v>
      </c>
      <c r="AA555" s="165" t="s">
        <v>16</v>
      </c>
      <c r="AB555" s="165" t="s">
        <v>16</v>
      </c>
      <c r="AC555" s="165" t="s">
        <v>16</v>
      </c>
      <c r="AD555" s="165" t="s">
        <v>149</v>
      </c>
      <c r="AE555" s="165" t="s">
        <v>993</v>
      </c>
      <c r="AF555" s="165"/>
    </row>
    <row r="556" spans="1:32" x14ac:dyDescent="0.3">
      <c r="A556" s="165" t="s">
        <v>1027</v>
      </c>
      <c r="B556" s="165" t="s">
        <v>14</v>
      </c>
      <c r="C556" s="165" t="s">
        <v>981</v>
      </c>
      <c r="D556" s="165" t="s">
        <v>15</v>
      </c>
      <c r="E556" s="157">
        <v>40938</v>
      </c>
      <c r="F556" s="165" t="s">
        <v>16</v>
      </c>
      <c r="G556" s="165" t="s">
        <v>16</v>
      </c>
      <c r="H556" s="165" t="s">
        <v>148</v>
      </c>
      <c r="I556" s="165" t="s">
        <v>148</v>
      </c>
      <c r="J556" s="165" t="s">
        <v>148</v>
      </c>
      <c r="K556" s="165" t="s">
        <v>16</v>
      </c>
      <c r="L556" s="165" t="s">
        <v>148</v>
      </c>
      <c r="M556" s="165" t="s">
        <v>148</v>
      </c>
      <c r="N556" s="165" t="s">
        <v>16</v>
      </c>
      <c r="O556" s="165" t="s">
        <v>16</v>
      </c>
      <c r="P556" s="165" t="s">
        <v>148</v>
      </c>
      <c r="Q556" s="165" t="s">
        <v>16</v>
      </c>
      <c r="R556" s="165" t="s">
        <v>16</v>
      </c>
      <c r="S556" s="165" t="s">
        <v>16</v>
      </c>
      <c r="T556" s="165" t="s">
        <v>16</v>
      </c>
      <c r="U556" s="165" t="s">
        <v>16</v>
      </c>
      <c r="V556" s="165" t="s">
        <v>16</v>
      </c>
      <c r="W556" s="165" t="s">
        <v>148</v>
      </c>
      <c r="X556" s="165" t="s">
        <v>16</v>
      </c>
      <c r="Y556" s="165" t="s">
        <v>16</v>
      </c>
      <c r="Z556" s="165" t="s">
        <v>16</v>
      </c>
      <c r="AA556" s="165" t="s">
        <v>16</v>
      </c>
      <c r="AB556" s="165" t="s">
        <v>16</v>
      </c>
      <c r="AC556" s="165" t="s">
        <v>148</v>
      </c>
      <c r="AD556" s="165" t="s">
        <v>148</v>
      </c>
      <c r="AE556" s="165" t="s">
        <v>984</v>
      </c>
      <c r="AF556" s="165"/>
    </row>
    <row r="557" spans="1:32" x14ac:dyDescent="0.3">
      <c r="A557" s="165" t="s">
        <v>1028</v>
      </c>
      <c r="B557" s="165" t="s">
        <v>14</v>
      </c>
      <c r="C557" s="165" t="s">
        <v>981</v>
      </c>
      <c r="D557" s="165" t="s">
        <v>15</v>
      </c>
      <c r="E557" s="157">
        <v>40938</v>
      </c>
      <c r="F557" s="165" t="s">
        <v>148</v>
      </c>
      <c r="G557" s="165" t="s">
        <v>16</v>
      </c>
      <c r="H557" s="165" t="s">
        <v>16</v>
      </c>
      <c r="I557" s="165" t="s">
        <v>16</v>
      </c>
      <c r="J557" s="165" t="s">
        <v>149</v>
      </c>
      <c r="K557" s="165" t="s">
        <v>151</v>
      </c>
      <c r="L557" s="165" t="s">
        <v>151</v>
      </c>
      <c r="M557" s="165" t="s">
        <v>149</v>
      </c>
      <c r="N557" s="165" t="s">
        <v>16</v>
      </c>
      <c r="O557" s="165" t="s">
        <v>16</v>
      </c>
      <c r="P557" s="165" t="s">
        <v>149</v>
      </c>
      <c r="Q557" s="165" t="s">
        <v>149</v>
      </c>
      <c r="R557" s="165" t="s">
        <v>149</v>
      </c>
      <c r="S557" s="165" t="s">
        <v>149</v>
      </c>
      <c r="T557" s="165" t="s">
        <v>149</v>
      </c>
      <c r="U557" s="165" t="s">
        <v>16</v>
      </c>
      <c r="V557" s="165" t="s">
        <v>151</v>
      </c>
      <c r="W557" s="165" t="s">
        <v>148</v>
      </c>
      <c r="X557" s="165" t="s">
        <v>149</v>
      </c>
      <c r="Y557" s="165" t="s">
        <v>149</v>
      </c>
      <c r="Z557" s="165" t="s">
        <v>149</v>
      </c>
      <c r="AA557" s="165" t="s">
        <v>151</v>
      </c>
      <c r="AB557" s="165" t="s">
        <v>148</v>
      </c>
      <c r="AC557" s="165" t="s">
        <v>149</v>
      </c>
      <c r="AD557" s="165" t="s">
        <v>151</v>
      </c>
      <c r="AE557" s="165" t="s">
        <v>984</v>
      </c>
      <c r="AF557" s="165"/>
    </row>
    <row r="560" spans="1:32" x14ac:dyDescent="0.3">
      <c r="A560" s="165"/>
      <c r="B560" s="165"/>
      <c r="C560" s="165"/>
      <c r="D560" s="165"/>
      <c r="E560" s="165"/>
      <c r="F560" s="165" t="s">
        <v>124</v>
      </c>
      <c r="G560" s="165" t="s">
        <v>125</v>
      </c>
      <c r="H560" s="165" t="s">
        <v>126</v>
      </c>
      <c r="I560" s="165" t="s">
        <v>127</v>
      </c>
      <c r="J560" s="165" t="s">
        <v>214</v>
      </c>
      <c r="K560" s="165" t="s">
        <v>128</v>
      </c>
      <c r="L560" s="165" t="s">
        <v>129</v>
      </c>
      <c r="M560" s="165" t="s">
        <v>130</v>
      </c>
      <c r="N560" s="165" t="s">
        <v>131</v>
      </c>
      <c r="O560" s="165" t="s">
        <v>132</v>
      </c>
      <c r="P560" s="165" t="s">
        <v>133</v>
      </c>
      <c r="Q560" s="165" t="s">
        <v>134</v>
      </c>
      <c r="R560" s="165" t="s">
        <v>135</v>
      </c>
      <c r="S560" s="165" t="s">
        <v>136</v>
      </c>
      <c r="T560" s="165" t="s">
        <v>137</v>
      </c>
      <c r="U560" s="165" t="s">
        <v>138</v>
      </c>
      <c r="V560" s="165" t="s">
        <v>139</v>
      </c>
      <c r="W560" s="165" t="s">
        <v>140</v>
      </c>
      <c r="X560" s="165" t="s">
        <v>186</v>
      </c>
      <c r="Y560" s="165" t="s">
        <v>209</v>
      </c>
      <c r="Z560" s="165" t="s">
        <v>141</v>
      </c>
      <c r="AA560" s="165" t="s">
        <v>142</v>
      </c>
      <c r="AB560" s="165" t="s">
        <v>210</v>
      </c>
      <c r="AC560" s="165" t="s">
        <v>143</v>
      </c>
      <c r="AD560" s="165" t="s">
        <v>144</v>
      </c>
      <c r="AE560" s="165" t="s">
        <v>1031</v>
      </c>
      <c r="AF560" s="165" t="s">
        <v>190</v>
      </c>
    </row>
    <row r="561" spans="1:32" x14ac:dyDescent="0.3">
      <c r="A561" s="165" t="s">
        <v>1074</v>
      </c>
      <c r="B561" s="165" t="s">
        <v>14</v>
      </c>
      <c r="C561" s="165" t="s">
        <v>1033</v>
      </c>
      <c r="D561" s="165" t="s">
        <v>15</v>
      </c>
      <c r="E561" s="157">
        <v>40967</v>
      </c>
      <c r="F561" s="165" t="s">
        <v>16</v>
      </c>
      <c r="G561" s="165" t="s">
        <v>16</v>
      </c>
      <c r="H561" s="165" t="s">
        <v>149</v>
      </c>
      <c r="I561" s="165" t="s">
        <v>16</v>
      </c>
      <c r="J561" s="165" t="s">
        <v>149</v>
      </c>
      <c r="K561" s="165" t="s">
        <v>16</v>
      </c>
      <c r="L561" s="165" t="s">
        <v>148</v>
      </c>
      <c r="M561" s="165" t="s">
        <v>16</v>
      </c>
      <c r="N561" s="165" t="s">
        <v>148</v>
      </c>
      <c r="O561" s="165" t="s">
        <v>16</v>
      </c>
      <c r="P561" s="165" t="s">
        <v>148</v>
      </c>
      <c r="Q561" s="165" t="s">
        <v>16</v>
      </c>
      <c r="R561" s="165" t="s">
        <v>16</v>
      </c>
      <c r="S561" s="165" t="s">
        <v>150</v>
      </c>
      <c r="T561" s="165" t="s">
        <v>149</v>
      </c>
      <c r="U561" s="165" t="s">
        <v>148</v>
      </c>
      <c r="V561" s="165" t="s">
        <v>148</v>
      </c>
      <c r="W561" s="165" t="s">
        <v>148</v>
      </c>
      <c r="X561" s="165" t="s">
        <v>16</v>
      </c>
      <c r="Y561" s="165" t="s">
        <v>114</v>
      </c>
      <c r="Z561" s="165" t="s">
        <v>16</v>
      </c>
      <c r="AA561" s="165" t="s">
        <v>16</v>
      </c>
      <c r="AB561" s="165" t="s">
        <v>149</v>
      </c>
      <c r="AC561" s="165" t="s">
        <v>16</v>
      </c>
      <c r="AD561" s="165" t="s">
        <v>149</v>
      </c>
      <c r="AE561" s="165" t="s">
        <v>1034</v>
      </c>
      <c r="AF561" s="165"/>
    </row>
    <row r="562" spans="1:32" x14ac:dyDescent="0.3">
      <c r="A562" s="165" t="s">
        <v>1075</v>
      </c>
      <c r="B562" s="165" t="s">
        <v>14</v>
      </c>
      <c r="C562" s="165" t="s">
        <v>1033</v>
      </c>
      <c r="D562" s="165" t="s">
        <v>15</v>
      </c>
      <c r="E562" s="157">
        <v>40967</v>
      </c>
      <c r="F562" s="165" t="s">
        <v>149</v>
      </c>
      <c r="G562" s="165" t="s">
        <v>149</v>
      </c>
      <c r="H562" s="165" t="s">
        <v>149</v>
      </c>
      <c r="I562" s="165" t="s">
        <v>16</v>
      </c>
      <c r="J562" s="165" t="s">
        <v>16</v>
      </c>
      <c r="K562" s="165" t="s">
        <v>149</v>
      </c>
      <c r="L562" s="165" t="s">
        <v>16</v>
      </c>
      <c r="M562" s="165" t="s">
        <v>149</v>
      </c>
      <c r="N562" s="165" t="s">
        <v>149</v>
      </c>
      <c r="O562" s="165" t="s">
        <v>16</v>
      </c>
      <c r="P562" s="165" t="s">
        <v>16</v>
      </c>
      <c r="Q562" s="165" t="s">
        <v>149</v>
      </c>
      <c r="R562" s="165" t="s">
        <v>149</v>
      </c>
      <c r="S562" s="165" t="s">
        <v>16</v>
      </c>
      <c r="T562" s="165" t="s">
        <v>16</v>
      </c>
      <c r="U562" s="165" t="s">
        <v>149</v>
      </c>
      <c r="V562" s="165" t="s">
        <v>16</v>
      </c>
      <c r="W562" s="165" t="s">
        <v>16</v>
      </c>
      <c r="X562" s="165" t="s">
        <v>16</v>
      </c>
      <c r="Y562" s="165" t="s">
        <v>16</v>
      </c>
      <c r="Z562" s="165" t="s">
        <v>149</v>
      </c>
      <c r="AA562" s="165" t="s">
        <v>16</v>
      </c>
      <c r="AB562" s="165" t="s">
        <v>148</v>
      </c>
      <c r="AC562" s="165" t="s">
        <v>149</v>
      </c>
      <c r="AD562" s="165" t="s">
        <v>16</v>
      </c>
      <c r="AE562" s="165" t="s">
        <v>1034</v>
      </c>
      <c r="AF562" s="165"/>
    </row>
    <row r="563" spans="1:32" x14ac:dyDescent="0.3">
      <c r="A563" s="165" t="s">
        <v>1076</v>
      </c>
      <c r="B563" s="165" t="s">
        <v>14</v>
      </c>
      <c r="C563" s="165" t="s">
        <v>1033</v>
      </c>
      <c r="D563" s="165" t="s">
        <v>15</v>
      </c>
      <c r="E563" s="157">
        <v>40967</v>
      </c>
      <c r="F563" s="165" t="s">
        <v>150</v>
      </c>
      <c r="G563" s="165" t="s">
        <v>16</v>
      </c>
      <c r="H563" s="165" t="s">
        <v>16</v>
      </c>
      <c r="I563" s="165" t="s">
        <v>16</v>
      </c>
      <c r="J563" s="165" t="s">
        <v>16</v>
      </c>
      <c r="K563" s="165" t="s">
        <v>150</v>
      </c>
      <c r="L563" s="165" t="s">
        <v>150</v>
      </c>
      <c r="M563" s="165" t="s">
        <v>16</v>
      </c>
      <c r="N563" s="165" t="s">
        <v>16</v>
      </c>
      <c r="O563" s="165" t="s">
        <v>16</v>
      </c>
      <c r="P563" s="165" t="s">
        <v>150</v>
      </c>
      <c r="Q563" s="165" t="s">
        <v>150</v>
      </c>
      <c r="R563" s="165" t="s">
        <v>150</v>
      </c>
      <c r="S563" s="165" t="s">
        <v>16</v>
      </c>
      <c r="T563" s="165" t="s">
        <v>148</v>
      </c>
      <c r="U563" s="165" t="s">
        <v>16</v>
      </c>
      <c r="V563" s="165" t="s">
        <v>16</v>
      </c>
      <c r="W563" s="165" t="s">
        <v>148</v>
      </c>
      <c r="X563" s="165" t="s">
        <v>150</v>
      </c>
      <c r="Y563" s="165" t="s">
        <v>16</v>
      </c>
      <c r="Z563" s="165" t="s">
        <v>16</v>
      </c>
      <c r="AA563" s="165" t="s">
        <v>16</v>
      </c>
      <c r="AB563" s="165" t="s">
        <v>148</v>
      </c>
      <c r="AC563" s="165" t="s">
        <v>16</v>
      </c>
      <c r="AD563" s="165" t="s">
        <v>148</v>
      </c>
      <c r="AE563" s="165" t="s">
        <v>1036</v>
      </c>
      <c r="AF563" s="165"/>
    </row>
    <row r="564" spans="1:32" x14ac:dyDescent="0.3">
      <c r="A564" s="165" t="s">
        <v>1077</v>
      </c>
      <c r="B564" s="165" t="s">
        <v>14</v>
      </c>
      <c r="C564" s="165" t="s">
        <v>1033</v>
      </c>
      <c r="D564" s="165" t="s">
        <v>15</v>
      </c>
      <c r="E564" s="157">
        <v>40967</v>
      </c>
      <c r="F564" s="165" t="s">
        <v>16</v>
      </c>
      <c r="G564" s="165" t="s">
        <v>16</v>
      </c>
      <c r="H564" s="165" t="s">
        <v>16</v>
      </c>
      <c r="I564" s="165" t="s">
        <v>16</v>
      </c>
      <c r="J564" s="165" t="s">
        <v>16</v>
      </c>
      <c r="K564" s="165" t="s">
        <v>16</v>
      </c>
      <c r="L564" s="165" t="s">
        <v>16</v>
      </c>
      <c r="M564" s="165" t="s">
        <v>16</v>
      </c>
      <c r="N564" s="165" t="s">
        <v>16</v>
      </c>
      <c r="O564" s="165" t="s">
        <v>16</v>
      </c>
      <c r="P564" s="165" t="s">
        <v>16</v>
      </c>
      <c r="Q564" s="165" t="s">
        <v>16</v>
      </c>
      <c r="R564" s="165" t="s">
        <v>16</v>
      </c>
      <c r="S564" s="165" t="s">
        <v>16</v>
      </c>
      <c r="T564" s="165" t="s">
        <v>16</v>
      </c>
      <c r="U564" s="165" t="s">
        <v>16</v>
      </c>
      <c r="V564" s="165" t="s">
        <v>16</v>
      </c>
      <c r="W564" s="165" t="s">
        <v>16</v>
      </c>
      <c r="X564" s="165" t="s">
        <v>16</v>
      </c>
      <c r="Y564" s="165" t="s">
        <v>16</v>
      </c>
      <c r="Z564" s="165" t="s">
        <v>16</v>
      </c>
      <c r="AA564" s="165" t="s">
        <v>16</v>
      </c>
      <c r="AB564" s="165" t="s">
        <v>16</v>
      </c>
      <c r="AC564" s="165" t="s">
        <v>16</v>
      </c>
      <c r="AD564" s="165" t="s">
        <v>16</v>
      </c>
      <c r="AE564" s="165" t="s">
        <v>1036</v>
      </c>
      <c r="AF564" s="165"/>
    </row>
    <row r="565" spans="1:32" x14ac:dyDescent="0.3">
      <c r="A565" s="165" t="s">
        <v>1078</v>
      </c>
      <c r="B565" s="165" t="s">
        <v>14</v>
      </c>
      <c r="C565" s="165" t="s">
        <v>1033</v>
      </c>
      <c r="D565" s="165" t="s">
        <v>15</v>
      </c>
      <c r="E565" s="157">
        <v>40967</v>
      </c>
      <c r="F565" s="165" t="s">
        <v>16</v>
      </c>
      <c r="G565" s="165" t="s">
        <v>148</v>
      </c>
      <c r="H565" s="165" t="s">
        <v>16</v>
      </c>
      <c r="I565" s="165" t="s">
        <v>16</v>
      </c>
      <c r="J565" s="165" t="s">
        <v>16</v>
      </c>
      <c r="K565" s="165" t="s">
        <v>16</v>
      </c>
      <c r="L565" s="165" t="s">
        <v>16</v>
      </c>
      <c r="M565" s="165" t="s">
        <v>16</v>
      </c>
      <c r="N565" s="165" t="s">
        <v>16</v>
      </c>
      <c r="O565" s="165" t="s">
        <v>16</v>
      </c>
      <c r="P565" s="165" t="s">
        <v>16</v>
      </c>
      <c r="Q565" s="165" t="s">
        <v>16</v>
      </c>
      <c r="R565" s="165" t="s">
        <v>16</v>
      </c>
      <c r="S565" s="165" t="s">
        <v>16</v>
      </c>
      <c r="T565" s="165" t="s">
        <v>16</v>
      </c>
      <c r="U565" s="165" t="s">
        <v>16</v>
      </c>
      <c r="V565" s="165" t="s">
        <v>16</v>
      </c>
      <c r="W565" s="165" t="s">
        <v>16</v>
      </c>
      <c r="X565" s="165" t="s">
        <v>16</v>
      </c>
      <c r="Y565" s="165" t="s">
        <v>16</v>
      </c>
      <c r="Z565" s="165" t="s">
        <v>16</v>
      </c>
      <c r="AA565" s="165" t="s">
        <v>16</v>
      </c>
      <c r="AB565" s="165" t="s">
        <v>16</v>
      </c>
      <c r="AC565" s="165" t="s">
        <v>16</v>
      </c>
      <c r="AD565" s="165" t="s">
        <v>16</v>
      </c>
      <c r="AE565" s="165" t="s">
        <v>1079</v>
      </c>
      <c r="AF565" s="165"/>
    </row>
    <row r="566" spans="1:32" x14ac:dyDescent="0.3">
      <c r="A566" s="165" t="s">
        <v>1032</v>
      </c>
      <c r="B566" s="165" t="s">
        <v>14</v>
      </c>
      <c r="C566" s="165" t="s">
        <v>1033</v>
      </c>
      <c r="D566" s="165" t="s">
        <v>15</v>
      </c>
      <c r="E566" s="157">
        <v>40967</v>
      </c>
      <c r="F566" s="165" t="s">
        <v>16</v>
      </c>
      <c r="G566" s="165" t="s">
        <v>149</v>
      </c>
      <c r="H566" s="165" t="s">
        <v>16</v>
      </c>
      <c r="I566" s="165" t="s">
        <v>16</v>
      </c>
      <c r="J566" s="165" t="s">
        <v>16</v>
      </c>
      <c r="K566" s="165" t="s">
        <v>16</v>
      </c>
      <c r="L566" s="165" t="s">
        <v>16</v>
      </c>
      <c r="M566" s="165" t="s">
        <v>148</v>
      </c>
      <c r="N566" s="165" t="s">
        <v>148</v>
      </c>
      <c r="O566" s="165" t="s">
        <v>148</v>
      </c>
      <c r="P566" s="165" t="s">
        <v>148</v>
      </c>
      <c r="Q566" s="165" t="s">
        <v>16</v>
      </c>
      <c r="R566" s="165" t="s">
        <v>16</v>
      </c>
      <c r="S566" s="165" t="s">
        <v>148</v>
      </c>
      <c r="T566" s="165" t="s">
        <v>148</v>
      </c>
      <c r="U566" s="165" t="s">
        <v>148</v>
      </c>
      <c r="V566" s="165" t="s">
        <v>148</v>
      </c>
      <c r="W566" s="165" t="s">
        <v>16</v>
      </c>
      <c r="X566" s="165" t="s">
        <v>16</v>
      </c>
      <c r="Y566" s="165" t="s">
        <v>16</v>
      </c>
      <c r="Z566" s="165" t="s">
        <v>16</v>
      </c>
      <c r="AA566" s="165" t="s">
        <v>16</v>
      </c>
      <c r="AB566" s="165" t="s">
        <v>16</v>
      </c>
      <c r="AC566" s="165" t="s">
        <v>148</v>
      </c>
      <c r="AD566" s="165" t="s">
        <v>16</v>
      </c>
      <c r="AE566" s="165" t="s">
        <v>1034</v>
      </c>
      <c r="AF566" s="165"/>
    </row>
    <row r="567" spans="1:32" x14ac:dyDescent="0.3">
      <c r="A567" s="165" t="s">
        <v>1035</v>
      </c>
      <c r="B567" s="165" t="s">
        <v>14</v>
      </c>
      <c r="C567" s="165" t="s">
        <v>1033</v>
      </c>
      <c r="D567" s="165" t="s">
        <v>15</v>
      </c>
      <c r="E567" s="157">
        <v>40967</v>
      </c>
      <c r="F567" s="165" t="s">
        <v>16</v>
      </c>
      <c r="G567" s="165" t="s">
        <v>16</v>
      </c>
      <c r="H567" s="165" t="s">
        <v>16</v>
      </c>
      <c r="I567" s="165" t="s">
        <v>16</v>
      </c>
      <c r="J567" s="165" t="s">
        <v>16</v>
      </c>
      <c r="K567" s="165" t="s">
        <v>16</v>
      </c>
      <c r="L567" s="165" t="s">
        <v>16</v>
      </c>
      <c r="M567" s="165" t="s">
        <v>148</v>
      </c>
      <c r="N567" s="165" t="s">
        <v>148</v>
      </c>
      <c r="O567" s="165" t="s">
        <v>16</v>
      </c>
      <c r="P567" s="165" t="s">
        <v>16</v>
      </c>
      <c r="Q567" s="165" t="s">
        <v>16</v>
      </c>
      <c r="R567" s="165" t="s">
        <v>16</v>
      </c>
      <c r="S567" s="165" t="s">
        <v>16</v>
      </c>
      <c r="T567" s="165" t="s">
        <v>16</v>
      </c>
      <c r="U567" s="165" t="s">
        <v>16</v>
      </c>
      <c r="V567" s="165" t="s">
        <v>16</v>
      </c>
      <c r="W567" s="165" t="s">
        <v>16</v>
      </c>
      <c r="X567" s="165" t="s">
        <v>148</v>
      </c>
      <c r="Y567" s="165" t="s">
        <v>148</v>
      </c>
      <c r="Z567" s="165" t="s">
        <v>16</v>
      </c>
      <c r="AA567" s="165" t="s">
        <v>16</v>
      </c>
      <c r="AB567" s="165" t="s">
        <v>16</v>
      </c>
      <c r="AC567" s="165" t="s">
        <v>16</v>
      </c>
      <c r="AD567" s="165" t="s">
        <v>16</v>
      </c>
      <c r="AE567" s="165" t="s">
        <v>1036</v>
      </c>
      <c r="AF567" s="165" t="s">
        <v>1037</v>
      </c>
    </row>
    <row r="568" spans="1:32" x14ac:dyDescent="0.3">
      <c r="A568" s="165" t="s">
        <v>1038</v>
      </c>
      <c r="B568" s="165" t="s">
        <v>14</v>
      </c>
      <c r="C568" s="165" t="s">
        <v>1033</v>
      </c>
      <c r="D568" s="165" t="s">
        <v>15</v>
      </c>
      <c r="E568" s="157">
        <v>40967</v>
      </c>
      <c r="F568" s="165" t="s">
        <v>16</v>
      </c>
      <c r="G568" s="165" t="s">
        <v>16</v>
      </c>
      <c r="H568" s="165" t="s">
        <v>16</v>
      </c>
      <c r="I568" s="165" t="s">
        <v>148</v>
      </c>
      <c r="J568" s="165" t="s">
        <v>16</v>
      </c>
      <c r="K568" s="165" t="s">
        <v>16</v>
      </c>
      <c r="L568" s="165" t="s">
        <v>16</v>
      </c>
      <c r="M568" s="165" t="s">
        <v>16</v>
      </c>
      <c r="N568" s="165" t="s">
        <v>148</v>
      </c>
      <c r="O568" s="165" t="s">
        <v>16</v>
      </c>
      <c r="P568" s="165" t="s">
        <v>148</v>
      </c>
      <c r="Q568" s="165" t="s">
        <v>16</v>
      </c>
      <c r="R568" s="165" t="s">
        <v>16</v>
      </c>
      <c r="S568" s="165" t="s">
        <v>148</v>
      </c>
      <c r="T568" s="165" t="s">
        <v>16</v>
      </c>
      <c r="U568" s="165" t="s">
        <v>16</v>
      </c>
      <c r="V568" s="165" t="s">
        <v>148</v>
      </c>
      <c r="W568" s="165" t="s">
        <v>16</v>
      </c>
      <c r="X568" s="165" t="s">
        <v>16</v>
      </c>
      <c r="Y568" s="165" t="s">
        <v>16</v>
      </c>
      <c r="Z568" s="165" t="s">
        <v>16</v>
      </c>
      <c r="AA568" s="165" t="s">
        <v>16</v>
      </c>
      <c r="AB568" s="165" t="s">
        <v>16</v>
      </c>
      <c r="AC568" s="165" t="s">
        <v>16</v>
      </c>
      <c r="AD568" s="165" t="s">
        <v>16</v>
      </c>
      <c r="AE568" s="165" t="s">
        <v>1034</v>
      </c>
      <c r="AF568" s="165"/>
    </row>
    <row r="569" spans="1:32" x14ac:dyDescent="0.3">
      <c r="A569" s="165" t="s">
        <v>1039</v>
      </c>
      <c r="B569" s="165" t="s">
        <v>14</v>
      </c>
      <c r="C569" s="165" t="s">
        <v>1033</v>
      </c>
      <c r="D569" s="165" t="s">
        <v>15</v>
      </c>
      <c r="E569" s="157">
        <v>40967</v>
      </c>
      <c r="F569" s="165" t="s">
        <v>16</v>
      </c>
      <c r="G569" s="165" t="s">
        <v>16</v>
      </c>
      <c r="H569" s="165" t="s">
        <v>16</v>
      </c>
      <c r="I569" s="165" t="s">
        <v>16</v>
      </c>
      <c r="J569" s="165" t="s">
        <v>16</v>
      </c>
      <c r="K569" s="165" t="s">
        <v>16</v>
      </c>
      <c r="L569" s="165" t="s">
        <v>16</v>
      </c>
      <c r="M569" s="165" t="s">
        <v>16</v>
      </c>
      <c r="N569" s="165" t="s">
        <v>16</v>
      </c>
      <c r="O569" s="165" t="s">
        <v>16</v>
      </c>
      <c r="P569" s="165" t="s">
        <v>16</v>
      </c>
      <c r="Q569" s="165" t="s">
        <v>16</v>
      </c>
      <c r="R569" s="165" t="s">
        <v>16</v>
      </c>
      <c r="S569" s="165" t="s">
        <v>16</v>
      </c>
      <c r="T569" s="165" t="s">
        <v>16</v>
      </c>
      <c r="U569" s="165" t="s">
        <v>16</v>
      </c>
      <c r="V569" s="165" t="s">
        <v>16</v>
      </c>
      <c r="W569" s="165" t="s">
        <v>16</v>
      </c>
      <c r="X569" s="165" t="s">
        <v>16</v>
      </c>
      <c r="Y569" s="165" t="s">
        <v>16</v>
      </c>
      <c r="Z569" s="165" t="s">
        <v>16</v>
      </c>
      <c r="AA569" s="165" t="s">
        <v>16</v>
      </c>
      <c r="AB569" s="165" t="s">
        <v>16</v>
      </c>
      <c r="AC569" s="165" t="s">
        <v>16</v>
      </c>
      <c r="AD569" s="165" t="s">
        <v>16</v>
      </c>
      <c r="AE569" s="165" t="s">
        <v>1034</v>
      </c>
      <c r="AF569" s="165"/>
    </row>
    <row r="570" spans="1:32" x14ac:dyDescent="0.3">
      <c r="A570" s="165" t="s">
        <v>1040</v>
      </c>
      <c r="B570" s="165" t="s">
        <v>14</v>
      </c>
      <c r="C570" s="165" t="s">
        <v>1033</v>
      </c>
      <c r="D570" s="165" t="s">
        <v>15</v>
      </c>
      <c r="E570" s="157">
        <v>40967</v>
      </c>
      <c r="F570" s="165" t="s">
        <v>149</v>
      </c>
      <c r="G570" s="165" t="s">
        <v>150</v>
      </c>
      <c r="H570" s="165" t="s">
        <v>16</v>
      </c>
      <c r="I570" s="165" t="s">
        <v>150</v>
      </c>
      <c r="J570" s="165" t="s">
        <v>149</v>
      </c>
      <c r="K570" s="165" t="s">
        <v>16</v>
      </c>
      <c r="L570" s="165" t="s">
        <v>150</v>
      </c>
      <c r="M570" s="165" t="s">
        <v>148</v>
      </c>
      <c r="N570" s="165" t="s">
        <v>150</v>
      </c>
      <c r="O570" s="165" t="s">
        <v>148</v>
      </c>
      <c r="P570" s="165" t="s">
        <v>148</v>
      </c>
      <c r="Q570" s="165" t="s">
        <v>149</v>
      </c>
      <c r="R570" s="165" t="s">
        <v>148</v>
      </c>
      <c r="S570" s="165" t="s">
        <v>150</v>
      </c>
      <c r="T570" s="165" t="s">
        <v>148</v>
      </c>
      <c r="U570" s="165" t="s">
        <v>150</v>
      </c>
      <c r="V570" s="165" t="s">
        <v>16</v>
      </c>
      <c r="W570" s="165" t="s">
        <v>148</v>
      </c>
      <c r="X570" s="165" t="s">
        <v>149</v>
      </c>
      <c r="Y570" s="165" t="s">
        <v>16</v>
      </c>
      <c r="Z570" s="165" t="s">
        <v>16</v>
      </c>
      <c r="AA570" s="165" t="s">
        <v>148</v>
      </c>
      <c r="AB570" s="165" t="s">
        <v>16</v>
      </c>
      <c r="AC570" s="165" t="s">
        <v>148</v>
      </c>
      <c r="AD570" s="165" t="s">
        <v>148</v>
      </c>
      <c r="AE570" s="165" t="s">
        <v>1034</v>
      </c>
      <c r="AF570" s="165" t="s">
        <v>1041</v>
      </c>
    </row>
    <row r="571" spans="1:32" x14ac:dyDescent="0.3">
      <c r="A571" s="165" t="s">
        <v>1042</v>
      </c>
      <c r="B571" s="165" t="s">
        <v>14</v>
      </c>
      <c r="C571" s="165" t="s">
        <v>1033</v>
      </c>
      <c r="D571" s="165" t="s">
        <v>15</v>
      </c>
      <c r="E571" s="157">
        <v>40967</v>
      </c>
      <c r="F571" s="165" t="s">
        <v>151</v>
      </c>
      <c r="G571" s="165" t="s">
        <v>151</v>
      </c>
      <c r="H571" s="165" t="s">
        <v>151</v>
      </c>
      <c r="I571" s="165" t="s">
        <v>151</v>
      </c>
      <c r="J571" s="165" t="s">
        <v>16</v>
      </c>
      <c r="K571" s="165" t="s">
        <v>151</v>
      </c>
      <c r="L571" s="165" t="s">
        <v>151</v>
      </c>
      <c r="M571" s="165" t="s">
        <v>151</v>
      </c>
      <c r="N571" s="165" t="s">
        <v>150</v>
      </c>
      <c r="O571" s="165" t="s">
        <v>148</v>
      </c>
      <c r="P571" s="165" t="s">
        <v>16</v>
      </c>
      <c r="Q571" s="165" t="s">
        <v>151</v>
      </c>
      <c r="R571" s="165" t="s">
        <v>151</v>
      </c>
      <c r="S571" s="165" t="s">
        <v>149</v>
      </c>
      <c r="T571" s="165" t="s">
        <v>149</v>
      </c>
      <c r="U571" s="165" t="s">
        <v>149</v>
      </c>
      <c r="V571" s="165" t="s">
        <v>149</v>
      </c>
      <c r="W571" s="165" t="s">
        <v>149</v>
      </c>
      <c r="X571" s="165" t="s">
        <v>149</v>
      </c>
      <c r="Y571" s="165" t="s">
        <v>149</v>
      </c>
      <c r="Z571" s="165" t="s">
        <v>151</v>
      </c>
      <c r="AA571" s="165" t="s">
        <v>151</v>
      </c>
      <c r="AB571" s="165" t="s">
        <v>148</v>
      </c>
      <c r="AC571" s="165" t="s">
        <v>148</v>
      </c>
      <c r="AD571" s="165" t="s">
        <v>16</v>
      </c>
      <c r="AE571" s="165" t="s">
        <v>1034</v>
      </c>
      <c r="AF571" s="165"/>
    </row>
    <row r="572" spans="1:32" x14ac:dyDescent="0.3">
      <c r="A572" s="165" t="s">
        <v>1043</v>
      </c>
      <c r="B572" s="165" t="s">
        <v>14</v>
      </c>
      <c r="C572" s="165" t="s">
        <v>1033</v>
      </c>
      <c r="D572" s="165" t="s">
        <v>15</v>
      </c>
      <c r="E572" s="157">
        <v>40967</v>
      </c>
      <c r="F572" s="165" t="s">
        <v>16</v>
      </c>
      <c r="G572" s="165" t="s">
        <v>16</v>
      </c>
      <c r="H572" s="165" t="s">
        <v>16</v>
      </c>
      <c r="I572" s="165" t="s">
        <v>16</v>
      </c>
      <c r="J572" s="165" t="s">
        <v>16</v>
      </c>
      <c r="K572" s="165" t="s">
        <v>16</v>
      </c>
      <c r="L572" s="165" t="s">
        <v>148</v>
      </c>
      <c r="M572" s="165" t="s">
        <v>16</v>
      </c>
      <c r="N572" s="165" t="s">
        <v>16</v>
      </c>
      <c r="O572" s="165" t="s">
        <v>16</v>
      </c>
      <c r="P572" s="165" t="s">
        <v>16</v>
      </c>
      <c r="Q572" s="165" t="s">
        <v>16</v>
      </c>
      <c r="R572" s="165" t="s">
        <v>148</v>
      </c>
      <c r="S572" s="165" t="s">
        <v>16</v>
      </c>
      <c r="T572" s="165" t="s">
        <v>16</v>
      </c>
      <c r="U572" s="165" t="s">
        <v>148</v>
      </c>
      <c r="V572" s="165" t="s">
        <v>16</v>
      </c>
      <c r="W572" s="165" t="s">
        <v>16</v>
      </c>
      <c r="X572" s="165" t="s">
        <v>16</v>
      </c>
      <c r="Y572" s="165" t="s">
        <v>16</v>
      </c>
      <c r="Z572" s="165" t="s">
        <v>16</v>
      </c>
      <c r="AA572" s="165" t="s">
        <v>16</v>
      </c>
      <c r="AB572" s="165" t="s">
        <v>16</v>
      </c>
      <c r="AC572" s="165" t="s">
        <v>16</v>
      </c>
      <c r="AD572" s="165" t="s">
        <v>16</v>
      </c>
      <c r="AE572" s="165" t="s">
        <v>1034</v>
      </c>
      <c r="AF572" s="165"/>
    </row>
    <row r="573" spans="1:32" x14ac:dyDescent="0.3">
      <c r="A573" s="165" t="s">
        <v>1044</v>
      </c>
      <c r="B573" s="165" t="s">
        <v>14</v>
      </c>
      <c r="C573" s="165" t="s">
        <v>1033</v>
      </c>
      <c r="D573" s="165" t="s">
        <v>15</v>
      </c>
      <c r="E573" s="157">
        <v>40967</v>
      </c>
      <c r="F573" s="165" t="s">
        <v>16</v>
      </c>
      <c r="G573" s="165" t="s">
        <v>149</v>
      </c>
      <c r="H573" s="165" t="s">
        <v>149</v>
      </c>
      <c r="I573" s="165" t="s">
        <v>149</v>
      </c>
      <c r="J573" s="165" t="s">
        <v>16</v>
      </c>
      <c r="K573" s="165" t="s">
        <v>149</v>
      </c>
      <c r="L573" s="165" t="s">
        <v>149</v>
      </c>
      <c r="M573" s="165" t="s">
        <v>149</v>
      </c>
      <c r="N573" s="165" t="s">
        <v>16</v>
      </c>
      <c r="O573" s="165" t="s">
        <v>16</v>
      </c>
      <c r="P573" s="165" t="s">
        <v>16</v>
      </c>
      <c r="Q573" s="165" t="s">
        <v>149</v>
      </c>
      <c r="R573" s="165" t="s">
        <v>16</v>
      </c>
      <c r="S573" s="165" t="s">
        <v>149</v>
      </c>
      <c r="T573" s="165" t="s">
        <v>16</v>
      </c>
      <c r="U573" s="165" t="s">
        <v>16</v>
      </c>
      <c r="V573" s="165" t="s">
        <v>16</v>
      </c>
      <c r="W573" s="165" t="s">
        <v>16</v>
      </c>
      <c r="X573" s="165" t="s">
        <v>148</v>
      </c>
      <c r="Y573" s="165" t="s">
        <v>16</v>
      </c>
      <c r="Z573" s="165" t="s">
        <v>149</v>
      </c>
      <c r="AA573" s="165" t="s">
        <v>16</v>
      </c>
      <c r="AB573" s="165" t="s">
        <v>16</v>
      </c>
      <c r="AC573" s="165" t="s">
        <v>16</v>
      </c>
      <c r="AD573" s="165" t="s">
        <v>16</v>
      </c>
      <c r="AE573" s="165" t="s">
        <v>1034</v>
      </c>
      <c r="AF573" s="165"/>
    </row>
    <row r="574" spans="1:32" x14ac:dyDescent="0.3">
      <c r="A574" s="165" t="s">
        <v>1045</v>
      </c>
      <c r="B574" s="165" t="s">
        <v>14</v>
      </c>
      <c r="C574" s="165" t="s">
        <v>1033</v>
      </c>
      <c r="D574" s="165" t="s">
        <v>15</v>
      </c>
      <c r="E574" s="157">
        <v>40967</v>
      </c>
      <c r="F574" s="165" t="s">
        <v>16</v>
      </c>
      <c r="G574" s="165" t="s">
        <v>16</v>
      </c>
      <c r="H574" s="165" t="s">
        <v>148</v>
      </c>
      <c r="I574" s="165" t="s">
        <v>16</v>
      </c>
      <c r="J574" s="165" t="s">
        <v>16</v>
      </c>
      <c r="K574" s="165" t="s">
        <v>16</v>
      </c>
      <c r="L574" s="165" t="s">
        <v>16</v>
      </c>
      <c r="M574" s="165" t="s">
        <v>16</v>
      </c>
      <c r="N574" s="165" t="s">
        <v>16</v>
      </c>
      <c r="O574" s="165" t="s">
        <v>16</v>
      </c>
      <c r="P574" s="165" t="s">
        <v>16</v>
      </c>
      <c r="Q574" s="165" t="s">
        <v>16</v>
      </c>
      <c r="R574" s="165" t="s">
        <v>16</v>
      </c>
      <c r="S574" s="165" t="s">
        <v>16</v>
      </c>
      <c r="T574" s="165" t="s">
        <v>16</v>
      </c>
      <c r="U574" s="165" t="s">
        <v>16</v>
      </c>
      <c r="V574" s="165" t="s">
        <v>16</v>
      </c>
      <c r="W574" s="165" t="s">
        <v>16</v>
      </c>
      <c r="X574" s="165" t="s">
        <v>16</v>
      </c>
      <c r="Y574" s="165" t="s">
        <v>16</v>
      </c>
      <c r="Z574" s="165" t="s">
        <v>16</v>
      </c>
      <c r="AA574" s="165" t="s">
        <v>16</v>
      </c>
      <c r="AB574" s="165" t="s">
        <v>16</v>
      </c>
      <c r="AC574" s="165" t="s">
        <v>16</v>
      </c>
      <c r="AD574" s="165" t="s">
        <v>16</v>
      </c>
      <c r="AE574" s="165" t="s">
        <v>1046</v>
      </c>
      <c r="AF574" s="165"/>
    </row>
    <row r="575" spans="1:32" x14ac:dyDescent="0.3">
      <c r="A575" s="165" t="s">
        <v>1047</v>
      </c>
      <c r="B575" s="165" t="s">
        <v>14</v>
      </c>
      <c r="C575" s="165" t="s">
        <v>1033</v>
      </c>
      <c r="D575" s="165" t="s">
        <v>15</v>
      </c>
      <c r="E575" s="157">
        <v>40967</v>
      </c>
      <c r="F575" s="165" t="s">
        <v>148</v>
      </c>
      <c r="G575" s="165" t="s">
        <v>16</v>
      </c>
      <c r="H575" s="165" t="s">
        <v>149</v>
      </c>
      <c r="I575" s="165" t="s">
        <v>16</v>
      </c>
      <c r="J575" s="165" t="s">
        <v>148</v>
      </c>
      <c r="K575" s="165" t="s">
        <v>16</v>
      </c>
      <c r="L575" s="165" t="s">
        <v>16</v>
      </c>
      <c r="M575" s="165" t="s">
        <v>148</v>
      </c>
      <c r="N575" s="165" t="s">
        <v>148</v>
      </c>
      <c r="O575" s="165" t="s">
        <v>16</v>
      </c>
      <c r="P575" s="165" t="s">
        <v>148</v>
      </c>
      <c r="Q575" s="165" t="s">
        <v>16</v>
      </c>
      <c r="R575" s="165" t="s">
        <v>148</v>
      </c>
      <c r="S575" s="165" t="s">
        <v>148</v>
      </c>
      <c r="T575" s="165" t="s">
        <v>148</v>
      </c>
      <c r="U575" s="165" t="s">
        <v>16</v>
      </c>
      <c r="V575" s="165" t="s">
        <v>149</v>
      </c>
      <c r="W575" s="165" t="s">
        <v>16</v>
      </c>
      <c r="X575" s="165" t="s">
        <v>16</v>
      </c>
      <c r="Y575" s="165" t="s">
        <v>16</v>
      </c>
      <c r="Z575" s="165" t="s">
        <v>16</v>
      </c>
      <c r="AA575" s="165" t="s">
        <v>148</v>
      </c>
      <c r="AB575" s="165" t="s">
        <v>16</v>
      </c>
      <c r="AC575" s="165" t="s">
        <v>148</v>
      </c>
      <c r="AD575" s="165" t="s">
        <v>16</v>
      </c>
      <c r="AE575" s="165" t="s">
        <v>1048</v>
      </c>
      <c r="AF575" s="165"/>
    </row>
    <row r="576" spans="1:32" x14ac:dyDescent="0.3">
      <c r="A576" s="165" t="s">
        <v>1049</v>
      </c>
      <c r="B576" s="165" t="s">
        <v>14</v>
      </c>
      <c r="C576" s="165" t="s">
        <v>1033</v>
      </c>
      <c r="D576" s="165" t="s">
        <v>15</v>
      </c>
      <c r="E576" s="157">
        <v>40967</v>
      </c>
      <c r="F576" s="165" t="s">
        <v>149</v>
      </c>
      <c r="G576" s="165" t="s">
        <v>149</v>
      </c>
      <c r="H576" s="165" t="s">
        <v>149</v>
      </c>
      <c r="I576" s="165" t="s">
        <v>149</v>
      </c>
      <c r="J576" s="165" t="s">
        <v>148</v>
      </c>
      <c r="K576" s="165" t="s">
        <v>148</v>
      </c>
      <c r="L576" s="165" t="s">
        <v>148</v>
      </c>
      <c r="M576" s="165" t="s">
        <v>16</v>
      </c>
      <c r="N576" s="165" t="s">
        <v>150</v>
      </c>
      <c r="O576" s="165" t="s">
        <v>149</v>
      </c>
      <c r="P576" s="165" t="s">
        <v>149</v>
      </c>
      <c r="Q576" s="165" t="s">
        <v>148</v>
      </c>
      <c r="R576" s="165" t="s">
        <v>149</v>
      </c>
      <c r="S576" s="165" t="s">
        <v>148</v>
      </c>
      <c r="T576" s="165" t="s">
        <v>148</v>
      </c>
      <c r="U576" s="165" t="s">
        <v>148</v>
      </c>
      <c r="V576" s="165" t="s">
        <v>149</v>
      </c>
      <c r="W576" s="165" t="s">
        <v>149</v>
      </c>
      <c r="X576" s="165" t="s">
        <v>149</v>
      </c>
      <c r="Y576" s="165" t="s">
        <v>149</v>
      </c>
      <c r="Z576" s="165" t="s">
        <v>148</v>
      </c>
      <c r="AA576" s="165" t="s">
        <v>148</v>
      </c>
      <c r="AB576" s="165" t="s">
        <v>16</v>
      </c>
      <c r="AC576" s="165" t="s">
        <v>148</v>
      </c>
      <c r="AD576" s="165" t="s">
        <v>149</v>
      </c>
      <c r="AE576" s="165" t="s">
        <v>1034</v>
      </c>
      <c r="AF576" s="165" t="s">
        <v>1050</v>
      </c>
    </row>
    <row r="577" spans="1:32" x14ac:dyDescent="0.3">
      <c r="A577" s="165" t="s">
        <v>1051</v>
      </c>
      <c r="B577" s="165" t="s">
        <v>14</v>
      </c>
      <c r="C577" s="165" t="s">
        <v>1033</v>
      </c>
      <c r="D577" s="165" t="s">
        <v>15</v>
      </c>
      <c r="E577" s="157">
        <v>40967</v>
      </c>
      <c r="F577" s="165" t="s">
        <v>16</v>
      </c>
      <c r="G577" s="165" t="s">
        <v>16</v>
      </c>
      <c r="H577" s="165" t="s">
        <v>16</v>
      </c>
      <c r="I577" s="165" t="s">
        <v>148</v>
      </c>
      <c r="J577" s="165" t="s">
        <v>16</v>
      </c>
      <c r="K577" s="165" t="s">
        <v>16</v>
      </c>
      <c r="L577" s="165" t="s">
        <v>16</v>
      </c>
      <c r="M577" s="165" t="s">
        <v>16</v>
      </c>
      <c r="N577" s="165" t="s">
        <v>148</v>
      </c>
      <c r="O577" s="165" t="s">
        <v>16</v>
      </c>
      <c r="P577" s="165" t="s">
        <v>16</v>
      </c>
      <c r="Q577" s="165" t="s">
        <v>16</v>
      </c>
      <c r="R577" s="165" t="s">
        <v>148</v>
      </c>
      <c r="S577" s="165" t="s">
        <v>16</v>
      </c>
      <c r="T577" s="165" t="s">
        <v>16</v>
      </c>
      <c r="U577" s="165" t="s">
        <v>148</v>
      </c>
      <c r="V577" s="165" t="s">
        <v>16</v>
      </c>
      <c r="W577" s="165" t="s">
        <v>16</v>
      </c>
      <c r="X577" s="165" t="s">
        <v>16</v>
      </c>
      <c r="Y577" s="165" t="s">
        <v>16</v>
      </c>
      <c r="Z577" s="165" t="s">
        <v>16</v>
      </c>
      <c r="AA577" s="165" t="s">
        <v>16</v>
      </c>
      <c r="AB577" s="165" t="s">
        <v>16</v>
      </c>
      <c r="AC577" s="165" t="s">
        <v>16</v>
      </c>
      <c r="AD577" s="165" t="s">
        <v>16</v>
      </c>
      <c r="AE577" s="165" t="s">
        <v>1034</v>
      </c>
      <c r="AF577" s="165"/>
    </row>
    <row r="578" spans="1:32" x14ac:dyDescent="0.3">
      <c r="A578" s="165" t="s">
        <v>1052</v>
      </c>
      <c r="B578" s="165" t="s">
        <v>14</v>
      </c>
      <c r="C578" s="165" t="s">
        <v>1033</v>
      </c>
      <c r="D578" s="165" t="s">
        <v>15</v>
      </c>
      <c r="E578" s="157">
        <v>40967</v>
      </c>
      <c r="F578" s="165" t="s">
        <v>16</v>
      </c>
      <c r="G578" s="165" t="s">
        <v>16</v>
      </c>
      <c r="H578" s="165" t="s">
        <v>149</v>
      </c>
      <c r="I578" s="165" t="s">
        <v>149</v>
      </c>
      <c r="J578" s="165" t="s">
        <v>16</v>
      </c>
      <c r="K578" s="165" t="s">
        <v>16</v>
      </c>
      <c r="L578" s="165" t="s">
        <v>16</v>
      </c>
      <c r="M578" s="165" t="s">
        <v>16</v>
      </c>
      <c r="N578" s="165" t="s">
        <v>16</v>
      </c>
      <c r="O578" s="165" t="s">
        <v>16</v>
      </c>
      <c r="P578" s="165" t="s">
        <v>16</v>
      </c>
      <c r="Q578" s="165" t="s">
        <v>16</v>
      </c>
      <c r="R578" s="165" t="s">
        <v>16</v>
      </c>
      <c r="S578" s="165" t="s">
        <v>16</v>
      </c>
      <c r="T578" s="165" t="s">
        <v>16</v>
      </c>
      <c r="U578" s="165" t="s">
        <v>16</v>
      </c>
      <c r="V578" s="165" t="s">
        <v>16</v>
      </c>
      <c r="W578" s="165" t="s">
        <v>148</v>
      </c>
      <c r="X578" s="165" t="s">
        <v>148</v>
      </c>
      <c r="Y578" s="165" t="s">
        <v>148</v>
      </c>
      <c r="Z578" s="165" t="s">
        <v>16</v>
      </c>
      <c r="AA578" s="165" t="s">
        <v>16</v>
      </c>
      <c r="AB578" s="165" t="s">
        <v>16</v>
      </c>
      <c r="AC578" s="165" t="s">
        <v>16</v>
      </c>
      <c r="AD578" s="165" t="s">
        <v>16</v>
      </c>
      <c r="AE578" s="165" t="s">
        <v>1053</v>
      </c>
      <c r="AF578" s="165"/>
    </row>
    <row r="579" spans="1:32" x14ac:dyDescent="0.3">
      <c r="A579" s="165" t="s">
        <v>1054</v>
      </c>
      <c r="B579" s="165" t="s">
        <v>14</v>
      </c>
      <c r="C579" s="165" t="s">
        <v>1033</v>
      </c>
      <c r="D579" s="165" t="s">
        <v>15</v>
      </c>
      <c r="E579" s="157">
        <v>40967</v>
      </c>
      <c r="F579" s="165" t="s">
        <v>16</v>
      </c>
      <c r="G579" s="165" t="s">
        <v>149</v>
      </c>
      <c r="H579" s="165" t="s">
        <v>149</v>
      </c>
      <c r="I579" s="165" t="s">
        <v>148</v>
      </c>
      <c r="J579" s="165" t="s">
        <v>16</v>
      </c>
      <c r="K579" s="165" t="s">
        <v>16</v>
      </c>
      <c r="L579" s="165" t="s">
        <v>16</v>
      </c>
      <c r="M579" s="165" t="s">
        <v>16</v>
      </c>
      <c r="N579" s="165" t="s">
        <v>148</v>
      </c>
      <c r="O579" s="165" t="s">
        <v>148</v>
      </c>
      <c r="P579" s="165" t="s">
        <v>148</v>
      </c>
      <c r="Q579" s="165" t="s">
        <v>16</v>
      </c>
      <c r="R579" s="165" t="s">
        <v>16</v>
      </c>
      <c r="S579" s="165" t="s">
        <v>16</v>
      </c>
      <c r="T579" s="165" t="s">
        <v>16</v>
      </c>
      <c r="U579" s="165" t="s">
        <v>16</v>
      </c>
      <c r="V579" s="165" t="s">
        <v>16</v>
      </c>
      <c r="W579" s="165" t="s">
        <v>16</v>
      </c>
      <c r="X579" s="165" t="s">
        <v>148</v>
      </c>
      <c r="Y579" s="165" t="s">
        <v>16</v>
      </c>
      <c r="Z579" s="165" t="s">
        <v>16</v>
      </c>
      <c r="AA579" s="165" t="s">
        <v>16</v>
      </c>
      <c r="AB579" s="165" t="s">
        <v>16</v>
      </c>
      <c r="AC579" s="165" t="s">
        <v>16</v>
      </c>
      <c r="AD579" s="165" t="s">
        <v>16</v>
      </c>
      <c r="AE579" s="165" t="s">
        <v>1034</v>
      </c>
      <c r="AF579" s="165"/>
    </row>
    <row r="580" spans="1:32" x14ac:dyDescent="0.3">
      <c r="A580" s="165" t="s">
        <v>1055</v>
      </c>
      <c r="B580" s="165" t="s">
        <v>14</v>
      </c>
      <c r="C580" s="165" t="s">
        <v>1033</v>
      </c>
      <c r="D580" s="165" t="s">
        <v>15</v>
      </c>
      <c r="E580" s="157">
        <v>40967</v>
      </c>
      <c r="F580" s="165" t="s">
        <v>16</v>
      </c>
      <c r="G580" s="165" t="s">
        <v>16</v>
      </c>
      <c r="H580" s="165" t="s">
        <v>16</v>
      </c>
      <c r="I580" s="165" t="s">
        <v>16</v>
      </c>
      <c r="J580" s="165" t="s">
        <v>16</v>
      </c>
      <c r="K580" s="165" t="s">
        <v>16</v>
      </c>
      <c r="L580" s="165" t="s">
        <v>148</v>
      </c>
      <c r="M580" s="165" t="s">
        <v>16</v>
      </c>
      <c r="N580" s="165" t="s">
        <v>16</v>
      </c>
      <c r="O580" s="165" t="s">
        <v>16</v>
      </c>
      <c r="P580" s="165" t="s">
        <v>148</v>
      </c>
      <c r="Q580" s="165" t="s">
        <v>16</v>
      </c>
      <c r="R580" s="165" t="s">
        <v>148</v>
      </c>
      <c r="S580" s="165" t="s">
        <v>16</v>
      </c>
      <c r="T580" s="165" t="s">
        <v>16</v>
      </c>
      <c r="U580" s="165" t="s">
        <v>148</v>
      </c>
      <c r="V580" s="165" t="s">
        <v>16</v>
      </c>
      <c r="W580" s="165" t="s">
        <v>16</v>
      </c>
      <c r="X580" s="165" t="s">
        <v>16</v>
      </c>
      <c r="Y580" s="165" t="s">
        <v>16</v>
      </c>
      <c r="Z580" s="165" t="s">
        <v>148</v>
      </c>
      <c r="AA580" s="165" t="s">
        <v>148</v>
      </c>
      <c r="AB580" s="165" t="s">
        <v>16</v>
      </c>
      <c r="AC580" s="165" t="s">
        <v>16</v>
      </c>
      <c r="AD580" s="165" t="s">
        <v>16</v>
      </c>
      <c r="AE580" s="165" t="s">
        <v>1034</v>
      </c>
      <c r="AF580" s="165"/>
    </row>
    <row r="581" spans="1:32" x14ac:dyDescent="0.3">
      <c r="A581" s="165" t="s">
        <v>1056</v>
      </c>
      <c r="B581" s="165" t="s">
        <v>14</v>
      </c>
      <c r="C581" s="165" t="s">
        <v>1033</v>
      </c>
      <c r="D581" s="165" t="s">
        <v>15</v>
      </c>
      <c r="E581" s="157">
        <v>40967</v>
      </c>
      <c r="F581" s="165" t="s">
        <v>16</v>
      </c>
      <c r="G581" s="165" t="s">
        <v>16</v>
      </c>
      <c r="H581" s="165" t="s">
        <v>16</v>
      </c>
      <c r="I581" s="165" t="s">
        <v>148</v>
      </c>
      <c r="J581" s="165" t="s">
        <v>16</v>
      </c>
      <c r="K581" s="165" t="s">
        <v>16</v>
      </c>
      <c r="L581" s="165" t="s">
        <v>16</v>
      </c>
      <c r="M581" s="165" t="s">
        <v>148</v>
      </c>
      <c r="N581" s="165" t="s">
        <v>16</v>
      </c>
      <c r="O581" s="165" t="s">
        <v>16</v>
      </c>
      <c r="P581" s="165" t="s">
        <v>16</v>
      </c>
      <c r="Q581" s="165" t="s">
        <v>16</v>
      </c>
      <c r="R581" s="165" t="s">
        <v>16</v>
      </c>
      <c r="S581" s="165" t="s">
        <v>16</v>
      </c>
      <c r="T581" s="165" t="s">
        <v>16</v>
      </c>
      <c r="U581" s="165" t="s">
        <v>148</v>
      </c>
      <c r="V581" s="165" t="s">
        <v>16</v>
      </c>
      <c r="W581" s="165" t="s">
        <v>16</v>
      </c>
      <c r="X581" s="165" t="s">
        <v>16</v>
      </c>
      <c r="Y581" s="165" t="s">
        <v>16</v>
      </c>
      <c r="Z581" s="165" t="s">
        <v>16</v>
      </c>
      <c r="AA581" s="165" t="s">
        <v>16</v>
      </c>
      <c r="AB581" s="165" t="s">
        <v>16</v>
      </c>
      <c r="AC581" s="165" t="s">
        <v>148</v>
      </c>
      <c r="AD581" s="165" t="s">
        <v>16</v>
      </c>
      <c r="AE581" s="165" t="s">
        <v>1036</v>
      </c>
      <c r="AF581" s="165"/>
    </row>
    <row r="582" spans="1:32" x14ac:dyDescent="0.3">
      <c r="A582" s="165" t="s">
        <v>1057</v>
      </c>
      <c r="B582" s="165" t="s">
        <v>14</v>
      </c>
      <c r="C582" s="165" t="s">
        <v>1033</v>
      </c>
      <c r="D582" s="165" t="s">
        <v>15</v>
      </c>
      <c r="E582" s="157">
        <v>40967</v>
      </c>
      <c r="F582" s="165" t="s">
        <v>148</v>
      </c>
      <c r="G582" s="165" t="s">
        <v>16</v>
      </c>
      <c r="H582" s="165" t="s">
        <v>16</v>
      </c>
      <c r="I582" s="165" t="s">
        <v>16</v>
      </c>
      <c r="J582" s="165" t="s">
        <v>16</v>
      </c>
      <c r="K582" s="165" t="s">
        <v>150</v>
      </c>
      <c r="L582" s="165" t="s">
        <v>150</v>
      </c>
      <c r="M582" s="165" t="s">
        <v>148</v>
      </c>
      <c r="N582" s="165" t="s">
        <v>150</v>
      </c>
      <c r="O582" s="165" t="s">
        <v>16</v>
      </c>
      <c r="P582" s="165" t="s">
        <v>16</v>
      </c>
      <c r="Q582" s="165" t="s">
        <v>16</v>
      </c>
      <c r="R582" s="165" t="s">
        <v>16</v>
      </c>
      <c r="S582" s="165" t="s">
        <v>148</v>
      </c>
      <c r="T582" s="165" t="s">
        <v>16</v>
      </c>
      <c r="U582" s="165" t="s">
        <v>150</v>
      </c>
      <c r="V582" s="165" t="s">
        <v>150</v>
      </c>
      <c r="W582" s="165" t="s">
        <v>16</v>
      </c>
      <c r="X582" s="165" t="s">
        <v>148</v>
      </c>
      <c r="Y582" s="165" t="s">
        <v>148</v>
      </c>
      <c r="Z582" s="165" t="s">
        <v>148</v>
      </c>
      <c r="AA582" s="165" t="s">
        <v>148</v>
      </c>
      <c r="AB582" s="165" t="s">
        <v>148</v>
      </c>
      <c r="AC582" s="165" t="s">
        <v>148</v>
      </c>
      <c r="AD582" s="165" t="s">
        <v>148</v>
      </c>
      <c r="AE582" s="165" t="s">
        <v>1053</v>
      </c>
      <c r="AF582" s="165"/>
    </row>
    <row r="583" spans="1:32" x14ac:dyDescent="0.3">
      <c r="A583" s="165" t="s">
        <v>1058</v>
      </c>
      <c r="B583" s="165" t="s">
        <v>14</v>
      </c>
      <c r="C583" s="165" t="s">
        <v>1033</v>
      </c>
      <c r="D583" s="165" t="s">
        <v>15</v>
      </c>
      <c r="E583" s="157">
        <v>40967</v>
      </c>
      <c r="F583" s="165" t="s">
        <v>16</v>
      </c>
      <c r="G583" s="165" t="s">
        <v>16</v>
      </c>
      <c r="H583" s="165" t="s">
        <v>16</v>
      </c>
      <c r="I583" s="165" t="s">
        <v>16</v>
      </c>
      <c r="J583" s="165" t="s">
        <v>149</v>
      </c>
      <c r="K583" s="165" t="s">
        <v>149</v>
      </c>
      <c r="L583" s="165" t="s">
        <v>149</v>
      </c>
      <c r="M583" s="165" t="s">
        <v>16</v>
      </c>
      <c r="N583" s="165" t="s">
        <v>16</v>
      </c>
      <c r="O583" s="165" t="s">
        <v>16</v>
      </c>
      <c r="P583" s="165" t="s">
        <v>16</v>
      </c>
      <c r="Q583" s="165" t="s">
        <v>149</v>
      </c>
      <c r="R583" s="165" t="s">
        <v>16</v>
      </c>
      <c r="S583" s="165" t="s">
        <v>16</v>
      </c>
      <c r="T583" s="165" t="s">
        <v>16</v>
      </c>
      <c r="U583" s="165" t="s">
        <v>16</v>
      </c>
      <c r="V583" s="165" t="s">
        <v>16</v>
      </c>
      <c r="W583" s="165" t="s">
        <v>148</v>
      </c>
      <c r="X583" s="165" t="s">
        <v>148</v>
      </c>
      <c r="Y583" s="165" t="s">
        <v>114</v>
      </c>
      <c r="Z583" s="165" t="s">
        <v>16</v>
      </c>
      <c r="AA583" s="165" t="s">
        <v>16</v>
      </c>
      <c r="AB583" s="165" t="s">
        <v>16</v>
      </c>
      <c r="AC583" s="165" t="s">
        <v>149</v>
      </c>
      <c r="AD583" s="165" t="s">
        <v>16</v>
      </c>
      <c r="AE583" s="165" t="s">
        <v>1034</v>
      </c>
      <c r="AF583" s="165"/>
    </row>
    <row r="584" spans="1:32" x14ac:dyDescent="0.3">
      <c r="A584" s="165" t="s">
        <v>1059</v>
      </c>
      <c r="B584" s="165" t="s">
        <v>14</v>
      </c>
      <c r="C584" s="165" t="s">
        <v>1033</v>
      </c>
      <c r="D584" s="165" t="s">
        <v>15</v>
      </c>
      <c r="E584" s="157">
        <v>40967</v>
      </c>
      <c r="F584" s="165" t="s">
        <v>16</v>
      </c>
      <c r="G584" s="165" t="s">
        <v>16</v>
      </c>
      <c r="H584" s="165" t="s">
        <v>16</v>
      </c>
      <c r="I584" s="165" t="s">
        <v>16</v>
      </c>
      <c r="J584" s="165" t="s">
        <v>16</v>
      </c>
      <c r="K584" s="165" t="s">
        <v>16</v>
      </c>
      <c r="L584" s="165" t="s">
        <v>16</v>
      </c>
      <c r="M584" s="165" t="s">
        <v>16</v>
      </c>
      <c r="N584" s="165" t="s">
        <v>16</v>
      </c>
      <c r="O584" s="165" t="s">
        <v>16</v>
      </c>
      <c r="P584" s="165" t="s">
        <v>16</v>
      </c>
      <c r="Q584" s="165" t="s">
        <v>16</v>
      </c>
      <c r="R584" s="165" t="s">
        <v>16</v>
      </c>
      <c r="S584" s="165" t="s">
        <v>16</v>
      </c>
      <c r="T584" s="165" t="s">
        <v>16</v>
      </c>
      <c r="U584" s="165" t="s">
        <v>16</v>
      </c>
      <c r="V584" s="165" t="s">
        <v>16</v>
      </c>
      <c r="W584" s="165" t="s">
        <v>16</v>
      </c>
      <c r="X584" s="165" t="s">
        <v>16</v>
      </c>
      <c r="Y584" s="165" t="s">
        <v>16</v>
      </c>
      <c r="Z584" s="165" t="s">
        <v>16</v>
      </c>
      <c r="AA584" s="165" t="s">
        <v>148</v>
      </c>
      <c r="AB584" s="165" t="s">
        <v>149</v>
      </c>
      <c r="AC584" s="165" t="s">
        <v>149</v>
      </c>
      <c r="AD584" s="165" t="s">
        <v>16</v>
      </c>
      <c r="AE584" s="165" t="s">
        <v>1053</v>
      </c>
      <c r="AF584" s="165"/>
    </row>
    <row r="585" spans="1:32" x14ac:dyDescent="0.3">
      <c r="A585" s="165" t="s">
        <v>1060</v>
      </c>
      <c r="B585" s="165" t="s">
        <v>14</v>
      </c>
      <c r="C585" s="165" t="s">
        <v>1033</v>
      </c>
      <c r="D585" s="165" t="s">
        <v>15</v>
      </c>
      <c r="E585" s="157">
        <v>40967</v>
      </c>
      <c r="F585" s="165" t="s">
        <v>16</v>
      </c>
      <c r="G585" s="165" t="s">
        <v>16</v>
      </c>
      <c r="H585" s="165" t="s">
        <v>16</v>
      </c>
      <c r="I585" s="165" t="s">
        <v>16</v>
      </c>
      <c r="J585" s="165" t="s">
        <v>148</v>
      </c>
      <c r="K585" s="165" t="s">
        <v>16</v>
      </c>
      <c r="L585" s="165" t="s">
        <v>16</v>
      </c>
      <c r="M585" s="165" t="s">
        <v>16</v>
      </c>
      <c r="N585" s="165" t="s">
        <v>148</v>
      </c>
      <c r="O585" s="165" t="s">
        <v>16</v>
      </c>
      <c r="P585" s="165" t="s">
        <v>16</v>
      </c>
      <c r="Q585" s="165" t="s">
        <v>16</v>
      </c>
      <c r="R585" s="165" t="s">
        <v>148</v>
      </c>
      <c r="S585" s="165" t="s">
        <v>16</v>
      </c>
      <c r="T585" s="165" t="s">
        <v>16</v>
      </c>
      <c r="U585" s="165" t="s">
        <v>16</v>
      </c>
      <c r="V585" s="165" t="s">
        <v>16</v>
      </c>
      <c r="W585" s="165" t="s">
        <v>16</v>
      </c>
      <c r="X585" s="165" t="s">
        <v>16</v>
      </c>
      <c r="Y585" s="165" t="s">
        <v>16</v>
      </c>
      <c r="Z585" s="165" t="s">
        <v>16</v>
      </c>
      <c r="AA585" s="165" t="s">
        <v>16</v>
      </c>
      <c r="AB585" s="165" t="s">
        <v>16</v>
      </c>
      <c r="AC585" s="165" t="s">
        <v>150</v>
      </c>
      <c r="AD585" s="165" t="s">
        <v>148</v>
      </c>
      <c r="AE585" s="165" t="s">
        <v>1034</v>
      </c>
      <c r="AF585" s="165"/>
    </row>
    <row r="586" spans="1:32" x14ac:dyDescent="0.3">
      <c r="A586" s="165" t="s">
        <v>1061</v>
      </c>
      <c r="B586" s="165" t="s">
        <v>14</v>
      </c>
      <c r="C586" s="165" t="s">
        <v>1033</v>
      </c>
      <c r="D586" s="165" t="s">
        <v>15</v>
      </c>
      <c r="E586" s="157">
        <v>40967</v>
      </c>
      <c r="F586" s="165" t="s">
        <v>16</v>
      </c>
      <c r="G586" s="165" t="s">
        <v>16</v>
      </c>
      <c r="H586" s="165" t="s">
        <v>149</v>
      </c>
      <c r="I586" s="165" t="s">
        <v>16</v>
      </c>
      <c r="J586" s="165" t="s">
        <v>149</v>
      </c>
      <c r="K586" s="165" t="s">
        <v>16</v>
      </c>
      <c r="L586" s="165" t="s">
        <v>16</v>
      </c>
      <c r="M586" s="165" t="s">
        <v>16</v>
      </c>
      <c r="N586" s="165" t="s">
        <v>16</v>
      </c>
      <c r="O586" s="165" t="s">
        <v>149</v>
      </c>
      <c r="P586" s="165" t="s">
        <v>148</v>
      </c>
      <c r="Q586" s="165" t="s">
        <v>16</v>
      </c>
      <c r="R586" s="165" t="s">
        <v>16</v>
      </c>
      <c r="S586" s="165" t="s">
        <v>16</v>
      </c>
      <c r="T586" s="165" t="s">
        <v>148</v>
      </c>
      <c r="U586" s="165" t="s">
        <v>148</v>
      </c>
      <c r="V586" s="165" t="s">
        <v>16</v>
      </c>
      <c r="W586" s="165" t="s">
        <v>16</v>
      </c>
      <c r="X586" s="165" t="s">
        <v>148</v>
      </c>
      <c r="Y586" s="165" t="s">
        <v>148</v>
      </c>
      <c r="Z586" s="165" t="s">
        <v>148</v>
      </c>
      <c r="AA586" s="165" t="s">
        <v>16</v>
      </c>
      <c r="AB586" s="165" t="s">
        <v>148</v>
      </c>
      <c r="AC586" s="165" t="s">
        <v>148</v>
      </c>
      <c r="AD586" s="165" t="s">
        <v>16</v>
      </c>
      <c r="AE586" s="165" t="s">
        <v>1034</v>
      </c>
      <c r="AF586" s="165"/>
    </row>
    <row r="587" spans="1:32" x14ac:dyDescent="0.3">
      <c r="A587" s="165" t="s">
        <v>1062</v>
      </c>
      <c r="B587" s="165" t="s">
        <v>14</v>
      </c>
      <c r="C587" s="165" t="s">
        <v>1033</v>
      </c>
      <c r="D587" s="165" t="s">
        <v>15</v>
      </c>
      <c r="E587" s="157">
        <v>40967</v>
      </c>
      <c r="F587" s="165" t="s">
        <v>16</v>
      </c>
      <c r="G587" s="165" t="s">
        <v>16</v>
      </c>
      <c r="H587" s="165" t="s">
        <v>16</v>
      </c>
      <c r="I587" s="165" t="s">
        <v>16</v>
      </c>
      <c r="J587" s="165" t="s">
        <v>16</v>
      </c>
      <c r="K587" s="165" t="s">
        <v>16</v>
      </c>
      <c r="L587" s="165" t="s">
        <v>148</v>
      </c>
      <c r="M587" s="165" t="s">
        <v>16</v>
      </c>
      <c r="N587" s="165" t="s">
        <v>16</v>
      </c>
      <c r="O587" s="165" t="s">
        <v>16</v>
      </c>
      <c r="P587" s="165" t="s">
        <v>16</v>
      </c>
      <c r="Q587" s="165" t="s">
        <v>16</v>
      </c>
      <c r="R587" s="165" t="s">
        <v>16</v>
      </c>
      <c r="S587" s="165" t="s">
        <v>16</v>
      </c>
      <c r="T587" s="165" t="s">
        <v>16</v>
      </c>
      <c r="U587" s="165" t="s">
        <v>16</v>
      </c>
      <c r="V587" s="165" t="s">
        <v>16</v>
      </c>
      <c r="W587" s="165" t="s">
        <v>16</v>
      </c>
      <c r="X587" s="165" t="s">
        <v>16</v>
      </c>
      <c r="Y587" s="165" t="s">
        <v>16</v>
      </c>
      <c r="Z587" s="165" t="s">
        <v>16</v>
      </c>
      <c r="AA587" s="165" t="s">
        <v>16</v>
      </c>
      <c r="AB587" s="165" t="s">
        <v>16</v>
      </c>
      <c r="AC587" s="165" t="s">
        <v>16</v>
      </c>
      <c r="AD587" s="165" t="s">
        <v>148</v>
      </c>
      <c r="AE587" s="165" t="s">
        <v>1034</v>
      </c>
      <c r="AF587" s="165"/>
    </row>
    <row r="588" spans="1:32" x14ac:dyDescent="0.3">
      <c r="A588" s="165" t="s">
        <v>1063</v>
      </c>
      <c r="B588" s="165" t="s">
        <v>14</v>
      </c>
      <c r="C588" s="165" t="s">
        <v>1033</v>
      </c>
      <c r="D588" s="165" t="s">
        <v>15</v>
      </c>
      <c r="E588" s="157">
        <v>40967</v>
      </c>
      <c r="F588" s="165" t="s">
        <v>16</v>
      </c>
      <c r="G588" s="165" t="s">
        <v>16</v>
      </c>
      <c r="H588" s="165" t="s">
        <v>148</v>
      </c>
      <c r="I588" s="165" t="s">
        <v>148</v>
      </c>
      <c r="J588" s="165" t="s">
        <v>16</v>
      </c>
      <c r="K588" s="165" t="s">
        <v>148</v>
      </c>
      <c r="L588" s="165" t="s">
        <v>148</v>
      </c>
      <c r="M588" s="165" t="s">
        <v>148</v>
      </c>
      <c r="N588" s="165" t="s">
        <v>16</v>
      </c>
      <c r="O588" s="165" t="s">
        <v>16</v>
      </c>
      <c r="P588" s="165" t="s">
        <v>16</v>
      </c>
      <c r="Q588" s="165" t="s">
        <v>16</v>
      </c>
      <c r="R588" s="165" t="s">
        <v>16</v>
      </c>
      <c r="S588" s="165" t="s">
        <v>148</v>
      </c>
      <c r="T588" s="165" t="s">
        <v>148</v>
      </c>
      <c r="U588" s="165" t="s">
        <v>16</v>
      </c>
      <c r="V588" s="165" t="s">
        <v>148</v>
      </c>
      <c r="W588" s="165" t="s">
        <v>148</v>
      </c>
      <c r="X588" s="165" t="s">
        <v>16</v>
      </c>
      <c r="Y588" s="165" t="s">
        <v>16</v>
      </c>
      <c r="Z588" s="165" t="s">
        <v>16</v>
      </c>
      <c r="AA588" s="165" t="s">
        <v>148</v>
      </c>
      <c r="AB588" s="165" t="s">
        <v>16</v>
      </c>
      <c r="AC588" s="165" t="s">
        <v>148</v>
      </c>
      <c r="AD588" s="165" t="s">
        <v>148</v>
      </c>
      <c r="AE588" s="165" t="s">
        <v>1053</v>
      </c>
      <c r="AF588" s="165"/>
    </row>
    <row r="589" spans="1:32" x14ac:dyDescent="0.3">
      <c r="A589" s="165" t="s">
        <v>1064</v>
      </c>
      <c r="B589" s="165" t="s">
        <v>14</v>
      </c>
      <c r="C589" s="165" t="s">
        <v>1033</v>
      </c>
      <c r="D589" s="165" t="s">
        <v>15</v>
      </c>
      <c r="E589" s="157">
        <v>40967</v>
      </c>
      <c r="F589" s="165" t="s">
        <v>148</v>
      </c>
      <c r="G589" s="165" t="s">
        <v>16</v>
      </c>
      <c r="H589" s="165" t="s">
        <v>16</v>
      </c>
      <c r="I589" s="165" t="s">
        <v>16</v>
      </c>
      <c r="J589" s="165" t="s">
        <v>114</v>
      </c>
      <c r="K589" s="165" t="s">
        <v>148</v>
      </c>
      <c r="L589" s="165" t="s">
        <v>148</v>
      </c>
      <c r="M589" s="165" t="s">
        <v>148</v>
      </c>
      <c r="N589" s="165" t="s">
        <v>16</v>
      </c>
      <c r="O589" s="165" t="s">
        <v>16</v>
      </c>
      <c r="P589" s="165" t="s">
        <v>16</v>
      </c>
      <c r="Q589" s="165" t="s">
        <v>16</v>
      </c>
      <c r="R589" s="165" t="s">
        <v>16</v>
      </c>
      <c r="S589" s="165" t="s">
        <v>148</v>
      </c>
      <c r="T589" s="165" t="s">
        <v>16</v>
      </c>
      <c r="U589" s="165" t="s">
        <v>148</v>
      </c>
      <c r="V589" s="165" t="s">
        <v>16</v>
      </c>
      <c r="W589" s="165" t="s">
        <v>16</v>
      </c>
      <c r="X589" s="165" t="s">
        <v>16</v>
      </c>
      <c r="Y589" s="165" t="s">
        <v>16</v>
      </c>
      <c r="Z589" s="165" t="s">
        <v>148</v>
      </c>
      <c r="AA589" s="165" t="s">
        <v>148</v>
      </c>
      <c r="AB589" s="165" t="s">
        <v>16</v>
      </c>
      <c r="AC589" s="165" t="s">
        <v>148</v>
      </c>
      <c r="AD589" s="165" t="s">
        <v>16</v>
      </c>
      <c r="AE589" s="165" t="s">
        <v>1065</v>
      </c>
      <c r="AF589" s="165"/>
    </row>
    <row r="590" spans="1:32" x14ac:dyDescent="0.3">
      <c r="A590" s="165" t="s">
        <v>1066</v>
      </c>
      <c r="B590" s="165" t="s">
        <v>14</v>
      </c>
      <c r="C590" s="165" t="s">
        <v>1033</v>
      </c>
      <c r="D590" s="165" t="s">
        <v>15</v>
      </c>
      <c r="E590" s="157">
        <v>40967</v>
      </c>
      <c r="F590" s="165" t="s">
        <v>16</v>
      </c>
      <c r="G590" s="165" t="s">
        <v>16</v>
      </c>
      <c r="H590" s="165" t="s">
        <v>148</v>
      </c>
      <c r="I590" s="165" t="s">
        <v>16</v>
      </c>
      <c r="J590" s="165" t="s">
        <v>16</v>
      </c>
      <c r="K590" s="165" t="s">
        <v>148</v>
      </c>
      <c r="L590" s="165" t="s">
        <v>16</v>
      </c>
      <c r="M590" s="165" t="s">
        <v>16</v>
      </c>
      <c r="N590" s="165" t="s">
        <v>16</v>
      </c>
      <c r="O590" s="165" t="s">
        <v>148</v>
      </c>
      <c r="P590" s="165" t="s">
        <v>16</v>
      </c>
      <c r="Q590" s="165" t="s">
        <v>16</v>
      </c>
      <c r="R590" s="165" t="s">
        <v>148</v>
      </c>
      <c r="S590" s="165" t="s">
        <v>148</v>
      </c>
      <c r="T590" s="165" t="s">
        <v>16</v>
      </c>
      <c r="U590" s="165" t="s">
        <v>16</v>
      </c>
      <c r="V590" s="165" t="s">
        <v>16</v>
      </c>
      <c r="W590" s="165" t="s">
        <v>16</v>
      </c>
      <c r="X590" s="165" t="s">
        <v>16</v>
      </c>
      <c r="Y590" s="165" t="s">
        <v>16</v>
      </c>
      <c r="Z590" s="165" t="s">
        <v>148</v>
      </c>
      <c r="AA590" s="165" t="s">
        <v>16</v>
      </c>
      <c r="AB590" s="165" t="s">
        <v>16</v>
      </c>
      <c r="AC590" s="165" t="s">
        <v>148</v>
      </c>
      <c r="AD590" s="165" t="s">
        <v>16</v>
      </c>
      <c r="AE590" s="165" t="s">
        <v>1034</v>
      </c>
      <c r="AF590" s="165"/>
    </row>
    <row r="591" spans="1:32" x14ac:dyDescent="0.3">
      <c r="A591" s="165" t="s">
        <v>1067</v>
      </c>
      <c r="B591" s="165" t="s">
        <v>14</v>
      </c>
      <c r="C591" s="165" t="s">
        <v>1033</v>
      </c>
      <c r="D591" s="165" t="s">
        <v>15</v>
      </c>
      <c r="E591" s="157">
        <v>40967</v>
      </c>
      <c r="F591" s="165" t="s">
        <v>16</v>
      </c>
      <c r="G591" s="165" t="s">
        <v>16</v>
      </c>
      <c r="H591" s="165" t="s">
        <v>148</v>
      </c>
      <c r="I591" s="165" t="s">
        <v>148</v>
      </c>
      <c r="J591" s="165" t="s">
        <v>148</v>
      </c>
      <c r="K591" s="165" t="s">
        <v>16</v>
      </c>
      <c r="L591" s="165" t="s">
        <v>16</v>
      </c>
      <c r="M591" s="165" t="s">
        <v>148</v>
      </c>
      <c r="N591" s="165" t="s">
        <v>16</v>
      </c>
      <c r="O591" s="165" t="s">
        <v>16</v>
      </c>
      <c r="P591" s="165" t="s">
        <v>16</v>
      </c>
      <c r="Q591" s="165" t="s">
        <v>16</v>
      </c>
      <c r="R591" s="165" t="s">
        <v>148</v>
      </c>
      <c r="S591" s="165" t="s">
        <v>16</v>
      </c>
      <c r="T591" s="165" t="s">
        <v>16</v>
      </c>
      <c r="U591" s="165" t="s">
        <v>16</v>
      </c>
      <c r="V591" s="165" t="s">
        <v>149</v>
      </c>
      <c r="W591" s="165" t="s">
        <v>16</v>
      </c>
      <c r="X591" s="165" t="s">
        <v>149</v>
      </c>
      <c r="Y591" s="165" t="s">
        <v>149</v>
      </c>
      <c r="Z591" s="165" t="s">
        <v>16</v>
      </c>
      <c r="AA591" s="165" t="s">
        <v>16</v>
      </c>
      <c r="AB591" s="165" t="s">
        <v>16</v>
      </c>
      <c r="AC591" s="165" t="s">
        <v>16</v>
      </c>
      <c r="AD591" s="165" t="s">
        <v>16</v>
      </c>
      <c r="AE591" s="165"/>
      <c r="AF591" s="165"/>
    </row>
    <row r="592" spans="1:32" x14ac:dyDescent="0.3">
      <c r="A592" s="165" t="s">
        <v>1068</v>
      </c>
      <c r="B592" s="165" t="s">
        <v>14</v>
      </c>
      <c r="C592" s="165" t="s">
        <v>1033</v>
      </c>
      <c r="D592" s="165" t="s">
        <v>15</v>
      </c>
      <c r="E592" s="157">
        <v>40967</v>
      </c>
      <c r="F592" s="165" t="s">
        <v>148</v>
      </c>
      <c r="G592" s="165" t="s">
        <v>148</v>
      </c>
      <c r="H592" s="165" t="s">
        <v>149</v>
      </c>
      <c r="I592" s="165" t="s">
        <v>16</v>
      </c>
      <c r="J592" s="165" t="s">
        <v>16</v>
      </c>
      <c r="K592" s="165" t="s">
        <v>149</v>
      </c>
      <c r="L592" s="165" t="s">
        <v>149</v>
      </c>
      <c r="M592" s="165" t="s">
        <v>16</v>
      </c>
      <c r="N592" s="165" t="s">
        <v>16</v>
      </c>
      <c r="O592" s="165" t="s">
        <v>148</v>
      </c>
      <c r="P592" s="165" t="s">
        <v>148</v>
      </c>
      <c r="Q592" s="165" t="s">
        <v>149</v>
      </c>
      <c r="R592" s="165" t="s">
        <v>149</v>
      </c>
      <c r="S592" s="165" t="s">
        <v>16</v>
      </c>
      <c r="T592" s="165" t="s">
        <v>16</v>
      </c>
      <c r="U592" s="165" t="s">
        <v>16</v>
      </c>
      <c r="V592" s="165" t="s">
        <v>16</v>
      </c>
      <c r="W592" s="165" t="s">
        <v>148</v>
      </c>
      <c r="X592" s="165" t="s">
        <v>148</v>
      </c>
      <c r="Y592" s="165" t="s">
        <v>16</v>
      </c>
      <c r="Z592" s="165" t="s">
        <v>16</v>
      </c>
      <c r="AA592" s="165" t="s">
        <v>16</v>
      </c>
      <c r="AB592" s="165" t="s">
        <v>16</v>
      </c>
      <c r="AC592" s="165" t="s">
        <v>148</v>
      </c>
      <c r="AD592" s="165" t="s">
        <v>16</v>
      </c>
      <c r="AE592" s="165" t="s">
        <v>1046</v>
      </c>
      <c r="AF592" s="165"/>
    </row>
    <row r="593" spans="1:32" x14ac:dyDescent="0.3">
      <c r="A593" s="165" t="s">
        <v>1069</v>
      </c>
      <c r="B593" s="165" t="s">
        <v>14</v>
      </c>
      <c r="C593" s="165" t="s">
        <v>1033</v>
      </c>
      <c r="D593" s="165" t="s">
        <v>15</v>
      </c>
      <c r="E593" s="157">
        <v>40967</v>
      </c>
      <c r="F593" s="165" t="s">
        <v>16</v>
      </c>
      <c r="G593" s="165" t="s">
        <v>16</v>
      </c>
      <c r="H593" s="165" t="s">
        <v>16</v>
      </c>
      <c r="I593" s="165" t="s">
        <v>16</v>
      </c>
      <c r="J593" s="165" t="s">
        <v>148</v>
      </c>
      <c r="K593" s="165" t="s">
        <v>16</v>
      </c>
      <c r="L593" s="165" t="s">
        <v>16</v>
      </c>
      <c r="M593" s="165" t="s">
        <v>148</v>
      </c>
      <c r="N593" s="165" t="s">
        <v>149</v>
      </c>
      <c r="O593" s="165" t="s">
        <v>16</v>
      </c>
      <c r="P593" s="165" t="s">
        <v>16</v>
      </c>
      <c r="Q593" s="165" t="s">
        <v>16</v>
      </c>
      <c r="R593" s="165" t="s">
        <v>16</v>
      </c>
      <c r="S593" s="165" t="s">
        <v>148</v>
      </c>
      <c r="T593" s="165" t="s">
        <v>16</v>
      </c>
      <c r="U593" s="165" t="s">
        <v>16</v>
      </c>
      <c r="V593" s="165" t="s">
        <v>16</v>
      </c>
      <c r="W593" s="165" t="s">
        <v>16</v>
      </c>
      <c r="X593" s="165" t="s">
        <v>16</v>
      </c>
      <c r="Y593" s="165" t="s">
        <v>16</v>
      </c>
      <c r="Z593" s="165" t="s">
        <v>16</v>
      </c>
      <c r="AA593" s="165" t="s">
        <v>148</v>
      </c>
      <c r="AB593" s="165" t="s">
        <v>16</v>
      </c>
      <c r="AC593" s="165" t="s">
        <v>148</v>
      </c>
      <c r="AD593" s="165" t="s">
        <v>148</v>
      </c>
      <c r="AE593" s="165" t="s">
        <v>1048</v>
      </c>
      <c r="AF593" s="165"/>
    </row>
    <row r="594" spans="1:32" x14ac:dyDescent="0.3">
      <c r="A594" s="165" t="s">
        <v>1070</v>
      </c>
      <c r="B594" s="165" t="s">
        <v>14</v>
      </c>
      <c r="C594" s="165" t="s">
        <v>1033</v>
      </c>
      <c r="D594" s="165" t="s">
        <v>15</v>
      </c>
      <c r="E594" s="157">
        <v>40967</v>
      </c>
      <c r="F594" s="165" t="s">
        <v>16</v>
      </c>
      <c r="G594" s="165" t="s">
        <v>148</v>
      </c>
      <c r="H594" s="165" t="s">
        <v>148</v>
      </c>
      <c r="I594" s="165" t="s">
        <v>148</v>
      </c>
      <c r="J594" s="165" t="s">
        <v>148</v>
      </c>
      <c r="K594" s="165" t="s">
        <v>16</v>
      </c>
      <c r="L594" s="165" t="s">
        <v>16</v>
      </c>
      <c r="M594" s="165" t="s">
        <v>148</v>
      </c>
      <c r="N594" s="165" t="s">
        <v>148</v>
      </c>
      <c r="O594" s="165" t="s">
        <v>148</v>
      </c>
      <c r="P594" s="165" t="s">
        <v>148</v>
      </c>
      <c r="Q594" s="165" t="s">
        <v>148</v>
      </c>
      <c r="R594" s="165" t="s">
        <v>16</v>
      </c>
      <c r="S594" s="165" t="s">
        <v>16</v>
      </c>
      <c r="T594" s="165" t="s">
        <v>16</v>
      </c>
      <c r="U594" s="165" t="s">
        <v>16</v>
      </c>
      <c r="V594" s="165" t="s">
        <v>16</v>
      </c>
      <c r="W594" s="165" t="s">
        <v>16</v>
      </c>
      <c r="X594" s="165" t="s">
        <v>16</v>
      </c>
      <c r="Y594" s="165" t="s">
        <v>16</v>
      </c>
      <c r="Z594" s="165" t="s">
        <v>148</v>
      </c>
      <c r="AA594" s="165" t="s">
        <v>16</v>
      </c>
      <c r="AB594" s="165" t="s">
        <v>16</v>
      </c>
      <c r="AC594" s="165" t="s">
        <v>16</v>
      </c>
      <c r="AD594" s="165" t="s">
        <v>16</v>
      </c>
      <c r="AE594" s="165" t="s">
        <v>1034</v>
      </c>
      <c r="AF594" s="165"/>
    </row>
    <row r="595" spans="1:32" x14ac:dyDescent="0.3">
      <c r="A595" s="165" t="s">
        <v>1071</v>
      </c>
      <c r="B595" s="165" t="s">
        <v>14</v>
      </c>
      <c r="C595" s="165" t="s">
        <v>1033</v>
      </c>
      <c r="D595" s="165" t="s">
        <v>15</v>
      </c>
      <c r="E595" s="157">
        <v>40967</v>
      </c>
      <c r="F595" s="165" t="s">
        <v>16</v>
      </c>
      <c r="G595" s="165" t="s">
        <v>16</v>
      </c>
      <c r="H595" s="165" t="s">
        <v>16</v>
      </c>
      <c r="I595" s="165" t="s">
        <v>16</v>
      </c>
      <c r="J595" s="165" t="s">
        <v>16</v>
      </c>
      <c r="K595" s="165" t="s">
        <v>16</v>
      </c>
      <c r="L595" s="165" t="s">
        <v>16</v>
      </c>
      <c r="M595" s="165" t="s">
        <v>16</v>
      </c>
      <c r="N595" s="165" t="s">
        <v>16</v>
      </c>
      <c r="O595" s="165" t="s">
        <v>16</v>
      </c>
      <c r="P595" s="165" t="s">
        <v>16</v>
      </c>
      <c r="Q595" s="165" t="s">
        <v>16</v>
      </c>
      <c r="R595" s="165" t="s">
        <v>16</v>
      </c>
      <c r="S595" s="165" t="s">
        <v>16</v>
      </c>
      <c r="T595" s="165" t="s">
        <v>16</v>
      </c>
      <c r="U595" s="165" t="s">
        <v>16</v>
      </c>
      <c r="V595" s="165" t="s">
        <v>16</v>
      </c>
      <c r="W595" s="165" t="s">
        <v>16</v>
      </c>
      <c r="X595" s="165" t="s">
        <v>16</v>
      </c>
      <c r="Y595" s="165" t="s">
        <v>16</v>
      </c>
      <c r="Z595" s="165" t="s">
        <v>16</v>
      </c>
      <c r="AA595" s="165" t="s">
        <v>16</v>
      </c>
      <c r="AB595" s="165" t="s">
        <v>16</v>
      </c>
      <c r="AC595" s="165" t="s">
        <v>16</v>
      </c>
      <c r="AD595" s="165" t="s">
        <v>16</v>
      </c>
      <c r="AE595" s="165"/>
      <c r="AF595" s="165"/>
    </row>
    <row r="596" spans="1:32" x14ac:dyDescent="0.3">
      <c r="A596" s="165" t="s">
        <v>1072</v>
      </c>
      <c r="B596" s="165" t="s">
        <v>14</v>
      </c>
      <c r="C596" s="165" t="s">
        <v>1033</v>
      </c>
      <c r="D596" s="165" t="s">
        <v>15</v>
      </c>
      <c r="E596" s="157">
        <v>40967</v>
      </c>
      <c r="F596" s="165" t="s">
        <v>16</v>
      </c>
      <c r="G596" s="165" t="s">
        <v>16</v>
      </c>
      <c r="H596" s="165" t="s">
        <v>16</v>
      </c>
      <c r="I596" s="165" t="s">
        <v>16</v>
      </c>
      <c r="J596" s="165" t="s">
        <v>16</v>
      </c>
      <c r="K596" s="165" t="s">
        <v>16</v>
      </c>
      <c r="L596" s="165" t="s">
        <v>16</v>
      </c>
      <c r="M596" s="165" t="s">
        <v>16</v>
      </c>
      <c r="N596" s="165" t="s">
        <v>16</v>
      </c>
      <c r="O596" s="165" t="s">
        <v>16</v>
      </c>
      <c r="P596" s="165" t="s">
        <v>16</v>
      </c>
      <c r="Q596" s="165" t="s">
        <v>16</v>
      </c>
      <c r="R596" s="165" t="s">
        <v>16</v>
      </c>
      <c r="S596" s="165" t="s">
        <v>16</v>
      </c>
      <c r="T596" s="165" t="s">
        <v>16</v>
      </c>
      <c r="U596" s="165" t="s">
        <v>16</v>
      </c>
      <c r="V596" s="165" t="s">
        <v>16</v>
      </c>
      <c r="W596" s="165" t="s">
        <v>16</v>
      </c>
      <c r="X596" s="165" t="s">
        <v>16</v>
      </c>
      <c r="Y596" s="165" t="s">
        <v>16</v>
      </c>
      <c r="Z596" s="165" t="s">
        <v>16</v>
      </c>
      <c r="AA596" s="165" t="s">
        <v>16</v>
      </c>
      <c r="AB596" s="165" t="s">
        <v>16</v>
      </c>
      <c r="AC596" s="165" t="s">
        <v>16</v>
      </c>
      <c r="AD596" s="165" t="s">
        <v>16</v>
      </c>
      <c r="AE596" s="165" t="s">
        <v>1053</v>
      </c>
      <c r="AF596" s="165"/>
    </row>
    <row r="597" spans="1:32" x14ac:dyDescent="0.3">
      <c r="A597" s="165" t="s">
        <v>1073</v>
      </c>
      <c r="B597" s="165" t="s">
        <v>14</v>
      </c>
      <c r="C597" s="165" t="s">
        <v>1033</v>
      </c>
      <c r="D597" s="165" t="s">
        <v>15</v>
      </c>
      <c r="E597" s="157">
        <v>40967</v>
      </c>
      <c r="F597" s="165" t="s">
        <v>16</v>
      </c>
      <c r="G597" s="165" t="s">
        <v>16</v>
      </c>
      <c r="H597" s="165" t="s">
        <v>16</v>
      </c>
      <c r="I597" s="165" t="s">
        <v>16</v>
      </c>
      <c r="J597" s="165" t="s">
        <v>16</v>
      </c>
      <c r="K597" s="165" t="s">
        <v>16</v>
      </c>
      <c r="L597" s="165" t="s">
        <v>16</v>
      </c>
      <c r="M597" s="165" t="s">
        <v>148</v>
      </c>
      <c r="N597" s="165" t="s">
        <v>16</v>
      </c>
      <c r="O597" s="165" t="s">
        <v>16</v>
      </c>
      <c r="P597" s="165" t="s">
        <v>16</v>
      </c>
      <c r="Q597" s="165" t="s">
        <v>16</v>
      </c>
      <c r="R597" s="165" t="s">
        <v>16</v>
      </c>
      <c r="S597" s="165" t="s">
        <v>16</v>
      </c>
      <c r="T597" s="165" t="s">
        <v>16</v>
      </c>
      <c r="U597" s="165" t="s">
        <v>16</v>
      </c>
      <c r="V597" s="165" t="s">
        <v>16</v>
      </c>
      <c r="W597" s="165" t="s">
        <v>16</v>
      </c>
      <c r="X597" s="165" t="s">
        <v>16</v>
      </c>
      <c r="Y597" s="165" t="s">
        <v>16</v>
      </c>
      <c r="Z597" s="165" t="s">
        <v>16</v>
      </c>
      <c r="AA597" s="165" t="s">
        <v>148</v>
      </c>
      <c r="AB597" s="165" t="s">
        <v>16</v>
      </c>
      <c r="AC597" s="165" t="s">
        <v>149</v>
      </c>
      <c r="AD597" s="165" t="s">
        <v>16</v>
      </c>
      <c r="AE597" s="165"/>
      <c r="AF597" s="165"/>
    </row>
    <row r="599" spans="1:32" x14ac:dyDescent="0.3">
      <c r="A599" s="165"/>
      <c r="B599" s="165"/>
      <c r="C599" s="165"/>
      <c r="D599" s="165"/>
      <c r="E599" s="165"/>
      <c r="F599" s="165" t="s">
        <v>124</v>
      </c>
      <c r="G599" s="165" t="s">
        <v>125</v>
      </c>
      <c r="H599" s="165" t="s">
        <v>126</v>
      </c>
      <c r="I599" s="165" t="s">
        <v>127</v>
      </c>
      <c r="J599" s="165" t="s">
        <v>214</v>
      </c>
      <c r="K599" s="165" t="s">
        <v>128</v>
      </c>
      <c r="L599" s="165" t="s">
        <v>129</v>
      </c>
      <c r="M599" s="165" t="s">
        <v>130</v>
      </c>
      <c r="N599" s="165" t="s">
        <v>131</v>
      </c>
      <c r="O599" s="165" t="s">
        <v>132</v>
      </c>
      <c r="P599" s="165" t="s">
        <v>133</v>
      </c>
      <c r="Q599" s="165" t="s">
        <v>134</v>
      </c>
      <c r="R599" s="165" t="s">
        <v>135</v>
      </c>
      <c r="S599" s="165" t="s">
        <v>136</v>
      </c>
      <c r="T599" s="165" t="s">
        <v>137</v>
      </c>
      <c r="U599" s="165" t="s">
        <v>138</v>
      </c>
      <c r="V599" s="165" t="s">
        <v>139</v>
      </c>
      <c r="W599" s="165" t="s">
        <v>140</v>
      </c>
      <c r="X599" s="165" t="s">
        <v>186</v>
      </c>
      <c r="Y599" s="165" t="s">
        <v>209</v>
      </c>
      <c r="Z599" s="165" t="s">
        <v>141</v>
      </c>
      <c r="AA599" s="165" t="s">
        <v>142</v>
      </c>
      <c r="AB599" s="165" t="s">
        <v>210</v>
      </c>
      <c r="AC599" s="165" t="s">
        <v>143</v>
      </c>
      <c r="AD599" s="165" t="s">
        <v>144</v>
      </c>
      <c r="AE599" s="165" t="s">
        <v>1080</v>
      </c>
      <c r="AF599" s="165" t="s">
        <v>190</v>
      </c>
    </row>
    <row r="600" spans="1:32" x14ac:dyDescent="0.3">
      <c r="A600" s="165" t="s">
        <v>1081</v>
      </c>
      <c r="B600" s="165" t="s">
        <v>14</v>
      </c>
      <c r="C600" s="165" t="s">
        <v>1082</v>
      </c>
      <c r="D600" s="165" t="s">
        <v>15</v>
      </c>
      <c r="E600" s="157">
        <v>40998</v>
      </c>
      <c r="F600" s="165" t="s">
        <v>16</v>
      </c>
      <c r="G600" s="165" t="s">
        <v>16</v>
      </c>
      <c r="H600" s="165" t="s">
        <v>148</v>
      </c>
      <c r="I600" s="165" t="s">
        <v>148</v>
      </c>
      <c r="J600" s="165" t="s">
        <v>16</v>
      </c>
      <c r="K600" s="165" t="s">
        <v>148</v>
      </c>
      <c r="L600" s="165" t="s">
        <v>148</v>
      </c>
      <c r="M600" s="165" t="s">
        <v>16</v>
      </c>
      <c r="N600" s="165" t="s">
        <v>16</v>
      </c>
      <c r="O600" s="165" t="s">
        <v>16</v>
      </c>
      <c r="P600" s="165" t="s">
        <v>16</v>
      </c>
      <c r="Q600" s="165" t="s">
        <v>16</v>
      </c>
      <c r="R600" s="165" t="s">
        <v>148</v>
      </c>
      <c r="S600" s="165" t="s">
        <v>16</v>
      </c>
      <c r="T600" s="165" t="s">
        <v>148</v>
      </c>
      <c r="U600" s="165" t="s">
        <v>148</v>
      </c>
      <c r="V600" s="165" t="s">
        <v>16</v>
      </c>
      <c r="W600" s="165" t="s">
        <v>16</v>
      </c>
      <c r="X600" s="165" t="s">
        <v>16</v>
      </c>
      <c r="Y600" s="165" t="s">
        <v>16</v>
      </c>
      <c r="Z600" s="165" t="s">
        <v>16</v>
      </c>
      <c r="AA600" s="165" t="s">
        <v>148</v>
      </c>
      <c r="AB600" s="165" t="s">
        <v>148</v>
      </c>
      <c r="AC600" s="165" t="s">
        <v>148</v>
      </c>
      <c r="AD600" s="165" t="s">
        <v>148</v>
      </c>
      <c r="AE600" s="165" t="s">
        <v>1083</v>
      </c>
      <c r="AF600" s="165"/>
    </row>
    <row r="601" spans="1:32" x14ac:dyDescent="0.3">
      <c r="A601" s="165" t="s">
        <v>1084</v>
      </c>
      <c r="B601" s="165" t="s">
        <v>14</v>
      </c>
      <c r="C601" s="165" t="s">
        <v>1082</v>
      </c>
      <c r="D601" s="165" t="s">
        <v>15</v>
      </c>
      <c r="E601" s="157">
        <v>40998</v>
      </c>
      <c r="F601" s="165" t="s">
        <v>16</v>
      </c>
      <c r="G601" s="165" t="s">
        <v>148</v>
      </c>
      <c r="H601" s="165" t="s">
        <v>16</v>
      </c>
      <c r="I601" s="165" t="s">
        <v>16</v>
      </c>
      <c r="J601" s="165" t="s">
        <v>148</v>
      </c>
      <c r="K601" s="165" t="s">
        <v>16</v>
      </c>
      <c r="L601" s="165" t="s">
        <v>16</v>
      </c>
      <c r="M601" s="165" t="s">
        <v>16</v>
      </c>
      <c r="N601" s="165" t="s">
        <v>148</v>
      </c>
      <c r="O601" s="165" t="s">
        <v>148</v>
      </c>
      <c r="P601" s="165" t="s">
        <v>148</v>
      </c>
      <c r="Q601" s="165" t="s">
        <v>16</v>
      </c>
      <c r="R601" s="165" t="s">
        <v>16</v>
      </c>
      <c r="S601" s="165" t="s">
        <v>16</v>
      </c>
      <c r="T601" s="165" t="s">
        <v>16</v>
      </c>
      <c r="U601" s="165" t="s">
        <v>148</v>
      </c>
      <c r="V601" s="165" t="s">
        <v>148</v>
      </c>
      <c r="W601" s="165" t="s">
        <v>16</v>
      </c>
      <c r="X601" s="165" t="s">
        <v>16</v>
      </c>
      <c r="Y601" s="165" t="s">
        <v>114</v>
      </c>
      <c r="Z601" s="165" t="s">
        <v>16</v>
      </c>
      <c r="AA601" s="165" t="s">
        <v>148</v>
      </c>
      <c r="AB601" s="165" t="s">
        <v>149</v>
      </c>
      <c r="AC601" s="165" t="s">
        <v>16</v>
      </c>
      <c r="AD601" s="165" t="s">
        <v>16</v>
      </c>
      <c r="AE601" s="165" t="s">
        <v>1085</v>
      </c>
      <c r="AF601" s="165" t="s">
        <v>1086</v>
      </c>
    </row>
    <row r="602" spans="1:32" x14ac:dyDescent="0.3">
      <c r="A602" s="165" t="s">
        <v>1087</v>
      </c>
      <c r="B602" s="165" t="s">
        <v>14</v>
      </c>
      <c r="C602" s="165" t="s">
        <v>1082</v>
      </c>
      <c r="D602" s="165" t="s">
        <v>15</v>
      </c>
      <c r="E602" s="157">
        <v>40998</v>
      </c>
      <c r="F602" s="165" t="s">
        <v>148</v>
      </c>
      <c r="G602" s="165" t="s">
        <v>16</v>
      </c>
      <c r="H602" s="165" t="s">
        <v>16</v>
      </c>
      <c r="I602" s="165" t="s">
        <v>16</v>
      </c>
      <c r="J602" s="165" t="s">
        <v>16</v>
      </c>
      <c r="K602" s="165" t="s">
        <v>16</v>
      </c>
      <c r="L602" s="165" t="s">
        <v>16</v>
      </c>
      <c r="M602" s="165" t="s">
        <v>148</v>
      </c>
      <c r="N602" s="165" t="s">
        <v>148</v>
      </c>
      <c r="O602" s="165" t="s">
        <v>16</v>
      </c>
      <c r="P602" s="165" t="s">
        <v>148</v>
      </c>
      <c r="Q602" s="165" t="s">
        <v>16</v>
      </c>
      <c r="R602" s="165" t="s">
        <v>16</v>
      </c>
      <c r="S602" s="165" t="s">
        <v>148</v>
      </c>
      <c r="T602" s="165" t="s">
        <v>16</v>
      </c>
      <c r="U602" s="165" t="s">
        <v>16</v>
      </c>
      <c r="V602" s="165" t="s">
        <v>16</v>
      </c>
      <c r="W602" s="165" t="s">
        <v>16</v>
      </c>
      <c r="X602" s="165" t="s">
        <v>148</v>
      </c>
      <c r="Y602" s="165" t="s">
        <v>16</v>
      </c>
      <c r="Z602" s="165" t="s">
        <v>149</v>
      </c>
      <c r="AA602" s="165" t="s">
        <v>16</v>
      </c>
      <c r="AB602" s="165" t="s">
        <v>16</v>
      </c>
      <c r="AC602" s="165" t="s">
        <v>149</v>
      </c>
      <c r="AD602" s="165" t="s">
        <v>149</v>
      </c>
      <c r="AE602" s="165" t="s">
        <v>1088</v>
      </c>
      <c r="AF602" s="165"/>
    </row>
    <row r="603" spans="1:32" x14ac:dyDescent="0.3">
      <c r="A603" s="165" t="s">
        <v>1089</v>
      </c>
      <c r="B603" s="165" t="s">
        <v>14</v>
      </c>
      <c r="C603" s="165" t="s">
        <v>1082</v>
      </c>
      <c r="D603" s="165" t="s">
        <v>15</v>
      </c>
      <c r="E603" s="157">
        <v>40998</v>
      </c>
      <c r="F603" s="165" t="s">
        <v>16</v>
      </c>
      <c r="G603" s="165" t="s">
        <v>148</v>
      </c>
      <c r="H603" s="165" t="s">
        <v>16</v>
      </c>
      <c r="I603" s="165" t="s">
        <v>16</v>
      </c>
      <c r="J603" s="165" t="s">
        <v>16</v>
      </c>
      <c r="K603" s="165" t="s">
        <v>16</v>
      </c>
      <c r="L603" s="165" t="s">
        <v>148</v>
      </c>
      <c r="M603" s="165" t="s">
        <v>148</v>
      </c>
      <c r="N603" s="165" t="s">
        <v>148</v>
      </c>
      <c r="O603" s="165" t="s">
        <v>148</v>
      </c>
      <c r="P603" s="165" t="s">
        <v>148</v>
      </c>
      <c r="Q603" s="165" t="s">
        <v>16</v>
      </c>
      <c r="R603" s="165" t="s">
        <v>16</v>
      </c>
      <c r="S603" s="165" t="s">
        <v>16</v>
      </c>
      <c r="T603" s="165" t="s">
        <v>16</v>
      </c>
      <c r="U603" s="165" t="s">
        <v>16</v>
      </c>
      <c r="V603" s="165" t="s">
        <v>16</v>
      </c>
      <c r="W603" s="165" t="s">
        <v>16</v>
      </c>
      <c r="X603" s="165" t="s">
        <v>16</v>
      </c>
      <c r="Y603" s="165" t="s">
        <v>16</v>
      </c>
      <c r="Z603" s="165" t="s">
        <v>16</v>
      </c>
      <c r="AA603" s="165" t="s">
        <v>16</v>
      </c>
      <c r="AB603" s="165" t="s">
        <v>16</v>
      </c>
      <c r="AC603" s="165" t="s">
        <v>148</v>
      </c>
      <c r="AD603" s="165" t="s">
        <v>16</v>
      </c>
      <c r="AE603" s="165" t="s">
        <v>1090</v>
      </c>
      <c r="AF603" s="165"/>
    </row>
    <row r="604" spans="1:32" x14ac:dyDescent="0.3">
      <c r="A604" s="165" t="s">
        <v>1091</v>
      </c>
      <c r="B604" s="165" t="s">
        <v>14</v>
      </c>
      <c r="C604" s="165" t="s">
        <v>1082</v>
      </c>
      <c r="D604" s="165" t="s">
        <v>15</v>
      </c>
      <c r="E604" s="157">
        <v>40998</v>
      </c>
      <c r="F604" s="165" t="s">
        <v>16</v>
      </c>
      <c r="G604" s="165" t="s">
        <v>16</v>
      </c>
      <c r="H604" s="165" t="s">
        <v>16</v>
      </c>
      <c r="I604" s="165" t="s">
        <v>148</v>
      </c>
      <c r="J604" s="165" t="s">
        <v>16</v>
      </c>
      <c r="K604" s="165" t="s">
        <v>148</v>
      </c>
      <c r="L604" s="165" t="s">
        <v>16</v>
      </c>
      <c r="M604" s="165" t="s">
        <v>16</v>
      </c>
      <c r="N604" s="165" t="s">
        <v>148</v>
      </c>
      <c r="O604" s="165" t="s">
        <v>16</v>
      </c>
      <c r="P604" s="165" t="s">
        <v>148</v>
      </c>
      <c r="Q604" s="165" t="s">
        <v>16</v>
      </c>
      <c r="R604" s="165" t="s">
        <v>16</v>
      </c>
      <c r="S604" s="165" t="s">
        <v>148</v>
      </c>
      <c r="T604" s="165" t="s">
        <v>16</v>
      </c>
      <c r="U604" s="165" t="s">
        <v>16</v>
      </c>
      <c r="V604" s="165" t="s">
        <v>16</v>
      </c>
      <c r="W604" s="165" t="s">
        <v>16</v>
      </c>
      <c r="X604" s="165" t="s">
        <v>16</v>
      </c>
      <c r="Y604" s="165" t="s">
        <v>114</v>
      </c>
      <c r="Z604" s="165" t="s">
        <v>16</v>
      </c>
      <c r="AA604" s="165" t="s">
        <v>16</v>
      </c>
      <c r="AB604" s="165" t="s">
        <v>16</v>
      </c>
      <c r="AC604" s="165" t="s">
        <v>16</v>
      </c>
      <c r="AD604" s="165" t="s">
        <v>148</v>
      </c>
      <c r="AE604" s="165" t="s">
        <v>1083</v>
      </c>
      <c r="AF604" s="165"/>
    </row>
    <row r="605" spans="1:32" x14ac:dyDescent="0.3">
      <c r="A605" s="165" t="s">
        <v>1092</v>
      </c>
      <c r="B605" s="165" t="s">
        <v>14</v>
      </c>
      <c r="C605" s="165" t="s">
        <v>1082</v>
      </c>
      <c r="D605" s="165" t="s">
        <v>15</v>
      </c>
      <c r="E605" s="157">
        <v>40998</v>
      </c>
      <c r="F605" s="165" t="s">
        <v>16</v>
      </c>
      <c r="G605" s="165" t="s">
        <v>16</v>
      </c>
      <c r="H605" s="165" t="s">
        <v>16</v>
      </c>
      <c r="I605" s="165" t="s">
        <v>148</v>
      </c>
      <c r="J605" s="165" t="s">
        <v>16</v>
      </c>
      <c r="K605" s="165" t="s">
        <v>16</v>
      </c>
      <c r="L605" s="165" t="s">
        <v>148</v>
      </c>
      <c r="M605" s="165" t="s">
        <v>16</v>
      </c>
      <c r="N605" s="165" t="s">
        <v>148</v>
      </c>
      <c r="O605" s="165" t="s">
        <v>16</v>
      </c>
      <c r="P605" s="165" t="s">
        <v>16</v>
      </c>
      <c r="Q605" s="165" t="s">
        <v>16</v>
      </c>
      <c r="R605" s="165" t="s">
        <v>148</v>
      </c>
      <c r="S605" s="165" t="s">
        <v>16</v>
      </c>
      <c r="T605" s="165" t="s">
        <v>16</v>
      </c>
      <c r="U605" s="165" t="s">
        <v>148</v>
      </c>
      <c r="V605" s="165" t="s">
        <v>16</v>
      </c>
      <c r="W605" s="165" t="s">
        <v>16</v>
      </c>
      <c r="X605" s="165" t="s">
        <v>16</v>
      </c>
      <c r="Y605" s="165" t="s">
        <v>16</v>
      </c>
      <c r="Z605" s="165" t="s">
        <v>16</v>
      </c>
      <c r="AA605" s="165" t="s">
        <v>149</v>
      </c>
      <c r="AB605" s="165" t="s">
        <v>16</v>
      </c>
      <c r="AC605" s="165" t="s">
        <v>16</v>
      </c>
      <c r="AD605" s="165" t="s">
        <v>16</v>
      </c>
      <c r="AE605" s="165" t="s">
        <v>1083</v>
      </c>
      <c r="AF605" s="165"/>
    </row>
    <row r="606" spans="1:32" x14ac:dyDescent="0.3">
      <c r="A606" s="165" t="s">
        <v>1093</v>
      </c>
      <c r="B606" s="165" t="s">
        <v>14</v>
      </c>
      <c r="C606" s="165" t="s">
        <v>1082</v>
      </c>
      <c r="D606" s="165" t="s">
        <v>15</v>
      </c>
      <c r="E606" s="157">
        <v>40998</v>
      </c>
      <c r="F606" s="165" t="s">
        <v>16</v>
      </c>
      <c r="G606" s="165" t="s">
        <v>149</v>
      </c>
      <c r="H606" s="165" t="s">
        <v>16</v>
      </c>
      <c r="I606" s="165" t="s">
        <v>148</v>
      </c>
      <c r="J606" s="165" t="s">
        <v>148</v>
      </c>
      <c r="K606" s="165" t="s">
        <v>16</v>
      </c>
      <c r="L606" s="165" t="s">
        <v>148</v>
      </c>
      <c r="M606" s="165" t="s">
        <v>16</v>
      </c>
      <c r="N606" s="165" t="s">
        <v>148</v>
      </c>
      <c r="O606" s="165" t="s">
        <v>16</v>
      </c>
      <c r="P606" s="165" t="s">
        <v>148</v>
      </c>
      <c r="Q606" s="165" t="s">
        <v>16</v>
      </c>
      <c r="R606" s="165" t="s">
        <v>16</v>
      </c>
      <c r="S606" s="165" t="s">
        <v>16</v>
      </c>
      <c r="T606" s="165" t="s">
        <v>148</v>
      </c>
      <c r="U606" s="165" t="s">
        <v>16</v>
      </c>
      <c r="V606" s="165" t="s">
        <v>16</v>
      </c>
      <c r="W606" s="165" t="s">
        <v>16</v>
      </c>
      <c r="X606" s="165" t="s">
        <v>16</v>
      </c>
      <c r="Y606" s="165" t="s">
        <v>16</v>
      </c>
      <c r="Z606" s="165" t="s">
        <v>16</v>
      </c>
      <c r="AA606" s="165" t="s">
        <v>16</v>
      </c>
      <c r="AB606" s="165" t="s">
        <v>16</v>
      </c>
      <c r="AC606" s="165" t="s">
        <v>16</v>
      </c>
      <c r="AD606" s="165" t="s">
        <v>16</v>
      </c>
      <c r="AE606" s="165" t="s">
        <v>1083</v>
      </c>
      <c r="AF606" s="165"/>
    </row>
    <row r="607" spans="1:32" x14ac:dyDescent="0.3">
      <c r="A607" s="165" t="s">
        <v>1094</v>
      </c>
      <c r="B607" s="165" t="s">
        <v>14</v>
      </c>
      <c r="C607" s="165" t="s">
        <v>1082</v>
      </c>
      <c r="D607" s="165" t="s">
        <v>15</v>
      </c>
      <c r="E607" s="157">
        <v>40998</v>
      </c>
      <c r="F607" s="165" t="s">
        <v>148</v>
      </c>
      <c r="G607" s="165" t="s">
        <v>16</v>
      </c>
      <c r="H607" s="165" t="s">
        <v>148</v>
      </c>
      <c r="I607" s="165" t="s">
        <v>148</v>
      </c>
      <c r="J607" s="165" t="s">
        <v>148</v>
      </c>
      <c r="K607" s="165" t="s">
        <v>16</v>
      </c>
      <c r="L607" s="165" t="s">
        <v>148</v>
      </c>
      <c r="M607" s="165" t="s">
        <v>16</v>
      </c>
      <c r="N607" s="165" t="s">
        <v>148</v>
      </c>
      <c r="O607" s="165" t="s">
        <v>149</v>
      </c>
      <c r="P607" s="165" t="s">
        <v>148</v>
      </c>
      <c r="Q607" s="165" t="s">
        <v>16</v>
      </c>
      <c r="R607" s="165" t="s">
        <v>148</v>
      </c>
      <c r="S607" s="165" t="s">
        <v>16</v>
      </c>
      <c r="T607" s="165" t="s">
        <v>148</v>
      </c>
      <c r="U607" s="165" t="s">
        <v>148</v>
      </c>
      <c r="V607" s="165" t="s">
        <v>148</v>
      </c>
      <c r="W607" s="165" t="s">
        <v>16</v>
      </c>
      <c r="X607" s="165" t="s">
        <v>148</v>
      </c>
      <c r="Y607" s="165" t="s">
        <v>16</v>
      </c>
      <c r="Z607" s="165" t="s">
        <v>16</v>
      </c>
      <c r="AA607" s="165" t="s">
        <v>148</v>
      </c>
      <c r="AB607" s="165" t="s">
        <v>16</v>
      </c>
      <c r="AC607" s="165" t="s">
        <v>148</v>
      </c>
      <c r="AD607" s="165" t="s">
        <v>148</v>
      </c>
      <c r="AE607" s="165" t="s">
        <v>1088</v>
      </c>
      <c r="AF607" s="165"/>
    </row>
    <row r="608" spans="1:32" x14ac:dyDescent="0.3">
      <c r="A608" s="165" t="s">
        <v>1095</v>
      </c>
      <c r="B608" s="165" t="s">
        <v>14</v>
      </c>
      <c r="C608" s="165" t="s">
        <v>1082</v>
      </c>
      <c r="D608" s="165" t="s">
        <v>15</v>
      </c>
      <c r="E608" s="157">
        <v>40998</v>
      </c>
      <c r="F608" s="165" t="s">
        <v>148</v>
      </c>
      <c r="G608" s="165" t="s">
        <v>16</v>
      </c>
      <c r="H608" s="165" t="s">
        <v>149</v>
      </c>
      <c r="I608" s="165" t="s">
        <v>148</v>
      </c>
      <c r="J608" s="165" t="s">
        <v>16</v>
      </c>
      <c r="K608" s="165" t="s">
        <v>149</v>
      </c>
      <c r="L608" s="165" t="s">
        <v>16</v>
      </c>
      <c r="M608" s="165" t="s">
        <v>148</v>
      </c>
      <c r="N608" s="165" t="s">
        <v>148</v>
      </c>
      <c r="O608" s="165" t="s">
        <v>148</v>
      </c>
      <c r="P608" s="165" t="s">
        <v>148</v>
      </c>
      <c r="Q608" s="165" t="s">
        <v>16</v>
      </c>
      <c r="R608" s="165" t="s">
        <v>16</v>
      </c>
      <c r="S608" s="165" t="s">
        <v>148</v>
      </c>
      <c r="T608" s="165" t="s">
        <v>16</v>
      </c>
      <c r="U608" s="165" t="s">
        <v>16</v>
      </c>
      <c r="V608" s="165" t="s">
        <v>16</v>
      </c>
      <c r="W608" s="165" t="s">
        <v>16</v>
      </c>
      <c r="X608" s="165" t="s">
        <v>148</v>
      </c>
      <c r="Y608" s="165" t="s">
        <v>148</v>
      </c>
      <c r="Z608" s="165" t="s">
        <v>148</v>
      </c>
      <c r="AA608" s="165" t="s">
        <v>148</v>
      </c>
      <c r="AB608" s="165" t="s">
        <v>16</v>
      </c>
      <c r="AC608" s="165" t="s">
        <v>148</v>
      </c>
      <c r="AD608" s="165" t="s">
        <v>16</v>
      </c>
      <c r="AE608" s="165" t="s">
        <v>1096</v>
      </c>
      <c r="AF608" s="165"/>
    </row>
    <row r="609" spans="1:32" x14ac:dyDescent="0.3">
      <c r="A609" s="165" t="s">
        <v>1097</v>
      </c>
      <c r="B609" s="165" t="s">
        <v>14</v>
      </c>
      <c r="C609" s="165" t="s">
        <v>1082</v>
      </c>
      <c r="D609" s="165" t="s">
        <v>15</v>
      </c>
      <c r="E609" s="157">
        <v>40998</v>
      </c>
      <c r="F609" s="165" t="s">
        <v>16</v>
      </c>
      <c r="G609" s="165" t="s">
        <v>16</v>
      </c>
      <c r="H609" s="165" t="s">
        <v>16</v>
      </c>
      <c r="I609" s="165" t="s">
        <v>16</v>
      </c>
      <c r="J609" s="165" t="s">
        <v>148</v>
      </c>
      <c r="K609" s="165" t="s">
        <v>16</v>
      </c>
      <c r="L609" s="165" t="s">
        <v>16</v>
      </c>
      <c r="M609" s="165" t="s">
        <v>16</v>
      </c>
      <c r="N609" s="165" t="s">
        <v>16</v>
      </c>
      <c r="O609" s="165" t="s">
        <v>16</v>
      </c>
      <c r="P609" s="165" t="s">
        <v>16</v>
      </c>
      <c r="Q609" s="165" t="s">
        <v>16</v>
      </c>
      <c r="R609" s="165" t="s">
        <v>16</v>
      </c>
      <c r="S609" s="165" t="s">
        <v>16</v>
      </c>
      <c r="T609" s="165" t="s">
        <v>16</v>
      </c>
      <c r="U609" s="165" t="s">
        <v>16</v>
      </c>
      <c r="V609" s="165" t="s">
        <v>16</v>
      </c>
      <c r="W609" s="165" t="s">
        <v>16</v>
      </c>
      <c r="X609" s="165" t="s">
        <v>16</v>
      </c>
      <c r="Y609" s="165" t="s">
        <v>16</v>
      </c>
      <c r="Z609" s="165" t="s">
        <v>16</v>
      </c>
      <c r="AA609" s="165" t="s">
        <v>16</v>
      </c>
      <c r="AB609" s="165" t="s">
        <v>16</v>
      </c>
      <c r="AC609" s="165" t="s">
        <v>16</v>
      </c>
      <c r="AD609" s="165" t="s">
        <v>16</v>
      </c>
      <c r="AE609" s="165" t="s">
        <v>1085</v>
      </c>
      <c r="AF609" s="165"/>
    </row>
    <row r="610" spans="1:32" x14ac:dyDescent="0.3">
      <c r="A610" s="165" t="s">
        <v>1098</v>
      </c>
      <c r="B610" s="165" t="s">
        <v>14</v>
      </c>
      <c r="C610" s="165" t="s">
        <v>1082</v>
      </c>
      <c r="D610" s="165" t="s">
        <v>15</v>
      </c>
      <c r="E610" s="157">
        <v>40998</v>
      </c>
      <c r="F610" s="165" t="s">
        <v>16</v>
      </c>
      <c r="G610" s="165" t="s">
        <v>16</v>
      </c>
      <c r="H610" s="165" t="s">
        <v>16</v>
      </c>
      <c r="I610" s="165" t="s">
        <v>148</v>
      </c>
      <c r="J610" s="165" t="s">
        <v>16</v>
      </c>
      <c r="K610" s="165" t="s">
        <v>16</v>
      </c>
      <c r="L610" s="165" t="s">
        <v>16</v>
      </c>
      <c r="M610" s="165" t="s">
        <v>16</v>
      </c>
      <c r="N610" s="165" t="s">
        <v>16</v>
      </c>
      <c r="O610" s="165" t="s">
        <v>16</v>
      </c>
      <c r="P610" s="165" t="s">
        <v>16</v>
      </c>
      <c r="Q610" s="165" t="s">
        <v>16</v>
      </c>
      <c r="R610" s="165" t="s">
        <v>16</v>
      </c>
      <c r="S610" s="165" t="s">
        <v>16</v>
      </c>
      <c r="T610" s="165" t="s">
        <v>16</v>
      </c>
      <c r="U610" s="165" t="s">
        <v>16</v>
      </c>
      <c r="V610" s="165" t="s">
        <v>16</v>
      </c>
      <c r="W610" s="165" t="s">
        <v>16</v>
      </c>
      <c r="X610" s="165" t="s">
        <v>16</v>
      </c>
      <c r="Y610" s="165" t="s">
        <v>16</v>
      </c>
      <c r="Z610" s="165" t="s">
        <v>16</v>
      </c>
      <c r="AA610" s="165" t="s">
        <v>16</v>
      </c>
      <c r="AB610" s="165" t="s">
        <v>16</v>
      </c>
      <c r="AC610" s="165" t="s">
        <v>148</v>
      </c>
      <c r="AD610" s="165" t="s">
        <v>16</v>
      </c>
      <c r="AE610" s="165" t="s">
        <v>1085</v>
      </c>
      <c r="AF610" s="165"/>
    </row>
    <row r="611" spans="1:32" x14ac:dyDescent="0.3">
      <c r="A611" s="165" t="s">
        <v>1099</v>
      </c>
      <c r="B611" s="165" t="s">
        <v>14</v>
      </c>
      <c r="C611" s="165" t="s">
        <v>1082</v>
      </c>
      <c r="D611" s="165" t="s">
        <v>15</v>
      </c>
      <c r="E611" s="157">
        <v>40998</v>
      </c>
      <c r="F611" s="165" t="s">
        <v>148</v>
      </c>
      <c r="G611" s="165" t="s">
        <v>149</v>
      </c>
      <c r="H611" s="165" t="s">
        <v>149</v>
      </c>
      <c r="I611" s="165" t="s">
        <v>149</v>
      </c>
      <c r="J611" s="165" t="s">
        <v>16</v>
      </c>
      <c r="K611" s="165" t="s">
        <v>149</v>
      </c>
      <c r="L611" s="165" t="s">
        <v>149</v>
      </c>
      <c r="M611" s="165" t="s">
        <v>149</v>
      </c>
      <c r="N611" s="165" t="s">
        <v>150</v>
      </c>
      <c r="O611" s="165" t="s">
        <v>149</v>
      </c>
      <c r="P611" s="165" t="s">
        <v>16</v>
      </c>
      <c r="Q611" s="165" t="s">
        <v>149</v>
      </c>
      <c r="R611" s="165" t="s">
        <v>151</v>
      </c>
      <c r="S611" s="165" t="s">
        <v>149</v>
      </c>
      <c r="T611" s="165" t="s">
        <v>149</v>
      </c>
      <c r="U611" s="165" t="s">
        <v>149</v>
      </c>
      <c r="V611" s="165" t="s">
        <v>149</v>
      </c>
      <c r="W611" s="165" t="s">
        <v>16</v>
      </c>
      <c r="X611" s="165" t="s">
        <v>16</v>
      </c>
      <c r="Y611" s="165" t="s">
        <v>149</v>
      </c>
      <c r="Z611" s="165" t="s">
        <v>149</v>
      </c>
      <c r="AA611" s="165" t="s">
        <v>149</v>
      </c>
      <c r="AB611" s="165" t="s">
        <v>151</v>
      </c>
      <c r="AC611" s="165" t="s">
        <v>150</v>
      </c>
      <c r="AD611" s="165" t="s">
        <v>16</v>
      </c>
      <c r="AE611" s="165" t="s">
        <v>1100</v>
      </c>
      <c r="AF611" s="165"/>
    </row>
    <row r="612" spans="1:32" x14ac:dyDescent="0.3">
      <c r="A612" s="165" t="s">
        <v>1101</v>
      </c>
      <c r="B612" s="165" t="s">
        <v>14</v>
      </c>
      <c r="C612" s="165" t="s">
        <v>1082</v>
      </c>
      <c r="D612" s="165" t="s">
        <v>15</v>
      </c>
      <c r="E612" s="157">
        <v>40998</v>
      </c>
      <c r="F612" s="165" t="s">
        <v>16</v>
      </c>
      <c r="G612" s="165" t="s">
        <v>16</v>
      </c>
      <c r="H612" s="165" t="s">
        <v>16</v>
      </c>
      <c r="I612" s="165" t="s">
        <v>16</v>
      </c>
      <c r="J612" s="165" t="s">
        <v>16</v>
      </c>
      <c r="K612" s="165" t="s">
        <v>16</v>
      </c>
      <c r="L612" s="165" t="s">
        <v>16</v>
      </c>
      <c r="M612" s="165" t="s">
        <v>16</v>
      </c>
      <c r="N612" s="165" t="s">
        <v>16</v>
      </c>
      <c r="O612" s="165" t="s">
        <v>16</v>
      </c>
      <c r="P612" s="165" t="s">
        <v>16</v>
      </c>
      <c r="Q612" s="165" t="s">
        <v>16</v>
      </c>
      <c r="R612" s="165" t="s">
        <v>16</v>
      </c>
      <c r="S612" s="165" t="s">
        <v>16</v>
      </c>
      <c r="T612" s="165" t="s">
        <v>16</v>
      </c>
      <c r="U612" s="165" t="s">
        <v>16</v>
      </c>
      <c r="V612" s="165" t="s">
        <v>16</v>
      </c>
      <c r="W612" s="165" t="s">
        <v>16</v>
      </c>
      <c r="X612" s="165" t="s">
        <v>16</v>
      </c>
      <c r="Y612" s="165" t="s">
        <v>16</v>
      </c>
      <c r="Z612" s="165" t="s">
        <v>16</v>
      </c>
      <c r="AA612" s="165" t="s">
        <v>16</v>
      </c>
      <c r="AB612" s="165" t="s">
        <v>16</v>
      </c>
      <c r="AC612" s="165" t="s">
        <v>16</v>
      </c>
      <c r="AD612" s="165" t="s">
        <v>16</v>
      </c>
      <c r="AE612" s="165" t="s">
        <v>1088</v>
      </c>
      <c r="AF612" s="165"/>
    </row>
    <row r="613" spans="1:32" x14ac:dyDescent="0.3">
      <c r="A613" s="165" t="s">
        <v>1102</v>
      </c>
      <c r="B613" s="165" t="s">
        <v>14</v>
      </c>
      <c r="C613" s="165" t="s">
        <v>1082</v>
      </c>
      <c r="D613" s="165" t="s">
        <v>15</v>
      </c>
      <c r="E613" s="157">
        <v>40998</v>
      </c>
      <c r="F613" s="165" t="s">
        <v>16</v>
      </c>
      <c r="G613" s="165" t="s">
        <v>148</v>
      </c>
      <c r="H613" s="165" t="s">
        <v>16</v>
      </c>
      <c r="I613" s="165" t="s">
        <v>16</v>
      </c>
      <c r="J613" s="165" t="s">
        <v>16</v>
      </c>
      <c r="K613" s="165" t="s">
        <v>16</v>
      </c>
      <c r="L613" s="165" t="s">
        <v>16</v>
      </c>
      <c r="M613" s="165" t="s">
        <v>16</v>
      </c>
      <c r="N613" s="165" t="s">
        <v>16</v>
      </c>
      <c r="O613" s="165" t="s">
        <v>148</v>
      </c>
      <c r="P613" s="165" t="s">
        <v>148</v>
      </c>
      <c r="Q613" s="165" t="s">
        <v>16</v>
      </c>
      <c r="R613" s="165" t="s">
        <v>16</v>
      </c>
      <c r="S613" s="165" t="s">
        <v>16</v>
      </c>
      <c r="T613" s="165" t="s">
        <v>16</v>
      </c>
      <c r="U613" s="165" t="s">
        <v>16</v>
      </c>
      <c r="V613" s="165" t="s">
        <v>16</v>
      </c>
      <c r="W613" s="165" t="s">
        <v>16</v>
      </c>
      <c r="X613" s="165" t="s">
        <v>16</v>
      </c>
      <c r="Y613" s="165" t="s">
        <v>16</v>
      </c>
      <c r="Z613" s="165" t="s">
        <v>149</v>
      </c>
      <c r="AA613" s="165" t="s">
        <v>16</v>
      </c>
      <c r="AB613" s="165" t="s">
        <v>16</v>
      </c>
      <c r="AC613" s="165" t="s">
        <v>16</v>
      </c>
      <c r="AD613" s="165" t="s">
        <v>16</v>
      </c>
      <c r="AE613" s="165" t="s">
        <v>1103</v>
      </c>
      <c r="AF613" s="165" t="s">
        <v>1104</v>
      </c>
    </row>
    <row r="614" spans="1:32" x14ac:dyDescent="0.3">
      <c r="A614" s="165" t="s">
        <v>1105</v>
      </c>
      <c r="B614" s="165" t="s">
        <v>14</v>
      </c>
      <c r="C614" s="165" t="s">
        <v>1082</v>
      </c>
      <c r="D614" s="165" t="s">
        <v>15</v>
      </c>
      <c r="E614" s="157">
        <v>40998</v>
      </c>
      <c r="F614" s="165" t="s">
        <v>16</v>
      </c>
      <c r="G614" s="165" t="s">
        <v>149</v>
      </c>
      <c r="H614" s="165" t="s">
        <v>16</v>
      </c>
      <c r="I614" s="165" t="s">
        <v>16</v>
      </c>
      <c r="J614" s="165" t="s">
        <v>16</v>
      </c>
      <c r="K614" s="165" t="s">
        <v>16</v>
      </c>
      <c r="L614" s="165" t="s">
        <v>16</v>
      </c>
      <c r="M614" s="165" t="s">
        <v>16</v>
      </c>
      <c r="N614" s="165" t="s">
        <v>16</v>
      </c>
      <c r="O614" s="165" t="s">
        <v>16</v>
      </c>
      <c r="P614" s="165" t="s">
        <v>16</v>
      </c>
      <c r="Q614" s="165" t="s">
        <v>16</v>
      </c>
      <c r="R614" s="165" t="s">
        <v>16</v>
      </c>
      <c r="S614" s="165" t="s">
        <v>16</v>
      </c>
      <c r="T614" s="165" t="s">
        <v>16</v>
      </c>
      <c r="U614" s="165" t="s">
        <v>16</v>
      </c>
      <c r="V614" s="165" t="s">
        <v>16</v>
      </c>
      <c r="W614" s="165" t="s">
        <v>16</v>
      </c>
      <c r="X614" s="165" t="s">
        <v>16</v>
      </c>
      <c r="Y614" s="165" t="s">
        <v>16</v>
      </c>
      <c r="Z614" s="165" t="s">
        <v>16</v>
      </c>
      <c r="AA614" s="165" t="s">
        <v>16</v>
      </c>
      <c r="AB614" s="165" t="s">
        <v>16</v>
      </c>
      <c r="AC614" s="165" t="s">
        <v>16</v>
      </c>
      <c r="AD614" s="165" t="s">
        <v>16</v>
      </c>
      <c r="AE614" s="165" t="s">
        <v>1088</v>
      </c>
      <c r="AF614" s="165"/>
    </row>
    <row r="615" spans="1:32" x14ac:dyDescent="0.3">
      <c r="A615" s="165" t="s">
        <v>1106</v>
      </c>
      <c r="B615" s="165" t="s">
        <v>14</v>
      </c>
      <c r="C615" s="165" t="s">
        <v>1082</v>
      </c>
      <c r="D615" s="165" t="s">
        <v>15</v>
      </c>
      <c r="E615" s="157">
        <v>40998</v>
      </c>
      <c r="F615" s="165" t="s">
        <v>148</v>
      </c>
      <c r="G615" s="165" t="s">
        <v>16</v>
      </c>
      <c r="H615" s="165" t="s">
        <v>148</v>
      </c>
      <c r="I615" s="165" t="s">
        <v>16</v>
      </c>
      <c r="J615" s="165" t="s">
        <v>16</v>
      </c>
      <c r="K615" s="165" t="s">
        <v>16</v>
      </c>
      <c r="L615" s="165" t="s">
        <v>16</v>
      </c>
      <c r="M615" s="165" t="s">
        <v>16</v>
      </c>
      <c r="N615" s="165" t="s">
        <v>148</v>
      </c>
      <c r="O615" s="165" t="s">
        <v>148</v>
      </c>
      <c r="P615" s="165" t="s">
        <v>16</v>
      </c>
      <c r="Q615" s="165" t="s">
        <v>148</v>
      </c>
      <c r="R615" s="165" t="s">
        <v>16</v>
      </c>
      <c r="S615" s="165" t="s">
        <v>16</v>
      </c>
      <c r="T615" s="165" t="s">
        <v>148</v>
      </c>
      <c r="U615" s="165" t="s">
        <v>16</v>
      </c>
      <c r="V615" s="165" t="s">
        <v>16</v>
      </c>
      <c r="W615" s="165" t="s">
        <v>16</v>
      </c>
      <c r="X615" s="165" t="s">
        <v>16</v>
      </c>
      <c r="Y615" s="165" t="s">
        <v>148</v>
      </c>
      <c r="Z615" s="165" t="s">
        <v>16</v>
      </c>
      <c r="AA615" s="165" t="s">
        <v>16</v>
      </c>
      <c r="AB615" s="165" t="s">
        <v>148</v>
      </c>
      <c r="AC615" s="165" t="s">
        <v>148</v>
      </c>
      <c r="AD615" s="165" t="s">
        <v>16</v>
      </c>
      <c r="AE615" s="165" t="s">
        <v>1090</v>
      </c>
      <c r="AF615" s="165"/>
    </row>
    <row r="616" spans="1:32" x14ac:dyDescent="0.3">
      <c r="A616" s="165" t="s">
        <v>1107</v>
      </c>
      <c r="B616" s="165" t="s">
        <v>14</v>
      </c>
      <c r="C616" s="165" t="s">
        <v>1082</v>
      </c>
      <c r="D616" s="165" t="s">
        <v>15</v>
      </c>
      <c r="E616" s="157">
        <v>40998</v>
      </c>
      <c r="F616" s="165" t="s">
        <v>16</v>
      </c>
      <c r="G616" s="165" t="s">
        <v>16</v>
      </c>
      <c r="H616" s="165" t="s">
        <v>16</v>
      </c>
      <c r="I616" s="165" t="s">
        <v>16</v>
      </c>
      <c r="J616" s="165" t="s">
        <v>16</v>
      </c>
      <c r="K616" s="165" t="s">
        <v>16</v>
      </c>
      <c r="L616" s="165" t="s">
        <v>16</v>
      </c>
      <c r="M616" s="165" t="s">
        <v>16</v>
      </c>
      <c r="N616" s="165" t="s">
        <v>16</v>
      </c>
      <c r="O616" s="165" t="s">
        <v>16</v>
      </c>
      <c r="P616" s="165" t="s">
        <v>16</v>
      </c>
      <c r="Q616" s="165" t="s">
        <v>16</v>
      </c>
      <c r="R616" s="165" t="s">
        <v>16</v>
      </c>
      <c r="S616" s="165" t="s">
        <v>16</v>
      </c>
      <c r="T616" s="165" t="s">
        <v>16</v>
      </c>
      <c r="U616" s="165" t="s">
        <v>16</v>
      </c>
      <c r="V616" s="165" t="s">
        <v>16</v>
      </c>
      <c r="W616" s="165" t="s">
        <v>16</v>
      </c>
      <c r="X616" s="165" t="s">
        <v>16</v>
      </c>
      <c r="Y616" s="165" t="s">
        <v>16</v>
      </c>
      <c r="Z616" s="165" t="s">
        <v>16</v>
      </c>
      <c r="AA616" s="165" t="s">
        <v>16</v>
      </c>
      <c r="AB616" s="165" t="s">
        <v>16</v>
      </c>
      <c r="AC616" s="165" t="s">
        <v>16</v>
      </c>
      <c r="AD616" s="165" t="s">
        <v>16</v>
      </c>
      <c r="AE616" s="165" t="s">
        <v>1108</v>
      </c>
      <c r="AF616" s="165" t="s">
        <v>1109</v>
      </c>
    </row>
    <row r="617" spans="1:32" x14ac:dyDescent="0.3">
      <c r="A617" s="165" t="s">
        <v>1110</v>
      </c>
      <c r="B617" s="165" t="s">
        <v>14</v>
      </c>
      <c r="C617" s="165" t="s">
        <v>1082</v>
      </c>
      <c r="D617" s="165" t="s">
        <v>15</v>
      </c>
      <c r="E617" s="157">
        <v>40998</v>
      </c>
      <c r="F617" s="165" t="s">
        <v>16</v>
      </c>
      <c r="G617" s="165" t="s">
        <v>16</v>
      </c>
      <c r="H617" s="165" t="s">
        <v>16</v>
      </c>
      <c r="I617" s="165" t="s">
        <v>16</v>
      </c>
      <c r="J617" s="165" t="s">
        <v>16</v>
      </c>
      <c r="K617" s="165" t="s">
        <v>16</v>
      </c>
      <c r="L617" s="165" t="s">
        <v>16</v>
      </c>
      <c r="M617" s="165" t="s">
        <v>16</v>
      </c>
      <c r="N617" s="165" t="s">
        <v>16</v>
      </c>
      <c r="O617" s="165" t="s">
        <v>16</v>
      </c>
      <c r="P617" s="165" t="s">
        <v>16</v>
      </c>
      <c r="Q617" s="165" t="s">
        <v>16</v>
      </c>
      <c r="R617" s="165" t="s">
        <v>16</v>
      </c>
      <c r="S617" s="165" t="s">
        <v>16</v>
      </c>
      <c r="T617" s="165" t="s">
        <v>16</v>
      </c>
      <c r="U617" s="165" t="s">
        <v>16</v>
      </c>
      <c r="V617" s="165" t="s">
        <v>16</v>
      </c>
      <c r="W617" s="165" t="s">
        <v>16</v>
      </c>
      <c r="X617" s="165" t="s">
        <v>16</v>
      </c>
      <c r="Y617" s="165" t="s">
        <v>16</v>
      </c>
      <c r="Z617" s="165" t="s">
        <v>16</v>
      </c>
      <c r="AA617" s="165" t="s">
        <v>16</v>
      </c>
      <c r="AB617" s="165" t="s">
        <v>16</v>
      </c>
      <c r="AC617" s="165" t="s">
        <v>16</v>
      </c>
      <c r="AD617" s="165" t="s">
        <v>16</v>
      </c>
      <c r="AE617" s="165" t="s">
        <v>1085</v>
      </c>
      <c r="AF617" s="165"/>
    </row>
    <row r="618" spans="1:32" x14ac:dyDescent="0.3">
      <c r="A618" s="165" t="s">
        <v>1111</v>
      </c>
      <c r="B618" s="165" t="s">
        <v>14</v>
      </c>
      <c r="C618" s="165" t="s">
        <v>1082</v>
      </c>
      <c r="D618" s="165" t="s">
        <v>15</v>
      </c>
      <c r="E618" s="157">
        <v>40998</v>
      </c>
      <c r="F618" s="165" t="s">
        <v>16</v>
      </c>
      <c r="G618" s="165" t="s">
        <v>16</v>
      </c>
      <c r="H618" s="165" t="s">
        <v>16</v>
      </c>
      <c r="I618" s="165" t="s">
        <v>16</v>
      </c>
      <c r="J618" s="165" t="s">
        <v>114</v>
      </c>
      <c r="K618" s="165" t="s">
        <v>16</v>
      </c>
      <c r="L618" s="165" t="s">
        <v>16</v>
      </c>
      <c r="M618" s="165" t="s">
        <v>16</v>
      </c>
      <c r="N618" s="165" t="s">
        <v>16</v>
      </c>
      <c r="O618" s="165" t="s">
        <v>16</v>
      </c>
      <c r="P618" s="165" t="s">
        <v>16</v>
      </c>
      <c r="Q618" s="165" t="s">
        <v>16</v>
      </c>
      <c r="R618" s="165" t="s">
        <v>16</v>
      </c>
      <c r="S618" s="165" t="s">
        <v>16</v>
      </c>
      <c r="T618" s="165" t="s">
        <v>16</v>
      </c>
      <c r="U618" s="165" t="s">
        <v>16</v>
      </c>
      <c r="V618" s="165" t="s">
        <v>16</v>
      </c>
      <c r="W618" s="165" t="s">
        <v>16</v>
      </c>
      <c r="X618" s="165" t="s">
        <v>16</v>
      </c>
      <c r="Y618" s="165" t="s">
        <v>114</v>
      </c>
      <c r="Z618" s="165" t="s">
        <v>16</v>
      </c>
      <c r="AA618" s="165" t="s">
        <v>16</v>
      </c>
      <c r="AB618" s="165" t="s">
        <v>16</v>
      </c>
      <c r="AC618" s="165" t="s">
        <v>16</v>
      </c>
      <c r="AD618" s="165" t="s">
        <v>16</v>
      </c>
      <c r="AE618" s="165" t="s">
        <v>1083</v>
      </c>
      <c r="AF618" s="165"/>
    </row>
    <row r="619" spans="1:32" x14ac:dyDescent="0.3">
      <c r="A619" s="165" t="s">
        <v>1112</v>
      </c>
      <c r="B619" s="165" t="s">
        <v>14</v>
      </c>
      <c r="C619" s="165" t="s">
        <v>1082</v>
      </c>
      <c r="D619" s="165" t="s">
        <v>15</v>
      </c>
      <c r="E619" s="157">
        <v>40998</v>
      </c>
      <c r="F619" s="165" t="s">
        <v>150</v>
      </c>
      <c r="G619" s="165" t="s">
        <v>16</v>
      </c>
      <c r="H619" s="165" t="s">
        <v>148</v>
      </c>
      <c r="I619" s="165" t="s">
        <v>148</v>
      </c>
      <c r="J619" s="165" t="s">
        <v>16</v>
      </c>
      <c r="K619" s="165" t="s">
        <v>150</v>
      </c>
      <c r="L619" s="165" t="s">
        <v>150</v>
      </c>
      <c r="M619" s="165" t="s">
        <v>148</v>
      </c>
      <c r="N619" s="165" t="s">
        <v>150</v>
      </c>
      <c r="O619" s="165" t="s">
        <v>148</v>
      </c>
      <c r="P619" s="165" t="s">
        <v>148</v>
      </c>
      <c r="Q619" s="165" t="s">
        <v>16</v>
      </c>
      <c r="R619" s="165" t="s">
        <v>148</v>
      </c>
      <c r="S619" s="165" t="s">
        <v>16</v>
      </c>
      <c r="T619" s="165" t="s">
        <v>16</v>
      </c>
      <c r="U619" s="165" t="s">
        <v>150</v>
      </c>
      <c r="V619" s="165" t="s">
        <v>16</v>
      </c>
      <c r="W619" s="165" t="s">
        <v>150</v>
      </c>
      <c r="X619" s="165" t="s">
        <v>150</v>
      </c>
      <c r="Y619" s="165" t="s">
        <v>148</v>
      </c>
      <c r="Z619" s="165" t="s">
        <v>16</v>
      </c>
      <c r="AA619" s="165" t="s">
        <v>148</v>
      </c>
      <c r="AB619" s="165" t="s">
        <v>16</v>
      </c>
      <c r="AC619" s="165" t="s">
        <v>148</v>
      </c>
      <c r="AD619" s="165" t="s">
        <v>148</v>
      </c>
      <c r="AE619" s="165" t="s">
        <v>1113</v>
      </c>
      <c r="AF619" s="165"/>
    </row>
    <row r="620" spans="1:32" x14ac:dyDescent="0.3">
      <c r="A620" s="165" t="s">
        <v>1114</v>
      </c>
      <c r="B620" s="165" t="s">
        <v>14</v>
      </c>
      <c r="C620" s="165" t="s">
        <v>1082</v>
      </c>
      <c r="D620" s="165" t="s">
        <v>15</v>
      </c>
      <c r="E620" s="157">
        <v>40998</v>
      </c>
      <c r="F620" s="165" t="s">
        <v>16</v>
      </c>
      <c r="G620" s="165" t="s">
        <v>16</v>
      </c>
      <c r="H620" s="165" t="s">
        <v>16</v>
      </c>
      <c r="I620" s="165" t="s">
        <v>16</v>
      </c>
      <c r="J620" s="165" t="s">
        <v>16</v>
      </c>
      <c r="K620" s="165" t="s">
        <v>16</v>
      </c>
      <c r="L620" s="165" t="s">
        <v>16</v>
      </c>
      <c r="M620" s="165" t="s">
        <v>16</v>
      </c>
      <c r="N620" s="165" t="s">
        <v>16</v>
      </c>
      <c r="O620" s="165" t="s">
        <v>16</v>
      </c>
      <c r="P620" s="165" t="s">
        <v>16</v>
      </c>
      <c r="Q620" s="165" t="s">
        <v>16</v>
      </c>
      <c r="R620" s="165" t="s">
        <v>16</v>
      </c>
      <c r="S620" s="165" t="s">
        <v>16</v>
      </c>
      <c r="T620" s="165" t="s">
        <v>16</v>
      </c>
      <c r="U620" s="165" t="s">
        <v>16</v>
      </c>
      <c r="V620" s="165" t="s">
        <v>16</v>
      </c>
      <c r="W620" s="165" t="s">
        <v>16</v>
      </c>
      <c r="X620" s="165" t="s">
        <v>16</v>
      </c>
      <c r="Y620" s="165" t="s">
        <v>16</v>
      </c>
      <c r="Z620" s="165" t="s">
        <v>16</v>
      </c>
      <c r="AA620" s="165" t="s">
        <v>16</v>
      </c>
      <c r="AB620" s="165" t="s">
        <v>16</v>
      </c>
      <c r="AC620" s="165" t="s">
        <v>16</v>
      </c>
      <c r="AD620" s="165" t="s">
        <v>16</v>
      </c>
      <c r="AE620" s="165" t="s">
        <v>1083</v>
      </c>
      <c r="AF620" s="165"/>
    </row>
    <row r="621" spans="1:32" x14ac:dyDescent="0.3">
      <c r="A621" s="165" t="s">
        <v>1115</v>
      </c>
      <c r="B621" s="165" t="s">
        <v>14</v>
      </c>
      <c r="C621" s="165" t="s">
        <v>1082</v>
      </c>
      <c r="D621" s="165" t="s">
        <v>15</v>
      </c>
      <c r="E621" s="157">
        <v>40998</v>
      </c>
      <c r="F621" s="165" t="s">
        <v>16</v>
      </c>
      <c r="G621" s="165" t="s">
        <v>16</v>
      </c>
      <c r="H621" s="165" t="s">
        <v>148</v>
      </c>
      <c r="I621" s="165" t="s">
        <v>148</v>
      </c>
      <c r="J621" s="165" t="s">
        <v>16</v>
      </c>
      <c r="K621" s="165" t="s">
        <v>16</v>
      </c>
      <c r="L621" s="165" t="s">
        <v>148</v>
      </c>
      <c r="M621" s="165" t="s">
        <v>16</v>
      </c>
      <c r="N621" s="165" t="s">
        <v>150</v>
      </c>
      <c r="O621" s="165" t="s">
        <v>148</v>
      </c>
      <c r="P621" s="165" t="s">
        <v>148</v>
      </c>
      <c r="Q621" s="165" t="s">
        <v>16</v>
      </c>
      <c r="R621" s="165" t="s">
        <v>16</v>
      </c>
      <c r="S621" s="165" t="s">
        <v>16</v>
      </c>
      <c r="T621" s="165" t="s">
        <v>16</v>
      </c>
      <c r="U621" s="165" t="s">
        <v>148</v>
      </c>
      <c r="V621" s="165" t="s">
        <v>16</v>
      </c>
      <c r="W621" s="165" t="s">
        <v>16</v>
      </c>
      <c r="X621" s="165" t="s">
        <v>16</v>
      </c>
      <c r="Y621" s="165" t="s">
        <v>16</v>
      </c>
      <c r="Z621" s="165" t="s">
        <v>16</v>
      </c>
      <c r="AA621" s="165" t="s">
        <v>16</v>
      </c>
      <c r="AB621" s="165" t="s">
        <v>148</v>
      </c>
      <c r="AC621" s="165" t="s">
        <v>148</v>
      </c>
      <c r="AD621" s="165" t="s">
        <v>148</v>
      </c>
      <c r="AE621" s="165" t="s">
        <v>1090</v>
      </c>
      <c r="AF621" s="165" t="s">
        <v>1116</v>
      </c>
    </row>
    <row r="622" spans="1:32" x14ac:dyDescent="0.3">
      <c r="A622" s="165" t="s">
        <v>1117</v>
      </c>
      <c r="B622" s="165" t="s">
        <v>14</v>
      </c>
      <c r="C622" s="165" t="s">
        <v>1082</v>
      </c>
      <c r="D622" s="165" t="s">
        <v>15</v>
      </c>
      <c r="E622" s="157">
        <v>40998</v>
      </c>
      <c r="F622" s="165" t="s">
        <v>16</v>
      </c>
      <c r="G622" s="165" t="s">
        <v>16</v>
      </c>
      <c r="H622" s="165" t="s">
        <v>149</v>
      </c>
      <c r="I622" s="165" t="s">
        <v>148</v>
      </c>
      <c r="J622" s="165" t="s">
        <v>148</v>
      </c>
      <c r="K622" s="165" t="s">
        <v>16</v>
      </c>
      <c r="L622" s="165" t="s">
        <v>16</v>
      </c>
      <c r="M622" s="165" t="s">
        <v>148</v>
      </c>
      <c r="N622" s="165" t="s">
        <v>148</v>
      </c>
      <c r="O622" s="165" t="s">
        <v>148</v>
      </c>
      <c r="P622" s="165" t="s">
        <v>148</v>
      </c>
      <c r="Q622" s="165" t="s">
        <v>16</v>
      </c>
      <c r="R622" s="165" t="s">
        <v>16</v>
      </c>
      <c r="S622" s="165" t="s">
        <v>148</v>
      </c>
      <c r="T622" s="165" t="s">
        <v>16</v>
      </c>
      <c r="U622" s="165" t="s">
        <v>148</v>
      </c>
      <c r="V622" s="165" t="s">
        <v>16</v>
      </c>
      <c r="W622" s="165" t="s">
        <v>148</v>
      </c>
      <c r="X622" s="165" t="s">
        <v>16</v>
      </c>
      <c r="Y622" s="165" t="s">
        <v>16</v>
      </c>
      <c r="Z622" s="165" t="s">
        <v>149</v>
      </c>
      <c r="AA622" s="165" t="s">
        <v>148</v>
      </c>
      <c r="AB622" s="165" t="s">
        <v>16</v>
      </c>
      <c r="AC622" s="165" t="s">
        <v>149</v>
      </c>
      <c r="AD622" s="165" t="s">
        <v>148</v>
      </c>
      <c r="AE622" s="165" t="s">
        <v>1083</v>
      </c>
      <c r="AF622" s="165"/>
    </row>
    <row r="623" spans="1:32" x14ac:dyDescent="0.3">
      <c r="A623" s="165" t="s">
        <v>1118</v>
      </c>
      <c r="B623" s="165" t="s">
        <v>14</v>
      </c>
      <c r="C623" s="165" t="s">
        <v>1082</v>
      </c>
      <c r="D623" s="165" t="s">
        <v>15</v>
      </c>
      <c r="E623" s="157">
        <v>40998</v>
      </c>
      <c r="F623" s="165" t="s">
        <v>16</v>
      </c>
      <c r="G623" s="165" t="s">
        <v>16</v>
      </c>
      <c r="H623" s="165" t="s">
        <v>16</v>
      </c>
      <c r="I623" s="165" t="s">
        <v>16</v>
      </c>
      <c r="J623" s="165" t="s">
        <v>16</v>
      </c>
      <c r="K623" s="165" t="s">
        <v>16</v>
      </c>
      <c r="L623" s="165" t="s">
        <v>148</v>
      </c>
      <c r="M623" s="165" t="s">
        <v>16</v>
      </c>
      <c r="N623" s="165" t="s">
        <v>16</v>
      </c>
      <c r="O623" s="165" t="s">
        <v>16</v>
      </c>
      <c r="P623" s="165" t="s">
        <v>16</v>
      </c>
      <c r="Q623" s="165" t="s">
        <v>16</v>
      </c>
      <c r="R623" s="165" t="s">
        <v>16</v>
      </c>
      <c r="S623" s="165" t="s">
        <v>149</v>
      </c>
      <c r="T623" s="165" t="s">
        <v>16</v>
      </c>
      <c r="U623" s="165" t="s">
        <v>16</v>
      </c>
      <c r="V623" s="165" t="s">
        <v>16</v>
      </c>
      <c r="W623" s="165" t="s">
        <v>16</v>
      </c>
      <c r="X623" s="165" t="s">
        <v>16</v>
      </c>
      <c r="Y623" s="165" t="s">
        <v>16</v>
      </c>
      <c r="Z623" s="165" t="s">
        <v>16</v>
      </c>
      <c r="AA623" s="165" t="s">
        <v>16</v>
      </c>
      <c r="AB623" s="165" t="s">
        <v>16</v>
      </c>
      <c r="AC623" s="165" t="s">
        <v>16</v>
      </c>
      <c r="AD623" s="165" t="s">
        <v>16</v>
      </c>
      <c r="AE623" s="165" t="s">
        <v>1083</v>
      </c>
      <c r="AF623" s="165"/>
    </row>
    <row r="624" spans="1:32" x14ac:dyDescent="0.3">
      <c r="A624" s="165" t="s">
        <v>1119</v>
      </c>
      <c r="B624" s="165" t="s">
        <v>14</v>
      </c>
      <c r="C624" s="165" t="s">
        <v>1082</v>
      </c>
      <c r="D624" s="165" t="s">
        <v>15</v>
      </c>
      <c r="E624" s="157">
        <v>40998</v>
      </c>
      <c r="F624" s="165" t="s">
        <v>16</v>
      </c>
      <c r="G624" s="165" t="s">
        <v>16</v>
      </c>
      <c r="H624" s="165" t="s">
        <v>16</v>
      </c>
      <c r="I624" s="165" t="s">
        <v>148</v>
      </c>
      <c r="J624" s="165" t="s">
        <v>16</v>
      </c>
      <c r="K624" s="165" t="s">
        <v>16</v>
      </c>
      <c r="L624" s="165" t="s">
        <v>148</v>
      </c>
      <c r="M624" s="165" t="s">
        <v>16</v>
      </c>
      <c r="N624" s="165" t="s">
        <v>16</v>
      </c>
      <c r="O624" s="165" t="s">
        <v>16</v>
      </c>
      <c r="P624" s="165" t="s">
        <v>148</v>
      </c>
      <c r="Q624" s="165" t="s">
        <v>16</v>
      </c>
      <c r="R624" s="165" t="s">
        <v>148</v>
      </c>
      <c r="S624" s="165" t="s">
        <v>16</v>
      </c>
      <c r="T624" s="165" t="s">
        <v>16</v>
      </c>
      <c r="U624" s="165" t="s">
        <v>148</v>
      </c>
      <c r="V624" s="165" t="s">
        <v>148</v>
      </c>
      <c r="W624" s="165" t="s">
        <v>16</v>
      </c>
      <c r="X624" s="165" t="s">
        <v>16</v>
      </c>
      <c r="Y624" s="165" t="s">
        <v>150</v>
      </c>
      <c r="Z624" s="165" t="s">
        <v>148</v>
      </c>
      <c r="AA624" s="165" t="s">
        <v>148</v>
      </c>
      <c r="AB624" s="165" t="s">
        <v>149</v>
      </c>
      <c r="AC624" s="165" t="s">
        <v>148</v>
      </c>
      <c r="AD624" s="165" t="s">
        <v>16</v>
      </c>
      <c r="AE624" s="165" t="s">
        <v>1088</v>
      </c>
      <c r="AF624" s="165"/>
    </row>
    <row r="625" spans="1:32" x14ac:dyDescent="0.3">
      <c r="A625" s="165" t="s">
        <v>1120</v>
      </c>
      <c r="B625" s="165" t="s">
        <v>14</v>
      </c>
      <c r="C625" s="165" t="s">
        <v>1082</v>
      </c>
      <c r="D625" s="165" t="s">
        <v>15</v>
      </c>
      <c r="E625" s="157">
        <v>40998</v>
      </c>
      <c r="F625" s="165" t="s">
        <v>16</v>
      </c>
      <c r="G625" s="165" t="s">
        <v>16</v>
      </c>
      <c r="H625" s="165" t="s">
        <v>16</v>
      </c>
      <c r="I625" s="165" t="s">
        <v>16</v>
      </c>
      <c r="J625" s="165" t="s">
        <v>16</v>
      </c>
      <c r="K625" s="165" t="s">
        <v>16</v>
      </c>
      <c r="L625" s="165" t="s">
        <v>148</v>
      </c>
      <c r="M625" s="165" t="s">
        <v>16</v>
      </c>
      <c r="N625" s="165" t="s">
        <v>148</v>
      </c>
      <c r="O625" s="165" t="s">
        <v>148</v>
      </c>
      <c r="P625" s="165" t="s">
        <v>16</v>
      </c>
      <c r="Q625" s="165" t="s">
        <v>16</v>
      </c>
      <c r="R625" s="165" t="s">
        <v>148</v>
      </c>
      <c r="S625" s="165" t="s">
        <v>16</v>
      </c>
      <c r="T625" s="165" t="s">
        <v>16</v>
      </c>
      <c r="U625" s="165" t="s">
        <v>16</v>
      </c>
      <c r="V625" s="165" t="s">
        <v>16</v>
      </c>
      <c r="W625" s="165" t="s">
        <v>16</v>
      </c>
      <c r="X625" s="165" t="s">
        <v>16</v>
      </c>
      <c r="Y625" s="165" t="s">
        <v>16</v>
      </c>
      <c r="Z625" s="165" t="s">
        <v>148</v>
      </c>
      <c r="AA625" s="165" t="s">
        <v>16</v>
      </c>
      <c r="AB625" s="165" t="s">
        <v>16</v>
      </c>
      <c r="AC625" s="165" t="s">
        <v>148</v>
      </c>
      <c r="AD625" s="165" t="s">
        <v>16</v>
      </c>
      <c r="AE625" s="165" t="s">
        <v>882</v>
      </c>
      <c r="AF625" s="165" t="s">
        <v>1121</v>
      </c>
    </row>
    <row r="626" spans="1:32" x14ac:dyDescent="0.3">
      <c r="A626" s="165" t="s">
        <v>1122</v>
      </c>
      <c r="B626" s="165" t="s">
        <v>14</v>
      </c>
      <c r="C626" s="165" t="s">
        <v>1082</v>
      </c>
      <c r="D626" s="165" t="s">
        <v>15</v>
      </c>
      <c r="E626" s="157">
        <v>40998</v>
      </c>
      <c r="F626" s="165" t="s">
        <v>16</v>
      </c>
      <c r="G626" s="165" t="s">
        <v>16</v>
      </c>
      <c r="H626" s="165" t="s">
        <v>16</v>
      </c>
      <c r="I626" s="165" t="s">
        <v>16</v>
      </c>
      <c r="J626" s="165" t="s">
        <v>16</v>
      </c>
      <c r="K626" s="165" t="s">
        <v>16</v>
      </c>
      <c r="L626" s="165" t="s">
        <v>16</v>
      </c>
      <c r="M626" s="165" t="s">
        <v>16</v>
      </c>
      <c r="N626" s="165" t="s">
        <v>16</v>
      </c>
      <c r="O626" s="165" t="s">
        <v>16</v>
      </c>
      <c r="P626" s="165" t="s">
        <v>16</v>
      </c>
      <c r="Q626" s="165" t="s">
        <v>16</v>
      </c>
      <c r="R626" s="165" t="s">
        <v>148</v>
      </c>
      <c r="S626" s="165" t="s">
        <v>16</v>
      </c>
      <c r="T626" s="165" t="s">
        <v>16</v>
      </c>
      <c r="U626" s="165" t="s">
        <v>16</v>
      </c>
      <c r="V626" s="165" t="s">
        <v>16</v>
      </c>
      <c r="W626" s="165" t="s">
        <v>16</v>
      </c>
      <c r="X626" s="165" t="s">
        <v>16</v>
      </c>
      <c r="Y626" s="165" t="s">
        <v>16</v>
      </c>
      <c r="Z626" s="165" t="s">
        <v>16</v>
      </c>
      <c r="AA626" s="165" t="s">
        <v>16</v>
      </c>
      <c r="AB626" s="165" t="s">
        <v>16</v>
      </c>
      <c r="AC626" s="165" t="s">
        <v>16</v>
      </c>
      <c r="AD626" s="165" t="s">
        <v>16</v>
      </c>
      <c r="AE626" s="165" t="s">
        <v>1088</v>
      </c>
      <c r="AF626" s="165"/>
    </row>
    <row r="627" spans="1:32" x14ac:dyDescent="0.3">
      <c r="A627" s="165" t="s">
        <v>1123</v>
      </c>
      <c r="B627" s="165" t="s">
        <v>14</v>
      </c>
      <c r="C627" s="165" t="s">
        <v>1082</v>
      </c>
      <c r="D627" s="165" t="s">
        <v>15</v>
      </c>
      <c r="E627" s="157">
        <v>40998</v>
      </c>
      <c r="F627" s="165" t="s">
        <v>16</v>
      </c>
      <c r="G627" s="165" t="s">
        <v>16</v>
      </c>
      <c r="H627" s="165" t="s">
        <v>16</v>
      </c>
      <c r="I627" s="165" t="s">
        <v>16</v>
      </c>
      <c r="J627" s="165" t="s">
        <v>16</v>
      </c>
      <c r="K627" s="165" t="s">
        <v>16</v>
      </c>
      <c r="L627" s="165" t="s">
        <v>16</v>
      </c>
      <c r="M627" s="165" t="s">
        <v>16</v>
      </c>
      <c r="N627" s="165" t="s">
        <v>148</v>
      </c>
      <c r="O627" s="165" t="s">
        <v>16</v>
      </c>
      <c r="P627" s="165" t="s">
        <v>16</v>
      </c>
      <c r="Q627" s="165" t="s">
        <v>16</v>
      </c>
      <c r="R627" s="165" t="s">
        <v>16</v>
      </c>
      <c r="S627" s="165" t="s">
        <v>148</v>
      </c>
      <c r="T627" s="165" t="s">
        <v>148</v>
      </c>
      <c r="U627" s="165" t="s">
        <v>16</v>
      </c>
      <c r="V627" s="165" t="s">
        <v>16</v>
      </c>
      <c r="W627" s="165" t="s">
        <v>148</v>
      </c>
      <c r="X627" s="165" t="s">
        <v>16</v>
      </c>
      <c r="Y627" s="165" t="s">
        <v>16</v>
      </c>
      <c r="Z627" s="165" t="s">
        <v>16</v>
      </c>
      <c r="AA627" s="165" t="s">
        <v>16</v>
      </c>
      <c r="AB627" s="165" t="s">
        <v>16</v>
      </c>
      <c r="AC627" s="165" t="s">
        <v>16</v>
      </c>
      <c r="AD627" s="165" t="s">
        <v>16</v>
      </c>
      <c r="AE627" s="165" t="s">
        <v>1083</v>
      </c>
      <c r="AF627" s="165"/>
    </row>
    <row r="628" spans="1:32" x14ac:dyDescent="0.3">
      <c r="A628" s="165" t="s">
        <v>1124</v>
      </c>
      <c r="B628" s="165" t="s">
        <v>14</v>
      </c>
      <c r="C628" s="165" t="s">
        <v>1082</v>
      </c>
      <c r="D628" s="165" t="s">
        <v>15</v>
      </c>
      <c r="E628" s="157">
        <v>40998</v>
      </c>
      <c r="F628" s="165" t="s">
        <v>16</v>
      </c>
      <c r="G628" s="165" t="s">
        <v>16</v>
      </c>
      <c r="H628" s="165" t="s">
        <v>16</v>
      </c>
      <c r="I628" s="165" t="s">
        <v>16</v>
      </c>
      <c r="J628" s="165" t="s">
        <v>16</v>
      </c>
      <c r="K628" s="165" t="s">
        <v>16</v>
      </c>
      <c r="L628" s="165" t="s">
        <v>16</v>
      </c>
      <c r="M628" s="165" t="s">
        <v>16</v>
      </c>
      <c r="N628" s="165" t="s">
        <v>16</v>
      </c>
      <c r="O628" s="165" t="s">
        <v>16</v>
      </c>
      <c r="P628" s="165" t="s">
        <v>16</v>
      </c>
      <c r="Q628" s="165" t="s">
        <v>16</v>
      </c>
      <c r="R628" s="165" t="s">
        <v>16</v>
      </c>
      <c r="S628" s="165" t="s">
        <v>16</v>
      </c>
      <c r="T628" s="165" t="s">
        <v>16</v>
      </c>
      <c r="U628" s="165" t="s">
        <v>16</v>
      </c>
      <c r="V628" s="165" t="s">
        <v>16</v>
      </c>
      <c r="W628" s="165" t="s">
        <v>16</v>
      </c>
      <c r="X628" s="165" t="s">
        <v>16</v>
      </c>
      <c r="Y628" s="165" t="s">
        <v>16</v>
      </c>
      <c r="Z628" s="165" t="s">
        <v>16</v>
      </c>
      <c r="AA628" s="165" t="s">
        <v>16</v>
      </c>
      <c r="AB628" s="165" t="s">
        <v>16</v>
      </c>
      <c r="AC628" s="165" t="s">
        <v>16</v>
      </c>
      <c r="AD628" s="165" t="s">
        <v>16</v>
      </c>
      <c r="AE628" s="165"/>
      <c r="AF628" s="165"/>
    </row>
    <row r="629" spans="1:32" x14ac:dyDescent="0.3">
      <c r="A629" s="165" t="s">
        <v>1125</v>
      </c>
      <c r="B629" s="165" t="s">
        <v>14</v>
      </c>
      <c r="C629" s="165" t="s">
        <v>1082</v>
      </c>
      <c r="D629" s="165" t="s">
        <v>15</v>
      </c>
      <c r="E629" s="157">
        <v>40998</v>
      </c>
      <c r="F629" s="165" t="s">
        <v>148</v>
      </c>
      <c r="G629" s="165" t="s">
        <v>16</v>
      </c>
      <c r="H629" s="165" t="s">
        <v>16</v>
      </c>
      <c r="I629" s="165" t="s">
        <v>148</v>
      </c>
      <c r="J629" s="165" t="s">
        <v>16</v>
      </c>
      <c r="K629" s="165" t="s">
        <v>16</v>
      </c>
      <c r="L629" s="165" t="s">
        <v>148</v>
      </c>
      <c r="M629" s="165" t="s">
        <v>148</v>
      </c>
      <c r="N629" s="165" t="s">
        <v>16</v>
      </c>
      <c r="O629" s="165" t="s">
        <v>148</v>
      </c>
      <c r="P629" s="165" t="s">
        <v>148</v>
      </c>
      <c r="Q629" s="165" t="s">
        <v>16</v>
      </c>
      <c r="R629" s="165" t="s">
        <v>16</v>
      </c>
      <c r="S629" s="165" t="s">
        <v>16</v>
      </c>
      <c r="T629" s="165" t="s">
        <v>148</v>
      </c>
      <c r="U629" s="165" t="s">
        <v>16</v>
      </c>
      <c r="V629" s="165" t="s">
        <v>16</v>
      </c>
      <c r="W629" s="165" t="s">
        <v>148</v>
      </c>
      <c r="X629" s="165" t="s">
        <v>148</v>
      </c>
      <c r="Y629" s="165" t="s">
        <v>148</v>
      </c>
      <c r="Z629" s="165" t="s">
        <v>148</v>
      </c>
      <c r="AA629" s="165" t="s">
        <v>148</v>
      </c>
      <c r="AB629" s="165" t="s">
        <v>16</v>
      </c>
      <c r="AC629" s="165" t="s">
        <v>16</v>
      </c>
      <c r="AD629" s="165" t="s">
        <v>16</v>
      </c>
      <c r="AE629" s="165" t="s">
        <v>1103</v>
      </c>
      <c r="AF629" s="165"/>
    </row>
    <row r="630" spans="1:32" x14ac:dyDescent="0.3">
      <c r="A630" s="165" t="s">
        <v>1126</v>
      </c>
      <c r="B630" s="165" t="s">
        <v>14</v>
      </c>
      <c r="C630" s="165" t="s">
        <v>1082</v>
      </c>
      <c r="D630" s="165" t="s">
        <v>15</v>
      </c>
      <c r="E630" s="157">
        <v>40998</v>
      </c>
      <c r="F630" s="165" t="s">
        <v>16</v>
      </c>
      <c r="G630" s="165" t="s">
        <v>16</v>
      </c>
      <c r="H630" s="165" t="s">
        <v>148</v>
      </c>
      <c r="I630" s="165" t="s">
        <v>16</v>
      </c>
      <c r="J630" s="165" t="s">
        <v>148</v>
      </c>
      <c r="K630" s="165" t="s">
        <v>16</v>
      </c>
      <c r="L630" s="165" t="s">
        <v>16</v>
      </c>
      <c r="M630" s="165" t="s">
        <v>148</v>
      </c>
      <c r="N630" s="165" t="s">
        <v>16</v>
      </c>
      <c r="O630" s="165" t="s">
        <v>16</v>
      </c>
      <c r="P630" s="165" t="s">
        <v>16</v>
      </c>
      <c r="Q630" s="165" t="s">
        <v>16</v>
      </c>
      <c r="R630" s="165" t="s">
        <v>16</v>
      </c>
      <c r="S630" s="165" t="s">
        <v>148</v>
      </c>
      <c r="T630" s="165" t="s">
        <v>148</v>
      </c>
      <c r="U630" s="165" t="s">
        <v>16</v>
      </c>
      <c r="V630" s="165" t="s">
        <v>16</v>
      </c>
      <c r="W630" s="165" t="s">
        <v>148</v>
      </c>
      <c r="X630" s="165" t="s">
        <v>16</v>
      </c>
      <c r="Y630" s="165" t="s">
        <v>16</v>
      </c>
      <c r="Z630" s="165" t="s">
        <v>16</v>
      </c>
      <c r="AA630" s="165" t="s">
        <v>16</v>
      </c>
      <c r="AB630" s="165" t="s">
        <v>16</v>
      </c>
      <c r="AC630" s="165" t="s">
        <v>148</v>
      </c>
      <c r="AD630" s="165" t="s">
        <v>148</v>
      </c>
      <c r="AE630" s="165" t="s">
        <v>1085</v>
      </c>
      <c r="AF630" s="165"/>
    </row>
    <row r="631" spans="1:32" x14ac:dyDescent="0.3">
      <c r="A631" s="165" t="s">
        <v>1127</v>
      </c>
      <c r="B631" s="165" t="s">
        <v>14</v>
      </c>
      <c r="C631" s="165" t="s">
        <v>1082</v>
      </c>
      <c r="D631" s="165" t="s">
        <v>15</v>
      </c>
      <c r="E631" s="157">
        <v>40998</v>
      </c>
      <c r="F631" s="165" t="s">
        <v>16</v>
      </c>
      <c r="G631" s="165" t="s">
        <v>16</v>
      </c>
      <c r="H631" s="165" t="s">
        <v>16</v>
      </c>
      <c r="I631" s="165" t="s">
        <v>148</v>
      </c>
      <c r="J631" s="165" t="s">
        <v>148</v>
      </c>
      <c r="K631" s="165" t="s">
        <v>148</v>
      </c>
      <c r="L631" s="165" t="s">
        <v>148</v>
      </c>
      <c r="M631" s="165" t="s">
        <v>148</v>
      </c>
      <c r="N631" s="165" t="s">
        <v>148</v>
      </c>
      <c r="O631" s="165" t="s">
        <v>148</v>
      </c>
      <c r="P631" s="165" t="s">
        <v>148</v>
      </c>
      <c r="Q631" s="165" t="s">
        <v>16</v>
      </c>
      <c r="R631" s="165" t="s">
        <v>16</v>
      </c>
      <c r="S631" s="165" t="s">
        <v>16</v>
      </c>
      <c r="T631" s="165" t="s">
        <v>16</v>
      </c>
      <c r="U631" s="165" t="s">
        <v>16</v>
      </c>
      <c r="V631" s="165" t="s">
        <v>16</v>
      </c>
      <c r="W631" s="165" t="s">
        <v>16</v>
      </c>
      <c r="X631" s="165" t="s">
        <v>148</v>
      </c>
      <c r="Y631" s="165" t="s">
        <v>148</v>
      </c>
      <c r="Z631" s="165" t="s">
        <v>148</v>
      </c>
      <c r="AA631" s="165" t="s">
        <v>148</v>
      </c>
      <c r="AB631" s="165" t="s">
        <v>16</v>
      </c>
      <c r="AC631" s="165" t="s">
        <v>16</v>
      </c>
      <c r="AD631" s="165" t="s">
        <v>148</v>
      </c>
      <c r="AE631" s="165" t="s">
        <v>1085</v>
      </c>
      <c r="AF631" s="165"/>
    </row>
    <row r="632" spans="1:32" x14ac:dyDescent="0.3">
      <c r="A632" s="165" t="s">
        <v>1128</v>
      </c>
      <c r="B632" s="165" t="s">
        <v>14</v>
      </c>
      <c r="C632" s="165" t="s">
        <v>1082</v>
      </c>
      <c r="D632" s="165" t="s">
        <v>15</v>
      </c>
      <c r="E632" s="157">
        <v>40998</v>
      </c>
      <c r="F632" s="165" t="s">
        <v>148</v>
      </c>
      <c r="G632" s="165" t="s">
        <v>148</v>
      </c>
      <c r="H632" s="165" t="s">
        <v>149</v>
      </c>
      <c r="I632" s="165" t="s">
        <v>16</v>
      </c>
      <c r="J632" s="165" t="s">
        <v>16</v>
      </c>
      <c r="K632" s="165" t="s">
        <v>16</v>
      </c>
      <c r="L632" s="165" t="s">
        <v>16</v>
      </c>
      <c r="M632" s="165" t="s">
        <v>16</v>
      </c>
      <c r="N632" s="165" t="s">
        <v>16</v>
      </c>
      <c r="O632" s="165" t="s">
        <v>148</v>
      </c>
      <c r="P632" s="165" t="s">
        <v>148</v>
      </c>
      <c r="Q632" s="165" t="s">
        <v>16</v>
      </c>
      <c r="R632" s="165" t="s">
        <v>16</v>
      </c>
      <c r="S632" s="165" t="s">
        <v>16</v>
      </c>
      <c r="T632" s="165" t="s">
        <v>16</v>
      </c>
      <c r="U632" s="165" t="s">
        <v>16</v>
      </c>
      <c r="V632" s="165" t="s">
        <v>16</v>
      </c>
      <c r="W632" s="165" t="s">
        <v>148</v>
      </c>
      <c r="X632" s="165" t="s">
        <v>16</v>
      </c>
      <c r="Y632" s="165" t="s">
        <v>16</v>
      </c>
      <c r="Z632" s="165" t="s">
        <v>16</v>
      </c>
      <c r="AA632" s="165" t="s">
        <v>16</v>
      </c>
      <c r="AB632" s="165" t="s">
        <v>16</v>
      </c>
      <c r="AC632" s="165" t="s">
        <v>16</v>
      </c>
      <c r="AD632" s="165" t="s">
        <v>16</v>
      </c>
      <c r="AE632" s="165" t="s">
        <v>1103</v>
      </c>
      <c r="AF632" s="165"/>
    </row>
    <row r="635" spans="1:32" x14ac:dyDescent="0.3">
      <c r="A635" s="165"/>
      <c r="B635" s="165"/>
      <c r="C635" s="165"/>
      <c r="D635" s="165"/>
      <c r="E635" s="165"/>
      <c r="F635" s="165" t="s">
        <v>124</v>
      </c>
      <c r="G635" s="165" t="s">
        <v>125</v>
      </c>
      <c r="H635" s="165" t="s">
        <v>126</v>
      </c>
      <c r="I635" s="165" t="s">
        <v>127</v>
      </c>
      <c r="J635" s="165" t="s">
        <v>214</v>
      </c>
      <c r="K635" s="165" t="s">
        <v>128</v>
      </c>
      <c r="L635" s="165" t="s">
        <v>129</v>
      </c>
      <c r="M635" s="165" t="s">
        <v>130</v>
      </c>
      <c r="N635" s="165" t="s">
        <v>131</v>
      </c>
      <c r="O635" s="165" t="s">
        <v>132</v>
      </c>
      <c r="P635" s="165" t="s">
        <v>133</v>
      </c>
      <c r="Q635" s="165" t="s">
        <v>134</v>
      </c>
      <c r="R635" s="165" t="s">
        <v>135</v>
      </c>
      <c r="S635" s="165" t="s">
        <v>136</v>
      </c>
      <c r="T635" s="165" t="s">
        <v>137</v>
      </c>
      <c r="U635" s="165" t="s">
        <v>138</v>
      </c>
      <c r="V635" s="165" t="s">
        <v>139</v>
      </c>
      <c r="W635" s="165" t="s">
        <v>140</v>
      </c>
      <c r="X635" s="165" t="s">
        <v>186</v>
      </c>
      <c r="Y635" s="165" t="s">
        <v>209</v>
      </c>
      <c r="Z635" s="165" t="s">
        <v>141</v>
      </c>
      <c r="AA635" s="165" t="s">
        <v>142</v>
      </c>
      <c r="AB635" s="165" t="s">
        <v>210</v>
      </c>
      <c r="AC635" s="165" t="s">
        <v>143</v>
      </c>
      <c r="AD635" s="165" t="s">
        <v>144</v>
      </c>
      <c r="AE635" s="165" t="s">
        <v>1129</v>
      </c>
      <c r="AF635" s="165" t="s">
        <v>190</v>
      </c>
    </row>
    <row r="636" spans="1:32" x14ac:dyDescent="0.3">
      <c r="A636" s="165" t="s">
        <v>1130</v>
      </c>
      <c r="B636" s="165" t="s">
        <v>14</v>
      </c>
      <c r="C636" s="165" t="s">
        <v>1131</v>
      </c>
      <c r="D636" s="165" t="s">
        <v>15</v>
      </c>
      <c r="E636" s="157">
        <v>41028</v>
      </c>
      <c r="F636" s="165" t="s">
        <v>16</v>
      </c>
      <c r="G636" s="165" t="s">
        <v>148</v>
      </c>
      <c r="H636" s="165" t="s">
        <v>150</v>
      </c>
      <c r="I636" s="165" t="s">
        <v>148</v>
      </c>
      <c r="J636" s="165" t="s">
        <v>150</v>
      </c>
      <c r="K636" s="165" t="s">
        <v>148</v>
      </c>
      <c r="L636" s="165" t="s">
        <v>148</v>
      </c>
      <c r="M636" s="165" t="s">
        <v>148</v>
      </c>
      <c r="N636" s="165" t="s">
        <v>150</v>
      </c>
      <c r="O636" s="165" t="s">
        <v>150</v>
      </c>
      <c r="P636" s="165" t="s">
        <v>148</v>
      </c>
      <c r="Q636" s="165" t="s">
        <v>148</v>
      </c>
      <c r="R636" s="165" t="s">
        <v>148</v>
      </c>
      <c r="S636" s="165" t="s">
        <v>148</v>
      </c>
      <c r="T636" s="165" t="s">
        <v>148</v>
      </c>
      <c r="U636" s="165" t="s">
        <v>148</v>
      </c>
      <c r="V636" s="165" t="s">
        <v>16</v>
      </c>
      <c r="W636" s="165" t="s">
        <v>16</v>
      </c>
      <c r="X636" s="165" t="s">
        <v>148</v>
      </c>
      <c r="Y636" s="165" t="s">
        <v>148</v>
      </c>
      <c r="Z636" s="165" t="s">
        <v>16</v>
      </c>
      <c r="AA636" s="165" t="s">
        <v>16</v>
      </c>
      <c r="AB636" s="165" t="s">
        <v>148</v>
      </c>
      <c r="AC636" s="165" t="s">
        <v>148</v>
      </c>
      <c r="AD636" s="165" t="s">
        <v>148</v>
      </c>
      <c r="AE636" s="165" t="s">
        <v>1132</v>
      </c>
      <c r="AF636" s="165"/>
    </row>
    <row r="637" spans="1:32" x14ac:dyDescent="0.3">
      <c r="A637" s="165" t="s">
        <v>1133</v>
      </c>
      <c r="B637" s="165" t="s">
        <v>14</v>
      </c>
      <c r="C637" s="165" t="s">
        <v>1131</v>
      </c>
      <c r="D637" s="165" t="s">
        <v>15</v>
      </c>
      <c r="E637" s="157">
        <v>41028</v>
      </c>
      <c r="F637" s="165" t="s">
        <v>149</v>
      </c>
      <c r="G637" s="165" t="s">
        <v>149</v>
      </c>
      <c r="H637" s="165" t="s">
        <v>16</v>
      </c>
      <c r="I637" s="165" t="s">
        <v>150</v>
      </c>
      <c r="J637" s="165" t="s">
        <v>148</v>
      </c>
      <c r="K637" s="165" t="s">
        <v>16</v>
      </c>
      <c r="L637" s="165" t="s">
        <v>16</v>
      </c>
      <c r="M637" s="165" t="s">
        <v>149</v>
      </c>
      <c r="N637" s="165" t="s">
        <v>150</v>
      </c>
      <c r="O637" s="165" t="s">
        <v>148</v>
      </c>
      <c r="P637" s="165" t="s">
        <v>150</v>
      </c>
      <c r="Q637" s="165" t="s">
        <v>148</v>
      </c>
      <c r="R637" s="165" t="s">
        <v>149</v>
      </c>
      <c r="S637" s="165" t="s">
        <v>148</v>
      </c>
      <c r="T637" s="165" t="s">
        <v>148</v>
      </c>
      <c r="U637" s="165" t="s">
        <v>16</v>
      </c>
      <c r="V637" s="165" t="s">
        <v>149</v>
      </c>
      <c r="W637" s="165" t="s">
        <v>149</v>
      </c>
      <c r="X637" s="165" t="s">
        <v>16</v>
      </c>
      <c r="Y637" s="165" t="s">
        <v>16</v>
      </c>
      <c r="Z637" s="165" t="s">
        <v>16</v>
      </c>
      <c r="AA637" s="165" t="s">
        <v>148</v>
      </c>
      <c r="AB637" s="165" t="s">
        <v>16</v>
      </c>
      <c r="AC637" s="165" t="s">
        <v>148</v>
      </c>
      <c r="AD637" s="165" t="s">
        <v>148</v>
      </c>
      <c r="AE637" s="165" t="s">
        <v>1134</v>
      </c>
      <c r="AF637" s="165"/>
    </row>
    <row r="638" spans="1:32" x14ac:dyDescent="0.3">
      <c r="A638" s="165" t="s">
        <v>1135</v>
      </c>
      <c r="B638" s="165" t="s">
        <v>14</v>
      </c>
      <c r="C638" s="165" t="s">
        <v>1131</v>
      </c>
      <c r="D638" s="165" t="s">
        <v>15</v>
      </c>
      <c r="E638" s="157">
        <v>41028</v>
      </c>
      <c r="F638" s="165" t="s">
        <v>16</v>
      </c>
      <c r="G638" s="165" t="s">
        <v>16</v>
      </c>
      <c r="H638" s="165" t="s">
        <v>16</v>
      </c>
      <c r="I638" s="165" t="s">
        <v>148</v>
      </c>
      <c r="J638" s="165" t="s">
        <v>16</v>
      </c>
      <c r="K638" s="165" t="s">
        <v>16</v>
      </c>
      <c r="L638" s="165" t="s">
        <v>16</v>
      </c>
      <c r="M638" s="165" t="s">
        <v>148</v>
      </c>
      <c r="N638" s="165" t="s">
        <v>148</v>
      </c>
      <c r="O638" s="165" t="s">
        <v>148</v>
      </c>
      <c r="P638" s="165" t="s">
        <v>148</v>
      </c>
      <c r="Q638" s="165" t="s">
        <v>16</v>
      </c>
      <c r="R638" s="165" t="s">
        <v>148</v>
      </c>
      <c r="S638" s="165" t="s">
        <v>148</v>
      </c>
      <c r="T638" s="165" t="s">
        <v>16</v>
      </c>
      <c r="U638" s="165" t="s">
        <v>148</v>
      </c>
      <c r="V638" s="165" t="s">
        <v>16</v>
      </c>
      <c r="W638" s="165" t="s">
        <v>148</v>
      </c>
      <c r="X638" s="165" t="s">
        <v>16</v>
      </c>
      <c r="Y638" s="165" t="s">
        <v>16</v>
      </c>
      <c r="Z638" s="165" t="s">
        <v>148</v>
      </c>
      <c r="AA638" s="165" t="s">
        <v>148</v>
      </c>
      <c r="AB638" s="165" t="s">
        <v>148</v>
      </c>
      <c r="AC638" s="165" t="s">
        <v>148</v>
      </c>
      <c r="AD638" s="165" t="s">
        <v>16</v>
      </c>
      <c r="AE638" s="165" t="s">
        <v>1134</v>
      </c>
      <c r="AF638" s="165"/>
    </row>
    <row r="639" spans="1:32" x14ac:dyDescent="0.3">
      <c r="A639" s="165" t="s">
        <v>1136</v>
      </c>
      <c r="B639" s="165" t="s">
        <v>14</v>
      </c>
      <c r="C639" s="165" t="s">
        <v>1131</v>
      </c>
      <c r="D639" s="165" t="s">
        <v>15</v>
      </c>
      <c r="E639" s="157">
        <v>41028</v>
      </c>
      <c r="F639" s="165" t="s">
        <v>148</v>
      </c>
      <c r="G639" s="165" t="s">
        <v>16</v>
      </c>
      <c r="H639" s="165" t="s">
        <v>16</v>
      </c>
      <c r="I639" s="165" t="s">
        <v>148</v>
      </c>
      <c r="J639" s="165" t="s">
        <v>148</v>
      </c>
      <c r="K639" s="165" t="s">
        <v>149</v>
      </c>
      <c r="L639" s="165" t="s">
        <v>16</v>
      </c>
      <c r="M639" s="165" t="s">
        <v>148</v>
      </c>
      <c r="N639" s="165" t="s">
        <v>148</v>
      </c>
      <c r="O639" s="165" t="s">
        <v>16</v>
      </c>
      <c r="P639" s="165" t="s">
        <v>148</v>
      </c>
      <c r="Q639" s="165" t="s">
        <v>16</v>
      </c>
      <c r="R639" s="165" t="s">
        <v>16</v>
      </c>
      <c r="S639" s="165" t="s">
        <v>148</v>
      </c>
      <c r="T639" s="165" t="s">
        <v>148</v>
      </c>
      <c r="U639" s="165" t="s">
        <v>16</v>
      </c>
      <c r="V639" s="165" t="s">
        <v>16</v>
      </c>
      <c r="W639" s="165" t="s">
        <v>16</v>
      </c>
      <c r="X639" s="165" t="s">
        <v>16</v>
      </c>
      <c r="Y639" s="165" t="s">
        <v>16</v>
      </c>
      <c r="Z639" s="165" t="s">
        <v>148</v>
      </c>
      <c r="AA639" s="165" t="s">
        <v>16</v>
      </c>
      <c r="AB639" s="165" t="s">
        <v>16</v>
      </c>
      <c r="AC639" s="165" t="s">
        <v>16</v>
      </c>
      <c r="AD639" s="165" t="s">
        <v>16</v>
      </c>
      <c r="AE639" s="165" t="s">
        <v>1134</v>
      </c>
      <c r="AF639" s="165"/>
    </row>
    <row r="640" spans="1:32" x14ac:dyDescent="0.3">
      <c r="A640" s="165" t="s">
        <v>1137</v>
      </c>
      <c r="B640" s="165" t="s">
        <v>14</v>
      </c>
      <c r="C640" s="165" t="s">
        <v>1131</v>
      </c>
      <c r="D640" s="165" t="s">
        <v>15</v>
      </c>
      <c r="E640" s="157">
        <v>41028</v>
      </c>
      <c r="F640" s="165" t="s">
        <v>16</v>
      </c>
      <c r="G640" s="165" t="s">
        <v>16</v>
      </c>
      <c r="H640" s="165" t="s">
        <v>16</v>
      </c>
      <c r="I640" s="165" t="s">
        <v>16</v>
      </c>
      <c r="J640" s="165" t="s">
        <v>16</v>
      </c>
      <c r="K640" s="165" t="s">
        <v>16</v>
      </c>
      <c r="L640" s="165" t="s">
        <v>16</v>
      </c>
      <c r="M640" s="165" t="s">
        <v>16</v>
      </c>
      <c r="N640" s="165" t="s">
        <v>16</v>
      </c>
      <c r="O640" s="165" t="s">
        <v>16</v>
      </c>
      <c r="P640" s="165" t="s">
        <v>16</v>
      </c>
      <c r="Q640" s="165" t="s">
        <v>16</v>
      </c>
      <c r="R640" s="165" t="s">
        <v>16</v>
      </c>
      <c r="S640" s="165" t="s">
        <v>16</v>
      </c>
      <c r="T640" s="165" t="s">
        <v>16</v>
      </c>
      <c r="U640" s="165" t="s">
        <v>16</v>
      </c>
      <c r="V640" s="165" t="s">
        <v>16</v>
      </c>
      <c r="W640" s="165" t="s">
        <v>16</v>
      </c>
      <c r="X640" s="165" t="s">
        <v>16</v>
      </c>
      <c r="Y640" s="165" t="s">
        <v>16</v>
      </c>
      <c r="Z640" s="165" t="s">
        <v>16</v>
      </c>
      <c r="AA640" s="165" t="s">
        <v>16</v>
      </c>
      <c r="AB640" s="165" t="s">
        <v>16</v>
      </c>
      <c r="AC640" s="165" t="s">
        <v>16</v>
      </c>
      <c r="AD640" s="165" t="s">
        <v>16</v>
      </c>
      <c r="AE640" s="165" t="s">
        <v>1138</v>
      </c>
      <c r="AF640" s="165"/>
    </row>
    <row r="641" spans="1:32" x14ac:dyDescent="0.3">
      <c r="A641" s="165" t="s">
        <v>1139</v>
      </c>
      <c r="B641" s="165" t="s">
        <v>1140</v>
      </c>
      <c r="C641" s="165" t="s">
        <v>1131</v>
      </c>
      <c r="D641" s="165" t="s">
        <v>15</v>
      </c>
      <c r="E641" s="157">
        <v>41028</v>
      </c>
      <c r="F641" s="165" t="s">
        <v>16</v>
      </c>
      <c r="G641" s="165" t="s">
        <v>16</v>
      </c>
      <c r="H641" s="165" t="s">
        <v>150</v>
      </c>
      <c r="I641" s="165" t="s">
        <v>150</v>
      </c>
      <c r="J641" s="165" t="s">
        <v>16</v>
      </c>
      <c r="K641" s="165" t="s">
        <v>16</v>
      </c>
      <c r="L641" s="165" t="s">
        <v>148</v>
      </c>
      <c r="M641" s="165" t="s">
        <v>148</v>
      </c>
      <c r="N641" s="165" t="s">
        <v>148</v>
      </c>
      <c r="O641" s="165" t="s">
        <v>150</v>
      </c>
      <c r="P641" s="165" t="s">
        <v>16</v>
      </c>
      <c r="Q641" s="165" t="s">
        <v>148</v>
      </c>
      <c r="R641" s="165" t="s">
        <v>16</v>
      </c>
      <c r="S641" s="165" t="s">
        <v>16</v>
      </c>
      <c r="T641" s="165" t="s">
        <v>16</v>
      </c>
      <c r="U641" s="165" t="s">
        <v>148</v>
      </c>
      <c r="V641" s="165" t="s">
        <v>16</v>
      </c>
      <c r="W641" s="165" t="s">
        <v>148</v>
      </c>
      <c r="X641" s="165" t="s">
        <v>148</v>
      </c>
      <c r="Y641" s="165" t="s">
        <v>16</v>
      </c>
      <c r="Z641" s="165" t="s">
        <v>148</v>
      </c>
      <c r="AA641" s="165" t="s">
        <v>16</v>
      </c>
      <c r="AB641" s="165" t="s">
        <v>114</v>
      </c>
      <c r="AC641" s="165" t="s">
        <v>150</v>
      </c>
      <c r="AD641" s="165" t="s">
        <v>16</v>
      </c>
      <c r="AE641" s="165" t="s">
        <v>1141</v>
      </c>
      <c r="AF641" s="165"/>
    </row>
    <row r="642" spans="1:32" x14ac:dyDescent="0.3">
      <c r="A642" s="165" t="s">
        <v>1142</v>
      </c>
      <c r="B642" s="165" t="s">
        <v>14</v>
      </c>
      <c r="C642" s="165" t="s">
        <v>1131</v>
      </c>
      <c r="D642" s="165" t="s">
        <v>15</v>
      </c>
      <c r="E642" s="157">
        <v>41028</v>
      </c>
      <c r="F642" s="165" t="s">
        <v>148</v>
      </c>
      <c r="G642" s="165" t="s">
        <v>16</v>
      </c>
      <c r="H642" s="165" t="s">
        <v>148</v>
      </c>
      <c r="I642" s="165" t="s">
        <v>16</v>
      </c>
      <c r="J642" s="165" t="s">
        <v>16</v>
      </c>
      <c r="K642" s="165" t="s">
        <v>148</v>
      </c>
      <c r="L642" s="165" t="s">
        <v>16</v>
      </c>
      <c r="M642" s="165" t="s">
        <v>16</v>
      </c>
      <c r="N642" s="165" t="s">
        <v>148</v>
      </c>
      <c r="O642" s="165" t="s">
        <v>16</v>
      </c>
      <c r="P642" s="165" t="s">
        <v>16</v>
      </c>
      <c r="Q642" s="165" t="s">
        <v>16</v>
      </c>
      <c r="R642" s="165" t="s">
        <v>148</v>
      </c>
      <c r="S642" s="165" t="s">
        <v>16</v>
      </c>
      <c r="T642" s="165" t="s">
        <v>16</v>
      </c>
      <c r="U642" s="165" t="s">
        <v>148</v>
      </c>
      <c r="V642" s="165" t="s">
        <v>148</v>
      </c>
      <c r="W642" s="165" t="s">
        <v>16</v>
      </c>
      <c r="X642" s="165" t="s">
        <v>16</v>
      </c>
      <c r="Y642" s="165" t="s">
        <v>16</v>
      </c>
      <c r="Z642" s="165" t="s">
        <v>148</v>
      </c>
      <c r="AA642" s="165" t="s">
        <v>148</v>
      </c>
      <c r="AB642" s="165" t="s">
        <v>16</v>
      </c>
      <c r="AC642" s="165" t="s">
        <v>16</v>
      </c>
      <c r="AD642" s="165" t="s">
        <v>16</v>
      </c>
      <c r="AE642" s="165" t="s">
        <v>1134</v>
      </c>
      <c r="AF642" s="165"/>
    </row>
    <row r="643" spans="1:32" x14ac:dyDescent="0.3">
      <c r="A643" s="165" t="s">
        <v>1143</v>
      </c>
      <c r="B643" s="165" t="s">
        <v>14</v>
      </c>
      <c r="C643" s="165" t="s">
        <v>1131</v>
      </c>
      <c r="D643" s="165" t="s">
        <v>15</v>
      </c>
      <c r="E643" s="157">
        <v>41028</v>
      </c>
      <c r="F643" s="165" t="s">
        <v>16</v>
      </c>
      <c r="G643" s="165" t="s">
        <v>16</v>
      </c>
      <c r="H643" s="165" t="s">
        <v>148</v>
      </c>
      <c r="I643" s="165" t="s">
        <v>148</v>
      </c>
      <c r="J643" s="165" t="s">
        <v>148</v>
      </c>
      <c r="K643" s="165" t="s">
        <v>148</v>
      </c>
      <c r="L643" s="165" t="s">
        <v>16</v>
      </c>
      <c r="M643" s="165" t="s">
        <v>16</v>
      </c>
      <c r="N643" s="165" t="s">
        <v>148</v>
      </c>
      <c r="O643" s="165" t="s">
        <v>148</v>
      </c>
      <c r="P643" s="165" t="s">
        <v>148</v>
      </c>
      <c r="Q643" s="165" t="s">
        <v>16</v>
      </c>
      <c r="R643" s="165" t="s">
        <v>148</v>
      </c>
      <c r="S643" s="165" t="s">
        <v>148</v>
      </c>
      <c r="T643" s="165" t="s">
        <v>148</v>
      </c>
      <c r="U643" s="165" t="s">
        <v>148</v>
      </c>
      <c r="V643" s="165" t="s">
        <v>16</v>
      </c>
      <c r="W643" s="165" t="s">
        <v>16</v>
      </c>
      <c r="X643" s="165" t="s">
        <v>148</v>
      </c>
      <c r="Y643" s="165" t="s">
        <v>16</v>
      </c>
      <c r="Z643" s="165" t="s">
        <v>148</v>
      </c>
      <c r="AA643" s="165" t="s">
        <v>148</v>
      </c>
      <c r="AB643" s="165" t="s">
        <v>16</v>
      </c>
      <c r="AC643" s="165" t="s">
        <v>16</v>
      </c>
      <c r="AD643" s="165" t="s">
        <v>16</v>
      </c>
      <c r="AE643" s="165" t="s">
        <v>1134</v>
      </c>
      <c r="AF643" s="165"/>
    </row>
    <row r="644" spans="1:32" x14ac:dyDescent="0.3">
      <c r="A644" s="165" t="s">
        <v>1144</v>
      </c>
      <c r="B644" s="165" t="s">
        <v>14</v>
      </c>
      <c r="C644" s="165" t="s">
        <v>1131</v>
      </c>
      <c r="D644" s="165" t="s">
        <v>15</v>
      </c>
      <c r="E644" s="157">
        <v>41028</v>
      </c>
      <c r="F644" s="165" t="s">
        <v>16</v>
      </c>
      <c r="G644" s="165" t="s">
        <v>148</v>
      </c>
      <c r="H644" s="165" t="s">
        <v>16</v>
      </c>
      <c r="I644" s="165" t="s">
        <v>148</v>
      </c>
      <c r="J644" s="165" t="s">
        <v>148</v>
      </c>
      <c r="K644" s="165" t="s">
        <v>16</v>
      </c>
      <c r="L644" s="165" t="s">
        <v>148</v>
      </c>
      <c r="M644" s="165" t="s">
        <v>148</v>
      </c>
      <c r="N644" s="165" t="s">
        <v>148</v>
      </c>
      <c r="O644" s="165" t="s">
        <v>148</v>
      </c>
      <c r="P644" s="165" t="s">
        <v>16</v>
      </c>
      <c r="Q644" s="165" t="s">
        <v>16</v>
      </c>
      <c r="R644" s="165" t="s">
        <v>148</v>
      </c>
      <c r="S644" s="165" t="s">
        <v>148</v>
      </c>
      <c r="T644" s="165" t="s">
        <v>148</v>
      </c>
      <c r="U644" s="165" t="s">
        <v>16</v>
      </c>
      <c r="V644" s="165" t="s">
        <v>16</v>
      </c>
      <c r="W644" s="165" t="s">
        <v>148</v>
      </c>
      <c r="X644" s="165" t="s">
        <v>148</v>
      </c>
      <c r="Y644" s="165" t="s">
        <v>16</v>
      </c>
      <c r="Z644" s="165" t="s">
        <v>16</v>
      </c>
      <c r="AA644" s="165" t="s">
        <v>16</v>
      </c>
      <c r="AB644" s="165" t="s">
        <v>148</v>
      </c>
      <c r="AC644" s="165" t="s">
        <v>148</v>
      </c>
      <c r="AD644" s="165" t="s">
        <v>16</v>
      </c>
      <c r="AE644" s="165" t="s">
        <v>1134</v>
      </c>
      <c r="AF644" s="165" t="s">
        <v>1145</v>
      </c>
    </row>
    <row r="645" spans="1:32" x14ac:dyDescent="0.3">
      <c r="A645" s="165" t="s">
        <v>1146</v>
      </c>
      <c r="B645" s="165" t="s">
        <v>14</v>
      </c>
      <c r="C645" s="165" t="s">
        <v>1131</v>
      </c>
      <c r="D645" s="165" t="s">
        <v>15</v>
      </c>
      <c r="E645" s="157">
        <v>41028</v>
      </c>
      <c r="F645" s="165" t="s">
        <v>16</v>
      </c>
      <c r="G645" s="165" t="s">
        <v>16</v>
      </c>
      <c r="H645" s="165" t="s">
        <v>16</v>
      </c>
      <c r="I645" s="165" t="s">
        <v>16</v>
      </c>
      <c r="J645" s="165" t="s">
        <v>16</v>
      </c>
      <c r="K645" s="165" t="s">
        <v>16</v>
      </c>
      <c r="L645" s="165" t="s">
        <v>16</v>
      </c>
      <c r="M645" s="165" t="s">
        <v>16</v>
      </c>
      <c r="N645" s="165" t="s">
        <v>16</v>
      </c>
      <c r="O645" s="165" t="s">
        <v>16</v>
      </c>
      <c r="P645" s="165" t="s">
        <v>16</v>
      </c>
      <c r="Q645" s="165" t="s">
        <v>16</v>
      </c>
      <c r="R645" s="165" t="s">
        <v>148</v>
      </c>
      <c r="S645" s="165" t="s">
        <v>16</v>
      </c>
      <c r="T645" s="165" t="s">
        <v>16</v>
      </c>
      <c r="U645" s="165" t="s">
        <v>16</v>
      </c>
      <c r="V645" s="165" t="s">
        <v>16</v>
      </c>
      <c r="W645" s="165" t="s">
        <v>16</v>
      </c>
      <c r="X645" s="165" t="s">
        <v>16</v>
      </c>
      <c r="Y645" s="165" t="s">
        <v>16</v>
      </c>
      <c r="Z645" s="165" t="s">
        <v>16</v>
      </c>
      <c r="AA645" s="165" t="s">
        <v>16</v>
      </c>
      <c r="AB645" s="165" t="s">
        <v>16</v>
      </c>
      <c r="AC645" s="165" t="s">
        <v>16</v>
      </c>
      <c r="AD645" s="165" t="s">
        <v>16</v>
      </c>
      <c r="AE645" s="165" t="s">
        <v>1138</v>
      </c>
      <c r="AF645" s="165"/>
    </row>
    <row r="646" spans="1:32" x14ac:dyDescent="0.3">
      <c r="A646" s="165" t="s">
        <v>1147</v>
      </c>
      <c r="B646" s="165" t="s">
        <v>14</v>
      </c>
      <c r="C646" s="165" t="s">
        <v>1131</v>
      </c>
      <c r="D646" s="165" t="s">
        <v>15</v>
      </c>
      <c r="E646" s="157">
        <v>41028</v>
      </c>
      <c r="F646" s="165" t="s">
        <v>16</v>
      </c>
      <c r="G646" s="165" t="s">
        <v>149</v>
      </c>
      <c r="H646" s="165" t="s">
        <v>16</v>
      </c>
      <c r="I646" s="165" t="s">
        <v>16</v>
      </c>
      <c r="J646" s="165" t="s">
        <v>16</v>
      </c>
      <c r="K646" s="165" t="s">
        <v>148</v>
      </c>
      <c r="L646" s="165" t="s">
        <v>148</v>
      </c>
      <c r="M646" s="165" t="s">
        <v>16</v>
      </c>
      <c r="N646" s="165" t="s">
        <v>148</v>
      </c>
      <c r="O646" s="165" t="s">
        <v>16</v>
      </c>
      <c r="P646" s="165" t="s">
        <v>148</v>
      </c>
      <c r="Q646" s="165" t="s">
        <v>16</v>
      </c>
      <c r="R646" s="165" t="s">
        <v>16</v>
      </c>
      <c r="S646" s="165" t="s">
        <v>148</v>
      </c>
      <c r="T646" s="165" t="s">
        <v>16</v>
      </c>
      <c r="U646" s="165" t="s">
        <v>148</v>
      </c>
      <c r="V646" s="165" t="s">
        <v>16</v>
      </c>
      <c r="W646" s="165" t="s">
        <v>148</v>
      </c>
      <c r="X646" s="165" t="s">
        <v>16</v>
      </c>
      <c r="Y646" s="165" t="s">
        <v>114</v>
      </c>
      <c r="Z646" s="165" t="s">
        <v>148</v>
      </c>
      <c r="AA646" s="165" t="s">
        <v>16</v>
      </c>
      <c r="AB646" s="165" t="s">
        <v>16</v>
      </c>
      <c r="AC646" s="165" t="s">
        <v>16</v>
      </c>
      <c r="AD646" s="165" t="s">
        <v>16</v>
      </c>
      <c r="AE646" s="165" t="s">
        <v>1138</v>
      </c>
      <c r="AF646" s="165"/>
    </row>
    <row r="647" spans="1:32" x14ac:dyDescent="0.3">
      <c r="A647" s="165" t="s">
        <v>1148</v>
      </c>
      <c r="B647" s="165" t="s">
        <v>14</v>
      </c>
      <c r="C647" s="165" t="s">
        <v>1131</v>
      </c>
      <c r="D647" s="165" t="s">
        <v>15</v>
      </c>
      <c r="E647" s="157">
        <v>41028</v>
      </c>
      <c r="F647" s="165" t="s">
        <v>16</v>
      </c>
      <c r="G647" s="165" t="s">
        <v>16</v>
      </c>
      <c r="H647" s="165" t="s">
        <v>149</v>
      </c>
      <c r="I647" s="165" t="s">
        <v>16</v>
      </c>
      <c r="J647" s="165" t="s">
        <v>16</v>
      </c>
      <c r="K647" s="165" t="s">
        <v>16</v>
      </c>
      <c r="L647" s="165" t="s">
        <v>16</v>
      </c>
      <c r="M647" s="165" t="s">
        <v>149</v>
      </c>
      <c r="N647" s="165" t="s">
        <v>149</v>
      </c>
      <c r="O647" s="165" t="s">
        <v>149</v>
      </c>
      <c r="P647" s="165" t="s">
        <v>16</v>
      </c>
      <c r="Q647" s="165" t="s">
        <v>149</v>
      </c>
      <c r="R647" s="165" t="s">
        <v>149</v>
      </c>
      <c r="S647" s="165" t="s">
        <v>16</v>
      </c>
      <c r="T647" s="165" t="s">
        <v>149</v>
      </c>
      <c r="U647" s="165" t="s">
        <v>149</v>
      </c>
      <c r="V647" s="165" t="s">
        <v>16</v>
      </c>
      <c r="W647" s="165" t="s">
        <v>149</v>
      </c>
      <c r="X647" s="165" t="s">
        <v>16</v>
      </c>
      <c r="Y647" s="165" t="s">
        <v>149</v>
      </c>
      <c r="Z647" s="165" t="s">
        <v>16</v>
      </c>
      <c r="AA647" s="165" t="s">
        <v>16</v>
      </c>
      <c r="AB647" s="165" t="s">
        <v>16</v>
      </c>
      <c r="AC647" s="165" t="s">
        <v>149</v>
      </c>
      <c r="AD647" s="165" t="s">
        <v>16</v>
      </c>
      <c r="AE647" s="165" t="s">
        <v>1132</v>
      </c>
      <c r="AF647" s="165"/>
    </row>
    <row r="648" spans="1:32" x14ac:dyDescent="0.3">
      <c r="A648" s="165" t="s">
        <v>1149</v>
      </c>
      <c r="B648" s="165" t="s">
        <v>14</v>
      </c>
      <c r="C648" s="165" t="s">
        <v>1131</v>
      </c>
      <c r="D648" s="165" t="s">
        <v>15</v>
      </c>
      <c r="E648" s="157">
        <v>41028</v>
      </c>
      <c r="F648" s="165" t="s">
        <v>16</v>
      </c>
      <c r="G648" s="165" t="s">
        <v>16</v>
      </c>
      <c r="H648" s="165" t="s">
        <v>16</v>
      </c>
      <c r="I648" s="165" t="s">
        <v>16</v>
      </c>
      <c r="J648" s="165" t="s">
        <v>16</v>
      </c>
      <c r="K648" s="165" t="s">
        <v>16</v>
      </c>
      <c r="L648" s="165" t="s">
        <v>16</v>
      </c>
      <c r="M648" s="165" t="s">
        <v>148</v>
      </c>
      <c r="N648" s="165" t="s">
        <v>16</v>
      </c>
      <c r="O648" s="165" t="s">
        <v>16</v>
      </c>
      <c r="P648" s="165" t="s">
        <v>16</v>
      </c>
      <c r="Q648" s="165" t="s">
        <v>16</v>
      </c>
      <c r="R648" s="165" t="s">
        <v>16</v>
      </c>
      <c r="S648" s="165" t="s">
        <v>16</v>
      </c>
      <c r="T648" s="165" t="s">
        <v>16</v>
      </c>
      <c r="U648" s="165" t="s">
        <v>16</v>
      </c>
      <c r="V648" s="165" t="s">
        <v>16</v>
      </c>
      <c r="W648" s="165" t="s">
        <v>16</v>
      </c>
      <c r="X648" s="165" t="s">
        <v>148</v>
      </c>
      <c r="Y648" s="165" t="s">
        <v>16</v>
      </c>
      <c r="Z648" s="165" t="s">
        <v>16</v>
      </c>
      <c r="AA648" s="165" t="s">
        <v>149</v>
      </c>
      <c r="AB648" s="165" t="s">
        <v>16</v>
      </c>
      <c r="AC648" s="165" t="s">
        <v>16</v>
      </c>
      <c r="AD648" s="165" t="s">
        <v>16</v>
      </c>
      <c r="AE648" s="165" t="s">
        <v>1138</v>
      </c>
      <c r="AF648" s="165" t="s">
        <v>1150</v>
      </c>
    </row>
    <row r="649" spans="1:32" x14ac:dyDescent="0.3">
      <c r="A649" s="165" t="s">
        <v>1151</v>
      </c>
      <c r="B649" s="165" t="s">
        <v>14</v>
      </c>
      <c r="C649" s="165" t="s">
        <v>1131</v>
      </c>
      <c r="D649" s="165" t="s">
        <v>15</v>
      </c>
      <c r="E649" s="157">
        <v>41028</v>
      </c>
      <c r="F649" s="165" t="s">
        <v>148</v>
      </c>
      <c r="G649" s="165" t="s">
        <v>16</v>
      </c>
      <c r="H649" s="165" t="s">
        <v>16</v>
      </c>
      <c r="I649" s="165" t="s">
        <v>148</v>
      </c>
      <c r="J649" s="165" t="s">
        <v>16</v>
      </c>
      <c r="K649" s="165" t="s">
        <v>148</v>
      </c>
      <c r="L649" s="165" t="s">
        <v>148</v>
      </c>
      <c r="M649" s="165" t="s">
        <v>16</v>
      </c>
      <c r="N649" s="165" t="s">
        <v>148</v>
      </c>
      <c r="O649" s="165" t="s">
        <v>148</v>
      </c>
      <c r="P649" s="165" t="s">
        <v>148</v>
      </c>
      <c r="Q649" s="165" t="s">
        <v>16</v>
      </c>
      <c r="R649" s="165" t="s">
        <v>148</v>
      </c>
      <c r="S649" s="165" t="s">
        <v>148</v>
      </c>
      <c r="T649" s="165" t="s">
        <v>148</v>
      </c>
      <c r="U649" s="165" t="s">
        <v>148</v>
      </c>
      <c r="V649" s="165" t="s">
        <v>148</v>
      </c>
      <c r="W649" s="165" t="s">
        <v>148</v>
      </c>
      <c r="X649" s="165" t="s">
        <v>148</v>
      </c>
      <c r="Y649" s="165" t="s">
        <v>150</v>
      </c>
      <c r="Z649" s="165" t="s">
        <v>149</v>
      </c>
      <c r="AA649" s="165" t="s">
        <v>148</v>
      </c>
      <c r="AB649" s="165" t="s">
        <v>16</v>
      </c>
      <c r="AC649" s="165" t="s">
        <v>148</v>
      </c>
      <c r="AD649" s="165" t="s">
        <v>16</v>
      </c>
      <c r="AE649" s="165" t="s">
        <v>1134</v>
      </c>
      <c r="AF649" s="165"/>
    </row>
    <row r="650" spans="1:32" x14ac:dyDescent="0.3">
      <c r="A650" s="165" t="s">
        <v>1152</v>
      </c>
      <c r="B650" s="165" t="s">
        <v>14</v>
      </c>
      <c r="C650" s="165" t="s">
        <v>1131</v>
      </c>
      <c r="D650" s="165" t="s">
        <v>15</v>
      </c>
      <c r="E650" s="157">
        <v>41028</v>
      </c>
      <c r="F650" s="165" t="s">
        <v>16</v>
      </c>
      <c r="G650" s="165" t="s">
        <v>16</v>
      </c>
      <c r="H650" s="165" t="s">
        <v>16</v>
      </c>
      <c r="I650" s="165" t="s">
        <v>148</v>
      </c>
      <c r="J650" s="165" t="s">
        <v>16</v>
      </c>
      <c r="K650" s="165" t="s">
        <v>16</v>
      </c>
      <c r="L650" s="165" t="s">
        <v>16</v>
      </c>
      <c r="M650" s="165" t="s">
        <v>16</v>
      </c>
      <c r="N650" s="165" t="s">
        <v>148</v>
      </c>
      <c r="O650" s="165" t="s">
        <v>16</v>
      </c>
      <c r="P650" s="165" t="s">
        <v>16</v>
      </c>
      <c r="Q650" s="165" t="s">
        <v>16</v>
      </c>
      <c r="R650" s="165" t="s">
        <v>148</v>
      </c>
      <c r="S650" s="165" t="s">
        <v>16</v>
      </c>
      <c r="T650" s="165" t="s">
        <v>16</v>
      </c>
      <c r="U650" s="165" t="s">
        <v>16</v>
      </c>
      <c r="V650" s="165" t="s">
        <v>16</v>
      </c>
      <c r="W650" s="165" t="s">
        <v>16</v>
      </c>
      <c r="X650" s="165" t="s">
        <v>16</v>
      </c>
      <c r="Y650" s="165" t="s">
        <v>16</v>
      </c>
      <c r="Z650" s="165" t="s">
        <v>16</v>
      </c>
      <c r="AA650" s="165" t="s">
        <v>16</v>
      </c>
      <c r="AB650" s="165" t="s">
        <v>16</v>
      </c>
      <c r="AC650" s="165" t="s">
        <v>16</v>
      </c>
      <c r="AD650" s="165" t="s">
        <v>16</v>
      </c>
      <c r="AE650" s="165" t="s">
        <v>1134</v>
      </c>
      <c r="AF650" s="165" t="s">
        <v>1153</v>
      </c>
    </row>
    <row r="651" spans="1:32" x14ac:dyDescent="0.3">
      <c r="A651" s="165" t="s">
        <v>1154</v>
      </c>
      <c r="B651" s="165" t="s">
        <v>14</v>
      </c>
      <c r="C651" s="165" t="s">
        <v>1131</v>
      </c>
      <c r="D651" s="165" t="s">
        <v>15</v>
      </c>
      <c r="E651" s="157">
        <v>41028</v>
      </c>
      <c r="F651" s="165" t="s">
        <v>16</v>
      </c>
      <c r="G651" s="165" t="s">
        <v>16</v>
      </c>
      <c r="H651" s="165" t="s">
        <v>16</v>
      </c>
      <c r="I651" s="165" t="s">
        <v>16</v>
      </c>
      <c r="J651" s="165" t="s">
        <v>16</v>
      </c>
      <c r="K651" s="165" t="s">
        <v>16</v>
      </c>
      <c r="L651" s="165" t="s">
        <v>16</v>
      </c>
      <c r="M651" s="165" t="s">
        <v>16</v>
      </c>
      <c r="N651" s="165" t="s">
        <v>16</v>
      </c>
      <c r="O651" s="165" t="s">
        <v>16</v>
      </c>
      <c r="P651" s="165" t="s">
        <v>16</v>
      </c>
      <c r="Q651" s="165" t="s">
        <v>16</v>
      </c>
      <c r="R651" s="165" t="s">
        <v>16</v>
      </c>
      <c r="S651" s="165" t="s">
        <v>16</v>
      </c>
      <c r="T651" s="165" t="s">
        <v>16</v>
      </c>
      <c r="U651" s="165" t="s">
        <v>16</v>
      </c>
      <c r="V651" s="165" t="s">
        <v>16</v>
      </c>
      <c r="W651" s="165" t="s">
        <v>16</v>
      </c>
      <c r="X651" s="165" t="s">
        <v>16</v>
      </c>
      <c r="Y651" s="165" t="s">
        <v>16</v>
      </c>
      <c r="Z651" s="165" t="s">
        <v>16</v>
      </c>
      <c r="AA651" s="165" t="s">
        <v>16</v>
      </c>
      <c r="AB651" s="165" t="s">
        <v>16</v>
      </c>
      <c r="AC651" s="165" t="s">
        <v>16</v>
      </c>
      <c r="AD651" s="165" t="s">
        <v>16</v>
      </c>
      <c r="AE651" s="165" t="s">
        <v>1132</v>
      </c>
      <c r="AF651" s="165"/>
    </row>
    <row r="652" spans="1:32" x14ac:dyDescent="0.3">
      <c r="A652" s="165" t="s">
        <v>1155</v>
      </c>
      <c r="B652" s="165" t="s">
        <v>14</v>
      </c>
      <c r="C652" s="165" t="s">
        <v>1131</v>
      </c>
      <c r="D652" s="165" t="s">
        <v>15</v>
      </c>
      <c r="E652" s="157">
        <v>41028</v>
      </c>
      <c r="F652" s="165" t="s">
        <v>16</v>
      </c>
      <c r="G652" s="165" t="s">
        <v>148</v>
      </c>
      <c r="H652" s="165" t="s">
        <v>16</v>
      </c>
      <c r="I652" s="165" t="s">
        <v>148</v>
      </c>
      <c r="J652" s="165" t="s">
        <v>16</v>
      </c>
      <c r="K652" s="165" t="s">
        <v>16</v>
      </c>
      <c r="L652" s="165" t="s">
        <v>16</v>
      </c>
      <c r="M652" s="165" t="s">
        <v>16</v>
      </c>
      <c r="N652" s="165" t="s">
        <v>150</v>
      </c>
      <c r="O652" s="165" t="s">
        <v>148</v>
      </c>
      <c r="P652" s="165" t="s">
        <v>148</v>
      </c>
      <c r="Q652" s="165" t="s">
        <v>16</v>
      </c>
      <c r="R652" s="165" t="s">
        <v>16</v>
      </c>
      <c r="S652" s="165" t="s">
        <v>16</v>
      </c>
      <c r="T652" s="165" t="s">
        <v>16</v>
      </c>
      <c r="U652" s="165" t="s">
        <v>16</v>
      </c>
      <c r="V652" s="165" t="s">
        <v>16</v>
      </c>
      <c r="W652" s="165" t="s">
        <v>16</v>
      </c>
      <c r="X652" s="165" t="s">
        <v>16</v>
      </c>
      <c r="Y652" s="165" t="s">
        <v>16</v>
      </c>
      <c r="Z652" s="165" t="s">
        <v>16</v>
      </c>
      <c r="AA652" s="165" t="s">
        <v>148</v>
      </c>
      <c r="AB652" s="165" t="s">
        <v>16</v>
      </c>
      <c r="AC652" s="165" t="s">
        <v>16</v>
      </c>
      <c r="AD652" s="165" t="s">
        <v>16</v>
      </c>
      <c r="AE652" s="165" t="s">
        <v>1132</v>
      </c>
      <c r="AF652" s="165"/>
    </row>
    <row r="653" spans="1:32" x14ac:dyDescent="0.3">
      <c r="A653" s="165" t="s">
        <v>1156</v>
      </c>
      <c r="B653" s="165" t="s">
        <v>14</v>
      </c>
      <c r="C653" s="165" t="s">
        <v>1131</v>
      </c>
      <c r="D653" s="165" t="s">
        <v>15</v>
      </c>
      <c r="E653" s="157">
        <v>41028</v>
      </c>
      <c r="F653" s="165" t="s">
        <v>16</v>
      </c>
      <c r="G653" s="165" t="s">
        <v>16</v>
      </c>
      <c r="H653" s="165" t="s">
        <v>16</v>
      </c>
      <c r="I653" s="165" t="s">
        <v>16</v>
      </c>
      <c r="J653" s="165" t="s">
        <v>16</v>
      </c>
      <c r="K653" s="165" t="s">
        <v>149</v>
      </c>
      <c r="L653" s="165" t="s">
        <v>16</v>
      </c>
      <c r="M653" s="165" t="s">
        <v>16</v>
      </c>
      <c r="N653" s="165" t="s">
        <v>148</v>
      </c>
      <c r="O653" s="165" t="s">
        <v>16</v>
      </c>
      <c r="P653" s="165" t="s">
        <v>16</v>
      </c>
      <c r="Q653" s="165" t="s">
        <v>16</v>
      </c>
      <c r="R653" s="165" t="s">
        <v>16</v>
      </c>
      <c r="S653" s="165" t="s">
        <v>16</v>
      </c>
      <c r="T653" s="165" t="s">
        <v>16</v>
      </c>
      <c r="U653" s="165" t="s">
        <v>16</v>
      </c>
      <c r="V653" s="165" t="s">
        <v>16</v>
      </c>
      <c r="W653" s="165" t="s">
        <v>16</v>
      </c>
      <c r="X653" s="165" t="s">
        <v>16</v>
      </c>
      <c r="Y653" s="165" t="s">
        <v>16</v>
      </c>
      <c r="Z653" s="165" t="s">
        <v>16</v>
      </c>
      <c r="AA653" s="165" t="s">
        <v>16</v>
      </c>
      <c r="AB653" s="165" t="s">
        <v>16</v>
      </c>
      <c r="AC653" s="165" t="s">
        <v>148</v>
      </c>
      <c r="AD653" s="165" t="s">
        <v>16</v>
      </c>
      <c r="AE653" s="165" t="s">
        <v>1138</v>
      </c>
      <c r="AF653" s="165"/>
    </row>
    <row r="654" spans="1:32" x14ac:dyDescent="0.3">
      <c r="A654" s="165" t="s">
        <v>1157</v>
      </c>
      <c r="B654" s="165" t="s">
        <v>14</v>
      </c>
      <c r="C654" s="165" t="s">
        <v>1131</v>
      </c>
      <c r="D654" s="165" t="s">
        <v>15</v>
      </c>
      <c r="E654" s="157">
        <v>41028</v>
      </c>
      <c r="F654" s="165" t="s">
        <v>16</v>
      </c>
      <c r="G654" s="165" t="s">
        <v>16</v>
      </c>
      <c r="H654" s="165" t="s">
        <v>16</v>
      </c>
      <c r="I654" s="165" t="s">
        <v>16</v>
      </c>
      <c r="J654" s="165" t="s">
        <v>16</v>
      </c>
      <c r="K654" s="165" t="s">
        <v>16</v>
      </c>
      <c r="L654" s="165" t="s">
        <v>16</v>
      </c>
      <c r="M654" s="165" t="s">
        <v>16</v>
      </c>
      <c r="N654" s="165" t="s">
        <v>16</v>
      </c>
      <c r="O654" s="165" t="s">
        <v>16</v>
      </c>
      <c r="P654" s="165" t="s">
        <v>16</v>
      </c>
      <c r="Q654" s="165" t="s">
        <v>16</v>
      </c>
      <c r="R654" s="165" t="s">
        <v>16</v>
      </c>
      <c r="S654" s="165" t="s">
        <v>16</v>
      </c>
      <c r="T654" s="165" t="s">
        <v>16</v>
      </c>
      <c r="U654" s="165" t="s">
        <v>16</v>
      </c>
      <c r="V654" s="165" t="s">
        <v>16</v>
      </c>
      <c r="W654" s="165" t="s">
        <v>16</v>
      </c>
      <c r="X654" s="165" t="s">
        <v>16</v>
      </c>
      <c r="Y654" s="165" t="s">
        <v>16</v>
      </c>
      <c r="Z654" s="165" t="s">
        <v>16</v>
      </c>
      <c r="AA654" s="165" t="s">
        <v>16</v>
      </c>
      <c r="AB654" s="165" t="s">
        <v>16</v>
      </c>
      <c r="AC654" s="165" t="s">
        <v>16</v>
      </c>
      <c r="AD654" s="165" t="s">
        <v>16</v>
      </c>
      <c r="AE654" s="165"/>
      <c r="AF654" s="165"/>
    </row>
    <row r="655" spans="1:32" x14ac:dyDescent="0.3">
      <c r="A655" s="165" t="s">
        <v>1158</v>
      </c>
      <c r="B655" s="165" t="s">
        <v>14</v>
      </c>
      <c r="C655" s="165" t="s">
        <v>1131</v>
      </c>
      <c r="D655" s="165" t="s">
        <v>15</v>
      </c>
      <c r="E655" s="157">
        <v>41028</v>
      </c>
      <c r="F655" s="165" t="s">
        <v>16</v>
      </c>
      <c r="G655" s="165" t="s">
        <v>148</v>
      </c>
      <c r="H655" s="165" t="s">
        <v>16</v>
      </c>
      <c r="I655" s="165" t="s">
        <v>16</v>
      </c>
      <c r="J655" s="165" t="s">
        <v>16</v>
      </c>
      <c r="K655" s="165" t="s">
        <v>16</v>
      </c>
      <c r="L655" s="165" t="s">
        <v>16</v>
      </c>
      <c r="M655" s="165" t="s">
        <v>16</v>
      </c>
      <c r="N655" s="165" t="s">
        <v>16</v>
      </c>
      <c r="O655" s="165" t="s">
        <v>148</v>
      </c>
      <c r="P655" s="165" t="s">
        <v>148</v>
      </c>
      <c r="Q655" s="165" t="s">
        <v>16</v>
      </c>
      <c r="R655" s="165" t="s">
        <v>16</v>
      </c>
      <c r="S655" s="165" t="s">
        <v>16</v>
      </c>
      <c r="T655" s="165" t="s">
        <v>16</v>
      </c>
      <c r="U655" s="165" t="s">
        <v>16</v>
      </c>
      <c r="V655" s="165" t="s">
        <v>16</v>
      </c>
      <c r="W655" s="165" t="s">
        <v>148</v>
      </c>
      <c r="X655" s="165" t="s">
        <v>16</v>
      </c>
      <c r="Y655" s="165" t="s">
        <v>16</v>
      </c>
      <c r="Z655" s="165" t="s">
        <v>16</v>
      </c>
      <c r="AA655" s="165" t="s">
        <v>16</v>
      </c>
      <c r="AB655" s="165" t="s">
        <v>16</v>
      </c>
      <c r="AC655" s="165" t="s">
        <v>16</v>
      </c>
      <c r="AD655" s="165" t="s">
        <v>16</v>
      </c>
      <c r="AE655" s="165" t="s">
        <v>1138</v>
      </c>
      <c r="AF655" s="165"/>
    </row>
    <row r="656" spans="1:32" x14ac:dyDescent="0.3">
      <c r="A656" s="165" t="s">
        <v>1159</v>
      </c>
      <c r="B656" s="165" t="s">
        <v>14</v>
      </c>
      <c r="C656" s="165" t="s">
        <v>1131</v>
      </c>
      <c r="D656" s="165" t="s">
        <v>15</v>
      </c>
      <c r="E656" s="157">
        <v>41028</v>
      </c>
      <c r="F656" s="165" t="s">
        <v>16</v>
      </c>
      <c r="G656" s="165" t="s">
        <v>16</v>
      </c>
      <c r="H656" s="165" t="s">
        <v>16</v>
      </c>
      <c r="I656" s="165" t="s">
        <v>148</v>
      </c>
      <c r="J656" s="165" t="s">
        <v>16</v>
      </c>
      <c r="K656" s="165" t="s">
        <v>16</v>
      </c>
      <c r="L656" s="165" t="s">
        <v>16</v>
      </c>
      <c r="M656" s="165" t="s">
        <v>16</v>
      </c>
      <c r="N656" s="165" t="s">
        <v>16</v>
      </c>
      <c r="O656" s="165" t="s">
        <v>148</v>
      </c>
      <c r="P656" s="165" t="s">
        <v>148</v>
      </c>
      <c r="Q656" s="165" t="s">
        <v>16</v>
      </c>
      <c r="R656" s="165" t="s">
        <v>16</v>
      </c>
      <c r="S656" s="165" t="s">
        <v>148</v>
      </c>
      <c r="T656" s="165" t="s">
        <v>16</v>
      </c>
      <c r="U656" s="165" t="s">
        <v>148</v>
      </c>
      <c r="V656" s="165" t="s">
        <v>16</v>
      </c>
      <c r="W656" s="165" t="s">
        <v>16</v>
      </c>
      <c r="X656" s="165" t="s">
        <v>16</v>
      </c>
      <c r="Y656" s="165" t="s">
        <v>16</v>
      </c>
      <c r="Z656" s="165" t="s">
        <v>149</v>
      </c>
      <c r="AA656" s="165" t="s">
        <v>149</v>
      </c>
      <c r="AB656" s="165" t="s">
        <v>16</v>
      </c>
      <c r="AC656" s="165" t="s">
        <v>16</v>
      </c>
      <c r="AD656" s="165" t="s">
        <v>16</v>
      </c>
      <c r="AE656" s="165" t="s">
        <v>1141</v>
      </c>
      <c r="AF656" s="165"/>
    </row>
    <row r="657" spans="1:32" x14ac:dyDescent="0.3">
      <c r="A657" s="165" t="s">
        <v>1160</v>
      </c>
      <c r="B657" s="165" t="s">
        <v>14</v>
      </c>
      <c r="C657" s="165" t="s">
        <v>1131</v>
      </c>
      <c r="D657" s="165" t="s">
        <v>15</v>
      </c>
      <c r="E657" s="157">
        <v>41028</v>
      </c>
      <c r="F657" s="165" t="s">
        <v>16</v>
      </c>
      <c r="G657" s="165" t="s">
        <v>16</v>
      </c>
      <c r="H657" s="165" t="s">
        <v>16</v>
      </c>
      <c r="I657" s="165" t="s">
        <v>16</v>
      </c>
      <c r="J657" s="165" t="s">
        <v>16</v>
      </c>
      <c r="K657" s="165" t="s">
        <v>16</v>
      </c>
      <c r="L657" s="165" t="s">
        <v>16</v>
      </c>
      <c r="M657" s="165" t="s">
        <v>16</v>
      </c>
      <c r="N657" s="165" t="s">
        <v>16</v>
      </c>
      <c r="O657" s="165" t="s">
        <v>16</v>
      </c>
      <c r="P657" s="165" t="s">
        <v>16</v>
      </c>
      <c r="Q657" s="165" t="s">
        <v>16</v>
      </c>
      <c r="R657" s="165" t="s">
        <v>16</v>
      </c>
      <c r="S657" s="165" t="s">
        <v>16</v>
      </c>
      <c r="T657" s="165" t="s">
        <v>16</v>
      </c>
      <c r="U657" s="165" t="s">
        <v>16</v>
      </c>
      <c r="V657" s="165" t="s">
        <v>16</v>
      </c>
      <c r="W657" s="165" t="s">
        <v>16</v>
      </c>
      <c r="X657" s="165" t="s">
        <v>16</v>
      </c>
      <c r="Y657" s="165" t="s">
        <v>16</v>
      </c>
      <c r="Z657" s="165" t="s">
        <v>16</v>
      </c>
      <c r="AA657" s="165" t="s">
        <v>16</v>
      </c>
      <c r="AB657" s="165" t="s">
        <v>16</v>
      </c>
      <c r="AC657" s="165" t="s">
        <v>16</v>
      </c>
      <c r="AD657" s="165" t="s">
        <v>148</v>
      </c>
      <c r="AE657" s="165" t="s">
        <v>1134</v>
      </c>
      <c r="AF657" s="165" t="s">
        <v>1161</v>
      </c>
    </row>
    <row r="658" spans="1:32" x14ac:dyDescent="0.3">
      <c r="A658" s="165" t="s">
        <v>1162</v>
      </c>
      <c r="B658" s="165" t="s">
        <v>14</v>
      </c>
      <c r="C658" s="165" t="s">
        <v>1131</v>
      </c>
      <c r="D658" s="165" t="s">
        <v>15</v>
      </c>
      <c r="E658" s="157">
        <v>41028</v>
      </c>
      <c r="F658" s="165" t="s">
        <v>16</v>
      </c>
      <c r="G658" s="165" t="s">
        <v>16</v>
      </c>
      <c r="H658" s="165" t="s">
        <v>16</v>
      </c>
      <c r="I658" s="165" t="s">
        <v>16</v>
      </c>
      <c r="J658" s="165" t="s">
        <v>16</v>
      </c>
      <c r="K658" s="165" t="s">
        <v>16</v>
      </c>
      <c r="L658" s="165" t="s">
        <v>148</v>
      </c>
      <c r="M658" s="165" t="s">
        <v>16</v>
      </c>
      <c r="N658" s="165" t="s">
        <v>148</v>
      </c>
      <c r="O658" s="165" t="s">
        <v>16</v>
      </c>
      <c r="P658" s="165" t="s">
        <v>16</v>
      </c>
      <c r="Q658" s="165" t="s">
        <v>148</v>
      </c>
      <c r="R658" s="165" t="s">
        <v>148</v>
      </c>
      <c r="S658" s="165" t="s">
        <v>16</v>
      </c>
      <c r="T658" s="165" t="s">
        <v>16</v>
      </c>
      <c r="U658" s="165" t="s">
        <v>148</v>
      </c>
      <c r="V658" s="165" t="s">
        <v>148</v>
      </c>
      <c r="W658" s="165" t="s">
        <v>16</v>
      </c>
      <c r="X658" s="165" t="s">
        <v>16</v>
      </c>
      <c r="Y658" s="165" t="s">
        <v>16</v>
      </c>
      <c r="Z658" s="165" t="s">
        <v>16</v>
      </c>
      <c r="AA658" s="165" t="s">
        <v>16</v>
      </c>
      <c r="AB658" s="165" t="s">
        <v>16</v>
      </c>
      <c r="AC658" s="165" t="s">
        <v>16</v>
      </c>
      <c r="AD658" s="165" t="s">
        <v>148</v>
      </c>
      <c r="AE658" s="165" t="s">
        <v>1138</v>
      </c>
      <c r="AF658" s="165"/>
    </row>
    <row r="659" spans="1:32" x14ac:dyDescent="0.3">
      <c r="A659" s="165" t="s">
        <v>1163</v>
      </c>
      <c r="B659" s="165" t="s">
        <v>14</v>
      </c>
      <c r="C659" s="165" t="s">
        <v>1131</v>
      </c>
      <c r="D659" s="165" t="s">
        <v>15</v>
      </c>
      <c r="E659" s="157">
        <v>41028</v>
      </c>
      <c r="F659" s="165" t="s">
        <v>148</v>
      </c>
      <c r="G659" s="165" t="s">
        <v>148</v>
      </c>
      <c r="H659" s="165" t="s">
        <v>16</v>
      </c>
      <c r="I659" s="165" t="s">
        <v>150</v>
      </c>
      <c r="J659" s="165" t="s">
        <v>16</v>
      </c>
      <c r="K659" s="165" t="s">
        <v>148</v>
      </c>
      <c r="L659" s="165" t="s">
        <v>16</v>
      </c>
      <c r="M659" s="165" t="s">
        <v>16</v>
      </c>
      <c r="N659" s="165" t="s">
        <v>148</v>
      </c>
      <c r="O659" s="165" t="s">
        <v>150</v>
      </c>
      <c r="P659" s="165" t="s">
        <v>148</v>
      </c>
      <c r="Q659" s="165" t="s">
        <v>149</v>
      </c>
      <c r="R659" s="165" t="s">
        <v>16</v>
      </c>
      <c r="S659" s="165" t="s">
        <v>148</v>
      </c>
      <c r="T659" s="165" t="s">
        <v>148</v>
      </c>
      <c r="U659" s="165" t="s">
        <v>148</v>
      </c>
      <c r="V659" s="165" t="s">
        <v>16</v>
      </c>
      <c r="W659" s="165" t="s">
        <v>16</v>
      </c>
      <c r="X659" s="165" t="s">
        <v>148</v>
      </c>
      <c r="Y659" s="165" t="s">
        <v>16</v>
      </c>
      <c r="Z659" s="165" t="s">
        <v>150</v>
      </c>
      <c r="AA659" s="165" t="s">
        <v>148</v>
      </c>
      <c r="AB659" s="165" t="s">
        <v>151</v>
      </c>
      <c r="AC659" s="165" t="s">
        <v>16</v>
      </c>
      <c r="AD659" s="165" t="s">
        <v>148</v>
      </c>
      <c r="AE659" s="165" t="s">
        <v>1138</v>
      </c>
      <c r="AF659" s="165"/>
    </row>
    <row r="660" spans="1:32" x14ac:dyDescent="0.3">
      <c r="A660" s="165" t="s">
        <v>1164</v>
      </c>
      <c r="B660" s="165" t="s">
        <v>14</v>
      </c>
      <c r="C660" s="165" t="s">
        <v>1131</v>
      </c>
      <c r="D660" s="165" t="s">
        <v>15</v>
      </c>
      <c r="E660" s="157">
        <v>41028</v>
      </c>
      <c r="F660" s="165" t="s">
        <v>16</v>
      </c>
      <c r="G660" s="165" t="s">
        <v>16</v>
      </c>
      <c r="H660" s="165" t="s">
        <v>16</v>
      </c>
      <c r="I660" s="165" t="s">
        <v>16</v>
      </c>
      <c r="J660" s="165" t="s">
        <v>16</v>
      </c>
      <c r="K660" s="165" t="s">
        <v>16</v>
      </c>
      <c r="L660" s="165" t="s">
        <v>148</v>
      </c>
      <c r="M660" s="165" t="s">
        <v>16</v>
      </c>
      <c r="N660" s="165" t="s">
        <v>16</v>
      </c>
      <c r="O660" s="165" t="s">
        <v>16</v>
      </c>
      <c r="P660" s="165" t="s">
        <v>16</v>
      </c>
      <c r="Q660" s="165" t="s">
        <v>16</v>
      </c>
      <c r="R660" s="165" t="s">
        <v>16</v>
      </c>
      <c r="S660" s="165" t="s">
        <v>148</v>
      </c>
      <c r="T660" s="165" t="s">
        <v>16</v>
      </c>
      <c r="U660" s="165" t="s">
        <v>148</v>
      </c>
      <c r="V660" s="165" t="s">
        <v>16</v>
      </c>
      <c r="W660" s="165" t="s">
        <v>16</v>
      </c>
      <c r="X660" s="165" t="s">
        <v>16</v>
      </c>
      <c r="Y660" s="165" t="s">
        <v>16</v>
      </c>
      <c r="Z660" s="165" t="s">
        <v>16</v>
      </c>
      <c r="AA660" s="165" t="s">
        <v>148</v>
      </c>
      <c r="AB660" s="165" t="s">
        <v>16</v>
      </c>
      <c r="AC660" s="165" t="s">
        <v>16</v>
      </c>
      <c r="AD660" s="165" t="s">
        <v>16</v>
      </c>
      <c r="AE660" s="165" t="s">
        <v>1138</v>
      </c>
      <c r="AF660" s="165"/>
    </row>
    <row r="661" spans="1:32" x14ac:dyDescent="0.3">
      <c r="A661" s="165" t="s">
        <v>1165</v>
      </c>
      <c r="B661" s="165" t="s">
        <v>14</v>
      </c>
      <c r="C661" s="165" t="s">
        <v>1131</v>
      </c>
      <c r="D661" s="165" t="s">
        <v>15</v>
      </c>
      <c r="E661" s="157">
        <v>41028</v>
      </c>
      <c r="F661" s="165" t="s">
        <v>16</v>
      </c>
      <c r="G661" s="165" t="s">
        <v>16</v>
      </c>
      <c r="H661" s="165" t="s">
        <v>16</v>
      </c>
      <c r="I661" s="165" t="s">
        <v>148</v>
      </c>
      <c r="J661" s="165" t="s">
        <v>148</v>
      </c>
      <c r="K661" s="165" t="s">
        <v>148</v>
      </c>
      <c r="L661" s="165" t="s">
        <v>148</v>
      </c>
      <c r="M661" s="165" t="s">
        <v>16</v>
      </c>
      <c r="N661" s="165" t="s">
        <v>148</v>
      </c>
      <c r="O661" s="165" t="s">
        <v>148</v>
      </c>
      <c r="P661" s="165" t="s">
        <v>148</v>
      </c>
      <c r="Q661" s="165" t="s">
        <v>149</v>
      </c>
      <c r="R661" s="165" t="s">
        <v>16</v>
      </c>
      <c r="S661" s="165" t="s">
        <v>149</v>
      </c>
      <c r="T661" s="165" t="s">
        <v>16</v>
      </c>
      <c r="U661" s="165" t="s">
        <v>148</v>
      </c>
      <c r="V661" s="165" t="s">
        <v>148</v>
      </c>
      <c r="W661" s="165" t="s">
        <v>16</v>
      </c>
      <c r="X661" s="165" t="s">
        <v>16</v>
      </c>
      <c r="Y661" s="165" t="s">
        <v>16</v>
      </c>
      <c r="Z661" s="165" t="s">
        <v>16</v>
      </c>
      <c r="AA661" s="165" t="s">
        <v>148</v>
      </c>
      <c r="AB661" s="165" t="s">
        <v>16</v>
      </c>
      <c r="AC661" s="165" t="s">
        <v>148</v>
      </c>
      <c r="AD661" s="165" t="s">
        <v>16</v>
      </c>
      <c r="AE661" s="165" t="s">
        <v>1134</v>
      </c>
      <c r="AF661" s="165" t="s">
        <v>1166</v>
      </c>
    </row>
    <row r="662" spans="1:32" x14ac:dyDescent="0.3">
      <c r="A662" s="165" t="s">
        <v>1167</v>
      </c>
      <c r="B662" s="165" t="s">
        <v>14</v>
      </c>
      <c r="C662" s="165" t="s">
        <v>1131</v>
      </c>
      <c r="D662" s="165" t="s">
        <v>15</v>
      </c>
      <c r="E662" s="157">
        <v>41028</v>
      </c>
      <c r="F662" s="165" t="s">
        <v>16</v>
      </c>
      <c r="G662" s="165" t="s">
        <v>16</v>
      </c>
      <c r="H662" s="165" t="s">
        <v>16</v>
      </c>
      <c r="I662" s="165" t="s">
        <v>16</v>
      </c>
      <c r="J662" s="165" t="s">
        <v>16</v>
      </c>
      <c r="K662" s="165" t="s">
        <v>16</v>
      </c>
      <c r="L662" s="165" t="s">
        <v>16</v>
      </c>
      <c r="M662" s="165" t="s">
        <v>16</v>
      </c>
      <c r="N662" s="165" t="s">
        <v>16</v>
      </c>
      <c r="O662" s="165" t="s">
        <v>16</v>
      </c>
      <c r="P662" s="165" t="s">
        <v>16</v>
      </c>
      <c r="Q662" s="165" t="s">
        <v>16</v>
      </c>
      <c r="R662" s="165" t="s">
        <v>16</v>
      </c>
      <c r="S662" s="165" t="s">
        <v>16</v>
      </c>
      <c r="T662" s="165" t="s">
        <v>16</v>
      </c>
      <c r="U662" s="165" t="s">
        <v>16</v>
      </c>
      <c r="V662" s="165" t="s">
        <v>16</v>
      </c>
      <c r="W662" s="165" t="s">
        <v>16</v>
      </c>
      <c r="X662" s="165" t="s">
        <v>16</v>
      </c>
      <c r="Y662" s="165" t="s">
        <v>16</v>
      </c>
      <c r="Z662" s="165" t="s">
        <v>16</v>
      </c>
      <c r="AA662" s="165" t="s">
        <v>16</v>
      </c>
      <c r="AB662" s="165" t="s">
        <v>16</v>
      </c>
      <c r="AC662" s="165" t="s">
        <v>16</v>
      </c>
      <c r="AD662" s="165" t="s">
        <v>16</v>
      </c>
      <c r="AE662" s="165" t="s">
        <v>1134</v>
      </c>
      <c r="AF662" s="165"/>
    </row>
    <row r="663" spans="1:32" x14ac:dyDescent="0.3">
      <c r="A663" s="165" t="s">
        <v>1168</v>
      </c>
      <c r="B663" s="165" t="s">
        <v>14</v>
      </c>
      <c r="C663" s="165" t="s">
        <v>1131</v>
      </c>
      <c r="D663" s="165" t="s">
        <v>15</v>
      </c>
      <c r="E663" s="157">
        <v>41028</v>
      </c>
      <c r="F663" s="165" t="s">
        <v>16</v>
      </c>
      <c r="G663" s="165" t="s">
        <v>16</v>
      </c>
      <c r="H663" s="165" t="s">
        <v>16</v>
      </c>
      <c r="I663" s="165" t="s">
        <v>16</v>
      </c>
      <c r="J663" s="165" t="s">
        <v>16</v>
      </c>
      <c r="K663" s="165" t="s">
        <v>16</v>
      </c>
      <c r="L663" s="165" t="s">
        <v>16</v>
      </c>
      <c r="M663" s="165" t="s">
        <v>16</v>
      </c>
      <c r="N663" s="165" t="s">
        <v>16</v>
      </c>
      <c r="O663" s="165" t="s">
        <v>16</v>
      </c>
      <c r="P663" s="165" t="s">
        <v>16</v>
      </c>
      <c r="Q663" s="165" t="s">
        <v>16</v>
      </c>
      <c r="R663" s="165" t="s">
        <v>16</v>
      </c>
      <c r="S663" s="165" t="s">
        <v>16</v>
      </c>
      <c r="T663" s="165" t="s">
        <v>16</v>
      </c>
      <c r="U663" s="165" t="s">
        <v>16</v>
      </c>
      <c r="V663" s="165" t="s">
        <v>16</v>
      </c>
      <c r="W663" s="165" t="s">
        <v>16</v>
      </c>
      <c r="X663" s="165" t="s">
        <v>16</v>
      </c>
      <c r="Y663" s="165" t="s">
        <v>16</v>
      </c>
      <c r="Z663" s="165" t="s">
        <v>16</v>
      </c>
      <c r="AA663" s="165" t="s">
        <v>16</v>
      </c>
      <c r="AB663" s="165" t="s">
        <v>16</v>
      </c>
      <c r="AC663" s="165" t="s">
        <v>16</v>
      </c>
      <c r="AD663" s="165" t="s">
        <v>16</v>
      </c>
      <c r="AE663" s="165" t="s">
        <v>1138</v>
      </c>
      <c r="AF663" s="165" t="s">
        <v>1169</v>
      </c>
    </row>
    <row r="664" spans="1:32" x14ac:dyDescent="0.3">
      <c r="A664" s="165" t="s">
        <v>1170</v>
      </c>
      <c r="B664" s="165" t="s">
        <v>14</v>
      </c>
      <c r="C664" s="165" t="s">
        <v>1131</v>
      </c>
      <c r="D664" s="165" t="s">
        <v>15</v>
      </c>
      <c r="E664" s="157">
        <v>41028</v>
      </c>
      <c r="F664" s="165" t="s">
        <v>16</v>
      </c>
      <c r="G664" s="165" t="s">
        <v>16</v>
      </c>
      <c r="H664" s="165" t="s">
        <v>16</v>
      </c>
      <c r="I664" s="165" t="s">
        <v>16</v>
      </c>
      <c r="J664" s="165" t="s">
        <v>16</v>
      </c>
      <c r="K664" s="165" t="s">
        <v>16</v>
      </c>
      <c r="L664" s="165" t="s">
        <v>16</v>
      </c>
      <c r="M664" s="165" t="s">
        <v>16</v>
      </c>
      <c r="N664" s="165" t="s">
        <v>16</v>
      </c>
      <c r="O664" s="165" t="s">
        <v>16</v>
      </c>
      <c r="P664" s="165" t="s">
        <v>16</v>
      </c>
      <c r="Q664" s="165" t="s">
        <v>16</v>
      </c>
      <c r="R664" s="165" t="s">
        <v>16</v>
      </c>
      <c r="S664" s="165" t="s">
        <v>16</v>
      </c>
      <c r="T664" s="165" t="s">
        <v>16</v>
      </c>
      <c r="U664" s="165" t="s">
        <v>16</v>
      </c>
      <c r="V664" s="165" t="s">
        <v>16</v>
      </c>
      <c r="W664" s="165" t="s">
        <v>16</v>
      </c>
      <c r="X664" s="165" t="s">
        <v>16</v>
      </c>
      <c r="Y664" s="165" t="s">
        <v>16</v>
      </c>
      <c r="Z664" s="165" t="s">
        <v>16</v>
      </c>
      <c r="AA664" s="165" t="s">
        <v>16</v>
      </c>
      <c r="AB664" s="165" t="s">
        <v>16</v>
      </c>
      <c r="AC664" s="165" t="s">
        <v>148</v>
      </c>
      <c r="AD664" s="165" t="s">
        <v>16</v>
      </c>
      <c r="AE664" s="165"/>
      <c r="AF664" s="165"/>
    </row>
    <row r="665" spans="1:32" x14ac:dyDescent="0.3">
      <c r="A665" s="165" t="s">
        <v>1171</v>
      </c>
      <c r="B665" s="165" t="s">
        <v>14</v>
      </c>
      <c r="C665" s="165" t="s">
        <v>1131</v>
      </c>
      <c r="D665" s="165" t="s">
        <v>15</v>
      </c>
      <c r="E665" s="157">
        <v>41028</v>
      </c>
      <c r="F665" s="165" t="s">
        <v>151</v>
      </c>
      <c r="G665" s="165" t="s">
        <v>149</v>
      </c>
      <c r="H665" s="165" t="s">
        <v>149</v>
      </c>
      <c r="I665" s="165" t="s">
        <v>149</v>
      </c>
      <c r="J665" s="165" t="s">
        <v>149</v>
      </c>
      <c r="K665" s="165" t="s">
        <v>151</v>
      </c>
      <c r="L665" s="165" t="s">
        <v>151</v>
      </c>
      <c r="M665" s="165" t="s">
        <v>149</v>
      </c>
      <c r="N665" s="165" t="s">
        <v>150</v>
      </c>
      <c r="O665" s="165" t="s">
        <v>149</v>
      </c>
      <c r="P665" s="165" t="s">
        <v>148</v>
      </c>
      <c r="Q665" s="165" t="s">
        <v>16</v>
      </c>
      <c r="R665" s="165" t="s">
        <v>149</v>
      </c>
      <c r="S665" s="165" t="s">
        <v>149</v>
      </c>
      <c r="T665" s="165" t="s">
        <v>149</v>
      </c>
      <c r="U665" s="165" t="s">
        <v>149</v>
      </c>
      <c r="V665" s="165" t="s">
        <v>16</v>
      </c>
      <c r="W665" s="165" t="s">
        <v>16</v>
      </c>
      <c r="X665" s="165" t="s">
        <v>148</v>
      </c>
      <c r="Y665" s="165" t="s">
        <v>149</v>
      </c>
      <c r="Z665" s="165" t="s">
        <v>151</v>
      </c>
      <c r="AA665" s="165" t="s">
        <v>149</v>
      </c>
      <c r="AB665" s="165" t="s">
        <v>151</v>
      </c>
      <c r="AC665" s="165" t="s">
        <v>148</v>
      </c>
      <c r="AD665" s="165" t="s">
        <v>16</v>
      </c>
      <c r="AE665" s="165" t="s">
        <v>882</v>
      </c>
      <c r="AF665" s="165"/>
    </row>
    <row r="666" spans="1:32" x14ac:dyDescent="0.3">
      <c r="A666" s="165" t="s">
        <v>1172</v>
      </c>
      <c r="B666" s="165" t="s">
        <v>14</v>
      </c>
      <c r="C666" s="165" t="s">
        <v>1131</v>
      </c>
      <c r="D666" s="165" t="s">
        <v>15</v>
      </c>
      <c r="E666" s="157">
        <v>41028</v>
      </c>
      <c r="F666" s="165" t="s">
        <v>16</v>
      </c>
      <c r="G666" s="165" t="s">
        <v>16</v>
      </c>
      <c r="H666" s="165" t="s">
        <v>16</v>
      </c>
      <c r="I666" s="165" t="s">
        <v>16</v>
      </c>
      <c r="J666" s="165" t="s">
        <v>16</v>
      </c>
      <c r="K666" s="165" t="s">
        <v>16</v>
      </c>
      <c r="L666" s="165" t="s">
        <v>16</v>
      </c>
      <c r="M666" s="165" t="s">
        <v>16</v>
      </c>
      <c r="N666" s="165" t="s">
        <v>16</v>
      </c>
      <c r="O666" s="165" t="s">
        <v>16</v>
      </c>
      <c r="P666" s="165" t="s">
        <v>16</v>
      </c>
      <c r="Q666" s="165" t="s">
        <v>16</v>
      </c>
      <c r="R666" s="165" t="s">
        <v>16</v>
      </c>
      <c r="S666" s="165" t="s">
        <v>16</v>
      </c>
      <c r="T666" s="165" t="s">
        <v>16</v>
      </c>
      <c r="U666" s="165" t="s">
        <v>16</v>
      </c>
      <c r="V666" s="165" t="s">
        <v>16</v>
      </c>
      <c r="W666" s="165" t="s">
        <v>16</v>
      </c>
      <c r="X666" s="165" t="s">
        <v>16</v>
      </c>
      <c r="Y666" s="165" t="s">
        <v>16</v>
      </c>
      <c r="Z666" s="165" t="s">
        <v>16</v>
      </c>
      <c r="AA666" s="165" t="s">
        <v>16</v>
      </c>
      <c r="AB666" s="165" t="s">
        <v>16</v>
      </c>
      <c r="AC666" s="165" t="s">
        <v>16</v>
      </c>
      <c r="AD666" s="165" t="s">
        <v>16</v>
      </c>
      <c r="AE666" s="165" t="s">
        <v>1132</v>
      </c>
      <c r="AF666" s="165"/>
    </row>
    <row r="667" spans="1:32" x14ac:dyDescent="0.3">
      <c r="A667" s="165" t="s">
        <v>1173</v>
      </c>
      <c r="B667" s="165" t="s">
        <v>14</v>
      </c>
      <c r="C667" s="165" t="s">
        <v>1131</v>
      </c>
      <c r="D667" s="165" t="s">
        <v>15</v>
      </c>
      <c r="E667" s="157">
        <v>41028</v>
      </c>
      <c r="F667" s="165" t="s">
        <v>148</v>
      </c>
      <c r="G667" s="165" t="s">
        <v>150</v>
      </c>
      <c r="H667" s="165" t="s">
        <v>16</v>
      </c>
      <c r="I667" s="165" t="s">
        <v>149</v>
      </c>
      <c r="J667" s="165" t="s">
        <v>16</v>
      </c>
      <c r="K667" s="165" t="s">
        <v>16</v>
      </c>
      <c r="L667" s="165" t="s">
        <v>16</v>
      </c>
      <c r="M667" s="165" t="s">
        <v>148</v>
      </c>
      <c r="N667" s="165" t="s">
        <v>148</v>
      </c>
      <c r="O667" s="165" t="s">
        <v>148</v>
      </c>
      <c r="P667" s="165" t="s">
        <v>16</v>
      </c>
      <c r="Q667" s="165" t="s">
        <v>150</v>
      </c>
      <c r="R667" s="165" t="s">
        <v>16</v>
      </c>
      <c r="S667" s="165" t="s">
        <v>148</v>
      </c>
      <c r="T667" s="165" t="s">
        <v>16</v>
      </c>
      <c r="U667" s="165" t="s">
        <v>148</v>
      </c>
      <c r="V667" s="165" t="s">
        <v>149</v>
      </c>
      <c r="W667" s="165" t="s">
        <v>149</v>
      </c>
      <c r="X667" s="165" t="s">
        <v>149</v>
      </c>
      <c r="Y667" s="165" t="s">
        <v>114</v>
      </c>
      <c r="Z667" s="165" t="s">
        <v>148</v>
      </c>
      <c r="AA667" s="165" t="s">
        <v>148</v>
      </c>
      <c r="AB667" s="165" t="s">
        <v>148</v>
      </c>
      <c r="AC667" s="165" t="s">
        <v>16</v>
      </c>
      <c r="AD667" s="165" t="s">
        <v>149</v>
      </c>
      <c r="AE667" s="165" t="s">
        <v>1138</v>
      </c>
      <c r="AF667" s="165"/>
    </row>
    <row r="668" spans="1:32" x14ac:dyDescent="0.3">
      <c r="A668" s="165" t="s">
        <v>1174</v>
      </c>
      <c r="B668" s="165" t="s">
        <v>14</v>
      </c>
      <c r="C668" s="165" t="s">
        <v>1131</v>
      </c>
      <c r="D668" s="165" t="s">
        <v>15</v>
      </c>
      <c r="E668" s="157">
        <v>41028</v>
      </c>
      <c r="F668" s="165" t="s">
        <v>16</v>
      </c>
      <c r="G668" s="165" t="s">
        <v>149</v>
      </c>
      <c r="H668" s="165" t="s">
        <v>149</v>
      </c>
      <c r="I668" s="165" t="s">
        <v>16</v>
      </c>
      <c r="J668" s="165" t="s">
        <v>16</v>
      </c>
      <c r="K668" s="165" t="s">
        <v>16</v>
      </c>
      <c r="L668" s="165" t="s">
        <v>16</v>
      </c>
      <c r="M668" s="165" t="s">
        <v>16</v>
      </c>
      <c r="N668" s="165" t="s">
        <v>16</v>
      </c>
      <c r="O668" s="165" t="s">
        <v>16</v>
      </c>
      <c r="P668" s="165" t="s">
        <v>16</v>
      </c>
      <c r="Q668" s="165" t="s">
        <v>16</v>
      </c>
      <c r="R668" s="165" t="s">
        <v>148</v>
      </c>
      <c r="S668" s="165" t="s">
        <v>16</v>
      </c>
      <c r="T668" s="165" t="s">
        <v>148</v>
      </c>
      <c r="U668" s="165" t="s">
        <v>16</v>
      </c>
      <c r="V668" s="165" t="s">
        <v>16</v>
      </c>
      <c r="W668" s="165" t="s">
        <v>16</v>
      </c>
      <c r="X668" s="165" t="s">
        <v>148</v>
      </c>
      <c r="Y668" s="165" t="s">
        <v>16</v>
      </c>
      <c r="Z668" s="165" t="s">
        <v>149</v>
      </c>
      <c r="AA668" s="165" t="s">
        <v>149</v>
      </c>
      <c r="AB668" s="165" t="s">
        <v>16</v>
      </c>
      <c r="AC668" s="165" t="s">
        <v>148</v>
      </c>
      <c r="AD668" s="165" t="s">
        <v>16</v>
      </c>
      <c r="AE668" s="165" t="s">
        <v>1134</v>
      </c>
      <c r="AF668" s="165" t="s">
        <v>1175</v>
      </c>
    </row>
    <row r="669" spans="1:32" x14ac:dyDescent="0.3">
      <c r="A669" s="165" t="s">
        <v>1176</v>
      </c>
      <c r="B669" s="165" t="s">
        <v>14</v>
      </c>
      <c r="C669" s="165" t="s">
        <v>1131</v>
      </c>
      <c r="D669" s="165" t="s">
        <v>15</v>
      </c>
      <c r="E669" s="157">
        <v>41028</v>
      </c>
      <c r="F669" s="165" t="s">
        <v>16</v>
      </c>
      <c r="G669" s="165" t="s">
        <v>16</v>
      </c>
      <c r="H669" s="165" t="s">
        <v>148</v>
      </c>
      <c r="I669" s="165" t="s">
        <v>148</v>
      </c>
      <c r="J669" s="165" t="s">
        <v>16</v>
      </c>
      <c r="K669" s="165" t="s">
        <v>16</v>
      </c>
      <c r="L669" s="165" t="s">
        <v>16</v>
      </c>
      <c r="M669" s="165" t="s">
        <v>16</v>
      </c>
      <c r="N669" s="165" t="s">
        <v>148</v>
      </c>
      <c r="O669" s="165" t="s">
        <v>148</v>
      </c>
      <c r="P669" s="165" t="s">
        <v>148</v>
      </c>
      <c r="Q669" s="165" t="s">
        <v>16</v>
      </c>
      <c r="R669" s="165" t="s">
        <v>16</v>
      </c>
      <c r="S669" s="165" t="s">
        <v>16</v>
      </c>
      <c r="T669" s="165" t="s">
        <v>16</v>
      </c>
      <c r="U669" s="165" t="s">
        <v>16</v>
      </c>
      <c r="V669" s="165" t="s">
        <v>148</v>
      </c>
      <c r="W669" s="165" t="s">
        <v>16</v>
      </c>
      <c r="X669" s="165" t="s">
        <v>16</v>
      </c>
      <c r="Y669" s="165" t="s">
        <v>148</v>
      </c>
      <c r="Z669" s="165" t="s">
        <v>16</v>
      </c>
      <c r="AA669" s="165" t="s">
        <v>148</v>
      </c>
      <c r="AB669" s="165" t="s">
        <v>16</v>
      </c>
      <c r="AC669" s="165" t="s">
        <v>16</v>
      </c>
      <c r="AD669" s="165" t="s">
        <v>16</v>
      </c>
      <c r="AE669" s="165" t="s">
        <v>1138</v>
      </c>
      <c r="AF669" s="165"/>
    </row>
    <row r="670" spans="1:32" x14ac:dyDescent="0.3">
      <c r="A670" s="165" t="s">
        <v>1177</v>
      </c>
      <c r="B670" s="165" t="s">
        <v>14</v>
      </c>
      <c r="C670" s="165" t="s">
        <v>1131</v>
      </c>
      <c r="D670" s="165" t="s">
        <v>15</v>
      </c>
      <c r="E670" s="157">
        <v>41028</v>
      </c>
      <c r="F670" s="165" t="s">
        <v>150</v>
      </c>
      <c r="G670" s="165" t="s">
        <v>148</v>
      </c>
      <c r="H670" s="165" t="s">
        <v>148</v>
      </c>
      <c r="I670" s="165" t="s">
        <v>16</v>
      </c>
      <c r="J670" s="165" t="s">
        <v>16</v>
      </c>
      <c r="K670" s="165" t="s">
        <v>16</v>
      </c>
      <c r="L670" s="165" t="s">
        <v>16</v>
      </c>
      <c r="M670" s="165" t="s">
        <v>16</v>
      </c>
      <c r="N670" s="165" t="s">
        <v>148</v>
      </c>
      <c r="O670" s="165" t="s">
        <v>150</v>
      </c>
      <c r="P670" s="165" t="s">
        <v>148</v>
      </c>
      <c r="Q670" s="165" t="s">
        <v>16</v>
      </c>
      <c r="R670" s="165" t="s">
        <v>148</v>
      </c>
      <c r="S670" s="165" t="s">
        <v>148</v>
      </c>
      <c r="T670" s="165" t="s">
        <v>148</v>
      </c>
      <c r="U670" s="165" t="s">
        <v>148</v>
      </c>
      <c r="V670" s="165" t="s">
        <v>148</v>
      </c>
      <c r="W670" s="165" t="s">
        <v>150</v>
      </c>
      <c r="X670" s="165" t="s">
        <v>16</v>
      </c>
      <c r="Y670" s="165" t="s">
        <v>16</v>
      </c>
      <c r="Z670" s="165" t="s">
        <v>16</v>
      </c>
      <c r="AA670" s="165" t="s">
        <v>16</v>
      </c>
      <c r="AB670" s="165" t="s">
        <v>16</v>
      </c>
      <c r="AC670" s="165" t="s">
        <v>148</v>
      </c>
      <c r="AD670" s="165" t="s">
        <v>16</v>
      </c>
      <c r="AE670" s="165" t="s">
        <v>1134</v>
      </c>
      <c r="AF670" s="165"/>
    </row>
    <row r="674" spans="1:32" x14ac:dyDescent="0.3">
      <c r="A674" s="165"/>
      <c r="B674" s="165"/>
      <c r="C674" s="165"/>
      <c r="D674" s="165"/>
      <c r="E674" s="165"/>
      <c r="F674" s="165" t="s">
        <v>124</v>
      </c>
      <c r="G674" s="165" t="s">
        <v>125</v>
      </c>
      <c r="H674" s="165" t="s">
        <v>126</v>
      </c>
      <c r="I674" s="165" t="s">
        <v>127</v>
      </c>
      <c r="J674" s="165" t="s">
        <v>214</v>
      </c>
      <c r="K674" s="165" t="s">
        <v>128</v>
      </c>
      <c r="L674" s="165" t="s">
        <v>129</v>
      </c>
      <c r="M674" s="165" t="s">
        <v>130</v>
      </c>
      <c r="N674" s="165" t="s">
        <v>131</v>
      </c>
      <c r="O674" s="165" t="s">
        <v>132</v>
      </c>
      <c r="P674" s="165" t="s">
        <v>133</v>
      </c>
      <c r="Q674" s="165" t="s">
        <v>134</v>
      </c>
      <c r="R674" s="165" t="s">
        <v>135</v>
      </c>
      <c r="S674" s="165" t="s">
        <v>136</v>
      </c>
      <c r="T674" s="165" t="s">
        <v>137</v>
      </c>
      <c r="U674" s="165" t="s">
        <v>138</v>
      </c>
      <c r="V674" s="165" t="s">
        <v>139</v>
      </c>
      <c r="W674" s="165" t="s">
        <v>140</v>
      </c>
      <c r="X674" s="165" t="s">
        <v>186</v>
      </c>
      <c r="Y674" s="165" t="s">
        <v>209</v>
      </c>
      <c r="Z674" s="165" t="s">
        <v>141</v>
      </c>
      <c r="AA674" s="165" t="s">
        <v>142</v>
      </c>
      <c r="AB674" s="165" t="s">
        <v>210</v>
      </c>
      <c r="AC674" s="165" t="s">
        <v>1180</v>
      </c>
      <c r="AD674" s="165" t="s">
        <v>144</v>
      </c>
      <c r="AE674" s="165" t="s">
        <v>1181</v>
      </c>
      <c r="AF674" s="165" t="s">
        <v>190</v>
      </c>
    </row>
    <row r="675" spans="1:32" x14ac:dyDescent="0.3">
      <c r="A675" s="165" t="s">
        <v>1182</v>
      </c>
      <c r="B675" s="165" t="s">
        <v>14</v>
      </c>
      <c r="C675" s="165" t="s">
        <v>1183</v>
      </c>
      <c r="D675" s="165" t="s">
        <v>15</v>
      </c>
      <c r="E675" s="157">
        <v>41059</v>
      </c>
      <c r="F675" s="165" t="s">
        <v>16</v>
      </c>
      <c r="G675" s="165" t="s">
        <v>16</v>
      </c>
      <c r="H675" s="165" t="s">
        <v>16</v>
      </c>
      <c r="I675" s="165" t="s">
        <v>16</v>
      </c>
      <c r="J675" s="165" t="s">
        <v>16</v>
      </c>
      <c r="K675" s="165" t="s">
        <v>16</v>
      </c>
      <c r="L675" s="165" t="s">
        <v>16</v>
      </c>
      <c r="M675" s="165" t="s">
        <v>16</v>
      </c>
      <c r="N675" s="165" t="s">
        <v>148</v>
      </c>
      <c r="O675" s="165" t="s">
        <v>16</v>
      </c>
      <c r="P675" s="165" t="s">
        <v>148</v>
      </c>
      <c r="Q675" s="165" t="s">
        <v>16</v>
      </c>
      <c r="R675" s="165" t="s">
        <v>16</v>
      </c>
      <c r="S675" s="165" t="s">
        <v>16</v>
      </c>
      <c r="T675" s="165" t="s">
        <v>16</v>
      </c>
      <c r="U675" s="165" t="s">
        <v>16</v>
      </c>
      <c r="V675" s="165" t="s">
        <v>148</v>
      </c>
      <c r="W675" s="165" t="s">
        <v>16</v>
      </c>
      <c r="X675" s="165" t="s">
        <v>16</v>
      </c>
      <c r="Y675" s="165" t="s">
        <v>16</v>
      </c>
      <c r="Z675" s="165" t="s">
        <v>16</v>
      </c>
      <c r="AA675" s="165" t="s">
        <v>148</v>
      </c>
      <c r="AB675" s="165" t="s">
        <v>16</v>
      </c>
      <c r="AC675" s="165" t="s">
        <v>16</v>
      </c>
      <c r="AD675" s="165" t="s">
        <v>16</v>
      </c>
      <c r="AE675" s="165" t="s">
        <v>1184</v>
      </c>
      <c r="AF675" s="165"/>
    </row>
    <row r="676" spans="1:32" x14ac:dyDescent="0.3">
      <c r="A676" s="165" t="s">
        <v>1185</v>
      </c>
      <c r="B676" s="165" t="s">
        <v>14</v>
      </c>
      <c r="C676" s="165" t="s">
        <v>1183</v>
      </c>
      <c r="D676" s="165" t="s">
        <v>15</v>
      </c>
      <c r="E676" s="157">
        <v>41059</v>
      </c>
      <c r="F676" s="165" t="s">
        <v>16</v>
      </c>
      <c r="G676" s="165" t="s">
        <v>16</v>
      </c>
      <c r="H676" s="165" t="s">
        <v>16</v>
      </c>
      <c r="I676" s="165" t="s">
        <v>148</v>
      </c>
      <c r="J676" s="165" t="s">
        <v>148</v>
      </c>
      <c r="K676" s="165" t="s">
        <v>16</v>
      </c>
      <c r="L676" s="165" t="s">
        <v>16</v>
      </c>
      <c r="M676" s="165" t="s">
        <v>16</v>
      </c>
      <c r="N676" s="165" t="s">
        <v>148</v>
      </c>
      <c r="O676" s="165" t="s">
        <v>148</v>
      </c>
      <c r="P676" s="165" t="s">
        <v>148</v>
      </c>
      <c r="Q676" s="165" t="s">
        <v>16</v>
      </c>
      <c r="R676" s="165" t="s">
        <v>16</v>
      </c>
      <c r="S676" s="165" t="s">
        <v>16</v>
      </c>
      <c r="T676" s="165" t="s">
        <v>16</v>
      </c>
      <c r="U676" s="165" t="s">
        <v>16</v>
      </c>
      <c r="V676" s="165" t="s">
        <v>16</v>
      </c>
      <c r="W676" s="165" t="s">
        <v>16</v>
      </c>
      <c r="X676" s="165" t="s">
        <v>16</v>
      </c>
      <c r="Y676" s="165" t="s">
        <v>114</v>
      </c>
      <c r="Z676" s="165" t="s">
        <v>148</v>
      </c>
      <c r="AA676" s="165" t="s">
        <v>148</v>
      </c>
      <c r="AB676" s="165" t="s">
        <v>16</v>
      </c>
      <c r="AC676" s="165" t="s">
        <v>148</v>
      </c>
      <c r="AD676" s="165" t="s">
        <v>148</v>
      </c>
      <c r="AE676" s="165" t="s">
        <v>882</v>
      </c>
      <c r="AF676" s="165" t="s">
        <v>1186</v>
      </c>
    </row>
    <row r="677" spans="1:32" x14ac:dyDescent="0.3">
      <c r="A677" s="165" t="s">
        <v>1187</v>
      </c>
      <c r="B677" s="165" t="s">
        <v>14</v>
      </c>
      <c r="C677" s="165" t="s">
        <v>1183</v>
      </c>
      <c r="D677" s="165" t="s">
        <v>15</v>
      </c>
      <c r="E677" s="157">
        <v>41059</v>
      </c>
      <c r="F677" s="165" t="s">
        <v>16</v>
      </c>
      <c r="G677" s="165" t="s">
        <v>16</v>
      </c>
      <c r="H677" s="165" t="s">
        <v>16</v>
      </c>
      <c r="I677" s="165" t="s">
        <v>16</v>
      </c>
      <c r="J677" s="165" t="s">
        <v>114</v>
      </c>
      <c r="K677" s="165" t="s">
        <v>16</v>
      </c>
      <c r="L677" s="165" t="s">
        <v>149</v>
      </c>
      <c r="M677" s="165" t="s">
        <v>16</v>
      </c>
      <c r="N677" s="165" t="s">
        <v>16</v>
      </c>
      <c r="O677" s="165" t="s">
        <v>16</v>
      </c>
      <c r="P677" s="165" t="s">
        <v>16</v>
      </c>
      <c r="Q677" s="165" t="s">
        <v>16</v>
      </c>
      <c r="R677" s="165" t="s">
        <v>16</v>
      </c>
      <c r="S677" s="165" t="s">
        <v>16</v>
      </c>
      <c r="T677" s="165" t="s">
        <v>16</v>
      </c>
      <c r="U677" s="165" t="s">
        <v>16</v>
      </c>
      <c r="V677" s="165" t="s">
        <v>16</v>
      </c>
      <c r="W677" s="165" t="s">
        <v>16</v>
      </c>
      <c r="X677" s="165" t="s">
        <v>16</v>
      </c>
      <c r="Y677" s="165" t="s">
        <v>16</v>
      </c>
      <c r="Z677" s="165" t="s">
        <v>16</v>
      </c>
      <c r="AA677" s="165" t="s">
        <v>16</v>
      </c>
      <c r="AB677" s="165" t="s">
        <v>16</v>
      </c>
      <c r="AC677" s="165" t="s">
        <v>16</v>
      </c>
      <c r="AD677" s="165" t="s">
        <v>16</v>
      </c>
      <c r="AE677" s="165" t="s">
        <v>1184</v>
      </c>
      <c r="AF677" s="165"/>
    </row>
    <row r="678" spans="1:32" x14ac:dyDescent="0.3">
      <c r="A678" s="165" t="s">
        <v>1188</v>
      </c>
      <c r="B678" s="165" t="s">
        <v>14</v>
      </c>
      <c r="C678" s="165" t="s">
        <v>1183</v>
      </c>
      <c r="D678" s="165" t="s">
        <v>15</v>
      </c>
      <c r="E678" s="157">
        <v>41059</v>
      </c>
      <c r="F678" s="165" t="s">
        <v>16</v>
      </c>
      <c r="G678" s="165" t="s">
        <v>16</v>
      </c>
      <c r="H678" s="165" t="s">
        <v>16</v>
      </c>
      <c r="I678" s="165" t="s">
        <v>148</v>
      </c>
      <c r="J678" s="165" t="s">
        <v>148</v>
      </c>
      <c r="K678" s="165" t="s">
        <v>16</v>
      </c>
      <c r="L678" s="165" t="s">
        <v>16</v>
      </c>
      <c r="M678" s="165" t="s">
        <v>16</v>
      </c>
      <c r="N678" s="165" t="s">
        <v>148</v>
      </c>
      <c r="O678" s="165" t="s">
        <v>148</v>
      </c>
      <c r="P678" s="165" t="s">
        <v>16</v>
      </c>
      <c r="Q678" s="165" t="s">
        <v>148</v>
      </c>
      <c r="R678" s="165" t="s">
        <v>148</v>
      </c>
      <c r="S678" s="165" t="s">
        <v>16</v>
      </c>
      <c r="T678" s="165" t="s">
        <v>16</v>
      </c>
      <c r="U678" s="165" t="s">
        <v>16</v>
      </c>
      <c r="V678" s="165" t="s">
        <v>16</v>
      </c>
      <c r="W678" s="165" t="s">
        <v>16</v>
      </c>
      <c r="X678" s="165" t="s">
        <v>16</v>
      </c>
      <c r="Y678" s="165" t="s">
        <v>16</v>
      </c>
      <c r="Z678" s="165" t="s">
        <v>16</v>
      </c>
      <c r="AA678" s="165" t="s">
        <v>16</v>
      </c>
      <c r="AB678" s="165" t="s">
        <v>148</v>
      </c>
      <c r="AC678" s="165" t="s">
        <v>148</v>
      </c>
      <c r="AD678" s="165" t="s">
        <v>16</v>
      </c>
      <c r="AE678" s="165" t="s">
        <v>1189</v>
      </c>
      <c r="AF678" s="165"/>
    </row>
    <row r="679" spans="1:32" x14ac:dyDescent="0.3">
      <c r="A679" s="165" t="s">
        <v>1190</v>
      </c>
      <c r="B679" s="165" t="s">
        <v>14</v>
      </c>
      <c r="C679" s="165" t="s">
        <v>1183</v>
      </c>
      <c r="D679" s="165" t="s">
        <v>15</v>
      </c>
      <c r="E679" s="157">
        <v>41059</v>
      </c>
      <c r="F679" s="165" t="s">
        <v>149</v>
      </c>
      <c r="G679" s="165" t="s">
        <v>149</v>
      </c>
      <c r="H679" s="165" t="s">
        <v>149</v>
      </c>
      <c r="I679" s="165" t="s">
        <v>149</v>
      </c>
      <c r="J679" s="165" t="s">
        <v>149</v>
      </c>
      <c r="K679" s="165" t="s">
        <v>149</v>
      </c>
      <c r="L679" s="165" t="s">
        <v>149</v>
      </c>
      <c r="M679" s="165" t="s">
        <v>149</v>
      </c>
      <c r="N679" s="165" t="s">
        <v>150</v>
      </c>
      <c r="O679" s="165" t="s">
        <v>16</v>
      </c>
      <c r="P679" s="165" t="s">
        <v>149</v>
      </c>
      <c r="Q679" s="165" t="s">
        <v>149</v>
      </c>
      <c r="R679" s="165" t="s">
        <v>151</v>
      </c>
      <c r="S679" s="165" t="s">
        <v>16</v>
      </c>
      <c r="T679" s="165" t="s">
        <v>16</v>
      </c>
      <c r="U679" s="165" t="s">
        <v>16</v>
      </c>
      <c r="V679" s="165" t="s">
        <v>151</v>
      </c>
      <c r="W679" s="165" t="s">
        <v>16</v>
      </c>
      <c r="X679" s="165" t="s">
        <v>148</v>
      </c>
      <c r="Y679" s="165" t="s">
        <v>149</v>
      </c>
      <c r="Z679" s="165" t="s">
        <v>149</v>
      </c>
      <c r="AA679" s="165" t="s">
        <v>151</v>
      </c>
      <c r="AB679" s="165" t="s">
        <v>148</v>
      </c>
      <c r="AC679" s="165" t="s">
        <v>148</v>
      </c>
      <c r="AD679" s="165" t="s">
        <v>149</v>
      </c>
      <c r="AE679" s="165"/>
      <c r="AF679" s="165"/>
    </row>
    <row r="680" spans="1:32" x14ac:dyDescent="0.3">
      <c r="A680" s="165" t="s">
        <v>1191</v>
      </c>
      <c r="B680" s="165" t="s">
        <v>14</v>
      </c>
      <c r="C680" s="165" t="s">
        <v>1183</v>
      </c>
      <c r="D680" s="165" t="s">
        <v>15</v>
      </c>
      <c r="E680" s="157">
        <v>41059</v>
      </c>
      <c r="F680" s="165" t="s">
        <v>148</v>
      </c>
      <c r="G680" s="165" t="s">
        <v>114</v>
      </c>
      <c r="H680" s="165" t="s">
        <v>16</v>
      </c>
      <c r="I680" s="165" t="s">
        <v>148</v>
      </c>
      <c r="J680" s="165" t="s">
        <v>16</v>
      </c>
      <c r="K680" s="165" t="s">
        <v>148</v>
      </c>
      <c r="L680" s="165" t="s">
        <v>16</v>
      </c>
      <c r="M680" s="165" t="s">
        <v>148</v>
      </c>
      <c r="N680" s="165" t="s">
        <v>148</v>
      </c>
      <c r="O680" s="165" t="s">
        <v>16</v>
      </c>
      <c r="P680" s="165" t="s">
        <v>16</v>
      </c>
      <c r="Q680" s="165" t="s">
        <v>16</v>
      </c>
      <c r="R680" s="165" t="s">
        <v>148</v>
      </c>
      <c r="S680" s="165" t="s">
        <v>148</v>
      </c>
      <c r="T680" s="165" t="s">
        <v>148</v>
      </c>
      <c r="U680" s="165" t="s">
        <v>148</v>
      </c>
      <c r="V680" s="165" t="s">
        <v>16</v>
      </c>
      <c r="W680" s="165" t="s">
        <v>16</v>
      </c>
      <c r="X680" s="165" t="s">
        <v>148</v>
      </c>
      <c r="Y680" s="165" t="s">
        <v>16</v>
      </c>
      <c r="Z680" s="165" t="s">
        <v>16</v>
      </c>
      <c r="AA680" s="165" t="s">
        <v>16</v>
      </c>
      <c r="AB680" s="165" t="s">
        <v>16</v>
      </c>
      <c r="AC680" s="165" t="s">
        <v>148</v>
      </c>
      <c r="AD680" s="165" t="s">
        <v>16</v>
      </c>
      <c r="AE680" s="165" t="s">
        <v>1184</v>
      </c>
      <c r="AF680" s="165"/>
    </row>
    <row r="681" spans="1:32" x14ac:dyDescent="0.3">
      <c r="A681" s="165" t="s">
        <v>1192</v>
      </c>
      <c r="B681" s="165" t="s">
        <v>14</v>
      </c>
      <c r="C681" s="165" t="s">
        <v>1183</v>
      </c>
      <c r="D681" s="165" t="s">
        <v>15</v>
      </c>
      <c r="E681" s="157">
        <v>41059</v>
      </c>
      <c r="F681" s="165" t="s">
        <v>16</v>
      </c>
      <c r="G681" s="165" t="s">
        <v>16</v>
      </c>
      <c r="H681" s="165" t="s">
        <v>16</v>
      </c>
      <c r="I681" s="165" t="s">
        <v>16</v>
      </c>
      <c r="J681" s="165" t="s">
        <v>16</v>
      </c>
      <c r="K681" s="165" t="s">
        <v>16</v>
      </c>
      <c r="L681" s="165" t="s">
        <v>16</v>
      </c>
      <c r="M681" s="165" t="s">
        <v>16</v>
      </c>
      <c r="N681" s="165" t="s">
        <v>16</v>
      </c>
      <c r="O681" s="165" t="s">
        <v>16</v>
      </c>
      <c r="P681" s="165" t="s">
        <v>16</v>
      </c>
      <c r="Q681" s="165" t="s">
        <v>16</v>
      </c>
      <c r="R681" s="165" t="s">
        <v>16</v>
      </c>
      <c r="S681" s="165" t="s">
        <v>16</v>
      </c>
      <c r="T681" s="165" t="s">
        <v>16</v>
      </c>
      <c r="U681" s="165" t="s">
        <v>16</v>
      </c>
      <c r="V681" s="165" t="s">
        <v>16</v>
      </c>
      <c r="W681" s="165" t="s">
        <v>16</v>
      </c>
      <c r="X681" s="165" t="s">
        <v>16</v>
      </c>
      <c r="Y681" s="165" t="s">
        <v>16</v>
      </c>
      <c r="Z681" s="165" t="s">
        <v>16</v>
      </c>
      <c r="AA681" s="165" t="s">
        <v>16</v>
      </c>
      <c r="AB681" s="165" t="s">
        <v>16</v>
      </c>
      <c r="AC681" s="165" t="s">
        <v>16</v>
      </c>
      <c r="AD681" s="165" t="s">
        <v>16</v>
      </c>
      <c r="AE681" s="165" t="s">
        <v>1193</v>
      </c>
      <c r="AF681" s="165"/>
    </row>
    <row r="682" spans="1:32" x14ac:dyDescent="0.3">
      <c r="A682" s="165" t="s">
        <v>1194</v>
      </c>
      <c r="B682" s="165" t="s">
        <v>14</v>
      </c>
      <c r="C682" s="165" t="s">
        <v>1183</v>
      </c>
      <c r="D682" s="165" t="s">
        <v>15</v>
      </c>
      <c r="E682" s="157">
        <v>41059</v>
      </c>
      <c r="F682" s="165" t="s">
        <v>16</v>
      </c>
      <c r="G682" s="165" t="s">
        <v>16</v>
      </c>
      <c r="H682" s="165" t="s">
        <v>16</v>
      </c>
      <c r="I682" s="165" t="s">
        <v>148</v>
      </c>
      <c r="J682" s="165" t="s">
        <v>16</v>
      </c>
      <c r="K682" s="165" t="s">
        <v>16</v>
      </c>
      <c r="L682" s="165" t="s">
        <v>16</v>
      </c>
      <c r="M682" s="165" t="s">
        <v>16</v>
      </c>
      <c r="N682" s="165" t="s">
        <v>148</v>
      </c>
      <c r="O682" s="165" t="s">
        <v>16</v>
      </c>
      <c r="P682" s="165" t="s">
        <v>16</v>
      </c>
      <c r="Q682" s="165" t="s">
        <v>16</v>
      </c>
      <c r="R682" s="165" t="s">
        <v>148</v>
      </c>
      <c r="S682" s="165" t="s">
        <v>16</v>
      </c>
      <c r="T682" s="165" t="s">
        <v>16</v>
      </c>
      <c r="U682" s="165" t="s">
        <v>148</v>
      </c>
      <c r="V682" s="165" t="s">
        <v>16</v>
      </c>
      <c r="W682" s="165" t="s">
        <v>16</v>
      </c>
      <c r="X682" s="165" t="s">
        <v>16</v>
      </c>
      <c r="Y682" s="165" t="s">
        <v>16</v>
      </c>
      <c r="Z682" s="165" t="s">
        <v>148</v>
      </c>
      <c r="AA682" s="165" t="s">
        <v>16</v>
      </c>
      <c r="AB682" s="165" t="s">
        <v>16</v>
      </c>
      <c r="AC682" s="165" t="s">
        <v>16</v>
      </c>
      <c r="AD682" s="165" t="s">
        <v>16</v>
      </c>
      <c r="AE682" s="165" t="s">
        <v>1195</v>
      </c>
      <c r="AF682" s="165" t="s">
        <v>1196</v>
      </c>
    </row>
    <row r="683" spans="1:32" x14ac:dyDescent="0.3">
      <c r="A683" s="165" t="s">
        <v>1197</v>
      </c>
      <c r="B683" s="165" t="s">
        <v>14</v>
      </c>
      <c r="C683" s="165" t="s">
        <v>1183</v>
      </c>
      <c r="D683" s="165" t="s">
        <v>15</v>
      </c>
      <c r="E683" s="157">
        <v>41059</v>
      </c>
      <c r="F683" s="165" t="s">
        <v>148</v>
      </c>
      <c r="G683" s="165" t="s">
        <v>16</v>
      </c>
      <c r="H683" s="165" t="s">
        <v>16</v>
      </c>
      <c r="I683" s="165" t="s">
        <v>149</v>
      </c>
      <c r="J683" s="165" t="s">
        <v>16</v>
      </c>
      <c r="K683" s="165" t="s">
        <v>16</v>
      </c>
      <c r="L683" s="165" t="s">
        <v>16</v>
      </c>
      <c r="M683" s="165" t="s">
        <v>16</v>
      </c>
      <c r="N683" s="165" t="s">
        <v>16</v>
      </c>
      <c r="O683" s="165" t="s">
        <v>16</v>
      </c>
      <c r="P683" s="165" t="s">
        <v>16</v>
      </c>
      <c r="Q683" s="165" t="s">
        <v>148</v>
      </c>
      <c r="R683" s="165" t="s">
        <v>16</v>
      </c>
      <c r="S683" s="165" t="s">
        <v>16</v>
      </c>
      <c r="T683" s="165" t="s">
        <v>16</v>
      </c>
      <c r="U683" s="165" t="s">
        <v>16</v>
      </c>
      <c r="V683" s="165" t="s">
        <v>16</v>
      </c>
      <c r="W683" s="165" t="s">
        <v>150</v>
      </c>
      <c r="X683" s="165" t="s">
        <v>16</v>
      </c>
      <c r="Y683" s="165" t="s">
        <v>16</v>
      </c>
      <c r="Z683" s="165" t="s">
        <v>16</v>
      </c>
      <c r="AA683" s="165" t="s">
        <v>16</v>
      </c>
      <c r="AB683" s="165" t="s">
        <v>16</v>
      </c>
      <c r="AC683" s="165" t="s">
        <v>16</v>
      </c>
      <c r="AD683" s="165" t="s">
        <v>16</v>
      </c>
      <c r="AE683" s="165" t="s">
        <v>1184</v>
      </c>
      <c r="AF683" s="165"/>
    </row>
    <row r="684" spans="1:32" x14ac:dyDescent="0.3">
      <c r="A684" s="165" t="s">
        <v>1198</v>
      </c>
      <c r="B684" s="165" t="s">
        <v>14</v>
      </c>
      <c r="C684" s="165" t="s">
        <v>1183</v>
      </c>
      <c r="D684" s="165" t="s">
        <v>15</v>
      </c>
      <c r="E684" s="157">
        <v>41059</v>
      </c>
      <c r="F684" s="165" t="s">
        <v>16</v>
      </c>
      <c r="G684" s="165" t="s">
        <v>16</v>
      </c>
      <c r="H684" s="165" t="s">
        <v>148</v>
      </c>
      <c r="I684" s="165" t="s">
        <v>16</v>
      </c>
      <c r="J684" s="165" t="s">
        <v>16</v>
      </c>
      <c r="K684" s="165" t="s">
        <v>16</v>
      </c>
      <c r="L684" s="165" t="s">
        <v>16</v>
      </c>
      <c r="M684" s="165" t="s">
        <v>16</v>
      </c>
      <c r="N684" s="165" t="s">
        <v>16</v>
      </c>
      <c r="O684" s="165" t="s">
        <v>16</v>
      </c>
      <c r="P684" s="165" t="s">
        <v>16</v>
      </c>
      <c r="Q684" s="165" t="s">
        <v>16</v>
      </c>
      <c r="R684" s="165" t="s">
        <v>16</v>
      </c>
      <c r="S684" s="165" t="s">
        <v>16</v>
      </c>
      <c r="T684" s="165" t="s">
        <v>16</v>
      </c>
      <c r="U684" s="165" t="s">
        <v>16</v>
      </c>
      <c r="V684" s="165" t="s">
        <v>16</v>
      </c>
      <c r="W684" s="165" t="s">
        <v>16</v>
      </c>
      <c r="X684" s="165" t="s">
        <v>16</v>
      </c>
      <c r="Y684" s="165" t="s">
        <v>16</v>
      </c>
      <c r="Z684" s="165" t="s">
        <v>16</v>
      </c>
      <c r="AA684" s="165" t="s">
        <v>16</v>
      </c>
      <c r="AB684" s="165" t="s">
        <v>16</v>
      </c>
      <c r="AC684" s="165" t="s">
        <v>16</v>
      </c>
      <c r="AD684" s="165" t="s">
        <v>16</v>
      </c>
      <c r="AE684" s="165" t="s">
        <v>1199</v>
      </c>
      <c r="AF684" s="165"/>
    </row>
    <row r="685" spans="1:32" x14ac:dyDescent="0.3">
      <c r="A685" s="165" t="s">
        <v>1200</v>
      </c>
      <c r="B685" s="165" t="s">
        <v>14</v>
      </c>
      <c r="C685" s="165" t="s">
        <v>1183</v>
      </c>
      <c r="D685" s="165" t="s">
        <v>15</v>
      </c>
      <c r="E685" s="157">
        <v>41059</v>
      </c>
      <c r="F685" s="165" t="s">
        <v>16</v>
      </c>
      <c r="G685" s="165" t="s">
        <v>149</v>
      </c>
      <c r="H685" s="165" t="s">
        <v>16</v>
      </c>
      <c r="I685" s="165" t="s">
        <v>148</v>
      </c>
      <c r="J685" s="165" t="s">
        <v>16</v>
      </c>
      <c r="K685" s="165" t="s">
        <v>16</v>
      </c>
      <c r="L685" s="165" t="s">
        <v>16</v>
      </c>
      <c r="M685" s="165" t="s">
        <v>16</v>
      </c>
      <c r="N685" s="165" t="s">
        <v>16</v>
      </c>
      <c r="O685" s="165" t="s">
        <v>16</v>
      </c>
      <c r="P685" s="165" t="s">
        <v>16</v>
      </c>
      <c r="Q685" s="165" t="s">
        <v>16</v>
      </c>
      <c r="R685" s="165" t="s">
        <v>16</v>
      </c>
      <c r="S685" s="165" t="s">
        <v>16</v>
      </c>
      <c r="T685" s="165" t="s">
        <v>16</v>
      </c>
      <c r="U685" s="165" t="s">
        <v>16</v>
      </c>
      <c r="V685" s="165" t="s">
        <v>16</v>
      </c>
      <c r="W685" s="165" t="s">
        <v>16</v>
      </c>
      <c r="X685" s="165" t="s">
        <v>16</v>
      </c>
      <c r="Y685" s="165" t="s">
        <v>16</v>
      </c>
      <c r="Z685" s="165" t="s">
        <v>16</v>
      </c>
      <c r="AA685" s="165" t="s">
        <v>16</v>
      </c>
      <c r="AB685" s="165" t="s">
        <v>16</v>
      </c>
      <c r="AC685" s="165" t="s">
        <v>16</v>
      </c>
      <c r="AD685" s="165" t="s">
        <v>16</v>
      </c>
      <c r="AE685" s="165" t="s">
        <v>1184</v>
      </c>
      <c r="AF685" s="165"/>
    </row>
    <row r="686" spans="1:32" x14ac:dyDescent="0.3">
      <c r="A686" s="165" t="s">
        <v>1201</v>
      </c>
      <c r="B686" s="165" t="s">
        <v>14</v>
      </c>
      <c r="C686" s="165" t="s">
        <v>1183</v>
      </c>
      <c r="D686" s="165" t="s">
        <v>15</v>
      </c>
      <c r="E686" s="157">
        <v>41059</v>
      </c>
      <c r="F686" s="165" t="s">
        <v>16</v>
      </c>
      <c r="G686" s="165" t="s">
        <v>16</v>
      </c>
      <c r="H686" s="165" t="s">
        <v>16</v>
      </c>
      <c r="I686" s="165" t="s">
        <v>16</v>
      </c>
      <c r="J686" s="165" t="s">
        <v>16</v>
      </c>
      <c r="K686" s="165" t="s">
        <v>16</v>
      </c>
      <c r="L686" s="165" t="s">
        <v>16</v>
      </c>
      <c r="M686" s="165" t="s">
        <v>16</v>
      </c>
      <c r="N686" s="165" t="s">
        <v>16</v>
      </c>
      <c r="O686" s="165" t="s">
        <v>16</v>
      </c>
      <c r="P686" s="165" t="s">
        <v>16</v>
      </c>
      <c r="Q686" s="165" t="s">
        <v>16</v>
      </c>
      <c r="R686" s="165" t="s">
        <v>16</v>
      </c>
      <c r="S686" s="165" t="s">
        <v>16</v>
      </c>
      <c r="T686" s="165" t="s">
        <v>16</v>
      </c>
      <c r="U686" s="165" t="s">
        <v>16</v>
      </c>
      <c r="V686" s="165" t="s">
        <v>16</v>
      </c>
      <c r="W686" s="165" t="s">
        <v>16</v>
      </c>
      <c r="X686" s="165" t="s">
        <v>16</v>
      </c>
      <c r="Y686" s="165" t="s">
        <v>16</v>
      </c>
      <c r="Z686" s="165" t="s">
        <v>16</v>
      </c>
      <c r="AA686" s="165" t="s">
        <v>16</v>
      </c>
      <c r="AB686" s="165" t="s">
        <v>148</v>
      </c>
      <c r="AC686" s="165" t="s">
        <v>16</v>
      </c>
      <c r="AD686" s="165" t="s">
        <v>16</v>
      </c>
      <c r="AE686" s="165" t="s">
        <v>1184</v>
      </c>
      <c r="AF686" s="165"/>
    </row>
    <row r="687" spans="1:32" x14ac:dyDescent="0.3">
      <c r="A687" s="165" t="s">
        <v>1202</v>
      </c>
      <c r="B687" s="165" t="s">
        <v>14</v>
      </c>
      <c r="C687" s="165" t="s">
        <v>1183</v>
      </c>
      <c r="D687" s="165" t="s">
        <v>15</v>
      </c>
      <c r="E687" s="157">
        <v>41059</v>
      </c>
      <c r="F687" s="165" t="s">
        <v>16</v>
      </c>
      <c r="G687" s="165" t="s">
        <v>16</v>
      </c>
      <c r="H687" s="165" t="s">
        <v>16</v>
      </c>
      <c r="I687" s="165" t="s">
        <v>16</v>
      </c>
      <c r="J687" s="165" t="s">
        <v>16</v>
      </c>
      <c r="K687" s="165" t="s">
        <v>16</v>
      </c>
      <c r="L687" s="165" t="s">
        <v>16</v>
      </c>
      <c r="M687" s="165" t="s">
        <v>148</v>
      </c>
      <c r="N687" s="165" t="s">
        <v>16</v>
      </c>
      <c r="O687" s="165" t="s">
        <v>16</v>
      </c>
      <c r="P687" s="165" t="s">
        <v>16</v>
      </c>
      <c r="Q687" s="165" t="s">
        <v>16</v>
      </c>
      <c r="R687" s="165" t="s">
        <v>16</v>
      </c>
      <c r="S687" s="165" t="s">
        <v>16</v>
      </c>
      <c r="T687" s="165" t="s">
        <v>16</v>
      </c>
      <c r="U687" s="165" t="s">
        <v>16</v>
      </c>
      <c r="V687" s="165" t="s">
        <v>148</v>
      </c>
      <c r="W687" s="165" t="s">
        <v>16</v>
      </c>
      <c r="X687" s="165" t="s">
        <v>16</v>
      </c>
      <c r="Y687" s="165" t="s">
        <v>16</v>
      </c>
      <c r="Z687" s="165" t="s">
        <v>16</v>
      </c>
      <c r="AA687" s="165" t="s">
        <v>16</v>
      </c>
      <c r="AB687" s="165" t="s">
        <v>16</v>
      </c>
      <c r="AC687" s="165" t="s">
        <v>16</v>
      </c>
      <c r="AD687" s="165" t="s">
        <v>16</v>
      </c>
      <c r="AE687" s="165" t="s">
        <v>1184</v>
      </c>
      <c r="AF687" s="165" t="s">
        <v>1203</v>
      </c>
    </row>
    <row r="688" spans="1:32" x14ac:dyDescent="0.3">
      <c r="A688" s="165" t="s">
        <v>1204</v>
      </c>
      <c r="B688" s="165" t="s">
        <v>14</v>
      </c>
      <c r="C688" s="165" t="s">
        <v>1183</v>
      </c>
      <c r="D688" s="165" t="s">
        <v>15</v>
      </c>
      <c r="E688" s="157">
        <v>41059</v>
      </c>
      <c r="F688" s="165" t="s">
        <v>16</v>
      </c>
      <c r="G688" s="165" t="s">
        <v>16</v>
      </c>
      <c r="H688" s="165" t="s">
        <v>16</v>
      </c>
      <c r="I688" s="165" t="s">
        <v>148</v>
      </c>
      <c r="J688" s="165" t="s">
        <v>16</v>
      </c>
      <c r="K688" s="165" t="s">
        <v>16</v>
      </c>
      <c r="L688" s="165" t="s">
        <v>149</v>
      </c>
      <c r="M688" s="165" t="s">
        <v>148</v>
      </c>
      <c r="N688" s="165" t="s">
        <v>16</v>
      </c>
      <c r="O688" s="165" t="s">
        <v>148</v>
      </c>
      <c r="P688" s="165" t="s">
        <v>148</v>
      </c>
      <c r="Q688" s="165" t="s">
        <v>16</v>
      </c>
      <c r="R688" s="165" t="s">
        <v>16</v>
      </c>
      <c r="S688" s="165" t="s">
        <v>149</v>
      </c>
      <c r="T688" s="165" t="s">
        <v>16</v>
      </c>
      <c r="U688" s="165" t="s">
        <v>148</v>
      </c>
      <c r="V688" s="165" t="s">
        <v>16</v>
      </c>
      <c r="W688" s="165" t="s">
        <v>16</v>
      </c>
      <c r="X688" s="165" t="s">
        <v>16</v>
      </c>
      <c r="Y688" s="165" t="s">
        <v>16</v>
      </c>
      <c r="Z688" s="165" t="s">
        <v>148</v>
      </c>
      <c r="AA688" s="165" t="s">
        <v>16</v>
      </c>
      <c r="AB688" s="165" t="s">
        <v>16</v>
      </c>
      <c r="AC688" s="165" t="s">
        <v>16</v>
      </c>
      <c r="AD688" s="165" t="s">
        <v>16</v>
      </c>
      <c r="AE688" s="165" t="s">
        <v>1195</v>
      </c>
      <c r="AF688" s="165"/>
    </row>
    <row r="689" spans="1:32" x14ac:dyDescent="0.3">
      <c r="A689" s="165" t="s">
        <v>1205</v>
      </c>
      <c r="B689" s="165" t="s">
        <v>14</v>
      </c>
      <c r="C689" s="165" t="s">
        <v>1183</v>
      </c>
      <c r="D689" s="165" t="s">
        <v>15</v>
      </c>
      <c r="E689" s="157">
        <v>41059</v>
      </c>
      <c r="F689" s="165" t="s">
        <v>16</v>
      </c>
      <c r="G689" s="165" t="s">
        <v>16</v>
      </c>
      <c r="H689" s="165" t="s">
        <v>16</v>
      </c>
      <c r="I689" s="165" t="s">
        <v>16</v>
      </c>
      <c r="J689" s="165" t="s">
        <v>16</v>
      </c>
      <c r="K689" s="165" t="s">
        <v>16</v>
      </c>
      <c r="L689" s="165" t="s">
        <v>16</v>
      </c>
      <c r="M689" s="165" t="s">
        <v>16</v>
      </c>
      <c r="N689" s="165" t="s">
        <v>148</v>
      </c>
      <c r="O689" s="165" t="s">
        <v>16</v>
      </c>
      <c r="P689" s="165" t="s">
        <v>16</v>
      </c>
      <c r="Q689" s="165" t="s">
        <v>16</v>
      </c>
      <c r="R689" s="165" t="s">
        <v>16</v>
      </c>
      <c r="S689" s="165" t="s">
        <v>16</v>
      </c>
      <c r="T689" s="165" t="s">
        <v>16</v>
      </c>
      <c r="U689" s="165" t="s">
        <v>16</v>
      </c>
      <c r="V689" s="165" t="s">
        <v>16</v>
      </c>
      <c r="W689" s="165" t="s">
        <v>16</v>
      </c>
      <c r="X689" s="165" t="s">
        <v>16</v>
      </c>
      <c r="Y689" s="165" t="s">
        <v>16</v>
      </c>
      <c r="Z689" s="165" t="s">
        <v>16</v>
      </c>
      <c r="AA689" s="165" t="s">
        <v>16</v>
      </c>
      <c r="AB689" s="165" t="s">
        <v>16</v>
      </c>
      <c r="AC689" s="165" t="s">
        <v>16</v>
      </c>
      <c r="AD689" s="165" t="s">
        <v>16</v>
      </c>
      <c r="AE689" s="165" t="s">
        <v>1195</v>
      </c>
      <c r="AF689" s="165"/>
    </row>
    <row r="690" spans="1:32" x14ac:dyDescent="0.3">
      <c r="A690" s="165" t="s">
        <v>1206</v>
      </c>
      <c r="B690" s="165" t="s">
        <v>14</v>
      </c>
      <c r="C690" s="165" t="s">
        <v>1183</v>
      </c>
      <c r="D690" s="165" t="s">
        <v>15</v>
      </c>
      <c r="E690" s="157">
        <v>41059</v>
      </c>
      <c r="F690" s="165" t="s">
        <v>148</v>
      </c>
      <c r="G690" s="165" t="s">
        <v>16</v>
      </c>
      <c r="H690" s="165" t="s">
        <v>16</v>
      </c>
      <c r="I690" s="165" t="s">
        <v>16</v>
      </c>
      <c r="J690" s="165" t="s">
        <v>16</v>
      </c>
      <c r="K690" s="165" t="s">
        <v>16</v>
      </c>
      <c r="L690" s="165" t="s">
        <v>16</v>
      </c>
      <c r="M690" s="165" t="s">
        <v>149</v>
      </c>
      <c r="N690" s="165" t="s">
        <v>16</v>
      </c>
      <c r="O690" s="165" t="s">
        <v>148</v>
      </c>
      <c r="P690" s="165" t="s">
        <v>148</v>
      </c>
      <c r="Q690" s="165" t="s">
        <v>16</v>
      </c>
      <c r="R690" s="165" t="s">
        <v>16</v>
      </c>
      <c r="S690" s="165" t="s">
        <v>148</v>
      </c>
      <c r="T690" s="165" t="s">
        <v>16</v>
      </c>
      <c r="U690" s="165" t="s">
        <v>16</v>
      </c>
      <c r="V690" s="165" t="s">
        <v>16</v>
      </c>
      <c r="W690" s="165" t="s">
        <v>16</v>
      </c>
      <c r="X690" s="165" t="s">
        <v>16</v>
      </c>
      <c r="Y690" s="165" t="s">
        <v>16</v>
      </c>
      <c r="Z690" s="165" t="s">
        <v>16</v>
      </c>
      <c r="AA690" s="165" t="s">
        <v>16</v>
      </c>
      <c r="AB690" s="165" t="s">
        <v>16</v>
      </c>
      <c r="AC690" s="165" t="s">
        <v>16</v>
      </c>
      <c r="AD690" s="165" t="s">
        <v>16</v>
      </c>
      <c r="AE690" s="165"/>
      <c r="AF690" s="165"/>
    </row>
    <row r="691" spans="1:32" x14ac:dyDescent="0.3">
      <c r="A691" s="165" t="s">
        <v>1207</v>
      </c>
      <c r="B691" s="165" t="s">
        <v>14</v>
      </c>
      <c r="C691" s="165" t="s">
        <v>1183</v>
      </c>
      <c r="D691" s="165" t="s">
        <v>15</v>
      </c>
      <c r="E691" s="157">
        <v>41059</v>
      </c>
      <c r="F691" s="165" t="s">
        <v>16</v>
      </c>
      <c r="G691" s="165" t="s">
        <v>16</v>
      </c>
      <c r="H691" s="165" t="s">
        <v>16</v>
      </c>
      <c r="I691" s="165" t="s">
        <v>16</v>
      </c>
      <c r="J691" s="165" t="s">
        <v>16</v>
      </c>
      <c r="K691" s="165" t="s">
        <v>16</v>
      </c>
      <c r="L691" s="165" t="s">
        <v>16</v>
      </c>
      <c r="M691" s="165" t="s">
        <v>16</v>
      </c>
      <c r="N691" s="165" t="s">
        <v>148</v>
      </c>
      <c r="O691" s="165" t="s">
        <v>16</v>
      </c>
      <c r="P691" s="165" t="s">
        <v>148</v>
      </c>
      <c r="Q691" s="165" t="s">
        <v>16</v>
      </c>
      <c r="R691" s="165" t="s">
        <v>16</v>
      </c>
      <c r="S691" s="165" t="s">
        <v>16</v>
      </c>
      <c r="T691" s="165" t="s">
        <v>148</v>
      </c>
      <c r="U691" s="165" t="s">
        <v>16</v>
      </c>
      <c r="V691" s="165" t="s">
        <v>148</v>
      </c>
      <c r="W691" s="165" t="s">
        <v>148</v>
      </c>
      <c r="X691" s="165" t="s">
        <v>16</v>
      </c>
      <c r="Y691" s="165" t="s">
        <v>16</v>
      </c>
      <c r="Z691" s="165" t="s">
        <v>16</v>
      </c>
      <c r="AA691" s="165" t="s">
        <v>16</v>
      </c>
      <c r="AB691" s="165" t="s">
        <v>16</v>
      </c>
      <c r="AC691" s="165" t="s">
        <v>16</v>
      </c>
      <c r="AD691" s="165" t="s">
        <v>148</v>
      </c>
      <c r="AE691" s="165" t="s">
        <v>1184</v>
      </c>
      <c r="AF691" s="165" t="s">
        <v>1208</v>
      </c>
    </row>
    <row r="692" spans="1:32" x14ac:dyDescent="0.3">
      <c r="A692" s="165" t="s">
        <v>1209</v>
      </c>
      <c r="B692" s="165" t="s">
        <v>14</v>
      </c>
      <c r="C692" s="165" t="s">
        <v>1183</v>
      </c>
      <c r="D692" s="165" t="s">
        <v>15</v>
      </c>
      <c r="E692" s="157">
        <v>41059</v>
      </c>
      <c r="F692" s="165" t="s">
        <v>150</v>
      </c>
      <c r="G692" s="165" t="s">
        <v>16</v>
      </c>
      <c r="H692" s="165" t="s">
        <v>148</v>
      </c>
      <c r="I692" s="165" t="s">
        <v>148</v>
      </c>
      <c r="J692" s="165" t="s">
        <v>16</v>
      </c>
      <c r="K692" s="165" t="s">
        <v>148</v>
      </c>
      <c r="L692" s="165" t="s">
        <v>148</v>
      </c>
      <c r="M692" s="165" t="s">
        <v>16</v>
      </c>
      <c r="N692" s="165" t="s">
        <v>150</v>
      </c>
      <c r="O692" s="165" t="s">
        <v>16</v>
      </c>
      <c r="P692" s="165" t="s">
        <v>16</v>
      </c>
      <c r="Q692" s="165" t="s">
        <v>16</v>
      </c>
      <c r="R692" s="165" t="s">
        <v>150</v>
      </c>
      <c r="S692" s="165" t="s">
        <v>16</v>
      </c>
      <c r="T692" s="165" t="s">
        <v>148</v>
      </c>
      <c r="U692" s="165" t="s">
        <v>148</v>
      </c>
      <c r="V692" s="165" t="s">
        <v>148</v>
      </c>
      <c r="W692" s="165" t="s">
        <v>150</v>
      </c>
      <c r="X692" s="165" t="s">
        <v>150</v>
      </c>
      <c r="Y692" s="165" t="s">
        <v>148</v>
      </c>
      <c r="Z692" s="165" t="s">
        <v>148</v>
      </c>
      <c r="AA692" s="165" t="s">
        <v>148</v>
      </c>
      <c r="AB692" s="165" t="s">
        <v>149</v>
      </c>
      <c r="AC692" s="165" t="s">
        <v>148</v>
      </c>
      <c r="AD692" s="165" t="s">
        <v>150</v>
      </c>
      <c r="AE692" s="165"/>
      <c r="AF692" s="165"/>
    </row>
    <row r="693" spans="1:32" x14ac:dyDescent="0.3">
      <c r="A693" s="165" t="s">
        <v>1210</v>
      </c>
      <c r="B693" s="165" t="s">
        <v>1140</v>
      </c>
      <c r="C693" s="165" t="s">
        <v>1183</v>
      </c>
      <c r="D693" s="165" t="s">
        <v>15</v>
      </c>
      <c r="E693" s="157">
        <v>41059</v>
      </c>
      <c r="F693" s="165" t="s">
        <v>150</v>
      </c>
      <c r="G693" s="165" t="s">
        <v>16</v>
      </c>
      <c r="H693" s="165" t="s">
        <v>16</v>
      </c>
      <c r="I693" s="165" t="s">
        <v>16</v>
      </c>
      <c r="J693" s="165" t="s">
        <v>16</v>
      </c>
      <c r="K693" s="165" t="s">
        <v>150</v>
      </c>
      <c r="L693" s="165" t="s">
        <v>150</v>
      </c>
      <c r="M693" s="165" t="s">
        <v>16</v>
      </c>
      <c r="N693" s="165" t="s">
        <v>16</v>
      </c>
      <c r="O693" s="165" t="s">
        <v>16</v>
      </c>
      <c r="P693" s="165" t="s">
        <v>16</v>
      </c>
      <c r="Q693" s="165" t="s">
        <v>16</v>
      </c>
      <c r="R693" s="165" t="s">
        <v>16</v>
      </c>
      <c r="S693" s="165" t="s">
        <v>16</v>
      </c>
      <c r="T693" s="165" t="s">
        <v>16</v>
      </c>
      <c r="U693" s="165" t="s">
        <v>16</v>
      </c>
      <c r="V693" s="165" t="s">
        <v>16</v>
      </c>
      <c r="W693" s="165" t="s">
        <v>148</v>
      </c>
      <c r="X693" s="165" t="s">
        <v>16</v>
      </c>
      <c r="Y693" s="165" t="s">
        <v>16</v>
      </c>
      <c r="Z693" s="165" t="s">
        <v>16</v>
      </c>
      <c r="AA693" s="165" t="s">
        <v>16</v>
      </c>
      <c r="AB693" s="165" t="s">
        <v>16</v>
      </c>
      <c r="AC693" s="165" t="s">
        <v>16</v>
      </c>
      <c r="AD693" s="165" t="s">
        <v>16</v>
      </c>
      <c r="AE693" s="165" t="s">
        <v>1184</v>
      </c>
      <c r="AF693" s="165"/>
    </row>
    <row r="694" spans="1:32" x14ac:dyDescent="0.3">
      <c r="A694" s="165" t="s">
        <v>1211</v>
      </c>
      <c r="B694" s="165" t="s">
        <v>14</v>
      </c>
      <c r="C694" s="165" t="s">
        <v>1183</v>
      </c>
      <c r="D694" s="165" t="s">
        <v>15</v>
      </c>
      <c r="E694" s="157">
        <v>41059</v>
      </c>
      <c r="F694" s="165" t="s">
        <v>16</v>
      </c>
      <c r="G694" s="165" t="s">
        <v>16</v>
      </c>
      <c r="H694" s="165" t="s">
        <v>148</v>
      </c>
      <c r="I694" s="165" t="s">
        <v>148</v>
      </c>
      <c r="J694" s="165" t="s">
        <v>148</v>
      </c>
      <c r="K694" s="165" t="s">
        <v>150</v>
      </c>
      <c r="L694" s="165" t="s">
        <v>16</v>
      </c>
      <c r="M694" s="165" t="s">
        <v>148</v>
      </c>
      <c r="N694" s="165" t="s">
        <v>16</v>
      </c>
      <c r="O694" s="165" t="s">
        <v>148</v>
      </c>
      <c r="P694" s="165" t="s">
        <v>148</v>
      </c>
      <c r="Q694" s="165" t="s">
        <v>148</v>
      </c>
      <c r="R694" s="165" t="s">
        <v>150</v>
      </c>
      <c r="S694" s="165" t="s">
        <v>148</v>
      </c>
      <c r="T694" s="165" t="s">
        <v>148</v>
      </c>
      <c r="U694" s="165" t="s">
        <v>16</v>
      </c>
      <c r="V694" s="165" t="s">
        <v>148</v>
      </c>
      <c r="W694" s="165" t="s">
        <v>16</v>
      </c>
      <c r="X694" s="165" t="s">
        <v>148</v>
      </c>
      <c r="Y694" s="165" t="s">
        <v>16</v>
      </c>
      <c r="Z694" s="165" t="s">
        <v>149</v>
      </c>
      <c r="AA694" s="165" t="s">
        <v>16</v>
      </c>
      <c r="AB694" s="165" t="s">
        <v>16</v>
      </c>
      <c r="AC694" s="165" t="s">
        <v>148</v>
      </c>
      <c r="AD694" s="165" t="s">
        <v>16</v>
      </c>
      <c r="AE694" s="165" t="s">
        <v>1212</v>
      </c>
      <c r="AF694" s="165" t="s">
        <v>1213</v>
      </c>
    </row>
    <row r="695" spans="1:32" x14ac:dyDescent="0.3">
      <c r="A695" s="165" t="s">
        <v>1214</v>
      </c>
      <c r="B695" s="165" t="s">
        <v>14</v>
      </c>
      <c r="C695" s="165" t="s">
        <v>1183</v>
      </c>
      <c r="D695" s="165" t="s">
        <v>15</v>
      </c>
      <c r="E695" s="157">
        <v>41059</v>
      </c>
      <c r="F695" s="165" t="s">
        <v>16</v>
      </c>
      <c r="G695" s="165" t="s">
        <v>16</v>
      </c>
      <c r="H695" s="165" t="s">
        <v>16</v>
      </c>
      <c r="I695" s="165" t="s">
        <v>16</v>
      </c>
      <c r="J695" s="165" t="s">
        <v>16</v>
      </c>
      <c r="K695" s="165" t="s">
        <v>16</v>
      </c>
      <c r="L695" s="165" t="s">
        <v>16</v>
      </c>
      <c r="M695" s="165" t="s">
        <v>16</v>
      </c>
      <c r="N695" s="165" t="s">
        <v>148</v>
      </c>
      <c r="O695" s="165" t="s">
        <v>16</v>
      </c>
      <c r="P695" s="165" t="s">
        <v>16</v>
      </c>
      <c r="Q695" s="165" t="s">
        <v>16</v>
      </c>
      <c r="R695" s="165" t="s">
        <v>16</v>
      </c>
      <c r="S695" s="165" t="s">
        <v>16</v>
      </c>
      <c r="T695" s="165" t="s">
        <v>16</v>
      </c>
      <c r="U695" s="165" t="s">
        <v>16</v>
      </c>
      <c r="V695" s="165" t="s">
        <v>16</v>
      </c>
      <c r="W695" s="165" t="s">
        <v>16</v>
      </c>
      <c r="X695" s="165" t="s">
        <v>16</v>
      </c>
      <c r="Y695" s="165" t="s">
        <v>114</v>
      </c>
      <c r="Z695" s="165" t="s">
        <v>16</v>
      </c>
      <c r="AA695" s="165" t="s">
        <v>16</v>
      </c>
      <c r="AB695" s="165" t="s">
        <v>16</v>
      </c>
      <c r="AC695" s="165" t="s">
        <v>16</v>
      </c>
      <c r="AD695" s="165" t="s">
        <v>148</v>
      </c>
      <c r="AE695" s="165" t="s">
        <v>1195</v>
      </c>
      <c r="AF695" s="165"/>
    </row>
    <row r="696" spans="1:32" x14ac:dyDescent="0.3">
      <c r="A696" s="165" t="s">
        <v>1215</v>
      </c>
      <c r="B696" s="165" t="s">
        <v>14</v>
      </c>
      <c r="C696" s="165" t="s">
        <v>1183</v>
      </c>
      <c r="D696" s="165" t="s">
        <v>15</v>
      </c>
      <c r="E696" s="157">
        <v>41059</v>
      </c>
      <c r="F696" s="165" t="s">
        <v>151</v>
      </c>
      <c r="G696" s="165" t="s">
        <v>149</v>
      </c>
      <c r="H696" s="165" t="s">
        <v>16</v>
      </c>
      <c r="I696" s="165" t="s">
        <v>16</v>
      </c>
      <c r="J696" s="165" t="s">
        <v>16</v>
      </c>
      <c r="K696" s="165" t="s">
        <v>151</v>
      </c>
      <c r="L696" s="165" t="s">
        <v>16</v>
      </c>
      <c r="M696" s="165" t="s">
        <v>16</v>
      </c>
      <c r="N696" s="165" t="s">
        <v>150</v>
      </c>
      <c r="O696" s="165" t="s">
        <v>16</v>
      </c>
      <c r="P696" s="165" t="s">
        <v>16</v>
      </c>
      <c r="Q696" s="165" t="s">
        <v>151</v>
      </c>
      <c r="R696" s="165" t="s">
        <v>149</v>
      </c>
      <c r="S696" s="165" t="s">
        <v>16</v>
      </c>
      <c r="T696" s="165" t="s">
        <v>16</v>
      </c>
      <c r="U696" s="165" t="s">
        <v>16</v>
      </c>
      <c r="V696" s="165" t="s">
        <v>151</v>
      </c>
      <c r="W696" s="165" t="s">
        <v>151</v>
      </c>
      <c r="X696" s="165" t="s">
        <v>16</v>
      </c>
      <c r="Y696" s="165" t="s">
        <v>16</v>
      </c>
      <c r="Z696" s="165" t="s">
        <v>16</v>
      </c>
      <c r="AA696" s="165" t="s">
        <v>16</v>
      </c>
      <c r="AB696" s="165" t="s">
        <v>16</v>
      </c>
      <c r="AC696" s="165" t="s">
        <v>16</v>
      </c>
      <c r="AD696" s="165" t="s">
        <v>16</v>
      </c>
      <c r="AE696" s="165" t="s">
        <v>1212</v>
      </c>
      <c r="AF696" s="165"/>
    </row>
    <row r="697" spans="1:32" x14ac:dyDescent="0.3">
      <c r="A697" s="165" t="s">
        <v>1216</v>
      </c>
      <c r="B697" s="165" t="s">
        <v>14</v>
      </c>
      <c r="C697" s="165" t="s">
        <v>1183</v>
      </c>
      <c r="D697" s="165" t="s">
        <v>15</v>
      </c>
      <c r="E697" s="157">
        <v>41059</v>
      </c>
      <c r="F697" s="165" t="s">
        <v>16</v>
      </c>
      <c r="G697" s="165" t="s">
        <v>16</v>
      </c>
      <c r="H697" s="165" t="s">
        <v>148</v>
      </c>
      <c r="I697" s="165" t="s">
        <v>150</v>
      </c>
      <c r="J697" s="165" t="s">
        <v>16</v>
      </c>
      <c r="K697" s="165" t="s">
        <v>16</v>
      </c>
      <c r="L697" s="165" t="s">
        <v>16</v>
      </c>
      <c r="M697" s="165" t="s">
        <v>16</v>
      </c>
      <c r="N697" s="165" t="s">
        <v>16</v>
      </c>
      <c r="O697" s="165" t="s">
        <v>150</v>
      </c>
      <c r="P697" s="165" t="s">
        <v>16</v>
      </c>
      <c r="Q697" s="165" t="s">
        <v>16</v>
      </c>
      <c r="R697" s="165" t="s">
        <v>148</v>
      </c>
      <c r="S697" s="165" t="s">
        <v>16</v>
      </c>
      <c r="T697" s="165" t="s">
        <v>16</v>
      </c>
      <c r="U697" s="165" t="s">
        <v>16</v>
      </c>
      <c r="V697" s="165" t="s">
        <v>16</v>
      </c>
      <c r="W697" s="165" t="s">
        <v>16</v>
      </c>
      <c r="X697" s="165" t="s">
        <v>16</v>
      </c>
      <c r="Y697" s="165" t="s">
        <v>114</v>
      </c>
      <c r="Z697" s="165" t="s">
        <v>149</v>
      </c>
      <c r="AA697" s="165" t="s">
        <v>16</v>
      </c>
      <c r="AB697" s="165" t="s">
        <v>16</v>
      </c>
      <c r="AC697" s="165" t="s">
        <v>148</v>
      </c>
      <c r="AD697" s="165" t="s">
        <v>16</v>
      </c>
      <c r="AE697" s="165" t="s">
        <v>1184</v>
      </c>
      <c r="AF697" s="165"/>
    </row>
    <row r="698" spans="1:32" x14ac:dyDescent="0.3">
      <c r="A698" s="165" t="s">
        <v>1217</v>
      </c>
      <c r="B698" s="165" t="s">
        <v>14</v>
      </c>
      <c r="C698" s="165" t="s">
        <v>1183</v>
      </c>
      <c r="D698" s="165" t="s">
        <v>15</v>
      </c>
      <c r="E698" s="157">
        <v>41059</v>
      </c>
      <c r="F698" s="165" t="s">
        <v>16</v>
      </c>
      <c r="G698" s="165" t="s">
        <v>16</v>
      </c>
      <c r="H698" s="165" t="s">
        <v>16</v>
      </c>
      <c r="I698" s="165" t="s">
        <v>148</v>
      </c>
      <c r="J698" s="165" t="s">
        <v>148</v>
      </c>
      <c r="K698" s="165" t="s">
        <v>148</v>
      </c>
      <c r="L698" s="165" t="s">
        <v>148</v>
      </c>
      <c r="M698" s="165" t="s">
        <v>148</v>
      </c>
      <c r="N698" s="165" t="s">
        <v>148</v>
      </c>
      <c r="O698" s="165" t="s">
        <v>16</v>
      </c>
      <c r="P698" s="165" t="s">
        <v>148</v>
      </c>
      <c r="Q698" s="165" t="s">
        <v>16</v>
      </c>
      <c r="R698" s="165" t="s">
        <v>16</v>
      </c>
      <c r="S698" s="165" t="s">
        <v>148</v>
      </c>
      <c r="T698" s="165" t="s">
        <v>16</v>
      </c>
      <c r="U698" s="165" t="s">
        <v>148</v>
      </c>
      <c r="V698" s="165" t="s">
        <v>148</v>
      </c>
      <c r="W698" s="165" t="s">
        <v>16</v>
      </c>
      <c r="X698" s="165" t="s">
        <v>16</v>
      </c>
      <c r="Y698" s="165" t="s">
        <v>16</v>
      </c>
      <c r="Z698" s="165" t="s">
        <v>149</v>
      </c>
      <c r="AA698" s="165" t="s">
        <v>148</v>
      </c>
      <c r="AB698" s="165" t="s">
        <v>16</v>
      </c>
      <c r="AC698" s="165" t="s">
        <v>16</v>
      </c>
      <c r="AD698" s="165" t="s">
        <v>148</v>
      </c>
      <c r="AE698" s="165" t="s">
        <v>1195</v>
      </c>
      <c r="AF698" s="165"/>
    </row>
    <row r="699" spans="1:32" x14ac:dyDescent="0.3">
      <c r="A699" s="165" t="s">
        <v>1218</v>
      </c>
      <c r="B699" s="165" t="s">
        <v>14</v>
      </c>
      <c r="C699" s="165" t="s">
        <v>1183</v>
      </c>
      <c r="D699" s="165" t="s">
        <v>15</v>
      </c>
      <c r="E699" s="157">
        <v>41059</v>
      </c>
      <c r="F699" s="165" t="s">
        <v>16</v>
      </c>
      <c r="G699" s="165" t="s">
        <v>16</v>
      </c>
      <c r="H699" s="165" t="s">
        <v>16</v>
      </c>
      <c r="I699" s="165" t="s">
        <v>16</v>
      </c>
      <c r="J699" s="165" t="s">
        <v>16</v>
      </c>
      <c r="K699" s="165" t="s">
        <v>149</v>
      </c>
      <c r="L699" s="165" t="s">
        <v>16</v>
      </c>
      <c r="M699" s="165" t="s">
        <v>16</v>
      </c>
      <c r="N699" s="165" t="s">
        <v>148</v>
      </c>
      <c r="O699" s="165" t="s">
        <v>16</v>
      </c>
      <c r="P699" s="165" t="s">
        <v>16</v>
      </c>
      <c r="Q699" s="165" t="s">
        <v>16</v>
      </c>
      <c r="R699" s="165" t="s">
        <v>16</v>
      </c>
      <c r="S699" s="165" t="s">
        <v>16</v>
      </c>
      <c r="T699" s="165" t="s">
        <v>16</v>
      </c>
      <c r="U699" s="165" t="s">
        <v>16</v>
      </c>
      <c r="V699" s="165" t="s">
        <v>148</v>
      </c>
      <c r="W699" s="165" t="s">
        <v>148</v>
      </c>
      <c r="X699" s="165" t="s">
        <v>16</v>
      </c>
      <c r="Y699" s="165" t="s">
        <v>16</v>
      </c>
      <c r="Z699" s="165" t="s">
        <v>16</v>
      </c>
      <c r="AA699" s="165" t="s">
        <v>16</v>
      </c>
      <c r="AB699" s="165" t="s">
        <v>16</v>
      </c>
      <c r="AC699" s="165" t="s">
        <v>16</v>
      </c>
      <c r="AD699" s="165" t="s">
        <v>16</v>
      </c>
      <c r="AE699" s="165" t="s">
        <v>1219</v>
      </c>
      <c r="AF699" s="165"/>
    </row>
    <row r="700" spans="1:32" x14ac:dyDescent="0.3">
      <c r="A700" s="165" t="s">
        <v>1220</v>
      </c>
      <c r="B700" s="165" t="s">
        <v>14</v>
      </c>
      <c r="C700" s="165" t="s">
        <v>1183</v>
      </c>
      <c r="D700" s="165" t="s">
        <v>15</v>
      </c>
      <c r="E700" s="157">
        <v>41059</v>
      </c>
      <c r="F700" s="165" t="s">
        <v>16</v>
      </c>
      <c r="G700" s="165" t="s">
        <v>16</v>
      </c>
      <c r="H700" s="165" t="s">
        <v>16</v>
      </c>
      <c r="I700" s="165" t="s">
        <v>16</v>
      </c>
      <c r="J700" s="165" t="s">
        <v>16</v>
      </c>
      <c r="K700" s="165" t="s">
        <v>16</v>
      </c>
      <c r="L700" s="165" t="s">
        <v>16</v>
      </c>
      <c r="M700" s="165" t="s">
        <v>16</v>
      </c>
      <c r="N700" s="165" t="s">
        <v>148</v>
      </c>
      <c r="O700" s="165" t="s">
        <v>16</v>
      </c>
      <c r="P700" s="165" t="s">
        <v>16</v>
      </c>
      <c r="Q700" s="165" t="s">
        <v>16</v>
      </c>
      <c r="R700" s="165" t="s">
        <v>16</v>
      </c>
      <c r="S700" s="165" t="s">
        <v>16</v>
      </c>
      <c r="T700" s="165" t="s">
        <v>16</v>
      </c>
      <c r="U700" s="165" t="s">
        <v>148</v>
      </c>
      <c r="V700" s="165" t="s">
        <v>16</v>
      </c>
      <c r="W700" s="165" t="s">
        <v>16</v>
      </c>
      <c r="X700" s="165" t="s">
        <v>16</v>
      </c>
      <c r="Y700" s="165" t="s">
        <v>16</v>
      </c>
      <c r="Z700" s="165" t="s">
        <v>16</v>
      </c>
      <c r="AA700" s="165" t="s">
        <v>16</v>
      </c>
      <c r="AB700" s="165" t="s">
        <v>16</v>
      </c>
      <c r="AC700" s="165" t="s">
        <v>16</v>
      </c>
      <c r="AD700" s="165" t="s">
        <v>16</v>
      </c>
      <c r="AE700" s="165"/>
      <c r="AF700" s="165"/>
    </row>
    <row r="701" spans="1:32" x14ac:dyDescent="0.3">
      <c r="A701" s="165" t="s">
        <v>1221</v>
      </c>
      <c r="B701" s="165" t="s">
        <v>14</v>
      </c>
      <c r="C701" s="165" t="s">
        <v>1183</v>
      </c>
      <c r="D701" s="165" t="s">
        <v>15</v>
      </c>
      <c r="E701" s="157">
        <v>41059</v>
      </c>
      <c r="F701" s="165" t="s">
        <v>148</v>
      </c>
      <c r="G701" s="165" t="s">
        <v>16</v>
      </c>
      <c r="H701" s="165" t="s">
        <v>149</v>
      </c>
      <c r="I701" s="165" t="s">
        <v>149</v>
      </c>
      <c r="J701" s="165" t="s">
        <v>149</v>
      </c>
      <c r="K701" s="165" t="s">
        <v>149</v>
      </c>
      <c r="L701" s="165" t="s">
        <v>149</v>
      </c>
      <c r="M701" s="165" t="s">
        <v>149</v>
      </c>
      <c r="N701" s="165" t="s">
        <v>148</v>
      </c>
      <c r="O701" s="165" t="s">
        <v>148</v>
      </c>
      <c r="P701" s="165" t="s">
        <v>148</v>
      </c>
      <c r="Q701" s="165" t="s">
        <v>16</v>
      </c>
      <c r="R701" s="165" t="s">
        <v>16</v>
      </c>
      <c r="S701" s="165" t="s">
        <v>148</v>
      </c>
      <c r="T701" s="165" t="s">
        <v>16</v>
      </c>
      <c r="U701" s="165" t="s">
        <v>149</v>
      </c>
      <c r="V701" s="165" t="s">
        <v>149</v>
      </c>
      <c r="W701" s="165" t="s">
        <v>148</v>
      </c>
      <c r="X701" s="165" t="s">
        <v>149</v>
      </c>
      <c r="Y701" s="165" t="s">
        <v>149</v>
      </c>
      <c r="Z701" s="165" t="s">
        <v>148</v>
      </c>
      <c r="AA701" s="165" t="s">
        <v>16</v>
      </c>
      <c r="AB701" s="165" t="s">
        <v>148</v>
      </c>
      <c r="AC701" s="165" t="s">
        <v>148</v>
      </c>
      <c r="AD701" s="165" t="s">
        <v>149</v>
      </c>
      <c r="AE701" s="165" t="s">
        <v>1184</v>
      </c>
      <c r="AF701" s="165" t="s">
        <v>1222</v>
      </c>
    </row>
    <row r="702" spans="1:32" x14ac:dyDescent="0.3">
      <c r="A702" s="165" t="s">
        <v>1223</v>
      </c>
      <c r="B702" s="165" t="s">
        <v>14</v>
      </c>
      <c r="C702" s="165" t="s">
        <v>1183</v>
      </c>
      <c r="D702" s="165" t="s">
        <v>15</v>
      </c>
      <c r="E702" s="157">
        <v>41059</v>
      </c>
      <c r="F702" s="165" t="s">
        <v>16</v>
      </c>
      <c r="G702" s="165" t="s">
        <v>16</v>
      </c>
      <c r="H702" s="165" t="s">
        <v>16</v>
      </c>
      <c r="I702" s="165" t="s">
        <v>16</v>
      </c>
      <c r="J702" s="165" t="s">
        <v>16</v>
      </c>
      <c r="K702" s="165" t="s">
        <v>16</v>
      </c>
      <c r="L702" s="165" t="s">
        <v>16</v>
      </c>
      <c r="M702" s="165" t="s">
        <v>16</v>
      </c>
      <c r="N702" s="165" t="s">
        <v>16</v>
      </c>
      <c r="O702" s="165" t="s">
        <v>16</v>
      </c>
      <c r="P702" s="165" t="s">
        <v>16</v>
      </c>
      <c r="Q702" s="165" t="s">
        <v>16</v>
      </c>
      <c r="R702" s="165" t="s">
        <v>16</v>
      </c>
      <c r="S702" s="165" t="s">
        <v>16</v>
      </c>
      <c r="T702" s="165" t="s">
        <v>16</v>
      </c>
      <c r="U702" s="165" t="s">
        <v>16</v>
      </c>
      <c r="V702" s="165" t="s">
        <v>16</v>
      </c>
      <c r="W702" s="165" t="s">
        <v>16</v>
      </c>
      <c r="X702" s="165" t="s">
        <v>16</v>
      </c>
      <c r="Y702" s="165" t="s">
        <v>16</v>
      </c>
      <c r="Z702" s="165" t="s">
        <v>16</v>
      </c>
      <c r="AA702" s="165" t="s">
        <v>16</v>
      </c>
      <c r="AB702" s="165" t="s">
        <v>16</v>
      </c>
      <c r="AC702" s="165" t="s">
        <v>16</v>
      </c>
      <c r="AD702" s="165" t="s">
        <v>16</v>
      </c>
      <c r="AE702" s="165"/>
      <c r="AF702" s="165"/>
    </row>
    <row r="703" spans="1:32" x14ac:dyDescent="0.3">
      <c r="A703" s="165" t="s">
        <v>1224</v>
      </c>
      <c r="B703" s="165" t="s">
        <v>14</v>
      </c>
      <c r="C703" s="165" t="s">
        <v>1183</v>
      </c>
      <c r="D703" s="165" t="s">
        <v>15</v>
      </c>
      <c r="E703" s="157">
        <v>41059</v>
      </c>
      <c r="F703" s="165" t="s">
        <v>16</v>
      </c>
      <c r="G703" s="165" t="s">
        <v>16</v>
      </c>
      <c r="H703" s="165" t="s">
        <v>16</v>
      </c>
      <c r="I703" s="165" t="s">
        <v>16</v>
      </c>
      <c r="J703" s="165" t="s">
        <v>16</v>
      </c>
      <c r="K703" s="165" t="s">
        <v>16</v>
      </c>
      <c r="L703" s="165" t="s">
        <v>16</v>
      </c>
      <c r="M703" s="165" t="s">
        <v>16</v>
      </c>
      <c r="N703" s="165" t="s">
        <v>16</v>
      </c>
      <c r="O703" s="165" t="s">
        <v>16</v>
      </c>
      <c r="P703" s="165" t="s">
        <v>16</v>
      </c>
      <c r="Q703" s="165" t="s">
        <v>16</v>
      </c>
      <c r="R703" s="165" t="s">
        <v>16</v>
      </c>
      <c r="S703" s="165" t="s">
        <v>16</v>
      </c>
      <c r="T703" s="165" t="s">
        <v>16</v>
      </c>
      <c r="U703" s="165" t="s">
        <v>16</v>
      </c>
      <c r="V703" s="165" t="s">
        <v>16</v>
      </c>
      <c r="W703" s="165" t="s">
        <v>16</v>
      </c>
      <c r="X703" s="165" t="s">
        <v>148</v>
      </c>
      <c r="Y703" s="165" t="s">
        <v>16</v>
      </c>
      <c r="Z703" s="165" t="s">
        <v>16</v>
      </c>
      <c r="AA703" s="165" t="s">
        <v>16</v>
      </c>
      <c r="AB703" s="165" t="s">
        <v>16</v>
      </c>
      <c r="AC703" s="165" t="s">
        <v>16</v>
      </c>
      <c r="AD703" s="165" t="s">
        <v>16</v>
      </c>
      <c r="AE703" s="165" t="s">
        <v>1225</v>
      </c>
      <c r="AF703" s="165"/>
    </row>
    <row r="704" spans="1:32" x14ac:dyDescent="0.3">
      <c r="A704" s="165" t="s">
        <v>1226</v>
      </c>
      <c r="B704" s="165" t="s">
        <v>14</v>
      </c>
      <c r="C704" s="165" t="s">
        <v>1183</v>
      </c>
      <c r="D704" s="165" t="s">
        <v>15</v>
      </c>
      <c r="E704" s="157">
        <v>41059</v>
      </c>
      <c r="F704" s="165" t="s">
        <v>16</v>
      </c>
      <c r="G704" s="165" t="s">
        <v>16</v>
      </c>
      <c r="H704" s="165" t="s">
        <v>16</v>
      </c>
      <c r="I704" s="165" t="s">
        <v>16</v>
      </c>
      <c r="J704" s="165" t="s">
        <v>16</v>
      </c>
      <c r="K704" s="165" t="s">
        <v>16</v>
      </c>
      <c r="L704" s="165" t="s">
        <v>16</v>
      </c>
      <c r="M704" s="165" t="s">
        <v>16</v>
      </c>
      <c r="N704" s="165" t="s">
        <v>16</v>
      </c>
      <c r="O704" s="165" t="s">
        <v>16</v>
      </c>
      <c r="P704" s="165" t="s">
        <v>16</v>
      </c>
      <c r="Q704" s="165" t="s">
        <v>16</v>
      </c>
      <c r="R704" s="165" t="s">
        <v>16</v>
      </c>
      <c r="S704" s="165" t="s">
        <v>16</v>
      </c>
      <c r="T704" s="165" t="s">
        <v>16</v>
      </c>
      <c r="U704" s="165" t="s">
        <v>16</v>
      </c>
      <c r="V704" s="165" t="s">
        <v>16</v>
      </c>
      <c r="W704" s="165" t="s">
        <v>16</v>
      </c>
      <c r="X704" s="165" t="s">
        <v>16</v>
      </c>
      <c r="Y704" s="165" t="s">
        <v>16</v>
      </c>
      <c r="Z704" s="165" t="s">
        <v>16</v>
      </c>
      <c r="AA704" s="165" t="s">
        <v>16</v>
      </c>
      <c r="AB704" s="165" t="s">
        <v>16</v>
      </c>
      <c r="AC704" s="165" t="s">
        <v>16</v>
      </c>
      <c r="AD704" s="165" t="s">
        <v>16</v>
      </c>
      <c r="AE704" s="165"/>
      <c r="AF704" s="165"/>
    </row>
    <row r="705" spans="1:32" x14ac:dyDescent="0.3">
      <c r="A705" s="165" t="s">
        <v>1227</v>
      </c>
      <c r="B705" s="165" t="s">
        <v>14</v>
      </c>
      <c r="C705" s="165" t="s">
        <v>1183</v>
      </c>
      <c r="D705" s="165" t="s">
        <v>15</v>
      </c>
      <c r="E705" s="157">
        <v>41059</v>
      </c>
      <c r="F705" s="165" t="s">
        <v>16</v>
      </c>
      <c r="G705" s="165" t="s">
        <v>16</v>
      </c>
      <c r="H705" s="165" t="s">
        <v>16</v>
      </c>
      <c r="I705" s="165" t="s">
        <v>16</v>
      </c>
      <c r="J705" s="165" t="s">
        <v>16</v>
      </c>
      <c r="K705" s="165" t="s">
        <v>16</v>
      </c>
      <c r="L705" s="165" t="s">
        <v>16</v>
      </c>
      <c r="M705" s="165" t="s">
        <v>16</v>
      </c>
      <c r="N705" s="165" t="s">
        <v>16</v>
      </c>
      <c r="O705" s="165" t="s">
        <v>16</v>
      </c>
      <c r="P705" s="165" t="s">
        <v>16</v>
      </c>
      <c r="Q705" s="165" t="s">
        <v>16</v>
      </c>
      <c r="R705" s="165" t="s">
        <v>16</v>
      </c>
      <c r="S705" s="165" t="s">
        <v>16</v>
      </c>
      <c r="T705" s="165" t="s">
        <v>16</v>
      </c>
      <c r="U705" s="165" t="s">
        <v>16</v>
      </c>
      <c r="V705" s="165" t="s">
        <v>16</v>
      </c>
      <c r="W705" s="165" t="s">
        <v>16</v>
      </c>
      <c r="X705" s="165" t="s">
        <v>16</v>
      </c>
      <c r="Y705" s="165" t="s">
        <v>16</v>
      </c>
      <c r="Z705" s="165" t="s">
        <v>16</v>
      </c>
      <c r="AA705" s="165" t="s">
        <v>16</v>
      </c>
      <c r="AB705" s="165" t="s">
        <v>16</v>
      </c>
      <c r="AC705" s="165" t="s">
        <v>16</v>
      </c>
      <c r="AD705" s="165" t="s">
        <v>148</v>
      </c>
      <c r="AE705" s="165" t="s">
        <v>1199</v>
      </c>
      <c r="AF705" s="165"/>
    </row>
    <row r="708" spans="1:32" x14ac:dyDescent="0.3">
      <c r="A708" s="165"/>
      <c r="B708" s="165"/>
      <c r="C708" s="165"/>
      <c r="D708" s="165"/>
      <c r="E708" s="165"/>
      <c r="F708" s="165" t="s">
        <v>124</v>
      </c>
      <c r="G708" s="165" t="s">
        <v>125</v>
      </c>
      <c r="H708" s="165" t="s">
        <v>126</v>
      </c>
      <c r="I708" s="165" t="s">
        <v>127</v>
      </c>
      <c r="J708" s="165" t="s">
        <v>214</v>
      </c>
      <c r="K708" s="165" t="s">
        <v>128</v>
      </c>
      <c r="L708" s="165" t="s">
        <v>129</v>
      </c>
      <c r="M708" s="165" t="s">
        <v>130</v>
      </c>
      <c r="N708" s="165" t="s">
        <v>131</v>
      </c>
      <c r="O708" s="165" t="s">
        <v>132</v>
      </c>
      <c r="P708" s="165" t="s">
        <v>133</v>
      </c>
      <c r="Q708" s="165" t="s">
        <v>134</v>
      </c>
      <c r="R708" s="165" t="s">
        <v>135</v>
      </c>
      <c r="S708" s="165" t="s">
        <v>136</v>
      </c>
      <c r="T708" s="165" t="s">
        <v>137</v>
      </c>
      <c r="U708" s="165" t="s">
        <v>138</v>
      </c>
      <c r="V708" s="165" t="s">
        <v>139</v>
      </c>
      <c r="W708" s="165" t="s">
        <v>140</v>
      </c>
      <c r="X708" s="165" t="s">
        <v>186</v>
      </c>
      <c r="Y708" s="165" t="s">
        <v>209</v>
      </c>
      <c r="Z708" s="165" t="s">
        <v>141</v>
      </c>
      <c r="AA708" s="165" t="s">
        <v>142</v>
      </c>
      <c r="AB708" s="165" t="s">
        <v>210</v>
      </c>
      <c r="AC708" s="165" t="s">
        <v>1180</v>
      </c>
      <c r="AD708" s="165" t="s">
        <v>144</v>
      </c>
      <c r="AE708" s="165" t="s">
        <v>1247</v>
      </c>
      <c r="AF708" s="165" t="s">
        <v>190</v>
      </c>
    </row>
    <row r="709" spans="1:32" x14ac:dyDescent="0.3">
      <c r="A709" s="165" t="s">
        <v>1248</v>
      </c>
      <c r="B709" s="165" t="s">
        <v>14</v>
      </c>
      <c r="C709" s="165" t="s">
        <v>1249</v>
      </c>
      <c r="D709" s="165" t="s">
        <v>15</v>
      </c>
      <c r="E709" s="157">
        <v>41089</v>
      </c>
      <c r="F709" s="165" t="s">
        <v>151</v>
      </c>
      <c r="G709" s="165" t="s">
        <v>151</v>
      </c>
      <c r="H709" s="165" t="s">
        <v>149</v>
      </c>
      <c r="I709" s="165" t="s">
        <v>16</v>
      </c>
      <c r="J709" s="165" t="s">
        <v>16</v>
      </c>
      <c r="K709" s="165" t="s">
        <v>151</v>
      </c>
      <c r="L709" s="165" t="s">
        <v>151</v>
      </c>
      <c r="M709" s="165" t="s">
        <v>149</v>
      </c>
      <c r="N709" s="165" t="s">
        <v>148</v>
      </c>
      <c r="O709" s="165" t="s">
        <v>149</v>
      </c>
      <c r="P709" s="165" t="s">
        <v>149</v>
      </c>
      <c r="Q709" s="165" t="s">
        <v>16</v>
      </c>
      <c r="R709" s="165" t="s">
        <v>149</v>
      </c>
      <c r="S709" s="165" t="s">
        <v>149</v>
      </c>
      <c r="T709" s="165" t="s">
        <v>149</v>
      </c>
      <c r="U709" s="165" t="s">
        <v>149</v>
      </c>
      <c r="V709" s="165" t="s">
        <v>151</v>
      </c>
      <c r="W709" s="165" t="s">
        <v>16</v>
      </c>
      <c r="X709" s="165" t="s">
        <v>148</v>
      </c>
      <c r="Y709" s="165" t="s">
        <v>149</v>
      </c>
      <c r="Z709" s="165" t="s">
        <v>16</v>
      </c>
      <c r="AA709" s="165" t="s">
        <v>149</v>
      </c>
      <c r="AB709" s="165" t="s">
        <v>148</v>
      </c>
      <c r="AC709" s="165" t="s">
        <v>148</v>
      </c>
      <c r="AD709" s="165" t="s">
        <v>148</v>
      </c>
      <c r="AE709" s="165" t="s">
        <v>1250</v>
      </c>
      <c r="AF709" s="165"/>
    </row>
    <row r="710" spans="1:32" x14ac:dyDescent="0.3">
      <c r="A710" s="165" t="s">
        <v>1251</v>
      </c>
      <c r="B710" s="165" t="s">
        <v>14</v>
      </c>
      <c r="C710" s="165" t="s">
        <v>1249</v>
      </c>
      <c r="D710" s="165" t="s">
        <v>15</v>
      </c>
      <c r="E710" s="157">
        <v>41089</v>
      </c>
      <c r="F710" s="165" t="s">
        <v>16</v>
      </c>
      <c r="G710" s="165" t="s">
        <v>16</v>
      </c>
      <c r="H710" s="165" t="s">
        <v>16</v>
      </c>
      <c r="I710" s="165" t="s">
        <v>16</v>
      </c>
      <c r="J710" s="165" t="s">
        <v>16</v>
      </c>
      <c r="K710" s="165" t="s">
        <v>16</v>
      </c>
      <c r="L710" s="165" t="s">
        <v>16</v>
      </c>
      <c r="M710" s="165" t="s">
        <v>148</v>
      </c>
      <c r="N710" s="165" t="s">
        <v>16</v>
      </c>
      <c r="O710" s="165" t="s">
        <v>16</v>
      </c>
      <c r="P710" s="165" t="s">
        <v>16</v>
      </c>
      <c r="Q710" s="165" t="s">
        <v>16</v>
      </c>
      <c r="R710" s="165" t="s">
        <v>16</v>
      </c>
      <c r="S710" s="165" t="s">
        <v>16</v>
      </c>
      <c r="T710" s="165" t="s">
        <v>16</v>
      </c>
      <c r="U710" s="165" t="s">
        <v>16</v>
      </c>
      <c r="V710" s="165" t="s">
        <v>148</v>
      </c>
      <c r="W710" s="165" t="s">
        <v>148</v>
      </c>
      <c r="X710" s="165" t="s">
        <v>16</v>
      </c>
      <c r="Y710" s="165" t="s">
        <v>16</v>
      </c>
      <c r="Z710" s="165" t="s">
        <v>16</v>
      </c>
      <c r="AA710" s="165" t="s">
        <v>148</v>
      </c>
      <c r="AB710" s="165" t="s">
        <v>16</v>
      </c>
      <c r="AC710" s="165" t="s">
        <v>148</v>
      </c>
      <c r="AD710" s="165" t="s">
        <v>16</v>
      </c>
      <c r="AE710" s="165" t="s">
        <v>1250</v>
      </c>
      <c r="AF710" s="165"/>
    </row>
    <row r="711" spans="1:32" x14ac:dyDescent="0.3">
      <c r="A711" s="165" t="s">
        <v>1252</v>
      </c>
      <c r="B711" s="165" t="s">
        <v>14</v>
      </c>
      <c r="C711" s="165" t="s">
        <v>1249</v>
      </c>
      <c r="D711" s="165" t="s">
        <v>15</v>
      </c>
      <c r="E711" s="157">
        <v>41089</v>
      </c>
      <c r="F711" s="165" t="s">
        <v>16</v>
      </c>
      <c r="G711" s="165" t="s">
        <v>16</v>
      </c>
      <c r="H711" s="165" t="s">
        <v>16</v>
      </c>
      <c r="I711" s="165" t="s">
        <v>16</v>
      </c>
      <c r="J711" s="165" t="s">
        <v>16</v>
      </c>
      <c r="K711" s="165" t="s">
        <v>16</v>
      </c>
      <c r="L711" s="165" t="s">
        <v>16</v>
      </c>
      <c r="M711" s="165" t="s">
        <v>16</v>
      </c>
      <c r="N711" s="165" t="s">
        <v>16</v>
      </c>
      <c r="O711" s="165" t="s">
        <v>16</v>
      </c>
      <c r="P711" s="165" t="s">
        <v>16</v>
      </c>
      <c r="Q711" s="165" t="s">
        <v>148</v>
      </c>
      <c r="R711" s="165" t="s">
        <v>148</v>
      </c>
      <c r="S711" s="165" t="s">
        <v>16</v>
      </c>
      <c r="T711" s="165" t="s">
        <v>148</v>
      </c>
      <c r="U711" s="165" t="s">
        <v>16</v>
      </c>
      <c r="V711" s="165" t="s">
        <v>148</v>
      </c>
      <c r="W711" s="165" t="s">
        <v>16</v>
      </c>
      <c r="X711" s="165" t="s">
        <v>148</v>
      </c>
      <c r="Y711" s="165" t="s">
        <v>16</v>
      </c>
      <c r="Z711" s="165" t="s">
        <v>16</v>
      </c>
      <c r="AA711" s="165" t="s">
        <v>16</v>
      </c>
      <c r="AB711" s="165" t="s">
        <v>16</v>
      </c>
      <c r="AC711" s="165" t="s">
        <v>16</v>
      </c>
      <c r="AD711" s="165" t="s">
        <v>148</v>
      </c>
      <c r="AE711" s="165" t="s">
        <v>1250</v>
      </c>
      <c r="AF711" s="165"/>
    </row>
    <row r="712" spans="1:32" x14ac:dyDescent="0.3">
      <c r="A712" s="165" t="s">
        <v>1253</v>
      </c>
      <c r="B712" s="165" t="s">
        <v>14</v>
      </c>
      <c r="C712" s="165" t="s">
        <v>1249</v>
      </c>
      <c r="D712" s="165" t="s">
        <v>15</v>
      </c>
      <c r="E712" s="157">
        <v>41089</v>
      </c>
      <c r="F712" s="165" t="s">
        <v>16</v>
      </c>
      <c r="G712" s="165" t="s">
        <v>16</v>
      </c>
      <c r="H712" s="165" t="s">
        <v>148</v>
      </c>
      <c r="I712" s="165" t="s">
        <v>150</v>
      </c>
      <c r="J712" s="165" t="s">
        <v>148</v>
      </c>
      <c r="K712" s="165" t="s">
        <v>148</v>
      </c>
      <c r="L712" s="165" t="s">
        <v>150</v>
      </c>
      <c r="M712" s="165" t="s">
        <v>148</v>
      </c>
      <c r="N712" s="165" t="s">
        <v>150</v>
      </c>
      <c r="O712" s="165" t="s">
        <v>16</v>
      </c>
      <c r="P712" s="165" t="s">
        <v>150</v>
      </c>
      <c r="Q712" s="165" t="s">
        <v>16</v>
      </c>
      <c r="R712" s="165" t="s">
        <v>149</v>
      </c>
      <c r="S712" s="165" t="s">
        <v>148</v>
      </c>
      <c r="T712" s="165" t="s">
        <v>148</v>
      </c>
      <c r="U712" s="165" t="s">
        <v>150</v>
      </c>
      <c r="V712" s="165" t="s">
        <v>148</v>
      </c>
      <c r="W712" s="165" t="s">
        <v>149</v>
      </c>
      <c r="X712" s="165" t="s">
        <v>149</v>
      </c>
      <c r="Y712" s="165" t="s">
        <v>16</v>
      </c>
      <c r="Z712" s="165" t="s">
        <v>16</v>
      </c>
      <c r="AA712" s="165" t="s">
        <v>148</v>
      </c>
      <c r="AB712" s="165" t="s">
        <v>16</v>
      </c>
      <c r="AC712" s="165" t="s">
        <v>149</v>
      </c>
      <c r="AD712" s="165" t="s">
        <v>16</v>
      </c>
      <c r="AE712" s="165" t="s">
        <v>1254</v>
      </c>
      <c r="AF712" s="165"/>
    </row>
    <row r="713" spans="1:32" x14ac:dyDescent="0.3">
      <c r="A713" s="165" t="s">
        <v>1255</v>
      </c>
      <c r="B713" s="165" t="s">
        <v>14</v>
      </c>
      <c r="C713" s="165" t="s">
        <v>1249</v>
      </c>
      <c r="D713" s="165" t="s">
        <v>15</v>
      </c>
      <c r="E713" s="157">
        <v>41089</v>
      </c>
      <c r="F713" s="165" t="s">
        <v>16</v>
      </c>
      <c r="G713" s="165" t="s">
        <v>16</v>
      </c>
      <c r="H713" s="165" t="s">
        <v>16</v>
      </c>
      <c r="I713" s="165" t="s">
        <v>16</v>
      </c>
      <c r="J713" s="165" t="s">
        <v>16</v>
      </c>
      <c r="K713" s="165" t="s">
        <v>16</v>
      </c>
      <c r="L713" s="165" t="s">
        <v>16</v>
      </c>
      <c r="M713" s="165" t="s">
        <v>16</v>
      </c>
      <c r="N713" s="165" t="s">
        <v>148</v>
      </c>
      <c r="O713" s="165" t="s">
        <v>16</v>
      </c>
      <c r="P713" s="165" t="s">
        <v>16</v>
      </c>
      <c r="Q713" s="165" t="s">
        <v>16</v>
      </c>
      <c r="R713" s="165" t="s">
        <v>16</v>
      </c>
      <c r="S713" s="165" t="s">
        <v>16</v>
      </c>
      <c r="T713" s="165" t="s">
        <v>16</v>
      </c>
      <c r="U713" s="165" t="s">
        <v>16</v>
      </c>
      <c r="V713" s="165" t="s">
        <v>16</v>
      </c>
      <c r="W713" s="165" t="s">
        <v>16</v>
      </c>
      <c r="X713" s="165" t="s">
        <v>16</v>
      </c>
      <c r="Y713" s="165" t="s">
        <v>16</v>
      </c>
      <c r="Z713" s="165" t="s">
        <v>16</v>
      </c>
      <c r="AA713" s="165" t="s">
        <v>16</v>
      </c>
      <c r="AB713" s="165" t="s">
        <v>16</v>
      </c>
      <c r="AC713" s="165" t="s">
        <v>16</v>
      </c>
      <c r="AD713" s="165" t="s">
        <v>16</v>
      </c>
      <c r="AE713" s="165"/>
      <c r="AF713" s="165"/>
    </row>
    <row r="714" spans="1:32" x14ac:dyDescent="0.3">
      <c r="A714" s="165" t="s">
        <v>1256</v>
      </c>
      <c r="B714" s="165" t="s">
        <v>14</v>
      </c>
      <c r="C714" s="165" t="s">
        <v>1249</v>
      </c>
      <c r="D714" s="165" t="s">
        <v>15</v>
      </c>
      <c r="E714" s="157">
        <v>41089</v>
      </c>
      <c r="F714" s="165" t="s">
        <v>16</v>
      </c>
      <c r="G714" s="165" t="s">
        <v>16</v>
      </c>
      <c r="H714" s="165" t="s">
        <v>16</v>
      </c>
      <c r="I714" s="165" t="s">
        <v>148</v>
      </c>
      <c r="J714" s="165" t="s">
        <v>16</v>
      </c>
      <c r="K714" s="165" t="s">
        <v>16</v>
      </c>
      <c r="L714" s="165" t="s">
        <v>16</v>
      </c>
      <c r="M714" s="165" t="s">
        <v>16</v>
      </c>
      <c r="N714" s="165" t="s">
        <v>148</v>
      </c>
      <c r="O714" s="165" t="s">
        <v>16</v>
      </c>
      <c r="P714" s="165" t="s">
        <v>16</v>
      </c>
      <c r="Q714" s="165" t="s">
        <v>16</v>
      </c>
      <c r="R714" s="165" t="s">
        <v>16</v>
      </c>
      <c r="S714" s="165" t="s">
        <v>16</v>
      </c>
      <c r="T714" s="165" t="s">
        <v>16</v>
      </c>
      <c r="U714" s="165" t="s">
        <v>148</v>
      </c>
      <c r="V714" s="165" t="s">
        <v>16</v>
      </c>
      <c r="W714" s="165" t="s">
        <v>16</v>
      </c>
      <c r="X714" s="165" t="s">
        <v>16</v>
      </c>
      <c r="Y714" s="165" t="s">
        <v>16</v>
      </c>
      <c r="Z714" s="165" t="s">
        <v>149</v>
      </c>
      <c r="AA714" s="165" t="s">
        <v>148</v>
      </c>
      <c r="AB714" s="165" t="s">
        <v>16</v>
      </c>
      <c r="AC714" s="165" t="s">
        <v>148</v>
      </c>
      <c r="AD714" s="165" t="s">
        <v>16</v>
      </c>
      <c r="AE714" s="165" t="s">
        <v>1254</v>
      </c>
      <c r="AF714" s="165" t="s">
        <v>1257</v>
      </c>
    </row>
    <row r="715" spans="1:32" x14ac:dyDescent="0.3">
      <c r="A715" s="165" t="s">
        <v>1258</v>
      </c>
      <c r="B715" s="165" t="s">
        <v>14</v>
      </c>
      <c r="C715" s="165" t="s">
        <v>1249</v>
      </c>
      <c r="D715" s="165" t="s">
        <v>15</v>
      </c>
      <c r="E715" s="157">
        <v>41089</v>
      </c>
      <c r="F715" s="165" t="s">
        <v>16</v>
      </c>
      <c r="G715" s="165" t="s">
        <v>16</v>
      </c>
      <c r="H715" s="165" t="s">
        <v>16</v>
      </c>
      <c r="I715" s="165" t="s">
        <v>16</v>
      </c>
      <c r="J715" s="165" t="s">
        <v>16</v>
      </c>
      <c r="K715" s="165" t="s">
        <v>16</v>
      </c>
      <c r="L715" s="165" t="s">
        <v>16</v>
      </c>
      <c r="M715" s="165" t="s">
        <v>16</v>
      </c>
      <c r="N715" s="165" t="s">
        <v>16</v>
      </c>
      <c r="O715" s="165" t="s">
        <v>16</v>
      </c>
      <c r="P715" s="165" t="s">
        <v>16</v>
      </c>
      <c r="Q715" s="165" t="s">
        <v>16</v>
      </c>
      <c r="R715" s="165" t="s">
        <v>16</v>
      </c>
      <c r="S715" s="165" t="s">
        <v>16</v>
      </c>
      <c r="T715" s="165" t="s">
        <v>16</v>
      </c>
      <c r="U715" s="165" t="s">
        <v>16</v>
      </c>
      <c r="V715" s="165" t="s">
        <v>16</v>
      </c>
      <c r="W715" s="165" t="s">
        <v>16</v>
      </c>
      <c r="X715" s="165" t="s">
        <v>148</v>
      </c>
      <c r="Y715" s="165" t="s">
        <v>16</v>
      </c>
      <c r="Z715" s="165" t="s">
        <v>16</v>
      </c>
      <c r="AA715" s="165" t="s">
        <v>16</v>
      </c>
      <c r="AB715" s="165" t="s">
        <v>16</v>
      </c>
      <c r="AC715" s="165" t="s">
        <v>16</v>
      </c>
      <c r="AD715" s="165" t="s">
        <v>16</v>
      </c>
      <c r="AE715" s="165" t="s">
        <v>1259</v>
      </c>
      <c r="AF715" s="165"/>
    </row>
    <row r="716" spans="1:32" x14ac:dyDescent="0.3">
      <c r="A716" s="165" t="s">
        <v>1260</v>
      </c>
      <c r="B716" s="165" t="s">
        <v>14</v>
      </c>
      <c r="C716" s="165" t="s">
        <v>1249</v>
      </c>
      <c r="D716" s="165" t="s">
        <v>15</v>
      </c>
      <c r="E716" s="157">
        <v>41089</v>
      </c>
      <c r="F716" s="165" t="s">
        <v>16</v>
      </c>
      <c r="G716" s="165" t="s">
        <v>16</v>
      </c>
      <c r="H716" s="165" t="s">
        <v>16</v>
      </c>
      <c r="I716" s="165" t="s">
        <v>148</v>
      </c>
      <c r="J716" s="165" t="s">
        <v>148</v>
      </c>
      <c r="K716" s="165" t="s">
        <v>16</v>
      </c>
      <c r="L716" s="165" t="s">
        <v>148</v>
      </c>
      <c r="M716" s="165" t="s">
        <v>16</v>
      </c>
      <c r="N716" s="165" t="s">
        <v>148</v>
      </c>
      <c r="O716" s="165" t="s">
        <v>16</v>
      </c>
      <c r="P716" s="165" t="s">
        <v>148</v>
      </c>
      <c r="Q716" s="165" t="s">
        <v>16</v>
      </c>
      <c r="R716" s="165" t="s">
        <v>148</v>
      </c>
      <c r="S716" s="165" t="s">
        <v>148</v>
      </c>
      <c r="T716" s="165" t="s">
        <v>148</v>
      </c>
      <c r="U716" s="165" t="s">
        <v>148</v>
      </c>
      <c r="V716" s="165" t="s">
        <v>16</v>
      </c>
      <c r="W716" s="165" t="s">
        <v>16</v>
      </c>
      <c r="X716" s="165" t="s">
        <v>16</v>
      </c>
      <c r="Y716" s="165" t="s">
        <v>16</v>
      </c>
      <c r="Z716" s="165" t="s">
        <v>148</v>
      </c>
      <c r="AA716" s="165" t="s">
        <v>148</v>
      </c>
      <c r="AB716" s="165" t="s">
        <v>16</v>
      </c>
      <c r="AC716" s="165" t="s">
        <v>16</v>
      </c>
      <c r="AD716" s="165" t="s">
        <v>149</v>
      </c>
      <c r="AE716" s="165" t="s">
        <v>1259</v>
      </c>
      <c r="AF716" s="165"/>
    </row>
    <row r="717" spans="1:32" x14ac:dyDescent="0.3">
      <c r="A717" s="165" t="s">
        <v>1261</v>
      </c>
      <c r="B717" s="165" t="s">
        <v>14</v>
      </c>
      <c r="C717" s="165" t="s">
        <v>1249</v>
      </c>
      <c r="D717" s="165" t="s">
        <v>15</v>
      </c>
      <c r="E717" s="157">
        <v>41089</v>
      </c>
      <c r="F717" s="165" t="s">
        <v>148</v>
      </c>
      <c r="G717" s="165" t="s">
        <v>148</v>
      </c>
      <c r="H717" s="165" t="s">
        <v>148</v>
      </c>
      <c r="I717" s="165" t="s">
        <v>148</v>
      </c>
      <c r="J717" s="165" t="s">
        <v>148</v>
      </c>
      <c r="K717" s="165" t="s">
        <v>148</v>
      </c>
      <c r="L717" s="165" t="s">
        <v>148</v>
      </c>
      <c r="M717" s="165" t="s">
        <v>148</v>
      </c>
      <c r="N717" s="165" t="s">
        <v>150</v>
      </c>
      <c r="O717" s="165" t="s">
        <v>148</v>
      </c>
      <c r="P717" s="165" t="s">
        <v>148</v>
      </c>
      <c r="Q717" s="165" t="s">
        <v>16</v>
      </c>
      <c r="R717" s="165" t="s">
        <v>148</v>
      </c>
      <c r="S717" s="165" t="s">
        <v>16</v>
      </c>
      <c r="T717" s="165" t="s">
        <v>148</v>
      </c>
      <c r="U717" s="165" t="s">
        <v>148</v>
      </c>
      <c r="V717" s="165" t="s">
        <v>148</v>
      </c>
      <c r="W717" s="165" t="s">
        <v>16</v>
      </c>
      <c r="X717" s="165" t="s">
        <v>16</v>
      </c>
      <c r="Y717" s="165" t="s">
        <v>114</v>
      </c>
      <c r="Z717" s="165" t="s">
        <v>148</v>
      </c>
      <c r="AA717" s="165" t="s">
        <v>148</v>
      </c>
      <c r="AB717" s="165" t="s">
        <v>16</v>
      </c>
      <c r="AC717" s="165" t="s">
        <v>148</v>
      </c>
      <c r="AD717" s="165" t="s">
        <v>148</v>
      </c>
      <c r="AE717" s="165" t="s">
        <v>1250</v>
      </c>
      <c r="AF717" s="165" t="s">
        <v>1262</v>
      </c>
    </row>
    <row r="718" spans="1:32" x14ac:dyDescent="0.3">
      <c r="A718" s="165" t="s">
        <v>1263</v>
      </c>
      <c r="B718" s="165" t="s">
        <v>14</v>
      </c>
      <c r="C718" s="165" t="s">
        <v>1249</v>
      </c>
      <c r="D718" s="165" t="s">
        <v>15</v>
      </c>
      <c r="E718" s="157">
        <v>41089</v>
      </c>
      <c r="F718" s="165" t="s">
        <v>149</v>
      </c>
      <c r="G718" s="165" t="s">
        <v>16</v>
      </c>
      <c r="H718" s="165" t="s">
        <v>149</v>
      </c>
      <c r="I718" s="165" t="s">
        <v>16</v>
      </c>
      <c r="J718" s="165" t="s">
        <v>149</v>
      </c>
      <c r="K718" s="165" t="s">
        <v>16</v>
      </c>
      <c r="L718" s="165" t="s">
        <v>16</v>
      </c>
      <c r="M718" s="165" t="s">
        <v>16</v>
      </c>
      <c r="N718" s="165" t="s">
        <v>16</v>
      </c>
      <c r="O718" s="165" t="s">
        <v>16</v>
      </c>
      <c r="P718" s="165" t="s">
        <v>148</v>
      </c>
      <c r="Q718" s="165" t="s">
        <v>16</v>
      </c>
      <c r="R718" s="165" t="s">
        <v>149</v>
      </c>
      <c r="S718" s="165" t="s">
        <v>148</v>
      </c>
      <c r="T718" s="165" t="s">
        <v>148</v>
      </c>
      <c r="U718" s="165" t="s">
        <v>16</v>
      </c>
      <c r="V718" s="165" t="s">
        <v>150</v>
      </c>
      <c r="W718" s="165" t="s">
        <v>16</v>
      </c>
      <c r="X718" s="165" t="s">
        <v>16</v>
      </c>
      <c r="Y718" s="165" t="s">
        <v>149</v>
      </c>
      <c r="Z718" s="165" t="s">
        <v>149</v>
      </c>
      <c r="AA718" s="165" t="s">
        <v>16</v>
      </c>
      <c r="AB718" s="165" t="s">
        <v>16</v>
      </c>
      <c r="AC718" s="165" t="s">
        <v>148</v>
      </c>
      <c r="AD718" s="165" t="s">
        <v>151</v>
      </c>
      <c r="AE718" s="165" t="s">
        <v>1254</v>
      </c>
      <c r="AF718" s="165" t="s">
        <v>1264</v>
      </c>
    </row>
    <row r="719" spans="1:32" x14ac:dyDescent="0.3">
      <c r="A719" s="165" t="s">
        <v>1265</v>
      </c>
      <c r="B719" s="165" t="s">
        <v>1140</v>
      </c>
      <c r="C719" s="165" t="s">
        <v>1249</v>
      </c>
      <c r="D719" s="165" t="s">
        <v>15</v>
      </c>
      <c r="E719" s="157">
        <v>41089</v>
      </c>
      <c r="F719" s="165" t="s">
        <v>16</v>
      </c>
      <c r="G719" s="165" t="s">
        <v>149</v>
      </c>
      <c r="H719" s="165" t="s">
        <v>148</v>
      </c>
      <c r="I719" s="165" t="s">
        <v>148</v>
      </c>
      <c r="J719" s="165" t="s">
        <v>148</v>
      </c>
      <c r="K719" s="165" t="s">
        <v>149</v>
      </c>
      <c r="L719" s="165" t="s">
        <v>16</v>
      </c>
      <c r="M719" s="165" t="s">
        <v>149</v>
      </c>
      <c r="N719" s="165" t="s">
        <v>148</v>
      </c>
      <c r="O719" s="165" t="s">
        <v>148</v>
      </c>
      <c r="P719" s="165" t="s">
        <v>148</v>
      </c>
      <c r="Q719" s="165" t="s">
        <v>16</v>
      </c>
      <c r="R719" s="165" t="s">
        <v>16</v>
      </c>
      <c r="S719" s="165" t="s">
        <v>148</v>
      </c>
      <c r="T719" s="165" t="s">
        <v>16</v>
      </c>
      <c r="U719" s="165" t="s">
        <v>148</v>
      </c>
      <c r="V719" s="165" t="s">
        <v>16</v>
      </c>
      <c r="W719" s="165" t="s">
        <v>16</v>
      </c>
      <c r="X719" s="165" t="s">
        <v>148</v>
      </c>
      <c r="Y719" s="165" t="s">
        <v>16</v>
      </c>
      <c r="Z719" s="165" t="s">
        <v>149</v>
      </c>
      <c r="AA719" s="165" t="s">
        <v>148</v>
      </c>
      <c r="AB719" s="165" t="s">
        <v>148</v>
      </c>
      <c r="AC719" s="165" t="s">
        <v>149</v>
      </c>
      <c r="AD719" s="165" t="s">
        <v>148</v>
      </c>
      <c r="AE719" s="165" t="s">
        <v>1259</v>
      </c>
      <c r="AF719" s="165" t="s">
        <v>1266</v>
      </c>
    </row>
    <row r="720" spans="1:32" x14ac:dyDescent="0.3">
      <c r="A720" s="165" t="s">
        <v>1267</v>
      </c>
      <c r="B720" s="165" t="s">
        <v>14</v>
      </c>
      <c r="C720" s="165" t="s">
        <v>1249</v>
      </c>
      <c r="D720" s="165" t="s">
        <v>15</v>
      </c>
      <c r="E720" s="157">
        <v>41089</v>
      </c>
      <c r="F720" s="165" t="s">
        <v>148</v>
      </c>
      <c r="G720" s="165" t="s">
        <v>149</v>
      </c>
      <c r="H720" s="165" t="s">
        <v>149</v>
      </c>
      <c r="I720" s="165" t="s">
        <v>16</v>
      </c>
      <c r="J720" s="165" t="s">
        <v>149</v>
      </c>
      <c r="K720" s="165" t="s">
        <v>16</v>
      </c>
      <c r="L720" s="165" t="s">
        <v>16</v>
      </c>
      <c r="M720" s="165" t="s">
        <v>16</v>
      </c>
      <c r="N720" s="165" t="s">
        <v>16</v>
      </c>
      <c r="O720" s="165" t="s">
        <v>16</v>
      </c>
      <c r="P720" s="165" t="s">
        <v>148</v>
      </c>
      <c r="Q720" s="165" t="s">
        <v>16</v>
      </c>
      <c r="R720" s="165" t="s">
        <v>16</v>
      </c>
      <c r="S720" s="165" t="s">
        <v>16</v>
      </c>
      <c r="T720" s="165" t="s">
        <v>16</v>
      </c>
      <c r="U720" s="165" t="s">
        <v>16</v>
      </c>
      <c r="V720" s="165" t="s">
        <v>16</v>
      </c>
      <c r="W720" s="165" t="s">
        <v>16</v>
      </c>
      <c r="X720" s="165" t="s">
        <v>16</v>
      </c>
      <c r="Y720" s="165" t="s">
        <v>16</v>
      </c>
      <c r="Z720" s="165" t="s">
        <v>149</v>
      </c>
      <c r="AA720" s="165" t="s">
        <v>16</v>
      </c>
      <c r="AB720" s="165" t="s">
        <v>16</v>
      </c>
      <c r="AC720" s="165" t="s">
        <v>16</v>
      </c>
      <c r="AD720" s="165" t="s">
        <v>16</v>
      </c>
      <c r="AE720" s="165" t="s">
        <v>1250</v>
      </c>
      <c r="AF720" s="165"/>
    </row>
    <row r="721" spans="1:32" x14ac:dyDescent="0.3">
      <c r="A721" s="165" t="s">
        <v>1268</v>
      </c>
      <c r="B721" s="165" t="s">
        <v>14</v>
      </c>
      <c r="C721" s="165" t="s">
        <v>1249</v>
      </c>
      <c r="D721" s="165" t="s">
        <v>15</v>
      </c>
      <c r="E721" s="157">
        <v>41089</v>
      </c>
      <c r="F721" s="165" t="s">
        <v>16</v>
      </c>
      <c r="G721" s="165" t="s">
        <v>16</v>
      </c>
      <c r="H721" s="165" t="s">
        <v>16</v>
      </c>
      <c r="I721" s="165" t="s">
        <v>16</v>
      </c>
      <c r="J721" s="165" t="s">
        <v>16</v>
      </c>
      <c r="K721" s="165" t="s">
        <v>16</v>
      </c>
      <c r="L721" s="165" t="s">
        <v>16</v>
      </c>
      <c r="M721" s="165" t="s">
        <v>16</v>
      </c>
      <c r="N721" s="165" t="s">
        <v>16</v>
      </c>
      <c r="O721" s="165" t="s">
        <v>16</v>
      </c>
      <c r="P721" s="165" t="s">
        <v>16</v>
      </c>
      <c r="Q721" s="165" t="s">
        <v>16</v>
      </c>
      <c r="R721" s="165" t="s">
        <v>16</v>
      </c>
      <c r="S721" s="165" t="s">
        <v>16</v>
      </c>
      <c r="T721" s="165" t="s">
        <v>16</v>
      </c>
      <c r="U721" s="165" t="s">
        <v>16</v>
      </c>
      <c r="V721" s="165" t="s">
        <v>16</v>
      </c>
      <c r="W721" s="165" t="s">
        <v>16</v>
      </c>
      <c r="X721" s="165" t="s">
        <v>16</v>
      </c>
      <c r="Y721" s="165" t="s">
        <v>16</v>
      </c>
      <c r="Z721" s="165" t="s">
        <v>16</v>
      </c>
      <c r="AA721" s="165" t="s">
        <v>16</v>
      </c>
      <c r="AB721" s="165" t="s">
        <v>16</v>
      </c>
      <c r="AC721" s="165" t="s">
        <v>16</v>
      </c>
      <c r="AD721" s="165" t="s">
        <v>16</v>
      </c>
      <c r="AE721" s="165" t="s">
        <v>1254</v>
      </c>
      <c r="AF721" s="165"/>
    </row>
    <row r="722" spans="1:32" x14ac:dyDescent="0.3">
      <c r="A722" s="165" t="s">
        <v>1269</v>
      </c>
      <c r="B722" s="165" t="s">
        <v>14</v>
      </c>
      <c r="C722" s="165" t="s">
        <v>1249</v>
      </c>
      <c r="D722" s="165" t="s">
        <v>15</v>
      </c>
      <c r="E722" s="157">
        <v>41089</v>
      </c>
      <c r="F722" s="165" t="s">
        <v>16</v>
      </c>
      <c r="G722" s="165" t="s">
        <v>16</v>
      </c>
      <c r="H722" s="165" t="s">
        <v>16</v>
      </c>
      <c r="I722" s="165" t="s">
        <v>16</v>
      </c>
      <c r="J722" s="165" t="s">
        <v>16</v>
      </c>
      <c r="K722" s="165" t="s">
        <v>16</v>
      </c>
      <c r="L722" s="165" t="s">
        <v>16</v>
      </c>
      <c r="M722" s="165" t="s">
        <v>16</v>
      </c>
      <c r="N722" s="165" t="s">
        <v>148</v>
      </c>
      <c r="O722" s="165" t="s">
        <v>16</v>
      </c>
      <c r="P722" s="165" t="s">
        <v>16</v>
      </c>
      <c r="Q722" s="165" t="s">
        <v>16</v>
      </c>
      <c r="R722" s="165" t="s">
        <v>16</v>
      </c>
      <c r="S722" s="165" t="s">
        <v>16</v>
      </c>
      <c r="T722" s="165" t="s">
        <v>16</v>
      </c>
      <c r="U722" s="165" t="s">
        <v>16</v>
      </c>
      <c r="V722" s="165" t="s">
        <v>16</v>
      </c>
      <c r="W722" s="165" t="s">
        <v>16</v>
      </c>
      <c r="X722" s="165" t="s">
        <v>16</v>
      </c>
      <c r="Y722" s="165" t="s">
        <v>16</v>
      </c>
      <c r="Z722" s="165" t="s">
        <v>16</v>
      </c>
      <c r="AA722" s="165" t="s">
        <v>16</v>
      </c>
      <c r="AB722" s="165" t="s">
        <v>114</v>
      </c>
      <c r="AC722" s="165" t="s">
        <v>16</v>
      </c>
      <c r="AD722" s="165" t="s">
        <v>114</v>
      </c>
      <c r="AE722" s="165"/>
      <c r="AF722" s="165"/>
    </row>
    <row r="723" spans="1:32" x14ac:dyDescent="0.3">
      <c r="A723" s="165" t="s">
        <v>1270</v>
      </c>
      <c r="B723" s="165" t="s">
        <v>14</v>
      </c>
      <c r="C723" s="165" t="s">
        <v>1249</v>
      </c>
      <c r="D723" s="165" t="s">
        <v>15</v>
      </c>
      <c r="E723" s="157">
        <v>41089</v>
      </c>
      <c r="F723" s="165" t="s">
        <v>16</v>
      </c>
      <c r="G723" s="165" t="s">
        <v>16</v>
      </c>
      <c r="H723" s="165" t="s">
        <v>16</v>
      </c>
      <c r="I723" s="165" t="s">
        <v>148</v>
      </c>
      <c r="J723" s="165" t="s">
        <v>16</v>
      </c>
      <c r="K723" s="165" t="s">
        <v>16</v>
      </c>
      <c r="L723" s="165" t="s">
        <v>16</v>
      </c>
      <c r="M723" s="165" t="s">
        <v>16</v>
      </c>
      <c r="N723" s="165" t="s">
        <v>148</v>
      </c>
      <c r="O723" s="165" t="s">
        <v>16</v>
      </c>
      <c r="P723" s="165" t="s">
        <v>16</v>
      </c>
      <c r="Q723" s="165" t="s">
        <v>16</v>
      </c>
      <c r="R723" s="165" t="s">
        <v>16</v>
      </c>
      <c r="S723" s="165" t="s">
        <v>16</v>
      </c>
      <c r="T723" s="165" t="s">
        <v>16</v>
      </c>
      <c r="U723" s="165" t="s">
        <v>16</v>
      </c>
      <c r="V723" s="165" t="s">
        <v>148</v>
      </c>
      <c r="W723" s="165" t="s">
        <v>149</v>
      </c>
      <c r="X723" s="165" t="s">
        <v>16</v>
      </c>
      <c r="Y723" s="165" t="s">
        <v>148</v>
      </c>
      <c r="Z723" s="165" t="s">
        <v>16</v>
      </c>
      <c r="AA723" s="165" t="s">
        <v>16</v>
      </c>
      <c r="AB723" s="165" t="s">
        <v>16</v>
      </c>
      <c r="AC723" s="165" t="s">
        <v>16</v>
      </c>
      <c r="AD723" s="165" t="s">
        <v>16</v>
      </c>
      <c r="AE723" s="165" t="s">
        <v>1271</v>
      </c>
      <c r="AF723" s="165"/>
    </row>
    <row r="724" spans="1:32" x14ac:dyDescent="0.3">
      <c r="A724" s="165" t="s">
        <v>1272</v>
      </c>
      <c r="B724" s="165" t="s">
        <v>14</v>
      </c>
      <c r="C724" s="165" t="s">
        <v>1249</v>
      </c>
      <c r="D724" s="165" t="s">
        <v>15</v>
      </c>
      <c r="E724" s="157">
        <v>41089</v>
      </c>
      <c r="F724" s="165" t="s">
        <v>148</v>
      </c>
      <c r="G724" s="165" t="s">
        <v>148</v>
      </c>
      <c r="H724" s="165" t="s">
        <v>16</v>
      </c>
      <c r="I724" s="165" t="s">
        <v>16</v>
      </c>
      <c r="J724" s="165" t="s">
        <v>16</v>
      </c>
      <c r="K724" s="165" t="s">
        <v>16</v>
      </c>
      <c r="L724" s="165" t="s">
        <v>16</v>
      </c>
      <c r="M724" s="165" t="s">
        <v>148</v>
      </c>
      <c r="N724" s="165" t="s">
        <v>148</v>
      </c>
      <c r="O724" s="165" t="s">
        <v>150</v>
      </c>
      <c r="P724" s="165" t="s">
        <v>150</v>
      </c>
      <c r="Q724" s="165" t="s">
        <v>16</v>
      </c>
      <c r="R724" s="165" t="s">
        <v>149</v>
      </c>
      <c r="S724" s="165" t="s">
        <v>16</v>
      </c>
      <c r="T724" s="165" t="s">
        <v>16</v>
      </c>
      <c r="U724" s="165" t="s">
        <v>150</v>
      </c>
      <c r="V724" s="165" t="s">
        <v>150</v>
      </c>
      <c r="W724" s="165" t="s">
        <v>16</v>
      </c>
      <c r="X724" s="165" t="s">
        <v>16</v>
      </c>
      <c r="Y724" s="165" t="s">
        <v>148</v>
      </c>
      <c r="Z724" s="165" t="s">
        <v>16</v>
      </c>
      <c r="AA724" s="165" t="s">
        <v>148</v>
      </c>
      <c r="AB724" s="165" t="s">
        <v>149</v>
      </c>
      <c r="AC724" s="165" t="s">
        <v>150</v>
      </c>
      <c r="AD724" s="165" t="s">
        <v>148</v>
      </c>
      <c r="AE724" s="165" t="s">
        <v>1250</v>
      </c>
      <c r="AF724" s="165" t="s">
        <v>1273</v>
      </c>
    </row>
    <row r="725" spans="1:32" x14ac:dyDescent="0.3">
      <c r="A725" s="165" t="s">
        <v>1274</v>
      </c>
      <c r="B725" s="165" t="s">
        <v>14</v>
      </c>
      <c r="C725" s="165" t="s">
        <v>1249</v>
      </c>
      <c r="D725" s="165" t="s">
        <v>15</v>
      </c>
      <c r="E725" s="157">
        <v>41089</v>
      </c>
      <c r="F725" s="165" t="s">
        <v>16</v>
      </c>
      <c r="G725" s="165" t="s">
        <v>16</v>
      </c>
      <c r="H725" s="165" t="s">
        <v>16</v>
      </c>
      <c r="I725" s="165" t="s">
        <v>16</v>
      </c>
      <c r="J725" s="165" t="s">
        <v>16</v>
      </c>
      <c r="K725" s="165" t="s">
        <v>16</v>
      </c>
      <c r="L725" s="165" t="s">
        <v>16</v>
      </c>
      <c r="M725" s="165" t="s">
        <v>16</v>
      </c>
      <c r="N725" s="165" t="s">
        <v>16</v>
      </c>
      <c r="O725" s="165" t="s">
        <v>16</v>
      </c>
      <c r="P725" s="165" t="s">
        <v>16</v>
      </c>
      <c r="Q725" s="165" t="s">
        <v>16</v>
      </c>
      <c r="R725" s="165" t="s">
        <v>16</v>
      </c>
      <c r="S725" s="165" t="s">
        <v>150</v>
      </c>
      <c r="T725" s="165" t="s">
        <v>16</v>
      </c>
      <c r="U725" s="165" t="s">
        <v>148</v>
      </c>
      <c r="V725" s="165" t="s">
        <v>16</v>
      </c>
      <c r="W725" s="165" t="s">
        <v>148</v>
      </c>
      <c r="X725" s="165" t="s">
        <v>148</v>
      </c>
      <c r="Y725" s="165" t="s">
        <v>16</v>
      </c>
      <c r="Z725" s="165" t="s">
        <v>148</v>
      </c>
      <c r="AA725" s="165" t="s">
        <v>148</v>
      </c>
      <c r="AB725" s="165" t="s">
        <v>16</v>
      </c>
      <c r="AC725" s="165" t="s">
        <v>150</v>
      </c>
      <c r="AD725" s="165" t="s">
        <v>16</v>
      </c>
      <c r="AE725" s="165" t="s">
        <v>1275</v>
      </c>
      <c r="AF725" s="165"/>
    </row>
    <row r="726" spans="1:32" x14ac:dyDescent="0.3">
      <c r="A726" s="165" t="s">
        <v>1276</v>
      </c>
      <c r="B726" s="165" t="s">
        <v>14</v>
      </c>
      <c r="C726" s="165" t="s">
        <v>1249</v>
      </c>
      <c r="D726" s="165" t="s">
        <v>15</v>
      </c>
      <c r="E726" s="157">
        <v>41089</v>
      </c>
      <c r="F726" s="165" t="s">
        <v>16</v>
      </c>
      <c r="G726" s="165" t="s">
        <v>16</v>
      </c>
      <c r="H726" s="165" t="s">
        <v>148</v>
      </c>
      <c r="I726" s="165" t="s">
        <v>16</v>
      </c>
      <c r="J726" s="165" t="s">
        <v>148</v>
      </c>
      <c r="K726" s="165" t="s">
        <v>148</v>
      </c>
      <c r="L726" s="165" t="s">
        <v>16</v>
      </c>
      <c r="M726" s="165" t="s">
        <v>16</v>
      </c>
      <c r="N726" s="165" t="s">
        <v>148</v>
      </c>
      <c r="O726" s="165" t="s">
        <v>148</v>
      </c>
      <c r="P726" s="165" t="s">
        <v>148</v>
      </c>
      <c r="Q726" s="165" t="s">
        <v>16</v>
      </c>
      <c r="R726" s="165" t="s">
        <v>16</v>
      </c>
      <c r="S726" s="165" t="s">
        <v>16</v>
      </c>
      <c r="T726" s="165" t="s">
        <v>16</v>
      </c>
      <c r="U726" s="165" t="s">
        <v>16</v>
      </c>
      <c r="V726" s="165" t="s">
        <v>148</v>
      </c>
      <c r="W726" s="165" t="s">
        <v>16</v>
      </c>
      <c r="X726" s="165" t="s">
        <v>16</v>
      </c>
      <c r="Y726" s="165" t="s">
        <v>16</v>
      </c>
      <c r="Z726" s="165" t="s">
        <v>16</v>
      </c>
      <c r="AA726" s="165" t="s">
        <v>16</v>
      </c>
      <c r="AB726" s="165" t="s">
        <v>16</v>
      </c>
      <c r="AC726" s="165" t="s">
        <v>148</v>
      </c>
      <c r="AD726" s="165" t="s">
        <v>148</v>
      </c>
      <c r="AE726" s="165" t="s">
        <v>1259</v>
      </c>
      <c r="AF726" s="165"/>
    </row>
    <row r="727" spans="1:32" x14ac:dyDescent="0.3">
      <c r="A727" s="165" t="s">
        <v>1277</v>
      </c>
      <c r="B727" s="165" t="s">
        <v>14</v>
      </c>
      <c r="C727" s="165" t="s">
        <v>1249</v>
      </c>
      <c r="D727" s="165" t="s">
        <v>15</v>
      </c>
      <c r="E727" s="157">
        <v>41089</v>
      </c>
      <c r="F727" s="165" t="s">
        <v>16</v>
      </c>
      <c r="G727" s="165" t="s">
        <v>148</v>
      </c>
      <c r="H727" s="165" t="s">
        <v>150</v>
      </c>
      <c r="I727" s="165" t="s">
        <v>150</v>
      </c>
      <c r="J727" s="165" t="s">
        <v>148</v>
      </c>
      <c r="K727" s="165" t="s">
        <v>148</v>
      </c>
      <c r="L727" s="165" t="s">
        <v>16</v>
      </c>
      <c r="M727" s="165" t="s">
        <v>148</v>
      </c>
      <c r="N727" s="165" t="s">
        <v>150</v>
      </c>
      <c r="O727" s="165" t="s">
        <v>148</v>
      </c>
      <c r="P727" s="165" t="s">
        <v>148</v>
      </c>
      <c r="Q727" s="165" t="s">
        <v>16</v>
      </c>
      <c r="R727" s="165" t="s">
        <v>150</v>
      </c>
      <c r="S727" s="165" t="s">
        <v>148</v>
      </c>
      <c r="T727" s="165" t="s">
        <v>148</v>
      </c>
      <c r="U727" s="165" t="s">
        <v>148</v>
      </c>
      <c r="V727" s="165" t="s">
        <v>16</v>
      </c>
      <c r="W727" s="165" t="s">
        <v>16</v>
      </c>
      <c r="X727" s="165" t="s">
        <v>148</v>
      </c>
      <c r="Y727" s="165" t="s">
        <v>148</v>
      </c>
      <c r="Z727" s="165" t="s">
        <v>16</v>
      </c>
      <c r="AA727" s="165" t="s">
        <v>148</v>
      </c>
      <c r="AB727" s="165" t="s">
        <v>16</v>
      </c>
      <c r="AC727" s="165" t="s">
        <v>148</v>
      </c>
      <c r="AD727" s="165" t="s">
        <v>16</v>
      </c>
      <c r="AE727" s="165" t="s">
        <v>1250</v>
      </c>
      <c r="AF727" s="165"/>
    </row>
    <row r="728" spans="1:32" x14ac:dyDescent="0.3">
      <c r="A728" s="165" t="s">
        <v>1278</v>
      </c>
      <c r="B728" s="165" t="s">
        <v>14</v>
      </c>
      <c r="C728" s="165" t="s">
        <v>1249</v>
      </c>
      <c r="D728" s="165" t="s">
        <v>15</v>
      </c>
      <c r="E728" s="157">
        <v>41089</v>
      </c>
      <c r="F728" s="165" t="s">
        <v>16</v>
      </c>
      <c r="G728" s="165" t="s">
        <v>16</v>
      </c>
      <c r="H728" s="165" t="s">
        <v>16</v>
      </c>
      <c r="I728" s="165" t="s">
        <v>16</v>
      </c>
      <c r="J728" s="165" t="s">
        <v>16</v>
      </c>
      <c r="K728" s="165" t="s">
        <v>16</v>
      </c>
      <c r="L728" s="165" t="s">
        <v>16</v>
      </c>
      <c r="M728" s="165" t="s">
        <v>16</v>
      </c>
      <c r="N728" s="165" t="s">
        <v>16</v>
      </c>
      <c r="O728" s="165" t="s">
        <v>16</v>
      </c>
      <c r="P728" s="165" t="s">
        <v>16</v>
      </c>
      <c r="Q728" s="165" t="s">
        <v>16</v>
      </c>
      <c r="R728" s="165" t="s">
        <v>16</v>
      </c>
      <c r="S728" s="165" t="s">
        <v>16</v>
      </c>
      <c r="T728" s="165" t="s">
        <v>16</v>
      </c>
      <c r="U728" s="165" t="s">
        <v>16</v>
      </c>
      <c r="V728" s="165" t="s">
        <v>16</v>
      </c>
      <c r="W728" s="165" t="s">
        <v>16</v>
      </c>
      <c r="X728" s="165" t="s">
        <v>16</v>
      </c>
      <c r="Y728" s="165" t="s">
        <v>16</v>
      </c>
      <c r="Z728" s="165" t="s">
        <v>16</v>
      </c>
      <c r="AA728" s="165" t="s">
        <v>16</v>
      </c>
      <c r="AB728" s="165" t="s">
        <v>16</v>
      </c>
      <c r="AC728" s="165" t="s">
        <v>16</v>
      </c>
      <c r="AD728" s="165" t="s">
        <v>16</v>
      </c>
      <c r="AE728" s="165" t="s">
        <v>1259</v>
      </c>
      <c r="AF728" s="165"/>
    </row>
    <row r="729" spans="1:32" x14ac:dyDescent="0.3">
      <c r="A729" s="165" t="s">
        <v>1279</v>
      </c>
      <c r="B729" s="165" t="s">
        <v>14</v>
      </c>
      <c r="C729" s="165" t="s">
        <v>1249</v>
      </c>
      <c r="D729" s="165" t="s">
        <v>15</v>
      </c>
      <c r="E729" s="157">
        <v>41089</v>
      </c>
      <c r="F729" s="165" t="s">
        <v>16</v>
      </c>
      <c r="G729" s="165" t="s">
        <v>16</v>
      </c>
      <c r="H729" s="165" t="s">
        <v>16</v>
      </c>
      <c r="I729" s="165" t="s">
        <v>148</v>
      </c>
      <c r="J729" s="165" t="s">
        <v>16</v>
      </c>
      <c r="K729" s="165" t="s">
        <v>16</v>
      </c>
      <c r="L729" s="165" t="s">
        <v>16</v>
      </c>
      <c r="M729" s="165" t="s">
        <v>16</v>
      </c>
      <c r="N729" s="165" t="s">
        <v>148</v>
      </c>
      <c r="O729" s="165" t="s">
        <v>16</v>
      </c>
      <c r="P729" s="165" t="s">
        <v>16</v>
      </c>
      <c r="Q729" s="165" t="s">
        <v>16</v>
      </c>
      <c r="R729" s="165" t="s">
        <v>16</v>
      </c>
      <c r="S729" s="165" t="s">
        <v>16</v>
      </c>
      <c r="T729" s="165" t="s">
        <v>16</v>
      </c>
      <c r="U729" s="165" t="s">
        <v>16</v>
      </c>
      <c r="V729" s="165" t="s">
        <v>148</v>
      </c>
      <c r="W729" s="165" t="s">
        <v>16</v>
      </c>
      <c r="X729" s="165" t="s">
        <v>16</v>
      </c>
      <c r="Y729" s="165" t="s">
        <v>16</v>
      </c>
      <c r="Z729" s="165" t="s">
        <v>16</v>
      </c>
      <c r="AA729" s="165" t="s">
        <v>16</v>
      </c>
      <c r="AB729" s="165" t="s">
        <v>16</v>
      </c>
      <c r="AC729" s="165" t="s">
        <v>16</v>
      </c>
      <c r="AD729" s="165" t="s">
        <v>16</v>
      </c>
      <c r="AE729" s="165" t="s">
        <v>1254</v>
      </c>
      <c r="AF729" s="165"/>
    </row>
    <row r="730" spans="1:32" x14ac:dyDescent="0.3">
      <c r="A730" s="165" t="s">
        <v>1280</v>
      </c>
      <c r="B730" s="165" t="s">
        <v>14</v>
      </c>
      <c r="C730" s="165" t="s">
        <v>1249</v>
      </c>
      <c r="D730" s="165" t="s">
        <v>15</v>
      </c>
      <c r="E730" s="157">
        <v>41089</v>
      </c>
      <c r="F730" s="165" t="s">
        <v>148</v>
      </c>
      <c r="G730" s="165" t="s">
        <v>16</v>
      </c>
      <c r="H730" s="165" t="s">
        <v>16</v>
      </c>
      <c r="I730" s="165" t="s">
        <v>148</v>
      </c>
      <c r="J730" s="165" t="s">
        <v>16</v>
      </c>
      <c r="K730" s="165" t="s">
        <v>16</v>
      </c>
      <c r="L730" s="165" t="s">
        <v>148</v>
      </c>
      <c r="M730" s="165" t="s">
        <v>16</v>
      </c>
      <c r="N730" s="165" t="s">
        <v>148</v>
      </c>
      <c r="O730" s="165" t="s">
        <v>148</v>
      </c>
      <c r="P730" s="165" t="s">
        <v>148</v>
      </c>
      <c r="Q730" s="165" t="s">
        <v>148</v>
      </c>
      <c r="R730" s="165" t="s">
        <v>148</v>
      </c>
      <c r="S730" s="165" t="s">
        <v>148</v>
      </c>
      <c r="T730" s="165" t="s">
        <v>16</v>
      </c>
      <c r="U730" s="165" t="s">
        <v>148</v>
      </c>
      <c r="V730" s="165" t="s">
        <v>148</v>
      </c>
      <c r="W730" s="165" t="s">
        <v>148</v>
      </c>
      <c r="X730" s="165" t="s">
        <v>148</v>
      </c>
      <c r="Y730" s="165" t="s">
        <v>16</v>
      </c>
      <c r="Z730" s="165" t="s">
        <v>16</v>
      </c>
      <c r="AA730" s="165" t="s">
        <v>148</v>
      </c>
      <c r="AB730" s="165" t="s">
        <v>16</v>
      </c>
      <c r="AC730" s="165" t="s">
        <v>148</v>
      </c>
      <c r="AD730" s="165" t="s">
        <v>16</v>
      </c>
      <c r="AE730" s="165" t="s">
        <v>1250</v>
      </c>
      <c r="AF730" s="165"/>
    </row>
    <row r="731" spans="1:32" x14ac:dyDescent="0.3">
      <c r="A731" s="165" t="s">
        <v>1281</v>
      </c>
      <c r="B731" s="165" t="s">
        <v>14</v>
      </c>
      <c r="C731" s="165" t="s">
        <v>1249</v>
      </c>
      <c r="D731" s="165" t="s">
        <v>15</v>
      </c>
      <c r="E731" s="157">
        <v>41089</v>
      </c>
      <c r="F731" s="165" t="s">
        <v>16</v>
      </c>
      <c r="G731" s="165" t="s">
        <v>16</v>
      </c>
      <c r="H731" s="165" t="s">
        <v>16</v>
      </c>
      <c r="I731" s="165" t="s">
        <v>148</v>
      </c>
      <c r="J731" s="165" t="s">
        <v>16</v>
      </c>
      <c r="K731" s="165" t="s">
        <v>148</v>
      </c>
      <c r="L731" s="165" t="s">
        <v>16</v>
      </c>
      <c r="M731" s="165" t="s">
        <v>16</v>
      </c>
      <c r="N731" s="165" t="s">
        <v>16</v>
      </c>
      <c r="O731" s="165" t="s">
        <v>16</v>
      </c>
      <c r="P731" s="165" t="s">
        <v>16</v>
      </c>
      <c r="Q731" s="165" t="s">
        <v>16</v>
      </c>
      <c r="R731" s="165" t="s">
        <v>16</v>
      </c>
      <c r="S731" s="165" t="s">
        <v>16</v>
      </c>
      <c r="T731" s="165" t="s">
        <v>16</v>
      </c>
      <c r="U731" s="165" t="s">
        <v>16</v>
      </c>
      <c r="V731" s="165" t="s">
        <v>16</v>
      </c>
      <c r="W731" s="165" t="s">
        <v>16</v>
      </c>
      <c r="X731" s="165" t="s">
        <v>16</v>
      </c>
      <c r="Y731" s="165" t="s">
        <v>16</v>
      </c>
      <c r="Z731" s="165" t="s">
        <v>16</v>
      </c>
      <c r="AA731" s="165" t="s">
        <v>16</v>
      </c>
      <c r="AB731" s="165" t="s">
        <v>16</v>
      </c>
      <c r="AC731" s="165" t="s">
        <v>16</v>
      </c>
      <c r="AD731" s="165" t="s">
        <v>148</v>
      </c>
      <c r="AE731" s="165" t="s">
        <v>1250</v>
      </c>
      <c r="AF731" s="165"/>
    </row>
    <row r="732" spans="1:32" x14ac:dyDescent="0.3">
      <c r="A732" s="165" t="s">
        <v>1282</v>
      </c>
      <c r="B732" s="165" t="s">
        <v>14</v>
      </c>
      <c r="C732" s="165" t="s">
        <v>1249</v>
      </c>
      <c r="D732" s="165" t="s">
        <v>15</v>
      </c>
      <c r="E732" s="157">
        <v>41089</v>
      </c>
      <c r="F732" s="165" t="s">
        <v>151</v>
      </c>
      <c r="G732" s="165" t="s">
        <v>16</v>
      </c>
      <c r="H732" s="165" t="s">
        <v>16</v>
      </c>
      <c r="I732" s="165" t="s">
        <v>16</v>
      </c>
      <c r="J732" s="165" t="s">
        <v>16</v>
      </c>
      <c r="K732" s="165" t="s">
        <v>16</v>
      </c>
      <c r="L732" s="165" t="s">
        <v>148</v>
      </c>
      <c r="M732" s="165" t="s">
        <v>16</v>
      </c>
      <c r="N732" s="165" t="s">
        <v>16</v>
      </c>
      <c r="O732" s="165" t="s">
        <v>16</v>
      </c>
      <c r="P732" s="165" t="s">
        <v>16</v>
      </c>
      <c r="Q732" s="165" t="s">
        <v>16</v>
      </c>
      <c r="R732" s="165" t="s">
        <v>16</v>
      </c>
      <c r="S732" s="165" t="s">
        <v>16</v>
      </c>
      <c r="T732" s="165" t="s">
        <v>16</v>
      </c>
      <c r="U732" s="165" t="s">
        <v>16</v>
      </c>
      <c r="V732" s="165" t="s">
        <v>16</v>
      </c>
      <c r="W732" s="165" t="s">
        <v>16</v>
      </c>
      <c r="X732" s="165" t="s">
        <v>16</v>
      </c>
      <c r="Y732" s="165" t="s">
        <v>16</v>
      </c>
      <c r="Z732" s="165" t="s">
        <v>16</v>
      </c>
      <c r="AA732" s="165" t="s">
        <v>16</v>
      </c>
      <c r="AB732" s="165" t="s">
        <v>16</v>
      </c>
      <c r="AC732" s="165" t="s">
        <v>16</v>
      </c>
      <c r="AD732" s="165" t="s">
        <v>16</v>
      </c>
      <c r="AE732" s="165"/>
      <c r="AF732" s="165"/>
    </row>
    <row r="733" spans="1:32" x14ac:dyDescent="0.3">
      <c r="A733" s="165" t="s">
        <v>1283</v>
      </c>
      <c r="B733" s="165" t="s">
        <v>14</v>
      </c>
      <c r="C733" s="165" t="s">
        <v>1249</v>
      </c>
      <c r="D733" s="165" t="s">
        <v>15</v>
      </c>
      <c r="E733" s="157">
        <v>41089</v>
      </c>
      <c r="F733" s="165" t="s">
        <v>16</v>
      </c>
      <c r="G733" s="165" t="s">
        <v>16</v>
      </c>
      <c r="H733" s="165" t="s">
        <v>16</v>
      </c>
      <c r="I733" s="165" t="s">
        <v>16</v>
      </c>
      <c r="J733" s="165" t="s">
        <v>16</v>
      </c>
      <c r="K733" s="165" t="s">
        <v>16</v>
      </c>
      <c r="L733" s="165" t="s">
        <v>16</v>
      </c>
      <c r="M733" s="165" t="s">
        <v>16</v>
      </c>
      <c r="N733" s="165" t="s">
        <v>148</v>
      </c>
      <c r="O733" s="165" t="s">
        <v>16</v>
      </c>
      <c r="P733" s="165" t="s">
        <v>16</v>
      </c>
      <c r="Q733" s="165" t="s">
        <v>16</v>
      </c>
      <c r="R733" s="165" t="s">
        <v>16</v>
      </c>
      <c r="S733" s="165" t="s">
        <v>16</v>
      </c>
      <c r="T733" s="165" t="s">
        <v>16</v>
      </c>
      <c r="U733" s="165" t="s">
        <v>16</v>
      </c>
      <c r="V733" s="165" t="s">
        <v>148</v>
      </c>
      <c r="W733" s="165" t="s">
        <v>16</v>
      </c>
      <c r="X733" s="165" t="s">
        <v>16</v>
      </c>
      <c r="Y733" s="165" t="s">
        <v>16</v>
      </c>
      <c r="Z733" s="165" t="s">
        <v>16</v>
      </c>
      <c r="AA733" s="165" t="s">
        <v>16</v>
      </c>
      <c r="AB733" s="165" t="s">
        <v>16</v>
      </c>
      <c r="AC733" s="165" t="s">
        <v>16</v>
      </c>
      <c r="AD733" s="165" t="s">
        <v>16</v>
      </c>
      <c r="AE733" s="165" t="s">
        <v>1250</v>
      </c>
      <c r="AF733" s="165"/>
    </row>
    <row r="734" spans="1:32" x14ac:dyDescent="0.3">
      <c r="A734" s="165" t="s">
        <v>1284</v>
      </c>
      <c r="B734" s="165" t="s">
        <v>14</v>
      </c>
      <c r="C734" s="165" t="s">
        <v>1249</v>
      </c>
      <c r="D734" s="165" t="s">
        <v>15</v>
      </c>
      <c r="E734" s="157">
        <v>41089</v>
      </c>
      <c r="F734" s="165" t="s">
        <v>16</v>
      </c>
      <c r="G734" s="165" t="s">
        <v>16</v>
      </c>
      <c r="H734" s="165" t="s">
        <v>16</v>
      </c>
      <c r="I734" s="165" t="s">
        <v>150</v>
      </c>
      <c r="J734" s="165" t="s">
        <v>148</v>
      </c>
      <c r="K734" s="165" t="s">
        <v>150</v>
      </c>
      <c r="L734" s="165" t="s">
        <v>150</v>
      </c>
      <c r="M734" s="165" t="s">
        <v>16</v>
      </c>
      <c r="N734" s="165" t="s">
        <v>16</v>
      </c>
      <c r="O734" s="165" t="s">
        <v>148</v>
      </c>
      <c r="P734" s="165" t="s">
        <v>16</v>
      </c>
      <c r="Q734" s="165" t="s">
        <v>16</v>
      </c>
      <c r="R734" s="165" t="s">
        <v>150</v>
      </c>
      <c r="S734" s="165" t="s">
        <v>148</v>
      </c>
      <c r="T734" s="165" t="s">
        <v>16</v>
      </c>
      <c r="U734" s="165" t="s">
        <v>148</v>
      </c>
      <c r="V734" s="165" t="s">
        <v>16</v>
      </c>
      <c r="W734" s="165" t="s">
        <v>148</v>
      </c>
      <c r="X734" s="165" t="s">
        <v>16</v>
      </c>
      <c r="Y734" s="165" t="s">
        <v>16</v>
      </c>
      <c r="Z734" s="165" t="s">
        <v>16</v>
      </c>
      <c r="AA734" s="165" t="s">
        <v>16</v>
      </c>
      <c r="AB734" s="165" t="s">
        <v>149</v>
      </c>
      <c r="AC734" s="165" t="s">
        <v>16</v>
      </c>
      <c r="AD734" s="165" t="s">
        <v>148</v>
      </c>
      <c r="AE734" s="165" t="s">
        <v>1285</v>
      </c>
      <c r="AF734" s="165" t="s">
        <v>1286</v>
      </c>
    </row>
    <row r="735" spans="1:32" x14ac:dyDescent="0.3">
      <c r="A735" s="165" t="s">
        <v>1287</v>
      </c>
      <c r="B735" s="165" t="s">
        <v>14</v>
      </c>
      <c r="C735" s="165" t="s">
        <v>1249</v>
      </c>
      <c r="D735" s="165" t="s">
        <v>15</v>
      </c>
      <c r="E735" s="157">
        <v>41089</v>
      </c>
      <c r="F735" s="165" t="s">
        <v>16</v>
      </c>
      <c r="G735" s="165" t="s">
        <v>16</v>
      </c>
      <c r="H735" s="165" t="s">
        <v>148</v>
      </c>
      <c r="I735" s="165" t="s">
        <v>148</v>
      </c>
      <c r="J735" s="165" t="s">
        <v>16</v>
      </c>
      <c r="K735" s="165" t="s">
        <v>150</v>
      </c>
      <c r="L735" s="165" t="s">
        <v>16</v>
      </c>
      <c r="M735" s="165" t="s">
        <v>16</v>
      </c>
      <c r="N735" s="165" t="s">
        <v>16</v>
      </c>
      <c r="O735" s="165" t="s">
        <v>148</v>
      </c>
      <c r="P735" s="165" t="s">
        <v>150</v>
      </c>
      <c r="Q735" s="165" t="s">
        <v>16</v>
      </c>
      <c r="R735" s="165" t="s">
        <v>16</v>
      </c>
      <c r="S735" s="165" t="s">
        <v>148</v>
      </c>
      <c r="T735" s="165" t="s">
        <v>148</v>
      </c>
      <c r="U735" s="165" t="s">
        <v>16</v>
      </c>
      <c r="V735" s="165" t="s">
        <v>16</v>
      </c>
      <c r="W735" s="165" t="s">
        <v>16</v>
      </c>
      <c r="X735" s="165" t="s">
        <v>148</v>
      </c>
      <c r="Y735" s="165" t="s">
        <v>148</v>
      </c>
      <c r="Z735" s="165" t="s">
        <v>148</v>
      </c>
      <c r="AA735" s="165" t="s">
        <v>148</v>
      </c>
      <c r="AB735" s="165" t="s">
        <v>16</v>
      </c>
      <c r="AC735" s="165" t="s">
        <v>148</v>
      </c>
      <c r="AD735" s="165" t="s">
        <v>16</v>
      </c>
      <c r="AE735" s="165" t="s">
        <v>1250</v>
      </c>
      <c r="AF735" s="165"/>
    </row>
    <row r="736" spans="1:32" x14ac:dyDescent="0.3">
      <c r="A736" s="165" t="s">
        <v>1288</v>
      </c>
      <c r="B736" s="165" t="s">
        <v>14</v>
      </c>
      <c r="C736" s="165" t="s">
        <v>1249</v>
      </c>
      <c r="D736" s="165" t="s">
        <v>15</v>
      </c>
      <c r="E736" s="157">
        <v>41089</v>
      </c>
      <c r="F736" s="165" t="s">
        <v>150</v>
      </c>
      <c r="G736" s="165" t="s">
        <v>148</v>
      </c>
      <c r="H736" s="165" t="s">
        <v>16</v>
      </c>
      <c r="I736" s="165" t="s">
        <v>16</v>
      </c>
      <c r="J736" s="165" t="s">
        <v>16</v>
      </c>
      <c r="K736" s="165" t="s">
        <v>16</v>
      </c>
      <c r="L736" s="165" t="s">
        <v>16</v>
      </c>
      <c r="M736" s="165" t="s">
        <v>16</v>
      </c>
      <c r="N736" s="165" t="s">
        <v>16</v>
      </c>
      <c r="O736" s="165" t="s">
        <v>148</v>
      </c>
      <c r="P736" s="165" t="s">
        <v>148</v>
      </c>
      <c r="Q736" s="165" t="s">
        <v>16</v>
      </c>
      <c r="R736" s="165" t="s">
        <v>16</v>
      </c>
      <c r="S736" s="165" t="s">
        <v>16</v>
      </c>
      <c r="T736" s="165" t="s">
        <v>16</v>
      </c>
      <c r="U736" s="165" t="s">
        <v>16</v>
      </c>
      <c r="V736" s="165" t="s">
        <v>16</v>
      </c>
      <c r="W736" s="165" t="s">
        <v>16</v>
      </c>
      <c r="X736" s="165" t="s">
        <v>16</v>
      </c>
      <c r="Y736" s="165" t="s">
        <v>16</v>
      </c>
      <c r="Z736" s="165" t="s">
        <v>148</v>
      </c>
      <c r="AA736" s="165" t="s">
        <v>148</v>
      </c>
      <c r="AB736" s="165" t="s">
        <v>16</v>
      </c>
      <c r="AC736" s="165" t="s">
        <v>148</v>
      </c>
      <c r="AD736" s="165" t="s">
        <v>16</v>
      </c>
      <c r="AE736" s="165" t="s">
        <v>1254</v>
      </c>
      <c r="AF736" s="165"/>
    </row>
    <row r="737" spans="1:32" x14ac:dyDescent="0.3">
      <c r="A737" s="165" t="s">
        <v>1289</v>
      </c>
      <c r="B737" s="165" t="s">
        <v>14</v>
      </c>
      <c r="C737" s="165" t="s">
        <v>1249</v>
      </c>
      <c r="D737" s="165" t="s">
        <v>15</v>
      </c>
      <c r="E737" s="157">
        <v>41089</v>
      </c>
      <c r="F737" s="165" t="s">
        <v>16</v>
      </c>
      <c r="G737" s="165" t="s">
        <v>16</v>
      </c>
      <c r="H737" s="165" t="s">
        <v>16</v>
      </c>
      <c r="I737" s="165" t="s">
        <v>148</v>
      </c>
      <c r="J737" s="165" t="s">
        <v>16</v>
      </c>
      <c r="K737" s="165" t="s">
        <v>16</v>
      </c>
      <c r="L737" s="165" t="s">
        <v>16</v>
      </c>
      <c r="M737" s="165" t="s">
        <v>16</v>
      </c>
      <c r="N737" s="165" t="s">
        <v>16</v>
      </c>
      <c r="O737" s="165" t="s">
        <v>16</v>
      </c>
      <c r="P737" s="165" t="s">
        <v>16</v>
      </c>
      <c r="Q737" s="165" t="s">
        <v>16</v>
      </c>
      <c r="R737" s="165" t="s">
        <v>148</v>
      </c>
      <c r="S737" s="165" t="s">
        <v>16</v>
      </c>
      <c r="T737" s="165" t="s">
        <v>16</v>
      </c>
      <c r="U737" s="165" t="s">
        <v>148</v>
      </c>
      <c r="V737" s="165" t="s">
        <v>16</v>
      </c>
      <c r="W737" s="165" t="s">
        <v>16</v>
      </c>
      <c r="X737" s="165" t="s">
        <v>16</v>
      </c>
      <c r="Y737" s="165" t="s">
        <v>16</v>
      </c>
      <c r="Z737" s="165" t="s">
        <v>16</v>
      </c>
      <c r="AA737" s="165" t="s">
        <v>148</v>
      </c>
      <c r="AB737" s="165" t="s">
        <v>16</v>
      </c>
      <c r="AC737" s="165" t="s">
        <v>16</v>
      </c>
      <c r="AD737" s="165" t="s">
        <v>16</v>
      </c>
      <c r="AE737" s="165" t="s">
        <v>1250</v>
      </c>
      <c r="AF737" s="165"/>
    </row>
    <row r="740" spans="1:32" s="165" customFormat="1" x14ac:dyDescent="0.3">
      <c r="F740" s="165" t="s">
        <v>124</v>
      </c>
      <c r="G740" s="165" t="s">
        <v>125</v>
      </c>
      <c r="H740" s="165" t="s">
        <v>126</v>
      </c>
      <c r="I740" s="165" t="s">
        <v>127</v>
      </c>
      <c r="J740" s="165" t="s">
        <v>214</v>
      </c>
      <c r="K740" s="165" t="s">
        <v>128</v>
      </c>
      <c r="L740" s="165" t="s">
        <v>129</v>
      </c>
      <c r="M740" s="165" t="s">
        <v>130</v>
      </c>
      <c r="N740" s="165" t="s">
        <v>131</v>
      </c>
      <c r="O740" s="165" t="s">
        <v>132</v>
      </c>
      <c r="P740" s="165" t="s">
        <v>133</v>
      </c>
      <c r="Q740" s="165" t="s">
        <v>134</v>
      </c>
      <c r="R740" s="165" t="s">
        <v>135</v>
      </c>
      <c r="S740" s="165" t="s">
        <v>136</v>
      </c>
      <c r="T740" s="165" t="s">
        <v>137</v>
      </c>
      <c r="U740" s="165" t="s">
        <v>138</v>
      </c>
      <c r="V740" s="165" t="s">
        <v>139</v>
      </c>
      <c r="W740" s="165" t="s">
        <v>140</v>
      </c>
      <c r="X740" s="165" t="s">
        <v>186</v>
      </c>
      <c r="Y740" s="165" t="s">
        <v>209</v>
      </c>
      <c r="Z740" s="165" t="s">
        <v>141</v>
      </c>
      <c r="AA740" s="165" t="s">
        <v>142</v>
      </c>
      <c r="AB740" s="165" t="s">
        <v>210</v>
      </c>
      <c r="AC740" s="165" t="s">
        <v>1180</v>
      </c>
      <c r="AD740" s="165" t="s">
        <v>144</v>
      </c>
      <c r="AE740" s="165" t="s">
        <v>1290</v>
      </c>
      <c r="AF740" s="165" t="s">
        <v>190</v>
      </c>
    </row>
    <row r="741" spans="1:32" s="165" customFormat="1" x14ac:dyDescent="0.3">
      <c r="A741" s="165" t="s">
        <v>1291</v>
      </c>
      <c r="B741" s="165" t="s">
        <v>14</v>
      </c>
      <c r="C741" s="165" t="s">
        <v>1292</v>
      </c>
      <c r="D741" s="165" t="s">
        <v>15</v>
      </c>
      <c r="E741" s="157">
        <v>41120</v>
      </c>
      <c r="F741" s="165" t="s">
        <v>16</v>
      </c>
      <c r="G741" s="165" t="s">
        <v>149</v>
      </c>
      <c r="H741" s="165" t="s">
        <v>16</v>
      </c>
      <c r="I741" s="165" t="s">
        <v>148</v>
      </c>
      <c r="J741" s="165" t="s">
        <v>148</v>
      </c>
      <c r="K741" s="165" t="s">
        <v>16</v>
      </c>
      <c r="L741" s="165" t="s">
        <v>148</v>
      </c>
      <c r="M741" s="165" t="s">
        <v>16</v>
      </c>
      <c r="N741" s="165" t="s">
        <v>148</v>
      </c>
      <c r="O741" s="165" t="s">
        <v>16</v>
      </c>
      <c r="P741" s="165" t="s">
        <v>148</v>
      </c>
      <c r="Q741" s="165" t="s">
        <v>16</v>
      </c>
      <c r="R741" s="165" t="s">
        <v>16</v>
      </c>
      <c r="S741" s="165" t="s">
        <v>148</v>
      </c>
      <c r="T741" s="165" t="s">
        <v>148</v>
      </c>
      <c r="U741" s="165" t="s">
        <v>16</v>
      </c>
      <c r="V741" s="165" t="s">
        <v>148</v>
      </c>
      <c r="W741" s="165" t="s">
        <v>148</v>
      </c>
      <c r="X741" s="165" t="s">
        <v>16</v>
      </c>
      <c r="Y741" s="165" t="s">
        <v>16</v>
      </c>
      <c r="Z741" s="165" t="s">
        <v>16</v>
      </c>
      <c r="AA741" s="165" t="s">
        <v>148</v>
      </c>
      <c r="AB741" s="165" t="s">
        <v>16</v>
      </c>
      <c r="AC741" s="165" t="s">
        <v>16</v>
      </c>
      <c r="AD741" s="165" t="s">
        <v>16</v>
      </c>
    </row>
    <row r="742" spans="1:32" s="165" customFormat="1" x14ac:dyDescent="0.3">
      <c r="A742" s="165" t="s">
        <v>1293</v>
      </c>
      <c r="B742" s="165" t="s">
        <v>14</v>
      </c>
      <c r="C742" s="165" t="s">
        <v>1292</v>
      </c>
      <c r="D742" s="165" t="s">
        <v>15</v>
      </c>
      <c r="E742" s="157">
        <v>41120</v>
      </c>
      <c r="F742" s="165" t="s">
        <v>148</v>
      </c>
      <c r="G742" s="165" t="s">
        <v>148</v>
      </c>
      <c r="H742" s="165" t="s">
        <v>148</v>
      </c>
      <c r="I742" s="165" t="s">
        <v>150</v>
      </c>
      <c r="J742" s="165" t="s">
        <v>148</v>
      </c>
      <c r="K742" s="165" t="s">
        <v>16</v>
      </c>
      <c r="L742" s="165" t="s">
        <v>150</v>
      </c>
      <c r="M742" s="165" t="s">
        <v>148</v>
      </c>
      <c r="N742" s="165" t="s">
        <v>150</v>
      </c>
      <c r="O742" s="165" t="s">
        <v>148</v>
      </c>
      <c r="P742" s="165" t="s">
        <v>148</v>
      </c>
      <c r="Q742" s="165" t="s">
        <v>150</v>
      </c>
      <c r="R742" s="165" t="s">
        <v>150</v>
      </c>
      <c r="S742" s="165" t="s">
        <v>148</v>
      </c>
      <c r="T742" s="165" t="s">
        <v>148</v>
      </c>
      <c r="U742" s="165" t="s">
        <v>150</v>
      </c>
      <c r="V742" s="165" t="s">
        <v>148</v>
      </c>
      <c r="W742" s="165" t="s">
        <v>16</v>
      </c>
      <c r="X742" s="165" t="s">
        <v>16</v>
      </c>
      <c r="Y742" s="165" t="s">
        <v>114</v>
      </c>
      <c r="Z742" s="165" t="s">
        <v>150</v>
      </c>
      <c r="AA742" s="165" t="s">
        <v>150</v>
      </c>
      <c r="AB742" s="165" t="s">
        <v>149</v>
      </c>
      <c r="AC742" s="165" t="s">
        <v>148</v>
      </c>
      <c r="AD742" s="165" t="s">
        <v>148</v>
      </c>
      <c r="AE742" s="165" t="s">
        <v>1294</v>
      </c>
      <c r="AF742" s="165" t="s">
        <v>1295</v>
      </c>
    </row>
    <row r="743" spans="1:32" x14ac:dyDescent="0.3">
      <c r="A743" s="165" t="s">
        <v>1296</v>
      </c>
      <c r="B743" s="165" t="s">
        <v>14</v>
      </c>
      <c r="C743" s="165" t="s">
        <v>1292</v>
      </c>
      <c r="D743" s="165" t="s">
        <v>15</v>
      </c>
      <c r="E743" s="157">
        <v>41120</v>
      </c>
      <c r="F743" s="165" t="s">
        <v>149</v>
      </c>
      <c r="G743" s="165" t="s">
        <v>149</v>
      </c>
      <c r="H743" s="165" t="s">
        <v>149</v>
      </c>
      <c r="I743" s="165" t="s">
        <v>16</v>
      </c>
      <c r="J743" s="165" t="s">
        <v>16</v>
      </c>
      <c r="K743" s="165" t="s">
        <v>16</v>
      </c>
      <c r="L743" s="165" t="s">
        <v>151</v>
      </c>
      <c r="M743" s="165" t="s">
        <v>149</v>
      </c>
      <c r="N743" s="165" t="s">
        <v>16</v>
      </c>
      <c r="O743" s="165" t="s">
        <v>16</v>
      </c>
      <c r="P743" s="165" t="s">
        <v>148</v>
      </c>
      <c r="Q743" s="165" t="s">
        <v>149</v>
      </c>
      <c r="R743" s="165" t="s">
        <v>16</v>
      </c>
      <c r="S743" s="165" t="s">
        <v>148</v>
      </c>
      <c r="T743" s="165" t="s">
        <v>16</v>
      </c>
      <c r="U743" s="165" t="s">
        <v>151</v>
      </c>
      <c r="V743" s="165" t="s">
        <v>149</v>
      </c>
      <c r="W743" s="165" t="s">
        <v>16</v>
      </c>
      <c r="X743" s="165" t="s">
        <v>16</v>
      </c>
      <c r="Y743" s="165" t="s">
        <v>148</v>
      </c>
      <c r="Z743" s="165" t="s">
        <v>16</v>
      </c>
      <c r="AA743" s="165" t="s">
        <v>16</v>
      </c>
      <c r="AB743" s="165" t="s">
        <v>148</v>
      </c>
      <c r="AC743" s="165" t="s">
        <v>148</v>
      </c>
      <c r="AD743" s="165" t="s">
        <v>16</v>
      </c>
      <c r="AE743" s="165" t="s">
        <v>1297</v>
      </c>
      <c r="AF743" s="165"/>
    </row>
    <row r="744" spans="1:32" x14ac:dyDescent="0.3">
      <c r="A744" s="165" t="s">
        <v>1298</v>
      </c>
      <c r="B744" s="165" t="s">
        <v>14</v>
      </c>
      <c r="C744" s="165" t="s">
        <v>1292</v>
      </c>
      <c r="D744" s="165" t="s">
        <v>15</v>
      </c>
      <c r="E744" s="157">
        <v>41120</v>
      </c>
      <c r="F744" s="165" t="s">
        <v>149</v>
      </c>
      <c r="G744" s="165" t="s">
        <v>151</v>
      </c>
      <c r="H744" s="165" t="s">
        <v>151</v>
      </c>
      <c r="I744" s="165" t="s">
        <v>149</v>
      </c>
      <c r="J744" s="165" t="s">
        <v>16</v>
      </c>
      <c r="K744" s="165" t="s">
        <v>149</v>
      </c>
      <c r="L744" s="165" t="s">
        <v>151</v>
      </c>
      <c r="M744" s="165" t="s">
        <v>149</v>
      </c>
      <c r="N744" s="165" t="s">
        <v>149</v>
      </c>
      <c r="O744" s="165" t="s">
        <v>149</v>
      </c>
      <c r="P744" s="165" t="s">
        <v>149</v>
      </c>
      <c r="Q744" s="165" t="s">
        <v>149</v>
      </c>
      <c r="R744" s="165" t="s">
        <v>149</v>
      </c>
      <c r="S744" s="165" t="s">
        <v>16</v>
      </c>
      <c r="T744" s="165" t="s">
        <v>149</v>
      </c>
      <c r="U744" s="165" t="s">
        <v>149</v>
      </c>
      <c r="V744" s="165" t="s">
        <v>149</v>
      </c>
      <c r="W744" s="165" t="s">
        <v>149</v>
      </c>
      <c r="X744" s="165" t="s">
        <v>149</v>
      </c>
      <c r="Y744" s="165" t="s">
        <v>149</v>
      </c>
      <c r="Z744" s="165" t="s">
        <v>151</v>
      </c>
      <c r="AA744" s="165" t="s">
        <v>151</v>
      </c>
      <c r="AB744" s="165" t="s">
        <v>150</v>
      </c>
      <c r="AC744" s="165" t="s">
        <v>150</v>
      </c>
      <c r="AD744" s="165" t="s">
        <v>148</v>
      </c>
      <c r="AE744" s="165" t="s">
        <v>1299</v>
      </c>
      <c r="AF744" s="165"/>
    </row>
    <row r="745" spans="1:32" x14ac:dyDescent="0.3">
      <c r="A745" s="165" t="s">
        <v>1300</v>
      </c>
      <c r="B745" s="165" t="s">
        <v>14</v>
      </c>
      <c r="C745" s="165" t="s">
        <v>1292</v>
      </c>
      <c r="D745" s="165" t="s">
        <v>15</v>
      </c>
      <c r="E745" s="157">
        <v>41120</v>
      </c>
      <c r="F745" s="165" t="s">
        <v>16</v>
      </c>
      <c r="G745" s="165" t="s">
        <v>16</v>
      </c>
      <c r="H745" s="165" t="s">
        <v>16</v>
      </c>
      <c r="I745" s="165" t="s">
        <v>16</v>
      </c>
      <c r="J745" s="165" t="s">
        <v>16</v>
      </c>
      <c r="K745" s="165" t="s">
        <v>16</v>
      </c>
      <c r="L745" s="165" t="s">
        <v>16</v>
      </c>
      <c r="M745" s="165" t="s">
        <v>16</v>
      </c>
      <c r="N745" s="165" t="s">
        <v>16</v>
      </c>
      <c r="O745" s="165" t="s">
        <v>16</v>
      </c>
      <c r="P745" s="165" t="s">
        <v>16</v>
      </c>
      <c r="Q745" s="165" t="s">
        <v>16</v>
      </c>
      <c r="R745" s="165" t="s">
        <v>16</v>
      </c>
      <c r="S745" s="165" t="s">
        <v>16</v>
      </c>
      <c r="T745" s="165" t="s">
        <v>16</v>
      </c>
      <c r="U745" s="165" t="s">
        <v>16</v>
      </c>
      <c r="V745" s="165" t="s">
        <v>16</v>
      </c>
      <c r="W745" s="165" t="s">
        <v>16</v>
      </c>
      <c r="X745" s="165" t="s">
        <v>16</v>
      </c>
      <c r="Y745" s="165" t="s">
        <v>16</v>
      </c>
      <c r="Z745" s="165" t="s">
        <v>16</v>
      </c>
      <c r="AA745" s="165" t="s">
        <v>16</v>
      </c>
      <c r="AB745" s="165" t="s">
        <v>16</v>
      </c>
      <c r="AC745" s="165" t="s">
        <v>16</v>
      </c>
      <c r="AD745" s="165" t="s">
        <v>16</v>
      </c>
      <c r="AE745" s="165" t="s">
        <v>1294</v>
      </c>
      <c r="AF745" s="165"/>
    </row>
    <row r="746" spans="1:32" x14ac:dyDescent="0.3">
      <c r="A746" s="165" t="s">
        <v>1301</v>
      </c>
      <c r="B746" s="165" t="s">
        <v>14</v>
      </c>
      <c r="C746" s="165" t="s">
        <v>1292</v>
      </c>
      <c r="D746" s="165" t="s">
        <v>15</v>
      </c>
      <c r="E746" s="157">
        <v>41120</v>
      </c>
      <c r="F746" s="165" t="s">
        <v>148</v>
      </c>
      <c r="G746" s="165" t="s">
        <v>148</v>
      </c>
      <c r="H746" s="165" t="s">
        <v>150</v>
      </c>
      <c r="I746" s="165" t="s">
        <v>150</v>
      </c>
      <c r="J746" s="165" t="s">
        <v>16</v>
      </c>
      <c r="K746" s="165" t="s">
        <v>148</v>
      </c>
      <c r="L746" s="165" t="s">
        <v>150</v>
      </c>
      <c r="M746" s="165" t="s">
        <v>16</v>
      </c>
      <c r="N746" s="165" t="s">
        <v>150</v>
      </c>
      <c r="O746" s="165" t="s">
        <v>16</v>
      </c>
      <c r="P746" s="165" t="s">
        <v>16</v>
      </c>
      <c r="Q746" s="165" t="s">
        <v>16</v>
      </c>
      <c r="R746" s="165" t="s">
        <v>148</v>
      </c>
      <c r="S746" s="165" t="s">
        <v>150</v>
      </c>
      <c r="T746" s="165" t="s">
        <v>148</v>
      </c>
      <c r="U746" s="165" t="s">
        <v>16</v>
      </c>
      <c r="V746" s="165" t="s">
        <v>148</v>
      </c>
      <c r="W746" s="165" t="s">
        <v>150</v>
      </c>
      <c r="X746" s="165" t="s">
        <v>150</v>
      </c>
      <c r="Y746" s="165" t="s">
        <v>148</v>
      </c>
      <c r="Z746" s="165" t="s">
        <v>16</v>
      </c>
      <c r="AA746" s="165" t="s">
        <v>16</v>
      </c>
      <c r="AB746" s="165" t="s">
        <v>151</v>
      </c>
      <c r="AC746" s="165" t="s">
        <v>16</v>
      </c>
      <c r="AD746" s="165" t="s">
        <v>150</v>
      </c>
      <c r="AE746" s="165" t="s">
        <v>1297</v>
      </c>
      <c r="AF746" s="165"/>
    </row>
    <row r="747" spans="1:32" x14ac:dyDescent="0.3">
      <c r="A747" s="165" t="s">
        <v>1302</v>
      </c>
      <c r="B747" s="165" t="s">
        <v>14</v>
      </c>
      <c r="C747" s="165" t="s">
        <v>1292</v>
      </c>
      <c r="D747" s="165" t="s">
        <v>15</v>
      </c>
      <c r="E747" s="157">
        <v>41120</v>
      </c>
      <c r="F747" s="165" t="s">
        <v>16</v>
      </c>
      <c r="G747" s="165" t="s">
        <v>16</v>
      </c>
      <c r="H747" s="165" t="s">
        <v>148</v>
      </c>
      <c r="I747" s="165" t="s">
        <v>16</v>
      </c>
      <c r="J747" s="165" t="s">
        <v>114</v>
      </c>
      <c r="K747" s="165" t="s">
        <v>148</v>
      </c>
      <c r="L747" s="165" t="s">
        <v>16</v>
      </c>
      <c r="M747" s="165" t="s">
        <v>16</v>
      </c>
      <c r="N747" s="165" t="s">
        <v>16</v>
      </c>
      <c r="O747" s="165" t="s">
        <v>16</v>
      </c>
      <c r="P747" s="165" t="s">
        <v>16</v>
      </c>
      <c r="Q747" s="165" t="s">
        <v>16</v>
      </c>
      <c r="R747" s="165" t="s">
        <v>16</v>
      </c>
      <c r="S747" s="165" t="s">
        <v>16</v>
      </c>
      <c r="T747" s="165" t="s">
        <v>16</v>
      </c>
      <c r="U747" s="165" t="s">
        <v>16</v>
      </c>
      <c r="V747" s="165" t="s">
        <v>16</v>
      </c>
      <c r="W747" s="165" t="s">
        <v>16</v>
      </c>
      <c r="X747" s="165" t="s">
        <v>16</v>
      </c>
      <c r="Y747" s="165" t="s">
        <v>16</v>
      </c>
      <c r="Z747" s="165" t="s">
        <v>149</v>
      </c>
      <c r="AA747" s="165" t="s">
        <v>149</v>
      </c>
      <c r="AB747" s="165" t="s">
        <v>16</v>
      </c>
      <c r="AC747" s="165" t="s">
        <v>16</v>
      </c>
      <c r="AD747" s="165" t="s">
        <v>16</v>
      </c>
      <c r="AE747" s="165" t="s">
        <v>1294</v>
      </c>
      <c r="AF747" s="165"/>
    </row>
    <row r="748" spans="1:32" x14ac:dyDescent="0.3">
      <c r="A748" s="165" t="s">
        <v>1303</v>
      </c>
      <c r="B748" s="165" t="s">
        <v>14</v>
      </c>
      <c r="C748" s="165" t="s">
        <v>1292</v>
      </c>
      <c r="D748" s="165" t="s">
        <v>15</v>
      </c>
      <c r="E748" s="157">
        <v>41120</v>
      </c>
      <c r="F748" s="165" t="s">
        <v>16</v>
      </c>
      <c r="G748" s="165" t="s">
        <v>16</v>
      </c>
      <c r="H748" s="165" t="s">
        <v>16</v>
      </c>
      <c r="I748" s="165" t="s">
        <v>16</v>
      </c>
      <c r="J748" s="165" t="s">
        <v>16</v>
      </c>
      <c r="K748" s="165" t="s">
        <v>16</v>
      </c>
      <c r="L748" s="165" t="s">
        <v>16</v>
      </c>
      <c r="M748" s="165" t="s">
        <v>148</v>
      </c>
      <c r="N748" s="165" t="s">
        <v>148</v>
      </c>
      <c r="O748" s="165" t="s">
        <v>16</v>
      </c>
      <c r="P748" s="165" t="s">
        <v>148</v>
      </c>
      <c r="Q748" s="165" t="s">
        <v>16</v>
      </c>
      <c r="R748" s="165" t="s">
        <v>16</v>
      </c>
      <c r="S748" s="165" t="s">
        <v>16</v>
      </c>
      <c r="T748" s="165" t="s">
        <v>16</v>
      </c>
      <c r="U748" s="165" t="s">
        <v>16</v>
      </c>
      <c r="V748" s="165" t="s">
        <v>16</v>
      </c>
      <c r="W748" s="165" t="s">
        <v>16</v>
      </c>
      <c r="X748" s="165" t="s">
        <v>16</v>
      </c>
      <c r="Y748" s="165" t="s">
        <v>16</v>
      </c>
      <c r="Z748" s="165" t="s">
        <v>16</v>
      </c>
      <c r="AA748" s="165" t="s">
        <v>16</v>
      </c>
      <c r="AB748" s="165" t="s">
        <v>16</v>
      </c>
      <c r="AC748" s="165" t="s">
        <v>16</v>
      </c>
      <c r="AD748" s="165" t="s">
        <v>148</v>
      </c>
      <c r="AE748" s="165" t="s">
        <v>1297</v>
      </c>
      <c r="AF748" s="165"/>
    </row>
    <row r="749" spans="1:32" x14ac:dyDescent="0.3">
      <c r="A749" s="165" t="s">
        <v>1304</v>
      </c>
      <c r="B749" s="165" t="s">
        <v>14</v>
      </c>
      <c r="C749" s="165" t="s">
        <v>1292</v>
      </c>
      <c r="D749" s="165" t="s">
        <v>15</v>
      </c>
      <c r="E749" s="157">
        <v>41120</v>
      </c>
      <c r="F749" s="165" t="s">
        <v>16</v>
      </c>
      <c r="G749" s="165" t="s">
        <v>16</v>
      </c>
      <c r="H749" s="165" t="s">
        <v>16</v>
      </c>
      <c r="I749" s="165" t="s">
        <v>16</v>
      </c>
      <c r="J749" s="165" t="s">
        <v>16</v>
      </c>
      <c r="K749" s="165" t="s">
        <v>149</v>
      </c>
      <c r="L749" s="165" t="s">
        <v>149</v>
      </c>
      <c r="M749" s="165" t="s">
        <v>16</v>
      </c>
      <c r="N749" s="165" t="s">
        <v>148</v>
      </c>
      <c r="O749" s="165" t="s">
        <v>148</v>
      </c>
      <c r="P749" s="165" t="s">
        <v>114</v>
      </c>
      <c r="Q749" s="165" t="s">
        <v>114</v>
      </c>
      <c r="R749" s="165" t="s">
        <v>114</v>
      </c>
      <c r="S749" s="165" t="s">
        <v>16</v>
      </c>
      <c r="T749" s="165" t="s">
        <v>16</v>
      </c>
      <c r="U749" s="165" t="s">
        <v>16</v>
      </c>
      <c r="V749" s="165" t="s">
        <v>16</v>
      </c>
      <c r="W749" s="165" t="s">
        <v>16</v>
      </c>
      <c r="X749" s="165" t="s">
        <v>16</v>
      </c>
      <c r="Y749" s="165" t="s">
        <v>16</v>
      </c>
      <c r="Z749" s="165" t="s">
        <v>16</v>
      </c>
      <c r="AA749" s="165" t="s">
        <v>16</v>
      </c>
      <c r="AB749" s="165" t="s">
        <v>16</v>
      </c>
      <c r="AC749" s="165" t="s">
        <v>148</v>
      </c>
      <c r="AD749" s="165" t="s">
        <v>148</v>
      </c>
      <c r="AE749" s="165" t="s">
        <v>1297</v>
      </c>
      <c r="AF749" s="165"/>
    </row>
    <row r="750" spans="1:32" x14ac:dyDescent="0.3">
      <c r="A750" s="165" t="s">
        <v>1305</v>
      </c>
      <c r="B750" s="165" t="s">
        <v>14</v>
      </c>
      <c r="C750" s="165" t="s">
        <v>1292</v>
      </c>
      <c r="D750" s="165" t="s">
        <v>15</v>
      </c>
      <c r="E750" s="157">
        <v>41120</v>
      </c>
      <c r="F750" s="165" t="s">
        <v>148</v>
      </c>
      <c r="G750" s="165" t="s">
        <v>16</v>
      </c>
      <c r="H750" s="165" t="s">
        <v>16</v>
      </c>
      <c r="I750" s="165" t="s">
        <v>16</v>
      </c>
      <c r="J750" s="165" t="s">
        <v>16</v>
      </c>
      <c r="K750" s="165" t="s">
        <v>16</v>
      </c>
      <c r="L750" s="165" t="s">
        <v>16</v>
      </c>
      <c r="M750" s="165" t="s">
        <v>16</v>
      </c>
      <c r="N750" s="165" t="s">
        <v>16</v>
      </c>
      <c r="O750" s="165" t="s">
        <v>16</v>
      </c>
      <c r="P750" s="165" t="s">
        <v>16</v>
      </c>
      <c r="Q750" s="165" t="s">
        <v>16</v>
      </c>
      <c r="R750" s="165" t="s">
        <v>16</v>
      </c>
      <c r="S750" s="165" t="s">
        <v>16</v>
      </c>
      <c r="T750" s="165" t="s">
        <v>16</v>
      </c>
      <c r="U750" s="165" t="s">
        <v>16</v>
      </c>
      <c r="V750" s="165" t="s">
        <v>148</v>
      </c>
      <c r="W750" s="165" t="s">
        <v>148</v>
      </c>
      <c r="X750" s="165" t="s">
        <v>16</v>
      </c>
      <c r="Y750" s="165" t="s">
        <v>16</v>
      </c>
      <c r="Z750" s="165" t="s">
        <v>16</v>
      </c>
      <c r="AA750" s="165" t="s">
        <v>16</v>
      </c>
      <c r="AB750" s="165" t="s">
        <v>16</v>
      </c>
      <c r="AC750" s="165" t="s">
        <v>16</v>
      </c>
      <c r="AD750" s="165" t="s">
        <v>16</v>
      </c>
      <c r="AE750" s="165" t="s">
        <v>1297</v>
      </c>
      <c r="AF750" s="165"/>
    </row>
    <row r="751" spans="1:32" x14ac:dyDescent="0.3">
      <c r="A751" s="165" t="s">
        <v>1306</v>
      </c>
      <c r="B751" s="165" t="s">
        <v>14</v>
      </c>
      <c r="C751" s="165" t="s">
        <v>1292</v>
      </c>
      <c r="D751" s="165" t="s">
        <v>15</v>
      </c>
      <c r="E751" s="157">
        <v>41120</v>
      </c>
      <c r="F751" s="165" t="s">
        <v>149</v>
      </c>
      <c r="G751" s="165" t="s">
        <v>149</v>
      </c>
      <c r="H751" s="165" t="s">
        <v>149</v>
      </c>
      <c r="I751" s="165" t="s">
        <v>149</v>
      </c>
      <c r="J751" s="165" t="s">
        <v>149</v>
      </c>
      <c r="K751" s="165" t="s">
        <v>149</v>
      </c>
      <c r="L751" s="165" t="s">
        <v>149</v>
      </c>
      <c r="M751" s="165" t="s">
        <v>149</v>
      </c>
      <c r="N751" s="165" t="s">
        <v>148</v>
      </c>
      <c r="O751" s="165" t="s">
        <v>149</v>
      </c>
      <c r="P751" s="165" t="s">
        <v>149</v>
      </c>
      <c r="Q751" s="165" t="s">
        <v>149</v>
      </c>
      <c r="R751" s="165" t="s">
        <v>149</v>
      </c>
      <c r="S751" s="165" t="s">
        <v>149</v>
      </c>
      <c r="T751" s="165" t="s">
        <v>149</v>
      </c>
      <c r="U751" s="165" t="s">
        <v>16</v>
      </c>
      <c r="V751" s="165" t="s">
        <v>149</v>
      </c>
      <c r="W751" s="165" t="s">
        <v>149</v>
      </c>
      <c r="X751" s="165" t="s">
        <v>149</v>
      </c>
      <c r="Y751" s="165" t="s">
        <v>149</v>
      </c>
      <c r="Z751" s="165" t="s">
        <v>149</v>
      </c>
      <c r="AA751" s="165" t="s">
        <v>149</v>
      </c>
      <c r="AB751" s="165" t="s">
        <v>16</v>
      </c>
      <c r="AC751" s="165" t="s">
        <v>16</v>
      </c>
      <c r="AD751" s="165" t="s">
        <v>16</v>
      </c>
      <c r="AE751" s="165" t="s">
        <v>1299</v>
      </c>
      <c r="AF751" s="165" t="s">
        <v>1307</v>
      </c>
    </row>
    <row r="752" spans="1:32" x14ac:dyDescent="0.3">
      <c r="A752" s="165" t="s">
        <v>1308</v>
      </c>
      <c r="B752" s="165" t="s">
        <v>14</v>
      </c>
      <c r="C752" s="165" t="s">
        <v>1292</v>
      </c>
      <c r="D752" s="165" t="s">
        <v>15</v>
      </c>
      <c r="E752" s="157">
        <v>41120</v>
      </c>
      <c r="F752" s="165" t="s">
        <v>16</v>
      </c>
      <c r="G752" s="165" t="s">
        <v>16</v>
      </c>
      <c r="H752" s="165" t="s">
        <v>16</v>
      </c>
      <c r="I752" s="165" t="s">
        <v>16</v>
      </c>
      <c r="J752" s="165" t="s">
        <v>16</v>
      </c>
      <c r="K752" s="165" t="s">
        <v>148</v>
      </c>
      <c r="L752" s="165" t="s">
        <v>148</v>
      </c>
      <c r="M752" s="165" t="s">
        <v>148</v>
      </c>
      <c r="N752" s="165" t="s">
        <v>148</v>
      </c>
      <c r="O752" s="165" t="s">
        <v>16</v>
      </c>
      <c r="P752" s="165" t="s">
        <v>16</v>
      </c>
      <c r="Q752" s="165" t="s">
        <v>16</v>
      </c>
      <c r="R752" s="165" t="s">
        <v>148</v>
      </c>
      <c r="S752" s="165" t="s">
        <v>148</v>
      </c>
      <c r="T752" s="165" t="s">
        <v>16</v>
      </c>
      <c r="U752" s="165" t="s">
        <v>148</v>
      </c>
      <c r="V752" s="165" t="s">
        <v>16</v>
      </c>
      <c r="W752" s="165" t="s">
        <v>16</v>
      </c>
      <c r="X752" s="165" t="s">
        <v>16</v>
      </c>
      <c r="Y752" s="165" t="s">
        <v>16</v>
      </c>
      <c r="Z752" s="165" t="s">
        <v>16</v>
      </c>
      <c r="AA752" s="165" t="s">
        <v>16</v>
      </c>
      <c r="AB752" s="165" t="s">
        <v>16</v>
      </c>
      <c r="AC752" s="165" t="s">
        <v>16</v>
      </c>
      <c r="AD752" s="165" t="s">
        <v>16</v>
      </c>
      <c r="AE752" s="165" t="s">
        <v>1297</v>
      </c>
      <c r="AF752" s="165"/>
    </row>
    <row r="753" spans="1:32" x14ac:dyDescent="0.3">
      <c r="A753" s="165" t="s">
        <v>1309</v>
      </c>
      <c r="B753" s="165" t="s">
        <v>14</v>
      </c>
      <c r="C753" s="165" t="s">
        <v>1292</v>
      </c>
      <c r="D753" s="165" t="s">
        <v>15</v>
      </c>
      <c r="E753" s="157">
        <v>41120</v>
      </c>
      <c r="F753" s="165" t="s">
        <v>16</v>
      </c>
      <c r="G753" s="165" t="s">
        <v>16</v>
      </c>
      <c r="H753" s="165" t="s">
        <v>16</v>
      </c>
      <c r="I753" s="165" t="s">
        <v>16</v>
      </c>
      <c r="J753" s="165" t="s">
        <v>16</v>
      </c>
      <c r="K753" s="165" t="s">
        <v>16</v>
      </c>
      <c r="L753" s="165" t="s">
        <v>16</v>
      </c>
      <c r="M753" s="165" t="s">
        <v>16</v>
      </c>
      <c r="N753" s="165" t="s">
        <v>16</v>
      </c>
      <c r="O753" s="165" t="s">
        <v>16</v>
      </c>
      <c r="P753" s="165" t="s">
        <v>16</v>
      </c>
      <c r="Q753" s="165" t="s">
        <v>16</v>
      </c>
      <c r="R753" s="165" t="s">
        <v>16</v>
      </c>
      <c r="S753" s="165" t="s">
        <v>16</v>
      </c>
      <c r="T753" s="165" t="s">
        <v>16</v>
      </c>
      <c r="U753" s="165" t="s">
        <v>16</v>
      </c>
      <c r="V753" s="165" t="s">
        <v>16</v>
      </c>
      <c r="W753" s="165" t="s">
        <v>16</v>
      </c>
      <c r="X753" s="165" t="s">
        <v>16</v>
      </c>
      <c r="Y753" s="165" t="s">
        <v>16</v>
      </c>
      <c r="Z753" s="165" t="s">
        <v>16</v>
      </c>
      <c r="AA753" s="165" t="s">
        <v>16</v>
      </c>
      <c r="AB753" s="165" t="s">
        <v>16</v>
      </c>
      <c r="AC753" s="165" t="s">
        <v>16</v>
      </c>
      <c r="AD753" s="165" t="s">
        <v>16</v>
      </c>
      <c r="AE753" s="165" t="s">
        <v>1297</v>
      </c>
      <c r="AF753" s="165"/>
    </row>
    <row r="754" spans="1:32" x14ac:dyDescent="0.3">
      <c r="A754" s="165" t="s">
        <v>1310</v>
      </c>
      <c r="B754" s="165" t="s">
        <v>14</v>
      </c>
      <c r="C754" s="165" t="s">
        <v>1292</v>
      </c>
      <c r="D754" s="165" t="s">
        <v>15</v>
      </c>
      <c r="E754" s="157">
        <v>41120</v>
      </c>
      <c r="F754" s="165" t="s">
        <v>16</v>
      </c>
      <c r="G754" s="165" t="s">
        <v>16</v>
      </c>
      <c r="H754" s="165" t="s">
        <v>16</v>
      </c>
      <c r="I754" s="165" t="s">
        <v>16</v>
      </c>
      <c r="J754" s="165" t="s">
        <v>16</v>
      </c>
      <c r="K754" s="165" t="s">
        <v>16</v>
      </c>
      <c r="L754" s="165" t="s">
        <v>16</v>
      </c>
      <c r="M754" s="165" t="s">
        <v>16</v>
      </c>
      <c r="N754" s="165" t="s">
        <v>16</v>
      </c>
      <c r="O754" s="165" t="s">
        <v>16</v>
      </c>
      <c r="P754" s="165" t="s">
        <v>16</v>
      </c>
      <c r="Q754" s="165" t="s">
        <v>16</v>
      </c>
      <c r="R754" s="165" t="s">
        <v>148</v>
      </c>
      <c r="S754" s="165" t="s">
        <v>16</v>
      </c>
      <c r="T754" s="165" t="s">
        <v>16</v>
      </c>
      <c r="U754" s="165" t="s">
        <v>16</v>
      </c>
      <c r="V754" s="165" t="s">
        <v>16</v>
      </c>
      <c r="W754" s="165" t="s">
        <v>16</v>
      </c>
      <c r="X754" s="165" t="s">
        <v>16</v>
      </c>
      <c r="Y754" s="165" t="s">
        <v>16</v>
      </c>
      <c r="Z754" s="165" t="s">
        <v>16</v>
      </c>
      <c r="AA754" s="165" t="s">
        <v>16</v>
      </c>
      <c r="AB754" s="165" t="s">
        <v>16</v>
      </c>
      <c r="AC754" s="165" t="s">
        <v>16</v>
      </c>
      <c r="AD754" s="165" t="s">
        <v>16</v>
      </c>
      <c r="AE754" s="165" t="s">
        <v>1294</v>
      </c>
      <c r="AF754" s="165"/>
    </row>
    <row r="755" spans="1:32" x14ac:dyDescent="0.3">
      <c r="A755" s="165" t="s">
        <v>1311</v>
      </c>
      <c r="B755" s="165" t="s">
        <v>14</v>
      </c>
      <c r="C755" s="165" t="s">
        <v>1292</v>
      </c>
      <c r="D755" s="165" t="s">
        <v>15</v>
      </c>
      <c r="E755" s="157">
        <v>41120</v>
      </c>
      <c r="F755" s="165" t="s">
        <v>148</v>
      </c>
      <c r="G755" s="165" t="s">
        <v>16</v>
      </c>
      <c r="H755" s="165" t="s">
        <v>16</v>
      </c>
      <c r="I755" s="165" t="s">
        <v>16</v>
      </c>
      <c r="J755" s="165" t="s">
        <v>16</v>
      </c>
      <c r="K755" s="165" t="s">
        <v>16</v>
      </c>
      <c r="L755" s="165" t="s">
        <v>148</v>
      </c>
      <c r="M755" s="165" t="s">
        <v>148</v>
      </c>
      <c r="N755" s="165" t="s">
        <v>148</v>
      </c>
      <c r="O755" s="165" t="s">
        <v>148</v>
      </c>
      <c r="P755" s="165" t="s">
        <v>148</v>
      </c>
      <c r="Q755" s="165" t="s">
        <v>148</v>
      </c>
      <c r="R755" s="165" t="s">
        <v>148</v>
      </c>
      <c r="S755" s="165" t="s">
        <v>148</v>
      </c>
      <c r="T755" s="165" t="s">
        <v>16</v>
      </c>
      <c r="U755" s="165" t="s">
        <v>148</v>
      </c>
      <c r="V755" s="165" t="s">
        <v>16</v>
      </c>
      <c r="W755" s="165" t="s">
        <v>148</v>
      </c>
      <c r="X755" s="165" t="s">
        <v>148</v>
      </c>
      <c r="Y755" s="165" t="s">
        <v>16</v>
      </c>
      <c r="Z755" s="165" t="s">
        <v>148</v>
      </c>
      <c r="AA755" s="165" t="s">
        <v>148</v>
      </c>
      <c r="AB755" s="165" t="s">
        <v>16</v>
      </c>
      <c r="AC755" s="165" t="s">
        <v>148</v>
      </c>
      <c r="AD755" s="165" t="s">
        <v>16</v>
      </c>
      <c r="AE755" s="165" t="s">
        <v>1297</v>
      </c>
      <c r="AF755" s="165"/>
    </row>
    <row r="756" spans="1:32" x14ac:dyDescent="0.3">
      <c r="A756" s="165" t="s">
        <v>1312</v>
      </c>
      <c r="B756" s="165" t="s">
        <v>14</v>
      </c>
      <c r="C756" s="165" t="s">
        <v>1292</v>
      </c>
      <c r="D756" s="165" t="s">
        <v>15</v>
      </c>
      <c r="E756" s="157">
        <v>41120</v>
      </c>
      <c r="F756" s="165" t="s">
        <v>16</v>
      </c>
      <c r="G756" s="165" t="s">
        <v>148</v>
      </c>
      <c r="H756" s="165" t="s">
        <v>148</v>
      </c>
      <c r="I756" s="165" t="s">
        <v>148</v>
      </c>
      <c r="J756" s="165" t="s">
        <v>148</v>
      </c>
      <c r="K756" s="165" t="s">
        <v>16</v>
      </c>
      <c r="L756" s="165" t="s">
        <v>16</v>
      </c>
      <c r="M756" s="165" t="s">
        <v>148</v>
      </c>
      <c r="N756" s="165" t="s">
        <v>16</v>
      </c>
      <c r="O756" s="165" t="s">
        <v>16</v>
      </c>
      <c r="P756" s="165" t="s">
        <v>16</v>
      </c>
      <c r="Q756" s="165" t="s">
        <v>16</v>
      </c>
      <c r="R756" s="165" t="s">
        <v>148</v>
      </c>
      <c r="S756" s="165" t="s">
        <v>148</v>
      </c>
      <c r="T756" s="165" t="s">
        <v>148</v>
      </c>
      <c r="U756" s="165" t="s">
        <v>16</v>
      </c>
      <c r="V756" s="165" t="s">
        <v>148</v>
      </c>
      <c r="W756" s="165" t="s">
        <v>148</v>
      </c>
      <c r="X756" s="165" t="s">
        <v>16</v>
      </c>
      <c r="Y756" s="165" t="s">
        <v>148</v>
      </c>
      <c r="Z756" s="165" t="s">
        <v>16</v>
      </c>
      <c r="AA756" s="165" t="s">
        <v>16</v>
      </c>
      <c r="AB756" s="165" t="s">
        <v>148</v>
      </c>
      <c r="AC756" s="165" t="s">
        <v>16</v>
      </c>
      <c r="AD756" s="165" t="s">
        <v>148</v>
      </c>
      <c r="AE756" s="165" t="s">
        <v>1297</v>
      </c>
      <c r="AF756" s="165" t="s">
        <v>1313</v>
      </c>
    </row>
    <row r="757" spans="1:32" x14ac:dyDescent="0.3">
      <c r="A757" s="165" t="s">
        <v>1314</v>
      </c>
      <c r="B757" s="165" t="s">
        <v>14</v>
      </c>
      <c r="C757" s="165" t="s">
        <v>1292</v>
      </c>
      <c r="D757" s="165" t="s">
        <v>15</v>
      </c>
      <c r="E757" s="157">
        <v>41120</v>
      </c>
      <c r="F757" s="165" t="s">
        <v>16</v>
      </c>
      <c r="G757" s="165" t="s">
        <v>16</v>
      </c>
      <c r="H757" s="165" t="s">
        <v>16</v>
      </c>
      <c r="I757" s="165" t="s">
        <v>16</v>
      </c>
      <c r="J757" s="165" t="s">
        <v>16</v>
      </c>
      <c r="K757" s="165" t="s">
        <v>16</v>
      </c>
      <c r="L757" s="165" t="s">
        <v>16</v>
      </c>
      <c r="M757" s="165" t="s">
        <v>16</v>
      </c>
      <c r="N757" s="165" t="s">
        <v>16</v>
      </c>
      <c r="O757" s="165" t="s">
        <v>16</v>
      </c>
      <c r="P757" s="165" t="s">
        <v>16</v>
      </c>
      <c r="Q757" s="165" t="s">
        <v>16</v>
      </c>
      <c r="R757" s="165" t="s">
        <v>16</v>
      </c>
      <c r="S757" s="165" t="s">
        <v>16</v>
      </c>
      <c r="T757" s="165" t="s">
        <v>16</v>
      </c>
      <c r="U757" s="165" t="s">
        <v>16</v>
      </c>
      <c r="V757" s="165" t="s">
        <v>16</v>
      </c>
      <c r="W757" s="165" t="s">
        <v>16</v>
      </c>
      <c r="X757" s="165" t="s">
        <v>16</v>
      </c>
      <c r="Y757" s="165" t="s">
        <v>16</v>
      </c>
      <c r="Z757" s="165" t="s">
        <v>16</v>
      </c>
      <c r="AA757" s="165" t="s">
        <v>16</v>
      </c>
      <c r="AB757" s="165" t="s">
        <v>16</v>
      </c>
      <c r="AC757" s="165" t="s">
        <v>16</v>
      </c>
      <c r="AD757" s="165" t="s">
        <v>16</v>
      </c>
      <c r="AE757" s="165" t="s">
        <v>1315</v>
      </c>
      <c r="AF757" s="165"/>
    </row>
    <row r="758" spans="1:32" x14ac:dyDescent="0.3">
      <c r="A758" s="165" t="s">
        <v>1316</v>
      </c>
      <c r="B758" s="165" t="s">
        <v>14</v>
      </c>
      <c r="C758" s="165" t="s">
        <v>1292</v>
      </c>
      <c r="D758" s="165" t="s">
        <v>15</v>
      </c>
      <c r="E758" s="157">
        <v>41120</v>
      </c>
      <c r="F758" s="165" t="s">
        <v>16</v>
      </c>
      <c r="G758" s="165" t="s">
        <v>16</v>
      </c>
      <c r="H758" s="165" t="s">
        <v>148</v>
      </c>
      <c r="I758" s="165" t="s">
        <v>16</v>
      </c>
      <c r="J758" s="165" t="s">
        <v>149</v>
      </c>
      <c r="K758" s="165" t="s">
        <v>16</v>
      </c>
      <c r="L758" s="165" t="s">
        <v>16</v>
      </c>
      <c r="M758" s="165" t="s">
        <v>16</v>
      </c>
      <c r="N758" s="165" t="s">
        <v>16</v>
      </c>
      <c r="O758" s="165" t="s">
        <v>16</v>
      </c>
      <c r="P758" s="165" t="s">
        <v>16</v>
      </c>
      <c r="Q758" s="165" t="s">
        <v>16</v>
      </c>
      <c r="R758" s="165" t="s">
        <v>16</v>
      </c>
      <c r="S758" s="165" t="s">
        <v>16</v>
      </c>
      <c r="T758" s="165" t="s">
        <v>16</v>
      </c>
      <c r="U758" s="165" t="s">
        <v>148</v>
      </c>
      <c r="V758" s="165" t="s">
        <v>16</v>
      </c>
      <c r="W758" s="165" t="s">
        <v>148</v>
      </c>
      <c r="X758" s="165" t="s">
        <v>16</v>
      </c>
      <c r="Y758" s="165" t="s">
        <v>16</v>
      </c>
      <c r="Z758" s="165" t="s">
        <v>16</v>
      </c>
      <c r="AA758" s="165" t="s">
        <v>16</v>
      </c>
      <c r="AB758" s="165" t="s">
        <v>16</v>
      </c>
      <c r="AC758" s="165" t="s">
        <v>16</v>
      </c>
      <c r="AD758" s="165" t="s">
        <v>16</v>
      </c>
      <c r="AE758" s="165" t="s">
        <v>1297</v>
      </c>
      <c r="AF758" s="165"/>
    </row>
    <row r="759" spans="1:32" x14ac:dyDescent="0.3">
      <c r="A759" s="165" t="s">
        <v>1317</v>
      </c>
      <c r="B759" s="165" t="s">
        <v>14</v>
      </c>
      <c r="C759" s="165" t="s">
        <v>1292</v>
      </c>
      <c r="D759" s="165" t="s">
        <v>15</v>
      </c>
      <c r="E759" s="157">
        <v>41120</v>
      </c>
      <c r="F759" s="165" t="s">
        <v>150</v>
      </c>
      <c r="G759" s="165" t="s">
        <v>150</v>
      </c>
      <c r="H759" s="165" t="s">
        <v>149</v>
      </c>
      <c r="I759" s="165" t="s">
        <v>16</v>
      </c>
      <c r="J759" s="165" t="s">
        <v>150</v>
      </c>
      <c r="K759" s="165" t="s">
        <v>149</v>
      </c>
      <c r="L759" s="165" t="s">
        <v>16</v>
      </c>
      <c r="M759" s="165" t="s">
        <v>16</v>
      </c>
      <c r="N759" s="165" t="s">
        <v>16</v>
      </c>
      <c r="O759" s="165" t="s">
        <v>150</v>
      </c>
      <c r="P759" s="165" t="s">
        <v>150</v>
      </c>
      <c r="Q759" s="165" t="s">
        <v>16</v>
      </c>
      <c r="R759" s="165" t="s">
        <v>16</v>
      </c>
      <c r="S759" s="165" t="s">
        <v>16</v>
      </c>
      <c r="T759" s="165" t="s">
        <v>16</v>
      </c>
      <c r="U759" s="165" t="s">
        <v>16</v>
      </c>
      <c r="V759" s="165" t="s">
        <v>16</v>
      </c>
      <c r="W759" s="165" t="s">
        <v>150</v>
      </c>
      <c r="X759" s="165" t="s">
        <v>148</v>
      </c>
      <c r="Y759" s="165" t="s">
        <v>16</v>
      </c>
      <c r="Z759" s="165" t="s">
        <v>16</v>
      </c>
      <c r="AA759" s="165" t="s">
        <v>16</v>
      </c>
      <c r="AB759" s="165" t="s">
        <v>16</v>
      </c>
      <c r="AC759" s="165" t="s">
        <v>148</v>
      </c>
      <c r="AD759" s="165" t="s">
        <v>16</v>
      </c>
      <c r="AE759" s="165" t="s">
        <v>1297</v>
      </c>
      <c r="AF759" s="165"/>
    </row>
    <row r="760" spans="1:32" x14ac:dyDescent="0.3">
      <c r="A760" s="165" t="s">
        <v>1318</v>
      </c>
      <c r="B760" s="165" t="s">
        <v>14</v>
      </c>
      <c r="C760" s="165" t="s">
        <v>1292</v>
      </c>
      <c r="D760" s="165" t="s">
        <v>15</v>
      </c>
      <c r="E760" s="157">
        <v>41120</v>
      </c>
      <c r="F760" s="165" t="s">
        <v>16</v>
      </c>
      <c r="G760" s="165" t="s">
        <v>16</v>
      </c>
      <c r="H760" s="165" t="s">
        <v>16</v>
      </c>
      <c r="I760" s="165" t="s">
        <v>16</v>
      </c>
      <c r="J760" s="165" t="s">
        <v>16</v>
      </c>
      <c r="K760" s="165" t="s">
        <v>16</v>
      </c>
      <c r="L760" s="165" t="s">
        <v>16</v>
      </c>
      <c r="M760" s="165" t="s">
        <v>16</v>
      </c>
      <c r="N760" s="165" t="s">
        <v>16</v>
      </c>
      <c r="O760" s="165" t="s">
        <v>16</v>
      </c>
      <c r="P760" s="165" t="s">
        <v>16</v>
      </c>
      <c r="Q760" s="165" t="s">
        <v>16</v>
      </c>
      <c r="R760" s="165" t="s">
        <v>16</v>
      </c>
      <c r="S760" s="165" t="s">
        <v>16</v>
      </c>
      <c r="T760" s="165" t="s">
        <v>16</v>
      </c>
      <c r="U760" s="165" t="s">
        <v>16</v>
      </c>
      <c r="V760" s="165" t="s">
        <v>16</v>
      </c>
      <c r="W760" s="165" t="s">
        <v>16</v>
      </c>
      <c r="X760" s="165" t="s">
        <v>16</v>
      </c>
      <c r="Y760" s="165" t="s">
        <v>16</v>
      </c>
      <c r="Z760" s="165" t="s">
        <v>16</v>
      </c>
      <c r="AA760" s="165" t="s">
        <v>16</v>
      </c>
      <c r="AB760" s="165" t="s">
        <v>16</v>
      </c>
      <c r="AC760" s="165" t="s">
        <v>16</v>
      </c>
      <c r="AD760" s="165" t="s">
        <v>16</v>
      </c>
      <c r="AE760" s="165" t="s">
        <v>1297</v>
      </c>
      <c r="AF760" s="165"/>
    </row>
    <row r="761" spans="1:32" x14ac:dyDescent="0.3">
      <c r="A761" s="165" t="s">
        <v>1319</v>
      </c>
      <c r="B761" s="165" t="s">
        <v>14</v>
      </c>
      <c r="C761" s="165" t="s">
        <v>1292</v>
      </c>
      <c r="D761" s="165" t="s">
        <v>15</v>
      </c>
      <c r="E761" s="157">
        <v>41120</v>
      </c>
      <c r="F761" s="165" t="s">
        <v>16</v>
      </c>
      <c r="G761" s="165" t="s">
        <v>16</v>
      </c>
      <c r="H761" s="165" t="s">
        <v>148</v>
      </c>
      <c r="I761" s="165" t="s">
        <v>16</v>
      </c>
      <c r="J761" s="165" t="s">
        <v>148</v>
      </c>
      <c r="K761" s="165" t="s">
        <v>16</v>
      </c>
      <c r="L761" s="165" t="s">
        <v>148</v>
      </c>
      <c r="M761" s="165" t="s">
        <v>16</v>
      </c>
      <c r="N761" s="165" t="s">
        <v>148</v>
      </c>
      <c r="O761" s="165" t="s">
        <v>148</v>
      </c>
      <c r="P761" s="165" t="s">
        <v>148</v>
      </c>
      <c r="Q761" s="165" t="s">
        <v>16</v>
      </c>
      <c r="R761" s="165" t="s">
        <v>16</v>
      </c>
      <c r="S761" s="165" t="s">
        <v>16</v>
      </c>
      <c r="T761" s="165" t="s">
        <v>16</v>
      </c>
      <c r="U761" s="165" t="s">
        <v>148</v>
      </c>
      <c r="V761" s="165" t="s">
        <v>148</v>
      </c>
      <c r="W761" s="165" t="s">
        <v>16</v>
      </c>
      <c r="X761" s="165" t="s">
        <v>148</v>
      </c>
      <c r="Y761" s="165" t="s">
        <v>16</v>
      </c>
      <c r="Z761" s="165" t="s">
        <v>148</v>
      </c>
      <c r="AA761" s="165" t="s">
        <v>148</v>
      </c>
      <c r="AB761" s="165" t="s">
        <v>148</v>
      </c>
      <c r="AC761" s="165" t="s">
        <v>148</v>
      </c>
      <c r="AD761" s="165" t="s">
        <v>148</v>
      </c>
      <c r="AE761" s="165" t="s">
        <v>1297</v>
      </c>
      <c r="AF761" s="165"/>
    </row>
    <row r="762" spans="1:32" x14ac:dyDescent="0.3">
      <c r="A762" s="165" t="s">
        <v>1320</v>
      </c>
      <c r="B762" s="165" t="s">
        <v>14</v>
      </c>
      <c r="C762" s="165" t="s">
        <v>1292</v>
      </c>
      <c r="D762" s="165" t="s">
        <v>15</v>
      </c>
      <c r="E762" s="157">
        <v>41120</v>
      </c>
      <c r="F762" s="165" t="s">
        <v>16</v>
      </c>
      <c r="G762" s="165" t="s">
        <v>16</v>
      </c>
      <c r="H762" s="165" t="s">
        <v>114</v>
      </c>
      <c r="I762" s="165" t="s">
        <v>148</v>
      </c>
      <c r="J762" s="165" t="s">
        <v>114</v>
      </c>
      <c r="K762" s="165" t="s">
        <v>16</v>
      </c>
      <c r="L762" s="165" t="s">
        <v>16</v>
      </c>
      <c r="M762" s="165" t="s">
        <v>16</v>
      </c>
      <c r="N762" s="165" t="s">
        <v>148</v>
      </c>
      <c r="O762" s="165" t="s">
        <v>148</v>
      </c>
      <c r="P762" s="165" t="s">
        <v>16</v>
      </c>
      <c r="Q762" s="165" t="s">
        <v>16</v>
      </c>
      <c r="R762" s="165" t="s">
        <v>16</v>
      </c>
      <c r="S762" s="165" t="s">
        <v>16</v>
      </c>
      <c r="T762" s="165" t="s">
        <v>16</v>
      </c>
      <c r="U762" s="165" t="s">
        <v>16</v>
      </c>
      <c r="V762" s="165" t="s">
        <v>16</v>
      </c>
      <c r="W762" s="165" t="s">
        <v>16</v>
      </c>
      <c r="X762" s="165" t="s">
        <v>114</v>
      </c>
      <c r="Y762" s="165" t="s">
        <v>114</v>
      </c>
      <c r="Z762" s="165" t="s">
        <v>16</v>
      </c>
      <c r="AA762" s="165" t="s">
        <v>16</v>
      </c>
      <c r="AB762" s="165" t="s">
        <v>16</v>
      </c>
      <c r="AC762" s="165" t="s">
        <v>16</v>
      </c>
      <c r="AD762" s="165" t="s">
        <v>16</v>
      </c>
      <c r="AE762" s="165" t="s">
        <v>1299</v>
      </c>
      <c r="AF762" s="165"/>
    </row>
    <row r="763" spans="1:32" x14ac:dyDescent="0.3">
      <c r="A763" s="165" t="s">
        <v>1321</v>
      </c>
      <c r="B763" s="165" t="s">
        <v>14</v>
      </c>
      <c r="C763" s="165" t="s">
        <v>1292</v>
      </c>
      <c r="D763" s="165" t="s">
        <v>15</v>
      </c>
      <c r="E763" s="157">
        <v>41120</v>
      </c>
      <c r="F763" s="165" t="s">
        <v>16</v>
      </c>
      <c r="G763" s="165" t="s">
        <v>16</v>
      </c>
      <c r="H763" s="165" t="s">
        <v>16</v>
      </c>
      <c r="I763" s="165" t="s">
        <v>16</v>
      </c>
      <c r="J763" s="165" t="s">
        <v>16</v>
      </c>
      <c r="K763" s="165" t="s">
        <v>16</v>
      </c>
      <c r="L763" s="165" t="s">
        <v>16</v>
      </c>
      <c r="M763" s="165" t="s">
        <v>148</v>
      </c>
      <c r="N763" s="165" t="s">
        <v>16</v>
      </c>
      <c r="O763" s="165" t="s">
        <v>16</v>
      </c>
      <c r="P763" s="165" t="s">
        <v>16</v>
      </c>
      <c r="Q763" s="165" t="s">
        <v>16</v>
      </c>
      <c r="R763" s="165" t="s">
        <v>16</v>
      </c>
      <c r="S763" s="165" t="s">
        <v>16</v>
      </c>
      <c r="T763" s="165" t="s">
        <v>16</v>
      </c>
      <c r="U763" s="165" t="s">
        <v>16</v>
      </c>
      <c r="V763" s="165" t="s">
        <v>16</v>
      </c>
      <c r="W763" s="165" t="s">
        <v>16</v>
      </c>
      <c r="X763" s="165" t="s">
        <v>16</v>
      </c>
      <c r="Y763" s="165" t="s">
        <v>16</v>
      </c>
      <c r="Z763" s="165" t="s">
        <v>16</v>
      </c>
      <c r="AA763" s="165" t="s">
        <v>16</v>
      </c>
      <c r="AB763" s="165" t="s">
        <v>16</v>
      </c>
      <c r="AC763" s="165" t="s">
        <v>16</v>
      </c>
      <c r="AD763" s="165" t="s">
        <v>16</v>
      </c>
      <c r="AE763" s="165" t="s">
        <v>1294</v>
      </c>
      <c r="AF763" s="165"/>
    </row>
    <row r="764" spans="1:32" x14ac:dyDescent="0.3">
      <c r="A764" s="165" t="s">
        <v>1322</v>
      </c>
      <c r="B764" s="165" t="s">
        <v>14</v>
      </c>
      <c r="C764" s="165" t="s">
        <v>1292</v>
      </c>
      <c r="D764" s="165" t="s">
        <v>15</v>
      </c>
      <c r="E764" s="157">
        <v>41120</v>
      </c>
      <c r="F764" s="165" t="s">
        <v>16</v>
      </c>
      <c r="G764" s="165" t="s">
        <v>148</v>
      </c>
      <c r="H764" s="165" t="s">
        <v>148</v>
      </c>
      <c r="I764" s="165" t="s">
        <v>148</v>
      </c>
      <c r="J764" s="165" t="s">
        <v>16</v>
      </c>
      <c r="K764" s="165" t="s">
        <v>16</v>
      </c>
      <c r="L764" s="165" t="s">
        <v>16</v>
      </c>
      <c r="M764" s="165" t="s">
        <v>148</v>
      </c>
      <c r="N764" s="165" t="s">
        <v>16</v>
      </c>
      <c r="O764" s="165" t="s">
        <v>148</v>
      </c>
      <c r="P764" s="165" t="s">
        <v>148</v>
      </c>
      <c r="Q764" s="165" t="s">
        <v>148</v>
      </c>
      <c r="R764" s="165" t="s">
        <v>16</v>
      </c>
      <c r="S764" s="165" t="s">
        <v>148</v>
      </c>
      <c r="T764" s="165" t="s">
        <v>16</v>
      </c>
      <c r="U764" s="165" t="s">
        <v>16</v>
      </c>
      <c r="V764" s="165" t="s">
        <v>16</v>
      </c>
      <c r="W764" s="165" t="s">
        <v>148</v>
      </c>
      <c r="X764" s="165" t="s">
        <v>148</v>
      </c>
      <c r="Y764" s="165" t="s">
        <v>16</v>
      </c>
      <c r="Z764" s="165" t="s">
        <v>16</v>
      </c>
      <c r="AA764" s="165" t="s">
        <v>16</v>
      </c>
      <c r="AB764" s="165" t="s">
        <v>16</v>
      </c>
      <c r="AC764" s="165" t="s">
        <v>16</v>
      </c>
      <c r="AD764" s="165" t="s">
        <v>16</v>
      </c>
      <c r="AE764" s="165" t="s">
        <v>1297</v>
      </c>
      <c r="AF764" s="165"/>
    </row>
    <row r="765" spans="1:32" x14ac:dyDescent="0.3">
      <c r="A765" s="165" t="s">
        <v>1323</v>
      </c>
      <c r="B765" s="165" t="s">
        <v>14</v>
      </c>
      <c r="C765" s="165" t="s">
        <v>1292</v>
      </c>
      <c r="D765" s="165" t="s">
        <v>15</v>
      </c>
      <c r="E765" s="157">
        <v>41120</v>
      </c>
      <c r="F765" s="165" t="s">
        <v>16</v>
      </c>
      <c r="G765" s="165" t="s">
        <v>16</v>
      </c>
      <c r="H765" s="165" t="s">
        <v>16</v>
      </c>
      <c r="I765" s="165" t="s">
        <v>16</v>
      </c>
      <c r="J765" s="165" t="s">
        <v>149</v>
      </c>
      <c r="K765" s="165" t="s">
        <v>16</v>
      </c>
      <c r="L765" s="165" t="s">
        <v>16</v>
      </c>
      <c r="M765" s="165" t="s">
        <v>16</v>
      </c>
      <c r="N765" s="165" t="s">
        <v>148</v>
      </c>
      <c r="O765" s="165" t="s">
        <v>16</v>
      </c>
      <c r="P765" s="165" t="s">
        <v>16</v>
      </c>
      <c r="Q765" s="165" t="s">
        <v>16</v>
      </c>
      <c r="R765" s="165" t="s">
        <v>16</v>
      </c>
      <c r="S765" s="165" t="s">
        <v>16</v>
      </c>
      <c r="T765" s="165" t="s">
        <v>16</v>
      </c>
      <c r="U765" s="165" t="s">
        <v>16</v>
      </c>
      <c r="V765" s="165" t="s">
        <v>16</v>
      </c>
      <c r="W765" s="165" t="s">
        <v>16</v>
      </c>
      <c r="X765" s="165" t="s">
        <v>148</v>
      </c>
      <c r="Y765" s="165" t="s">
        <v>16</v>
      </c>
      <c r="Z765" s="165" t="s">
        <v>16</v>
      </c>
      <c r="AA765" s="165" t="s">
        <v>16</v>
      </c>
      <c r="AB765" s="165" t="s">
        <v>16</v>
      </c>
      <c r="AC765" s="165" t="s">
        <v>16</v>
      </c>
      <c r="AD765" s="165" t="s">
        <v>16</v>
      </c>
      <c r="AE765" s="165" t="s">
        <v>1297</v>
      </c>
      <c r="AF765" s="165" t="s">
        <v>1324</v>
      </c>
    </row>
    <row r="766" spans="1:32" x14ac:dyDescent="0.3">
      <c r="A766" s="165" t="s">
        <v>1325</v>
      </c>
      <c r="B766" s="165" t="s">
        <v>14</v>
      </c>
      <c r="C766" s="165" t="s">
        <v>1292</v>
      </c>
      <c r="D766" s="165" t="s">
        <v>15</v>
      </c>
      <c r="E766" s="157">
        <v>41120</v>
      </c>
      <c r="F766" s="165" t="s">
        <v>151</v>
      </c>
      <c r="G766" s="165" t="s">
        <v>151</v>
      </c>
      <c r="H766" s="165" t="s">
        <v>148</v>
      </c>
      <c r="I766" s="165" t="s">
        <v>148</v>
      </c>
      <c r="J766" s="165" t="s">
        <v>148</v>
      </c>
      <c r="K766" s="165" t="s">
        <v>16</v>
      </c>
      <c r="L766" s="165" t="s">
        <v>16</v>
      </c>
      <c r="M766" s="165" t="s">
        <v>16</v>
      </c>
      <c r="N766" s="165" t="s">
        <v>16</v>
      </c>
      <c r="O766" s="165" t="s">
        <v>16</v>
      </c>
      <c r="P766" s="165" t="s">
        <v>150</v>
      </c>
      <c r="Q766" s="165" t="s">
        <v>16</v>
      </c>
      <c r="R766" s="165" t="s">
        <v>151</v>
      </c>
      <c r="S766" s="165" t="s">
        <v>149</v>
      </c>
      <c r="T766" s="165" t="s">
        <v>148</v>
      </c>
      <c r="U766" s="165" t="s">
        <v>148</v>
      </c>
      <c r="V766" s="165" t="s">
        <v>16</v>
      </c>
      <c r="W766" s="165" t="s">
        <v>151</v>
      </c>
      <c r="X766" s="165" t="s">
        <v>151</v>
      </c>
      <c r="Y766" s="165" t="s">
        <v>16</v>
      </c>
      <c r="Z766" s="165" t="s">
        <v>16</v>
      </c>
      <c r="AA766" s="165" t="s">
        <v>16</v>
      </c>
      <c r="AB766" s="165" t="s">
        <v>16</v>
      </c>
      <c r="AC766" s="165" t="s">
        <v>16</v>
      </c>
      <c r="AD766" s="165" t="s">
        <v>16</v>
      </c>
      <c r="AE766" s="165" t="s">
        <v>1297</v>
      </c>
      <c r="AF766" s="165"/>
    </row>
    <row r="767" spans="1:32" x14ac:dyDescent="0.3">
      <c r="A767" s="165" t="s">
        <v>1326</v>
      </c>
      <c r="B767" s="165" t="s">
        <v>14</v>
      </c>
      <c r="C767" s="165" t="s">
        <v>1292</v>
      </c>
      <c r="D767" s="165" t="s">
        <v>15</v>
      </c>
      <c r="E767" s="157">
        <v>41120</v>
      </c>
      <c r="F767" s="165" t="s">
        <v>16</v>
      </c>
      <c r="G767" s="165" t="s">
        <v>16</v>
      </c>
      <c r="H767" s="165" t="s">
        <v>16</v>
      </c>
      <c r="I767" s="165" t="s">
        <v>16</v>
      </c>
      <c r="J767" s="165" t="s">
        <v>150</v>
      </c>
      <c r="K767" s="165" t="s">
        <v>16</v>
      </c>
      <c r="L767" s="165" t="s">
        <v>16</v>
      </c>
      <c r="M767" s="165" t="s">
        <v>16</v>
      </c>
      <c r="N767" s="165" t="s">
        <v>150</v>
      </c>
      <c r="O767" s="165" t="s">
        <v>16</v>
      </c>
      <c r="P767" s="165" t="s">
        <v>150</v>
      </c>
      <c r="Q767" s="165" t="s">
        <v>16</v>
      </c>
      <c r="R767" s="165" t="s">
        <v>16</v>
      </c>
      <c r="S767" s="165" t="s">
        <v>16</v>
      </c>
      <c r="T767" s="165" t="s">
        <v>16</v>
      </c>
      <c r="U767" s="165" t="s">
        <v>16</v>
      </c>
      <c r="V767" s="165" t="s">
        <v>148</v>
      </c>
      <c r="W767" s="165" t="s">
        <v>16</v>
      </c>
      <c r="X767" s="165" t="s">
        <v>16</v>
      </c>
      <c r="Y767" s="165" t="s">
        <v>16</v>
      </c>
      <c r="Z767" s="165" t="s">
        <v>148</v>
      </c>
      <c r="AA767" s="165" t="s">
        <v>16</v>
      </c>
      <c r="AB767" s="165" t="s">
        <v>16</v>
      </c>
      <c r="AC767" s="165" t="s">
        <v>16</v>
      </c>
      <c r="AD767" s="165" t="s">
        <v>114</v>
      </c>
      <c r="AE767" s="165" t="s">
        <v>1297</v>
      </c>
      <c r="AF767" s="165"/>
    </row>
    <row r="768" spans="1:32" x14ac:dyDescent="0.3">
      <c r="A768" s="165" t="s">
        <v>1327</v>
      </c>
      <c r="B768" s="165" t="s">
        <v>14</v>
      </c>
      <c r="C768" s="165" t="s">
        <v>1292</v>
      </c>
      <c r="D768" s="165" t="s">
        <v>15</v>
      </c>
      <c r="E768" s="157">
        <v>41120</v>
      </c>
      <c r="F768" s="165" t="s">
        <v>148</v>
      </c>
      <c r="G768" s="165" t="s">
        <v>148</v>
      </c>
      <c r="H768" s="165" t="s">
        <v>148</v>
      </c>
      <c r="I768" s="165" t="s">
        <v>150</v>
      </c>
      <c r="J768" s="165" t="s">
        <v>16</v>
      </c>
      <c r="K768" s="165" t="s">
        <v>16</v>
      </c>
      <c r="L768" s="165" t="s">
        <v>16</v>
      </c>
      <c r="M768" s="165" t="s">
        <v>150</v>
      </c>
      <c r="N768" s="165" t="s">
        <v>150</v>
      </c>
      <c r="O768" s="165" t="s">
        <v>150</v>
      </c>
      <c r="P768" s="165" t="s">
        <v>148</v>
      </c>
      <c r="Q768" s="165" t="s">
        <v>16</v>
      </c>
      <c r="R768" s="165" t="s">
        <v>149</v>
      </c>
      <c r="S768" s="165" t="s">
        <v>148</v>
      </c>
      <c r="T768" s="165" t="s">
        <v>148</v>
      </c>
      <c r="U768" s="165" t="s">
        <v>148</v>
      </c>
      <c r="V768" s="165" t="s">
        <v>148</v>
      </c>
      <c r="W768" s="165" t="s">
        <v>148</v>
      </c>
      <c r="X768" s="165" t="s">
        <v>150</v>
      </c>
      <c r="Y768" s="165" t="s">
        <v>148</v>
      </c>
      <c r="Z768" s="165" t="s">
        <v>16</v>
      </c>
      <c r="AA768" s="165" t="s">
        <v>148</v>
      </c>
      <c r="AB768" s="165" t="s">
        <v>16</v>
      </c>
      <c r="AC768" s="165" t="s">
        <v>16</v>
      </c>
      <c r="AD768" s="165" t="s">
        <v>16</v>
      </c>
      <c r="AE768" s="165" t="s">
        <v>1297</v>
      </c>
      <c r="AF768" s="165"/>
    </row>
    <row r="769" spans="1:32" x14ac:dyDescent="0.3">
      <c r="A769" s="165" t="s">
        <v>1328</v>
      </c>
      <c r="B769" s="165" t="s">
        <v>14</v>
      </c>
      <c r="C769" s="165" t="s">
        <v>1292</v>
      </c>
      <c r="D769" s="165" t="s">
        <v>15</v>
      </c>
      <c r="E769" s="157">
        <v>41120</v>
      </c>
      <c r="F769" s="165" t="s">
        <v>148</v>
      </c>
      <c r="G769" s="165" t="s">
        <v>16</v>
      </c>
      <c r="H769" s="165" t="s">
        <v>16</v>
      </c>
      <c r="I769" s="165" t="s">
        <v>148</v>
      </c>
      <c r="J769" s="165" t="s">
        <v>16</v>
      </c>
      <c r="K769" s="165" t="s">
        <v>148</v>
      </c>
      <c r="L769" s="165" t="s">
        <v>16</v>
      </c>
      <c r="M769" s="165" t="s">
        <v>148</v>
      </c>
      <c r="N769" s="165" t="s">
        <v>150</v>
      </c>
      <c r="O769" s="165" t="s">
        <v>148</v>
      </c>
      <c r="P769" s="165" t="s">
        <v>148</v>
      </c>
      <c r="Q769" s="165" t="s">
        <v>16</v>
      </c>
      <c r="R769" s="165" t="s">
        <v>148</v>
      </c>
      <c r="S769" s="165" t="s">
        <v>148</v>
      </c>
      <c r="T769" s="165" t="s">
        <v>148</v>
      </c>
      <c r="U769" s="165" t="s">
        <v>16</v>
      </c>
      <c r="V769" s="165" t="s">
        <v>150</v>
      </c>
      <c r="W769" s="165" t="s">
        <v>148</v>
      </c>
      <c r="X769" s="165" t="s">
        <v>150</v>
      </c>
      <c r="Y769" s="165" t="s">
        <v>16</v>
      </c>
      <c r="Z769" s="165" t="s">
        <v>148</v>
      </c>
      <c r="AA769" s="165" t="s">
        <v>16</v>
      </c>
      <c r="AB769" s="165" t="s">
        <v>148</v>
      </c>
      <c r="AC769" s="165" t="s">
        <v>150</v>
      </c>
      <c r="AD769" s="165" t="s">
        <v>148</v>
      </c>
      <c r="AE769" s="165" t="s">
        <v>1297</v>
      </c>
      <c r="AF769" s="165"/>
    </row>
    <row r="772" spans="1:32" x14ac:dyDescent="0.3">
      <c r="A772" s="165"/>
      <c r="B772" s="165"/>
      <c r="C772" s="165"/>
      <c r="D772" s="165"/>
      <c r="E772" s="165"/>
      <c r="F772" s="165" t="s">
        <v>124</v>
      </c>
      <c r="G772" s="165" t="s">
        <v>125</v>
      </c>
      <c r="H772" s="165" t="s">
        <v>126</v>
      </c>
      <c r="I772" s="165" t="s">
        <v>127</v>
      </c>
      <c r="J772" s="165" t="s">
        <v>214</v>
      </c>
      <c r="K772" s="165" t="s">
        <v>128</v>
      </c>
      <c r="L772" s="165" t="s">
        <v>129</v>
      </c>
      <c r="M772" s="165" t="s">
        <v>130</v>
      </c>
      <c r="N772" s="165" t="s">
        <v>131</v>
      </c>
      <c r="O772" s="165" t="s">
        <v>132</v>
      </c>
      <c r="P772" s="165" t="s">
        <v>133</v>
      </c>
      <c r="Q772" s="165" t="s">
        <v>134</v>
      </c>
      <c r="R772" s="165" t="s">
        <v>135</v>
      </c>
      <c r="S772" s="165" t="s">
        <v>136</v>
      </c>
      <c r="T772" s="165" t="s">
        <v>137</v>
      </c>
      <c r="U772" s="165" t="s">
        <v>138</v>
      </c>
      <c r="V772" s="165" t="s">
        <v>139</v>
      </c>
      <c r="W772" s="165" t="s">
        <v>140</v>
      </c>
      <c r="X772" s="165" t="s">
        <v>186</v>
      </c>
      <c r="Y772" s="165" t="s">
        <v>209</v>
      </c>
      <c r="Z772" s="165" t="s">
        <v>141</v>
      </c>
      <c r="AA772" s="165" t="s">
        <v>142</v>
      </c>
      <c r="AB772" s="165" t="s">
        <v>210</v>
      </c>
      <c r="AC772" s="165" t="s">
        <v>1180</v>
      </c>
      <c r="AD772" s="165" t="s">
        <v>144</v>
      </c>
      <c r="AE772" s="165" t="s">
        <v>1331</v>
      </c>
      <c r="AF772" s="165" t="s">
        <v>190</v>
      </c>
    </row>
    <row r="773" spans="1:32" x14ac:dyDescent="0.3">
      <c r="A773" s="165" t="s">
        <v>1332</v>
      </c>
      <c r="B773" s="165" t="s">
        <v>14</v>
      </c>
      <c r="C773" s="165" t="s">
        <v>1333</v>
      </c>
      <c r="D773" s="165" t="s">
        <v>15</v>
      </c>
      <c r="E773" s="157">
        <v>41151</v>
      </c>
      <c r="F773" s="165" t="s">
        <v>149</v>
      </c>
      <c r="G773" s="165" t="s">
        <v>114</v>
      </c>
      <c r="H773" s="165" t="s">
        <v>16</v>
      </c>
      <c r="I773" s="165" t="s">
        <v>16</v>
      </c>
      <c r="J773" s="165" t="s">
        <v>16</v>
      </c>
      <c r="K773" s="165" t="s">
        <v>16</v>
      </c>
      <c r="L773" s="165" t="s">
        <v>149</v>
      </c>
      <c r="M773" s="165" t="s">
        <v>149</v>
      </c>
      <c r="N773" s="165" t="s">
        <v>148</v>
      </c>
      <c r="O773" s="165" t="s">
        <v>148</v>
      </c>
      <c r="P773" s="165" t="s">
        <v>16</v>
      </c>
      <c r="Q773" s="165" t="s">
        <v>16</v>
      </c>
      <c r="R773" s="165" t="s">
        <v>16</v>
      </c>
      <c r="S773" s="165" t="s">
        <v>148</v>
      </c>
      <c r="T773" s="165" t="s">
        <v>16</v>
      </c>
      <c r="U773" s="165" t="s">
        <v>149</v>
      </c>
      <c r="V773" s="165" t="s">
        <v>149</v>
      </c>
      <c r="W773" s="165" t="s">
        <v>114</v>
      </c>
      <c r="X773" s="165" t="s">
        <v>148</v>
      </c>
      <c r="Y773" s="165" t="s">
        <v>16</v>
      </c>
      <c r="Z773" s="165" t="s">
        <v>149</v>
      </c>
      <c r="AA773" s="165" t="s">
        <v>148</v>
      </c>
      <c r="AB773" s="165" t="s">
        <v>148</v>
      </c>
      <c r="AC773" s="165" t="s">
        <v>16</v>
      </c>
      <c r="AD773" s="165" t="s">
        <v>149</v>
      </c>
      <c r="AE773" s="165" t="s">
        <v>1334</v>
      </c>
      <c r="AF773" s="165"/>
    </row>
    <row r="774" spans="1:32" x14ac:dyDescent="0.3">
      <c r="A774" s="165" t="s">
        <v>1335</v>
      </c>
      <c r="B774" s="165" t="s">
        <v>14</v>
      </c>
      <c r="C774" s="165" t="s">
        <v>1333</v>
      </c>
      <c r="D774" s="165" t="s">
        <v>15</v>
      </c>
      <c r="E774" s="157">
        <v>41151</v>
      </c>
      <c r="F774" s="165" t="s">
        <v>16</v>
      </c>
      <c r="G774" s="165" t="s">
        <v>16</v>
      </c>
      <c r="H774" s="165" t="s">
        <v>16</v>
      </c>
      <c r="I774" s="165" t="s">
        <v>16</v>
      </c>
      <c r="J774" s="165" t="s">
        <v>16</v>
      </c>
      <c r="K774" s="165" t="s">
        <v>149</v>
      </c>
      <c r="L774" s="165" t="s">
        <v>16</v>
      </c>
      <c r="M774" s="165" t="s">
        <v>16</v>
      </c>
      <c r="N774" s="165" t="s">
        <v>16</v>
      </c>
      <c r="O774" s="165" t="s">
        <v>149</v>
      </c>
      <c r="P774" s="165" t="s">
        <v>16</v>
      </c>
      <c r="Q774" s="165" t="s">
        <v>16</v>
      </c>
      <c r="R774" s="165" t="s">
        <v>16</v>
      </c>
      <c r="S774" s="165" t="s">
        <v>149</v>
      </c>
      <c r="T774" s="165" t="s">
        <v>16</v>
      </c>
      <c r="U774" s="165" t="s">
        <v>16</v>
      </c>
      <c r="V774" s="165" t="s">
        <v>148</v>
      </c>
      <c r="W774" s="165" t="s">
        <v>16</v>
      </c>
      <c r="X774" s="165" t="s">
        <v>16</v>
      </c>
      <c r="Y774" s="165" t="s">
        <v>114</v>
      </c>
      <c r="Z774" s="165" t="s">
        <v>148</v>
      </c>
      <c r="AA774" s="165" t="s">
        <v>16</v>
      </c>
      <c r="AB774" s="165" t="s">
        <v>16</v>
      </c>
      <c r="AC774" s="165" t="s">
        <v>16</v>
      </c>
      <c r="AD774" s="165" t="s">
        <v>148</v>
      </c>
      <c r="AE774" s="165" t="s">
        <v>1336</v>
      </c>
      <c r="AF774" s="165"/>
    </row>
    <row r="775" spans="1:32" x14ac:dyDescent="0.3">
      <c r="A775" s="165" t="s">
        <v>1337</v>
      </c>
      <c r="B775" s="165" t="s">
        <v>1140</v>
      </c>
      <c r="C775" s="165" t="s">
        <v>1333</v>
      </c>
      <c r="D775" s="165" t="s">
        <v>15</v>
      </c>
      <c r="E775" s="157">
        <v>41151</v>
      </c>
      <c r="F775" s="165" t="s">
        <v>148</v>
      </c>
      <c r="G775" s="165" t="s">
        <v>16</v>
      </c>
      <c r="H775" s="165" t="s">
        <v>16</v>
      </c>
      <c r="I775" s="165" t="s">
        <v>148</v>
      </c>
      <c r="J775" s="165" t="s">
        <v>148</v>
      </c>
      <c r="K775" s="165" t="s">
        <v>16</v>
      </c>
      <c r="L775" s="165" t="s">
        <v>148</v>
      </c>
      <c r="M775" s="165" t="s">
        <v>16</v>
      </c>
      <c r="N775" s="165" t="s">
        <v>148</v>
      </c>
      <c r="O775" s="165" t="s">
        <v>148</v>
      </c>
      <c r="P775" s="165" t="s">
        <v>148</v>
      </c>
      <c r="Q775" s="165" t="s">
        <v>148</v>
      </c>
      <c r="R775" s="165" t="s">
        <v>148</v>
      </c>
      <c r="S775" s="165" t="s">
        <v>16</v>
      </c>
      <c r="T775" s="165" t="s">
        <v>16</v>
      </c>
      <c r="U775" s="165" t="s">
        <v>148</v>
      </c>
      <c r="V775" s="165" t="s">
        <v>16</v>
      </c>
      <c r="W775" s="165" t="s">
        <v>148</v>
      </c>
      <c r="X775" s="165" t="s">
        <v>148</v>
      </c>
      <c r="Y775" s="165" t="s">
        <v>16</v>
      </c>
      <c r="Z775" s="165" t="s">
        <v>16</v>
      </c>
      <c r="AA775" s="165" t="s">
        <v>16</v>
      </c>
      <c r="AB775" s="165" t="s">
        <v>148</v>
      </c>
      <c r="AC775" s="165" t="s">
        <v>16</v>
      </c>
      <c r="AD775" s="165" t="s">
        <v>16</v>
      </c>
      <c r="AE775" s="165" t="s">
        <v>882</v>
      </c>
      <c r="AF775" s="165"/>
    </row>
    <row r="776" spans="1:32" x14ac:dyDescent="0.3">
      <c r="A776" s="165" t="s">
        <v>1338</v>
      </c>
      <c r="B776" s="165" t="s">
        <v>14</v>
      </c>
      <c r="C776" s="165" t="s">
        <v>1333</v>
      </c>
      <c r="D776" s="165" t="s">
        <v>15</v>
      </c>
      <c r="E776" s="157">
        <v>41151</v>
      </c>
      <c r="F776" s="165" t="s">
        <v>16</v>
      </c>
      <c r="G776" s="165" t="s">
        <v>16</v>
      </c>
      <c r="H776" s="165" t="s">
        <v>16</v>
      </c>
      <c r="I776" s="165" t="s">
        <v>16</v>
      </c>
      <c r="J776" s="165" t="s">
        <v>16</v>
      </c>
      <c r="K776" s="165" t="s">
        <v>16</v>
      </c>
      <c r="L776" s="165" t="s">
        <v>16</v>
      </c>
      <c r="M776" s="165" t="s">
        <v>16</v>
      </c>
      <c r="N776" s="165" t="s">
        <v>16</v>
      </c>
      <c r="O776" s="165" t="s">
        <v>16</v>
      </c>
      <c r="P776" s="165" t="s">
        <v>16</v>
      </c>
      <c r="Q776" s="165" t="s">
        <v>16</v>
      </c>
      <c r="R776" s="165" t="s">
        <v>16</v>
      </c>
      <c r="S776" s="165" t="s">
        <v>16</v>
      </c>
      <c r="T776" s="165" t="s">
        <v>16</v>
      </c>
      <c r="U776" s="165" t="s">
        <v>16</v>
      </c>
      <c r="V776" s="165" t="s">
        <v>16</v>
      </c>
      <c r="W776" s="165" t="s">
        <v>16</v>
      </c>
      <c r="X776" s="165" t="s">
        <v>16</v>
      </c>
      <c r="Y776" s="165" t="s">
        <v>16</v>
      </c>
      <c r="Z776" s="165" t="s">
        <v>16</v>
      </c>
      <c r="AA776" s="165" t="s">
        <v>148</v>
      </c>
      <c r="AB776" s="165" t="s">
        <v>16</v>
      </c>
      <c r="AC776" s="165" t="s">
        <v>16</v>
      </c>
      <c r="AD776" s="165" t="s">
        <v>16</v>
      </c>
      <c r="AE776" s="165" t="s">
        <v>1336</v>
      </c>
      <c r="AF776" s="165"/>
    </row>
    <row r="777" spans="1:32" x14ac:dyDescent="0.3">
      <c r="A777" s="165" t="s">
        <v>1339</v>
      </c>
      <c r="B777" s="165" t="s">
        <v>14</v>
      </c>
      <c r="C777" s="165" t="s">
        <v>1333</v>
      </c>
      <c r="D777" s="165" t="s">
        <v>15</v>
      </c>
      <c r="E777" s="157">
        <v>41151</v>
      </c>
      <c r="F777" s="165" t="s">
        <v>148</v>
      </c>
      <c r="G777" s="165" t="s">
        <v>148</v>
      </c>
      <c r="H777" s="165" t="s">
        <v>16</v>
      </c>
      <c r="I777" s="165" t="s">
        <v>148</v>
      </c>
      <c r="J777" s="165" t="s">
        <v>150</v>
      </c>
      <c r="K777" s="165" t="s">
        <v>148</v>
      </c>
      <c r="L777" s="165" t="s">
        <v>148</v>
      </c>
      <c r="M777" s="165" t="s">
        <v>148</v>
      </c>
      <c r="N777" s="165" t="s">
        <v>148</v>
      </c>
      <c r="O777" s="165" t="s">
        <v>150</v>
      </c>
      <c r="P777" s="165" t="s">
        <v>148</v>
      </c>
      <c r="Q777" s="165" t="s">
        <v>148</v>
      </c>
      <c r="R777" s="165" t="s">
        <v>16</v>
      </c>
      <c r="S777" s="165" t="s">
        <v>148</v>
      </c>
      <c r="T777" s="165" t="s">
        <v>148</v>
      </c>
      <c r="U777" s="165" t="s">
        <v>148</v>
      </c>
      <c r="V777" s="165" t="s">
        <v>148</v>
      </c>
      <c r="W777" s="165" t="s">
        <v>16</v>
      </c>
      <c r="X777" s="165" t="s">
        <v>16</v>
      </c>
      <c r="Y777" s="165" t="s">
        <v>114</v>
      </c>
      <c r="Z777" s="165" t="s">
        <v>150</v>
      </c>
      <c r="AA777" s="165" t="s">
        <v>150</v>
      </c>
      <c r="AB777" s="165" t="s">
        <v>149</v>
      </c>
      <c r="AC777" s="165" t="s">
        <v>150</v>
      </c>
      <c r="AD777" s="165" t="s">
        <v>148</v>
      </c>
      <c r="AE777" s="165" t="s">
        <v>1336</v>
      </c>
      <c r="AF777" s="165" t="s">
        <v>1340</v>
      </c>
    </row>
    <row r="778" spans="1:32" x14ac:dyDescent="0.3">
      <c r="A778" s="165" t="s">
        <v>1341</v>
      </c>
      <c r="B778" s="165" t="s">
        <v>14</v>
      </c>
      <c r="C778" s="165" t="s">
        <v>1333</v>
      </c>
      <c r="D778" s="165" t="s">
        <v>15</v>
      </c>
      <c r="E778" s="157">
        <v>41151</v>
      </c>
      <c r="F778" s="165" t="s">
        <v>16</v>
      </c>
      <c r="G778" s="165" t="s">
        <v>16</v>
      </c>
      <c r="H778" s="165" t="s">
        <v>16</v>
      </c>
      <c r="I778" s="165" t="s">
        <v>16</v>
      </c>
      <c r="J778" s="165" t="s">
        <v>16</v>
      </c>
      <c r="K778" s="165" t="s">
        <v>16</v>
      </c>
      <c r="L778" s="165" t="s">
        <v>16</v>
      </c>
      <c r="M778" s="165" t="s">
        <v>16</v>
      </c>
      <c r="N778" s="165" t="s">
        <v>16</v>
      </c>
      <c r="O778" s="165" t="s">
        <v>16</v>
      </c>
      <c r="P778" s="165" t="s">
        <v>16</v>
      </c>
      <c r="Q778" s="165" t="s">
        <v>16</v>
      </c>
      <c r="R778" s="165" t="s">
        <v>16</v>
      </c>
      <c r="S778" s="165" t="s">
        <v>16</v>
      </c>
      <c r="T778" s="165" t="s">
        <v>16</v>
      </c>
      <c r="U778" s="165" t="s">
        <v>16</v>
      </c>
      <c r="V778" s="165" t="s">
        <v>16</v>
      </c>
      <c r="W778" s="165" t="s">
        <v>16</v>
      </c>
      <c r="X778" s="165" t="s">
        <v>16</v>
      </c>
      <c r="Y778" s="165" t="s">
        <v>16</v>
      </c>
      <c r="Z778" s="165" t="s">
        <v>16</v>
      </c>
      <c r="AA778" s="165" t="s">
        <v>16</v>
      </c>
      <c r="AB778" s="165" t="s">
        <v>16</v>
      </c>
      <c r="AC778" s="165" t="s">
        <v>16</v>
      </c>
      <c r="AD778" s="165" t="s">
        <v>16</v>
      </c>
      <c r="AE778" s="165" t="s">
        <v>1334</v>
      </c>
      <c r="AF778" s="165"/>
    </row>
    <row r="779" spans="1:32" x14ac:dyDescent="0.3">
      <c r="A779" s="165" t="s">
        <v>1342</v>
      </c>
      <c r="B779" s="165" t="s">
        <v>14</v>
      </c>
      <c r="C779" s="165" t="s">
        <v>1333</v>
      </c>
      <c r="D779" s="165" t="s">
        <v>15</v>
      </c>
      <c r="E779" s="157">
        <v>41151</v>
      </c>
      <c r="F779" s="165" t="s">
        <v>16</v>
      </c>
      <c r="G779" s="165" t="s">
        <v>16</v>
      </c>
      <c r="H779" s="165" t="s">
        <v>16</v>
      </c>
      <c r="I779" s="165" t="s">
        <v>16</v>
      </c>
      <c r="J779" s="165" t="s">
        <v>16</v>
      </c>
      <c r="K779" s="165" t="s">
        <v>16</v>
      </c>
      <c r="L779" s="165" t="s">
        <v>16</v>
      </c>
      <c r="M779" s="165" t="s">
        <v>16</v>
      </c>
      <c r="N779" s="165" t="s">
        <v>16</v>
      </c>
      <c r="O779" s="165" t="s">
        <v>16</v>
      </c>
      <c r="P779" s="165" t="s">
        <v>16</v>
      </c>
      <c r="Q779" s="165" t="s">
        <v>16</v>
      </c>
      <c r="R779" s="165" t="s">
        <v>16</v>
      </c>
      <c r="S779" s="165" t="s">
        <v>16</v>
      </c>
      <c r="T779" s="165" t="s">
        <v>16</v>
      </c>
      <c r="U779" s="165" t="s">
        <v>16</v>
      </c>
      <c r="V779" s="165" t="s">
        <v>16</v>
      </c>
      <c r="W779" s="165" t="s">
        <v>16</v>
      </c>
      <c r="X779" s="165" t="s">
        <v>16</v>
      </c>
      <c r="Y779" s="165" t="s">
        <v>16</v>
      </c>
      <c r="Z779" s="165" t="s">
        <v>16</v>
      </c>
      <c r="AA779" s="165" t="s">
        <v>16</v>
      </c>
      <c r="AB779" s="165" t="s">
        <v>16</v>
      </c>
      <c r="AC779" s="165" t="s">
        <v>16</v>
      </c>
      <c r="AD779" s="165" t="s">
        <v>16</v>
      </c>
      <c r="AE779" s="165" t="s">
        <v>1334</v>
      </c>
      <c r="AF779" s="165"/>
    </row>
    <row r="780" spans="1:32" x14ac:dyDescent="0.3">
      <c r="A780" s="165" t="s">
        <v>1343</v>
      </c>
      <c r="B780" s="165" t="s">
        <v>14</v>
      </c>
      <c r="C780" s="165" t="s">
        <v>1333</v>
      </c>
      <c r="D780" s="165" t="s">
        <v>15</v>
      </c>
      <c r="E780" s="157">
        <v>41151</v>
      </c>
      <c r="F780" s="165" t="s">
        <v>16</v>
      </c>
      <c r="G780" s="165" t="s">
        <v>16</v>
      </c>
      <c r="H780" s="165" t="s">
        <v>16</v>
      </c>
      <c r="I780" s="165" t="s">
        <v>148</v>
      </c>
      <c r="J780" s="165" t="s">
        <v>16</v>
      </c>
      <c r="K780" s="165" t="s">
        <v>16</v>
      </c>
      <c r="L780" s="165" t="s">
        <v>16</v>
      </c>
      <c r="M780" s="165" t="s">
        <v>16</v>
      </c>
      <c r="N780" s="165" t="s">
        <v>148</v>
      </c>
      <c r="O780" s="165" t="s">
        <v>16</v>
      </c>
      <c r="P780" s="165" t="s">
        <v>16</v>
      </c>
      <c r="Q780" s="165" t="s">
        <v>16</v>
      </c>
      <c r="R780" s="165" t="s">
        <v>148</v>
      </c>
      <c r="S780" s="165" t="s">
        <v>16</v>
      </c>
      <c r="T780" s="165" t="s">
        <v>148</v>
      </c>
      <c r="U780" s="165" t="s">
        <v>148</v>
      </c>
      <c r="V780" s="165" t="s">
        <v>16</v>
      </c>
      <c r="W780" s="165" t="s">
        <v>16</v>
      </c>
      <c r="X780" s="165" t="s">
        <v>16</v>
      </c>
      <c r="Y780" s="165" t="s">
        <v>148</v>
      </c>
      <c r="Z780" s="165" t="s">
        <v>16</v>
      </c>
      <c r="AA780" s="165" t="s">
        <v>16</v>
      </c>
      <c r="AB780" s="165" t="s">
        <v>16</v>
      </c>
      <c r="AC780" s="165" t="s">
        <v>16</v>
      </c>
      <c r="AD780" s="165" t="s">
        <v>16</v>
      </c>
      <c r="AE780" s="165" t="s">
        <v>1334</v>
      </c>
      <c r="AF780" s="165"/>
    </row>
    <row r="781" spans="1:32" x14ac:dyDescent="0.3">
      <c r="A781" s="165" t="s">
        <v>1344</v>
      </c>
      <c r="B781" s="165" t="s">
        <v>14</v>
      </c>
      <c r="C781" s="165" t="s">
        <v>1333</v>
      </c>
      <c r="D781" s="165" t="s">
        <v>15</v>
      </c>
      <c r="E781" s="157">
        <v>41151</v>
      </c>
      <c r="F781" s="165" t="s">
        <v>16</v>
      </c>
      <c r="G781" s="165" t="s">
        <v>16</v>
      </c>
      <c r="H781" s="165" t="s">
        <v>149</v>
      </c>
      <c r="I781" s="165" t="s">
        <v>149</v>
      </c>
      <c r="J781" s="165" t="s">
        <v>16</v>
      </c>
      <c r="K781" s="165" t="s">
        <v>149</v>
      </c>
      <c r="L781" s="165" t="s">
        <v>149</v>
      </c>
      <c r="M781" s="165" t="s">
        <v>16</v>
      </c>
      <c r="N781" s="165" t="s">
        <v>149</v>
      </c>
      <c r="O781" s="165" t="s">
        <v>16</v>
      </c>
      <c r="P781" s="165" t="s">
        <v>16</v>
      </c>
      <c r="Q781" s="165" t="s">
        <v>16</v>
      </c>
      <c r="R781" s="165" t="s">
        <v>16</v>
      </c>
      <c r="S781" s="165" t="s">
        <v>149</v>
      </c>
      <c r="T781" s="165" t="s">
        <v>149</v>
      </c>
      <c r="U781" s="165" t="s">
        <v>16</v>
      </c>
      <c r="V781" s="165" t="s">
        <v>16</v>
      </c>
      <c r="W781" s="165" t="s">
        <v>16</v>
      </c>
      <c r="X781" s="165" t="s">
        <v>16</v>
      </c>
      <c r="Y781" s="165" t="s">
        <v>114</v>
      </c>
      <c r="Z781" s="165" t="s">
        <v>148</v>
      </c>
      <c r="AA781" s="165" t="s">
        <v>16</v>
      </c>
      <c r="AB781" s="165" t="s">
        <v>148</v>
      </c>
      <c r="AC781" s="165" t="s">
        <v>16</v>
      </c>
      <c r="AD781" s="165" t="s">
        <v>16</v>
      </c>
      <c r="AE781" s="165" t="s">
        <v>1336</v>
      </c>
      <c r="AF781" s="165"/>
    </row>
    <row r="782" spans="1:32" x14ac:dyDescent="0.3">
      <c r="A782" s="165" t="s">
        <v>1345</v>
      </c>
      <c r="B782" s="165" t="s">
        <v>14</v>
      </c>
      <c r="C782" s="165" t="s">
        <v>1333</v>
      </c>
      <c r="D782" s="165" t="s">
        <v>15</v>
      </c>
      <c r="E782" s="157">
        <v>41151</v>
      </c>
      <c r="F782" s="165" t="s">
        <v>151</v>
      </c>
      <c r="G782" s="165" t="s">
        <v>151</v>
      </c>
      <c r="H782" s="165" t="s">
        <v>151</v>
      </c>
      <c r="I782" s="165" t="s">
        <v>149</v>
      </c>
      <c r="J782" s="165" t="s">
        <v>149</v>
      </c>
      <c r="K782" s="165" t="s">
        <v>151</v>
      </c>
      <c r="L782" s="165" t="s">
        <v>151</v>
      </c>
      <c r="M782" s="165" t="s">
        <v>151</v>
      </c>
      <c r="N782" s="165" t="s">
        <v>16</v>
      </c>
      <c r="O782" s="165" t="s">
        <v>16</v>
      </c>
      <c r="P782" s="165" t="s">
        <v>149</v>
      </c>
      <c r="Q782" s="165" t="s">
        <v>149</v>
      </c>
      <c r="R782" s="165" t="s">
        <v>149</v>
      </c>
      <c r="S782" s="165" t="s">
        <v>148</v>
      </c>
      <c r="T782" s="165" t="s">
        <v>151</v>
      </c>
      <c r="U782" s="165" t="s">
        <v>151</v>
      </c>
      <c r="V782" s="165" t="s">
        <v>151</v>
      </c>
      <c r="W782" s="165" t="s">
        <v>149</v>
      </c>
      <c r="X782" s="165" t="s">
        <v>149</v>
      </c>
      <c r="Y782" s="165" t="s">
        <v>149</v>
      </c>
      <c r="Z782" s="165" t="s">
        <v>149</v>
      </c>
      <c r="AA782" s="165" t="s">
        <v>149</v>
      </c>
      <c r="AB782" s="165" t="s">
        <v>148</v>
      </c>
      <c r="AC782" s="165" t="s">
        <v>150</v>
      </c>
      <c r="AD782" s="165" t="s">
        <v>16</v>
      </c>
      <c r="AE782" s="165" t="s">
        <v>1346</v>
      </c>
      <c r="AF782" s="165"/>
    </row>
    <row r="783" spans="1:32" x14ac:dyDescent="0.3">
      <c r="A783" s="165" t="s">
        <v>1347</v>
      </c>
      <c r="B783" s="165" t="s">
        <v>14</v>
      </c>
      <c r="C783" s="165" t="s">
        <v>1333</v>
      </c>
      <c r="D783" s="165" t="s">
        <v>15</v>
      </c>
      <c r="E783" s="157">
        <v>41151</v>
      </c>
      <c r="F783" s="165" t="s">
        <v>16</v>
      </c>
      <c r="G783" s="165" t="s">
        <v>16</v>
      </c>
      <c r="H783" s="165" t="s">
        <v>148</v>
      </c>
      <c r="I783" s="165" t="s">
        <v>148</v>
      </c>
      <c r="J783" s="165" t="s">
        <v>148</v>
      </c>
      <c r="K783" s="165" t="s">
        <v>16</v>
      </c>
      <c r="L783" s="165" t="s">
        <v>148</v>
      </c>
      <c r="M783" s="165" t="s">
        <v>148</v>
      </c>
      <c r="N783" s="165" t="s">
        <v>16</v>
      </c>
      <c r="O783" s="165" t="s">
        <v>16</v>
      </c>
      <c r="P783" s="165" t="s">
        <v>148</v>
      </c>
      <c r="Q783" s="165" t="s">
        <v>16</v>
      </c>
      <c r="R783" s="165" t="s">
        <v>16</v>
      </c>
      <c r="S783" s="165" t="s">
        <v>16</v>
      </c>
      <c r="T783" s="165" t="s">
        <v>16</v>
      </c>
      <c r="U783" s="165" t="s">
        <v>16</v>
      </c>
      <c r="V783" s="165" t="s">
        <v>148</v>
      </c>
      <c r="W783" s="165" t="s">
        <v>16</v>
      </c>
      <c r="X783" s="165" t="s">
        <v>16</v>
      </c>
      <c r="Y783" s="165" t="s">
        <v>16</v>
      </c>
      <c r="Z783" s="165" t="s">
        <v>149</v>
      </c>
      <c r="AA783" s="165" t="s">
        <v>16</v>
      </c>
      <c r="AB783" s="165" t="s">
        <v>16</v>
      </c>
      <c r="AC783" s="165" t="s">
        <v>16</v>
      </c>
      <c r="AD783" s="165" t="s">
        <v>16</v>
      </c>
      <c r="AE783" s="165" t="s">
        <v>1336</v>
      </c>
      <c r="AF783" s="165"/>
    </row>
    <row r="784" spans="1:32" x14ac:dyDescent="0.3">
      <c r="A784" s="165" t="s">
        <v>1348</v>
      </c>
      <c r="B784" s="165" t="s">
        <v>14</v>
      </c>
      <c r="C784" s="165" t="s">
        <v>1333</v>
      </c>
      <c r="D784" s="165" t="s">
        <v>15</v>
      </c>
      <c r="E784" s="157">
        <v>41151</v>
      </c>
      <c r="F784" s="165" t="s">
        <v>150</v>
      </c>
      <c r="G784" s="165" t="s">
        <v>148</v>
      </c>
      <c r="H784" s="165" t="s">
        <v>148</v>
      </c>
      <c r="I784" s="165" t="s">
        <v>148</v>
      </c>
      <c r="J784" s="165" t="s">
        <v>148</v>
      </c>
      <c r="K784" s="165" t="s">
        <v>16</v>
      </c>
      <c r="L784" s="165" t="s">
        <v>148</v>
      </c>
      <c r="M784" s="165" t="s">
        <v>148</v>
      </c>
      <c r="N784" s="165" t="s">
        <v>148</v>
      </c>
      <c r="O784" s="165" t="s">
        <v>148</v>
      </c>
      <c r="P784" s="165" t="s">
        <v>148</v>
      </c>
      <c r="Q784" s="165" t="s">
        <v>150</v>
      </c>
      <c r="R784" s="165" t="s">
        <v>148</v>
      </c>
      <c r="S784" s="165" t="s">
        <v>148</v>
      </c>
      <c r="T784" s="165" t="s">
        <v>148</v>
      </c>
      <c r="U784" s="165" t="s">
        <v>148</v>
      </c>
      <c r="V784" s="165" t="s">
        <v>148</v>
      </c>
      <c r="W784" s="165" t="s">
        <v>148</v>
      </c>
      <c r="X784" s="165" t="s">
        <v>150</v>
      </c>
      <c r="Y784" s="165" t="s">
        <v>148</v>
      </c>
      <c r="Z784" s="165" t="s">
        <v>148</v>
      </c>
      <c r="AA784" s="165" t="s">
        <v>148</v>
      </c>
      <c r="AB784" s="165" t="s">
        <v>16</v>
      </c>
      <c r="AC784" s="165" t="s">
        <v>150</v>
      </c>
      <c r="AD784" s="165" t="s">
        <v>16</v>
      </c>
      <c r="AE784" s="165" t="s">
        <v>1336</v>
      </c>
      <c r="AF784" s="165"/>
    </row>
    <row r="785" spans="1:32" x14ac:dyDescent="0.3">
      <c r="A785" s="165" t="s">
        <v>1349</v>
      </c>
      <c r="B785" s="165" t="s">
        <v>14</v>
      </c>
      <c r="C785" s="165" t="s">
        <v>1333</v>
      </c>
      <c r="D785" s="165" t="s">
        <v>15</v>
      </c>
      <c r="E785" s="157">
        <v>41151</v>
      </c>
      <c r="F785" s="165" t="s">
        <v>16</v>
      </c>
      <c r="G785" s="165" t="s">
        <v>16</v>
      </c>
      <c r="H785" s="165" t="s">
        <v>16</v>
      </c>
      <c r="I785" s="165" t="s">
        <v>16</v>
      </c>
      <c r="J785" s="165" t="s">
        <v>16</v>
      </c>
      <c r="K785" s="165" t="s">
        <v>16</v>
      </c>
      <c r="L785" s="165" t="s">
        <v>16</v>
      </c>
      <c r="M785" s="165" t="s">
        <v>148</v>
      </c>
      <c r="N785" s="165" t="s">
        <v>148</v>
      </c>
      <c r="O785" s="165" t="s">
        <v>16</v>
      </c>
      <c r="P785" s="165" t="s">
        <v>16</v>
      </c>
      <c r="Q785" s="165" t="s">
        <v>16</v>
      </c>
      <c r="R785" s="165" t="s">
        <v>16</v>
      </c>
      <c r="S785" s="165" t="s">
        <v>16</v>
      </c>
      <c r="T785" s="165" t="s">
        <v>16</v>
      </c>
      <c r="U785" s="165" t="s">
        <v>16</v>
      </c>
      <c r="V785" s="165" t="s">
        <v>16</v>
      </c>
      <c r="W785" s="165" t="s">
        <v>16</v>
      </c>
      <c r="X785" s="165" t="s">
        <v>148</v>
      </c>
      <c r="Y785" s="165" t="s">
        <v>16</v>
      </c>
      <c r="Z785" s="165" t="s">
        <v>16</v>
      </c>
      <c r="AA785" s="165" t="s">
        <v>16</v>
      </c>
      <c r="AB785" s="165" t="s">
        <v>148</v>
      </c>
      <c r="AC785" s="165" t="s">
        <v>16</v>
      </c>
      <c r="AD785" s="165" t="s">
        <v>16</v>
      </c>
      <c r="AE785" s="165" t="s">
        <v>1334</v>
      </c>
      <c r="AF785" s="165"/>
    </row>
    <row r="786" spans="1:32" x14ac:dyDescent="0.3">
      <c r="A786" s="165" t="s">
        <v>1350</v>
      </c>
      <c r="B786" s="165" t="s">
        <v>14</v>
      </c>
      <c r="C786" s="165" t="s">
        <v>1333</v>
      </c>
      <c r="D786" s="165" t="s">
        <v>15</v>
      </c>
      <c r="E786" s="157">
        <v>41151</v>
      </c>
      <c r="F786" s="165" t="s">
        <v>16</v>
      </c>
      <c r="G786" s="165" t="s">
        <v>16</v>
      </c>
      <c r="H786" s="165" t="s">
        <v>149</v>
      </c>
      <c r="I786" s="165" t="s">
        <v>148</v>
      </c>
      <c r="J786" s="165" t="s">
        <v>16</v>
      </c>
      <c r="K786" s="165" t="s">
        <v>16</v>
      </c>
      <c r="L786" s="165" t="s">
        <v>16</v>
      </c>
      <c r="M786" s="165" t="s">
        <v>16</v>
      </c>
      <c r="N786" s="165" t="s">
        <v>148</v>
      </c>
      <c r="O786" s="165" t="s">
        <v>16</v>
      </c>
      <c r="P786" s="165" t="s">
        <v>149</v>
      </c>
      <c r="Q786" s="165" t="s">
        <v>16</v>
      </c>
      <c r="R786" s="165" t="s">
        <v>150</v>
      </c>
      <c r="S786" s="165" t="s">
        <v>149</v>
      </c>
      <c r="T786" s="165" t="s">
        <v>16</v>
      </c>
      <c r="U786" s="165" t="s">
        <v>148</v>
      </c>
      <c r="V786" s="165" t="s">
        <v>16</v>
      </c>
      <c r="W786" s="165" t="s">
        <v>148</v>
      </c>
      <c r="X786" s="165" t="s">
        <v>16</v>
      </c>
      <c r="Y786" s="165" t="s">
        <v>16</v>
      </c>
      <c r="Z786" s="165" t="s">
        <v>16</v>
      </c>
      <c r="AA786" s="165" t="s">
        <v>16</v>
      </c>
      <c r="AB786" s="165" t="s">
        <v>16</v>
      </c>
      <c r="AC786" s="165" t="s">
        <v>16</v>
      </c>
      <c r="AD786" s="165" t="s">
        <v>16</v>
      </c>
      <c r="AE786" s="165" t="s">
        <v>1336</v>
      </c>
      <c r="AF786" s="165"/>
    </row>
    <row r="787" spans="1:32" x14ac:dyDescent="0.3">
      <c r="A787" s="165" t="s">
        <v>1351</v>
      </c>
      <c r="B787" s="165" t="s">
        <v>14</v>
      </c>
      <c r="C787" s="165" t="s">
        <v>1333</v>
      </c>
      <c r="D787" s="165" t="s">
        <v>15</v>
      </c>
      <c r="E787" s="157">
        <v>41151</v>
      </c>
      <c r="F787" s="165" t="s">
        <v>16</v>
      </c>
      <c r="G787" s="165" t="s">
        <v>16</v>
      </c>
      <c r="H787" s="165" t="s">
        <v>148</v>
      </c>
      <c r="I787" s="165" t="s">
        <v>16</v>
      </c>
      <c r="J787" s="165" t="s">
        <v>150</v>
      </c>
      <c r="K787" s="165" t="s">
        <v>16</v>
      </c>
      <c r="L787" s="165" t="s">
        <v>16</v>
      </c>
      <c r="M787" s="165" t="s">
        <v>16</v>
      </c>
      <c r="N787" s="165" t="s">
        <v>16</v>
      </c>
      <c r="O787" s="165" t="s">
        <v>16</v>
      </c>
      <c r="P787" s="165" t="s">
        <v>16</v>
      </c>
      <c r="Q787" s="165" t="s">
        <v>16</v>
      </c>
      <c r="R787" s="165" t="s">
        <v>16</v>
      </c>
      <c r="S787" s="165" t="s">
        <v>16</v>
      </c>
      <c r="T787" s="165" t="s">
        <v>16</v>
      </c>
      <c r="U787" s="165" t="s">
        <v>16</v>
      </c>
      <c r="V787" s="165" t="s">
        <v>16</v>
      </c>
      <c r="W787" s="165" t="s">
        <v>16</v>
      </c>
      <c r="X787" s="165" t="s">
        <v>16</v>
      </c>
      <c r="Y787" s="165" t="s">
        <v>16</v>
      </c>
      <c r="Z787" s="165" t="s">
        <v>16</v>
      </c>
      <c r="AA787" s="165" t="s">
        <v>16</v>
      </c>
      <c r="AB787" s="165" t="s">
        <v>16</v>
      </c>
      <c r="AC787" s="165" t="s">
        <v>16</v>
      </c>
      <c r="AD787" s="165" t="s">
        <v>16</v>
      </c>
      <c r="AE787" s="165" t="s">
        <v>1352</v>
      </c>
      <c r="AF787" s="165"/>
    </row>
    <row r="788" spans="1:32" x14ac:dyDescent="0.3">
      <c r="A788" s="165" t="s">
        <v>1353</v>
      </c>
      <c r="B788" s="165" t="s">
        <v>14</v>
      </c>
      <c r="C788" s="165" t="s">
        <v>1333</v>
      </c>
      <c r="D788" s="165" t="s">
        <v>15</v>
      </c>
      <c r="E788" s="157">
        <v>41151</v>
      </c>
      <c r="F788" s="165" t="s">
        <v>16</v>
      </c>
      <c r="G788" s="165" t="s">
        <v>16</v>
      </c>
      <c r="H788" s="165" t="s">
        <v>148</v>
      </c>
      <c r="I788" s="165" t="s">
        <v>148</v>
      </c>
      <c r="J788" s="165" t="s">
        <v>148</v>
      </c>
      <c r="K788" s="165" t="s">
        <v>16</v>
      </c>
      <c r="L788" s="165" t="s">
        <v>16</v>
      </c>
      <c r="M788" s="165" t="s">
        <v>148</v>
      </c>
      <c r="N788" s="165" t="s">
        <v>148</v>
      </c>
      <c r="O788" s="165" t="s">
        <v>148</v>
      </c>
      <c r="P788" s="165" t="s">
        <v>148</v>
      </c>
      <c r="Q788" s="165" t="s">
        <v>148</v>
      </c>
      <c r="R788" s="165" t="s">
        <v>148</v>
      </c>
      <c r="S788" s="165" t="s">
        <v>16</v>
      </c>
      <c r="T788" s="165" t="s">
        <v>148</v>
      </c>
      <c r="U788" s="165" t="s">
        <v>16</v>
      </c>
      <c r="V788" s="165" t="s">
        <v>148</v>
      </c>
      <c r="W788" s="165" t="s">
        <v>148</v>
      </c>
      <c r="X788" s="165" t="s">
        <v>148</v>
      </c>
      <c r="Y788" s="165" t="s">
        <v>148</v>
      </c>
      <c r="Z788" s="165" t="s">
        <v>16</v>
      </c>
      <c r="AA788" s="165" t="s">
        <v>16</v>
      </c>
      <c r="AB788" s="165" t="s">
        <v>16</v>
      </c>
      <c r="AC788" s="165" t="s">
        <v>148</v>
      </c>
      <c r="AD788" s="165" t="s">
        <v>148</v>
      </c>
      <c r="AE788" s="165" t="s">
        <v>1336</v>
      </c>
      <c r="AF788" s="165" t="s">
        <v>1354</v>
      </c>
    </row>
    <row r="789" spans="1:32" x14ac:dyDescent="0.3">
      <c r="A789" s="165" t="s">
        <v>1355</v>
      </c>
      <c r="B789" s="165" t="s">
        <v>14</v>
      </c>
      <c r="C789" s="165" t="s">
        <v>1333</v>
      </c>
      <c r="D789" s="165" t="s">
        <v>15</v>
      </c>
      <c r="E789" s="157">
        <v>41151</v>
      </c>
      <c r="F789" s="165" t="s">
        <v>16</v>
      </c>
      <c r="G789" s="165" t="s">
        <v>16</v>
      </c>
      <c r="H789" s="165" t="s">
        <v>16</v>
      </c>
      <c r="I789" s="165" t="s">
        <v>16</v>
      </c>
      <c r="J789" s="165" t="s">
        <v>16</v>
      </c>
      <c r="K789" s="165" t="s">
        <v>148</v>
      </c>
      <c r="L789" s="165" t="s">
        <v>16</v>
      </c>
      <c r="M789" s="165" t="s">
        <v>16</v>
      </c>
      <c r="N789" s="165" t="s">
        <v>148</v>
      </c>
      <c r="O789" s="165" t="s">
        <v>16</v>
      </c>
      <c r="P789" s="165" t="s">
        <v>16</v>
      </c>
      <c r="Q789" s="165" t="s">
        <v>16</v>
      </c>
      <c r="R789" s="165" t="s">
        <v>16</v>
      </c>
      <c r="S789" s="165" t="s">
        <v>148</v>
      </c>
      <c r="T789" s="165" t="s">
        <v>148</v>
      </c>
      <c r="U789" s="165" t="s">
        <v>148</v>
      </c>
      <c r="V789" s="165" t="s">
        <v>16</v>
      </c>
      <c r="W789" s="165" t="s">
        <v>16</v>
      </c>
      <c r="X789" s="165" t="s">
        <v>16</v>
      </c>
      <c r="Y789" s="165" t="s">
        <v>16</v>
      </c>
      <c r="Z789" s="165" t="s">
        <v>16</v>
      </c>
      <c r="AA789" s="165" t="s">
        <v>16</v>
      </c>
      <c r="AB789" s="165" t="s">
        <v>16</v>
      </c>
      <c r="AC789" s="165" t="s">
        <v>16</v>
      </c>
      <c r="AD789" s="165" t="s">
        <v>16</v>
      </c>
      <c r="AE789" s="165" t="s">
        <v>1336</v>
      </c>
      <c r="AF789" s="165"/>
    </row>
    <row r="790" spans="1:32" x14ac:dyDescent="0.3">
      <c r="A790" s="165" t="s">
        <v>1356</v>
      </c>
      <c r="B790" s="165" t="s">
        <v>14</v>
      </c>
      <c r="C790" s="165" t="s">
        <v>1333</v>
      </c>
      <c r="D790" s="165" t="s">
        <v>15</v>
      </c>
      <c r="E790" s="157">
        <v>41151</v>
      </c>
      <c r="F790" s="165" t="s">
        <v>16</v>
      </c>
      <c r="G790" s="165" t="s">
        <v>16</v>
      </c>
      <c r="H790" s="165" t="s">
        <v>16</v>
      </c>
      <c r="I790" s="165" t="s">
        <v>16</v>
      </c>
      <c r="J790" s="165" t="s">
        <v>16</v>
      </c>
      <c r="K790" s="165" t="s">
        <v>149</v>
      </c>
      <c r="L790" s="165" t="s">
        <v>149</v>
      </c>
      <c r="M790" s="165" t="s">
        <v>149</v>
      </c>
      <c r="N790" s="165" t="s">
        <v>149</v>
      </c>
      <c r="O790" s="165" t="s">
        <v>149</v>
      </c>
      <c r="P790" s="165" t="s">
        <v>16</v>
      </c>
      <c r="Q790" s="165" t="s">
        <v>16</v>
      </c>
      <c r="R790" s="165" t="s">
        <v>16</v>
      </c>
      <c r="S790" s="165" t="s">
        <v>16</v>
      </c>
      <c r="T790" s="165" t="s">
        <v>16</v>
      </c>
      <c r="U790" s="165" t="s">
        <v>16</v>
      </c>
      <c r="V790" s="165" t="s">
        <v>16</v>
      </c>
      <c r="W790" s="165" t="s">
        <v>16</v>
      </c>
      <c r="X790" s="165" t="s">
        <v>16</v>
      </c>
      <c r="Y790" s="165" t="s">
        <v>16</v>
      </c>
      <c r="Z790" s="165" t="s">
        <v>16</v>
      </c>
      <c r="AA790" s="165" t="s">
        <v>16</v>
      </c>
      <c r="AB790" s="165" t="s">
        <v>16</v>
      </c>
      <c r="AC790" s="165" t="s">
        <v>16</v>
      </c>
      <c r="AD790" s="165" t="s">
        <v>16</v>
      </c>
      <c r="AE790" s="165" t="s">
        <v>1336</v>
      </c>
      <c r="AF790" s="165"/>
    </row>
    <row r="791" spans="1:32" x14ac:dyDescent="0.3">
      <c r="A791" s="165" t="s">
        <v>1357</v>
      </c>
      <c r="B791" s="165" t="s">
        <v>14</v>
      </c>
      <c r="C791" s="165" t="s">
        <v>1333</v>
      </c>
      <c r="D791" s="165" t="s">
        <v>15</v>
      </c>
      <c r="E791" s="157">
        <v>41151</v>
      </c>
      <c r="F791" s="165" t="s">
        <v>16</v>
      </c>
      <c r="G791" s="165" t="s">
        <v>148</v>
      </c>
      <c r="H791" s="165" t="s">
        <v>16</v>
      </c>
      <c r="I791" s="165" t="s">
        <v>16</v>
      </c>
      <c r="J791" s="165" t="s">
        <v>16</v>
      </c>
      <c r="K791" s="165" t="s">
        <v>16</v>
      </c>
      <c r="L791" s="165" t="s">
        <v>149</v>
      </c>
      <c r="M791" s="165" t="s">
        <v>16</v>
      </c>
      <c r="N791" s="165" t="s">
        <v>148</v>
      </c>
      <c r="O791" s="165" t="s">
        <v>16</v>
      </c>
      <c r="P791" s="165" t="s">
        <v>148</v>
      </c>
      <c r="Q791" s="165" t="s">
        <v>16</v>
      </c>
      <c r="R791" s="165" t="s">
        <v>148</v>
      </c>
      <c r="S791" s="165" t="s">
        <v>16</v>
      </c>
      <c r="T791" s="165" t="s">
        <v>148</v>
      </c>
      <c r="U791" s="165" t="s">
        <v>16</v>
      </c>
      <c r="V791" s="165" t="s">
        <v>16</v>
      </c>
      <c r="W791" s="165" t="s">
        <v>149</v>
      </c>
      <c r="X791" s="165" t="s">
        <v>16</v>
      </c>
      <c r="Y791" s="165" t="s">
        <v>16</v>
      </c>
      <c r="Z791" s="165" t="s">
        <v>16</v>
      </c>
      <c r="AA791" s="165" t="s">
        <v>16</v>
      </c>
      <c r="AB791" s="165" t="s">
        <v>16</v>
      </c>
      <c r="AC791" s="165" t="s">
        <v>148</v>
      </c>
      <c r="AD791" s="165" t="s">
        <v>16</v>
      </c>
      <c r="AE791" s="165" t="s">
        <v>1334</v>
      </c>
      <c r="AF791" s="165"/>
    </row>
    <row r="792" spans="1:32" x14ac:dyDescent="0.3">
      <c r="A792" s="165" t="s">
        <v>1358</v>
      </c>
      <c r="B792" s="165" t="s">
        <v>14</v>
      </c>
      <c r="C792" s="165" t="s">
        <v>1333</v>
      </c>
      <c r="D792" s="165" t="s">
        <v>15</v>
      </c>
      <c r="E792" s="157">
        <v>41151</v>
      </c>
      <c r="F792" s="165" t="s">
        <v>16</v>
      </c>
      <c r="G792" s="165" t="s">
        <v>16</v>
      </c>
      <c r="H792" s="165" t="s">
        <v>16</v>
      </c>
      <c r="I792" s="165" t="s">
        <v>16</v>
      </c>
      <c r="J792" s="165" t="s">
        <v>16</v>
      </c>
      <c r="K792" s="165" t="s">
        <v>16</v>
      </c>
      <c r="L792" s="165" t="s">
        <v>16</v>
      </c>
      <c r="M792" s="165" t="s">
        <v>16</v>
      </c>
      <c r="N792" s="165" t="s">
        <v>16</v>
      </c>
      <c r="O792" s="165" t="s">
        <v>16</v>
      </c>
      <c r="P792" s="165" t="s">
        <v>16</v>
      </c>
      <c r="Q792" s="165" t="s">
        <v>16</v>
      </c>
      <c r="R792" s="165" t="s">
        <v>16</v>
      </c>
      <c r="S792" s="165" t="s">
        <v>16</v>
      </c>
      <c r="T792" s="165" t="s">
        <v>16</v>
      </c>
      <c r="U792" s="165" t="s">
        <v>16</v>
      </c>
      <c r="V792" s="165" t="s">
        <v>16</v>
      </c>
      <c r="W792" s="165" t="s">
        <v>16</v>
      </c>
      <c r="X792" s="165" t="s">
        <v>16</v>
      </c>
      <c r="Y792" s="165" t="s">
        <v>16</v>
      </c>
      <c r="Z792" s="165" t="s">
        <v>16</v>
      </c>
      <c r="AA792" s="165" t="s">
        <v>16</v>
      </c>
      <c r="AB792" s="165" t="s">
        <v>16</v>
      </c>
      <c r="AC792" s="165" t="s">
        <v>16</v>
      </c>
      <c r="AD792" s="165" t="s">
        <v>16</v>
      </c>
      <c r="AE792" s="165" t="s">
        <v>1334</v>
      </c>
      <c r="AF792" s="165"/>
    </row>
    <row r="793" spans="1:32" x14ac:dyDescent="0.3">
      <c r="A793" s="165" t="s">
        <v>1359</v>
      </c>
      <c r="B793" s="165" t="s">
        <v>14</v>
      </c>
      <c r="C793" s="165" t="s">
        <v>1333</v>
      </c>
      <c r="D793" s="165" t="s">
        <v>15</v>
      </c>
      <c r="E793" s="157">
        <v>41151</v>
      </c>
      <c r="F793" s="165" t="s">
        <v>148</v>
      </c>
      <c r="G793" s="165" t="s">
        <v>16</v>
      </c>
      <c r="H793" s="165" t="s">
        <v>16</v>
      </c>
      <c r="I793" s="165" t="s">
        <v>16</v>
      </c>
      <c r="J793" s="165" t="s">
        <v>16</v>
      </c>
      <c r="K793" s="165" t="s">
        <v>16</v>
      </c>
      <c r="L793" s="165" t="s">
        <v>16</v>
      </c>
      <c r="M793" s="165" t="s">
        <v>16</v>
      </c>
      <c r="N793" s="165" t="s">
        <v>16</v>
      </c>
      <c r="O793" s="165" t="s">
        <v>16</v>
      </c>
      <c r="P793" s="165" t="s">
        <v>16</v>
      </c>
      <c r="Q793" s="165" t="s">
        <v>16</v>
      </c>
      <c r="R793" s="165" t="s">
        <v>16</v>
      </c>
      <c r="S793" s="165" t="s">
        <v>16</v>
      </c>
      <c r="T793" s="165" t="s">
        <v>16</v>
      </c>
      <c r="U793" s="165" t="s">
        <v>16</v>
      </c>
      <c r="V793" s="165" t="s">
        <v>16</v>
      </c>
      <c r="W793" s="165" t="s">
        <v>16</v>
      </c>
      <c r="X793" s="165" t="s">
        <v>16</v>
      </c>
      <c r="Y793" s="165" t="s">
        <v>16</v>
      </c>
      <c r="Z793" s="165" t="s">
        <v>16</v>
      </c>
      <c r="AA793" s="165" t="s">
        <v>16</v>
      </c>
      <c r="AB793" s="165" t="s">
        <v>16</v>
      </c>
      <c r="AC793" s="165" t="s">
        <v>16</v>
      </c>
      <c r="AD793" s="165" t="s">
        <v>16</v>
      </c>
      <c r="AE793" s="165" t="s">
        <v>1336</v>
      </c>
      <c r="AF793" s="165"/>
    </row>
    <row r="794" spans="1:32" x14ac:dyDescent="0.3">
      <c r="A794" s="165" t="s">
        <v>1360</v>
      </c>
      <c r="B794" s="165" t="s">
        <v>14</v>
      </c>
      <c r="C794" s="165" t="s">
        <v>1333</v>
      </c>
      <c r="D794" s="165" t="s">
        <v>15</v>
      </c>
      <c r="E794" s="157">
        <v>41151</v>
      </c>
      <c r="F794" s="165" t="s">
        <v>16</v>
      </c>
      <c r="G794" s="165" t="s">
        <v>16</v>
      </c>
      <c r="H794" s="165" t="s">
        <v>16</v>
      </c>
      <c r="I794" s="165" t="s">
        <v>16</v>
      </c>
      <c r="J794" s="165" t="s">
        <v>16</v>
      </c>
      <c r="K794" s="165" t="s">
        <v>16</v>
      </c>
      <c r="L794" s="165" t="s">
        <v>16</v>
      </c>
      <c r="M794" s="165" t="s">
        <v>16</v>
      </c>
      <c r="N794" s="165" t="s">
        <v>148</v>
      </c>
      <c r="O794" s="165" t="s">
        <v>16</v>
      </c>
      <c r="P794" s="165" t="s">
        <v>16</v>
      </c>
      <c r="Q794" s="165" t="s">
        <v>16</v>
      </c>
      <c r="R794" s="165" t="s">
        <v>148</v>
      </c>
      <c r="S794" s="165" t="s">
        <v>148</v>
      </c>
      <c r="T794" s="165" t="s">
        <v>16</v>
      </c>
      <c r="U794" s="165" t="s">
        <v>16</v>
      </c>
      <c r="V794" s="165" t="s">
        <v>16</v>
      </c>
      <c r="W794" s="165" t="s">
        <v>16</v>
      </c>
      <c r="X794" s="165" t="s">
        <v>16</v>
      </c>
      <c r="Y794" s="165" t="s">
        <v>16</v>
      </c>
      <c r="Z794" s="165" t="s">
        <v>16</v>
      </c>
      <c r="AA794" s="165" t="s">
        <v>16</v>
      </c>
      <c r="AB794" s="165" t="s">
        <v>16</v>
      </c>
      <c r="AC794" s="165" t="s">
        <v>16</v>
      </c>
      <c r="AD794" s="165" t="s">
        <v>16</v>
      </c>
      <c r="AE794" s="165" t="s">
        <v>1336</v>
      </c>
      <c r="AF794" s="165"/>
    </row>
    <row r="795" spans="1:32" x14ac:dyDescent="0.3">
      <c r="A795" s="165" t="s">
        <v>1361</v>
      </c>
      <c r="B795" s="165" t="s">
        <v>14</v>
      </c>
      <c r="C795" s="165" t="s">
        <v>1333</v>
      </c>
      <c r="D795" s="165" t="s">
        <v>15</v>
      </c>
      <c r="E795" s="157">
        <v>41151</v>
      </c>
      <c r="F795" s="165" t="s">
        <v>148</v>
      </c>
      <c r="G795" s="165" t="s">
        <v>148</v>
      </c>
      <c r="H795" s="165" t="s">
        <v>16</v>
      </c>
      <c r="I795" s="165" t="s">
        <v>16</v>
      </c>
      <c r="J795" s="165" t="s">
        <v>149</v>
      </c>
      <c r="K795" s="165" t="s">
        <v>16</v>
      </c>
      <c r="L795" s="165" t="s">
        <v>16</v>
      </c>
      <c r="M795" s="165" t="s">
        <v>16</v>
      </c>
      <c r="N795" s="165" t="s">
        <v>148</v>
      </c>
      <c r="O795" s="165" t="s">
        <v>16</v>
      </c>
      <c r="P795" s="165" t="s">
        <v>148</v>
      </c>
      <c r="Q795" s="165" t="s">
        <v>149</v>
      </c>
      <c r="R795" s="165" t="s">
        <v>16</v>
      </c>
      <c r="S795" s="165" t="s">
        <v>148</v>
      </c>
      <c r="T795" s="165" t="s">
        <v>16</v>
      </c>
      <c r="U795" s="165" t="s">
        <v>16</v>
      </c>
      <c r="V795" s="165" t="s">
        <v>16</v>
      </c>
      <c r="W795" s="165" t="s">
        <v>16</v>
      </c>
      <c r="X795" s="165" t="s">
        <v>148</v>
      </c>
      <c r="Y795" s="165" t="s">
        <v>149</v>
      </c>
      <c r="Z795" s="165" t="s">
        <v>149</v>
      </c>
      <c r="AA795" s="165" t="s">
        <v>16</v>
      </c>
      <c r="AB795" s="165" t="s">
        <v>16</v>
      </c>
      <c r="AC795" s="165" t="s">
        <v>16</v>
      </c>
      <c r="AD795" s="165" t="s">
        <v>149</v>
      </c>
      <c r="AE795" s="165" t="s">
        <v>1362</v>
      </c>
      <c r="AF795" s="165"/>
    </row>
    <row r="796" spans="1:32" x14ac:dyDescent="0.3">
      <c r="A796" s="165" t="s">
        <v>1363</v>
      </c>
      <c r="B796" s="165" t="s">
        <v>14</v>
      </c>
      <c r="C796" s="165" t="s">
        <v>1333</v>
      </c>
      <c r="D796" s="165" t="s">
        <v>15</v>
      </c>
      <c r="E796" s="157">
        <v>41151</v>
      </c>
      <c r="F796" s="165" t="s">
        <v>148</v>
      </c>
      <c r="G796" s="165" t="s">
        <v>148</v>
      </c>
      <c r="H796" s="165" t="s">
        <v>16</v>
      </c>
      <c r="I796" s="165" t="s">
        <v>148</v>
      </c>
      <c r="J796" s="165" t="s">
        <v>16</v>
      </c>
      <c r="K796" s="165" t="s">
        <v>16</v>
      </c>
      <c r="L796" s="165" t="s">
        <v>148</v>
      </c>
      <c r="M796" s="165" t="s">
        <v>16</v>
      </c>
      <c r="N796" s="165" t="s">
        <v>148</v>
      </c>
      <c r="O796" s="165" t="s">
        <v>16</v>
      </c>
      <c r="P796" s="165" t="s">
        <v>148</v>
      </c>
      <c r="Q796" s="165" t="s">
        <v>148</v>
      </c>
      <c r="R796" s="165" t="s">
        <v>148</v>
      </c>
      <c r="S796" s="165" t="s">
        <v>148</v>
      </c>
      <c r="T796" s="165" t="s">
        <v>148</v>
      </c>
      <c r="U796" s="165" t="s">
        <v>16</v>
      </c>
      <c r="V796" s="165" t="s">
        <v>16</v>
      </c>
      <c r="W796" s="165" t="s">
        <v>148</v>
      </c>
      <c r="X796" s="165" t="s">
        <v>148</v>
      </c>
      <c r="Y796" s="165" t="s">
        <v>16</v>
      </c>
      <c r="Z796" s="165" t="s">
        <v>16</v>
      </c>
      <c r="AA796" s="165" t="s">
        <v>16</v>
      </c>
      <c r="AB796" s="165" t="s">
        <v>16</v>
      </c>
      <c r="AC796" s="165" t="s">
        <v>16</v>
      </c>
      <c r="AD796" s="165" t="s">
        <v>16</v>
      </c>
      <c r="AE796" s="165" t="s">
        <v>1346</v>
      </c>
      <c r="AF796" s="165"/>
    </row>
    <row r="797" spans="1:32" x14ac:dyDescent="0.3">
      <c r="A797" s="165" t="s">
        <v>1364</v>
      </c>
      <c r="B797" s="165" t="s">
        <v>14</v>
      </c>
      <c r="C797" s="165" t="s">
        <v>1333</v>
      </c>
      <c r="D797" s="165" t="s">
        <v>15</v>
      </c>
      <c r="E797" s="157">
        <v>41151</v>
      </c>
      <c r="F797" s="165" t="s">
        <v>16</v>
      </c>
      <c r="G797" s="165" t="s">
        <v>148</v>
      </c>
      <c r="H797" s="165" t="s">
        <v>148</v>
      </c>
      <c r="I797" s="165" t="s">
        <v>16</v>
      </c>
      <c r="J797" s="165" t="s">
        <v>16</v>
      </c>
      <c r="K797" s="165" t="s">
        <v>16</v>
      </c>
      <c r="L797" s="165" t="s">
        <v>16</v>
      </c>
      <c r="M797" s="165" t="s">
        <v>16</v>
      </c>
      <c r="N797" s="165" t="s">
        <v>16</v>
      </c>
      <c r="O797" s="165" t="s">
        <v>16</v>
      </c>
      <c r="P797" s="165" t="s">
        <v>16</v>
      </c>
      <c r="Q797" s="165" t="s">
        <v>16</v>
      </c>
      <c r="R797" s="165" t="s">
        <v>16</v>
      </c>
      <c r="S797" s="165" t="s">
        <v>16</v>
      </c>
      <c r="T797" s="165" t="s">
        <v>16</v>
      </c>
      <c r="U797" s="165" t="s">
        <v>149</v>
      </c>
      <c r="V797" s="165" t="s">
        <v>16</v>
      </c>
      <c r="W797" s="165" t="s">
        <v>16</v>
      </c>
      <c r="X797" s="165" t="s">
        <v>16</v>
      </c>
      <c r="Y797" s="165" t="s">
        <v>16</v>
      </c>
      <c r="Z797" s="165" t="s">
        <v>16</v>
      </c>
      <c r="AA797" s="165" t="s">
        <v>148</v>
      </c>
      <c r="AB797" s="165" t="s">
        <v>148</v>
      </c>
      <c r="AC797" s="165" t="s">
        <v>148</v>
      </c>
      <c r="AD797" s="165" t="s">
        <v>16</v>
      </c>
      <c r="AE797" s="165" t="s">
        <v>1336</v>
      </c>
      <c r="AF797" s="165"/>
    </row>
    <row r="798" spans="1:32" x14ac:dyDescent="0.3">
      <c r="A798" s="165" t="s">
        <v>1365</v>
      </c>
      <c r="B798" s="165" t="s">
        <v>14</v>
      </c>
      <c r="C798" s="165" t="s">
        <v>1333</v>
      </c>
      <c r="D798" s="165" t="s">
        <v>15</v>
      </c>
      <c r="E798" s="157">
        <v>41151</v>
      </c>
      <c r="F798" s="165" t="s">
        <v>16</v>
      </c>
      <c r="G798" s="165" t="s">
        <v>16</v>
      </c>
      <c r="H798" s="165" t="s">
        <v>16</v>
      </c>
      <c r="I798" s="165" t="s">
        <v>16</v>
      </c>
      <c r="J798" s="165" t="s">
        <v>16</v>
      </c>
      <c r="K798" s="165" t="s">
        <v>16</v>
      </c>
      <c r="L798" s="165" t="s">
        <v>16</v>
      </c>
      <c r="M798" s="165" t="s">
        <v>16</v>
      </c>
      <c r="N798" s="165" t="s">
        <v>16</v>
      </c>
      <c r="O798" s="165" t="s">
        <v>16</v>
      </c>
      <c r="P798" s="165" t="s">
        <v>16</v>
      </c>
      <c r="Q798" s="165" t="s">
        <v>16</v>
      </c>
      <c r="R798" s="165" t="s">
        <v>16</v>
      </c>
      <c r="S798" s="165" t="s">
        <v>16</v>
      </c>
      <c r="T798" s="165" t="s">
        <v>16</v>
      </c>
      <c r="U798" s="165" t="s">
        <v>16</v>
      </c>
      <c r="V798" s="165" t="s">
        <v>16</v>
      </c>
      <c r="W798" s="165" t="s">
        <v>16</v>
      </c>
      <c r="X798" s="165" t="s">
        <v>148</v>
      </c>
      <c r="Y798" s="165" t="s">
        <v>16</v>
      </c>
      <c r="Z798" s="165" t="s">
        <v>16</v>
      </c>
      <c r="AA798" s="165" t="s">
        <v>16</v>
      </c>
      <c r="AB798" s="165" t="s">
        <v>16</v>
      </c>
      <c r="AC798" s="165" t="s">
        <v>16</v>
      </c>
      <c r="AD798" s="165" t="s">
        <v>16</v>
      </c>
      <c r="AE798" s="165" t="s">
        <v>1336</v>
      </c>
      <c r="AF798" s="165"/>
    </row>
    <row r="799" spans="1:32" x14ac:dyDescent="0.3">
      <c r="A799" s="165" t="s">
        <v>1366</v>
      </c>
      <c r="B799" s="165" t="s">
        <v>14</v>
      </c>
      <c r="C799" s="165" t="s">
        <v>1333</v>
      </c>
      <c r="D799" s="165" t="s">
        <v>15</v>
      </c>
      <c r="E799" s="157">
        <v>41151</v>
      </c>
      <c r="F799" s="165" t="s">
        <v>150</v>
      </c>
      <c r="G799" s="165" t="s">
        <v>148</v>
      </c>
      <c r="H799" s="165" t="s">
        <v>149</v>
      </c>
      <c r="I799" s="165" t="s">
        <v>16</v>
      </c>
      <c r="J799" s="165" t="s">
        <v>150</v>
      </c>
      <c r="K799" s="165" t="s">
        <v>16</v>
      </c>
      <c r="L799" s="165" t="s">
        <v>16</v>
      </c>
      <c r="M799" s="165" t="s">
        <v>148</v>
      </c>
      <c r="N799" s="165" t="s">
        <v>16</v>
      </c>
      <c r="O799" s="165" t="s">
        <v>150</v>
      </c>
      <c r="P799" s="165" t="s">
        <v>150</v>
      </c>
      <c r="Q799" s="165" t="s">
        <v>148</v>
      </c>
      <c r="R799" s="165" t="s">
        <v>16</v>
      </c>
      <c r="S799" s="165" t="s">
        <v>16</v>
      </c>
      <c r="T799" s="165" t="s">
        <v>16</v>
      </c>
      <c r="U799" s="165" t="s">
        <v>16</v>
      </c>
      <c r="V799" s="165" t="s">
        <v>16</v>
      </c>
      <c r="W799" s="165" t="s">
        <v>150</v>
      </c>
      <c r="X799" s="165" t="s">
        <v>148</v>
      </c>
      <c r="Y799" s="165" t="s">
        <v>16</v>
      </c>
      <c r="Z799" s="165" t="s">
        <v>16</v>
      </c>
      <c r="AA799" s="165" t="s">
        <v>16</v>
      </c>
      <c r="AB799" s="165" t="s">
        <v>16</v>
      </c>
      <c r="AC799" s="165" t="s">
        <v>16</v>
      </c>
      <c r="AD799" s="165" t="s">
        <v>16</v>
      </c>
      <c r="AE799" s="165" t="s">
        <v>1367</v>
      </c>
      <c r="AF799" s="165"/>
    </row>
    <row r="800" spans="1:32" x14ac:dyDescent="0.3">
      <c r="A800" s="165" t="s">
        <v>1368</v>
      </c>
      <c r="B800" s="165" t="s">
        <v>14</v>
      </c>
      <c r="C800" s="165" t="s">
        <v>1333</v>
      </c>
      <c r="D800" s="165" t="s">
        <v>15</v>
      </c>
      <c r="E800" s="157">
        <v>41151</v>
      </c>
      <c r="F800" s="165" t="s">
        <v>16</v>
      </c>
      <c r="G800" s="165" t="s">
        <v>16</v>
      </c>
      <c r="H800" s="165" t="s">
        <v>16</v>
      </c>
      <c r="I800" s="165" t="s">
        <v>16</v>
      </c>
      <c r="J800" s="165" t="s">
        <v>16</v>
      </c>
      <c r="K800" s="165" t="s">
        <v>16</v>
      </c>
      <c r="L800" s="165" t="s">
        <v>16</v>
      </c>
      <c r="M800" s="165" t="s">
        <v>148</v>
      </c>
      <c r="N800" s="165" t="s">
        <v>16</v>
      </c>
      <c r="O800" s="165" t="s">
        <v>16</v>
      </c>
      <c r="P800" s="165" t="s">
        <v>16</v>
      </c>
      <c r="Q800" s="165" t="s">
        <v>16</v>
      </c>
      <c r="R800" s="165" t="s">
        <v>16</v>
      </c>
      <c r="S800" s="165" t="s">
        <v>148</v>
      </c>
      <c r="T800" s="165" t="s">
        <v>148</v>
      </c>
      <c r="U800" s="165" t="s">
        <v>16</v>
      </c>
      <c r="V800" s="165" t="s">
        <v>16</v>
      </c>
      <c r="W800" s="165" t="s">
        <v>16</v>
      </c>
      <c r="X800" s="165" t="s">
        <v>16</v>
      </c>
      <c r="Y800" s="165" t="s">
        <v>16</v>
      </c>
      <c r="Z800" s="165" t="s">
        <v>16</v>
      </c>
      <c r="AA800" s="165" t="s">
        <v>16</v>
      </c>
      <c r="AB800" s="165" t="s">
        <v>16</v>
      </c>
      <c r="AC800" s="165" t="s">
        <v>16</v>
      </c>
      <c r="AD800" s="165" t="s">
        <v>16</v>
      </c>
      <c r="AE800" s="165" t="s">
        <v>1369</v>
      </c>
      <c r="AF800" s="165"/>
    </row>
    <row r="801" spans="1:32" x14ac:dyDescent="0.3">
      <c r="A801" s="165" t="s">
        <v>1370</v>
      </c>
      <c r="B801" s="165" t="s">
        <v>14</v>
      </c>
      <c r="C801" s="165" t="s">
        <v>1333</v>
      </c>
      <c r="D801" s="165" t="s">
        <v>15</v>
      </c>
      <c r="E801" s="157">
        <v>41151</v>
      </c>
      <c r="F801" s="165" t="s">
        <v>16</v>
      </c>
      <c r="G801" s="165" t="s">
        <v>16</v>
      </c>
      <c r="H801" s="165" t="s">
        <v>16</v>
      </c>
      <c r="I801" s="165" t="s">
        <v>16</v>
      </c>
      <c r="J801" s="165" t="s">
        <v>16</v>
      </c>
      <c r="K801" s="165" t="s">
        <v>16</v>
      </c>
      <c r="L801" s="165" t="s">
        <v>16</v>
      </c>
      <c r="M801" s="165" t="s">
        <v>16</v>
      </c>
      <c r="N801" s="165" t="s">
        <v>16</v>
      </c>
      <c r="O801" s="165" t="s">
        <v>16</v>
      </c>
      <c r="P801" s="165" t="s">
        <v>16</v>
      </c>
      <c r="Q801" s="165" t="s">
        <v>16</v>
      </c>
      <c r="R801" s="165" t="s">
        <v>16</v>
      </c>
      <c r="S801" s="165" t="s">
        <v>16</v>
      </c>
      <c r="T801" s="165" t="s">
        <v>16</v>
      </c>
      <c r="U801" s="165" t="s">
        <v>16</v>
      </c>
      <c r="V801" s="165" t="s">
        <v>16</v>
      </c>
      <c r="W801" s="165" t="s">
        <v>16</v>
      </c>
      <c r="X801" s="165" t="s">
        <v>16</v>
      </c>
      <c r="Y801" s="165" t="s">
        <v>16</v>
      </c>
      <c r="Z801" s="165" t="s">
        <v>16</v>
      </c>
      <c r="AA801" s="165" t="s">
        <v>16</v>
      </c>
      <c r="AB801" s="165" t="s">
        <v>16</v>
      </c>
      <c r="AC801" s="165" t="s">
        <v>16</v>
      </c>
      <c r="AD801" s="165" t="s">
        <v>16</v>
      </c>
      <c r="AE801" s="165" t="s">
        <v>1336</v>
      </c>
      <c r="AF801" s="165"/>
    </row>
    <row r="802" spans="1:32" x14ac:dyDescent="0.3">
      <c r="A802" s="165" t="s">
        <v>1371</v>
      </c>
      <c r="B802" s="165" t="s">
        <v>14</v>
      </c>
      <c r="C802" s="165" t="s">
        <v>1333</v>
      </c>
      <c r="D802" s="165" t="s">
        <v>15</v>
      </c>
      <c r="E802" s="157">
        <v>41151</v>
      </c>
      <c r="F802" s="165" t="s">
        <v>16</v>
      </c>
      <c r="G802" s="165" t="s">
        <v>16</v>
      </c>
      <c r="H802" s="165" t="s">
        <v>16</v>
      </c>
      <c r="I802" s="165" t="s">
        <v>16</v>
      </c>
      <c r="J802" s="165" t="s">
        <v>16</v>
      </c>
      <c r="K802" s="165" t="s">
        <v>16</v>
      </c>
      <c r="L802" s="165" t="s">
        <v>16</v>
      </c>
      <c r="M802" s="165" t="s">
        <v>16</v>
      </c>
      <c r="N802" s="165" t="s">
        <v>16</v>
      </c>
      <c r="O802" s="165" t="s">
        <v>16</v>
      </c>
      <c r="P802" s="165" t="s">
        <v>16</v>
      </c>
      <c r="Q802" s="165" t="s">
        <v>16</v>
      </c>
      <c r="R802" s="165" t="s">
        <v>16</v>
      </c>
      <c r="S802" s="165" t="s">
        <v>16</v>
      </c>
      <c r="T802" s="165" t="s">
        <v>16</v>
      </c>
      <c r="U802" s="165" t="s">
        <v>16</v>
      </c>
      <c r="V802" s="165" t="s">
        <v>16</v>
      </c>
      <c r="W802" s="165" t="s">
        <v>16</v>
      </c>
      <c r="X802" s="165" t="s">
        <v>16</v>
      </c>
      <c r="Y802" s="165" t="s">
        <v>16</v>
      </c>
      <c r="Z802" s="165" t="s">
        <v>16</v>
      </c>
      <c r="AA802" s="165" t="s">
        <v>16</v>
      </c>
      <c r="AB802" s="165" t="s">
        <v>16</v>
      </c>
      <c r="AC802" s="165" t="s">
        <v>16</v>
      </c>
      <c r="AD802" s="165" t="s">
        <v>148</v>
      </c>
      <c r="AE802" s="165" t="s">
        <v>1334</v>
      </c>
      <c r="AF802" s="165"/>
    </row>
    <row r="803" spans="1:32" x14ac:dyDescent="0.3">
      <c r="A803" s="165" t="s">
        <v>1372</v>
      </c>
      <c r="B803" s="165" t="s">
        <v>14</v>
      </c>
      <c r="C803" s="165" t="s">
        <v>1333</v>
      </c>
      <c r="D803" s="165" t="s">
        <v>15</v>
      </c>
      <c r="E803" s="157">
        <v>41151</v>
      </c>
      <c r="F803" s="165" t="s">
        <v>148</v>
      </c>
      <c r="G803" s="165" t="s">
        <v>148</v>
      </c>
      <c r="H803" s="165" t="s">
        <v>149</v>
      </c>
      <c r="I803" s="165" t="s">
        <v>149</v>
      </c>
      <c r="J803" s="165" t="s">
        <v>149</v>
      </c>
      <c r="K803" s="165" t="s">
        <v>16</v>
      </c>
      <c r="L803" s="165" t="s">
        <v>148</v>
      </c>
      <c r="M803" s="165" t="s">
        <v>149</v>
      </c>
      <c r="N803" s="165" t="s">
        <v>16</v>
      </c>
      <c r="O803" s="165" t="s">
        <v>16</v>
      </c>
      <c r="P803" s="165" t="s">
        <v>148</v>
      </c>
      <c r="Q803" s="165" t="s">
        <v>16</v>
      </c>
      <c r="R803" s="165" t="s">
        <v>16</v>
      </c>
      <c r="S803" s="165" t="s">
        <v>16</v>
      </c>
      <c r="T803" s="165" t="s">
        <v>16</v>
      </c>
      <c r="U803" s="165" t="s">
        <v>149</v>
      </c>
      <c r="V803" s="165" t="s">
        <v>16</v>
      </c>
      <c r="W803" s="165" t="s">
        <v>148</v>
      </c>
      <c r="X803" s="165" t="s">
        <v>16</v>
      </c>
      <c r="Y803" s="165" t="s">
        <v>16</v>
      </c>
      <c r="Z803" s="165" t="s">
        <v>149</v>
      </c>
      <c r="AA803" s="165" t="s">
        <v>149</v>
      </c>
      <c r="AB803" s="165" t="s">
        <v>149</v>
      </c>
      <c r="AC803" s="165" t="s">
        <v>148</v>
      </c>
      <c r="AD803" s="165" t="s">
        <v>149</v>
      </c>
      <c r="AE803" s="165" t="s">
        <v>1334</v>
      </c>
      <c r="AF803" s="165" t="s">
        <v>1373</v>
      </c>
    </row>
    <row r="804" spans="1:32" x14ac:dyDescent="0.3">
      <c r="A804" s="165" t="s">
        <v>1374</v>
      </c>
      <c r="B804" s="165" t="s">
        <v>14</v>
      </c>
      <c r="C804" s="165" t="s">
        <v>1333</v>
      </c>
      <c r="D804" s="165" t="s">
        <v>15</v>
      </c>
      <c r="E804" s="157">
        <v>41151</v>
      </c>
      <c r="F804" s="165" t="s">
        <v>16</v>
      </c>
      <c r="G804" s="165" t="s">
        <v>16</v>
      </c>
      <c r="H804" s="165" t="s">
        <v>16</v>
      </c>
      <c r="I804" s="165" t="s">
        <v>16</v>
      </c>
      <c r="J804" s="165" t="s">
        <v>16</v>
      </c>
      <c r="K804" s="165" t="s">
        <v>16</v>
      </c>
      <c r="L804" s="165" t="s">
        <v>16</v>
      </c>
      <c r="M804" s="165" t="s">
        <v>16</v>
      </c>
      <c r="N804" s="165" t="s">
        <v>16</v>
      </c>
      <c r="O804" s="165" t="s">
        <v>16</v>
      </c>
      <c r="P804" s="165" t="s">
        <v>16</v>
      </c>
      <c r="Q804" s="165" t="s">
        <v>16</v>
      </c>
      <c r="R804" s="165" t="s">
        <v>16</v>
      </c>
      <c r="S804" s="165" t="s">
        <v>16</v>
      </c>
      <c r="T804" s="165" t="s">
        <v>16</v>
      </c>
      <c r="U804" s="165" t="s">
        <v>16</v>
      </c>
      <c r="V804" s="165" t="s">
        <v>16</v>
      </c>
      <c r="W804" s="165" t="s">
        <v>16</v>
      </c>
      <c r="X804" s="165" t="s">
        <v>16</v>
      </c>
      <c r="Y804" s="165" t="s">
        <v>16</v>
      </c>
      <c r="Z804" s="165" t="s">
        <v>16</v>
      </c>
      <c r="AA804" s="165" t="s">
        <v>16</v>
      </c>
      <c r="AB804" s="165" t="s">
        <v>16</v>
      </c>
      <c r="AC804" s="165" t="s">
        <v>16</v>
      </c>
      <c r="AD804" s="165" t="s">
        <v>16</v>
      </c>
      <c r="AE804" s="165" t="s">
        <v>1369</v>
      </c>
      <c r="AF804" s="165"/>
    </row>
    <row r="805" spans="1:32" x14ac:dyDescent="0.3">
      <c r="A805" s="165" t="s">
        <v>1375</v>
      </c>
      <c r="B805" s="165" t="s">
        <v>14</v>
      </c>
      <c r="C805" s="165" t="s">
        <v>1333</v>
      </c>
      <c r="D805" s="165" t="s">
        <v>15</v>
      </c>
      <c r="E805" s="157">
        <v>41151</v>
      </c>
      <c r="F805" s="165" t="s">
        <v>16</v>
      </c>
      <c r="G805" s="165" t="s">
        <v>16</v>
      </c>
      <c r="H805" s="165" t="s">
        <v>148</v>
      </c>
      <c r="I805" s="165" t="s">
        <v>16</v>
      </c>
      <c r="J805" s="165" t="s">
        <v>148</v>
      </c>
      <c r="K805" s="165" t="s">
        <v>16</v>
      </c>
      <c r="L805" s="165" t="s">
        <v>148</v>
      </c>
      <c r="M805" s="165" t="s">
        <v>16</v>
      </c>
      <c r="N805" s="165" t="s">
        <v>148</v>
      </c>
      <c r="O805" s="165" t="s">
        <v>16</v>
      </c>
      <c r="P805" s="165" t="s">
        <v>16</v>
      </c>
      <c r="Q805" s="165" t="s">
        <v>16</v>
      </c>
      <c r="R805" s="165" t="s">
        <v>16</v>
      </c>
      <c r="S805" s="165" t="s">
        <v>148</v>
      </c>
      <c r="T805" s="165" t="s">
        <v>16</v>
      </c>
      <c r="U805" s="165" t="s">
        <v>16</v>
      </c>
      <c r="V805" s="165" t="s">
        <v>16</v>
      </c>
      <c r="W805" s="165" t="s">
        <v>16</v>
      </c>
      <c r="X805" s="165" t="s">
        <v>16</v>
      </c>
      <c r="Y805" s="165" t="s">
        <v>16</v>
      </c>
      <c r="Z805" s="165" t="s">
        <v>16</v>
      </c>
      <c r="AA805" s="165" t="s">
        <v>16</v>
      </c>
      <c r="AB805" s="165" t="s">
        <v>16</v>
      </c>
      <c r="AC805" s="165" t="s">
        <v>16</v>
      </c>
      <c r="AD805" s="165" t="s">
        <v>16</v>
      </c>
      <c r="AE805" s="165" t="s">
        <v>1336</v>
      </c>
      <c r="AF805" s="165"/>
    </row>
    <row r="808" spans="1:32" x14ac:dyDescent="0.3">
      <c r="A808" s="165"/>
      <c r="B808" s="165"/>
      <c r="C808" s="165"/>
      <c r="D808" s="165"/>
      <c r="E808" s="165"/>
      <c r="F808" s="165" t="s">
        <v>124</v>
      </c>
      <c r="G808" s="165" t="s">
        <v>125</v>
      </c>
      <c r="H808" s="165" t="s">
        <v>126</v>
      </c>
      <c r="I808" s="165" t="s">
        <v>127</v>
      </c>
      <c r="J808" s="165" t="s">
        <v>214</v>
      </c>
      <c r="K808" s="165" t="s">
        <v>128</v>
      </c>
      <c r="L808" s="165" t="s">
        <v>129</v>
      </c>
      <c r="M808" s="165" t="s">
        <v>130</v>
      </c>
      <c r="N808" s="165" t="s">
        <v>131</v>
      </c>
      <c r="O808" s="165" t="s">
        <v>132</v>
      </c>
      <c r="P808" s="165" t="s">
        <v>133</v>
      </c>
      <c r="Q808" s="165" t="s">
        <v>134</v>
      </c>
      <c r="R808" s="165" t="s">
        <v>135</v>
      </c>
      <c r="S808" s="165" t="s">
        <v>136</v>
      </c>
      <c r="T808" s="165" t="s">
        <v>137</v>
      </c>
      <c r="U808" s="165" t="s">
        <v>138</v>
      </c>
      <c r="V808" s="165" t="s">
        <v>139</v>
      </c>
      <c r="W808" s="165" t="s">
        <v>140</v>
      </c>
      <c r="X808" s="165" t="s">
        <v>186</v>
      </c>
      <c r="Y808" s="165" t="s">
        <v>209</v>
      </c>
      <c r="Z808" s="165" t="s">
        <v>141</v>
      </c>
      <c r="AA808" s="165" t="s">
        <v>142</v>
      </c>
      <c r="AB808" s="165" t="s">
        <v>210</v>
      </c>
      <c r="AC808" s="165" t="s">
        <v>1180</v>
      </c>
      <c r="AD808" s="165" t="s">
        <v>144</v>
      </c>
      <c r="AE808" s="165" t="s">
        <v>1378</v>
      </c>
      <c r="AF808" s="165" t="s">
        <v>190</v>
      </c>
    </row>
    <row r="809" spans="1:32" x14ac:dyDescent="0.3">
      <c r="A809" s="165" t="s">
        <v>1379</v>
      </c>
      <c r="B809" s="165" t="s">
        <v>14</v>
      </c>
      <c r="C809" s="165" t="s">
        <v>1380</v>
      </c>
      <c r="D809" s="165" t="s">
        <v>15</v>
      </c>
      <c r="E809" s="157">
        <v>41181</v>
      </c>
      <c r="F809" s="165" t="s">
        <v>16</v>
      </c>
      <c r="G809" s="165" t="s">
        <v>16</v>
      </c>
      <c r="H809" s="165" t="s">
        <v>16</v>
      </c>
      <c r="I809" s="165" t="s">
        <v>16</v>
      </c>
      <c r="J809" s="165" t="s">
        <v>16</v>
      </c>
      <c r="K809" s="165" t="s">
        <v>16</v>
      </c>
      <c r="L809" s="165" t="s">
        <v>16</v>
      </c>
      <c r="M809" s="165" t="s">
        <v>16</v>
      </c>
      <c r="N809" s="165" t="s">
        <v>16</v>
      </c>
      <c r="O809" s="165" t="s">
        <v>16</v>
      </c>
      <c r="P809" s="165" t="s">
        <v>16</v>
      </c>
      <c r="Q809" s="165" t="s">
        <v>16</v>
      </c>
      <c r="R809" s="165" t="s">
        <v>16</v>
      </c>
      <c r="S809" s="165" t="s">
        <v>149</v>
      </c>
      <c r="T809" s="165" t="s">
        <v>16</v>
      </c>
      <c r="U809" s="165" t="s">
        <v>16</v>
      </c>
      <c r="V809" s="165" t="s">
        <v>16</v>
      </c>
      <c r="W809" s="165" t="s">
        <v>16</v>
      </c>
      <c r="X809" s="165" t="s">
        <v>16</v>
      </c>
      <c r="Y809" s="165" t="s">
        <v>16</v>
      </c>
      <c r="Z809" s="165" t="s">
        <v>149</v>
      </c>
      <c r="AA809" s="165" t="s">
        <v>16</v>
      </c>
      <c r="AB809" s="165" t="s">
        <v>16</v>
      </c>
      <c r="AC809" s="165" t="s">
        <v>16</v>
      </c>
      <c r="AD809" s="165" t="s">
        <v>16</v>
      </c>
      <c r="AE809" s="165" t="s">
        <v>1381</v>
      </c>
      <c r="AF809" s="165"/>
    </row>
    <row r="810" spans="1:32" x14ac:dyDescent="0.3">
      <c r="A810" s="165" t="s">
        <v>1382</v>
      </c>
      <c r="B810" s="165" t="s">
        <v>14</v>
      </c>
      <c r="C810" s="165" t="s">
        <v>1380</v>
      </c>
      <c r="D810" s="165" t="s">
        <v>15</v>
      </c>
      <c r="E810" s="157">
        <v>41181</v>
      </c>
      <c r="F810" s="165" t="s">
        <v>16</v>
      </c>
      <c r="G810" s="165" t="s">
        <v>16</v>
      </c>
      <c r="H810" s="165" t="s">
        <v>16</v>
      </c>
      <c r="I810" s="165" t="s">
        <v>16</v>
      </c>
      <c r="J810" s="165" t="s">
        <v>148</v>
      </c>
      <c r="K810" s="165" t="s">
        <v>16</v>
      </c>
      <c r="L810" s="165" t="s">
        <v>16</v>
      </c>
      <c r="M810" s="165" t="s">
        <v>148</v>
      </c>
      <c r="N810" s="165" t="s">
        <v>16</v>
      </c>
      <c r="O810" s="165" t="s">
        <v>16</v>
      </c>
      <c r="P810" s="165" t="s">
        <v>148</v>
      </c>
      <c r="Q810" s="165" t="s">
        <v>16</v>
      </c>
      <c r="R810" s="165" t="s">
        <v>16</v>
      </c>
      <c r="S810" s="165" t="s">
        <v>16</v>
      </c>
      <c r="T810" s="165" t="s">
        <v>148</v>
      </c>
      <c r="U810" s="165" t="s">
        <v>148</v>
      </c>
      <c r="V810" s="165" t="s">
        <v>16</v>
      </c>
      <c r="W810" s="165" t="s">
        <v>16</v>
      </c>
      <c r="X810" s="165" t="s">
        <v>16</v>
      </c>
      <c r="Y810" s="165" t="s">
        <v>16</v>
      </c>
      <c r="Z810" s="165" t="s">
        <v>16</v>
      </c>
      <c r="AA810" s="165" t="s">
        <v>16</v>
      </c>
      <c r="AB810" s="165" t="s">
        <v>16</v>
      </c>
      <c r="AC810" s="165" t="s">
        <v>16</v>
      </c>
      <c r="AD810" s="165" t="s">
        <v>16</v>
      </c>
      <c r="AE810" s="165" t="s">
        <v>1383</v>
      </c>
      <c r="AF810" s="165"/>
    </row>
    <row r="811" spans="1:32" x14ac:dyDescent="0.3">
      <c r="A811" s="165" t="s">
        <v>1384</v>
      </c>
      <c r="B811" s="165" t="s">
        <v>14</v>
      </c>
      <c r="C811" s="165" t="s">
        <v>1380</v>
      </c>
      <c r="D811" s="165" t="s">
        <v>15</v>
      </c>
      <c r="E811" s="157">
        <v>41181</v>
      </c>
      <c r="F811" s="165" t="s">
        <v>16</v>
      </c>
      <c r="G811" s="165" t="s">
        <v>16</v>
      </c>
      <c r="H811" s="165" t="s">
        <v>148</v>
      </c>
      <c r="I811" s="165" t="s">
        <v>16</v>
      </c>
      <c r="J811" s="165" t="s">
        <v>16</v>
      </c>
      <c r="K811" s="165" t="s">
        <v>16</v>
      </c>
      <c r="L811" s="165" t="s">
        <v>16</v>
      </c>
      <c r="M811" s="165" t="s">
        <v>16</v>
      </c>
      <c r="N811" s="165" t="s">
        <v>16</v>
      </c>
      <c r="O811" s="165" t="s">
        <v>16</v>
      </c>
      <c r="P811" s="165" t="s">
        <v>16</v>
      </c>
      <c r="Q811" s="165" t="s">
        <v>16</v>
      </c>
      <c r="R811" s="165" t="s">
        <v>16</v>
      </c>
      <c r="S811" s="165" t="s">
        <v>16</v>
      </c>
      <c r="T811" s="165" t="s">
        <v>16</v>
      </c>
      <c r="U811" s="165" t="s">
        <v>16</v>
      </c>
      <c r="V811" s="165" t="s">
        <v>16</v>
      </c>
      <c r="W811" s="165" t="s">
        <v>16</v>
      </c>
      <c r="X811" s="165" t="s">
        <v>16</v>
      </c>
      <c r="Y811" s="165" t="s">
        <v>16</v>
      </c>
      <c r="Z811" s="165" t="s">
        <v>16</v>
      </c>
      <c r="AA811" s="165" t="s">
        <v>16</v>
      </c>
      <c r="AB811" s="165" t="s">
        <v>16</v>
      </c>
      <c r="AC811" s="165" t="s">
        <v>16</v>
      </c>
      <c r="AD811" s="165" t="s">
        <v>16</v>
      </c>
      <c r="AE811" s="165" t="s">
        <v>1383</v>
      </c>
      <c r="AF811" s="165"/>
    </row>
    <row r="812" spans="1:32" x14ac:dyDescent="0.3">
      <c r="A812" s="165" t="s">
        <v>1385</v>
      </c>
      <c r="B812" s="165" t="s">
        <v>14</v>
      </c>
      <c r="C812" s="165" t="s">
        <v>1380</v>
      </c>
      <c r="D812" s="165" t="s">
        <v>15</v>
      </c>
      <c r="E812" s="157">
        <v>41181</v>
      </c>
      <c r="F812" s="165" t="s">
        <v>16</v>
      </c>
      <c r="G812" s="165" t="s">
        <v>148</v>
      </c>
      <c r="H812" s="165" t="s">
        <v>16</v>
      </c>
      <c r="I812" s="165" t="s">
        <v>148</v>
      </c>
      <c r="J812" s="165" t="s">
        <v>148</v>
      </c>
      <c r="K812" s="165" t="s">
        <v>16</v>
      </c>
      <c r="L812" s="165" t="s">
        <v>148</v>
      </c>
      <c r="M812" s="165" t="s">
        <v>148</v>
      </c>
      <c r="N812" s="165" t="s">
        <v>148</v>
      </c>
      <c r="O812" s="165" t="s">
        <v>148</v>
      </c>
      <c r="P812" s="165" t="s">
        <v>148</v>
      </c>
      <c r="Q812" s="165" t="s">
        <v>16</v>
      </c>
      <c r="R812" s="165" t="s">
        <v>16</v>
      </c>
      <c r="S812" s="165" t="s">
        <v>148</v>
      </c>
      <c r="T812" s="165" t="s">
        <v>148</v>
      </c>
      <c r="U812" s="165" t="s">
        <v>148</v>
      </c>
      <c r="V812" s="165" t="s">
        <v>16</v>
      </c>
      <c r="W812" s="165" t="s">
        <v>16</v>
      </c>
      <c r="X812" s="165" t="s">
        <v>148</v>
      </c>
      <c r="Y812" s="165" t="s">
        <v>114</v>
      </c>
      <c r="Z812" s="165" t="s">
        <v>148</v>
      </c>
      <c r="AA812" s="165" t="s">
        <v>148</v>
      </c>
      <c r="AB812" s="165" t="s">
        <v>16</v>
      </c>
      <c r="AC812" s="165" t="s">
        <v>148</v>
      </c>
      <c r="AD812" s="165" t="s">
        <v>16</v>
      </c>
      <c r="AE812" s="165" t="s">
        <v>1383</v>
      </c>
      <c r="AF812" s="165" t="s">
        <v>1386</v>
      </c>
    </row>
    <row r="813" spans="1:32" x14ac:dyDescent="0.3">
      <c r="A813" s="165" t="s">
        <v>1387</v>
      </c>
      <c r="B813" s="165" t="s">
        <v>14</v>
      </c>
      <c r="C813" s="165" t="s">
        <v>1380</v>
      </c>
      <c r="D813" s="165" t="s">
        <v>15</v>
      </c>
      <c r="E813" s="157">
        <v>41181</v>
      </c>
      <c r="F813" s="165" t="s">
        <v>16</v>
      </c>
      <c r="G813" s="165" t="s">
        <v>16</v>
      </c>
      <c r="H813" s="165" t="s">
        <v>151</v>
      </c>
      <c r="I813" s="165" t="s">
        <v>16</v>
      </c>
      <c r="J813" s="165" t="s">
        <v>16</v>
      </c>
      <c r="K813" s="165" t="s">
        <v>16</v>
      </c>
      <c r="L813" s="165" t="s">
        <v>16</v>
      </c>
      <c r="M813" s="165" t="s">
        <v>16</v>
      </c>
      <c r="N813" s="165" t="s">
        <v>16</v>
      </c>
      <c r="O813" s="165" t="s">
        <v>149</v>
      </c>
      <c r="P813" s="165" t="s">
        <v>149</v>
      </c>
      <c r="Q813" s="165" t="s">
        <v>148</v>
      </c>
      <c r="R813" s="165" t="s">
        <v>148</v>
      </c>
      <c r="S813" s="165" t="s">
        <v>149</v>
      </c>
      <c r="T813" s="165" t="s">
        <v>149</v>
      </c>
      <c r="U813" s="165" t="s">
        <v>148</v>
      </c>
      <c r="V813" s="165" t="s">
        <v>16</v>
      </c>
      <c r="W813" s="165" t="s">
        <v>149</v>
      </c>
      <c r="X813" s="165" t="s">
        <v>16</v>
      </c>
      <c r="Y813" s="165" t="s">
        <v>16</v>
      </c>
      <c r="Z813" s="165" t="s">
        <v>16</v>
      </c>
      <c r="AA813" s="165" t="s">
        <v>16</v>
      </c>
      <c r="AB813" s="165" t="s">
        <v>16</v>
      </c>
      <c r="AC813" s="165" t="s">
        <v>149</v>
      </c>
      <c r="AD813" s="165" t="s">
        <v>16</v>
      </c>
      <c r="AE813" s="165" t="s">
        <v>1388</v>
      </c>
      <c r="AF813" s="165"/>
    </row>
    <row r="814" spans="1:32" x14ac:dyDescent="0.3">
      <c r="A814" s="165" t="s">
        <v>1389</v>
      </c>
      <c r="B814" s="165" t="s">
        <v>14</v>
      </c>
      <c r="C814" s="165" t="s">
        <v>1380</v>
      </c>
      <c r="D814" s="165" t="s">
        <v>15</v>
      </c>
      <c r="E814" s="157">
        <v>41181</v>
      </c>
      <c r="F814" s="165" t="s">
        <v>16</v>
      </c>
      <c r="G814" s="165" t="s">
        <v>151</v>
      </c>
      <c r="H814" s="165" t="s">
        <v>151</v>
      </c>
      <c r="I814" s="165" t="s">
        <v>149</v>
      </c>
      <c r="J814" s="165" t="s">
        <v>149</v>
      </c>
      <c r="K814" s="165" t="s">
        <v>16</v>
      </c>
      <c r="L814" s="165" t="s">
        <v>149</v>
      </c>
      <c r="M814" s="165" t="s">
        <v>149</v>
      </c>
      <c r="N814" s="165" t="s">
        <v>149</v>
      </c>
      <c r="O814" s="165" t="s">
        <v>16</v>
      </c>
      <c r="P814" s="165" t="s">
        <v>16</v>
      </c>
      <c r="Q814" s="165" t="s">
        <v>151</v>
      </c>
      <c r="R814" s="165" t="s">
        <v>149</v>
      </c>
      <c r="S814" s="165" t="s">
        <v>16</v>
      </c>
      <c r="T814" s="165" t="s">
        <v>16</v>
      </c>
      <c r="U814" s="165" t="s">
        <v>16</v>
      </c>
      <c r="V814" s="165" t="s">
        <v>149</v>
      </c>
      <c r="W814" s="165" t="s">
        <v>149</v>
      </c>
      <c r="X814" s="165" t="s">
        <v>16</v>
      </c>
      <c r="Y814" s="165" t="s">
        <v>16</v>
      </c>
      <c r="Z814" s="165" t="s">
        <v>149</v>
      </c>
      <c r="AA814" s="165" t="s">
        <v>149</v>
      </c>
      <c r="AB814" s="165" t="s">
        <v>148</v>
      </c>
      <c r="AC814" s="165" t="s">
        <v>150</v>
      </c>
      <c r="AD814" s="165" t="s">
        <v>149</v>
      </c>
      <c r="AE814" s="165" t="s">
        <v>1388</v>
      </c>
      <c r="AF814" s="165"/>
    </row>
    <row r="815" spans="1:32" x14ac:dyDescent="0.3">
      <c r="A815" s="165" t="s">
        <v>1390</v>
      </c>
      <c r="B815" s="165" t="s">
        <v>14</v>
      </c>
      <c r="C815" s="165" t="s">
        <v>1380</v>
      </c>
      <c r="D815" s="165" t="s">
        <v>15</v>
      </c>
      <c r="E815" s="157">
        <v>41181</v>
      </c>
      <c r="F815" s="165" t="s">
        <v>16</v>
      </c>
      <c r="G815" s="165" t="s">
        <v>16</v>
      </c>
      <c r="H815" s="165" t="s">
        <v>16</v>
      </c>
      <c r="I815" s="165" t="s">
        <v>16</v>
      </c>
      <c r="J815" s="165" t="s">
        <v>114</v>
      </c>
      <c r="K815" s="165" t="s">
        <v>16</v>
      </c>
      <c r="L815" s="165" t="s">
        <v>16</v>
      </c>
      <c r="M815" s="165" t="s">
        <v>149</v>
      </c>
      <c r="N815" s="165" t="s">
        <v>16</v>
      </c>
      <c r="O815" s="165" t="s">
        <v>149</v>
      </c>
      <c r="P815" s="165" t="s">
        <v>16</v>
      </c>
      <c r="Q815" s="165" t="s">
        <v>16</v>
      </c>
      <c r="R815" s="165" t="s">
        <v>149</v>
      </c>
      <c r="S815" s="165" t="s">
        <v>16</v>
      </c>
      <c r="T815" s="165" t="s">
        <v>16</v>
      </c>
      <c r="U815" s="165" t="s">
        <v>16</v>
      </c>
      <c r="V815" s="165" t="s">
        <v>16</v>
      </c>
      <c r="W815" s="165" t="s">
        <v>16</v>
      </c>
      <c r="X815" s="165" t="s">
        <v>16</v>
      </c>
      <c r="Y815" s="165" t="s">
        <v>16</v>
      </c>
      <c r="Z815" s="165" t="s">
        <v>16</v>
      </c>
      <c r="AA815" s="165" t="s">
        <v>148</v>
      </c>
      <c r="AB815" s="165" t="s">
        <v>16</v>
      </c>
      <c r="AC815" s="165" t="s">
        <v>148</v>
      </c>
      <c r="AD815" s="165" t="s">
        <v>16</v>
      </c>
      <c r="AE815" s="165" t="s">
        <v>1383</v>
      </c>
      <c r="AF815" s="165"/>
    </row>
    <row r="816" spans="1:32" x14ac:dyDescent="0.3">
      <c r="A816" s="165" t="s">
        <v>1391</v>
      </c>
      <c r="B816" s="165" t="s">
        <v>14</v>
      </c>
      <c r="C816" s="165" t="s">
        <v>1380</v>
      </c>
      <c r="D816" s="165" t="s">
        <v>15</v>
      </c>
      <c r="E816" s="157">
        <v>41181</v>
      </c>
      <c r="F816" s="165" t="s">
        <v>16</v>
      </c>
      <c r="G816" s="165" t="s">
        <v>16</v>
      </c>
      <c r="H816" s="165" t="s">
        <v>148</v>
      </c>
      <c r="I816" s="165" t="s">
        <v>148</v>
      </c>
      <c r="J816" s="165" t="s">
        <v>149</v>
      </c>
      <c r="K816" s="165" t="s">
        <v>150</v>
      </c>
      <c r="L816" s="165" t="s">
        <v>150</v>
      </c>
      <c r="M816" s="165" t="s">
        <v>148</v>
      </c>
      <c r="N816" s="165" t="s">
        <v>150</v>
      </c>
      <c r="O816" s="165" t="s">
        <v>150</v>
      </c>
      <c r="P816" s="165" t="s">
        <v>16</v>
      </c>
      <c r="Q816" s="165" t="s">
        <v>149</v>
      </c>
      <c r="R816" s="165" t="s">
        <v>150</v>
      </c>
      <c r="S816" s="165" t="s">
        <v>150</v>
      </c>
      <c r="T816" s="165" t="s">
        <v>16</v>
      </c>
      <c r="U816" s="165" t="s">
        <v>16</v>
      </c>
      <c r="V816" s="165" t="s">
        <v>16</v>
      </c>
      <c r="W816" s="165" t="s">
        <v>16</v>
      </c>
      <c r="X816" s="165" t="s">
        <v>150</v>
      </c>
      <c r="Y816" s="165" t="s">
        <v>150</v>
      </c>
      <c r="Z816" s="165" t="s">
        <v>149</v>
      </c>
      <c r="AA816" s="165" t="s">
        <v>149</v>
      </c>
      <c r="AB816" s="165" t="s">
        <v>148</v>
      </c>
      <c r="AC816" s="165" t="s">
        <v>148</v>
      </c>
      <c r="AD816" s="165" t="s">
        <v>148</v>
      </c>
      <c r="AE816" s="165" t="s">
        <v>1388</v>
      </c>
      <c r="AF816" s="165"/>
    </row>
    <row r="817" spans="1:32" x14ac:dyDescent="0.3">
      <c r="A817" s="165" t="s">
        <v>1392</v>
      </c>
      <c r="B817" s="165" t="s">
        <v>14</v>
      </c>
      <c r="C817" s="165" t="s">
        <v>1380</v>
      </c>
      <c r="D817" s="165" t="s">
        <v>15</v>
      </c>
      <c r="E817" s="157">
        <v>41181</v>
      </c>
      <c r="F817" s="165" t="s">
        <v>16</v>
      </c>
      <c r="G817" s="165" t="s">
        <v>16</v>
      </c>
      <c r="H817" s="165" t="s">
        <v>16</v>
      </c>
      <c r="I817" s="165" t="s">
        <v>148</v>
      </c>
      <c r="J817" s="165" t="s">
        <v>16</v>
      </c>
      <c r="K817" s="165" t="s">
        <v>148</v>
      </c>
      <c r="L817" s="165" t="s">
        <v>148</v>
      </c>
      <c r="M817" s="165" t="s">
        <v>16</v>
      </c>
      <c r="N817" s="165" t="s">
        <v>16</v>
      </c>
      <c r="O817" s="165" t="s">
        <v>16</v>
      </c>
      <c r="P817" s="165" t="s">
        <v>148</v>
      </c>
      <c r="Q817" s="165" t="s">
        <v>16</v>
      </c>
      <c r="R817" s="165" t="s">
        <v>148</v>
      </c>
      <c r="S817" s="165" t="s">
        <v>149</v>
      </c>
      <c r="T817" s="165" t="s">
        <v>16</v>
      </c>
      <c r="U817" s="165" t="s">
        <v>148</v>
      </c>
      <c r="V817" s="165" t="s">
        <v>16</v>
      </c>
      <c r="W817" s="165" t="s">
        <v>148</v>
      </c>
      <c r="X817" s="165" t="s">
        <v>148</v>
      </c>
      <c r="Y817" s="165" t="s">
        <v>148</v>
      </c>
      <c r="Z817" s="165" t="s">
        <v>148</v>
      </c>
      <c r="AA817" s="165" t="s">
        <v>16</v>
      </c>
      <c r="AB817" s="165" t="s">
        <v>16</v>
      </c>
      <c r="AC817" s="165" t="s">
        <v>148</v>
      </c>
      <c r="AD817" s="165" t="s">
        <v>16</v>
      </c>
      <c r="AE817" s="165" t="s">
        <v>1383</v>
      </c>
      <c r="AF817" s="165"/>
    </row>
    <row r="818" spans="1:32" x14ac:dyDescent="0.3">
      <c r="A818" s="165" t="s">
        <v>1393</v>
      </c>
      <c r="B818" s="165" t="s">
        <v>14</v>
      </c>
      <c r="C818" s="165" t="s">
        <v>1380</v>
      </c>
      <c r="D818" s="165" t="s">
        <v>15</v>
      </c>
      <c r="E818" s="157">
        <v>41181</v>
      </c>
      <c r="F818" s="165" t="s">
        <v>16</v>
      </c>
      <c r="G818" s="165" t="s">
        <v>16</v>
      </c>
      <c r="H818" s="165" t="s">
        <v>148</v>
      </c>
      <c r="I818" s="165" t="s">
        <v>148</v>
      </c>
      <c r="J818" s="165" t="s">
        <v>16</v>
      </c>
      <c r="K818" s="165" t="s">
        <v>16</v>
      </c>
      <c r="L818" s="165" t="s">
        <v>16</v>
      </c>
      <c r="M818" s="165" t="s">
        <v>16</v>
      </c>
      <c r="N818" s="165" t="s">
        <v>148</v>
      </c>
      <c r="O818" s="165" t="s">
        <v>148</v>
      </c>
      <c r="P818" s="165" t="s">
        <v>148</v>
      </c>
      <c r="Q818" s="165" t="s">
        <v>16</v>
      </c>
      <c r="R818" s="165" t="s">
        <v>16</v>
      </c>
      <c r="S818" s="165" t="s">
        <v>148</v>
      </c>
      <c r="T818" s="165" t="s">
        <v>16</v>
      </c>
      <c r="U818" s="165" t="s">
        <v>16</v>
      </c>
      <c r="V818" s="165" t="s">
        <v>16</v>
      </c>
      <c r="W818" s="165" t="s">
        <v>16</v>
      </c>
      <c r="X818" s="165" t="s">
        <v>148</v>
      </c>
      <c r="Y818" s="165" t="s">
        <v>16</v>
      </c>
      <c r="Z818" s="165" t="s">
        <v>16</v>
      </c>
      <c r="AA818" s="165" t="s">
        <v>16</v>
      </c>
      <c r="AB818" s="165" t="s">
        <v>16</v>
      </c>
      <c r="AC818" s="165" t="s">
        <v>16</v>
      </c>
      <c r="AD818" s="165" t="s">
        <v>148</v>
      </c>
      <c r="AE818" s="165"/>
      <c r="AF818" s="165"/>
    </row>
    <row r="819" spans="1:32" x14ac:dyDescent="0.3">
      <c r="A819" s="165" t="s">
        <v>1394</v>
      </c>
      <c r="B819" s="165" t="s">
        <v>14</v>
      </c>
      <c r="C819" s="165" t="s">
        <v>1380</v>
      </c>
      <c r="D819" s="165" t="s">
        <v>15</v>
      </c>
      <c r="E819" s="157">
        <v>41181</v>
      </c>
      <c r="F819" s="165" t="s">
        <v>16</v>
      </c>
      <c r="G819" s="165" t="s">
        <v>16</v>
      </c>
      <c r="H819" s="165" t="s">
        <v>148</v>
      </c>
      <c r="I819" s="165" t="s">
        <v>16</v>
      </c>
      <c r="J819" s="165" t="s">
        <v>16</v>
      </c>
      <c r="K819" s="165" t="s">
        <v>16</v>
      </c>
      <c r="L819" s="165" t="s">
        <v>16</v>
      </c>
      <c r="M819" s="165" t="s">
        <v>16</v>
      </c>
      <c r="N819" s="165" t="s">
        <v>148</v>
      </c>
      <c r="O819" s="165" t="s">
        <v>16</v>
      </c>
      <c r="P819" s="165" t="s">
        <v>16</v>
      </c>
      <c r="Q819" s="165" t="s">
        <v>16</v>
      </c>
      <c r="R819" s="165" t="s">
        <v>148</v>
      </c>
      <c r="S819" s="165" t="s">
        <v>16</v>
      </c>
      <c r="T819" s="165" t="s">
        <v>16</v>
      </c>
      <c r="U819" s="165" t="s">
        <v>148</v>
      </c>
      <c r="V819" s="165" t="s">
        <v>16</v>
      </c>
      <c r="W819" s="165" t="s">
        <v>16</v>
      </c>
      <c r="X819" s="165" t="s">
        <v>16</v>
      </c>
      <c r="Y819" s="165" t="s">
        <v>16</v>
      </c>
      <c r="Z819" s="165" t="s">
        <v>16</v>
      </c>
      <c r="AA819" s="165" t="s">
        <v>16</v>
      </c>
      <c r="AB819" s="165" t="s">
        <v>16</v>
      </c>
      <c r="AC819" s="165" t="s">
        <v>148</v>
      </c>
      <c r="AD819" s="165" t="s">
        <v>16</v>
      </c>
      <c r="AE819" s="165" t="s">
        <v>1395</v>
      </c>
      <c r="AF819" s="165" t="s">
        <v>1396</v>
      </c>
    </row>
    <row r="820" spans="1:32" x14ac:dyDescent="0.3">
      <c r="A820" s="165" t="s">
        <v>1397</v>
      </c>
      <c r="B820" s="165" t="s">
        <v>14</v>
      </c>
      <c r="C820" s="165" t="s">
        <v>1380</v>
      </c>
      <c r="D820" s="165" t="s">
        <v>15</v>
      </c>
      <c r="E820" s="157">
        <v>41181</v>
      </c>
      <c r="F820" s="165" t="s">
        <v>16</v>
      </c>
      <c r="G820" s="165" t="s">
        <v>148</v>
      </c>
      <c r="H820" s="165" t="s">
        <v>16</v>
      </c>
      <c r="I820" s="165" t="s">
        <v>150</v>
      </c>
      <c r="J820" s="165" t="s">
        <v>148</v>
      </c>
      <c r="K820" s="165" t="s">
        <v>16</v>
      </c>
      <c r="L820" s="165" t="s">
        <v>16</v>
      </c>
      <c r="M820" s="165" t="s">
        <v>16</v>
      </c>
      <c r="N820" s="165" t="s">
        <v>148</v>
      </c>
      <c r="O820" s="165" t="s">
        <v>148</v>
      </c>
      <c r="P820" s="165" t="s">
        <v>148</v>
      </c>
      <c r="Q820" s="165" t="s">
        <v>16</v>
      </c>
      <c r="R820" s="165" t="s">
        <v>16</v>
      </c>
      <c r="S820" s="165" t="s">
        <v>16</v>
      </c>
      <c r="T820" s="165" t="s">
        <v>16</v>
      </c>
      <c r="U820" s="165" t="s">
        <v>148</v>
      </c>
      <c r="V820" s="165" t="s">
        <v>16</v>
      </c>
      <c r="W820" s="165" t="s">
        <v>16</v>
      </c>
      <c r="X820" s="165" t="s">
        <v>16</v>
      </c>
      <c r="Y820" s="165" t="s">
        <v>16</v>
      </c>
      <c r="Z820" s="165" t="s">
        <v>16</v>
      </c>
      <c r="AA820" s="165" t="s">
        <v>16</v>
      </c>
      <c r="AB820" s="165" t="s">
        <v>16</v>
      </c>
      <c r="AC820" s="165" t="s">
        <v>148</v>
      </c>
      <c r="AD820" s="165" t="s">
        <v>16</v>
      </c>
      <c r="AE820" s="165" t="s">
        <v>1388</v>
      </c>
      <c r="AF820" s="165" t="s">
        <v>1398</v>
      </c>
    </row>
    <row r="821" spans="1:32" x14ac:dyDescent="0.3">
      <c r="A821" s="165" t="s">
        <v>1399</v>
      </c>
      <c r="B821" s="165" t="s">
        <v>14</v>
      </c>
      <c r="C821" s="165" t="s">
        <v>1380</v>
      </c>
      <c r="D821" s="165" t="s">
        <v>15</v>
      </c>
      <c r="E821" s="157">
        <v>41181</v>
      </c>
      <c r="F821" s="165" t="s">
        <v>16</v>
      </c>
      <c r="G821" s="165" t="s">
        <v>16</v>
      </c>
      <c r="H821" s="165" t="s">
        <v>16</v>
      </c>
      <c r="I821" s="165" t="s">
        <v>16</v>
      </c>
      <c r="J821" s="165" t="s">
        <v>16</v>
      </c>
      <c r="K821" s="165" t="s">
        <v>16</v>
      </c>
      <c r="L821" s="165" t="s">
        <v>16</v>
      </c>
      <c r="M821" s="165" t="s">
        <v>16</v>
      </c>
      <c r="N821" s="165" t="s">
        <v>148</v>
      </c>
      <c r="O821" s="165" t="s">
        <v>16</v>
      </c>
      <c r="P821" s="165" t="s">
        <v>16</v>
      </c>
      <c r="Q821" s="165" t="s">
        <v>16</v>
      </c>
      <c r="R821" s="165" t="s">
        <v>16</v>
      </c>
      <c r="S821" s="165" t="s">
        <v>16</v>
      </c>
      <c r="T821" s="165" t="s">
        <v>16</v>
      </c>
      <c r="U821" s="165" t="s">
        <v>16</v>
      </c>
      <c r="V821" s="165" t="s">
        <v>16</v>
      </c>
      <c r="W821" s="165" t="s">
        <v>16</v>
      </c>
      <c r="X821" s="165" t="s">
        <v>16</v>
      </c>
      <c r="Y821" s="165" t="s">
        <v>16</v>
      </c>
      <c r="Z821" s="165" t="s">
        <v>16</v>
      </c>
      <c r="AA821" s="165" t="s">
        <v>16</v>
      </c>
      <c r="AB821" s="165" t="s">
        <v>16</v>
      </c>
      <c r="AC821" s="165" t="s">
        <v>148</v>
      </c>
      <c r="AD821" s="165" t="s">
        <v>16</v>
      </c>
      <c r="AE821" s="165" t="s">
        <v>1400</v>
      </c>
      <c r="AF821" s="165"/>
    </row>
    <row r="822" spans="1:32" x14ac:dyDescent="0.3">
      <c r="A822" s="165" t="s">
        <v>1401</v>
      </c>
      <c r="B822" s="165" t="s">
        <v>14</v>
      </c>
      <c r="C822" s="165" t="s">
        <v>1380</v>
      </c>
      <c r="D822" s="165" t="s">
        <v>15</v>
      </c>
      <c r="E822" s="157">
        <v>41181</v>
      </c>
      <c r="F822" s="165" t="s">
        <v>16</v>
      </c>
      <c r="G822" s="165" t="s">
        <v>16</v>
      </c>
      <c r="H822" s="165" t="s">
        <v>16</v>
      </c>
      <c r="I822" s="165" t="s">
        <v>16</v>
      </c>
      <c r="J822" s="165" t="s">
        <v>16</v>
      </c>
      <c r="K822" s="165" t="s">
        <v>16</v>
      </c>
      <c r="L822" s="165" t="s">
        <v>16</v>
      </c>
      <c r="M822" s="165" t="s">
        <v>16</v>
      </c>
      <c r="N822" s="165" t="s">
        <v>16</v>
      </c>
      <c r="O822" s="165" t="s">
        <v>16</v>
      </c>
      <c r="P822" s="165" t="s">
        <v>16</v>
      </c>
      <c r="Q822" s="165" t="s">
        <v>16</v>
      </c>
      <c r="R822" s="165" t="s">
        <v>16</v>
      </c>
      <c r="S822" s="165" t="s">
        <v>16</v>
      </c>
      <c r="T822" s="165" t="s">
        <v>16</v>
      </c>
      <c r="U822" s="165" t="s">
        <v>148</v>
      </c>
      <c r="V822" s="165" t="s">
        <v>16</v>
      </c>
      <c r="W822" s="165" t="s">
        <v>16</v>
      </c>
      <c r="X822" s="165" t="s">
        <v>16</v>
      </c>
      <c r="Y822" s="165" t="s">
        <v>148</v>
      </c>
      <c r="Z822" s="165" t="s">
        <v>16</v>
      </c>
      <c r="AA822" s="165" t="s">
        <v>16</v>
      </c>
      <c r="AB822" s="165" t="s">
        <v>16</v>
      </c>
      <c r="AC822" s="165" t="s">
        <v>16</v>
      </c>
      <c r="AD822" s="165" t="s">
        <v>16</v>
      </c>
      <c r="AE822" s="165" t="s">
        <v>1383</v>
      </c>
      <c r="AF822" s="165"/>
    </row>
    <row r="823" spans="1:32" x14ac:dyDescent="0.3">
      <c r="A823" s="165" t="s">
        <v>1402</v>
      </c>
      <c r="B823" s="165" t="s">
        <v>14</v>
      </c>
      <c r="C823" s="165" t="s">
        <v>1380</v>
      </c>
      <c r="D823" s="165" t="s">
        <v>15</v>
      </c>
      <c r="E823" s="157">
        <v>41181</v>
      </c>
      <c r="F823" s="165" t="s">
        <v>16</v>
      </c>
      <c r="G823" s="165" t="s">
        <v>16</v>
      </c>
      <c r="H823" s="165" t="s">
        <v>16</v>
      </c>
      <c r="I823" s="165" t="s">
        <v>148</v>
      </c>
      <c r="J823" s="165" t="s">
        <v>16</v>
      </c>
      <c r="K823" s="165" t="s">
        <v>148</v>
      </c>
      <c r="L823" s="165" t="s">
        <v>16</v>
      </c>
      <c r="M823" s="165" t="s">
        <v>16</v>
      </c>
      <c r="N823" s="165" t="s">
        <v>148</v>
      </c>
      <c r="O823" s="165" t="s">
        <v>16</v>
      </c>
      <c r="P823" s="165" t="s">
        <v>16</v>
      </c>
      <c r="Q823" s="165" t="s">
        <v>16</v>
      </c>
      <c r="R823" s="165" t="s">
        <v>148</v>
      </c>
      <c r="S823" s="165" t="s">
        <v>16</v>
      </c>
      <c r="T823" s="165" t="s">
        <v>16</v>
      </c>
      <c r="U823" s="165" t="s">
        <v>16</v>
      </c>
      <c r="V823" s="165" t="s">
        <v>16</v>
      </c>
      <c r="W823" s="165" t="s">
        <v>16</v>
      </c>
      <c r="X823" s="165" t="s">
        <v>16</v>
      </c>
      <c r="Y823" s="165" t="s">
        <v>16</v>
      </c>
      <c r="Z823" s="165" t="s">
        <v>16</v>
      </c>
      <c r="AA823" s="165" t="s">
        <v>16</v>
      </c>
      <c r="AB823" s="165" t="s">
        <v>16</v>
      </c>
      <c r="AC823" s="165" t="s">
        <v>16</v>
      </c>
      <c r="AD823" s="165" t="s">
        <v>16</v>
      </c>
      <c r="AE823" s="165" t="s">
        <v>1383</v>
      </c>
      <c r="AF823" s="165"/>
    </row>
    <row r="824" spans="1:32" x14ac:dyDescent="0.3">
      <c r="A824" s="165" t="s">
        <v>1403</v>
      </c>
      <c r="B824" s="165" t="s">
        <v>14</v>
      </c>
      <c r="C824" s="165" t="s">
        <v>1380</v>
      </c>
      <c r="D824" s="165" t="s">
        <v>15</v>
      </c>
      <c r="E824" s="157">
        <v>41181</v>
      </c>
      <c r="F824" s="165" t="s">
        <v>149</v>
      </c>
      <c r="G824" s="165" t="s">
        <v>16</v>
      </c>
      <c r="H824" s="165" t="s">
        <v>16</v>
      </c>
      <c r="I824" s="165" t="s">
        <v>149</v>
      </c>
      <c r="J824" s="165" t="s">
        <v>149</v>
      </c>
      <c r="K824" s="165" t="s">
        <v>16</v>
      </c>
      <c r="L824" s="165" t="s">
        <v>16</v>
      </c>
      <c r="M824" s="165" t="s">
        <v>16</v>
      </c>
      <c r="N824" s="165" t="s">
        <v>149</v>
      </c>
      <c r="O824" s="165" t="s">
        <v>149</v>
      </c>
      <c r="P824" s="165" t="s">
        <v>149</v>
      </c>
      <c r="Q824" s="165" t="s">
        <v>16</v>
      </c>
      <c r="R824" s="165" t="s">
        <v>16</v>
      </c>
      <c r="S824" s="165" t="s">
        <v>149</v>
      </c>
      <c r="T824" s="165" t="s">
        <v>16</v>
      </c>
      <c r="U824" s="165" t="s">
        <v>16</v>
      </c>
      <c r="V824" s="165" t="s">
        <v>149</v>
      </c>
      <c r="W824" s="165" t="s">
        <v>16</v>
      </c>
      <c r="X824" s="165" t="s">
        <v>16</v>
      </c>
      <c r="Y824" s="165" t="s">
        <v>16</v>
      </c>
      <c r="Z824" s="165" t="s">
        <v>149</v>
      </c>
      <c r="AA824" s="165" t="s">
        <v>149</v>
      </c>
      <c r="AB824" s="165" t="s">
        <v>150</v>
      </c>
      <c r="AC824" s="165" t="s">
        <v>16</v>
      </c>
      <c r="AD824" s="165" t="s">
        <v>16</v>
      </c>
      <c r="AE824" s="165" t="s">
        <v>1383</v>
      </c>
      <c r="AF824" s="165" t="s">
        <v>1404</v>
      </c>
    </row>
    <row r="825" spans="1:32" x14ac:dyDescent="0.3">
      <c r="A825" s="165" t="s">
        <v>1405</v>
      </c>
      <c r="B825" s="165" t="s">
        <v>14</v>
      </c>
      <c r="C825" s="165" t="s">
        <v>1380</v>
      </c>
      <c r="D825" s="165" t="s">
        <v>15</v>
      </c>
      <c r="E825" s="157">
        <v>41181</v>
      </c>
      <c r="F825" s="165" t="s">
        <v>149</v>
      </c>
      <c r="G825" s="165" t="s">
        <v>16</v>
      </c>
      <c r="H825" s="165" t="s">
        <v>149</v>
      </c>
      <c r="I825" s="165" t="s">
        <v>149</v>
      </c>
      <c r="J825" s="165" t="s">
        <v>148</v>
      </c>
      <c r="K825" s="165" t="s">
        <v>149</v>
      </c>
      <c r="L825" s="165" t="s">
        <v>149</v>
      </c>
      <c r="M825" s="165" t="s">
        <v>16</v>
      </c>
      <c r="N825" s="165" t="s">
        <v>148</v>
      </c>
      <c r="O825" s="165" t="s">
        <v>148</v>
      </c>
      <c r="P825" s="165" t="s">
        <v>148</v>
      </c>
      <c r="Q825" s="165" t="s">
        <v>16</v>
      </c>
      <c r="R825" s="165" t="s">
        <v>16</v>
      </c>
      <c r="S825" s="165" t="s">
        <v>148</v>
      </c>
      <c r="T825" s="165" t="s">
        <v>148</v>
      </c>
      <c r="U825" s="165" t="s">
        <v>148</v>
      </c>
      <c r="V825" s="165" t="s">
        <v>148</v>
      </c>
      <c r="W825" s="165" t="s">
        <v>16</v>
      </c>
      <c r="X825" s="165" t="s">
        <v>16</v>
      </c>
      <c r="Y825" s="165" t="s">
        <v>16</v>
      </c>
      <c r="Z825" s="165" t="s">
        <v>148</v>
      </c>
      <c r="AA825" s="165" t="s">
        <v>148</v>
      </c>
      <c r="AB825" s="165" t="s">
        <v>148</v>
      </c>
      <c r="AC825" s="165" t="s">
        <v>16</v>
      </c>
      <c r="AD825" s="165" t="s">
        <v>148</v>
      </c>
      <c r="AE825" s="165" t="s">
        <v>1381</v>
      </c>
      <c r="AF825" s="165"/>
    </row>
    <row r="826" spans="1:32" x14ac:dyDescent="0.3">
      <c r="A826" s="165" t="s">
        <v>1406</v>
      </c>
      <c r="B826" s="165" t="s">
        <v>14</v>
      </c>
      <c r="C826" s="165" t="s">
        <v>1380</v>
      </c>
      <c r="D826" s="165" t="s">
        <v>15</v>
      </c>
      <c r="E826" s="157">
        <v>41181</v>
      </c>
      <c r="F826" s="165" t="s">
        <v>16</v>
      </c>
      <c r="G826" s="165" t="s">
        <v>148</v>
      </c>
      <c r="H826" s="165" t="s">
        <v>148</v>
      </c>
      <c r="I826" s="165" t="s">
        <v>148</v>
      </c>
      <c r="J826" s="165" t="s">
        <v>148</v>
      </c>
      <c r="K826" s="165" t="s">
        <v>16</v>
      </c>
      <c r="L826" s="165" t="s">
        <v>16</v>
      </c>
      <c r="M826" s="165" t="s">
        <v>16</v>
      </c>
      <c r="N826" s="165" t="s">
        <v>148</v>
      </c>
      <c r="O826" s="165" t="s">
        <v>16</v>
      </c>
      <c r="P826" s="165" t="s">
        <v>148</v>
      </c>
      <c r="Q826" s="165" t="s">
        <v>16</v>
      </c>
      <c r="R826" s="165" t="s">
        <v>16</v>
      </c>
      <c r="S826" s="165" t="s">
        <v>16</v>
      </c>
      <c r="T826" s="165" t="s">
        <v>148</v>
      </c>
      <c r="U826" s="165" t="s">
        <v>16</v>
      </c>
      <c r="V826" s="165" t="s">
        <v>148</v>
      </c>
      <c r="W826" s="165" t="s">
        <v>148</v>
      </c>
      <c r="X826" s="165" t="s">
        <v>16</v>
      </c>
      <c r="Y826" s="165" t="s">
        <v>148</v>
      </c>
      <c r="Z826" s="165" t="s">
        <v>16</v>
      </c>
      <c r="AA826" s="165" t="s">
        <v>16</v>
      </c>
      <c r="AB826" s="165" t="s">
        <v>16</v>
      </c>
      <c r="AC826" s="165" t="s">
        <v>148</v>
      </c>
      <c r="AD826" s="165" t="s">
        <v>148</v>
      </c>
      <c r="AE826" s="165" t="s">
        <v>1383</v>
      </c>
      <c r="AF826" s="165" t="s">
        <v>1407</v>
      </c>
    </row>
    <row r="827" spans="1:32" x14ac:dyDescent="0.3">
      <c r="A827" s="165" t="s">
        <v>1408</v>
      </c>
      <c r="B827" s="165" t="s">
        <v>14</v>
      </c>
      <c r="C827" s="165" t="s">
        <v>1380</v>
      </c>
      <c r="D827" s="165" t="s">
        <v>15</v>
      </c>
      <c r="E827" s="157">
        <v>41181</v>
      </c>
      <c r="F827" s="165" t="s">
        <v>16</v>
      </c>
      <c r="G827" s="165" t="s">
        <v>16</v>
      </c>
      <c r="H827" s="165" t="s">
        <v>16</v>
      </c>
      <c r="I827" s="165" t="s">
        <v>16</v>
      </c>
      <c r="J827" s="165" t="s">
        <v>16</v>
      </c>
      <c r="K827" s="165" t="s">
        <v>149</v>
      </c>
      <c r="L827" s="165" t="s">
        <v>16</v>
      </c>
      <c r="M827" s="165" t="s">
        <v>16</v>
      </c>
      <c r="N827" s="165" t="s">
        <v>16</v>
      </c>
      <c r="O827" s="165" t="s">
        <v>16</v>
      </c>
      <c r="P827" s="165" t="s">
        <v>16</v>
      </c>
      <c r="Q827" s="165" t="s">
        <v>16</v>
      </c>
      <c r="R827" s="165" t="s">
        <v>16</v>
      </c>
      <c r="S827" s="165" t="s">
        <v>16</v>
      </c>
      <c r="T827" s="165" t="s">
        <v>16</v>
      </c>
      <c r="U827" s="165" t="s">
        <v>16</v>
      </c>
      <c r="V827" s="165" t="s">
        <v>16</v>
      </c>
      <c r="W827" s="165" t="s">
        <v>16</v>
      </c>
      <c r="X827" s="165" t="s">
        <v>16</v>
      </c>
      <c r="Y827" s="165" t="s">
        <v>16</v>
      </c>
      <c r="Z827" s="165" t="s">
        <v>16</v>
      </c>
      <c r="AA827" s="165" t="s">
        <v>16</v>
      </c>
      <c r="AB827" s="165" t="s">
        <v>16</v>
      </c>
      <c r="AC827" s="165" t="s">
        <v>16</v>
      </c>
      <c r="AD827" s="165" t="s">
        <v>16</v>
      </c>
      <c r="AE827" s="165" t="s">
        <v>1388</v>
      </c>
      <c r="AF827" s="165"/>
    </row>
    <row r="828" spans="1:32" x14ac:dyDescent="0.3">
      <c r="A828" s="165" t="s">
        <v>1409</v>
      </c>
      <c r="B828" s="165" t="s">
        <v>14</v>
      </c>
      <c r="C828" s="165" t="s">
        <v>1380</v>
      </c>
      <c r="D828" s="165" t="s">
        <v>15</v>
      </c>
      <c r="E828" s="157">
        <v>41181</v>
      </c>
      <c r="F828" s="165" t="s">
        <v>148</v>
      </c>
      <c r="G828" s="165" t="s">
        <v>148</v>
      </c>
      <c r="H828" s="165" t="s">
        <v>149</v>
      </c>
      <c r="I828" s="165" t="s">
        <v>148</v>
      </c>
      <c r="J828" s="165" t="s">
        <v>148</v>
      </c>
      <c r="K828" s="165" t="s">
        <v>16</v>
      </c>
      <c r="L828" s="165" t="s">
        <v>16</v>
      </c>
      <c r="M828" s="165" t="s">
        <v>148</v>
      </c>
      <c r="N828" s="165" t="s">
        <v>148</v>
      </c>
      <c r="O828" s="165" t="s">
        <v>16</v>
      </c>
      <c r="P828" s="165" t="s">
        <v>148</v>
      </c>
      <c r="Q828" s="165" t="s">
        <v>16</v>
      </c>
      <c r="R828" s="165" t="s">
        <v>16</v>
      </c>
      <c r="S828" s="165" t="s">
        <v>16</v>
      </c>
      <c r="T828" s="165" t="s">
        <v>16</v>
      </c>
      <c r="U828" s="165" t="s">
        <v>16</v>
      </c>
      <c r="V828" s="165" t="s">
        <v>16</v>
      </c>
      <c r="W828" s="165" t="s">
        <v>148</v>
      </c>
      <c r="X828" s="165" t="s">
        <v>16</v>
      </c>
      <c r="Y828" s="165" t="s">
        <v>16</v>
      </c>
      <c r="Z828" s="165" t="s">
        <v>16</v>
      </c>
      <c r="AA828" s="165" t="s">
        <v>16</v>
      </c>
      <c r="AB828" s="165" t="s">
        <v>16</v>
      </c>
      <c r="AC828" s="165" t="s">
        <v>16</v>
      </c>
      <c r="AD828" s="165" t="s">
        <v>16</v>
      </c>
      <c r="AE828" s="165"/>
      <c r="AF828" s="165"/>
    </row>
    <row r="829" spans="1:32" x14ac:dyDescent="0.3">
      <c r="A829" s="165" t="s">
        <v>1410</v>
      </c>
      <c r="B829" s="165" t="s">
        <v>14</v>
      </c>
      <c r="C829" s="165" t="s">
        <v>1380</v>
      </c>
      <c r="D829" s="165" t="s">
        <v>15</v>
      </c>
      <c r="E829" s="157">
        <v>41181</v>
      </c>
      <c r="F829" s="165" t="s">
        <v>16</v>
      </c>
      <c r="G829" s="165" t="s">
        <v>148</v>
      </c>
      <c r="H829" s="165" t="s">
        <v>149</v>
      </c>
      <c r="I829" s="165" t="s">
        <v>16</v>
      </c>
      <c r="J829" s="165" t="s">
        <v>16</v>
      </c>
      <c r="K829" s="165" t="s">
        <v>16</v>
      </c>
      <c r="L829" s="165" t="s">
        <v>16</v>
      </c>
      <c r="M829" s="165" t="s">
        <v>16</v>
      </c>
      <c r="N829" s="165" t="s">
        <v>16</v>
      </c>
      <c r="O829" s="165" t="s">
        <v>16</v>
      </c>
      <c r="P829" s="165" t="s">
        <v>16</v>
      </c>
      <c r="Q829" s="165" t="s">
        <v>16</v>
      </c>
      <c r="R829" s="165" t="s">
        <v>16</v>
      </c>
      <c r="S829" s="165" t="s">
        <v>16</v>
      </c>
      <c r="T829" s="165" t="s">
        <v>16</v>
      </c>
      <c r="U829" s="165" t="s">
        <v>149</v>
      </c>
      <c r="V829" s="165" t="s">
        <v>16</v>
      </c>
      <c r="W829" s="165" t="s">
        <v>16</v>
      </c>
      <c r="X829" s="165" t="s">
        <v>16</v>
      </c>
      <c r="Y829" s="165" t="s">
        <v>16</v>
      </c>
      <c r="Z829" s="165" t="s">
        <v>16</v>
      </c>
      <c r="AA829" s="165" t="s">
        <v>16</v>
      </c>
      <c r="AB829" s="165" t="s">
        <v>16</v>
      </c>
      <c r="AC829" s="165" t="s">
        <v>16</v>
      </c>
      <c r="AD829" s="165" t="s">
        <v>16</v>
      </c>
      <c r="AE829" s="165" t="s">
        <v>1388</v>
      </c>
      <c r="AF829" s="165"/>
    </row>
    <row r="830" spans="1:32" x14ac:dyDescent="0.3">
      <c r="A830" s="165" t="s">
        <v>1411</v>
      </c>
      <c r="B830" s="165" t="s">
        <v>14</v>
      </c>
      <c r="C830" s="165" t="s">
        <v>1380</v>
      </c>
      <c r="D830" s="165" t="s">
        <v>15</v>
      </c>
      <c r="E830" s="157">
        <v>41181</v>
      </c>
      <c r="F830" s="165" t="s">
        <v>16</v>
      </c>
      <c r="G830" s="165" t="s">
        <v>16</v>
      </c>
      <c r="H830" s="165" t="s">
        <v>16</v>
      </c>
      <c r="I830" s="165" t="s">
        <v>16</v>
      </c>
      <c r="J830" s="165" t="s">
        <v>16</v>
      </c>
      <c r="K830" s="165" t="s">
        <v>16</v>
      </c>
      <c r="L830" s="165" t="s">
        <v>16</v>
      </c>
      <c r="M830" s="165" t="s">
        <v>16</v>
      </c>
      <c r="N830" s="165" t="s">
        <v>16</v>
      </c>
      <c r="O830" s="165" t="s">
        <v>16</v>
      </c>
      <c r="P830" s="165" t="s">
        <v>16</v>
      </c>
      <c r="Q830" s="165" t="s">
        <v>16</v>
      </c>
      <c r="R830" s="165" t="s">
        <v>16</v>
      </c>
      <c r="S830" s="165" t="s">
        <v>16</v>
      </c>
      <c r="T830" s="165" t="s">
        <v>16</v>
      </c>
      <c r="U830" s="165" t="s">
        <v>16</v>
      </c>
      <c r="V830" s="165" t="s">
        <v>16</v>
      </c>
      <c r="W830" s="165" t="s">
        <v>16</v>
      </c>
      <c r="X830" s="165" t="s">
        <v>16</v>
      </c>
      <c r="Y830" s="165" t="s">
        <v>16</v>
      </c>
      <c r="Z830" s="165" t="s">
        <v>16</v>
      </c>
      <c r="AA830" s="165" t="s">
        <v>16</v>
      </c>
      <c r="AB830" s="165" t="s">
        <v>16</v>
      </c>
      <c r="AC830" s="165" t="s">
        <v>16</v>
      </c>
      <c r="AD830" s="165" t="s">
        <v>16</v>
      </c>
      <c r="AE830" s="165" t="s">
        <v>1383</v>
      </c>
      <c r="AF830" s="165"/>
    </row>
    <row r="831" spans="1:32" x14ac:dyDescent="0.3">
      <c r="A831" s="165" t="s">
        <v>1412</v>
      </c>
      <c r="B831" s="165" t="s">
        <v>14</v>
      </c>
      <c r="C831" s="165" t="s">
        <v>1380</v>
      </c>
      <c r="D831" s="165" t="s">
        <v>15</v>
      </c>
      <c r="E831" s="157">
        <v>41181</v>
      </c>
      <c r="F831" s="165" t="s">
        <v>16</v>
      </c>
      <c r="G831" s="165" t="s">
        <v>148</v>
      </c>
      <c r="H831" s="165" t="s">
        <v>149</v>
      </c>
      <c r="I831" s="165" t="s">
        <v>16</v>
      </c>
      <c r="J831" s="165" t="s">
        <v>16</v>
      </c>
      <c r="K831" s="165" t="s">
        <v>16</v>
      </c>
      <c r="L831" s="165" t="s">
        <v>149</v>
      </c>
      <c r="M831" s="165" t="s">
        <v>16</v>
      </c>
      <c r="N831" s="165" t="s">
        <v>148</v>
      </c>
      <c r="O831" s="165" t="s">
        <v>16</v>
      </c>
      <c r="P831" s="165" t="s">
        <v>148</v>
      </c>
      <c r="Q831" s="165" t="s">
        <v>16</v>
      </c>
      <c r="R831" s="165" t="s">
        <v>16</v>
      </c>
      <c r="S831" s="165" t="s">
        <v>16</v>
      </c>
      <c r="T831" s="165" t="s">
        <v>16</v>
      </c>
      <c r="U831" s="165" t="s">
        <v>148</v>
      </c>
      <c r="V831" s="165" t="s">
        <v>16</v>
      </c>
      <c r="W831" s="165" t="s">
        <v>16</v>
      </c>
      <c r="X831" s="165" t="s">
        <v>16</v>
      </c>
      <c r="Y831" s="165" t="s">
        <v>148</v>
      </c>
      <c r="Z831" s="165" t="s">
        <v>16</v>
      </c>
      <c r="AA831" s="165" t="s">
        <v>16</v>
      </c>
      <c r="AB831" s="165" t="s">
        <v>16</v>
      </c>
      <c r="AC831" s="165" t="s">
        <v>148</v>
      </c>
      <c r="AD831" s="165" t="s">
        <v>16</v>
      </c>
      <c r="AE831" s="165" t="s">
        <v>1383</v>
      </c>
      <c r="AF831" s="165"/>
    </row>
    <row r="832" spans="1:32" x14ac:dyDescent="0.3">
      <c r="A832" s="165" t="s">
        <v>1413</v>
      </c>
      <c r="B832" s="165" t="s">
        <v>14</v>
      </c>
      <c r="C832" s="165" t="s">
        <v>1380</v>
      </c>
      <c r="D832" s="165" t="s">
        <v>15</v>
      </c>
      <c r="E832" s="157">
        <v>41181</v>
      </c>
      <c r="F832" s="165" t="s">
        <v>16</v>
      </c>
      <c r="G832" s="165" t="s">
        <v>16</v>
      </c>
      <c r="H832" s="165" t="s">
        <v>16</v>
      </c>
      <c r="I832" s="165" t="s">
        <v>16</v>
      </c>
      <c r="J832" s="165" t="s">
        <v>16</v>
      </c>
      <c r="K832" s="165" t="s">
        <v>16</v>
      </c>
      <c r="L832" s="165" t="s">
        <v>16</v>
      </c>
      <c r="M832" s="165" t="s">
        <v>16</v>
      </c>
      <c r="N832" s="165" t="s">
        <v>16</v>
      </c>
      <c r="O832" s="165" t="s">
        <v>16</v>
      </c>
      <c r="P832" s="165" t="s">
        <v>16</v>
      </c>
      <c r="Q832" s="165" t="s">
        <v>16</v>
      </c>
      <c r="R832" s="165" t="s">
        <v>16</v>
      </c>
      <c r="S832" s="165" t="s">
        <v>16</v>
      </c>
      <c r="T832" s="165" t="s">
        <v>16</v>
      </c>
      <c r="U832" s="165" t="s">
        <v>16</v>
      </c>
      <c r="V832" s="165" t="s">
        <v>16</v>
      </c>
      <c r="W832" s="165" t="s">
        <v>16</v>
      </c>
      <c r="X832" s="165" t="s">
        <v>16</v>
      </c>
      <c r="Y832" s="165" t="s">
        <v>16</v>
      </c>
      <c r="Z832" s="165" t="s">
        <v>16</v>
      </c>
      <c r="AA832" s="165" t="s">
        <v>16</v>
      </c>
      <c r="AB832" s="165" t="s">
        <v>16</v>
      </c>
      <c r="AC832" s="165" t="s">
        <v>16</v>
      </c>
      <c r="AD832" s="165" t="s">
        <v>16</v>
      </c>
      <c r="AE832" s="165" t="s">
        <v>1383</v>
      </c>
      <c r="AF832" s="165"/>
    </row>
    <row r="833" spans="1:39" x14ac:dyDescent="0.3">
      <c r="A833" s="165" t="s">
        <v>1414</v>
      </c>
      <c r="B833" s="165" t="s">
        <v>14</v>
      </c>
      <c r="C833" s="165" t="s">
        <v>1380</v>
      </c>
      <c r="D833" s="165" t="s">
        <v>15</v>
      </c>
      <c r="E833" s="157">
        <v>41181</v>
      </c>
      <c r="F833" s="165" t="s">
        <v>148</v>
      </c>
      <c r="G833" s="165" t="s">
        <v>148</v>
      </c>
      <c r="H833" s="165" t="s">
        <v>148</v>
      </c>
      <c r="I833" s="165" t="s">
        <v>148</v>
      </c>
      <c r="J833" s="165" t="s">
        <v>148</v>
      </c>
      <c r="K833" s="165" t="s">
        <v>148</v>
      </c>
      <c r="L833" s="165" t="s">
        <v>148</v>
      </c>
      <c r="M833" s="165" t="s">
        <v>150</v>
      </c>
      <c r="N833" s="165" t="s">
        <v>148</v>
      </c>
      <c r="O833" s="165" t="s">
        <v>148</v>
      </c>
      <c r="P833" s="165" t="s">
        <v>148</v>
      </c>
      <c r="Q833" s="165" t="s">
        <v>148</v>
      </c>
      <c r="R833" s="165" t="s">
        <v>148</v>
      </c>
      <c r="S833" s="165" t="s">
        <v>150</v>
      </c>
      <c r="T833" s="165" t="s">
        <v>148</v>
      </c>
      <c r="U833" s="165" t="s">
        <v>148</v>
      </c>
      <c r="V833" s="165" t="s">
        <v>148</v>
      </c>
      <c r="W833" s="165" t="s">
        <v>148</v>
      </c>
      <c r="X833" s="165" t="s">
        <v>150</v>
      </c>
      <c r="Y833" s="165" t="s">
        <v>148</v>
      </c>
      <c r="Z833" s="165" t="s">
        <v>148</v>
      </c>
      <c r="AA833" s="165" t="s">
        <v>148</v>
      </c>
      <c r="AB833" s="165" t="s">
        <v>16</v>
      </c>
      <c r="AC833" s="165" t="s">
        <v>148</v>
      </c>
      <c r="AD833" s="165" t="s">
        <v>16</v>
      </c>
      <c r="AE833" s="165" t="s">
        <v>1415</v>
      </c>
      <c r="AF833" s="165"/>
    </row>
    <row r="834" spans="1:39" x14ac:dyDescent="0.3">
      <c r="A834" s="165" t="s">
        <v>1416</v>
      </c>
      <c r="B834" s="165" t="s">
        <v>14</v>
      </c>
      <c r="C834" s="165" t="s">
        <v>1380</v>
      </c>
      <c r="D834" s="165" t="s">
        <v>15</v>
      </c>
      <c r="E834" s="157">
        <v>41181</v>
      </c>
      <c r="F834" s="165" t="s">
        <v>16</v>
      </c>
      <c r="G834" s="165" t="s">
        <v>16</v>
      </c>
      <c r="H834" s="165" t="s">
        <v>16</v>
      </c>
      <c r="I834" s="165" t="s">
        <v>16</v>
      </c>
      <c r="J834" s="165" t="s">
        <v>16</v>
      </c>
      <c r="K834" s="165" t="s">
        <v>16</v>
      </c>
      <c r="L834" s="165" t="s">
        <v>16</v>
      </c>
      <c r="M834" s="165" t="s">
        <v>16</v>
      </c>
      <c r="N834" s="165" t="s">
        <v>16</v>
      </c>
      <c r="O834" s="165" t="s">
        <v>16</v>
      </c>
      <c r="P834" s="165" t="s">
        <v>16</v>
      </c>
      <c r="Q834" s="165" t="s">
        <v>16</v>
      </c>
      <c r="R834" s="165" t="s">
        <v>16</v>
      </c>
      <c r="S834" s="165" t="s">
        <v>16</v>
      </c>
      <c r="T834" s="165" t="s">
        <v>16</v>
      </c>
      <c r="U834" s="165" t="s">
        <v>16</v>
      </c>
      <c r="V834" s="165" t="s">
        <v>16</v>
      </c>
      <c r="W834" s="165" t="s">
        <v>16</v>
      </c>
      <c r="X834" s="165" t="s">
        <v>16</v>
      </c>
      <c r="Y834" s="165" t="s">
        <v>16</v>
      </c>
      <c r="Z834" s="165" t="s">
        <v>16</v>
      </c>
      <c r="AA834" s="165" t="s">
        <v>16</v>
      </c>
      <c r="AB834" s="165" t="s">
        <v>16</v>
      </c>
      <c r="AC834" s="165" t="s">
        <v>16</v>
      </c>
      <c r="AD834" s="165" t="s">
        <v>16</v>
      </c>
      <c r="AE834" s="165"/>
      <c r="AF834" s="165"/>
    </row>
    <row r="835" spans="1:39" x14ac:dyDescent="0.3">
      <c r="A835" s="165" t="s">
        <v>1417</v>
      </c>
      <c r="B835" s="165" t="s">
        <v>14</v>
      </c>
      <c r="C835" s="165" t="s">
        <v>1380</v>
      </c>
      <c r="D835" s="165" t="s">
        <v>15</v>
      </c>
      <c r="E835" s="157">
        <v>41181</v>
      </c>
      <c r="F835" s="165" t="s">
        <v>16</v>
      </c>
      <c r="G835" s="165" t="s">
        <v>16</v>
      </c>
      <c r="H835" s="165" t="s">
        <v>16</v>
      </c>
      <c r="I835" s="165" t="s">
        <v>148</v>
      </c>
      <c r="J835" s="165" t="s">
        <v>16</v>
      </c>
      <c r="K835" s="165" t="s">
        <v>16</v>
      </c>
      <c r="L835" s="165" t="s">
        <v>16</v>
      </c>
      <c r="M835" s="165" t="s">
        <v>16</v>
      </c>
      <c r="N835" s="165" t="s">
        <v>148</v>
      </c>
      <c r="O835" s="165" t="s">
        <v>148</v>
      </c>
      <c r="P835" s="165" t="s">
        <v>16</v>
      </c>
      <c r="Q835" s="165" t="s">
        <v>16</v>
      </c>
      <c r="R835" s="165" t="s">
        <v>16</v>
      </c>
      <c r="S835" s="165" t="s">
        <v>16</v>
      </c>
      <c r="T835" s="165" t="s">
        <v>16</v>
      </c>
      <c r="U835" s="165" t="s">
        <v>16</v>
      </c>
      <c r="V835" s="165" t="s">
        <v>148</v>
      </c>
      <c r="W835" s="165" t="s">
        <v>148</v>
      </c>
      <c r="X835" s="165" t="s">
        <v>148</v>
      </c>
      <c r="Y835" s="165" t="s">
        <v>148</v>
      </c>
      <c r="Z835" s="165" t="s">
        <v>16</v>
      </c>
      <c r="AA835" s="165" t="s">
        <v>16</v>
      </c>
      <c r="AB835" s="165" t="s">
        <v>16</v>
      </c>
      <c r="AC835" s="165" t="s">
        <v>16</v>
      </c>
      <c r="AD835" s="165" t="s">
        <v>148</v>
      </c>
      <c r="AE835" s="165" t="s">
        <v>1383</v>
      </c>
      <c r="AF835" s="165"/>
    </row>
    <row r="836" spans="1:39" x14ac:dyDescent="0.3">
      <c r="A836" s="165" t="s">
        <v>1418</v>
      </c>
      <c r="B836" s="165" t="s">
        <v>14</v>
      </c>
      <c r="C836" s="165" t="s">
        <v>1380</v>
      </c>
      <c r="D836" s="165" t="s">
        <v>15</v>
      </c>
      <c r="E836" s="157">
        <v>41181</v>
      </c>
      <c r="F836" s="165" t="s">
        <v>16</v>
      </c>
      <c r="G836" s="165" t="s">
        <v>16</v>
      </c>
      <c r="H836" s="165" t="s">
        <v>16</v>
      </c>
      <c r="I836" s="165" t="s">
        <v>16</v>
      </c>
      <c r="J836" s="165" t="s">
        <v>16</v>
      </c>
      <c r="K836" s="165" t="s">
        <v>16</v>
      </c>
      <c r="L836" s="165" t="s">
        <v>16</v>
      </c>
      <c r="M836" s="165" t="s">
        <v>16</v>
      </c>
      <c r="N836" s="165" t="s">
        <v>16</v>
      </c>
      <c r="O836" s="165" t="s">
        <v>16</v>
      </c>
      <c r="P836" s="165" t="s">
        <v>16</v>
      </c>
      <c r="Q836" s="165" t="s">
        <v>16</v>
      </c>
      <c r="R836" s="165" t="s">
        <v>16</v>
      </c>
      <c r="S836" s="165" t="s">
        <v>16</v>
      </c>
      <c r="T836" s="165" t="s">
        <v>16</v>
      </c>
      <c r="U836" s="165" t="s">
        <v>16</v>
      </c>
      <c r="V836" s="165" t="s">
        <v>16</v>
      </c>
      <c r="W836" s="165" t="s">
        <v>16</v>
      </c>
      <c r="X836" s="165" t="s">
        <v>16</v>
      </c>
      <c r="Y836" s="165" t="s">
        <v>16</v>
      </c>
      <c r="Z836" s="165" t="s">
        <v>16</v>
      </c>
      <c r="AA836" s="165" t="s">
        <v>16</v>
      </c>
      <c r="AB836" s="165" t="s">
        <v>16</v>
      </c>
      <c r="AC836" s="165" t="s">
        <v>16</v>
      </c>
      <c r="AD836" s="165" t="s">
        <v>16</v>
      </c>
      <c r="AE836" s="165" t="s">
        <v>1400</v>
      </c>
      <c r="AF836" s="165"/>
    </row>
    <row r="837" spans="1:39" x14ac:dyDescent="0.3">
      <c r="A837" s="165" t="s">
        <v>1419</v>
      </c>
      <c r="B837" s="165" t="s">
        <v>14</v>
      </c>
      <c r="C837" s="165" t="s">
        <v>1380</v>
      </c>
      <c r="D837" s="165" t="s">
        <v>15</v>
      </c>
      <c r="E837" s="157">
        <v>41181</v>
      </c>
      <c r="F837" s="165" t="s">
        <v>148</v>
      </c>
      <c r="G837" s="165" t="s">
        <v>16</v>
      </c>
      <c r="H837" s="165" t="s">
        <v>16</v>
      </c>
      <c r="I837" s="165" t="s">
        <v>148</v>
      </c>
      <c r="J837" s="165" t="s">
        <v>16</v>
      </c>
      <c r="K837" s="165" t="s">
        <v>148</v>
      </c>
      <c r="L837" s="165" t="s">
        <v>148</v>
      </c>
      <c r="M837" s="165" t="s">
        <v>16</v>
      </c>
      <c r="N837" s="165" t="s">
        <v>16</v>
      </c>
      <c r="O837" s="165" t="s">
        <v>148</v>
      </c>
      <c r="P837" s="165" t="s">
        <v>148</v>
      </c>
      <c r="Q837" s="165" t="s">
        <v>148</v>
      </c>
      <c r="R837" s="165" t="s">
        <v>16</v>
      </c>
      <c r="S837" s="165" t="s">
        <v>16</v>
      </c>
      <c r="T837" s="165" t="s">
        <v>148</v>
      </c>
      <c r="U837" s="165" t="s">
        <v>148</v>
      </c>
      <c r="V837" s="165" t="s">
        <v>16</v>
      </c>
      <c r="W837" s="165" t="s">
        <v>150</v>
      </c>
      <c r="X837" s="165" t="s">
        <v>150</v>
      </c>
      <c r="Y837" s="165" t="s">
        <v>16</v>
      </c>
      <c r="Z837" s="165" t="s">
        <v>16</v>
      </c>
      <c r="AA837" s="165" t="s">
        <v>16</v>
      </c>
      <c r="AB837" s="165" t="s">
        <v>148</v>
      </c>
      <c r="AC837" s="165" t="s">
        <v>16</v>
      </c>
      <c r="AD837" s="165" t="s">
        <v>16</v>
      </c>
      <c r="AE837" s="165" t="s">
        <v>1420</v>
      </c>
      <c r="AF837" s="165"/>
    </row>
    <row r="838" spans="1:39" x14ac:dyDescent="0.3">
      <c r="A838" s="165" t="s">
        <v>1421</v>
      </c>
      <c r="B838" s="165" t="s">
        <v>14</v>
      </c>
      <c r="C838" s="165" t="s">
        <v>1380</v>
      </c>
      <c r="D838" s="165" t="s">
        <v>15</v>
      </c>
      <c r="E838" s="157">
        <v>41181</v>
      </c>
      <c r="F838" s="165" t="s">
        <v>16</v>
      </c>
      <c r="G838" s="165" t="s">
        <v>16</v>
      </c>
      <c r="H838" s="165" t="s">
        <v>16</v>
      </c>
      <c r="I838" s="165" t="s">
        <v>16</v>
      </c>
      <c r="J838" s="165" t="s">
        <v>148</v>
      </c>
      <c r="K838" s="165" t="s">
        <v>16</v>
      </c>
      <c r="L838" s="165" t="s">
        <v>16</v>
      </c>
      <c r="M838" s="165" t="s">
        <v>16</v>
      </c>
      <c r="N838" s="165" t="s">
        <v>16</v>
      </c>
      <c r="O838" s="165" t="s">
        <v>16</v>
      </c>
      <c r="P838" s="165" t="s">
        <v>16</v>
      </c>
      <c r="Q838" s="165" t="s">
        <v>16</v>
      </c>
      <c r="R838" s="165" t="s">
        <v>16</v>
      </c>
      <c r="S838" s="165" t="s">
        <v>16</v>
      </c>
      <c r="T838" s="165" t="s">
        <v>16</v>
      </c>
      <c r="U838" s="165" t="s">
        <v>16</v>
      </c>
      <c r="V838" s="165" t="s">
        <v>16</v>
      </c>
      <c r="W838" s="165" t="s">
        <v>16</v>
      </c>
      <c r="X838" s="165" t="s">
        <v>148</v>
      </c>
      <c r="Y838" s="165" t="s">
        <v>16</v>
      </c>
      <c r="Z838" s="165" t="s">
        <v>16</v>
      </c>
      <c r="AA838" s="165" t="s">
        <v>16</v>
      </c>
      <c r="AB838" s="165" t="s">
        <v>16</v>
      </c>
      <c r="AC838" s="165" t="s">
        <v>16</v>
      </c>
      <c r="AD838" s="165" t="s">
        <v>16</v>
      </c>
      <c r="AE838" s="165" t="s">
        <v>1388</v>
      </c>
      <c r="AF838" s="165"/>
    </row>
    <row r="839" spans="1:39" x14ac:dyDescent="0.3">
      <c r="A839" s="165" t="s">
        <v>1422</v>
      </c>
      <c r="B839" s="165" t="s">
        <v>14</v>
      </c>
      <c r="C839" s="165" t="s">
        <v>1380</v>
      </c>
      <c r="D839" s="165" t="s">
        <v>15</v>
      </c>
      <c r="E839" s="157">
        <v>41181</v>
      </c>
      <c r="F839" s="165" t="s">
        <v>16</v>
      </c>
      <c r="G839" s="165" t="s">
        <v>16</v>
      </c>
      <c r="H839" s="165" t="s">
        <v>16</v>
      </c>
      <c r="I839" s="165" t="s">
        <v>16</v>
      </c>
      <c r="J839" s="165" t="s">
        <v>16</v>
      </c>
      <c r="K839" s="165" t="s">
        <v>16</v>
      </c>
      <c r="L839" s="165" t="s">
        <v>16</v>
      </c>
      <c r="M839" s="165" t="s">
        <v>16</v>
      </c>
      <c r="N839" s="165" t="s">
        <v>16</v>
      </c>
      <c r="O839" s="165" t="s">
        <v>16</v>
      </c>
      <c r="P839" s="165" t="s">
        <v>16</v>
      </c>
      <c r="Q839" s="165" t="s">
        <v>16</v>
      </c>
      <c r="R839" s="165" t="s">
        <v>16</v>
      </c>
      <c r="S839" s="165" t="s">
        <v>16</v>
      </c>
      <c r="T839" s="165" t="s">
        <v>16</v>
      </c>
      <c r="U839" s="165" t="s">
        <v>16</v>
      </c>
      <c r="V839" s="165" t="s">
        <v>16</v>
      </c>
      <c r="W839" s="165" t="s">
        <v>16</v>
      </c>
      <c r="X839" s="165" t="s">
        <v>16</v>
      </c>
      <c r="Y839" s="165" t="s">
        <v>16</v>
      </c>
      <c r="Z839" s="165" t="s">
        <v>16</v>
      </c>
      <c r="AA839" s="165" t="s">
        <v>16</v>
      </c>
      <c r="AB839" s="165" t="s">
        <v>148</v>
      </c>
      <c r="AC839" s="165" t="s">
        <v>16</v>
      </c>
      <c r="AD839" s="165" t="s">
        <v>16</v>
      </c>
      <c r="AE839" s="165" t="s">
        <v>1400</v>
      </c>
      <c r="AF839" s="165"/>
    </row>
    <row r="840" spans="1:39" x14ac:dyDescent="0.3">
      <c r="A840" s="165" t="s">
        <v>1423</v>
      </c>
      <c r="B840" s="165" t="s">
        <v>14</v>
      </c>
      <c r="C840" s="165" t="s">
        <v>1380</v>
      </c>
      <c r="D840" s="165" t="s">
        <v>15</v>
      </c>
      <c r="E840" s="157">
        <v>41181</v>
      </c>
      <c r="F840" s="165" t="s">
        <v>148</v>
      </c>
      <c r="G840" s="165" t="s">
        <v>148</v>
      </c>
      <c r="H840" s="165" t="s">
        <v>149</v>
      </c>
      <c r="I840" s="165" t="s">
        <v>149</v>
      </c>
      <c r="J840" s="165" t="s">
        <v>149</v>
      </c>
      <c r="K840" s="165" t="s">
        <v>149</v>
      </c>
      <c r="L840" s="165" t="s">
        <v>148</v>
      </c>
      <c r="M840" s="165" t="s">
        <v>149</v>
      </c>
      <c r="N840" s="165" t="s">
        <v>151</v>
      </c>
      <c r="O840" s="165" t="s">
        <v>151</v>
      </c>
      <c r="P840" s="165" t="s">
        <v>148</v>
      </c>
      <c r="Q840" s="165" t="s">
        <v>149</v>
      </c>
      <c r="R840" s="165" t="s">
        <v>149</v>
      </c>
      <c r="S840" s="165" t="s">
        <v>149</v>
      </c>
      <c r="T840" s="165" t="s">
        <v>149</v>
      </c>
      <c r="U840" s="165" t="s">
        <v>148</v>
      </c>
      <c r="V840" s="165" t="s">
        <v>148</v>
      </c>
      <c r="W840" s="165" t="s">
        <v>149</v>
      </c>
      <c r="X840" s="165" t="s">
        <v>149</v>
      </c>
      <c r="Y840" s="165" t="s">
        <v>149</v>
      </c>
      <c r="Z840" s="165" t="s">
        <v>149</v>
      </c>
      <c r="AA840" s="165" t="s">
        <v>16</v>
      </c>
      <c r="AB840" s="165" t="s">
        <v>16</v>
      </c>
      <c r="AC840" s="165" t="s">
        <v>16</v>
      </c>
      <c r="AD840" s="165" t="s">
        <v>148</v>
      </c>
      <c r="AE840" s="165" t="s">
        <v>1395</v>
      </c>
      <c r="AF840" s="165" t="s">
        <v>1424</v>
      </c>
    </row>
    <row r="841" spans="1:39" x14ac:dyDescent="0.3">
      <c r="A841" s="165" t="s">
        <v>1425</v>
      </c>
      <c r="B841" s="165" t="s">
        <v>14</v>
      </c>
      <c r="C841" s="165" t="s">
        <v>1380</v>
      </c>
      <c r="D841" s="165" t="s">
        <v>15</v>
      </c>
      <c r="E841" s="157">
        <v>41181</v>
      </c>
      <c r="F841" s="165" t="s">
        <v>16</v>
      </c>
      <c r="G841" s="165" t="s">
        <v>114</v>
      </c>
      <c r="H841" s="165" t="s">
        <v>148</v>
      </c>
      <c r="I841" s="165" t="s">
        <v>16</v>
      </c>
      <c r="J841" s="165" t="s">
        <v>16</v>
      </c>
      <c r="K841" s="165" t="s">
        <v>149</v>
      </c>
      <c r="L841" s="165" t="s">
        <v>16</v>
      </c>
      <c r="M841" s="165" t="s">
        <v>16</v>
      </c>
      <c r="N841" s="165" t="s">
        <v>16</v>
      </c>
      <c r="O841" s="165" t="s">
        <v>16</v>
      </c>
      <c r="P841" s="165" t="s">
        <v>16</v>
      </c>
      <c r="Q841" s="165" t="s">
        <v>16</v>
      </c>
      <c r="R841" s="165" t="s">
        <v>148</v>
      </c>
      <c r="S841" s="165" t="s">
        <v>148</v>
      </c>
      <c r="T841" s="165" t="s">
        <v>148</v>
      </c>
      <c r="U841" s="165" t="s">
        <v>16</v>
      </c>
      <c r="V841" s="165" t="s">
        <v>16</v>
      </c>
      <c r="W841" s="165" t="s">
        <v>148</v>
      </c>
      <c r="X841" s="165" t="s">
        <v>16</v>
      </c>
      <c r="Y841" s="165" t="s">
        <v>16</v>
      </c>
      <c r="Z841" s="165" t="s">
        <v>16</v>
      </c>
      <c r="AA841" s="165" t="s">
        <v>16</v>
      </c>
      <c r="AB841" s="165" t="s">
        <v>16</v>
      </c>
      <c r="AC841" s="165" t="s">
        <v>16</v>
      </c>
      <c r="AD841" s="165" t="s">
        <v>16</v>
      </c>
      <c r="AE841" s="165" t="s">
        <v>1383</v>
      </c>
      <c r="AF841" s="165"/>
    </row>
    <row r="844" spans="1:39" x14ac:dyDescent="0.3">
      <c r="A844" s="165"/>
      <c r="B844" s="165"/>
      <c r="C844" s="165"/>
      <c r="D844" s="165"/>
      <c r="E844" s="165"/>
      <c r="F844" s="165" t="s">
        <v>124</v>
      </c>
      <c r="G844" s="165" t="s">
        <v>125</v>
      </c>
      <c r="H844" s="165" t="s">
        <v>126</v>
      </c>
      <c r="I844" s="165" t="s">
        <v>127</v>
      </c>
      <c r="J844" s="165" t="s">
        <v>214</v>
      </c>
      <c r="K844" s="165" t="s">
        <v>128</v>
      </c>
      <c r="L844" s="165" t="s">
        <v>129</v>
      </c>
      <c r="M844" s="165" t="s">
        <v>130</v>
      </c>
      <c r="N844" s="165" t="s">
        <v>131</v>
      </c>
      <c r="O844" s="165" t="s">
        <v>132</v>
      </c>
      <c r="P844" s="165" t="s">
        <v>133</v>
      </c>
      <c r="Q844" s="165" t="s">
        <v>134</v>
      </c>
      <c r="R844" s="165" t="s">
        <v>135</v>
      </c>
      <c r="S844" s="165" t="s">
        <v>136</v>
      </c>
      <c r="T844" s="165" t="s">
        <v>137</v>
      </c>
      <c r="U844" s="165" t="s">
        <v>138</v>
      </c>
      <c r="V844" s="165" t="s">
        <v>139</v>
      </c>
      <c r="W844" s="165" t="s">
        <v>140</v>
      </c>
      <c r="X844" s="165" t="s">
        <v>186</v>
      </c>
      <c r="Y844" s="165" t="s">
        <v>209</v>
      </c>
      <c r="Z844" s="165" t="s">
        <v>141</v>
      </c>
      <c r="AA844" s="165" t="s">
        <v>142</v>
      </c>
      <c r="AB844" s="165" t="s">
        <v>210</v>
      </c>
      <c r="AC844" s="165" t="s">
        <v>1180</v>
      </c>
      <c r="AD844" s="165" t="s">
        <v>144</v>
      </c>
      <c r="AE844" s="165" t="s">
        <v>1429</v>
      </c>
      <c r="AF844" s="165" t="s">
        <v>1430</v>
      </c>
      <c r="AG844" s="165" t="s">
        <v>1431</v>
      </c>
      <c r="AH844" s="165" t="s">
        <v>1432</v>
      </c>
      <c r="AI844" s="165" t="s">
        <v>1433</v>
      </c>
      <c r="AJ844" s="165" t="s">
        <v>1434</v>
      </c>
      <c r="AK844" s="165" t="s">
        <v>1435</v>
      </c>
      <c r="AL844" s="165" t="s">
        <v>1436</v>
      </c>
      <c r="AM844" s="165" t="s">
        <v>190</v>
      </c>
    </row>
    <row r="845" spans="1:39" x14ac:dyDescent="0.3">
      <c r="A845" s="165" t="s">
        <v>1477</v>
      </c>
      <c r="B845" s="165" t="s">
        <v>14</v>
      </c>
      <c r="C845" s="165" t="s">
        <v>1438</v>
      </c>
      <c r="D845" s="165" t="s">
        <v>15</v>
      </c>
      <c r="E845" s="157">
        <v>41212</v>
      </c>
      <c r="F845" s="165" t="s">
        <v>150</v>
      </c>
      <c r="G845" s="165" t="s">
        <v>16</v>
      </c>
      <c r="H845" s="165" t="s">
        <v>16</v>
      </c>
      <c r="I845" s="165" t="s">
        <v>16</v>
      </c>
      <c r="J845" s="165" t="s">
        <v>16</v>
      </c>
      <c r="K845" s="165" t="s">
        <v>148</v>
      </c>
      <c r="L845" s="165" t="s">
        <v>148</v>
      </c>
      <c r="M845" s="165" t="s">
        <v>16</v>
      </c>
      <c r="N845" s="165" t="s">
        <v>150</v>
      </c>
      <c r="O845" s="165" t="s">
        <v>148</v>
      </c>
      <c r="P845" s="165" t="s">
        <v>148</v>
      </c>
      <c r="Q845" s="165" t="s">
        <v>16</v>
      </c>
      <c r="R845" s="165" t="s">
        <v>150</v>
      </c>
      <c r="S845" s="165" t="s">
        <v>148</v>
      </c>
      <c r="T845" s="165" t="s">
        <v>150</v>
      </c>
      <c r="U845" s="165" t="s">
        <v>148</v>
      </c>
      <c r="V845" s="165" t="s">
        <v>16</v>
      </c>
      <c r="W845" s="165" t="s">
        <v>150</v>
      </c>
      <c r="X845" s="165" t="s">
        <v>16</v>
      </c>
      <c r="Y845" s="165" t="s">
        <v>150</v>
      </c>
      <c r="Z845" s="165" t="s">
        <v>149</v>
      </c>
      <c r="AA845" s="165" t="s">
        <v>149</v>
      </c>
      <c r="AB845" s="165" t="s">
        <v>149</v>
      </c>
      <c r="AC845" s="165" t="s">
        <v>16</v>
      </c>
      <c r="AD845" s="165" t="s">
        <v>16</v>
      </c>
      <c r="AE845" s="165" t="s">
        <v>1439</v>
      </c>
      <c r="AF845" s="165" t="s">
        <v>1439</v>
      </c>
      <c r="AG845" s="165" t="s">
        <v>1439</v>
      </c>
      <c r="AH845" s="165" t="s">
        <v>1439</v>
      </c>
      <c r="AI845" s="165" t="s">
        <v>1439</v>
      </c>
      <c r="AJ845" s="165" t="s">
        <v>1440</v>
      </c>
      <c r="AK845" s="165" t="s">
        <v>1439</v>
      </c>
      <c r="AL845" s="165" t="s">
        <v>1440</v>
      </c>
      <c r="AM845" s="165"/>
    </row>
    <row r="846" spans="1:39" x14ac:dyDescent="0.3">
      <c r="A846" s="165" t="s">
        <v>1478</v>
      </c>
      <c r="B846" s="165" t="s">
        <v>14</v>
      </c>
      <c r="C846" s="165" t="s">
        <v>1438</v>
      </c>
      <c r="D846" s="165" t="s">
        <v>15</v>
      </c>
      <c r="E846" s="157">
        <v>41212</v>
      </c>
      <c r="F846" s="165" t="s">
        <v>149</v>
      </c>
      <c r="G846" s="165" t="s">
        <v>149</v>
      </c>
      <c r="H846" s="165" t="s">
        <v>149</v>
      </c>
      <c r="I846" s="165" t="s">
        <v>149</v>
      </c>
      <c r="J846" s="165" t="s">
        <v>149</v>
      </c>
      <c r="K846" s="165" t="s">
        <v>149</v>
      </c>
      <c r="L846" s="165" t="s">
        <v>149</v>
      </c>
      <c r="M846" s="165" t="s">
        <v>149</v>
      </c>
      <c r="N846" s="165" t="s">
        <v>16</v>
      </c>
      <c r="O846" s="165" t="s">
        <v>149</v>
      </c>
      <c r="P846" s="165" t="s">
        <v>149</v>
      </c>
      <c r="Q846" s="165" t="s">
        <v>149</v>
      </c>
      <c r="R846" s="165" t="s">
        <v>16</v>
      </c>
      <c r="S846" s="165" t="s">
        <v>149</v>
      </c>
      <c r="T846" s="165" t="s">
        <v>149</v>
      </c>
      <c r="U846" s="165" t="s">
        <v>149</v>
      </c>
      <c r="V846" s="165" t="s">
        <v>149</v>
      </c>
      <c r="W846" s="165" t="s">
        <v>149</v>
      </c>
      <c r="X846" s="165" t="s">
        <v>149</v>
      </c>
      <c r="Y846" s="165" t="s">
        <v>149</v>
      </c>
      <c r="Z846" s="165" t="s">
        <v>149</v>
      </c>
      <c r="AA846" s="165" t="s">
        <v>149</v>
      </c>
      <c r="AB846" s="165" t="s">
        <v>148</v>
      </c>
      <c r="AC846" s="165" t="s">
        <v>150</v>
      </c>
      <c r="AD846" s="165" t="s">
        <v>16</v>
      </c>
      <c r="AE846" s="165" t="s">
        <v>1444</v>
      </c>
      <c r="AF846" s="165" t="s">
        <v>1444</v>
      </c>
      <c r="AG846" s="165" t="s">
        <v>1444</v>
      </c>
      <c r="AH846" s="165" t="s">
        <v>1440</v>
      </c>
      <c r="AI846" s="165" t="s">
        <v>1439</v>
      </c>
      <c r="AJ846" s="165" t="s">
        <v>1439</v>
      </c>
      <c r="AK846" s="165" t="s">
        <v>1440</v>
      </c>
      <c r="AL846" s="165" t="s">
        <v>1440</v>
      </c>
      <c r="AM846" s="165"/>
    </row>
    <row r="847" spans="1:39" x14ac:dyDescent="0.3">
      <c r="A847" s="165" t="s">
        <v>1479</v>
      </c>
      <c r="B847" s="165" t="s">
        <v>14</v>
      </c>
      <c r="C847" s="165" t="s">
        <v>1438</v>
      </c>
      <c r="D847" s="165" t="s">
        <v>15</v>
      </c>
      <c r="E847" s="157">
        <v>41212</v>
      </c>
      <c r="F847" s="165" t="s">
        <v>16</v>
      </c>
      <c r="G847" s="165" t="s">
        <v>16</v>
      </c>
      <c r="H847" s="165" t="s">
        <v>148</v>
      </c>
      <c r="I847" s="165" t="s">
        <v>148</v>
      </c>
      <c r="J847" s="165" t="s">
        <v>16</v>
      </c>
      <c r="K847" s="165" t="s">
        <v>148</v>
      </c>
      <c r="L847" s="165" t="s">
        <v>148</v>
      </c>
      <c r="M847" s="165" t="s">
        <v>16</v>
      </c>
      <c r="N847" s="165" t="s">
        <v>148</v>
      </c>
      <c r="O847" s="165" t="s">
        <v>148</v>
      </c>
      <c r="P847" s="165" t="s">
        <v>148</v>
      </c>
      <c r="Q847" s="165" t="s">
        <v>16</v>
      </c>
      <c r="R847" s="165" t="s">
        <v>148</v>
      </c>
      <c r="S847" s="165" t="s">
        <v>16</v>
      </c>
      <c r="T847" s="165" t="s">
        <v>16</v>
      </c>
      <c r="U847" s="165" t="s">
        <v>148</v>
      </c>
      <c r="V847" s="165" t="s">
        <v>16</v>
      </c>
      <c r="W847" s="165" t="s">
        <v>148</v>
      </c>
      <c r="X847" s="165" t="s">
        <v>16</v>
      </c>
      <c r="Y847" s="165" t="s">
        <v>148</v>
      </c>
      <c r="Z847" s="165" t="s">
        <v>148</v>
      </c>
      <c r="AA847" s="165" t="s">
        <v>148</v>
      </c>
      <c r="AB847" s="165" t="s">
        <v>16</v>
      </c>
      <c r="AC847" s="165" t="s">
        <v>148</v>
      </c>
      <c r="AD847" s="165" t="s">
        <v>16</v>
      </c>
      <c r="AE847" s="165" t="s">
        <v>1440</v>
      </c>
      <c r="AF847" s="165" t="s">
        <v>1440</v>
      </c>
      <c r="AG847" s="165" t="s">
        <v>1440</v>
      </c>
      <c r="AH847" s="165" t="s">
        <v>1440</v>
      </c>
      <c r="AI847" s="165" t="s">
        <v>1439</v>
      </c>
      <c r="AJ847" s="165" t="s">
        <v>1439</v>
      </c>
      <c r="AK847" s="165" t="s">
        <v>1440</v>
      </c>
      <c r="AL847" s="165" t="s">
        <v>1440</v>
      </c>
      <c r="AM847" s="165"/>
    </row>
    <row r="848" spans="1:39" x14ac:dyDescent="0.3">
      <c r="A848" s="165" t="s">
        <v>1437</v>
      </c>
      <c r="B848" s="165" t="s">
        <v>14</v>
      </c>
      <c r="C848" s="165" t="s">
        <v>1438</v>
      </c>
      <c r="D848" s="165" t="s">
        <v>15</v>
      </c>
      <c r="E848" s="157">
        <v>41212</v>
      </c>
      <c r="F848" s="165" t="s">
        <v>16</v>
      </c>
      <c r="G848" s="165" t="s">
        <v>16</v>
      </c>
      <c r="H848" s="165" t="s">
        <v>148</v>
      </c>
      <c r="I848" s="165" t="s">
        <v>148</v>
      </c>
      <c r="J848" s="165" t="s">
        <v>16</v>
      </c>
      <c r="K848" s="165" t="s">
        <v>148</v>
      </c>
      <c r="L848" s="165" t="s">
        <v>148</v>
      </c>
      <c r="M848" s="165" t="s">
        <v>16</v>
      </c>
      <c r="N848" s="165" t="s">
        <v>16</v>
      </c>
      <c r="O848" s="165" t="s">
        <v>16</v>
      </c>
      <c r="P848" s="165" t="s">
        <v>16</v>
      </c>
      <c r="Q848" s="165" t="s">
        <v>16</v>
      </c>
      <c r="R848" s="165" t="s">
        <v>148</v>
      </c>
      <c r="S848" s="165" t="s">
        <v>16</v>
      </c>
      <c r="T848" s="165" t="s">
        <v>16</v>
      </c>
      <c r="U848" s="165" t="s">
        <v>16</v>
      </c>
      <c r="V848" s="165" t="s">
        <v>16</v>
      </c>
      <c r="W848" s="165" t="s">
        <v>16</v>
      </c>
      <c r="X848" s="165" t="s">
        <v>16</v>
      </c>
      <c r="Y848" s="165" t="s">
        <v>16</v>
      </c>
      <c r="Z848" s="165" t="s">
        <v>16</v>
      </c>
      <c r="AA848" s="165" t="s">
        <v>16</v>
      </c>
      <c r="AB848" s="165" t="s">
        <v>16</v>
      </c>
      <c r="AC848" s="165" t="s">
        <v>16</v>
      </c>
      <c r="AD848" s="165" t="s">
        <v>16</v>
      </c>
      <c r="AE848" s="165" t="s">
        <v>1439</v>
      </c>
      <c r="AF848" s="165" t="s">
        <v>1439</v>
      </c>
      <c r="AG848" s="165" t="s">
        <v>1439</v>
      </c>
      <c r="AH848" s="165" t="s">
        <v>1440</v>
      </c>
      <c r="AI848" s="165" t="s">
        <v>1439</v>
      </c>
      <c r="AJ848" s="165" t="s">
        <v>1439</v>
      </c>
      <c r="AK848" s="165" t="s">
        <v>1439</v>
      </c>
      <c r="AL848" s="165" t="s">
        <v>1440</v>
      </c>
      <c r="AM848" s="165"/>
    </row>
    <row r="849" spans="1:39" x14ac:dyDescent="0.3">
      <c r="A849" s="165" t="s">
        <v>1441</v>
      </c>
      <c r="B849" s="165" t="s">
        <v>14</v>
      </c>
      <c r="C849" s="165" t="s">
        <v>1438</v>
      </c>
      <c r="D849" s="165" t="s">
        <v>15</v>
      </c>
      <c r="E849" s="157">
        <v>41212</v>
      </c>
      <c r="F849" s="165" t="s">
        <v>16</v>
      </c>
      <c r="G849" s="165" t="s">
        <v>16</v>
      </c>
      <c r="H849" s="165" t="s">
        <v>16</v>
      </c>
      <c r="I849" s="165" t="s">
        <v>148</v>
      </c>
      <c r="J849" s="165" t="s">
        <v>16</v>
      </c>
      <c r="K849" s="165" t="s">
        <v>16</v>
      </c>
      <c r="L849" s="165" t="s">
        <v>16</v>
      </c>
      <c r="M849" s="165" t="s">
        <v>148</v>
      </c>
      <c r="N849" s="165" t="s">
        <v>148</v>
      </c>
      <c r="O849" s="165" t="s">
        <v>16</v>
      </c>
      <c r="P849" s="165" t="s">
        <v>148</v>
      </c>
      <c r="Q849" s="165" t="s">
        <v>16</v>
      </c>
      <c r="R849" s="165" t="s">
        <v>16</v>
      </c>
      <c r="S849" s="165" t="s">
        <v>16</v>
      </c>
      <c r="T849" s="165" t="s">
        <v>16</v>
      </c>
      <c r="U849" s="165" t="s">
        <v>16</v>
      </c>
      <c r="V849" s="165" t="s">
        <v>148</v>
      </c>
      <c r="W849" s="165" t="s">
        <v>148</v>
      </c>
      <c r="X849" s="165" t="s">
        <v>16</v>
      </c>
      <c r="Y849" s="165" t="s">
        <v>16</v>
      </c>
      <c r="Z849" s="165" t="s">
        <v>148</v>
      </c>
      <c r="AA849" s="165" t="s">
        <v>16</v>
      </c>
      <c r="AB849" s="165" t="s">
        <v>148</v>
      </c>
      <c r="AC849" s="165" t="s">
        <v>16</v>
      </c>
      <c r="AD849" s="165" t="s">
        <v>148</v>
      </c>
      <c r="AE849" s="165"/>
      <c r="AF849" s="165"/>
      <c r="AG849" s="165"/>
      <c r="AH849" s="165"/>
      <c r="AI849" s="165"/>
      <c r="AJ849" s="165"/>
      <c r="AK849" s="165"/>
      <c r="AL849" s="165"/>
      <c r="AM849" s="165"/>
    </row>
    <row r="850" spans="1:39" x14ac:dyDescent="0.3">
      <c r="A850" s="165" t="s">
        <v>1442</v>
      </c>
      <c r="B850" s="165" t="s">
        <v>14</v>
      </c>
      <c r="C850" s="165" t="s">
        <v>1438</v>
      </c>
      <c r="D850" s="165" t="s">
        <v>15</v>
      </c>
      <c r="E850" s="157">
        <v>41212</v>
      </c>
      <c r="F850" s="165" t="s">
        <v>148</v>
      </c>
      <c r="G850" s="165" t="s">
        <v>149</v>
      </c>
      <c r="H850" s="165" t="s">
        <v>149</v>
      </c>
      <c r="I850" s="165" t="s">
        <v>148</v>
      </c>
      <c r="J850" s="165" t="s">
        <v>149</v>
      </c>
      <c r="K850" s="165" t="s">
        <v>16</v>
      </c>
      <c r="L850" s="165" t="s">
        <v>148</v>
      </c>
      <c r="M850" s="165" t="s">
        <v>148</v>
      </c>
      <c r="N850" s="165" t="s">
        <v>148</v>
      </c>
      <c r="O850" s="165" t="s">
        <v>150</v>
      </c>
      <c r="P850" s="165" t="s">
        <v>148</v>
      </c>
      <c r="Q850" s="165" t="s">
        <v>16</v>
      </c>
      <c r="R850" s="165" t="s">
        <v>16</v>
      </c>
      <c r="S850" s="165" t="s">
        <v>148</v>
      </c>
      <c r="T850" s="165" t="s">
        <v>16</v>
      </c>
      <c r="U850" s="165" t="s">
        <v>148</v>
      </c>
      <c r="V850" s="165" t="s">
        <v>148</v>
      </c>
      <c r="W850" s="165" t="s">
        <v>16</v>
      </c>
      <c r="X850" s="165" t="s">
        <v>148</v>
      </c>
      <c r="Y850" s="165" t="s">
        <v>148</v>
      </c>
      <c r="Z850" s="165" t="s">
        <v>16</v>
      </c>
      <c r="AA850" s="165" t="s">
        <v>16</v>
      </c>
      <c r="AB850" s="165" t="s">
        <v>16</v>
      </c>
      <c r="AC850" s="165" t="s">
        <v>148</v>
      </c>
      <c r="AD850" s="165" t="s">
        <v>16</v>
      </c>
      <c r="AE850" s="165" t="s">
        <v>1439</v>
      </c>
      <c r="AF850" s="165" t="s">
        <v>1440</v>
      </c>
      <c r="AG850" s="165" t="s">
        <v>1439</v>
      </c>
      <c r="AH850" s="165" t="s">
        <v>1440</v>
      </c>
      <c r="AI850" s="165" t="s">
        <v>1439</v>
      </c>
      <c r="AJ850" s="165" t="s">
        <v>1440</v>
      </c>
      <c r="AK850" s="165" t="s">
        <v>1440</v>
      </c>
      <c r="AL850" s="165" t="s">
        <v>1439</v>
      </c>
      <c r="AM850" s="165"/>
    </row>
    <row r="851" spans="1:39" x14ac:dyDescent="0.3">
      <c r="A851" s="165" t="s">
        <v>1443</v>
      </c>
      <c r="B851" s="165" t="s">
        <v>14</v>
      </c>
      <c r="C851" s="165" t="s">
        <v>1438</v>
      </c>
      <c r="D851" s="165" t="s">
        <v>15</v>
      </c>
      <c r="E851" s="157">
        <v>41212</v>
      </c>
      <c r="F851" s="165" t="s">
        <v>16</v>
      </c>
      <c r="G851" s="165" t="s">
        <v>16</v>
      </c>
      <c r="H851" s="165" t="s">
        <v>16</v>
      </c>
      <c r="I851" s="165" t="s">
        <v>16</v>
      </c>
      <c r="J851" s="165" t="s">
        <v>16</v>
      </c>
      <c r="K851" s="165" t="s">
        <v>16</v>
      </c>
      <c r="L851" s="165" t="s">
        <v>16</v>
      </c>
      <c r="M851" s="165" t="s">
        <v>16</v>
      </c>
      <c r="N851" s="165" t="s">
        <v>16</v>
      </c>
      <c r="O851" s="165" t="s">
        <v>16</v>
      </c>
      <c r="P851" s="165" t="s">
        <v>16</v>
      </c>
      <c r="Q851" s="165" t="s">
        <v>16</v>
      </c>
      <c r="R851" s="165" t="s">
        <v>16</v>
      </c>
      <c r="S851" s="165" t="s">
        <v>16</v>
      </c>
      <c r="T851" s="165" t="s">
        <v>16</v>
      </c>
      <c r="U851" s="165" t="s">
        <v>16</v>
      </c>
      <c r="V851" s="165" t="s">
        <v>16</v>
      </c>
      <c r="W851" s="165" t="s">
        <v>16</v>
      </c>
      <c r="X851" s="165" t="s">
        <v>16</v>
      </c>
      <c r="Y851" s="165" t="s">
        <v>16</v>
      </c>
      <c r="Z851" s="165" t="s">
        <v>16</v>
      </c>
      <c r="AA851" s="165" t="s">
        <v>16</v>
      </c>
      <c r="AB851" s="165" t="s">
        <v>16</v>
      </c>
      <c r="AC851" s="165" t="s">
        <v>16</v>
      </c>
      <c r="AD851" s="165" t="s">
        <v>16</v>
      </c>
      <c r="AE851" s="165" t="s">
        <v>1439</v>
      </c>
      <c r="AF851" s="165" t="s">
        <v>1440</v>
      </c>
      <c r="AG851" s="165" t="s">
        <v>1439</v>
      </c>
      <c r="AH851" s="165" t="s">
        <v>1439</v>
      </c>
      <c r="AI851" s="165" t="s">
        <v>1444</v>
      </c>
      <c r="AJ851" s="165" t="s">
        <v>1439</v>
      </c>
      <c r="AK851" s="165" t="s">
        <v>1440</v>
      </c>
      <c r="AL851" s="165" t="s">
        <v>1445</v>
      </c>
      <c r="AM851" s="165"/>
    </row>
    <row r="852" spans="1:39" x14ac:dyDescent="0.3">
      <c r="A852" s="165" t="s">
        <v>1446</v>
      </c>
      <c r="B852" s="165" t="s">
        <v>14</v>
      </c>
      <c r="C852" s="165" t="s">
        <v>1438</v>
      </c>
      <c r="D852" s="165" t="s">
        <v>15</v>
      </c>
      <c r="E852" s="157">
        <v>41212</v>
      </c>
      <c r="F852" s="165" t="s">
        <v>16</v>
      </c>
      <c r="G852" s="165" t="s">
        <v>16</v>
      </c>
      <c r="H852" s="165" t="s">
        <v>148</v>
      </c>
      <c r="I852" s="165" t="s">
        <v>16</v>
      </c>
      <c r="J852" s="165" t="s">
        <v>148</v>
      </c>
      <c r="K852" s="165" t="s">
        <v>150</v>
      </c>
      <c r="L852" s="165" t="s">
        <v>16</v>
      </c>
      <c r="M852" s="165" t="s">
        <v>148</v>
      </c>
      <c r="N852" s="165" t="s">
        <v>148</v>
      </c>
      <c r="O852" s="165" t="s">
        <v>148</v>
      </c>
      <c r="P852" s="165" t="s">
        <v>16</v>
      </c>
      <c r="Q852" s="165" t="s">
        <v>148</v>
      </c>
      <c r="R852" s="165" t="s">
        <v>148</v>
      </c>
      <c r="S852" s="165" t="s">
        <v>149</v>
      </c>
      <c r="T852" s="165" t="s">
        <v>16</v>
      </c>
      <c r="U852" s="165" t="s">
        <v>16</v>
      </c>
      <c r="V852" s="165" t="s">
        <v>16</v>
      </c>
      <c r="W852" s="165" t="s">
        <v>148</v>
      </c>
      <c r="X852" s="165" t="s">
        <v>16</v>
      </c>
      <c r="Y852" s="165" t="s">
        <v>150</v>
      </c>
      <c r="Z852" s="165" t="s">
        <v>149</v>
      </c>
      <c r="AA852" s="165" t="s">
        <v>149</v>
      </c>
      <c r="AB852" s="165" t="s">
        <v>16</v>
      </c>
      <c r="AC852" s="165" t="s">
        <v>16</v>
      </c>
      <c r="AD852" s="165" t="s">
        <v>16</v>
      </c>
      <c r="AE852" s="165" t="s">
        <v>1440</v>
      </c>
      <c r="AF852" s="165" t="s">
        <v>1440</v>
      </c>
      <c r="AG852" s="165" t="s">
        <v>1440</v>
      </c>
      <c r="AH852" s="165" t="s">
        <v>1440</v>
      </c>
      <c r="AI852" s="165" t="s">
        <v>1440</v>
      </c>
      <c r="AJ852" s="165" t="s">
        <v>1440</v>
      </c>
      <c r="AK852" s="165" t="s">
        <v>1440</v>
      </c>
      <c r="AL852" s="165" t="s">
        <v>1445</v>
      </c>
      <c r="AM852" s="165"/>
    </row>
    <row r="853" spans="1:39" x14ac:dyDescent="0.3">
      <c r="A853" s="165" t="s">
        <v>1447</v>
      </c>
      <c r="B853" s="165" t="s">
        <v>14</v>
      </c>
      <c r="C853" s="165" t="s">
        <v>1438</v>
      </c>
      <c r="D853" s="165" t="s">
        <v>15</v>
      </c>
      <c r="E853" s="157">
        <v>41212</v>
      </c>
      <c r="F853" s="165" t="s">
        <v>150</v>
      </c>
      <c r="G853" s="165" t="s">
        <v>16</v>
      </c>
      <c r="H853" s="165" t="s">
        <v>16</v>
      </c>
      <c r="I853" s="165" t="s">
        <v>150</v>
      </c>
      <c r="J853" s="165" t="s">
        <v>150</v>
      </c>
      <c r="K853" s="165" t="s">
        <v>148</v>
      </c>
      <c r="L853" s="165" t="s">
        <v>16</v>
      </c>
      <c r="M853" s="165" t="s">
        <v>150</v>
      </c>
      <c r="N853" s="165" t="s">
        <v>16</v>
      </c>
      <c r="O853" s="165" t="s">
        <v>16</v>
      </c>
      <c r="P853" s="165" t="s">
        <v>148</v>
      </c>
      <c r="Q853" s="165" t="s">
        <v>148</v>
      </c>
      <c r="R853" s="165" t="s">
        <v>16</v>
      </c>
      <c r="S853" s="165" t="s">
        <v>16</v>
      </c>
      <c r="T853" s="165" t="s">
        <v>148</v>
      </c>
      <c r="U853" s="165" t="s">
        <v>16</v>
      </c>
      <c r="V853" s="165" t="s">
        <v>16</v>
      </c>
      <c r="W853" s="165" t="s">
        <v>148</v>
      </c>
      <c r="X853" s="165" t="s">
        <v>148</v>
      </c>
      <c r="Y853" s="165" t="s">
        <v>148</v>
      </c>
      <c r="Z853" s="165" t="s">
        <v>148</v>
      </c>
      <c r="AA853" s="165" t="s">
        <v>16</v>
      </c>
      <c r="AB853" s="165" t="s">
        <v>16</v>
      </c>
      <c r="AC853" s="165" t="s">
        <v>16</v>
      </c>
      <c r="AD853" s="165" t="s">
        <v>148</v>
      </c>
      <c r="AE853" s="165"/>
      <c r="AF853" s="165"/>
      <c r="AG853" s="165"/>
      <c r="AH853" s="165"/>
      <c r="AI853" s="165"/>
      <c r="AJ853" s="165"/>
      <c r="AK853" s="165"/>
      <c r="AL853" s="165"/>
      <c r="AM853" s="165"/>
    </row>
    <row r="854" spans="1:39" x14ac:dyDescent="0.3">
      <c r="A854" s="165" t="s">
        <v>1448</v>
      </c>
      <c r="B854" s="165" t="s">
        <v>14</v>
      </c>
      <c r="C854" s="165" t="s">
        <v>1438</v>
      </c>
      <c r="D854" s="165" t="s">
        <v>15</v>
      </c>
      <c r="E854" s="157">
        <v>41212</v>
      </c>
      <c r="F854" s="165" t="s">
        <v>16</v>
      </c>
      <c r="G854" s="165" t="s">
        <v>148</v>
      </c>
      <c r="H854" s="165" t="s">
        <v>148</v>
      </c>
      <c r="I854" s="165" t="s">
        <v>148</v>
      </c>
      <c r="J854" s="165" t="s">
        <v>16</v>
      </c>
      <c r="K854" s="165" t="s">
        <v>148</v>
      </c>
      <c r="L854" s="165" t="s">
        <v>16</v>
      </c>
      <c r="M854" s="165" t="s">
        <v>16</v>
      </c>
      <c r="N854" s="165" t="s">
        <v>148</v>
      </c>
      <c r="O854" s="165" t="s">
        <v>148</v>
      </c>
      <c r="P854" s="165" t="s">
        <v>148</v>
      </c>
      <c r="Q854" s="165" t="s">
        <v>16</v>
      </c>
      <c r="R854" s="165" t="s">
        <v>148</v>
      </c>
      <c r="S854" s="165" t="s">
        <v>16</v>
      </c>
      <c r="T854" s="165" t="s">
        <v>16</v>
      </c>
      <c r="U854" s="165" t="s">
        <v>148</v>
      </c>
      <c r="V854" s="165" t="s">
        <v>16</v>
      </c>
      <c r="W854" s="165" t="s">
        <v>148</v>
      </c>
      <c r="X854" s="165" t="s">
        <v>16</v>
      </c>
      <c r="Y854" s="165" t="s">
        <v>148</v>
      </c>
      <c r="Z854" s="165" t="s">
        <v>16</v>
      </c>
      <c r="AA854" s="165" t="s">
        <v>16</v>
      </c>
      <c r="AB854" s="165" t="s">
        <v>16</v>
      </c>
      <c r="AC854" s="165" t="s">
        <v>16</v>
      </c>
      <c r="AD854" s="165" t="s">
        <v>16</v>
      </c>
      <c r="AE854" s="165" t="s">
        <v>1439</v>
      </c>
      <c r="AF854" s="165" t="s">
        <v>1440</v>
      </c>
      <c r="AG854" s="165" t="s">
        <v>1440</v>
      </c>
      <c r="AH854" s="165" t="s">
        <v>1440</v>
      </c>
      <c r="AI854" s="165" t="s">
        <v>1439</v>
      </c>
      <c r="AJ854" s="165" t="s">
        <v>1439</v>
      </c>
      <c r="AK854" s="165" t="s">
        <v>1439</v>
      </c>
      <c r="AL854" s="165" t="s">
        <v>1440</v>
      </c>
      <c r="AM854" s="165"/>
    </row>
    <row r="855" spans="1:39" x14ac:dyDescent="0.3">
      <c r="A855" s="165" t="s">
        <v>1449</v>
      </c>
      <c r="B855" s="165" t="s">
        <v>14</v>
      </c>
      <c r="C855" s="165" t="s">
        <v>1438</v>
      </c>
      <c r="D855" s="165" t="s">
        <v>15</v>
      </c>
      <c r="E855" s="157">
        <v>41212</v>
      </c>
      <c r="F855" s="165" t="s">
        <v>16</v>
      </c>
      <c r="G855" s="165" t="s">
        <v>16</v>
      </c>
      <c r="H855" s="165" t="s">
        <v>16</v>
      </c>
      <c r="I855" s="165" t="s">
        <v>16</v>
      </c>
      <c r="J855" s="165" t="s">
        <v>16</v>
      </c>
      <c r="K855" s="165" t="s">
        <v>150</v>
      </c>
      <c r="L855" s="165" t="s">
        <v>16</v>
      </c>
      <c r="M855" s="165" t="s">
        <v>16</v>
      </c>
      <c r="N855" s="165" t="s">
        <v>16</v>
      </c>
      <c r="O855" s="165" t="s">
        <v>16</v>
      </c>
      <c r="P855" s="165" t="s">
        <v>16</v>
      </c>
      <c r="Q855" s="165" t="s">
        <v>16</v>
      </c>
      <c r="R855" s="165" t="s">
        <v>16</v>
      </c>
      <c r="S855" s="165" t="s">
        <v>16</v>
      </c>
      <c r="T855" s="165" t="s">
        <v>16</v>
      </c>
      <c r="U855" s="165" t="s">
        <v>16</v>
      </c>
      <c r="V855" s="165" t="s">
        <v>16</v>
      </c>
      <c r="W855" s="165" t="s">
        <v>148</v>
      </c>
      <c r="X855" s="165" t="s">
        <v>16</v>
      </c>
      <c r="Y855" s="165" t="s">
        <v>148</v>
      </c>
      <c r="Z855" s="165" t="s">
        <v>16</v>
      </c>
      <c r="AA855" s="165" t="s">
        <v>16</v>
      </c>
      <c r="AB855" s="165" t="s">
        <v>16</v>
      </c>
      <c r="AC855" s="165" t="s">
        <v>16</v>
      </c>
      <c r="AD855" s="165" t="s">
        <v>16</v>
      </c>
      <c r="AE855" s="165" t="s">
        <v>1439</v>
      </c>
      <c r="AF855" s="165" t="s">
        <v>1440</v>
      </c>
      <c r="AG855" s="165" t="s">
        <v>1440</v>
      </c>
      <c r="AH855" s="165" t="s">
        <v>1440</v>
      </c>
      <c r="AI855" s="165" t="s">
        <v>1439</v>
      </c>
      <c r="AJ855" s="165" t="s">
        <v>1440</v>
      </c>
      <c r="AK855" s="165" t="s">
        <v>1444</v>
      </c>
      <c r="AL855" s="165" t="s">
        <v>1445</v>
      </c>
      <c r="AM855" s="165"/>
    </row>
    <row r="856" spans="1:39" x14ac:dyDescent="0.3">
      <c r="A856" s="165" t="s">
        <v>1450</v>
      </c>
      <c r="B856" s="165" t="s">
        <v>14</v>
      </c>
      <c r="C856" s="165" t="s">
        <v>1438</v>
      </c>
      <c r="D856" s="165" t="s">
        <v>15</v>
      </c>
      <c r="E856" s="157">
        <v>41212</v>
      </c>
      <c r="F856" s="165" t="s">
        <v>16</v>
      </c>
      <c r="G856" s="165" t="s">
        <v>16</v>
      </c>
      <c r="H856" s="165" t="s">
        <v>16</v>
      </c>
      <c r="I856" s="165" t="s">
        <v>16</v>
      </c>
      <c r="J856" s="165" t="s">
        <v>16</v>
      </c>
      <c r="K856" s="165" t="s">
        <v>148</v>
      </c>
      <c r="L856" s="165" t="s">
        <v>16</v>
      </c>
      <c r="M856" s="165" t="s">
        <v>16</v>
      </c>
      <c r="N856" s="165" t="s">
        <v>16</v>
      </c>
      <c r="O856" s="165" t="s">
        <v>16</v>
      </c>
      <c r="P856" s="165" t="s">
        <v>16</v>
      </c>
      <c r="Q856" s="165" t="s">
        <v>16</v>
      </c>
      <c r="R856" s="165" t="s">
        <v>148</v>
      </c>
      <c r="S856" s="165" t="s">
        <v>148</v>
      </c>
      <c r="T856" s="165" t="s">
        <v>16</v>
      </c>
      <c r="U856" s="165" t="s">
        <v>16</v>
      </c>
      <c r="V856" s="165" t="s">
        <v>16</v>
      </c>
      <c r="W856" s="165" t="s">
        <v>16</v>
      </c>
      <c r="X856" s="165" t="s">
        <v>16</v>
      </c>
      <c r="Y856" s="165" t="s">
        <v>16</v>
      </c>
      <c r="Z856" s="165" t="s">
        <v>16</v>
      </c>
      <c r="AA856" s="165" t="s">
        <v>16</v>
      </c>
      <c r="AB856" s="165" t="s">
        <v>16</v>
      </c>
      <c r="AC856" s="165" t="s">
        <v>16</v>
      </c>
      <c r="AD856" s="165" t="s">
        <v>16</v>
      </c>
      <c r="AE856" s="165" t="s">
        <v>1444</v>
      </c>
      <c r="AF856" s="165" t="s">
        <v>1439</v>
      </c>
      <c r="AG856" s="165" t="s">
        <v>1444</v>
      </c>
      <c r="AH856" s="165" t="s">
        <v>1440</v>
      </c>
      <c r="AI856" s="165" t="s">
        <v>1444</v>
      </c>
      <c r="AJ856" s="165" t="s">
        <v>1440</v>
      </c>
      <c r="AK856" s="165" t="s">
        <v>1444</v>
      </c>
      <c r="AL856" s="165" t="s">
        <v>1439</v>
      </c>
      <c r="AM856" s="165"/>
    </row>
    <row r="857" spans="1:39" x14ac:dyDescent="0.3">
      <c r="A857" s="165" t="s">
        <v>1451</v>
      </c>
      <c r="B857" s="165" t="s">
        <v>14</v>
      </c>
      <c r="C857" s="165" t="s">
        <v>1438</v>
      </c>
      <c r="D857" s="165" t="s">
        <v>15</v>
      </c>
      <c r="E857" s="157">
        <v>41212</v>
      </c>
      <c r="F857" s="165" t="s">
        <v>148</v>
      </c>
      <c r="G857" s="165" t="s">
        <v>16</v>
      </c>
      <c r="H857" s="165" t="s">
        <v>148</v>
      </c>
      <c r="I857" s="165" t="s">
        <v>148</v>
      </c>
      <c r="J857" s="165" t="s">
        <v>148</v>
      </c>
      <c r="K857" s="165" t="s">
        <v>16</v>
      </c>
      <c r="L857" s="165" t="s">
        <v>148</v>
      </c>
      <c r="M857" s="165" t="s">
        <v>148</v>
      </c>
      <c r="N857" s="165" t="s">
        <v>16</v>
      </c>
      <c r="O857" s="165" t="s">
        <v>16</v>
      </c>
      <c r="P857" s="165" t="s">
        <v>16</v>
      </c>
      <c r="Q857" s="165" t="s">
        <v>16</v>
      </c>
      <c r="R857" s="165" t="s">
        <v>150</v>
      </c>
      <c r="S857" s="165" t="s">
        <v>16</v>
      </c>
      <c r="T857" s="165" t="s">
        <v>150</v>
      </c>
      <c r="U857" s="165" t="s">
        <v>16</v>
      </c>
      <c r="V857" s="165" t="s">
        <v>148</v>
      </c>
      <c r="W857" s="165" t="s">
        <v>150</v>
      </c>
      <c r="X857" s="165" t="s">
        <v>16</v>
      </c>
      <c r="Y857" s="165" t="s">
        <v>150</v>
      </c>
      <c r="Z857" s="165" t="s">
        <v>16</v>
      </c>
      <c r="AA857" s="165" t="s">
        <v>16</v>
      </c>
      <c r="AB857" s="165" t="s">
        <v>16</v>
      </c>
      <c r="AC857" s="165" t="s">
        <v>150</v>
      </c>
      <c r="AD857" s="165" t="s">
        <v>16</v>
      </c>
      <c r="AE857" s="165" t="s">
        <v>1440</v>
      </c>
      <c r="AF857" s="165" t="s">
        <v>1440</v>
      </c>
      <c r="AG857" s="165" t="s">
        <v>1439</v>
      </c>
      <c r="AH857" s="165" t="s">
        <v>1440</v>
      </c>
      <c r="AI857" s="165" t="s">
        <v>1439</v>
      </c>
      <c r="AJ857" s="165" t="s">
        <v>1440</v>
      </c>
      <c r="AK857" s="165" t="s">
        <v>1440</v>
      </c>
      <c r="AL857" s="165" t="s">
        <v>1445</v>
      </c>
      <c r="AM857" s="165" t="s">
        <v>1452</v>
      </c>
    </row>
    <row r="858" spans="1:39" x14ac:dyDescent="0.3">
      <c r="A858" s="165" t="s">
        <v>1453</v>
      </c>
      <c r="B858" s="165" t="s">
        <v>14</v>
      </c>
      <c r="C858" s="165" t="s">
        <v>1438</v>
      </c>
      <c r="D858" s="165" t="s">
        <v>15</v>
      </c>
      <c r="E858" s="157">
        <v>41212</v>
      </c>
      <c r="F858" s="165" t="s">
        <v>16</v>
      </c>
      <c r="G858" s="165" t="s">
        <v>16</v>
      </c>
      <c r="H858" s="165" t="s">
        <v>148</v>
      </c>
      <c r="I858" s="165" t="s">
        <v>16</v>
      </c>
      <c r="J858" s="165" t="s">
        <v>16</v>
      </c>
      <c r="K858" s="165" t="s">
        <v>16</v>
      </c>
      <c r="L858" s="165" t="s">
        <v>16</v>
      </c>
      <c r="M858" s="165" t="s">
        <v>16</v>
      </c>
      <c r="N858" s="165" t="s">
        <v>16</v>
      </c>
      <c r="O858" s="165" t="s">
        <v>16</v>
      </c>
      <c r="P858" s="165" t="s">
        <v>16</v>
      </c>
      <c r="Q858" s="165" t="s">
        <v>16</v>
      </c>
      <c r="R858" s="165" t="s">
        <v>16</v>
      </c>
      <c r="S858" s="165" t="s">
        <v>16</v>
      </c>
      <c r="T858" s="165" t="s">
        <v>16</v>
      </c>
      <c r="U858" s="165" t="s">
        <v>16</v>
      </c>
      <c r="V858" s="165" t="s">
        <v>16</v>
      </c>
      <c r="W858" s="165" t="s">
        <v>16</v>
      </c>
      <c r="X858" s="165" t="s">
        <v>16</v>
      </c>
      <c r="Y858" s="165" t="s">
        <v>16</v>
      </c>
      <c r="Z858" s="165" t="s">
        <v>16</v>
      </c>
      <c r="AA858" s="165" t="s">
        <v>16</v>
      </c>
      <c r="AB858" s="165" t="s">
        <v>16</v>
      </c>
      <c r="AC858" s="165" t="s">
        <v>16</v>
      </c>
      <c r="AD858" s="165" t="s">
        <v>16</v>
      </c>
      <c r="AE858" s="165" t="s">
        <v>1440</v>
      </c>
      <c r="AF858" s="165" t="s">
        <v>1439</v>
      </c>
      <c r="AG858" s="165" t="s">
        <v>1439</v>
      </c>
      <c r="AH858" s="165" t="s">
        <v>1440</v>
      </c>
      <c r="AI858" s="165" t="s">
        <v>1439</v>
      </c>
      <c r="AJ858" s="165" t="s">
        <v>1440</v>
      </c>
      <c r="AK858" s="165" t="s">
        <v>1439</v>
      </c>
      <c r="AL858" s="165" t="s">
        <v>1439</v>
      </c>
      <c r="AM858" s="165"/>
    </row>
    <row r="859" spans="1:39" x14ac:dyDescent="0.3">
      <c r="A859" s="165" t="s">
        <v>1454</v>
      </c>
      <c r="B859" s="165" t="s">
        <v>14</v>
      </c>
      <c r="C859" s="165" t="s">
        <v>1438</v>
      </c>
      <c r="D859" s="165" t="s">
        <v>15</v>
      </c>
      <c r="E859" s="157">
        <v>41212</v>
      </c>
      <c r="F859" s="165" t="s">
        <v>16</v>
      </c>
      <c r="G859" s="165" t="s">
        <v>149</v>
      </c>
      <c r="H859" s="165" t="s">
        <v>148</v>
      </c>
      <c r="I859" s="165" t="s">
        <v>16</v>
      </c>
      <c r="J859" s="165" t="s">
        <v>16</v>
      </c>
      <c r="K859" s="165" t="s">
        <v>16</v>
      </c>
      <c r="L859" s="165" t="s">
        <v>16</v>
      </c>
      <c r="M859" s="165" t="s">
        <v>16</v>
      </c>
      <c r="N859" s="165" t="s">
        <v>16</v>
      </c>
      <c r="O859" s="165" t="s">
        <v>16</v>
      </c>
      <c r="P859" s="165" t="s">
        <v>16</v>
      </c>
      <c r="Q859" s="165" t="s">
        <v>16</v>
      </c>
      <c r="R859" s="165" t="s">
        <v>148</v>
      </c>
      <c r="S859" s="165" t="s">
        <v>148</v>
      </c>
      <c r="T859" s="165" t="s">
        <v>16</v>
      </c>
      <c r="U859" s="165" t="s">
        <v>16</v>
      </c>
      <c r="V859" s="165" t="s">
        <v>16</v>
      </c>
      <c r="W859" s="165" t="s">
        <v>16</v>
      </c>
      <c r="X859" s="165" t="s">
        <v>16</v>
      </c>
      <c r="Y859" s="165" t="s">
        <v>16</v>
      </c>
      <c r="Z859" s="165" t="s">
        <v>149</v>
      </c>
      <c r="AA859" s="165" t="s">
        <v>149</v>
      </c>
      <c r="AB859" s="165" t="s">
        <v>16</v>
      </c>
      <c r="AC859" s="165" t="s">
        <v>16</v>
      </c>
      <c r="AD859" s="165" t="s">
        <v>16</v>
      </c>
      <c r="AE859" s="165" t="s">
        <v>1445</v>
      </c>
      <c r="AF859" s="165" t="s">
        <v>1445</v>
      </c>
      <c r="AG859" s="165" t="s">
        <v>1440</v>
      </c>
      <c r="AH859" s="165" t="s">
        <v>1440</v>
      </c>
      <c r="AI859" s="165" t="s">
        <v>1440</v>
      </c>
      <c r="AJ859" s="165" t="s">
        <v>1440</v>
      </c>
      <c r="AK859" s="165" t="s">
        <v>1439</v>
      </c>
      <c r="AL859" s="165" t="s">
        <v>1445</v>
      </c>
      <c r="AM859" s="165"/>
    </row>
    <row r="860" spans="1:39" x14ac:dyDescent="0.3">
      <c r="A860" s="165" t="s">
        <v>1455</v>
      </c>
      <c r="B860" s="165" t="s">
        <v>14</v>
      </c>
      <c r="C860" s="165" t="s">
        <v>1438</v>
      </c>
      <c r="D860" s="165" t="s">
        <v>15</v>
      </c>
      <c r="E860" s="157">
        <v>41212</v>
      </c>
      <c r="F860" s="165" t="s">
        <v>148</v>
      </c>
      <c r="G860" s="165" t="s">
        <v>16</v>
      </c>
      <c r="H860" s="165" t="s">
        <v>16</v>
      </c>
      <c r="I860" s="165" t="s">
        <v>148</v>
      </c>
      <c r="J860" s="165" t="s">
        <v>16</v>
      </c>
      <c r="K860" s="165" t="s">
        <v>148</v>
      </c>
      <c r="L860" s="165" t="s">
        <v>148</v>
      </c>
      <c r="M860" s="165" t="s">
        <v>149</v>
      </c>
      <c r="N860" s="165" t="s">
        <v>148</v>
      </c>
      <c r="O860" s="165" t="s">
        <v>149</v>
      </c>
      <c r="P860" s="165" t="s">
        <v>148</v>
      </c>
      <c r="Q860" s="165" t="s">
        <v>149</v>
      </c>
      <c r="R860" s="165" t="s">
        <v>149</v>
      </c>
      <c r="S860" s="165" t="s">
        <v>149</v>
      </c>
      <c r="T860" s="165" t="s">
        <v>149</v>
      </c>
      <c r="U860" s="165" t="s">
        <v>148</v>
      </c>
      <c r="V860" s="165" t="s">
        <v>149</v>
      </c>
      <c r="W860" s="165" t="s">
        <v>149</v>
      </c>
      <c r="X860" s="165" t="s">
        <v>149</v>
      </c>
      <c r="Y860" s="165" t="s">
        <v>149</v>
      </c>
      <c r="Z860" s="165" t="s">
        <v>148</v>
      </c>
      <c r="AA860" s="165" t="s">
        <v>148</v>
      </c>
      <c r="AB860" s="165" t="s">
        <v>149</v>
      </c>
      <c r="AC860" s="165" t="s">
        <v>149</v>
      </c>
      <c r="AD860" s="165" t="s">
        <v>149</v>
      </c>
      <c r="AE860" s="165" t="s">
        <v>1439</v>
      </c>
      <c r="AF860" s="165" t="s">
        <v>1440</v>
      </c>
      <c r="AG860" s="165" t="s">
        <v>1444</v>
      </c>
      <c r="AH860" s="165" t="s">
        <v>1440</v>
      </c>
      <c r="AI860" s="165" t="s">
        <v>1439</v>
      </c>
      <c r="AJ860" s="165" t="s">
        <v>1439</v>
      </c>
      <c r="AK860" s="165" t="s">
        <v>1456</v>
      </c>
      <c r="AL860" s="165" t="s">
        <v>1440</v>
      </c>
      <c r="AM860" s="165" t="s">
        <v>1457</v>
      </c>
    </row>
    <row r="861" spans="1:39" x14ac:dyDescent="0.3">
      <c r="A861" s="165" t="s">
        <v>1458</v>
      </c>
      <c r="B861" s="165" t="s">
        <v>14</v>
      </c>
      <c r="C861" s="165" t="s">
        <v>1438</v>
      </c>
      <c r="D861" s="165" t="s">
        <v>15</v>
      </c>
      <c r="E861" s="157">
        <v>41212</v>
      </c>
      <c r="F861" s="165" t="s">
        <v>148</v>
      </c>
      <c r="G861" s="165" t="s">
        <v>16</v>
      </c>
      <c r="H861" s="165" t="s">
        <v>16</v>
      </c>
      <c r="I861" s="165" t="s">
        <v>148</v>
      </c>
      <c r="J861" s="165" t="s">
        <v>16</v>
      </c>
      <c r="K861" s="165" t="s">
        <v>16</v>
      </c>
      <c r="L861" s="165" t="s">
        <v>16</v>
      </c>
      <c r="M861" s="165" t="s">
        <v>16</v>
      </c>
      <c r="N861" s="165" t="s">
        <v>148</v>
      </c>
      <c r="O861" s="165" t="s">
        <v>148</v>
      </c>
      <c r="P861" s="165" t="s">
        <v>16</v>
      </c>
      <c r="Q861" s="165" t="s">
        <v>16</v>
      </c>
      <c r="R861" s="165" t="s">
        <v>16</v>
      </c>
      <c r="S861" s="165" t="s">
        <v>16</v>
      </c>
      <c r="T861" s="165" t="s">
        <v>148</v>
      </c>
      <c r="U861" s="165" t="s">
        <v>16</v>
      </c>
      <c r="V861" s="165" t="s">
        <v>16</v>
      </c>
      <c r="W861" s="165" t="s">
        <v>16</v>
      </c>
      <c r="X861" s="165" t="s">
        <v>16</v>
      </c>
      <c r="Y861" s="165" t="s">
        <v>148</v>
      </c>
      <c r="Z861" s="165" t="s">
        <v>16</v>
      </c>
      <c r="AA861" s="165" t="s">
        <v>16</v>
      </c>
      <c r="AB861" s="165" t="s">
        <v>16</v>
      </c>
      <c r="AC861" s="165" t="s">
        <v>148</v>
      </c>
      <c r="AD861" s="165" t="s">
        <v>16</v>
      </c>
      <c r="AE861" s="165" t="s">
        <v>1439</v>
      </c>
      <c r="AF861" s="165" t="s">
        <v>1440</v>
      </c>
      <c r="AG861" s="165" t="s">
        <v>1439</v>
      </c>
      <c r="AH861" s="165" t="s">
        <v>1444</v>
      </c>
      <c r="AI861" s="165" t="s">
        <v>1439</v>
      </c>
      <c r="AJ861" s="165" t="s">
        <v>1444</v>
      </c>
      <c r="AK861" s="165" t="s">
        <v>1444</v>
      </c>
      <c r="AL861" s="165" t="s">
        <v>1440</v>
      </c>
      <c r="AM861" s="165"/>
    </row>
    <row r="862" spans="1:39" x14ac:dyDescent="0.3">
      <c r="A862" s="165" t="s">
        <v>1459</v>
      </c>
      <c r="B862" s="165" t="s">
        <v>14</v>
      </c>
      <c r="C862" s="165" t="s">
        <v>1438</v>
      </c>
      <c r="D862" s="165" t="s">
        <v>15</v>
      </c>
      <c r="E862" s="157">
        <v>41212</v>
      </c>
      <c r="F862" s="165" t="s">
        <v>150</v>
      </c>
      <c r="G862" s="165" t="s">
        <v>149</v>
      </c>
      <c r="H862" s="165" t="s">
        <v>16</v>
      </c>
      <c r="I862" s="165" t="s">
        <v>148</v>
      </c>
      <c r="J862" s="165" t="s">
        <v>150</v>
      </c>
      <c r="K862" s="165" t="s">
        <v>16</v>
      </c>
      <c r="L862" s="165" t="s">
        <v>16</v>
      </c>
      <c r="M862" s="165" t="s">
        <v>16</v>
      </c>
      <c r="N862" s="165" t="s">
        <v>16</v>
      </c>
      <c r="O862" s="165" t="s">
        <v>16</v>
      </c>
      <c r="P862" s="165" t="s">
        <v>148</v>
      </c>
      <c r="Q862" s="165" t="s">
        <v>16</v>
      </c>
      <c r="R862" s="165" t="s">
        <v>149</v>
      </c>
      <c r="S862" s="165" t="s">
        <v>16</v>
      </c>
      <c r="T862" s="165" t="s">
        <v>16</v>
      </c>
      <c r="U862" s="165" t="s">
        <v>16</v>
      </c>
      <c r="V862" s="165" t="s">
        <v>16</v>
      </c>
      <c r="W862" s="165" t="s">
        <v>16</v>
      </c>
      <c r="X862" s="165" t="s">
        <v>16</v>
      </c>
      <c r="Y862" s="165" t="s">
        <v>16</v>
      </c>
      <c r="Z862" s="165" t="s">
        <v>16</v>
      </c>
      <c r="AA862" s="165" t="s">
        <v>16</v>
      </c>
      <c r="AB862" s="165" t="s">
        <v>16</v>
      </c>
      <c r="AC862" s="165" t="s">
        <v>16</v>
      </c>
      <c r="AD862" s="165" t="s">
        <v>16</v>
      </c>
      <c r="AE862" s="165" t="s">
        <v>1445</v>
      </c>
      <c r="AF862" s="165" t="s">
        <v>1445</v>
      </c>
      <c r="AG862" s="165" t="s">
        <v>1445</v>
      </c>
      <c r="AH862" s="165" t="s">
        <v>1445</v>
      </c>
      <c r="AI862" s="165" t="s">
        <v>1439</v>
      </c>
      <c r="AJ862" s="165" t="s">
        <v>1445</v>
      </c>
      <c r="AK862" s="165" t="s">
        <v>1439</v>
      </c>
      <c r="AL862" s="165" t="s">
        <v>1440</v>
      </c>
      <c r="AM862" s="165"/>
    </row>
    <row r="863" spans="1:39" x14ac:dyDescent="0.3">
      <c r="A863" s="165" t="s">
        <v>1460</v>
      </c>
      <c r="B863" s="165" t="s">
        <v>14</v>
      </c>
      <c r="C863" s="165" t="s">
        <v>1438</v>
      </c>
      <c r="D863" s="165" t="s">
        <v>15</v>
      </c>
      <c r="E863" s="157">
        <v>41212</v>
      </c>
      <c r="F863" s="165" t="s">
        <v>16</v>
      </c>
      <c r="G863" s="165" t="s">
        <v>148</v>
      </c>
      <c r="H863" s="165" t="s">
        <v>148</v>
      </c>
      <c r="I863" s="165" t="s">
        <v>148</v>
      </c>
      <c r="J863" s="165" t="s">
        <v>148</v>
      </c>
      <c r="K863" s="165" t="s">
        <v>148</v>
      </c>
      <c r="L863" s="165" t="s">
        <v>148</v>
      </c>
      <c r="M863" s="165" t="s">
        <v>148</v>
      </c>
      <c r="N863" s="165" t="s">
        <v>16</v>
      </c>
      <c r="O863" s="165" t="s">
        <v>16</v>
      </c>
      <c r="P863" s="165" t="s">
        <v>148</v>
      </c>
      <c r="Q863" s="165" t="s">
        <v>16</v>
      </c>
      <c r="R863" s="165" t="s">
        <v>148</v>
      </c>
      <c r="S863" s="165" t="s">
        <v>148</v>
      </c>
      <c r="T863" s="165" t="s">
        <v>148</v>
      </c>
      <c r="U863" s="165" t="s">
        <v>148</v>
      </c>
      <c r="V863" s="165" t="s">
        <v>148</v>
      </c>
      <c r="W863" s="165" t="s">
        <v>148</v>
      </c>
      <c r="X863" s="165" t="s">
        <v>16</v>
      </c>
      <c r="Y863" s="165" t="s">
        <v>114</v>
      </c>
      <c r="Z863" s="165" t="s">
        <v>148</v>
      </c>
      <c r="AA863" s="165" t="s">
        <v>148</v>
      </c>
      <c r="AB863" s="165" t="s">
        <v>16</v>
      </c>
      <c r="AC863" s="165" t="s">
        <v>148</v>
      </c>
      <c r="AD863" s="165" t="s">
        <v>16</v>
      </c>
      <c r="AE863" s="165" t="s">
        <v>1440</v>
      </c>
      <c r="AF863" s="165" t="s">
        <v>1440</v>
      </c>
      <c r="AG863" s="165" t="s">
        <v>1440</v>
      </c>
      <c r="AH863" s="165" t="s">
        <v>1445</v>
      </c>
      <c r="AI863" s="165" t="s">
        <v>1440</v>
      </c>
      <c r="AJ863" s="165" t="s">
        <v>1439</v>
      </c>
      <c r="AK863" s="165" t="s">
        <v>1439</v>
      </c>
      <c r="AL863" s="165" t="s">
        <v>1440</v>
      </c>
      <c r="AM863" s="165"/>
    </row>
    <row r="864" spans="1:39" x14ac:dyDescent="0.3">
      <c r="A864" s="165" t="s">
        <v>1461</v>
      </c>
      <c r="B864" s="165" t="s">
        <v>14</v>
      </c>
      <c r="C864" s="165" t="s">
        <v>1438</v>
      </c>
      <c r="D864" s="165" t="s">
        <v>15</v>
      </c>
      <c r="E864" s="157">
        <v>41212</v>
      </c>
      <c r="F864" s="165" t="s">
        <v>16</v>
      </c>
      <c r="G864" s="165" t="s">
        <v>16</v>
      </c>
      <c r="H864" s="165" t="s">
        <v>16</v>
      </c>
      <c r="I864" s="165" t="s">
        <v>16</v>
      </c>
      <c r="J864" s="165" t="s">
        <v>148</v>
      </c>
      <c r="K864" s="165" t="s">
        <v>16</v>
      </c>
      <c r="L864" s="165" t="s">
        <v>16</v>
      </c>
      <c r="M864" s="165" t="s">
        <v>16</v>
      </c>
      <c r="N864" s="165" t="s">
        <v>148</v>
      </c>
      <c r="O864" s="165" t="s">
        <v>16</v>
      </c>
      <c r="P864" s="165" t="s">
        <v>16</v>
      </c>
      <c r="Q864" s="165" t="s">
        <v>16</v>
      </c>
      <c r="R864" s="165" t="s">
        <v>16</v>
      </c>
      <c r="S864" s="165" t="s">
        <v>16</v>
      </c>
      <c r="T864" s="165" t="s">
        <v>16</v>
      </c>
      <c r="U864" s="165" t="s">
        <v>16</v>
      </c>
      <c r="V864" s="165" t="s">
        <v>16</v>
      </c>
      <c r="W864" s="165" t="s">
        <v>16</v>
      </c>
      <c r="X864" s="165" t="s">
        <v>16</v>
      </c>
      <c r="Y864" s="165" t="s">
        <v>16</v>
      </c>
      <c r="Z864" s="165" t="s">
        <v>16</v>
      </c>
      <c r="AA864" s="165" t="s">
        <v>16</v>
      </c>
      <c r="AB864" s="165" t="s">
        <v>16</v>
      </c>
      <c r="AC864" s="165" t="s">
        <v>16</v>
      </c>
      <c r="AD864" s="165" t="s">
        <v>16</v>
      </c>
      <c r="AE864" s="165"/>
      <c r="AF864" s="165"/>
      <c r="AG864" s="165"/>
      <c r="AH864" s="165"/>
      <c r="AI864" s="165"/>
      <c r="AJ864" s="165"/>
      <c r="AK864" s="165"/>
      <c r="AL864" s="165"/>
      <c r="AM864" s="165"/>
    </row>
    <row r="865" spans="1:39" x14ac:dyDescent="0.3">
      <c r="A865" s="165" t="s">
        <v>1462</v>
      </c>
      <c r="B865" s="165" t="s">
        <v>14</v>
      </c>
      <c r="C865" s="165" t="s">
        <v>1438</v>
      </c>
      <c r="D865" s="165" t="s">
        <v>15</v>
      </c>
      <c r="E865" s="157">
        <v>41212</v>
      </c>
      <c r="F865" s="165" t="s">
        <v>148</v>
      </c>
      <c r="G865" s="165" t="s">
        <v>16</v>
      </c>
      <c r="H865" s="165" t="s">
        <v>16</v>
      </c>
      <c r="I865" s="165" t="s">
        <v>16</v>
      </c>
      <c r="J865" s="165" t="s">
        <v>114</v>
      </c>
      <c r="K865" s="165" t="s">
        <v>150</v>
      </c>
      <c r="L865" s="165" t="s">
        <v>16</v>
      </c>
      <c r="M865" s="165" t="s">
        <v>16</v>
      </c>
      <c r="N865" s="165" t="s">
        <v>16</v>
      </c>
      <c r="O865" s="165" t="s">
        <v>16</v>
      </c>
      <c r="P865" s="165" t="s">
        <v>16</v>
      </c>
      <c r="Q865" s="165" t="s">
        <v>16</v>
      </c>
      <c r="R865" s="165" t="s">
        <v>16</v>
      </c>
      <c r="S865" s="165" t="s">
        <v>148</v>
      </c>
      <c r="T865" s="165" t="s">
        <v>16</v>
      </c>
      <c r="U865" s="165" t="s">
        <v>16</v>
      </c>
      <c r="V865" s="165" t="s">
        <v>16</v>
      </c>
      <c r="W865" s="165" t="s">
        <v>16</v>
      </c>
      <c r="X865" s="165" t="s">
        <v>16</v>
      </c>
      <c r="Y865" s="165" t="s">
        <v>16</v>
      </c>
      <c r="Z865" s="165" t="s">
        <v>16</v>
      </c>
      <c r="AA865" s="165" t="s">
        <v>148</v>
      </c>
      <c r="AB865" s="165" t="s">
        <v>16</v>
      </c>
      <c r="AC865" s="165" t="s">
        <v>148</v>
      </c>
      <c r="AD865" s="165" t="s">
        <v>16</v>
      </c>
      <c r="AE865" s="165" t="s">
        <v>1440</v>
      </c>
      <c r="AF865" s="165" t="s">
        <v>1439</v>
      </c>
      <c r="AG865" s="165" t="s">
        <v>1439</v>
      </c>
      <c r="AH865" s="165" t="s">
        <v>1439</v>
      </c>
      <c r="AI865" s="165" t="s">
        <v>1440</v>
      </c>
      <c r="AJ865" s="165" t="s">
        <v>1440</v>
      </c>
      <c r="AK865" s="165" t="s">
        <v>1439</v>
      </c>
      <c r="AL865" s="165" t="s">
        <v>1440</v>
      </c>
      <c r="AM865" s="165"/>
    </row>
    <row r="866" spans="1:39" x14ac:dyDescent="0.3">
      <c r="A866" s="165" t="s">
        <v>1463</v>
      </c>
      <c r="B866" s="165" t="s">
        <v>14</v>
      </c>
      <c r="C866" s="165" t="s">
        <v>1438</v>
      </c>
      <c r="D866" s="165" t="s">
        <v>15</v>
      </c>
      <c r="E866" s="157">
        <v>41212</v>
      </c>
      <c r="F866" s="165" t="s">
        <v>16</v>
      </c>
      <c r="G866" s="165" t="s">
        <v>16</v>
      </c>
      <c r="H866" s="165" t="s">
        <v>16</v>
      </c>
      <c r="I866" s="165" t="s">
        <v>150</v>
      </c>
      <c r="J866" s="165" t="s">
        <v>16</v>
      </c>
      <c r="K866" s="165" t="s">
        <v>150</v>
      </c>
      <c r="L866" s="165" t="s">
        <v>16</v>
      </c>
      <c r="M866" s="165" t="s">
        <v>16</v>
      </c>
      <c r="N866" s="165" t="s">
        <v>150</v>
      </c>
      <c r="O866" s="165" t="s">
        <v>150</v>
      </c>
      <c r="P866" s="165" t="s">
        <v>150</v>
      </c>
      <c r="Q866" s="165" t="s">
        <v>16</v>
      </c>
      <c r="R866" s="165" t="s">
        <v>16</v>
      </c>
      <c r="S866" s="165" t="s">
        <v>16</v>
      </c>
      <c r="T866" s="165" t="s">
        <v>16</v>
      </c>
      <c r="U866" s="165" t="s">
        <v>16</v>
      </c>
      <c r="V866" s="165" t="s">
        <v>16</v>
      </c>
      <c r="W866" s="165" t="s">
        <v>148</v>
      </c>
      <c r="X866" s="165" t="s">
        <v>150</v>
      </c>
      <c r="Y866" s="165" t="s">
        <v>16</v>
      </c>
      <c r="Z866" s="165" t="s">
        <v>16</v>
      </c>
      <c r="AA866" s="165" t="s">
        <v>16</v>
      </c>
      <c r="AB866" s="165" t="s">
        <v>16</v>
      </c>
      <c r="AC866" s="165" t="s">
        <v>148</v>
      </c>
      <c r="AD866" s="165" t="s">
        <v>16</v>
      </c>
      <c r="AE866" s="165"/>
      <c r="AF866" s="165"/>
      <c r="AG866" s="165"/>
      <c r="AH866" s="165"/>
      <c r="AI866" s="165"/>
      <c r="AJ866" s="165"/>
      <c r="AK866" s="165" t="s">
        <v>1440</v>
      </c>
      <c r="AL866" s="165" t="s">
        <v>1440</v>
      </c>
      <c r="AM866" s="165"/>
    </row>
    <row r="867" spans="1:39" x14ac:dyDescent="0.3">
      <c r="A867" s="165" t="s">
        <v>1464</v>
      </c>
      <c r="B867" s="165" t="s">
        <v>14</v>
      </c>
      <c r="C867" s="165" t="s">
        <v>1438</v>
      </c>
      <c r="D867" s="165" t="s">
        <v>15</v>
      </c>
      <c r="E867" s="157">
        <v>41212</v>
      </c>
      <c r="F867" s="165" t="s">
        <v>16</v>
      </c>
      <c r="G867" s="165" t="s">
        <v>16</v>
      </c>
      <c r="H867" s="165" t="s">
        <v>16</v>
      </c>
      <c r="I867" s="165" t="s">
        <v>16</v>
      </c>
      <c r="J867" s="165" t="s">
        <v>16</v>
      </c>
      <c r="K867" s="165" t="s">
        <v>148</v>
      </c>
      <c r="L867" s="165" t="s">
        <v>16</v>
      </c>
      <c r="M867" s="165" t="s">
        <v>16</v>
      </c>
      <c r="N867" s="165" t="s">
        <v>16</v>
      </c>
      <c r="O867" s="165" t="s">
        <v>16</v>
      </c>
      <c r="P867" s="165" t="s">
        <v>16</v>
      </c>
      <c r="Q867" s="165" t="s">
        <v>16</v>
      </c>
      <c r="R867" s="165" t="s">
        <v>16</v>
      </c>
      <c r="S867" s="165" t="s">
        <v>16</v>
      </c>
      <c r="T867" s="165" t="s">
        <v>16</v>
      </c>
      <c r="U867" s="165" t="s">
        <v>16</v>
      </c>
      <c r="V867" s="165" t="s">
        <v>16</v>
      </c>
      <c r="W867" s="165" t="s">
        <v>16</v>
      </c>
      <c r="X867" s="165" t="s">
        <v>16</v>
      </c>
      <c r="Y867" s="165" t="s">
        <v>16</v>
      </c>
      <c r="Z867" s="165" t="s">
        <v>16</v>
      </c>
      <c r="AA867" s="165" t="s">
        <v>16</v>
      </c>
      <c r="AB867" s="165" t="s">
        <v>16</v>
      </c>
      <c r="AC867" s="165" t="s">
        <v>16</v>
      </c>
      <c r="AD867" s="165" t="s">
        <v>16</v>
      </c>
      <c r="AE867" s="165" t="s">
        <v>1439</v>
      </c>
      <c r="AF867" s="165" t="s">
        <v>1439</v>
      </c>
      <c r="AG867" s="165" t="s">
        <v>1439</v>
      </c>
      <c r="AH867" s="165" t="s">
        <v>1439</v>
      </c>
      <c r="AI867" s="165" t="s">
        <v>1439</v>
      </c>
      <c r="AJ867" s="165" t="s">
        <v>1440</v>
      </c>
      <c r="AK867" s="165" t="s">
        <v>1439</v>
      </c>
      <c r="AL867" s="165" t="s">
        <v>1439</v>
      </c>
      <c r="AM867" s="165" t="s">
        <v>1465</v>
      </c>
    </row>
    <row r="868" spans="1:39" x14ac:dyDescent="0.3">
      <c r="A868" s="165" t="s">
        <v>1466</v>
      </c>
      <c r="B868" s="165" t="s">
        <v>14</v>
      </c>
      <c r="C868" s="165" t="s">
        <v>1438</v>
      </c>
      <c r="D868" s="165" t="s">
        <v>15</v>
      </c>
      <c r="E868" s="157">
        <v>41212</v>
      </c>
      <c r="F868" s="165" t="s">
        <v>148</v>
      </c>
      <c r="G868" s="165" t="s">
        <v>16</v>
      </c>
      <c r="H868" s="165" t="s">
        <v>16</v>
      </c>
      <c r="I868" s="165" t="s">
        <v>148</v>
      </c>
      <c r="J868" s="165" t="s">
        <v>148</v>
      </c>
      <c r="K868" s="165" t="s">
        <v>148</v>
      </c>
      <c r="L868" s="165" t="s">
        <v>16</v>
      </c>
      <c r="M868" s="165" t="s">
        <v>148</v>
      </c>
      <c r="N868" s="165" t="s">
        <v>16</v>
      </c>
      <c r="O868" s="165" t="s">
        <v>16</v>
      </c>
      <c r="P868" s="165" t="s">
        <v>148</v>
      </c>
      <c r="Q868" s="165" t="s">
        <v>16</v>
      </c>
      <c r="R868" s="165" t="s">
        <v>148</v>
      </c>
      <c r="S868" s="165" t="s">
        <v>148</v>
      </c>
      <c r="T868" s="165" t="s">
        <v>16</v>
      </c>
      <c r="U868" s="165" t="s">
        <v>16</v>
      </c>
      <c r="V868" s="165" t="s">
        <v>16</v>
      </c>
      <c r="W868" s="165" t="s">
        <v>16</v>
      </c>
      <c r="X868" s="165" t="s">
        <v>148</v>
      </c>
      <c r="Y868" s="165" t="s">
        <v>16</v>
      </c>
      <c r="Z868" s="165" t="s">
        <v>16</v>
      </c>
      <c r="AA868" s="165" t="s">
        <v>16</v>
      </c>
      <c r="AB868" s="165" t="s">
        <v>16</v>
      </c>
      <c r="AC868" s="165" t="s">
        <v>148</v>
      </c>
      <c r="AD868" s="165" t="s">
        <v>16</v>
      </c>
      <c r="AE868" s="165" t="s">
        <v>1444</v>
      </c>
      <c r="AF868" s="165" t="s">
        <v>1439</v>
      </c>
      <c r="AG868" s="165" t="s">
        <v>1444</v>
      </c>
      <c r="AH868" s="165" t="s">
        <v>1440</v>
      </c>
      <c r="AI868" s="165" t="s">
        <v>1439</v>
      </c>
      <c r="AJ868" s="165" t="s">
        <v>1440</v>
      </c>
      <c r="AK868" s="165" t="s">
        <v>1444</v>
      </c>
      <c r="AL868" s="165" t="s">
        <v>1445</v>
      </c>
      <c r="AM868" s="165"/>
    </row>
    <row r="869" spans="1:39" x14ac:dyDescent="0.3">
      <c r="A869" s="165" t="s">
        <v>1467</v>
      </c>
      <c r="B869" s="165" t="s">
        <v>14</v>
      </c>
      <c r="C869" s="165" t="s">
        <v>1438</v>
      </c>
      <c r="D869" s="165" t="s">
        <v>15</v>
      </c>
      <c r="E869" s="157">
        <v>41212</v>
      </c>
      <c r="F869" s="165" t="s">
        <v>16</v>
      </c>
      <c r="G869" s="165" t="s">
        <v>16</v>
      </c>
      <c r="H869" s="165" t="s">
        <v>16</v>
      </c>
      <c r="I869" s="165" t="s">
        <v>16</v>
      </c>
      <c r="J869" s="165" t="s">
        <v>16</v>
      </c>
      <c r="K869" s="165" t="s">
        <v>16</v>
      </c>
      <c r="L869" s="165" t="s">
        <v>148</v>
      </c>
      <c r="M869" s="165" t="s">
        <v>16</v>
      </c>
      <c r="N869" s="165" t="s">
        <v>148</v>
      </c>
      <c r="O869" s="165" t="s">
        <v>16</v>
      </c>
      <c r="P869" s="165" t="s">
        <v>16</v>
      </c>
      <c r="Q869" s="165" t="s">
        <v>16</v>
      </c>
      <c r="R869" s="165" t="s">
        <v>148</v>
      </c>
      <c r="S869" s="165" t="s">
        <v>16</v>
      </c>
      <c r="T869" s="165" t="s">
        <v>16</v>
      </c>
      <c r="U869" s="165" t="s">
        <v>16</v>
      </c>
      <c r="V869" s="165" t="s">
        <v>16</v>
      </c>
      <c r="W869" s="165" t="s">
        <v>16</v>
      </c>
      <c r="X869" s="165" t="s">
        <v>16</v>
      </c>
      <c r="Y869" s="165" t="s">
        <v>148</v>
      </c>
      <c r="Z869" s="165" t="s">
        <v>16</v>
      </c>
      <c r="AA869" s="165" t="s">
        <v>148</v>
      </c>
      <c r="AB869" s="165" t="s">
        <v>16</v>
      </c>
      <c r="AC869" s="165" t="s">
        <v>148</v>
      </c>
      <c r="AD869" s="165" t="s">
        <v>16</v>
      </c>
      <c r="AE869" s="165" t="s">
        <v>1439</v>
      </c>
      <c r="AF869" s="165" t="s">
        <v>1440</v>
      </c>
      <c r="AG869" s="165" t="s">
        <v>1440</v>
      </c>
      <c r="AH869" s="165" t="s">
        <v>1440</v>
      </c>
      <c r="AI869" s="165" t="s">
        <v>1440</v>
      </c>
      <c r="AJ869" s="165" t="s">
        <v>1445</v>
      </c>
      <c r="AK869" s="165" t="s">
        <v>1445</v>
      </c>
      <c r="AL869" s="165" t="s">
        <v>1445</v>
      </c>
      <c r="AM869" s="165"/>
    </row>
    <row r="870" spans="1:39" x14ac:dyDescent="0.3">
      <c r="A870" s="165" t="s">
        <v>1468</v>
      </c>
      <c r="B870" s="165" t="s">
        <v>14</v>
      </c>
      <c r="C870" s="165" t="s">
        <v>1438</v>
      </c>
      <c r="D870" s="165" t="s">
        <v>15</v>
      </c>
      <c r="E870" s="157">
        <v>41212</v>
      </c>
      <c r="F870" s="165" t="s">
        <v>16</v>
      </c>
      <c r="G870" s="165" t="s">
        <v>16</v>
      </c>
      <c r="H870" s="165" t="s">
        <v>16</v>
      </c>
      <c r="I870" s="165" t="s">
        <v>16</v>
      </c>
      <c r="J870" s="165" t="s">
        <v>16</v>
      </c>
      <c r="K870" s="165" t="s">
        <v>148</v>
      </c>
      <c r="L870" s="165" t="s">
        <v>16</v>
      </c>
      <c r="M870" s="165" t="s">
        <v>16</v>
      </c>
      <c r="N870" s="165" t="s">
        <v>16</v>
      </c>
      <c r="O870" s="165" t="s">
        <v>16</v>
      </c>
      <c r="P870" s="165" t="s">
        <v>16</v>
      </c>
      <c r="Q870" s="165" t="s">
        <v>16</v>
      </c>
      <c r="R870" s="165" t="s">
        <v>148</v>
      </c>
      <c r="S870" s="165" t="s">
        <v>16</v>
      </c>
      <c r="T870" s="165" t="s">
        <v>16</v>
      </c>
      <c r="U870" s="165" t="s">
        <v>16</v>
      </c>
      <c r="V870" s="165" t="s">
        <v>16</v>
      </c>
      <c r="W870" s="165" t="s">
        <v>16</v>
      </c>
      <c r="X870" s="165" t="s">
        <v>16</v>
      </c>
      <c r="Y870" s="165" t="s">
        <v>148</v>
      </c>
      <c r="Z870" s="165" t="s">
        <v>148</v>
      </c>
      <c r="AA870" s="165" t="s">
        <v>16</v>
      </c>
      <c r="AB870" s="165" t="s">
        <v>16</v>
      </c>
      <c r="AC870" s="165" t="s">
        <v>16</v>
      </c>
      <c r="AD870" s="165" t="s">
        <v>16</v>
      </c>
      <c r="AE870" s="165"/>
      <c r="AF870" s="165"/>
      <c r="AG870" s="165"/>
      <c r="AH870" s="165"/>
      <c r="AI870" s="165"/>
      <c r="AJ870" s="165"/>
      <c r="AK870" s="165"/>
      <c r="AL870" s="165"/>
      <c r="AM870" s="165"/>
    </row>
    <row r="871" spans="1:39" x14ac:dyDescent="0.3">
      <c r="A871" s="165" t="s">
        <v>1469</v>
      </c>
      <c r="B871" s="165" t="s">
        <v>14</v>
      </c>
      <c r="C871" s="165" t="s">
        <v>1438</v>
      </c>
      <c r="D871" s="165" t="s">
        <v>15</v>
      </c>
      <c r="E871" s="157">
        <v>41212</v>
      </c>
      <c r="F871" s="165" t="s">
        <v>16</v>
      </c>
      <c r="G871" s="165" t="s">
        <v>16</v>
      </c>
      <c r="H871" s="165" t="s">
        <v>16</v>
      </c>
      <c r="I871" s="165" t="s">
        <v>16</v>
      </c>
      <c r="J871" s="165" t="s">
        <v>16</v>
      </c>
      <c r="K871" s="165" t="s">
        <v>148</v>
      </c>
      <c r="L871" s="165" t="s">
        <v>16</v>
      </c>
      <c r="M871" s="165" t="s">
        <v>16</v>
      </c>
      <c r="N871" s="165" t="s">
        <v>16</v>
      </c>
      <c r="O871" s="165" t="s">
        <v>16</v>
      </c>
      <c r="P871" s="165" t="s">
        <v>16</v>
      </c>
      <c r="Q871" s="165" t="s">
        <v>16</v>
      </c>
      <c r="R871" s="165" t="s">
        <v>16</v>
      </c>
      <c r="S871" s="165" t="s">
        <v>16</v>
      </c>
      <c r="T871" s="165" t="s">
        <v>16</v>
      </c>
      <c r="U871" s="165" t="s">
        <v>16</v>
      </c>
      <c r="V871" s="165" t="s">
        <v>16</v>
      </c>
      <c r="W871" s="165" t="s">
        <v>16</v>
      </c>
      <c r="X871" s="165" t="s">
        <v>16</v>
      </c>
      <c r="Y871" s="165" t="s">
        <v>16</v>
      </c>
      <c r="Z871" s="165" t="s">
        <v>16</v>
      </c>
      <c r="AA871" s="165" t="s">
        <v>148</v>
      </c>
      <c r="AB871" s="165" t="s">
        <v>16</v>
      </c>
      <c r="AC871" s="165" t="s">
        <v>148</v>
      </c>
      <c r="AD871" s="165" t="s">
        <v>16</v>
      </c>
      <c r="AE871" s="165" t="s">
        <v>1439</v>
      </c>
      <c r="AF871" s="165" t="s">
        <v>1445</v>
      </c>
      <c r="AG871" s="165" t="s">
        <v>1440</v>
      </c>
      <c r="AH871" s="165" t="s">
        <v>1439</v>
      </c>
      <c r="AI871" s="165" t="s">
        <v>1456</v>
      </c>
      <c r="AJ871" s="165" t="s">
        <v>1445</v>
      </c>
      <c r="AK871" s="165" t="s">
        <v>1456</v>
      </c>
      <c r="AL871" s="165" t="s">
        <v>1444</v>
      </c>
      <c r="AM871" s="165" t="s">
        <v>1470</v>
      </c>
    </row>
    <row r="872" spans="1:39" x14ac:dyDescent="0.3">
      <c r="A872" s="165" t="s">
        <v>1471</v>
      </c>
      <c r="B872" s="165" t="s">
        <v>14</v>
      </c>
      <c r="C872" s="165" t="s">
        <v>1438</v>
      </c>
      <c r="D872" s="165" t="s">
        <v>15</v>
      </c>
      <c r="E872" s="157">
        <v>41212</v>
      </c>
      <c r="F872" s="165" t="s">
        <v>16</v>
      </c>
      <c r="G872" s="165" t="s">
        <v>16</v>
      </c>
      <c r="H872" s="165" t="s">
        <v>16</v>
      </c>
      <c r="I872" s="165" t="s">
        <v>16</v>
      </c>
      <c r="J872" s="165" t="s">
        <v>16</v>
      </c>
      <c r="K872" s="165" t="s">
        <v>16</v>
      </c>
      <c r="L872" s="165" t="s">
        <v>16</v>
      </c>
      <c r="M872" s="165" t="s">
        <v>16</v>
      </c>
      <c r="N872" s="165" t="s">
        <v>16</v>
      </c>
      <c r="O872" s="165" t="s">
        <v>16</v>
      </c>
      <c r="P872" s="165" t="s">
        <v>16</v>
      </c>
      <c r="Q872" s="165" t="s">
        <v>16</v>
      </c>
      <c r="R872" s="165" t="s">
        <v>16</v>
      </c>
      <c r="S872" s="165" t="s">
        <v>16</v>
      </c>
      <c r="T872" s="165" t="s">
        <v>16</v>
      </c>
      <c r="U872" s="165" t="s">
        <v>16</v>
      </c>
      <c r="V872" s="165" t="s">
        <v>16</v>
      </c>
      <c r="W872" s="165" t="s">
        <v>16</v>
      </c>
      <c r="X872" s="165" t="s">
        <v>16</v>
      </c>
      <c r="Y872" s="165" t="s">
        <v>16</v>
      </c>
      <c r="Z872" s="165" t="s">
        <v>16</v>
      </c>
      <c r="AA872" s="165" t="s">
        <v>16</v>
      </c>
      <c r="AB872" s="165" t="s">
        <v>16</v>
      </c>
      <c r="AC872" s="165" t="s">
        <v>16</v>
      </c>
      <c r="AD872" s="165" t="s">
        <v>16</v>
      </c>
      <c r="AE872" s="165" t="s">
        <v>1440</v>
      </c>
      <c r="AF872" s="165" t="s">
        <v>1445</v>
      </c>
      <c r="AG872" s="165" t="s">
        <v>1445</v>
      </c>
      <c r="AH872" s="165" t="s">
        <v>1440</v>
      </c>
      <c r="AI872" s="165" t="s">
        <v>1439</v>
      </c>
      <c r="AJ872" s="165" t="s">
        <v>1439</v>
      </c>
      <c r="AK872" s="165" t="s">
        <v>1439</v>
      </c>
      <c r="AL872" s="165" t="s">
        <v>1440</v>
      </c>
      <c r="AM872" s="165"/>
    </row>
    <row r="873" spans="1:39" x14ac:dyDescent="0.3">
      <c r="A873" s="165" t="s">
        <v>1472</v>
      </c>
      <c r="B873" s="165" t="s">
        <v>14</v>
      </c>
      <c r="C873" s="165" t="s">
        <v>1438</v>
      </c>
      <c r="D873" s="165" t="s">
        <v>15</v>
      </c>
      <c r="E873" s="157">
        <v>41212</v>
      </c>
      <c r="F873" s="165" t="s">
        <v>16</v>
      </c>
      <c r="G873" s="165" t="s">
        <v>16</v>
      </c>
      <c r="H873" s="165" t="s">
        <v>16</v>
      </c>
      <c r="I873" s="165" t="s">
        <v>16</v>
      </c>
      <c r="J873" s="165" t="s">
        <v>149</v>
      </c>
      <c r="K873" s="165" t="s">
        <v>148</v>
      </c>
      <c r="L873" s="165" t="s">
        <v>16</v>
      </c>
      <c r="M873" s="165" t="s">
        <v>16</v>
      </c>
      <c r="N873" s="165" t="s">
        <v>16</v>
      </c>
      <c r="O873" s="165" t="s">
        <v>16</v>
      </c>
      <c r="P873" s="165" t="s">
        <v>16</v>
      </c>
      <c r="Q873" s="165" t="s">
        <v>16</v>
      </c>
      <c r="R873" s="165" t="s">
        <v>148</v>
      </c>
      <c r="S873" s="165" t="s">
        <v>16</v>
      </c>
      <c r="T873" s="165" t="s">
        <v>148</v>
      </c>
      <c r="U873" s="165" t="s">
        <v>16</v>
      </c>
      <c r="V873" s="165" t="s">
        <v>16</v>
      </c>
      <c r="W873" s="165" t="s">
        <v>148</v>
      </c>
      <c r="X873" s="165" t="s">
        <v>16</v>
      </c>
      <c r="Y873" s="165" t="s">
        <v>148</v>
      </c>
      <c r="Z873" s="165" t="s">
        <v>16</v>
      </c>
      <c r="AA873" s="165" t="s">
        <v>16</v>
      </c>
      <c r="AB873" s="165" t="s">
        <v>16</v>
      </c>
      <c r="AC873" s="165" t="s">
        <v>16</v>
      </c>
      <c r="AD873" s="165" t="s">
        <v>16</v>
      </c>
      <c r="AE873" s="165" t="s">
        <v>1439</v>
      </c>
      <c r="AF873" s="165" t="s">
        <v>1445</v>
      </c>
      <c r="AG873" s="165" t="s">
        <v>1440</v>
      </c>
      <c r="AH873" s="165" t="s">
        <v>1440</v>
      </c>
      <c r="AI873" s="165" t="s">
        <v>1439</v>
      </c>
      <c r="AJ873" s="165" t="s">
        <v>1439</v>
      </c>
      <c r="AK873" s="165" t="s">
        <v>1440</v>
      </c>
      <c r="AL873" s="165" t="s">
        <v>1440</v>
      </c>
      <c r="AM873" s="165"/>
    </row>
    <row r="874" spans="1:39" x14ac:dyDescent="0.3">
      <c r="A874" s="165" t="s">
        <v>1473</v>
      </c>
      <c r="B874" s="165" t="s">
        <v>14</v>
      </c>
      <c r="C874" s="165" t="s">
        <v>1438</v>
      </c>
      <c r="D874" s="165" t="s">
        <v>15</v>
      </c>
      <c r="E874" s="157">
        <v>41212</v>
      </c>
      <c r="F874" s="165" t="s">
        <v>16</v>
      </c>
      <c r="G874" s="165" t="s">
        <v>16</v>
      </c>
      <c r="H874" s="165" t="s">
        <v>16</v>
      </c>
      <c r="I874" s="165" t="s">
        <v>16</v>
      </c>
      <c r="J874" s="165" t="s">
        <v>16</v>
      </c>
      <c r="K874" s="165" t="s">
        <v>148</v>
      </c>
      <c r="L874" s="165" t="s">
        <v>16</v>
      </c>
      <c r="M874" s="165" t="s">
        <v>16</v>
      </c>
      <c r="N874" s="165" t="s">
        <v>16</v>
      </c>
      <c r="O874" s="165" t="s">
        <v>16</v>
      </c>
      <c r="P874" s="165" t="s">
        <v>16</v>
      </c>
      <c r="Q874" s="165" t="s">
        <v>16</v>
      </c>
      <c r="R874" s="165" t="s">
        <v>148</v>
      </c>
      <c r="S874" s="165" t="s">
        <v>148</v>
      </c>
      <c r="T874" s="165" t="s">
        <v>16</v>
      </c>
      <c r="U874" s="165" t="s">
        <v>16</v>
      </c>
      <c r="V874" s="165" t="s">
        <v>16</v>
      </c>
      <c r="W874" s="165" t="s">
        <v>148</v>
      </c>
      <c r="X874" s="165" t="s">
        <v>148</v>
      </c>
      <c r="Y874" s="165" t="s">
        <v>16</v>
      </c>
      <c r="Z874" s="165" t="s">
        <v>16</v>
      </c>
      <c r="AA874" s="165" t="s">
        <v>16</v>
      </c>
      <c r="AB874" s="165" t="s">
        <v>16</v>
      </c>
      <c r="AC874" s="165" t="s">
        <v>16</v>
      </c>
      <c r="AD874" s="165" t="s">
        <v>16</v>
      </c>
      <c r="AE874" s="165" t="s">
        <v>1440</v>
      </c>
      <c r="AF874" s="165" t="s">
        <v>1445</v>
      </c>
      <c r="AG874" s="165" t="s">
        <v>1440</v>
      </c>
      <c r="AH874" s="165" t="s">
        <v>1445</v>
      </c>
      <c r="AI874" s="165" t="s">
        <v>1440</v>
      </c>
      <c r="AJ874" s="165" t="s">
        <v>1440</v>
      </c>
      <c r="AK874" s="165" t="s">
        <v>1439</v>
      </c>
      <c r="AL874" s="165" t="s">
        <v>1445</v>
      </c>
      <c r="AM874" s="165"/>
    </row>
    <row r="875" spans="1:39" x14ac:dyDescent="0.3">
      <c r="A875" s="165" t="s">
        <v>1474</v>
      </c>
      <c r="B875" s="165" t="s">
        <v>14</v>
      </c>
      <c r="C875" s="165" t="s">
        <v>1438</v>
      </c>
      <c r="D875" s="165" t="s">
        <v>15</v>
      </c>
      <c r="E875" s="157">
        <v>41212</v>
      </c>
      <c r="F875" s="165" t="s">
        <v>16</v>
      </c>
      <c r="G875" s="165" t="s">
        <v>16</v>
      </c>
      <c r="H875" s="165" t="s">
        <v>16</v>
      </c>
      <c r="I875" s="165" t="s">
        <v>16</v>
      </c>
      <c r="J875" s="165" t="s">
        <v>16</v>
      </c>
      <c r="K875" s="165" t="s">
        <v>16</v>
      </c>
      <c r="L875" s="165" t="s">
        <v>16</v>
      </c>
      <c r="M875" s="165" t="s">
        <v>16</v>
      </c>
      <c r="N875" s="165" t="s">
        <v>16</v>
      </c>
      <c r="O875" s="165" t="s">
        <v>16</v>
      </c>
      <c r="P875" s="165" t="s">
        <v>16</v>
      </c>
      <c r="Q875" s="165" t="s">
        <v>16</v>
      </c>
      <c r="R875" s="165" t="s">
        <v>16</v>
      </c>
      <c r="S875" s="165" t="s">
        <v>16</v>
      </c>
      <c r="T875" s="165" t="s">
        <v>16</v>
      </c>
      <c r="U875" s="165" t="s">
        <v>16</v>
      </c>
      <c r="V875" s="165" t="s">
        <v>16</v>
      </c>
      <c r="W875" s="165" t="s">
        <v>16</v>
      </c>
      <c r="X875" s="165" t="s">
        <v>16</v>
      </c>
      <c r="Y875" s="165" t="s">
        <v>16</v>
      </c>
      <c r="Z875" s="165" t="s">
        <v>16</v>
      </c>
      <c r="AA875" s="165" t="s">
        <v>16</v>
      </c>
      <c r="AB875" s="165" t="s">
        <v>16</v>
      </c>
      <c r="AC875" s="165" t="s">
        <v>16</v>
      </c>
      <c r="AD875" s="165" t="s">
        <v>16</v>
      </c>
      <c r="AE875" s="165" t="s">
        <v>1445</v>
      </c>
      <c r="AF875" s="165" t="s">
        <v>1440</v>
      </c>
      <c r="AG875" s="165" t="s">
        <v>1440</v>
      </c>
      <c r="AH875" s="165"/>
      <c r="AI875" s="165" t="s">
        <v>1444</v>
      </c>
      <c r="AJ875" s="165" t="s">
        <v>1445</v>
      </c>
      <c r="AK875" s="165" t="s">
        <v>1439</v>
      </c>
      <c r="AL875" s="165" t="s">
        <v>1440</v>
      </c>
      <c r="AM875" s="165"/>
    </row>
    <row r="876" spans="1:39" x14ac:dyDescent="0.3">
      <c r="A876" s="165" t="s">
        <v>1475</v>
      </c>
      <c r="B876" s="165" t="s">
        <v>14</v>
      </c>
      <c r="C876" s="165" t="s">
        <v>1438</v>
      </c>
      <c r="D876" s="165" t="s">
        <v>15</v>
      </c>
      <c r="E876" s="157">
        <v>41212</v>
      </c>
      <c r="F876" s="165" t="s">
        <v>16</v>
      </c>
      <c r="G876" s="165" t="s">
        <v>16</v>
      </c>
      <c r="H876" s="165" t="s">
        <v>16</v>
      </c>
      <c r="I876" s="165" t="s">
        <v>16</v>
      </c>
      <c r="J876" s="165" t="s">
        <v>148</v>
      </c>
      <c r="K876" s="165" t="s">
        <v>16</v>
      </c>
      <c r="L876" s="165" t="s">
        <v>16</v>
      </c>
      <c r="M876" s="165" t="s">
        <v>16</v>
      </c>
      <c r="N876" s="165" t="s">
        <v>16</v>
      </c>
      <c r="O876" s="165" t="s">
        <v>16</v>
      </c>
      <c r="P876" s="165" t="s">
        <v>16</v>
      </c>
      <c r="Q876" s="165" t="s">
        <v>16</v>
      </c>
      <c r="R876" s="165" t="s">
        <v>16</v>
      </c>
      <c r="S876" s="165" t="s">
        <v>16</v>
      </c>
      <c r="T876" s="165" t="s">
        <v>16</v>
      </c>
      <c r="U876" s="165" t="s">
        <v>16</v>
      </c>
      <c r="V876" s="165" t="s">
        <v>16</v>
      </c>
      <c r="W876" s="165" t="s">
        <v>16</v>
      </c>
      <c r="X876" s="165" t="s">
        <v>16</v>
      </c>
      <c r="Y876" s="165" t="s">
        <v>16</v>
      </c>
      <c r="Z876" s="165" t="s">
        <v>16</v>
      </c>
      <c r="AA876" s="165" t="s">
        <v>16</v>
      </c>
      <c r="AB876" s="165" t="s">
        <v>16</v>
      </c>
      <c r="AC876" s="165" t="s">
        <v>16</v>
      </c>
      <c r="AD876" s="165" t="s">
        <v>16</v>
      </c>
      <c r="AE876" s="165"/>
      <c r="AF876" s="165"/>
      <c r="AG876" s="165"/>
      <c r="AH876" s="165"/>
      <c r="AI876" s="165"/>
      <c r="AJ876" s="165" t="s">
        <v>1440</v>
      </c>
      <c r="AK876" s="165"/>
      <c r="AL876" s="165" t="s">
        <v>1440</v>
      </c>
      <c r="AM876" s="165" t="s">
        <v>1476</v>
      </c>
    </row>
    <row r="879" spans="1:39" x14ac:dyDescent="0.3">
      <c r="A879" s="165"/>
      <c r="B879" s="165"/>
      <c r="C879" s="165"/>
      <c r="D879" s="165"/>
      <c r="E879" s="165"/>
      <c r="F879" s="165" t="s">
        <v>124</v>
      </c>
      <c r="G879" s="165" t="s">
        <v>125</v>
      </c>
      <c r="H879" s="165" t="s">
        <v>126</v>
      </c>
      <c r="I879" s="165" t="s">
        <v>127</v>
      </c>
      <c r="J879" s="165" t="s">
        <v>214</v>
      </c>
      <c r="K879" s="165" t="s">
        <v>128</v>
      </c>
      <c r="L879" s="165" t="s">
        <v>129</v>
      </c>
      <c r="M879" s="165" t="s">
        <v>130</v>
      </c>
      <c r="N879" s="165" t="s">
        <v>131</v>
      </c>
      <c r="O879" s="165" t="s">
        <v>132</v>
      </c>
      <c r="P879" s="165" t="s">
        <v>133</v>
      </c>
      <c r="Q879" s="165" t="s">
        <v>134</v>
      </c>
      <c r="R879" s="165" t="s">
        <v>135</v>
      </c>
      <c r="S879" s="165" t="s">
        <v>136</v>
      </c>
      <c r="T879" s="165" t="s">
        <v>137</v>
      </c>
      <c r="U879" s="165" t="s">
        <v>138</v>
      </c>
      <c r="V879" s="165" t="s">
        <v>139</v>
      </c>
      <c r="W879" s="165" t="s">
        <v>140</v>
      </c>
      <c r="X879" s="165" t="s">
        <v>186</v>
      </c>
      <c r="Y879" s="165" t="s">
        <v>209</v>
      </c>
      <c r="Z879" s="165" t="s">
        <v>141</v>
      </c>
      <c r="AA879" s="165" t="s">
        <v>142</v>
      </c>
      <c r="AB879" s="165" t="s">
        <v>210</v>
      </c>
      <c r="AC879" s="165" t="s">
        <v>1180</v>
      </c>
      <c r="AD879" s="165" t="s">
        <v>144</v>
      </c>
      <c r="AE879" s="165" t="s">
        <v>1528</v>
      </c>
      <c r="AF879" s="165" t="s">
        <v>190</v>
      </c>
      <c r="AG879" s="165"/>
      <c r="AH879" s="165"/>
      <c r="AI879" s="165"/>
    </row>
    <row r="880" spans="1:39" x14ac:dyDescent="0.3">
      <c r="A880" s="165" t="s">
        <v>1527</v>
      </c>
      <c r="B880" s="165" t="s">
        <v>14</v>
      </c>
      <c r="C880" s="165" t="s">
        <v>1481</v>
      </c>
      <c r="D880" s="165" t="s">
        <v>15</v>
      </c>
      <c r="E880" s="157">
        <v>41242</v>
      </c>
      <c r="F880" s="165" t="s">
        <v>16</v>
      </c>
      <c r="G880" s="165" t="s">
        <v>16</v>
      </c>
      <c r="H880" s="165" t="s">
        <v>16</v>
      </c>
      <c r="I880" s="165" t="s">
        <v>16</v>
      </c>
      <c r="J880" s="165" t="s">
        <v>16</v>
      </c>
      <c r="K880" s="165" t="s">
        <v>16</v>
      </c>
      <c r="L880" s="165" t="s">
        <v>148</v>
      </c>
      <c r="M880" s="165" t="s">
        <v>16</v>
      </c>
      <c r="N880" s="165" t="s">
        <v>16</v>
      </c>
      <c r="O880" s="165" t="s">
        <v>16</v>
      </c>
      <c r="P880" s="165" t="s">
        <v>16</v>
      </c>
      <c r="Q880" s="165" t="s">
        <v>16</v>
      </c>
      <c r="R880" s="165" t="s">
        <v>16</v>
      </c>
      <c r="S880" s="165" t="s">
        <v>16</v>
      </c>
      <c r="T880" s="165" t="s">
        <v>148</v>
      </c>
      <c r="U880" s="165" t="s">
        <v>16</v>
      </c>
      <c r="V880" s="165" t="s">
        <v>16</v>
      </c>
      <c r="W880" s="165" t="s">
        <v>16</v>
      </c>
      <c r="X880" s="165" t="s">
        <v>16</v>
      </c>
      <c r="Y880" s="165" t="s">
        <v>16</v>
      </c>
      <c r="Z880" s="165" t="s">
        <v>16</v>
      </c>
      <c r="AA880" s="165" t="s">
        <v>16</v>
      </c>
      <c r="AB880" s="165" t="s">
        <v>16</v>
      </c>
      <c r="AC880" s="165" t="s">
        <v>16</v>
      </c>
      <c r="AD880" s="165" t="s">
        <v>16</v>
      </c>
      <c r="AE880" s="165" t="s">
        <v>1526</v>
      </c>
      <c r="AF880" s="165"/>
      <c r="AG880" s="165"/>
      <c r="AH880" s="165"/>
      <c r="AI880" s="165"/>
    </row>
    <row r="881" spans="1:35" x14ac:dyDescent="0.3">
      <c r="A881" s="165" t="s">
        <v>1525</v>
      </c>
      <c r="B881" s="165" t="s">
        <v>14</v>
      </c>
      <c r="C881" s="165" t="s">
        <v>1481</v>
      </c>
      <c r="D881" s="165" t="s">
        <v>15</v>
      </c>
      <c r="E881" s="157">
        <v>41242</v>
      </c>
      <c r="F881" s="165" t="s">
        <v>150</v>
      </c>
      <c r="G881" s="165" t="s">
        <v>16</v>
      </c>
      <c r="H881" s="165" t="s">
        <v>148</v>
      </c>
      <c r="I881" s="165" t="s">
        <v>148</v>
      </c>
      <c r="J881" s="165" t="s">
        <v>148</v>
      </c>
      <c r="K881" s="165" t="s">
        <v>148</v>
      </c>
      <c r="L881" s="165" t="s">
        <v>16</v>
      </c>
      <c r="M881" s="165" t="s">
        <v>148</v>
      </c>
      <c r="N881" s="165" t="s">
        <v>148</v>
      </c>
      <c r="O881" s="165" t="s">
        <v>148</v>
      </c>
      <c r="P881" s="165" t="s">
        <v>148</v>
      </c>
      <c r="Q881" s="165" t="s">
        <v>148</v>
      </c>
      <c r="R881" s="165" t="s">
        <v>148</v>
      </c>
      <c r="S881" s="165" t="s">
        <v>148</v>
      </c>
      <c r="T881" s="165" t="s">
        <v>148</v>
      </c>
      <c r="U881" s="165" t="s">
        <v>148</v>
      </c>
      <c r="V881" s="165" t="s">
        <v>148</v>
      </c>
      <c r="W881" s="165" t="s">
        <v>148</v>
      </c>
      <c r="X881" s="165" t="s">
        <v>148</v>
      </c>
      <c r="Y881" s="165" t="s">
        <v>148</v>
      </c>
      <c r="Z881" s="165" t="s">
        <v>148</v>
      </c>
      <c r="AA881" s="165" t="s">
        <v>148</v>
      </c>
      <c r="AB881" s="165" t="s">
        <v>16</v>
      </c>
      <c r="AC881" s="165" t="s">
        <v>148</v>
      </c>
      <c r="AD881" s="165" t="s">
        <v>16</v>
      </c>
      <c r="AE881" s="165" t="s">
        <v>1524</v>
      </c>
      <c r="AF881" s="165"/>
      <c r="AG881" s="165"/>
      <c r="AH881" s="165"/>
      <c r="AI881" s="165"/>
    </row>
    <row r="882" spans="1:35" x14ac:dyDescent="0.3">
      <c r="A882" s="165" t="s">
        <v>1523</v>
      </c>
      <c r="B882" s="165" t="s">
        <v>14</v>
      </c>
      <c r="C882" s="165" t="s">
        <v>1481</v>
      </c>
      <c r="D882" s="165" t="s">
        <v>15</v>
      </c>
      <c r="E882" s="157">
        <v>41242</v>
      </c>
      <c r="F882" s="165" t="s">
        <v>148</v>
      </c>
      <c r="G882" s="165" t="s">
        <v>16</v>
      </c>
      <c r="H882" s="165" t="s">
        <v>148</v>
      </c>
      <c r="I882" s="165" t="s">
        <v>16</v>
      </c>
      <c r="J882" s="165" t="s">
        <v>148</v>
      </c>
      <c r="K882" s="165" t="s">
        <v>16</v>
      </c>
      <c r="L882" s="165" t="s">
        <v>16</v>
      </c>
      <c r="M882" s="165" t="s">
        <v>148</v>
      </c>
      <c r="N882" s="165" t="s">
        <v>148</v>
      </c>
      <c r="O882" s="165" t="s">
        <v>16</v>
      </c>
      <c r="P882" s="165" t="s">
        <v>148</v>
      </c>
      <c r="Q882" s="165" t="s">
        <v>16</v>
      </c>
      <c r="R882" s="165" t="s">
        <v>16</v>
      </c>
      <c r="S882" s="165" t="s">
        <v>148</v>
      </c>
      <c r="T882" s="165" t="s">
        <v>16</v>
      </c>
      <c r="U882" s="165" t="s">
        <v>16</v>
      </c>
      <c r="V882" s="165" t="s">
        <v>16</v>
      </c>
      <c r="W882" s="165" t="s">
        <v>148</v>
      </c>
      <c r="X882" s="165" t="s">
        <v>148</v>
      </c>
      <c r="Y882" s="165" t="s">
        <v>16</v>
      </c>
      <c r="Z882" s="165" t="s">
        <v>149</v>
      </c>
      <c r="AA882" s="165" t="s">
        <v>148</v>
      </c>
      <c r="AB882" s="165" t="s">
        <v>16</v>
      </c>
      <c r="AC882" s="165" t="s">
        <v>16</v>
      </c>
      <c r="AD882" s="165" t="s">
        <v>16</v>
      </c>
      <c r="AE882" s="165" t="s">
        <v>1480</v>
      </c>
      <c r="AF882" s="165"/>
      <c r="AG882" s="165"/>
      <c r="AH882" s="165"/>
      <c r="AI882" s="165"/>
    </row>
    <row r="883" spans="1:35" x14ac:dyDescent="0.3">
      <c r="A883" s="165" t="s">
        <v>1522</v>
      </c>
      <c r="B883" s="165" t="s">
        <v>14</v>
      </c>
      <c r="C883" s="165" t="s">
        <v>1481</v>
      </c>
      <c r="D883" s="165" t="s">
        <v>15</v>
      </c>
      <c r="E883" s="157">
        <v>41242</v>
      </c>
      <c r="F883" s="165" t="s">
        <v>16</v>
      </c>
      <c r="G883" s="165" t="s">
        <v>16</v>
      </c>
      <c r="H883" s="165" t="s">
        <v>16</v>
      </c>
      <c r="I883" s="165" t="s">
        <v>16</v>
      </c>
      <c r="J883" s="165" t="s">
        <v>16</v>
      </c>
      <c r="K883" s="165" t="s">
        <v>16</v>
      </c>
      <c r="L883" s="165" t="s">
        <v>16</v>
      </c>
      <c r="M883" s="165" t="s">
        <v>16</v>
      </c>
      <c r="N883" s="165" t="s">
        <v>148</v>
      </c>
      <c r="O883" s="165" t="s">
        <v>16</v>
      </c>
      <c r="P883" s="165" t="s">
        <v>16</v>
      </c>
      <c r="Q883" s="165" t="s">
        <v>16</v>
      </c>
      <c r="R883" s="165" t="s">
        <v>148</v>
      </c>
      <c r="S883" s="165" t="s">
        <v>148</v>
      </c>
      <c r="T883" s="165" t="s">
        <v>16</v>
      </c>
      <c r="U883" s="165" t="s">
        <v>16</v>
      </c>
      <c r="V883" s="165" t="s">
        <v>16</v>
      </c>
      <c r="W883" s="165" t="s">
        <v>148</v>
      </c>
      <c r="X883" s="165" t="s">
        <v>16</v>
      </c>
      <c r="Y883" s="165" t="s">
        <v>16</v>
      </c>
      <c r="Z883" s="165" t="s">
        <v>16</v>
      </c>
      <c r="AA883" s="165" t="s">
        <v>16</v>
      </c>
      <c r="AB883" s="165" t="s">
        <v>16</v>
      </c>
      <c r="AC883" s="165" t="s">
        <v>16</v>
      </c>
      <c r="AD883" s="165" t="s">
        <v>16</v>
      </c>
      <c r="AE883" s="165" t="s">
        <v>1491</v>
      </c>
      <c r="AF883" s="165"/>
      <c r="AG883" s="165"/>
      <c r="AH883" s="165"/>
      <c r="AI883" s="165"/>
    </row>
    <row r="884" spans="1:35" x14ac:dyDescent="0.3">
      <c r="A884" s="165" t="s">
        <v>1521</v>
      </c>
      <c r="B884" s="165" t="s">
        <v>14</v>
      </c>
      <c r="C884" s="165" t="s">
        <v>1481</v>
      </c>
      <c r="D884" s="165" t="s">
        <v>15</v>
      </c>
      <c r="E884" s="157">
        <v>41242</v>
      </c>
      <c r="F884" s="165" t="s">
        <v>16</v>
      </c>
      <c r="G884" s="165" t="s">
        <v>149</v>
      </c>
      <c r="H884" s="165" t="s">
        <v>149</v>
      </c>
      <c r="I884" s="165" t="s">
        <v>148</v>
      </c>
      <c r="J884" s="165" t="s">
        <v>148</v>
      </c>
      <c r="K884" s="165" t="s">
        <v>16</v>
      </c>
      <c r="L884" s="165" t="s">
        <v>16</v>
      </c>
      <c r="M884" s="165" t="s">
        <v>16</v>
      </c>
      <c r="N884" s="165" t="s">
        <v>148</v>
      </c>
      <c r="O884" s="165" t="s">
        <v>148</v>
      </c>
      <c r="P884" s="165" t="s">
        <v>148</v>
      </c>
      <c r="Q884" s="165" t="s">
        <v>16</v>
      </c>
      <c r="R884" s="165" t="s">
        <v>16</v>
      </c>
      <c r="S884" s="165" t="s">
        <v>16</v>
      </c>
      <c r="T884" s="165" t="s">
        <v>16</v>
      </c>
      <c r="U884" s="165" t="s">
        <v>16</v>
      </c>
      <c r="V884" s="165" t="s">
        <v>16</v>
      </c>
      <c r="W884" s="165" t="s">
        <v>16</v>
      </c>
      <c r="X884" s="165" t="s">
        <v>16</v>
      </c>
      <c r="Y884" s="165" t="s">
        <v>148</v>
      </c>
      <c r="Z884" s="165" t="s">
        <v>148</v>
      </c>
      <c r="AA884" s="165" t="s">
        <v>16</v>
      </c>
      <c r="AB884" s="165" t="s">
        <v>16</v>
      </c>
      <c r="AC884" s="165" t="s">
        <v>148</v>
      </c>
      <c r="AD884" s="165" t="s">
        <v>148</v>
      </c>
      <c r="AE884" s="165" t="s">
        <v>1480</v>
      </c>
      <c r="AF884" s="165"/>
      <c r="AG884" s="165"/>
      <c r="AH884" s="165"/>
      <c r="AI884" s="165"/>
    </row>
    <row r="885" spans="1:35" x14ac:dyDescent="0.3">
      <c r="A885" s="165" t="s">
        <v>1520</v>
      </c>
      <c r="B885" s="165" t="s">
        <v>14</v>
      </c>
      <c r="C885" s="165" t="s">
        <v>1481</v>
      </c>
      <c r="D885" s="165" t="s">
        <v>15</v>
      </c>
      <c r="E885" s="157">
        <v>41242</v>
      </c>
      <c r="F885" s="165" t="s">
        <v>16</v>
      </c>
      <c r="G885" s="165" t="s">
        <v>16</v>
      </c>
      <c r="H885" s="165" t="s">
        <v>16</v>
      </c>
      <c r="I885" s="165" t="s">
        <v>16</v>
      </c>
      <c r="J885" s="165" t="s">
        <v>16</v>
      </c>
      <c r="K885" s="165" t="s">
        <v>16</v>
      </c>
      <c r="L885" s="165" t="s">
        <v>16</v>
      </c>
      <c r="M885" s="165" t="s">
        <v>16</v>
      </c>
      <c r="N885" s="165" t="s">
        <v>16</v>
      </c>
      <c r="O885" s="165" t="s">
        <v>16</v>
      </c>
      <c r="P885" s="165" t="s">
        <v>16</v>
      </c>
      <c r="Q885" s="165" t="s">
        <v>16</v>
      </c>
      <c r="R885" s="165" t="s">
        <v>16</v>
      </c>
      <c r="S885" s="165" t="s">
        <v>16</v>
      </c>
      <c r="T885" s="165" t="s">
        <v>16</v>
      </c>
      <c r="U885" s="165" t="s">
        <v>16</v>
      </c>
      <c r="V885" s="165" t="s">
        <v>16</v>
      </c>
      <c r="W885" s="165" t="s">
        <v>16</v>
      </c>
      <c r="X885" s="165" t="s">
        <v>16</v>
      </c>
      <c r="Y885" s="165" t="s">
        <v>16</v>
      </c>
      <c r="Z885" s="165" t="s">
        <v>16</v>
      </c>
      <c r="AA885" s="165" t="s">
        <v>16</v>
      </c>
      <c r="AB885" s="165" t="s">
        <v>16</v>
      </c>
      <c r="AC885" s="165" t="s">
        <v>16</v>
      </c>
      <c r="AD885" s="165" t="s">
        <v>16</v>
      </c>
      <c r="AE885" s="165" t="s">
        <v>1480</v>
      </c>
      <c r="AF885" s="165"/>
      <c r="AG885" s="165"/>
      <c r="AH885" s="165"/>
      <c r="AI885" s="165"/>
    </row>
    <row r="886" spans="1:35" x14ac:dyDescent="0.3">
      <c r="A886" s="165" t="s">
        <v>1519</v>
      </c>
      <c r="B886" s="165" t="s">
        <v>14</v>
      </c>
      <c r="C886" s="165" t="s">
        <v>1481</v>
      </c>
      <c r="D886" s="165" t="s">
        <v>15</v>
      </c>
      <c r="E886" s="157">
        <v>41242</v>
      </c>
      <c r="F886" s="165" t="s">
        <v>16</v>
      </c>
      <c r="G886" s="165" t="s">
        <v>16</v>
      </c>
      <c r="H886" s="165" t="s">
        <v>16</v>
      </c>
      <c r="I886" s="165" t="s">
        <v>16</v>
      </c>
      <c r="J886" s="165" t="s">
        <v>16</v>
      </c>
      <c r="K886" s="165" t="s">
        <v>16</v>
      </c>
      <c r="L886" s="165" t="s">
        <v>16</v>
      </c>
      <c r="M886" s="165" t="s">
        <v>16</v>
      </c>
      <c r="N886" s="165" t="s">
        <v>16</v>
      </c>
      <c r="O886" s="165" t="s">
        <v>16</v>
      </c>
      <c r="P886" s="165" t="s">
        <v>16</v>
      </c>
      <c r="Q886" s="165" t="s">
        <v>16</v>
      </c>
      <c r="R886" s="165" t="s">
        <v>16</v>
      </c>
      <c r="S886" s="165" t="s">
        <v>16</v>
      </c>
      <c r="T886" s="165" t="s">
        <v>16</v>
      </c>
      <c r="U886" s="165" t="s">
        <v>16</v>
      </c>
      <c r="V886" s="165" t="s">
        <v>16</v>
      </c>
      <c r="W886" s="165" t="s">
        <v>16</v>
      </c>
      <c r="X886" s="165" t="s">
        <v>16</v>
      </c>
      <c r="Y886" s="165" t="s">
        <v>16</v>
      </c>
      <c r="Z886" s="165" t="s">
        <v>16</v>
      </c>
      <c r="AA886" s="165" t="s">
        <v>16</v>
      </c>
      <c r="AB886" s="165" t="s">
        <v>16</v>
      </c>
      <c r="AC886" s="165" t="s">
        <v>16</v>
      </c>
      <c r="AD886" s="165" t="s">
        <v>16</v>
      </c>
      <c r="AE886" s="165" t="s">
        <v>1480</v>
      </c>
      <c r="AF886" s="165"/>
      <c r="AG886" s="165"/>
      <c r="AH886" s="165"/>
      <c r="AI886" s="165"/>
    </row>
    <row r="887" spans="1:35" x14ac:dyDescent="0.3">
      <c r="A887" s="165" t="s">
        <v>1518</v>
      </c>
      <c r="B887" s="165" t="s">
        <v>14</v>
      </c>
      <c r="C887" s="165" t="s">
        <v>1481</v>
      </c>
      <c r="D887" s="165" t="s">
        <v>15</v>
      </c>
      <c r="E887" s="157">
        <v>41242</v>
      </c>
      <c r="F887" s="165" t="s">
        <v>16</v>
      </c>
      <c r="G887" s="165" t="s">
        <v>16</v>
      </c>
      <c r="H887" s="165" t="s">
        <v>16</v>
      </c>
      <c r="I887" s="165" t="s">
        <v>148</v>
      </c>
      <c r="J887" s="165" t="s">
        <v>16</v>
      </c>
      <c r="K887" s="165" t="s">
        <v>16</v>
      </c>
      <c r="L887" s="165" t="s">
        <v>16</v>
      </c>
      <c r="M887" s="165" t="s">
        <v>16</v>
      </c>
      <c r="N887" s="165" t="s">
        <v>148</v>
      </c>
      <c r="O887" s="165" t="s">
        <v>148</v>
      </c>
      <c r="P887" s="165" t="s">
        <v>16</v>
      </c>
      <c r="Q887" s="165" t="s">
        <v>16</v>
      </c>
      <c r="R887" s="165" t="s">
        <v>16</v>
      </c>
      <c r="S887" s="165" t="s">
        <v>16</v>
      </c>
      <c r="T887" s="165" t="s">
        <v>16</v>
      </c>
      <c r="U887" s="165" t="s">
        <v>16</v>
      </c>
      <c r="V887" s="165" t="s">
        <v>16</v>
      </c>
      <c r="W887" s="165" t="s">
        <v>16</v>
      </c>
      <c r="X887" s="165" t="s">
        <v>16</v>
      </c>
      <c r="Y887" s="165" t="s">
        <v>16</v>
      </c>
      <c r="Z887" s="165" t="s">
        <v>16</v>
      </c>
      <c r="AA887" s="165" t="s">
        <v>16</v>
      </c>
      <c r="AB887" s="165" t="s">
        <v>16</v>
      </c>
      <c r="AC887" s="165" t="s">
        <v>16</v>
      </c>
      <c r="AD887" s="165" t="s">
        <v>16</v>
      </c>
      <c r="AE887" s="165" t="s">
        <v>882</v>
      </c>
      <c r="AF887" s="165"/>
      <c r="AG887" s="165"/>
      <c r="AH887" s="165"/>
      <c r="AI887" s="165"/>
    </row>
    <row r="888" spans="1:35" x14ac:dyDescent="0.3">
      <c r="A888" s="165" t="s">
        <v>1517</v>
      </c>
      <c r="B888" s="165" t="s">
        <v>14</v>
      </c>
      <c r="C888" s="165" t="s">
        <v>1481</v>
      </c>
      <c r="D888" s="165" t="s">
        <v>15</v>
      </c>
      <c r="E888" s="157">
        <v>41242</v>
      </c>
      <c r="F888" s="165" t="s">
        <v>16</v>
      </c>
      <c r="G888" s="165" t="s">
        <v>16</v>
      </c>
      <c r="H888" s="165" t="s">
        <v>16</v>
      </c>
      <c r="I888" s="165" t="s">
        <v>148</v>
      </c>
      <c r="J888" s="165" t="s">
        <v>16</v>
      </c>
      <c r="K888" s="165" t="s">
        <v>16</v>
      </c>
      <c r="L888" s="165" t="s">
        <v>16</v>
      </c>
      <c r="M888" s="165" t="s">
        <v>148</v>
      </c>
      <c r="N888" s="165" t="s">
        <v>16</v>
      </c>
      <c r="O888" s="165" t="s">
        <v>148</v>
      </c>
      <c r="P888" s="165" t="s">
        <v>148</v>
      </c>
      <c r="Q888" s="165" t="s">
        <v>16</v>
      </c>
      <c r="R888" s="165" t="s">
        <v>148</v>
      </c>
      <c r="S888" s="165" t="s">
        <v>16</v>
      </c>
      <c r="T888" s="165" t="s">
        <v>16</v>
      </c>
      <c r="U888" s="165" t="s">
        <v>148</v>
      </c>
      <c r="V888" s="165" t="s">
        <v>16</v>
      </c>
      <c r="W888" s="165" t="s">
        <v>16</v>
      </c>
      <c r="X888" s="165" t="s">
        <v>16</v>
      </c>
      <c r="Y888" s="165" t="s">
        <v>16</v>
      </c>
      <c r="Z888" s="165" t="s">
        <v>148</v>
      </c>
      <c r="AA888" s="165" t="s">
        <v>148</v>
      </c>
      <c r="AB888" s="165" t="s">
        <v>16</v>
      </c>
      <c r="AC888" s="165" t="s">
        <v>16</v>
      </c>
      <c r="AD888" s="165" t="s">
        <v>16</v>
      </c>
      <c r="AE888" s="165" t="s">
        <v>1480</v>
      </c>
      <c r="AF888" s="165"/>
      <c r="AG888" s="165"/>
      <c r="AH888" s="165"/>
      <c r="AI888" s="165"/>
    </row>
    <row r="889" spans="1:35" x14ac:dyDescent="0.3">
      <c r="A889" s="165" t="s">
        <v>1516</v>
      </c>
      <c r="B889" s="165" t="s">
        <v>14</v>
      </c>
      <c r="C889" s="165" t="s">
        <v>1481</v>
      </c>
      <c r="D889" s="165" t="s">
        <v>15</v>
      </c>
      <c r="E889" s="157">
        <v>41242</v>
      </c>
      <c r="F889" s="165" t="s">
        <v>150</v>
      </c>
      <c r="G889" s="165" t="s">
        <v>148</v>
      </c>
      <c r="H889" s="165" t="s">
        <v>16</v>
      </c>
      <c r="I889" s="165" t="s">
        <v>16</v>
      </c>
      <c r="J889" s="165" t="s">
        <v>16</v>
      </c>
      <c r="K889" s="165" t="s">
        <v>16</v>
      </c>
      <c r="L889" s="165" t="s">
        <v>16</v>
      </c>
      <c r="M889" s="165" t="s">
        <v>16</v>
      </c>
      <c r="N889" s="165" t="s">
        <v>16</v>
      </c>
      <c r="O889" s="165" t="s">
        <v>16</v>
      </c>
      <c r="P889" s="165" t="s">
        <v>149</v>
      </c>
      <c r="Q889" s="165" t="s">
        <v>148</v>
      </c>
      <c r="R889" s="165" t="s">
        <v>16</v>
      </c>
      <c r="S889" s="165" t="s">
        <v>148</v>
      </c>
      <c r="T889" s="165" t="s">
        <v>149</v>
      </c>
      <c r="U889" s="165" t="s">
        <v>16</v>
      </c>
      <c r="V889" s="165" t="s">
        <v>16</v>
      </c>
      <c r="W889" s="165" t="s">
        <v>148</v>
      </c>
      <c r="X889" s="165" t="s">
        <v>149</v>
      </c>
      <c r="Y889" s="165" t="s">
        <v>149</v>
      </c>
      <c r="Z889" s="165" t="s">
        <v>149</v>
      </c>
      <c r="AA889" s="165" t="s">
        <v>16</v>
      </c>
      <c r="AB889" s="165" t="s">
        <v>148</v>
      </c>
      <c r="AC889" s="165" t="s">
        <v>149</v>
      </c>
      <c r="AD889" s="165" t="s">
        <v>149</v>
      </c>
      <c r="AE889" s="165" t="s">
        <v>1515</v>
      </c>
      <c r="AF889" s="165" t="s">
        <v>1514</v>
      </c>
      <c r="AG889" s="165"/>
      <c r="AH889" s="165"/>
      <c r="AI889" s="165"/>
    </row>
    <row r="890" spans="1:35" x14ac:dyDescent="0.3">
      <c r="A890" s="165" t="s">
        <v>1513</v>
      </c>
      <c r="B890" s="165" t="s">
        <v>14</v>
      </c>
      <c r="C890" s="165" t="s">
        <v>1481</v>
      </c>
      <c r="D890" s="165" t="s">
        <v>15</v>
      </c>
      <c r="E890" s="157">
        <v>41242</v>
      </c>
      <c r="F890" s="165" t="s">
        <v>148</v>
      </c>
      <c r="G890" s="165" t="s">
        <v>16</v>
      </c>
      <c r="H890" s="165" t="s">
        <v>16</v>
      </c>
      <c r="I890" s="165" t="s">
        <v>16</v>
      </c>
      <c r="J890" s="165" t="s">
        <v>16</v>
      </c>
      <c r="K890" s="165" t="s">
        <v>148</v>
      </c>
      <c r="L890" s="165" t="s">
        <v>148</v>
      </c>
      <c r="M890" s="165" t="s">
        <v>148</v>
      </c>
      <c r="N890" s="165" t="s">
        <v>16</v>
      </c>
      <c r="O890" s="165" t="s">
        <v>16</v>
      </c>
      <c r="P890" s="165" t="s">
        <v>148</v>
      </c>
      <c r="Q890" s="165" t="s">
        <v>16</v>
      </c>
      <c r="R890" s="165" t="s">
        <v>148</v>
      </c>
      <c r="S890" s="165" t="s">
        <v>16</v>
      </c>
      <c r="T890" s="165" t="s">
        <v>148</v>
      </c>
      <c r="U890" s="165" t="s">
        <v>16</v>
      </c>
      <c r="V890" s="165" t="s">
        <v>148</v>
      </c>
      <c r="W890" s="165" t="s">
        <v>148</v>
      </c>
      <c r="X890" s="165" t="s">
        <v>16</v>
      </c>
      <c r="Y890" s="165" t="s">
        <v>148</v>
      </c>
      <c r="Z890" s="165" t="s">
        <v>16</v>
      </c>
      <c r="AA890" s="165" t="s">
        <v>16</v>
      </c>
      <c r="AB890" s="165" t="s">
        <v>16</v>
      </c>
      <c r="AC890" s="165" t="s">
        <v>16</v>
      </c>
      <c r="AD890" s="165" t="s">
        <v>148</v>
      </c>
      <c r="AE890" s="165" t="s">
        <v>1480</v>
      </c>
      <c r="AF890" s="165" t="s">
        <v>1512</v>
      </c>
      <c r="AG890" s="165"/>
      <c r="AH890" s="165"/>
      <c r="AI890" s="165"/>
    </row>
    <row r="891" spans="1:35" x14ac:dyDescent="0.3">
      <c r="A891" s="165" t="s">
        <v>1511</v>
      </c>
      <c r="B891" s="165" t="s">
        <v>14</v>
      </c>
      <c r="C891" s="165" t="s">
        <v>1481</v>
      </c>
      <c r="D891" s="165" t="s">
        <v>15</v>
      </c>
      <c r="E891" s="157">
        <v>41242</v>
      </c>
      <c r="F891" s="165" t="s">
        <v>16</v>
      </c>
      <c r="G891" s="165" t="s">
        <v>16</v>
      </c>
      <c r="H891" s="165" t="s">
        <v>16</v>
      </c>
      <c r="I891" s="165" t="s">
        <v>16</v>
      </c>
      <c r="J891" s="165" t="s">
        <v>16</v>
      </c>
      <c r="K891" s="165" t="s">
        <v>16</v>
      </c>
      <c r="L891" s="165" t="s">
        <v>16</v>
      </c>
      <c r="M891" s="165" t="s">
        <v>16</v>
      </c>
      <c r="N891" s="165" t="s">
        <v>16</v>
      </c>
      <c r="O891" s="165" t="s">
        <v>16</v>
      </c>
      <c r="P891" s="165" t="s">
        <v>16</v>
      </c>
      <c r="Q891" s="165" t="s">
        <v>16</v>
      </c>
      <c r="R891" s="165" t="s">
        <v>16</v>
      </c>
      <c r="S891" s="165" t="s">
        <v>16</v>
      </c>
      <c r="T891" s="165" t="s">
        <v>16</v>
      </c>
      <c r="U891" s="165" t="s">
        <v>16</v>
      </c>
      <c r="V891" s="165" t="s">
        <v>16</v>
      </c>
      <c r="W891" s="165" t="s">
        <v>16</v>
      </c>
      <c r="X891" s="165" t="s">
        <v>16</v>
      </c>
      <c r="Y891" s="165" t="s">
        <v>16</v>
      </c>
      <c r="Z891" s="165" t="s">
        <v>16</v>
      </c>
      <c r="AA891" s="165" t="s">
        <v>16</v>
      </c>
      <c r="AB891" s="165" t="s">
        <v>16</v>
      </c>
      <c r="AC891" s="165" t="s">
        <v>16</v>
      </c>
      <c r="AD891" s="165" t="s">
        <v>16</v>
      </c>
      <c r="AE891" s="165" t="s">
        <v>1480</v>
      </c>
      <c r="AF891" s="165"/>
      <c r="AG891" s="165"/>
      <c r="AH891" s="165"/>
      <c r="AI891" s="165"/>
    </row>
    <row r="892" spans="1:35" x14ac:dyDescent="0.3">
      <c r="A892" s="165" t="s">
        <v>1510</v>
      </c>
      <c r="B892" s="165" t="s">
        <v>14</v>
      </c>
      <c r="C892" s="165" t="s">
        <v>1481</v>
      </c>
      <c r="D892" s="165" t="s">
        <v>15</v>
      </c>
      <c r="E892" s="157">
        <v>41242</v>
      </c>
      <c r="F892" s="165" t="s">
        <v>16</v>
      </c>
      <c r="G892" s="165" t="s">
        <v>16</v>
      </c>
      <c r="H892" s="165" t="s">
        <v>16</v>
      </c>
      <c r="I892" s="165" t="s">
        <v>16</v>
      </c>
      <c r="J892" s="165" t="s">
        <v>16</v>
      </c>
      <c r="K892" s="165" t="s">
        <v>16</v>
      </c>
      <c r="L892" s="165" t="s">
        <v>148</v>
      </c>
      <c r="M892" s="165" t="s">
        <v>16</v>
      </c>
      <c r="N892" s="165" t="s">
        <v>150</v>
      </c>
      <c r="O892" s="165" t="s">
        <v>150</v>
      </c>
      <c r="P892" s="165" t="s">
        <v>16</v>
      </c>
      <c r="Q892" s="165" t="s">
        <v>16</v>
      </c>
      <c r="R892" s="165" t="s">
        <v>16</v>
      </c>
      <c r="S892" s="165" t="s">
        <v>16</v>
      </c>
      <c r="T892" s="165" t="s">
        <v>16</v>
      </c>
      <c r="U892" s="165" t="s">
        <v>16</v>
      </c>
      <c r="V892" s="165" t="s">
        <v>16</v>
      </c>
      <c r="W892" s="165" t="s">
        <v>16</v>
      </c>
      <c r="X892" s="165" t="s">
        <v>148</v>
      </c>
      <c r="Y892" s="165" t="s">
        <v>16</v>
      </c>
      <c r="Z892" s="165" t="s">
        <v>148</v>
      </c>
      <c r="AA892" s="165" t="s">
        <v>16</v>
      </c>
      <c r="AB892" s="165" t="s">
        <v>16</v>
      </c>
      <c r="AC892" s="165" t="s">
        <v>16</v>
      </c>
      <c r="AD892" s="165" t="s">
        <v>16</v>
      </c>
      <c r="AE892" s="165" t="s">
        <v>1491</v>
      </c>
      <c r="AF892" s="165"/>
      <c r="AG892" s="165"/>
      <c r="AH892" s="165"/>
      <c r="AI892" s="165"/>
    </row>
    <row r="893" spans="1:35" x14ac:dyDescent="0.3">
      <c r="A893" s="165" t="s">
        <v>1509</v>
      </c>
      <c r="B893" s="165" t="s">
        <v>14</v>
      </c>
      <c r="C893" s="165" t="s">
        <v>1481</v>
      </c>
      <c r="D893" s="165" t="s">
        <v>15</v>
      </c>
      <c r="E893" s="157">
        <v>41242</v>
      </c>
      <c r="F893" s="165" t="s">
        <v>16</v>
      </c>
      <c r="G893" s="165" t="s">
        <v>16</v>
      </c>
      <c r="H893" s="165" t="s">
        <v>149</v>
      </c>
      <c r="I893" s="165" t="s">
        <v>16</v>
      </c>
      <c r="J893" s="165" t="s">
        <v>16</v>
      </c>
      <c r="K893" s="165" t="s">
        <v>16</v>
      </c>
      <c r="L893" s="165" t="s">
        <v>16</v>
      </c>
      <c r="M893" s="165" t="s">
        <v>16</v>
      </c>
      <c r="N893" s="165" t="s">
        <v>16</v>
      </c>
      <c r="O893" s="165" t="s">
        <v>16</v>
      </c>
      <c r="P893" s="165" t="s">
        <v>16</v>
      </c>
      <c r="Q893" s="165" t="s">
        <v>149</v>
      </c>
      <c r="R893" s="165" t="s">
        <v>148</v>
      </c>
      <c r="S893" s="165" t="s">
        <v>16</v>
      </c>
      <c r="T893" s="165" t="s">
        <v>16</v>
      </c>
      <c r="U893" s="165" t="s">
        <v>16</v>
      </c>
      <c r="V893" s="165" t="s">
        <v>16</v>
      </c>
      <c r="W893" s="165" t="s">
        <v>16</v>
      </c>
      <c r="X893" s="165" t="s">
        <v>16</v>
      </c>
      <c r="Y893" s="165" t="s">
        <v>16</v>
      </c>
      <c r="Z893" s="165" t="s">
        <v>16</v>
      </c>
      <c r="AA893" s="165" t="s">
        <v>16</v>
      </c>
      <c r="AB893" s="165" t="s">
        <v>16</v>
      </c>
      <c r="AC893" s="165" t="s">
        <v>16</v>
      </c>
      <c r="AD893" s="165" t="s">
        <v>16</v>
      </c>
      <c r="AE893" s="165" t="s">
        <v>1480</v>
      </c>
      <c r="AF893" s="165"/>
      <c r="AG893" s="165"/>
      <c r="AH893" s="165"/>
      <c r="AI893" s="165"/>
    </row>
    <row r="894" spans="1:35" x14ac:dyDescent="0.3">
      <c r="A894" s="165" t="s">
        <v>1508</v>
      </c>
      <c r="B894" s="165" t="s">
        <v>14</v>
      </c>
      <c r="C894" s="165" t="s">
        <v>1481</v>
      </c>
      <c r="D894" s="165" t="s">
        <v>15</v>
      </c>
      <c r="E894" s="157">
        <v>41242</v>
      </c>
      <c r="F894" s="165" t="s">
        <v>16</v>
      </c>
      <c r="G894" s="165" t="s">
        <v>16</v>
      </c>
      <c r="H894" s="165" t="s">
        <v>16</v>
      </c>
      <c r="I894" s="165" t="s">
        <v>16</v>
      </c>
      <c r="J894" s="165" t="s">
        <v>16</v>
      </c>
      <c r="K894" s="165" t="s">
        <v>148</v>
      </c>
      <c r="L894" s="165" t="s">
        <v>16</v>
      </c>
      <c r="M894" s="165" t="s">
        <v>16</v>
      </c>
      <c r="N894" s="165" t="s">
        <v>16</v>
      </c>
      <c r="O894" s="165" t="s">
        <v>16</v>
      </c>
      <c r="P894" s="165" t="s">
        <v>16</v>
      </c>
      <c r="Q894" s="165" t="s">
        <v>16</v>
      </c>
      <c r="R894" s="165" t="s">
        <v>16</v>
      </c>
      <c r="S894" s="165" t="s">
        <v>148</v>
      </c>
      <c r="T894" s="165" t="s">
        <v>16</v>
      </c>
      <c r="U894" s="165" t="s">
        <v>16</v>
      </c>
      <c r="V894" s="165" t="s">
        <v>16</v>
      </c>
      <c r="W894" s="165" t="s">
        <v>148</v>
      </c>
      <c r="X894" s="165" t="s">
        <v>16</v>
      </c>
      <c r="Y894" s="165" t="s">
        <v>16</v>
      </c>
      <c r="Z894" s="165" t="s">
        <v>149</v>
      </c>
      <c r="AA894" s="165" t="s">
        <v>16</v>
      </c>
      <c r="AB894" s="165" t="s">
        <v>16</v>
      </c>
      <c r="AC894" s="165" t="s">
        <v>16</v>
      </c>
      <c r="AD894" s="165" t="s">
        <v>16</v>
      </c>
      <c r="AE894" s="165" t="s">
        <v>1480</v>
      </c>
      <c r="AF894" s="165" t="s">
        <v>1507</v>
      </c>
      <c r="AG894" s="165"/>
      <c r="AH894" s="165"/>
      <c r="AI894" s="165"/>
    </row>
    <row r="895" spans="1:35" x14ac:dyDescent="0.3">
      <c r="A895" s="165" t="s">
        <v>1506</v>
      </c>
      <c r="B895" s="165" t="s">
        <v>14</v>
      </c>
      <c r="C895" s="165" t="s">
        <v>1481</v>
      </c>
      <c r="D895" s="165" t="s">
        <v>15</v>
      </c>
      <c r="E895" s="157">
        <v>41242</v>
      </c>
      <c r="F895" s="165" t="s">
        <v>148</v>
      </c>
      <c r="G895" s="165" t="s">
        <v>16</v>
      </c>
      <c r="H895" s="165" t="s">
        <v>16</v>
      </c>
      <c r="I895" s="165" t="s">
        <v>148</v>
      </c>
      <c r="J895" s="165" t="s">
        <v>16</v>
      </c>
      <c r="K895" s="165" t="s">
        <v>148</v>
      </c>
      <c r="L895" s="165" t="s">
        <v>148</v>
      </c>
      <c r="M895" s="165" t="s">
        <v>16</v>
      </c>
      <c r="N895" s="165" t="s">
        <v>148</v>
      </c>
      <c r="O895" s="165" t="s">
        <v>149</v>
      </c>
      <c r="P895" s="165" t="s">
        <v>148</v>
      </c>
      <c r="Q895" s="165" t="s">
        <v>16</v>
      </c>
      <c r="R895" s="165" t="s">
        <v>16</v>
      </c>
      <c r="S895" s="165" t="s">
        <v>148</v>
      </c>
      <c r="T895" s="165" t="s">
        <v>149</v>
      </c>
      <c r="U895" s="165" t="s">
        <v>16</v>
      </c>
      <c r="V895" s="165" t="s">
        <v>149</v>
      </c>
      <c r="W895" s="165" t="s">
        <v>149</v>
      </c>
      <c r="X895" s="165" t="s">
        <v>149</v>
      </c>
      <c r="Y895" s="165" t="s">
        <v>151</v>
      </c>
      <c r="Z895" s="165" t="s">
        <v>16</v>
      </c>
      <c r="AA895" s="165" t="s">
        <v>148</v>
      </c>
      <c r="AB895" s="165" t="s">
        <v>149</v>
      </c>
      <c r="AC895" s="165" t="s">
        <v>16</v>
      </c>
      <c r="AD895" s="165" t="s">
        <v>16</v>
      </c>
      <c r="AE895" s="165" t="s">
        <v>1486</v>
      </c>
      <c r="AF895" s="165"/>
      <c r="AG895" s="165"/>
      <c r="AH895" s="165"/>
      <c r="AI895" s="165"/>
    </row>
    <row r="896" spans="1:35" x14ac:dyDescent="0.3">
      <c r="A896" s="165" t="s">
        <v>1505</v>
      </c>
      <c r="B896" s="165" t="s">
        <v>14</v>
      </c>
      <c r="C896" s="165" t="s">
        <v>1481</v>
      </c>
      <c r="D896" s="165" t="s">
        <v>15</v>
      </c>
      <c r="E896" s="157">
        <v>41242</v>
      </c>
      <c r="F896" s="165" t="s">
        <v>16</v>
      </c>
      <c r="G896" s="165" t="s">
        <v>16</v>
      </c>
      <c r="H896" s="165" t="s">
        <v>16</v>
      </c>
      <c r="I896" s="165" t="s">
        <v>16</v>
      </c>
      <c r="J896" s="165" t="s">
        <v>16</v>
      </c>
      <c r="K896" s="165" t="s">
        <v>16</v>
      </c>
      <c r="L896" s="165" t="s">
        <v>16</v>
      </c>
      <c r="M896" s="165" t="s">
        <v>16</v>
      </c>
      <c r="N896" s="165" t="s">
        <v>16</v>
      </c>
      <c r="O896" s="165" t="s">
        <v>16</v>
      </c>
      <c r="P896" s="165" t="s">
        <v>16</v>
      </c>
      <c r="Q896" s="165" t="s">
        <v>16</v>
      </c>
      <c r="R896" s="165" t="s">
        <v>16</v>
      </c>
      <c r="S896" s="165" t="s">
        <v>16</v>
      </c>
      <c r="T896" s="165" t="s">
        <v>16</v>
      </c>
      <c r="U896" s="165" t="s">
        <v>16</v>
      </c>
      <c r="V896" s="165" t="s">
        <v>16</v>
      </c>
      <c r="W896" s="165" t="s">
        <v>16</v>
      </c>
      <c r="X896" s="165" t="s">
        <v>16</v>
      </c>
      <c r="Y896" s="165" t="s">
        <v>16</v>
      </c>
      <c r="Z896" s="165" t="s">
        <v>16</v>
      </c>
      <c r="AA896" s="165" t="s">
        <v>16</v>
      </c>
      <c r="AB896" s="165" t="s">
        <v>16</v>
      </c>
      <c r="AC896" s="165" t="s">
        <v>16</v>
      </c>
      <c r="AD896" s="165" t="s">
        <v>16</v>
      </c>
      <c r="AE896" s="165"/>
      <c r="AF896" s="165"/>
      <c r="AG896" s="165"/>
      <c r="AH896" s="165"/>
      <c r="AI896" s="165"/>
    </row>
    <row r="897" spans="1:35" x14ac:dyDescent="0.3">
      <c r="A897" s="165" t="s">
        <v>1504</v>
      </c>
      <c r="B897" s="165" t="s">
        <v>14</v>
      </c>
      <c r="C897" s="165" t="s">
        <v>1481</v>
      </c>
      <c r="D897" s="165" t="s">
        <v>15</v>
      </c>
      <c r="E897" s="157">
        <v>41242</v>
      </c>
      <c r="F897" s="165" t="s">
        <v>150</v>
      </c>
      <c r="G897" s="165" t="s">
        <v>16</v>
      </c>
      <c r="H897" s="165" t="s">
        <v>16</v>
      </c>
      <c r="I897" s="165" t="s">
        <v>16</v>
      </c>
      <c r="J897" s="165" t="s">
        <v>16</v>
      </c>
      <c r="K897" s="165" t="s">
        <v>150</v>
      </c>
      <c r="L897" s="165" t="s">
        <v>150</v>
      </c>
      <c r="M897" s="165" t="s">
        <v>16</v>
      </c>
      <c r="N897" s="165" t="s">
        <v>16</v>
      </c>
      <c r="O897" s="165" t="s">
        <v>16</v>
      </c>
      <c r="P897" s="165" t="s">
        <v>16</v>
      </c>
      <c r="Q897" s="165" t="s">
        <v>16</v>
      </c>
      <c r="R897" s="165" t="s">
        <v>16</v>
      </c>
      <c r="S897" s="165" t="s">
        <v>150</v>
      </c>
      <c r="T897" s="165" t="s">
        <v>148</v>
      </c>
      <c r="U897" s="165" t="s">
        <v>16</v>
      </c>
      <c r="V897" s="165" t="s">
        <v>148</v>
      </c>
      <c r="W897" s="165" t="s">
        <v>16</v>
      </c>
      <c r="X897" s="165" t="s">
        <v>16</v>
      </c>
      <c r="Y897" s="165" t="s">
        <v>148</v>
      </c>
      <c r="Z897" s="165" t="s">
        <v>16</v>
      </c>
      <c r="AA897" s="165" t="s">
        <v>16</v>
      </c>
      <c r="AB897" s="165" t="s">
        <v>148</v>
      </c>
      <c r="AC897" s="165" t="s">
        <v>16</v>
      </c>
      <c r="AD897" s="165" t="s">
        <v>16</v>
      </c>
      <c r="AE897" s="165" t="s">
        <v>1491</v>
      </c>
      <c r="AF897" s="165"/>
      <c r="AG897" s="165"/>
      <c r="AH897" s="165"/>
      <c r="AI897" s="165"/>
    </row>
    <row r="898" spans="1:35" x14ac:dyDescent="0.3">
      <c r="A898" s="165" t="s">
        <v>1503</v>
      </c>
      <c r="B898" s="165" t="s">
        <v>14</v>
      </c>
      <c r="C898" s="165" t="s">
        <v>1481</v>
      </c>
      <c r="D898" s="165" t="s">
        <v>15</v>
      </c>
      <c r="E898" s="157">
        <v>41242</v>
      </c>
      <c r="F898" s="165" t="s">
        <v>16</v>
      </c>
      <c r="G898" s="165" t="s">
        <v>16</v>
      </c>
      <c r="H898" s="165" t="s">
        <v>148</v>
      </c>
      <c r="I898" s="165" t="s">
        <v>16</v>
      </c>
      <c r="J898" s="165" t="s">
        <v>16</v>
      </c>
      <c r="K898" s="165" t="s">
        <v>16</v>
      </c>
      <c r="L898" s="165" t="s">
        <v>16</v>
      </c>
      <c r="M898" s="165" t="s">
        <v>16</v>
      </c>
      <c r="N898" s="165" t="s">
        <v>16</v>
      </c>
      <c r="O898" s="165" t="s">
        <v>16</v>
      </c>
      <c r="P898" s="165" t="s">
        <v>16</v>
      </c>
      <c r="Q898" s="165" t="s">
        <v>16</v>
      </c>
      <c r="R898" s="165" t="s">
        <v>148</v>
      </c>
      <c r="S898" s="165" t="s">
        <v>16</v>
      </c>
      <c r="T898" s="165" t="s">
        <v>16</v>
      </c>
      <c r="U898" s="165" t="s">
        <v>16</v>
      </c>
      <c r="V898" s="165" t="s">
        <v>16</v>
      </c>
      <c r="W898" s="165" t="s">
        <v>16</v>
      </c>
      <c r="X898" s="165" t="s">
        <v>16</v>
      </c>
      <c r="Y898" s="165" t="s">
        <v>16</v>
      </c>
      <c r="Z898" s="165" t="s">
        <v>16</v>
      </c>
      <c r="AA898" s="165" t="s">
        <v>16</v>
      </c>
      <c r="AB898" s="165" t="s">
        <v>16</v>
      </c>
      <c r="AC898" s="165" t="s">
        <v>16</v>
      </c>
      <c r="AD898" s="165" t="s">
        <v>16</v>
      </c>
      <c r="AE898" s="165" t="s">
        <v>1486</v>
      </c>
      <c r="AF898" s="165"/>
      <c r="AG898" s="165"/>
      <c r="AH898" s="165"/>
      <c r="AI898" s="165"/>
    </row>
    <row r="899" spans="1:35" x14ac:dyDescent="0.3">
      <c r="A899" s="165" t="s">
        <v>1502</v>
      </c>
      <c r="B899" s="165" t="s">
        <v>14</v>
      </c>
      <c r="C899" s="165" t="s">
        <v>1481</v>
      </c>
      <c r="D899" s="165" t="s">
        <v>15</v>
      </c>
      <c r="E899" s="157">
        <v>41242</v>
      </c>
      <c r="F899" s="165" t="s">
        <v>16</v>
      </c>
      <c r="G899" s="165" t="s">
        <v>16</v>
      </c>
      <c r="H899" s="165" t="s">
        <v>16</v>
      </c>
      <c r="I899" s="165" t="s">
        <v>16</v>
      </c>
      <c r="J899" s="165" t="s">
        <v>148</v>
      </c>
      <c r="K899" s="165" t="s">
        <v>16</v>
      </c>
      <c r="L899" s="165" t="s">
        <v>16</v>
      </c>
      <c r="M899" s="165" t="s">
        <v>16</v>
      </c>
      <c r="N899" s="165" t="s">
        <v>16</v>
      </c>
      <c r="O899" s="165" t="s">
        <v>16</v>
      </c>
      <c r="P899" s="165" t="s">
        <v>16</v>
      </c>
      <c r="Q899" s="165" t="s">
        <v>16</v>
      </c>
      <c r="R899" s="165" t="s">
        <v>16</v>
      </c>
      <c r="S899" s="165" t="s">
        <v>16</v>
      </c>
      <c r="T899" s="165" t="s">
        <v>16</v>
      </c>
      <c r="U899" s="165" t="s">
        <v>16</v>
      </c>
      <c r="V899" s="165" t="s">
        <v>16</v>
      </c>
      <c r="W899" s="165" t="s">
        <v>16</v>
      </c>
      <c r="X899" s="165" t="s">
        <v>16</v>
      </c>
      <c r="Y899" s="165" t="s">
        <v>16</v>
      </c>
      <c r="Z899" s="165" t="s">
        <v>16</v>
      </c>
      <c r="AA899" s="165" t="s">
        <v>16</v>
      </c>
      <c r="AB899" s="165" t="s">
        <v>16</v>
      </c>
      <c r="AC899" s="165" t="s">
        <v>16</v>
      </c>
      <c r="AD899" s="165" t="s">
        <v>16</v>
      </c>
      <c r="AE899" s="165" t="s">
        <v>1491</v>
      </c>
      <c r="AF899" s="165"/>
      <c r="AG899" s="165"/>
      <c r="AH899" s="165"/>
      <c r="AI899" s="165"/>
    </row>
    <row r="900" spans="1:35" x14ac:dyDescent="0.3">
      <c r="A900" s="165" t="s">
        <v>1501</v>
      </c>
      <c r="B900" s="165" t="s">
        <v>14</v>
      </c>
      <c r="C900" s="165" t="s">
        <v>1481</v>
      </c>
      <c r="D900" s="165" t="s">
        <v>15</v>
      </c>
      <c r="E900" s="157">
        <v>41242</v>
      </c>
      <c r="F900" s="165" t="s">
        <v>16</v>
      </c>
      <c r="G900" s="165" t="s">
        <v>114</v>
      </c>
      <c r="H900" s="165" t="s">
        <v>16</v>
      </c>
      <c r="I900" s="165" t="s">
        <v>16</v>
      </c>
      <c r="J900" s="165" t="s">
        <v>16</v>
      </c>
      <c r="K900" s="165" t="s">
        <v>148</v>
      </c>
      <c r="L900" s="165" t="s">
        <v>148</v>
      </c>
      <c r="M900" s="165" t="s">
        <v>16</v>
      </c>
      <c r="N900" s="165" t="s">
        <v>16</v>
      </c>
      <c r="O900" s="165" t="s">
        <v>148</v>
      </c>
      <c r="P900" s="165" t="s">
        <v>148</v>
      </c>
      <c r="Q900" s="165" t="s">
        <v>16</v>
      </c>
      <c r="R900" s="165" t="s">
        <v>16</v>
      </c>
      <c r="S900" s="165" t="s">
        <v>16</v>
      </c>
      <c r="T900" s="165" t="s">
        <v>16</v>
      </c>
      <c r="U900" s="165" t="s">
        <v>16</v>
      </c>
      <c r="V900" s="165" t="s">
        <v>16</v>
      </c>
      <c r="W900" s="165" t="s">
        <v>16</v>
      </c>
      <c r="X900" s="165" t="s">
        <v>16</v>
      </c>
      <c r="Y900" s="165" t="s">
        <v>114</v>
      </c>
      <c r="Z900" s="165" t="s">
        <v>16</v>
      </c>
      <c r="AA900" s="165" t="s">
        <v>16</v>
      </c>
      <c r="AB900" s="165" t="s">
        <v>16</v>
      </c>
      <c r="AC900" s="165" t="s">
        <v>16</v>
      </c>
      <c r="AD900" s="165" t="s">
        <v>16</v>
      </c>
      <c r="AE900" s="165" t="s">
        <v>1488</v>
      </c>
      <c r="AF900" s="165"/>
      <c r="AG900" s="165"/>
      <c r="AH900" s="165"/>
      <c r="AI900" s="165"/>
    </row>
    <row r="901" spans="1:35" x14ac:dyDescent="0.3">
      <c r="A901" s="165" t="s">
        <v>1500</v>
      </c>
      <c r="B901" s="165" t="s">
        <v>14</v>
      </c>
      <c r="C901" s="165" t="s">
        <v>1481</v>
      </c>
      <c r="D901" s="165" t="s">
        <v>15</v>
      </c>
      <c r="E901" s="157">
        <v>41242</v>
      </c>
      <c r="F901" s="165" t="s">
        <v>16</v>
      </c>
      <c r="G901" s="165" t="s">
        <v>16</v>
      </c>
      <c r="H901" s="165" t="s">
        <v>16</v>
      </c>
      <c r="I901" s="165" t="s">
        <v>16</v>
      </c>
      <c r="J901" s="165" t="s">
        <v>149</v>
      </c>
      <c r="K901" s="165" t="s">
        <v>16</v>
      </c>
      <c r="L901" s="165" t="s">
        <v>16</v>
      </c>
      <c r="M901" s="165" t="s">
        <v>16</v>
      </c>
      <c r="N901" s="165" t="s">
        <v>16</v>
      </c>
      <c r="O901" s="165" t="s">
        <v>16</v>
      </c>
      <c r="P901" s="165" t="s">
        <v>16</v>
      </c>
      <c r="Q901" s="165" t="s">
        <v>148</v>
      </c>
      <c r="R901" s="165" t="s">
        <v>16</v>
      </c>
      <c r="S901" s="165" t="s">
        <v>16</v>
      </c>
      <c r="T901" s="165" t="s">
        <v>16</v>
      </c>
      <c r="U901" s="165" t="s">
        <v>16</v>
      </c>
      <c r="V901" s="165" t="s">
        <v>16</v>
      </c>
      <c r="W901" s="165" t="s">
        <v>16</v>
      </c>
      <c r="X901" s="165" t="s">
        <v>16</v>
      </c>
      <c r="Y901" s="165" t="s">
        <v>16</v>
      </c>
      <c r="Z901" s="165" t="s">
        <v>16</v>
      </c>
      <c r="AA901" s="165" t="s">
        <v>16</v>
      </c>
      <c r="AB901" s="165" t="s">
        <v>149</v>
      </c>
      <c r="AC901" s="165" t="s">
        <v>148</v>
      </c>
      <c r="AD901" s="165" t="s">
        <v>16</v>
      </c>
      <c r="AE901" s="165" t="s">
        <v>1499</v>
      </c>
      <c r="AF901" s="165"/>
      <c r="AG901" s="165"/>
      <c r="AH901" s="165"/>
      <c r="AI901" s="165"/>
    </row>
    <row r="902" spans="1:35" x14ac:dyDescent="0.3">
      <c r="A902" s="165" t="s">
        <v>1498</v>
      </c>
      <c r="B902" s="165" t="s">
        <v>14</v>
      </c>
      <c r="C902" s="165" t="s">
        <v>1481</v>
      </c>
      <c r="D902" s="165" t="s">
        <v>15</v>
      </c>
      <c r="E902" s="157">
        <v>41242</v>
      </c>
      <c r="F902" s="165" t="s">
        <v>16</v>
      </c>
      <c r="G902" s="165" t="s">
        <v>16</v>
      </c>
      <c r="H902" s="165" t="s">
        <v>16</v>
      </c>
      <c r="I902" s="165" t="s">
        <v>16</v>
      </c>
      <c r="J902" s="165" t="s">
        <v>148</v>
      </c>
      <c r="K902" s="165" t="s">
        <v>16</v>
      </c>
      <c r="L902" s="165" t="s">
        <v>16</v>
      </c>
      <c r="M902" s="165" t="s">
        <v>16</v>
      </c>
      <c r="N902" s="165" t="s">
        <v>16</v>
      </c>
      <c r="O902" s="165" t="s">
        <v>148</v>
      </c>
      <c r="P902" s="165" t="s">
        <v>16</v>
      </c>
      <c r="Q902" s="165" t="s">
        <v>16</v>
      </c>
      <c r="R902" s="165" t="s">
        <v>16</v>
      </c>
      <c r="S902" s="165" t="s">
        <v>148</v>
      </c>
      <c r="T902" s="165" t="s">
        <v>16</v>
      </c>
      <c r="U902" s="165" t="s">
        <v>16</v>
      </c>
      <c r="V902" s="165" t="s">
        <v>16</v>
      </c>
      <c r="W902" s="165" t="s">
        <v>16</v>
      </c>
      <c r="X902" s="165" t="s">
        <v>16</v>
      </c>
      <c r="Y902" s="165" t="s">
        <v>16</v>
      </c>
      <c r="Z902" s="165" t="s">
        <v>16</v>
      </c>
      <c r="AA902" s="165" t="s">
        <v>148</v>
      </c>
      <c r="AB902" s="165" t="s">
        <v>16</v>
      </c>
      <c r="AC902" s="165" t="s">
        <v>16</v>
      </c>
      <c r="AD902" s="165" t="s">
        <v>16</v>
      </c>
      <c r="AE902" s="165" t="s">
        <v>1491</v>
      </c>
      <c r="AF902" s="165"/>
      <c r="AG902" s="165"/>
      <c r="AH902" s="165"/>
      <c r="AI902" s="165"/>
    </row>
    <row r="903" spans="1:35" x14ac:dyDescent="0.3">
      <c r="A903" s="165" t="s">
        <v>1497</v>
      </c>
      <c r="B903" s="165" t="s">
        <v>14</v>
      </c>
      <c r="C903" s="165" t="s">
        <v>1481</v>
      </c>
      <c r="D903" s="165" t="s">
        <v>15</v>
      </c>
      <c r="E903" s="157">
        <v>41242</v>
      </c>
      <c r="F903" s="165" t="s">
        <v>151</v>
      </c>
      <c r="G903" s="165" t="s">
        <v>149</v>
      </c>
      <c r="H903" s="165" t="s">
        <v>149</v>
      </c>
      <c r="I903" s="165" t="s">
        <v>149</v>
      </c>
      <c r="J903" s="165" t="s">
        <v>16</v>
      </c>
      <c r="K903" s="165" t="s">
        <v>149</v>
      </c>
      <c r="L903" s="165" t="s">
        <v>16</v>
      </c>
      <c r="M903" s="165" t="s">
        <v>151</v>
      </c>
      <c r="N903" s="165" t="s">
        <v>149</v>
      </c>
      <c r="O903" s="165" t="s">
        <v>16</v>
      </c>
      <c r="P903" s="165" t="s">
        <v>16</v>
      </c>
      <c r="Q903" s="165" t="s">
        <v>149</v>
      </c>
      <c r="R903" s="165" t="s">
        <v>149</v>
      </c>
      <c r="S903" s="165" t="s">
        <v>16</v>
      </c>
      <c r="T903" s="165" t="s">
        <v>16</v>
      </c>
      <c r="U903" s="165" t="s">
        <v>149</v>
      </c>
      <c r="V903" s="165" t="s">
        <v>149</v>
      </c>
      <c r="W903" s="165" t="s">
        <v>149</v>
      </c>
      <c r="X903" s="165" t="s">
        <v>16</v>
      </c>
      <c r="Y903" s="165" t="s">
        <v>149</v>
      </c>
      <c r="Z903" s="165" t="s">
        <v>151</v>
      </c>
      <c r="AA903" s="165" t="s">
        <v>149</v>
      </c>
      <c r="AB903" s="165" t="s">
        <v>148</v>
      </c>
      <c r="AC903" s="165" t="s">
        <v>150</v>
      </c>
      <c r="AD903" s="165" t="s">
        <v>16</v>
      </c>
      <c r="AE903" s="165" t="s">
        <v>1480</v>
      </c>
      <c r="AF903" s="165"/>
      <c r="AG903" s="165"/>
      <c r="AH903" s="165"/>
      <c r="AI903" s="165"/>
    </row>
    <row r="904" spans="1:35" x14ac:dyDescent="0.3">
      <c r="A904" s="165" t="s">
        <v>1496</v>
      </c>
      <c r="B904" s="165" t="s">
        <v>14</v>
      </c>
      <c r="C904" s="165" t="s">
        <v>1481</v>
      </c>
      <c r="D904" s="165" t="s">
        <v>15</v>
      </c>
      <c r="E904" s="157">
        <v>41242</v>
      </c>
      <c r="F904" s="165" t="s">
        <v>16</v>
      </c>
      <c r="G904" s="165" t="s">
        <v>16</v>
      </c>
      <c r="H904" s="165" t="s">
        <v>16</v>
      </c>
      <c r="I904" s="165" t="s">
        <v>16</v>
      </c>
      <c r="J904" s="165" t="s">
        <v>16</v>
      </c>
      <c r="K904" s="165" t="s">
        <v>16</v>
      </c>
      <c r="L904" s="165" t="s">
        <v>16</v>
      </c>
      <c r="M904" s="165" t="s">
        <v>16</v>
      </c>
      <c r="N904" s="165" t="s">
        <v>16</v>
      </c>
      <c r="O904" s="165" t="s">
        <v>16</v>
      </c>
      <c r="P904" s="165" t="s">
        <v>16</v>
      </c>
      <c r="Q904" s="165" t="s">
        <v>16</v>
      </c>
      <c r="R904" s="165" t="s">
        <v>16</v>
      </c>
      <c r="S904" s="165" t="s">
        <v>16</v>
      </c>
      <c r="T904" s="165" t="s">
        <v>16</v>
      </c>
      <c r="U904" s="165" t="s">
        <v>16</v>
      </c>
      <c r="V904" s="165" t="s">
        <v>16</v>
      </c>
      <c r="W904" s="165" t="s">
        <v>16</v>
      </c>
      <c r="X904" s="165" t="s">
        <v>16</v>
      </c>
      <c r="Y904" s="165" t="s">
        <v>16</v>
      </c>
      <c r="Z904" s="165" t="s">
        <v>16</v>
      </c>
      <c r="AA904" s="165" t="s">
        <v>16</v>
      </c>
      <c r="AB904" s="165" t="s">
        <v>16</v>
      </c>
      <c r="AC904" s="165" t="s">
        <v>16</v>
      </c>
      <c r="AD904" s="165" t="s">
        <v>16</v>
      </c>
      <c r="AE904" s="165"/>
      <c r="AF904" s="165"/>
      <c r="AG904" s="165"/>
      <c r="AH904" s="165"/>
      <c r="AI904" s="165"/>
    </row>
    <row r="905" spans="1:35" x14ac:dyDescent="0.3">
      <c r="A905" s="165" t="s">
        <v>1495</v>
      </c>
      <c r="B905" s="165" t="s">
        <v>14</v>
      </c>
      <c r="C905" s="165" t="s">
        <v>1481</v>
      </c>
      <c r="D905" s="165" t="s">
        <v>15</v>
      </c>
      <c r="E905" s="157">
        <v>41242</v>
      </c>
      <c r="F905" s="165" t="s">
        <v>150</v>
      </c>
      <c r="G905" s="165" t="s">
        <v>148</v>
      </c>
      <c r="H905" s="165" t="s">
        <v>149</v>
      </c>
      <c r="I905" s="165" t="s">
        <v>148</v>
      </c>
      <c r="J905" s="165" t="s">
        <v>148</v>
      </c>
      <c r="K905" s="165" t="s">
        <v>16</v>
      </c>
      <c r="L905" s="165" t="s">
        <v>16</v>
      </c>
      <c r="M905" s="165" t="s">
        <v>16</v>
      </c>
      <c r="N905" s="165" t="s">
        <v>16</v>
      </c>
      <c r="O905" s="165" t="s">
        <v>16</v>
      </c>
      <c r="P905" s="165" t="s">
        <v>148</v>
      </c>
      <c r="Q905" s="165" t="s">
        <v>16</v>
      </c>
      <c r="R905" s="165" t="s">
        <v>16</v>
      </c>
      <c r="S905" s="165" t="s">
        <v>16</v>
      </c>
      <c r="T905" s="165" t="s">
        <v>16</v>
      </c>
      <c r="U905" s="165" t="s">
        <v>16</v>
      </c>
      <c r="V905" s="165" t="s">
        <v>16</v>
      </c>
      <c r="W905" s="165" t="s">
        <v>16</v>
      </c>
      <c r="X905" s="165" t="s">
        <v>16</v>
      </c>
      <c r="Y905" s="165" t="s">
        <v>16</v>
      </c>
      <c r="Z905" s="165" t="s">
        <v>16</v>
      </c>
      <c r="AA905" s="165" t="s">
        <v>16</v>
      </c>
      <c r="AB905" s="165" t="s">
        <v>16</v>
      </c>
      <c r="AC905" s="165" t="s">
        <v>16</v>
      </c>
      <c r="AD905" s="165" t="s">
        <v>16</v>
      </c>
      <c r="AE905" s="165" t="s">
        <v>1486</v>
      </c>
      <c r="AF905" s="165"/>
      <c r="AG905" s="165"/>
      <c r="AH905" s="165"/>
      <c r="AI905" s="165"/>
    </row>
    <row r="906" spans="1:35" x14ac:dyDescent="0.3">
      <c r="A906" s="165" t="s">
        <v>1494</v>
      </c>
      <c r="B906" s="165" t="s">
        <v>14</v>
      </c>
      <c r="C906" s="165" t="s">
        <v>1481</v>
      </c>
      <c r="D906" s="165" t="s">
        <v>15</v>
      </c>
      <c r="E906" s="157">
        <v>41242</v>
      </c>
      <c r="F906" s="165" t="s">
        <v>16</v>
      </c>
      <c r="G906" s="165" t="s">
        <v>16</v>
      </c>
      <c r="H906" s="165" t="s">
        <v>16</v>
      </c>
      <c r="I906" s="165" t="s">
        <v>16</v>
      </c>
      <c r="J906" s="165" t="s">
        <v>16</v>
      </c>
      <c r="K906" s="165" t="s">
        <v>16</v>
      </c>
      <c r="L906" s="165" t="s">
        <v>16</v>
      </c>
      <c r="M906" s="165" t="s">
        <v>16</v>
      </c>
      <c r="N906" s="165" t="s">
        <v>16</v>
      </c>
      <c r="O906" s="165" t="s">
        <v>16</v>
      </c>
      <c r="P906" s="165" t="s">
        <v>16</v>
      </c>
      <c r="Q906" s="165" t="s">
        <v>16</v>
      </c>
      <c r="R906" s="165" t="s">
        <v>16</v>
      </c>
      <c r="S906" s="165" t="s">
        <v>16</v>
      </c>
      <c r="T906" s="165" t="s">
        <v>16</v>
      </c>
      <c r="U906" s="165" t="s">
        <v>16</v>
      </c>
      <c r="V906" s="165" t="s">
        <v>16</v>
      </c>
      <c r="W906" s="165" t="s">
        <v>16</v>
      </c>
      <c r="X906" s="165" t="s">
        <v>16</v>
      </c>
      <c r="Y906" s="165" t="s">
        <v>148</v>
      </c>
      <c r="Z906" s="165" t="s">
        <v>16</v>
      </c>
      <c r="AA906" s="165" t="s">
        <v>16</v>
      </c>
      <c r="AB906" s="165" t="s">
        <v>16</v>
      </c>
      <c r="AC906" s="165" t="s">
        <v>16</v>
      </c>
      <c r="AD906" s="165" t="s">
        <v>16</v>
      </c>
      <c r="AE906" s="165" t="s">
        <v>1493</v>
      </c>
      <c r="AF906" s="165"/>
      <c r="AG906" s="165"/>
      <c r="AH906" s="165"/>
      <c r="AI906" s="165"/>
    </row>
    <row r="907" spans="1:35" x14ac:dyDescent="0.3">
      <c r="A907" s="165" t="s">
        <v>1492</v>
      </c>
      <c r="B907" s="165" t="s">
        <v>14</v>
      </c>
      <c r="C907" s="165" t="s">
        <v>1481</v>
      </c>
      <c r="D907" s="165" t="s">
        <v>15</v>
      </c>
      <c r="E907" s="157">
        <v>41242</v>
      </c>
      <c r="F907" s="165" t="s">
        <v>16</v>
      </c>
      <c r="G907" s="165" t="s">
        <v>149</v>
      </c>
      <c r="H907" s="165" t="s">
        <v>149</v>
      </c>
      <c r="I907" s="165" t="s">
        <v>16</v>
      </c>
      <c r="J907" s="165" t="s">
        <v>16</v>
      </c>
      <c r="K907" s="165" t="s">
        <v>16</v>
      </c>
      <c r="L907" s="165" t="s">
        <v>16</v>
      </c>
      <c r="M907" s="165" t="s">
        <v>16</v>
      </c>
      <c r="N907" s="165" t="s">
        <v>148</v>
      </c>
      <c r="O907" s="165" t="s">
        <v>16</v>
      </c>
      <c r="P907" s="165" t="s">
        <v>16</v>
      </c>
      <c r="Q907" s="165" t="s">
        <v>16</v>
      </c>
      <c r="R907" s="165" t="s">
        <v>16</v>
      </c>
      <c r="S907" s="165" t="s">
        <v>16</v>
      </c>
      <c r="T907" s="165" t="s">
        <v>16</v>
      </c>
      <c r="U907" s="165" t="s">
        <v>16</v>
      </c>
      <c r="V907" s="165" t="s">
        <v>16</v>
      </c>
      <c r="W907" s="165" t="s">
        <v>16</v>
      </c>
      <c r="X907" s="165" t="s">
        <v>16</v>
      </c>
      <c r="Y907" s="165" t="s">
        <v>16</v>
      </c>
      <c r="Z907" s="165" t="s">
        <v>16</v>
      </c>
      <c r="AA907" s="165" t="s">
        <v>16</v>
      </c>
      <c r="AB907" s="165" t="s">
        <v>16</v>
      </c>
      <c r="AC907" s="165" t="s">
        <v>16</v>
      </c>
      <c r="AD907" s="165" t="s">
        <v>16</v>
      </c>
      <c r="AE907" s="165" t="s">
        <v>1491</v>
      </c>
      <c r="AF907" s="165"/>
      <c r="AG907" s="165"/>
      <c r="AH907" s="165"/>
      <c r="AI907" s="165"/>
    </row>
    <row r="908" spans="1:35" x14ac:dyDescent="0.3">
      <c r="A908" s="165" t="s">
        <v>1490</v>
      </c>
      <c r="B908" s="165" t="s">
        <v>14</v>
      </c>
      <c r="C908" s="165" t="s">
        <v>1481</v>
      </c>
      <c r="D908" s="165" t="s">
        <v>15</v>
      </c>
      <c r="E908" s="157">
        <v>41242</v>
      </c>
      <c r="F908" s="165" t="s">
        <v>16</v>
      </c>
      <c r="G908" s="165" t="s">
        <v>16</v>
      </c>
      <c r="H908" s="165" t="s">
        <v>148</v>
      </c>
      <c r="I908" s="165" t="s">
        <v>16</v>
      </c>
      <c r="J908" s="165" t="s">
        <v>16</v>
      </c>
      <c r="K908" s="165" t="s">
        <v>16</v>
      </c>
      <c r="L908" s="165" t="s">
        <v>16</v>
      </c>
      <c r="M908" s="165" t="s">
        <v>16</v>
      </c>
      <c r="N908" s="165" t="s">
        <v>16</v>
      </c>
      <c r="O908" s="165" t="s">
        <v>16</v>
      </c>
      <c r="P908" s="165" t="s">
        <v>16</v>
      </c>
      <c r="Q908" s="165" t="s">
        <v>16</v>
      </c>
      <c r="R908" s="165" t="s">
        <v>148</v>
      </c>
      <c r="S908" s="165" t="s">
        <v>16</v>
      </c>
      <c r="T908" s="165" t="s">
        <v>148</v>
      </c>
      <c r="U908" s="165" t="s">
        <v>16</v>
      </c>
      <c r="V908" s="165" t="s">
        <v>16</v>
      </c>
      <c r="W908" s="165" t="s">
        <v>16</v>
      </c>
      <c r="X908" s="165" t="s">
        <v>16</v>
      </c>
      <c r="Y908" s="165" t="s">
        <v>16</v>
      </c>
      <c r="Z908" s="165" t="s">
        <v>16</v>
      </c>
      <c r="AA908" s="165" t="s">
        <v>16</v>
      </c>
      <c r="AB908" s="165" t="s">
        <v>16</v>
      </c>
      <c r="AC908" s="165" t="s">
        <v>148</v>
      </c>
      <c r="AD908" s="165" t="s">
        <v>16</v>
      </c>
      <c r="AE908" s="165" t="s">
        <v>1480</v>
      </c>
      <c r="AF908" s="165"/>
      <c r="AG908" s="165"/>
      <c r="AH908" s="165"/>
      <c r="AI908" s="165"/>
    </row>
    <row r="909" spans="1:35" x14ac:dyDescent="0.3">
      <c r="A909" s="165" t="s">
        <v>1489</v>
      </c>
      <c r="B909" s="165" t="s">
        <v>14</v>
      </c>
      <c r="C909" s="165" t="s">
        <v>1481</v>
      </c>
      <c r="D909" s="165" t="s">
        <v>15</v>
      </c>
      <c r="E909" s="157">
        <v>41242</v>
      </c>
      <c r="F909" s="165" t="s">
        <v>149</v>
      </c>
      <c r="G909" s="165" t="s">
        <v>16</v>
      </c>
      <c r="H909" s="165" t="s">
        <v>148</v>
      </c>
      <c r="I909" s="165" t="s">
        <v>16</v>
      </c>
      <c r="J909" s="165" t="s">
        <v>16</v>
      </c>
      <c r="K909" s="165" t="s">
        <v>16</v>
      </c>
      <c r="L909" s="165" t="s">
        <v>148</v>
      </c>
      <c r="M909" s="165" t="s">
        <v>148</v>
      </c>
      <c r="N909" s="165" t="s">
        <v>148</v>
      </c>
      <c r="O909" s="165" t="s">
        <v>16</v>
      </c>
      <c r="P909" s="165" t="s">
        <v>16</v>
      </c>
      <c r="Q909" s="165" t="s">
        <v>149</v>
      </c>
      <c r="R909" s="165" t="s">
        <v>16</v>
      </c>
      <c r="S909" s="165" t="s">
        <v>16</v>
      </c>
      <c r="T909" s="165" t="s">
        <v>16</v>
      </c>
      <c r="U909" s="165" t="s">
        <v>16</v>
      </c>
      <c r="V909" s="165" t="s">
        <v>16</v>
      </c>
      <c r="W909" s="165" t="s">
        <v>16</v>
      </c>
      <c r="X909" s="165" t="s">
        <v>16</v>
      </c>
      <c r="Y909" s="165" t="s">
        <v>16</v>
      </c>
      <c r="Z909" s="165" t="s">
        <v>16</v>
      </c>
      <c r="AA909" s="165" t="s">
        <v>16</v>
      </c>
      <c r="AB909" s="165" t="s">
        <v>16</v>
      </c>
      <c r="AC909" s="165" t="s">
        <v>16</v>
      </c>
      <c r="AD909" s="165" t="s">
        <v>16</v>
      </c>
      <c r="AE909" s="165" t="s">
        <v>1488</v>
      </c>
      <c r="AF909" s="165"/>
      <c r="AG909" s="165"/>
      <c r="AH909" s="165"/>
      <c r="AI909" s="165"/>
    </row>
    <row r="910" spans="1:35" x14ac:dyDescent="0.3">
      <c r="A910" s="165" t="s">
        <v>1487</v>
      </c>
      <c r="B910" s="165" t="s">
        <v>14</v>
      </c>
      <c r="C910" s="165" t="s">
        <v>1481</v>
      </c>
      <c r="D910" s="165" t="s">
        <v>15</v>
      </c>
      <c r="E910" s="157">
        <v>41242</v>
      </c>
      <c r="F910" s="165" t="s">
        <v>16</v>
      </c>
      <c r="G910" s="165" t="s">
        <v>16</v>
      </c>
      <c r="H910" s="165" t="s">
        <v>16</v>
      </c>
      <c r="I910" s="165" t="s">
        <v>16</v>
      </c>
      <c r="J910" s="165" t="s">
        <v>16</v>
      </c>
      <c r="K910" s="165" t="s">
        <v>16</v>
      </c>
      <c r="L910" s="165" t="s">
        <v>16</v>
      </c>
      <c r="M910" s="165" t="s">
        <v>148</v>
      </c>
      <c r="N910" s="165" t="s">
        <v>148</v>
      </c>
      <c r="O910" s="165" t="s">
        <v>16</v>
      </c>
      <c r="P910" s="165" t="s">
        <v>16</v>
      </c>
      <c r="Q910" s="165" t="s">
        <v>16</v>
      </c>
      <c r="R910" s="165" t="s">
        <v>148</v>
      </c>
      <c r="S910" s="165" t="s">
        <v>148</v>
      </c>
      <c r="T910" s="165" t="s">
        <v>148</v>
      </c>
      <c r="U910" s="165" t="s">
        <v>16</v>
      </c>
      <c r="V910" s="165" t="s">
        <v>16</v>
      </c>
      <c r="W910" s="165" t="s">
        <v>150</v>
      </c>
      <c r="X910" s="165" t="s">
        <v>150</v>
      </c>
      <c r="Y910" s="165" t="s">
        <v>16</v>
      </c>
      <c r="Z910" s="165" t="s">
        <v>16</v>
      </c>
      <c r="AA910" s="165" t="s">
        <v>16</v>
      </c>
      <c r="AB910" s="165" t="s">
        <v>16</v>
      </c>
      <c r="AC910" s="165" t="s">
        <v>16</v>
      </c>
      <c r="AD910" s="165" t="s">
        <v>16</v>
      </c>
      <c r="AE910" s="165" t="s">
        <v>1486</v>
      </c>
      <c r="AF910" s="165"/>
      <c r="AG910" s="165"/>
      <c r="AH910" s="165"/>
      <c r="AI910" s="165"/>
    </row>
    <row r="911" spans="1:35" x14ac:dyDescent="0.3">
      <c r="A911" s="165" t="s">
        <v>1485</v>
      </c>
      <c r="B911" s="165" t="s">
        <v>14</v>
      </c>
      <c r="C911" s="165" t="s">
        <v>1481</v>
      </c>
      <c r="D911" s="165" t="s">
        <v>15</v>
      </c>
      <c r="E911" s="157">
        <v>41242</v>
      </c>
      <c r="F911" s="165" t="s">
        <v>149</v>
      </c>
      <c r="G911" s="165" t="s">
        <v>149</v>
      </c>
      <c r="H911" s="165" t="s">
        <v>16</v>
      </c>
      <c r="I911" s="165" t="s">
        <v>148</v>
      </c>
      <c r="J911" s="165" t="s">
        <v>148</v>
      </c>
      <c r="K911" s="165" t="s">
        <v>16</v>
      </c>
      <c r="L911" s="165" t="s">
        <v>149</v>
      </c>
      <c r="M911" s="165" t="s">
        <v>149</v>
      </c>
      <c r="N911" s="165" t="s">
        <v>150</v>
      </c>
      <c r="O911" s="165" t="s">
        <v>148</v>
      </c>
      <c r="P911" s="165" t="s">
        <v>148</v>
      </c>
      <c r="Q911" s="165" t="s">
        <v>148</v>
      </c>
      <c r="R911" s="165" t="s">
        <v>148</v>
      </c>
      <c r="S911" s="165" t="s">
        <v>16</v>
      </c>
      <c r="T911" s="165" t="s">
        <v>16</v>
      </c>
      <c r="U911" s="165" t="s">
        <v>148</v>
      </c>
      <c r="V911" s="165" t="s">
        <v>16</v>
      </c>
      <c r="W911" s="165" t="s">
        <v>16</v>
      </c>
      <c r="X911" s="165" t="s">
        <v>150</v>
      </c>
      <c r="Y911" s="165" t="s">
        <v>16</v>
      </c>
      <c r="Z911" s="165" t="s">
        <v>149</v>
      </c>
      <c r="AA911" s="165" t="s">
        <v>149</v>
      </c>
      <c r="AB911" s="165" t="s">
        <v>16</v>
      </c>
      <c r="AC911" s="165" t="s">
        <v>148</v>
      </c>
      <c r="AD911" s="165" t="s">
        <v>148</v>
      </c>
      <c r="AE911" s="165" t="s">
        <v>1480</v>
      </c>
      <c r="AF911" s="165" t="s">
        <v>1484</v>
      </c>
      <c r="AG911" s="165"/>
      <c r="AH911" s="165"/>
      <c r="AI911" s="165"/>
    </row>
    <row r="912" spans="1:35" x14ac:dyDescent="0.3">
      <c r="A912" s="165" t="s">
        <v>1483</v>
      </c>
      <c r="B912" s="165" t="s">
        <v>14</v>
      </c>
      <c r="C912" s="165" t="s">
        <v>1481</v>
      </c>
      <c r="D912" s="165" t="s">
        <v>15</v>
      </c>
      <c r="E912" s="157">
        <v>41242</v>
      </c>
      <c r="F912" s="165" t="s">
        <v>148</v>
      </c>
      <c r="G912" s="165" t="s">
        <v>16</v>
      </c>
      <c r="H912" s="165" t="s">
        <v>16</v>
      </c>
      <c r="I912" s="165" t="s">
        <v>16</v>
      </c>
      <c r="J912" s="165" t="s">
        <v>16</v>
      </c>
      <c r="K912" s="165" t="s">
        <v>16</v>
      </c>
      <c r="L912" s="165" t="s">
        <v>16</v>
      </c>
      <c r="M912" s="165" t="s">
        <v>16</v>
      </c>
      <c r="N912" s="165" t="s">
        <v>16</v>
      </c>
      <c r="O912" s="165" t="s">
        <v>148</v>
      </c>
      <c r="P912" s="165" t="s">
        <v>148</v>
      </c>
      <c r="Q912" s="165" t="s">
        <v>16</v>
      </c>
      <c r="R912" s="165" t="s">
        <v>16</v>
      </c>
      <c r="S912" s="165" t="s">
        <v>16</v>
      </c>
      <c r="T912" s="165" t="s">
        <v>16</v>
      </c>
      <c r="U912" s="165" t="s">
        <v>148</v>
      </c>
      <c r="V912" s="165" t="s">
        <v>16</v>
      </c>
      <c r="W912" s="165" t="s">
        <v>16</v>
      </c>
      <c r="X912" s="165" t="s">
        <v>16</v>
      </c>
      <c r="Y912" s="165" t="s">
        <v>16</v>
      </c>
      <c r="Z912" s="165" t="s">
        <v>16</v>
      </c>
      <c r="AA912" s="165" t="s">
        <v>16</v>
      </c>
      <c r="AB912" s="165" t="s">
        <v>16</v>
      </c>
      <c r="AC912" s="165" t="s">
        <v>16</v>
      </c>
      <c r="AD912" s="165" t="s">
        <v>16</v>
      </c>
      <c r="AE912" s="165" t="s">
        <v>1480</v>
      </c>
      <c r="AF912" s="165"/>
      <c r="AG912" s="165"/>
      <c r="AH912" s="165"/>
      <c r="AI912" s="165"/>
    </row>
    <row r="913" spans="1:35" x14ac:dyDescent="0.3">
      <c r="A913" s="165" t="s">
        <v>1482</v>
      </c>
      <c r="B913" s="165" t="s">
        <v>14</v>
      </c>
      <c r="C913" s="165" t="s">
        <v>1481</v>
      </c>
      <c r="D913" s="165" t="s">
        <v>15</v>
      </c>
      <c r="E913" s="157">
        <v>41242</v>
      </c>
      <c r="F913" s="165" t="s">
        <v>16</v>
      </c>
      <c r="G913" s="165" t="s">
        <v>16</v>
      </c>
      <c r="H913" s="165" t="s">
        <v>16</v>
      </c>
      <c r="I913" s="165" t="s">
        <v>16</v>
      </c>
      <c r="J913" s="165" t="s">
        <v>16</v>
      </c>
      <c r="K913" s="165" t="s">
        <v>16</v>
      </c>
      <c r="L913" s="165" t="s">
        <v>16</v>
      </c>
      <c r="M913" s="165" t="s">
        <v>16</v>
      </c>
      <c r="N913" s="165" t="s">
        <v>16</v>
      </c>
      <c r="O913" s="165" t="s">
        <v>16</v>
      </c>
      <c r="P913" s="165" t="s">
        <v>16</v>
      </c>
      <c r="Q913" s="165" t="s">
        <v>16</v>
      </c>
      <c r="R913" s="165" t="s">
        <v>16</v>
      </c>
      <c r="S913" s="165" t="s">
        <v>16</v>
      </c>
      <c r="T913" s="165" t="s">
        <v>16</v>
      </c>
      <c r="U913" s="165" t="s">
        <v>16</v>
      </c>
      <c r="V913" s="165" t="s">
        <v>16</v>
      </c>
      <c r="W913" s="165" t="s">
        <v>16</v>
      </c>
      <c r="X913" s="165" t="s">
        <v>16</v>
      </c>
      <c r="Y913" s="165" t="s">
        <v>16</v>
      </c>
      <c r="Z913" s="165" t="s">
        <v>16</v>
      </c>
      <c r="AA913" s="165" t="s">
        <v>16</v>
      </c>
      <c r="AB913" s="165" t="s">
        <v>16</v>
      </c>
      <c r="AC913" s="165" t="s">
        <v>16</v>
      </c>
      <c r="AD913" s="165" t="s">
        <v>16</v>
      </c>
      <c r="AE913" s="165" t="s">
        <v>1480</v>
      </c>
      <c r="AF913" s="165"/>
      <c r="AG913" s="165"/>
      <c r="AH913" s="165"/>
      <c r="AI913" s="165"/>
    </row>
    <row r="916" spans="1:35" x14ac:dyDescent="0.3">
      <c r="A916" s="165"/>
      <c r="B916" s="165"/>
      <c r="C916" s="165"/>
      <c r="D916" s="165"/>
      <c r="E916" s="165"/>
      <c r="F916" s="165" t="s">
        <v>124</v>
      </c>
      <c r="G916" s="165" t="s">
        <v>125</v>
      </c>
      <c r="H916" s="165" t="s">
        <v>126</v>
      </c>
      <c r="I916" s="165" t="s">
        <v>127</v>
      </c>
      <c r="J916" s="165" t="s">
        <v>214</v>
      </c>
      <c r="K916" s="165" t="s">
        <v>128</v>
      </c>
      <c r="L916" s="165" t="s">
        <v>129</v>
      </c>
      <c r="M916" s="165" t="s">
        <v>130</v>
      </c>
      <c r="N916" s="165" t="s">
        <v>131</v>
      </c>
      <c r="O916" s="165" t="s">
        <v>132</v>
      </c>
      <c r="P916" s="165" t="s">
        <v>133</v>
      </c>
      <c r="Q916" s="165" t="s">
        <v>134</v>
      </c>
      <c r="R916" s="165" t="s">
        <v>135</v>
      </c>
      <c r="S916" s="165" t="s">
        <v>136</v>
      </c>
      <c r="T916" s="165" t="s">
        <v>137</v>
      </c>
      <c r="U916" s="165" t="s">
        <v>138</v>
      </c>
      <c r="V916" s="165" t="s">
        <v>139</v>
      </c>
      <c r="W916" s="165" t="s">
        <v>140</v>
      </c>
      <c r="X916" s="165" t="s">
        <v>186</v>
      </c>
      <c r="Y916" s="165" t="s">
        <v>209</v>
      </c>
      <c r="Z916" s="165" t="s">
        <v>141</v>
      </c>
      <c r="AA916" s="165" t="s">
        <v>142</v>
      </c>
      <c r="AB916" s="165" t="s">
        <v>210</v>
      </c>
      <c r="AC916" s="165" t="s">
        <v>1180</v>
      </c>
      <c r="AD916" s="165" t="s">
        <v>144</v>
      </c>
      <c r="AE916" s="165" t="s">
        <v>1529</v>
      </c>
      <c r="AF916" s="165" t="s">
        <v>190</v>
      </c>
    </row>
    <row r="917" spans="1:35" x14ac:dyDescent="0.3">
      <c r="A917" s="165" t="s">
        <v>1530</v>
      </c>
      <c r="B917" s="165" t="s">
        <v>14</v>
      </c>
      <c r="C917" s="165" t="s">
        <v>1531</v>
      </c>
      <c r="D917" s="165" t="s">
        <v>15</v>
      </c>
      <c r="E917" s="157">
        <v>41273</v>
      </c>
      <c r="F917" s="165" t="s">
        <v>16</v>
      </c>
      <c r="G917" s="165" t="s">
        <v>16</v>
      </c>
      <c r="H917" s="165" t="s">
        <v>149</v>
      </c>
      <c r="I917" s="165" t="s">
        <v>16</v>
      </c>
      <c r="J917" s="165" t="s">
        <v>149</v>
      </c>
      <c r="K917" s="165" t="s">
        <v>16</v>
      </c>
      <c r="L917" s="165" t="s">
        <v>16</v>
      </c>
      <c r="M917" s="165" t="s">
        <v>149</v>
      </c>
      <c r="N917" s="165" t="s">
        <v>149</v>
      </c>
      <c r="O917" s="165" t="s">
        <v>149</v>
      </c>
      <c r="P917" s="165" t="s">
        <v>16</v>
      </c>
      <c r="Q917" s="165" t="s">
        <v>149</v>
      </c>
      <c r="R917" s="165" t="s">
        <v>149</v>
      </c>
      <c r="S917" s="165" t="s">
        <v>16</v>
      </c>
      <c r="T917" s="165" t="s">
        <v>16</v>
      </c>
      <c r="U917" s="165" t="s">
        <v>16</v>
      </c>
      <c r="V917" s="165" t="s">
        <v>16</v>
      </c>
      <c r="W917" s="165" t="s">
        <v>149</v>
      </c>
      <c r="X917" s="165" t="s">
        <v>149</v>
      </c>
      <c r="Y917" s="165" t="s">
        <v>149</v>
      </c>
      <c r="Z917" s="165" t="s">
        <v>149</v>
      </c>
      <c r="AA917" s="165" t="s">
        <v>149</v>
      </c>
      <c r="AB917" s="165" t="s">
        <v>16</v>
      </c>
      <c r="AC917" s="165" t="s">
        <v>148</v>
      </c>
      <c r="AD917" s="165" t="s">
        <v>16</v>
      </c>
      <c r="AE917" s="165" t="s">
        <v>1532</v>
      </c>
      <c r="AF917" s="165"/>
    </row>
    <row r="918" spans="1:35" x14ac:dyDescent="0.3">
      <c r="A918" s="165" t="s">
        <v>1533</v>
      </c>
      <c r="B918" s="165" t="s">
        <v>14</v>
      </c>
      <c r="C918" s="165" t="s">
        <v>1531</v>
      </c>
      <c r="D918" s="165" t="s">
        <v>15</v>
      </c>
      <c r="E918" s="157">
        <v>41273</v>
      </c>
      <c r="F918" s="165" t="s">
        <v>148</v>
      </c>
      <c r="G918" s="165" t="s">
        <v>148</v>
      </c>
      <c r="H918" s="165" t="s">
        <v>16</v>
      </c>
      <c r="I918" s="165" t="s">
        <v>148</v>
      </c>
      <c r="J918" s="165" t="s">
        <v>16</v>
      </c>
      <c r="K918" s="165" t="s">
        <v>148</v>
      </c>
      <c r="L918" s="165" t="s">
        <v>150</v>
      </c>
      <c r="M918" s="165" t="s">
        <v>150</v>
      </c>
      <c r="N918" s="165" t="s">
        <v>16</v>
      </c>
      <c r="O918" s="165" t="s">
        <v>16</v>
      </c>
      <c r="P918" s="165" t="s">
        <v>148</v>
      </c>
      <c r="Q918" s="165" t="s">
        <v>16</v>
      </c>
      <c r="R918" s="165" t="s">
        <v>16</v>
      </c>
      <c r="S918" s="165" t="s">
        <v>148</v>
      </c>
      <c r="T918" s="165" t="s">
        <v>16</v>
      </c>
      <c r="U918" s="165" t="s">
        <v>148</v>
      </c>
      <c r="V918" s="165" t="s">
        <v>148</v>
      </c>
      <c r="W918" s="165" t="s">
        <v>150</v>
      </c>
      <c r="X918" s="165" t="s">
        <v>148</v>
      </c>
      <c r="Y918" s="165" t="s">
        <v>148</v>
      </c>
      <c r="Z918" s="165" t="s">
        <v>148</v>
      </c>
      <c r="AA918" s="165" t="s">
        <v>148</v>
      </c>
      <c r="AB918" s="165" t="s">
        <v>150</v>
      </c>
      <c r="AC918" s="165" t="s">
        <v>16</v>
      </c>
      <c r="AD918" s="165" t="s">
        <v>148</v>
      </c>
      <c r="AE918" s="165" t="s">
        <v>1534</v>
      </c>
      <c r="AF918" s="165"/>
    </row>
    <row r="919" spans="1:35" x14ac:dyDescent="0.3">
      <c r="A919" s="165" t="s">
        <v>1535</v>
      </c>
      <c r="B919" s="165" t="s">
        <v>14</v>
      </c>
      <c r="C919" s="165" t="s">
        <v>1531</v>
      </c>
      <c r="D919" s="165" t="s">
        <v>15</v>
      </c>
      <c r="E919" s="157">
        <v>41273</v>
      </c>
      <c r="F919" s="165" t="s">
        <v>16</v>
      </c>
      <c r="G919" s="165" t="s">
        <v>148</v>
      </c>
      <c r="H919" s="165" t="s">
        <v>148</v>
      </c>
      <c r="I919" s="165" t="s">
        <v>16</v>
      </c>
      <c r="J919" s="165" t="s">
        <v>150</v>
      </c>
      <c r="K919" s="165" t="s">
        <v>148</v>
      </c>
      <c r="L919" s="165" t="s">
        <v>148</v>
      </c>
      <c r="M919" s="165" t="s">
        <v>16</v>
      </c>
      <c r="N919" s="165" t="s">
        <v>16</v>
      </c>
      <c r="O919" s="165" t="s">
        <v>16</v>
      </c>
      <c r="P919" s="165" t="s">
        <v>16</v>
      </c>
      <c r="Q919" s="165" t="s">
        <v>16</v>
      </c>
      <c r="R919" s="165" t="s">
        <v>148</v>
      </c>
      <c r="S919" s="165" t="s">
        <v>16</v>
      </c>
      <c r="T919" s="165" t="s">
        <v>16</v>
      </c>
      <c r="U919" s="165" t="s">
        <v>16</v>
      </c>
      <c r="V919" s="165" t="s">
        <v>148</v>
      </c>
      <c r="W919" s="165" t="s">
        <v>148</v>
      </c>
      <c r="X919" s="165" t="s">
        <v>148</v>
      </c>
      <c r="Y919" s="165" t="s">
        <v>150</v>
      </c>
      <c r="Z919" s="165" t="s">
        <v>16</v>
      </c>
      <c r="AA919" s="165" t="s">
        <v>148</v>
      </c>
      <c r="AB919" s="165" t="s">
        <v>148</v>
      </c>
      <c r="AC919" s="165" t="s">
        <v>148</v>
      </c>
      <c r="AD919" s="165" t="s">
        <v>148</v>
      </c>
      <c r="AE919" s="165" t="s">
        <v>1536</v>
      </c>
      <c r="AF919" s="165"/>
    </row>
    <row r="920" spans="1:35" x14ac:dyDescent="0.3">
      <c r="A920" s="165" t="s">
        <v>1537</v>
      </c>
      <c r="B920" s="165" t="s">
        <v>14</v>
      </c>
      <c r="C920" s="165" t="s">
        <v>1531</v>
      </c>
      <c r="D920" s="165" t="s">
        <v>15</v>
      </c>
      <c r="E920" s="157">
        <v>41273</v>
      </c>
      <c r="F920" s="165" t="s">
        <v>16</v>
      </c>
      <c r="G920" s="165" t="s">
        <v>148</v>
      </c>
      <c r="H920" s="165" t="s">
        <v>149</v>
      </c>
      <c r="I920" s="165" t="s">
        <v>148</v>
      </c>
      <c r="J920" s="165" t="s">
        <v>148</v>
      </c>
      <c r="K920" s="165" t="s">
        <v>16</v>
      </c>
      <c r="L920" s="165" t="s">
        <v>149</v>
      </c>
      <c r="M920" s="165" t="s">
        <v>16</v>
      </c>
      <c r="N920" s="165" t="s">
        <v>148</v>
      </c>
      <c r="O920" s="165" t="s">
        <v>148</v>
      </c>
      <c r="P920" s="165" t="s">
        <v>148</v>
      </c>
      <c r="Q920" s="165" t="s">
        <v>16</v>
      </c>
      <c r="R920" s="165" t="s">
        <v>16</v>
      </c>
      <c r="S920" s="165" t="s">
        <v>148</v>
      </c>
      <c r="T920" s="165" t="s">
        <v>16</v>
      </c>
      <c r="U920" s="165" t="s">
        <v>148</v>
      </c>
      <c r="V920" s="165" t="s">
        <v>150</v>
      </c>
      <c r="W920" s="165" t="s">
        <v>16</v>
      </c>
      <c r="X920" s="165" t="s">
        <v>16</v>
      </c>
      <c r="Y920" s="165" t="s">
        <v>148</v>
      </c>
      <c r="Z920" s="165" t="s">
        <v>149</v>
      </c>
      <c r="AA920" s="165" t="s">
        <v>148</v>
      </c>
      <c r="AB920" s="165" t="s">
        <v>16</v>
      </c>
      <c r="AC920" s="165" t="s">
        <v>148</v>
      </c>
      <c r="AD920" s="165" t="s">
        <v>149</v>
      </c>
      <c r="AE920" s="165" t="s">
        <v>1534</v>
      </c>
      <c r="AF920" s="165"/>
    </row>
    <row r="921" spans="1:35" x14ac:dyDescent="0.3">
      <c r="A921" s="165" t="s">
        <v>1538</v>
      </c>
      <c r="B921" s="165" t="s">
        <v>14</v>
      </c>
      <c r="C921" s="165" t="s">
        <v>1531</v>
      </c>
      <c r="D921" s="165" t="s">
        <v>15</v>
      </c>
      <c r="E921" s="157">
        <v>41273</v>
      </c>
      <c r="F921" s="165" t="s">
        <v>16</v>
      </c>
      <c r="G921" s="165" t="s">
        <v>16</v>
      </c>
      <c r="H921" s="165" t="s">
        <v>16</v>
      </c>
      <c r="I921" s="165" t="s">
        <v>16</v>
      </c>
      <c r="J921" s="165" t="s">
        <v>16</v>
      </c>
      <c r="K921" s="165" t="s">
        <v>16</v>
      </c>
      <c r="L921" s="165" t="s">
        <v>16</v>
      </c>
      <c r="M921" s="165" t="s">
        <v>16</v>
      </c>
      <c r="N921" s="165" t="s">
        <v>16</v>
      </c>
      <c r="O921" s="165" t="s">
        <v>16</v>
      </c>
      <c r="P921" s="165" t="s">
        <v>16</v>
      </c>
      <c r="Q921" s="165" t="s">
        <v>16</v>
      </c>
      <c r="R921" s="165" t="s">
        <v>16</v>
      </c>
      <c r="S921" s="165" t="s">
        <v>16</v>
      </c>
      <c r="T921" s="165" t="s">
        <v>16</v>
      </c>
      <c r="U921" s="165" t="s">
        <v>16</v>
      </c>
      <c r="V921" s="165" t="s">
        <v>16</v>
      </c>
      <c r="W921" s="165" t="s">
        <v>16</v>
      </c>
      <c r="X921" s="165" t="s">
        <v>16</v>
      </c>
      <c r="Y921" s="165" t="s">
        <v>16</v>
      </c>
      <c r="Z921" s="165" t="s">
        <v>16</v>
      </c>
      <c r="AA921" s="165" t="s">
        <v>16</v>
      </c>
      <c r="AB921" s="165" t="s">
        <v>16</v>
      </c>
      <c r="AC921" s="165" t="s">
        <v>16</v>
      </c>
      <c r="AD921" s="165" t="s">
        <v>16</v>
      </c>
      <c r="AE921" s="165" t="s">
        <v>1532</v>
      </c>
      <c r="AF921" s="165"/>
    </row>
    <row r="922" spans="1:35" x14ac:dyDescent="0.3">
      <c r="A922" s="165" t="s">
        <v>1539</v>
      </c>
      <c r="B922" s="165" t="s">
        <v>14</v>
      </c>
      <c r="C922" s="165" t="s">
        <v>1531</v>
      </c>
      <c r="D922" s="165" t="s">
        <v>15</v>
      </c>
      <c r="E922" s="157">
        <v>41273</v>
      </c>
      <c r="F922" s="165" t="s">
        <v>16</v>
      </c>
      <c r="G922" s="165" t="s">
        <v>148</v>
      </c>
      <c r="H922" s="165" t="s">
        <v>148</v>
      </c>
      <c r="I922" s="165" t="s">
        <v>16</v>
      </c>
      <c r="J922" s="165" t="s">
        <v>148</v>
      </c>
      <c r="K922" s="165" t="s">
        <v>16</v>
      </c>
      <c r="L922" s="165" t="s">
        <v>16</v>
      </c>
      <c r="M922" s="165" t="s">
        <v>150</v>
      </c>
      <c r="N922" s="165" t="s">
        <v>16</v>
      </c>
      <c r="O922" s="165" t="s">
        <v>16</v>
      </c>
      <c r="P922" s="165" t="s">
        <v>148</v>
      </c>
      <c r="Q922" s="165" t="s">
        <v>16</v>
      </c>
      <c r="R922" s="165" t="s">
        <v>16</v>
      </c>
      <c r="S922" s="165" t="s">
        <v>148</v>
      </c>
      <c r="T922" s="165" t="s">
        <v>148</v>
      </c>
      <c r="U922" s="165" t="s">
        <v>16</v>
      </c>
      <c r="V922" s="165" t="s">
        <v>16</v>
      </c>
      <c r="W922" s="165" t="s">
        <v>16</v>
      </c>
      <c r="X922" s="165" t="s">
        <v>148</v>
      </c>
      <c r="Y922" s="165" t="s">
        <v>148</v>
      </c>
      <c r="Z922" s="165" t="s">
        <v>148</v>
      </c>
      <c r="AA922" s="165" t="s">
        <v>16</v>
      </c>
      <c r="AB922" s="165" t="s">
        <v>16</v>
      </c>
      <c r="AC922" s="165" t="s">
        <v>16</v>
      </c>
      <c r="AD922" s="165" t="s">
        <v>16</v>
      </c>
      <c r="AE922" s="165" t="s">
        <v>1534</v>
      </c>
      <c r="AF922" s="165"/>
    </row>
    <row r="923" spans="1:35" x14ac:dyDescent="0.3">
      <c r="A923" s="165" t="s">
        <v>1540</v>
      </c>
      <c r="B923" s="165" t="s">
        <v>14</v>
      </c>
      <c r="C923" s="165" t="s">
        <v>1531</v>
      </c>
      <c r="D923" s="165" t="s">
        <v>15</v>
      </c>
      <c r="E923" s="157">
        <v>41273</v>
      </c>
      <c r="F923" s="165" t="s">
        <v>16</v>
      </c>
      <c r="G923" s="165" t="s">
        <v>16</v>
      </c>
      <c r="H923" s="165" t="s">
        <v>148</v>
      </c>
      <c r="I923" s="165" t="s">
        <v>148</v>
      </c>
      <c r="J923" s="165" t="s">
        <v>16</v>
      </c>
      <c r="K923" s="165" t="s">
        <v>16</v>
      </c>
      <c r="L923" s="165" t="s">
        <v>149</v>
      </c>
      <c r="M923" s="165" t="s">
        <v>16</v>
      </c>
      <c r="N923" s="165" t="s">
        <v>148</v>
      </c>
      <c r="O923" s="165" t="s">
        <v>16</v>
      </c>
      <c r="P923" s="165" t="s">
        <v>148</v>
      </c>
      <c r="Q923" s="165" t="s">
        <v>16</v>
      </c>
      <c r="R923" s="165" t="s">
        <v>16</v>
      </c>
      <c r="S923" s="165" t="s">
        <v>149</v>
      </c>
      <c r="T923" s="165" t="s">
        <v>16</v>
      </c>
      <c r="U923" s="165" t="s">
        <v>148</v>
      </c>
      <c r="V923" s="165" t="s">
        <v>16</v>
      </c>
      <c r="W923" s="165" t="s">
        <v>148</v>
      </c>
      <c r="X923" s="165" t="s">
        <v>16</v>
      </c>
      <c r="Y923" s="165" t="s">
        <v>148</v>
      </c>
      <c r="Z923" s="165" t="s">
        <v>149</v>
      </c>
      <c r="AA923" s="165" t="s">
        <v>149</v>
      </c>
      <c r="AB923" s="165" t="s">
        <v>16</v>
      </c>
      <c r="AC923" s="165" t="s">
        <v>16</v>
      </c>
      <c r="AD923" s="165" t="s">
        <v>148</v>
      </c>
      <c r="AE923" s="165" t="s">
        <v>1541</v>
      </c>
      <c r="AF923" s="165"/>
    </row>
    <row r="924" spans="1:35" x14ac:dyDescent="0.3">
      <c r="A924" s="165" t="s">
        <v>1542</v>
      </c>
      <c r="B924" s="165" t="s">
        <v>14</v>
      </c>
      <c r="C924" s="165" t="s">
        <v>1531</v>
      </c>
      <c r="D924" s="165" t="s">
        <v>15</v>
      </c>
      <c r="E924" s="157">
        <v>41273</v>
      </c>
      <c r="F924" s="165" t="s">
        <v>16</v>
      </c>
      <c r="G924" s="165" t="s">
        <v>16</v>
      </c>
      <c r="H924" s="165" t="s">
        <v>149</v>
      </c>
      <c r="I924" s="165" t="s">
        <v>16</v>
      </c>
      <c r="J924" s="165" t="s">
        <v>16</v>
      </c>
      <c r="K924" s="165" t="s">
        <v>148</v>
      </c>
      <c r="L924" s="165" t="s">
        <v>16</v>
      </c>
      <c r="M924" s="165" t="s">
        <v>148</v>
      </c>
      <c r="N924" s="165" t="s">
        <v>16</v>
      </c>
      <c r="O924" s="165" t="s">
        <v>149</v>
      </c>
      <c r="P924" s="165" t="s">
        <v>16</v>
      </c>
      <c r="Q924" s="165" t="s">
        <v>148</v>
      </c>
      <c r="R924" s="165" t="s">
        <v>149</v>
      </c>
      <c r="S924" s="165" t="s">
        <v>149</v>
      </c>
      <c r="T924" s="165" t="s">
        <v>16</v>
      </c>
      <c r="U924" s="165" t="s">
        <v>16</v>
      </c>
      <c r="V924" s="165" t="s">
        <v>149</v>
      </c>
      <c r="W924" s="165" t="s">
        <v>149</v>
      </c>
      <c r="X924" s="165" t="s">
        <v>149</v>
      </c>
      <c r="Y924" s="165" t="s">
        <v>148</v>
      </c>
      <c r="Z924" s="165" t="s">
        <v>16</v>
      </c>
      <c r="AA924" s="165" t="s">
        <v>16</v>
      </c>
      <c r="AB924" s="165" t="s">
        <v>16</v>
      </c>
      <c r="AC924" s="165" t="s">
        <v>16</v>
      </c>
      <c r="AD924" s="165" t="s">
        <v>16</v>
      </c>
      <c r="AE924" s="165" t="s">
        <v>1536</v>
      </c>
      <c r="AF924" s="165"/>
    </row>
    <row r="925" spans="1:35" x14ac:dyDescent="0.3">
      <c r="A925" s="165" t="s">
        <v>1543</v>
      </c>
      <c r="B925" s="165" t="s">
        <v>14</v>
      </c>
      <c r="C925" s="165" t="s">
        <v>1531</v>
      </c>
      <c r="D925" s="165" t="s">
        <v>15</v>
      </c>
      <c r="E925" s="157">
        <v>41273</v>
      </c>
      <c r="F925" s="165" t="s">
        <v>16</v>
      </c>
      <c r="G925" s="165" t="s">
        <v>16</v>
      </c>
      <c r="H925" s="165" t="s">
        <v>16</v>
      </c>
      <c r="I925" s="165" t="s">
        <v>16</v>
      </c>
      <c r="J925" s="165" t="s">
        <v>16</v>
      </c>
      <c r="K925" s="165" t="s">
        <v>16</v>
      </c>
      <c r="L925" s="165" t="s">
        <v>16</v>
      </c>
      <c r="M925" s="165" t="s">
        <v>16</v>
      </c>
      <c r="N925" s="165" t="s">
        <v>148</v>
      </c>
      <c r="O925" s="165" t="s">
        <v>16</v>
      </c>
      <c r="P925" s="165" t="s">
        <v>16</v>
      </c>
      <c r="Q925" s="165" t="s">
        <v>16</v>
      </c>
      <c r="R925" s="165" t="s">
        <v>148</v>
      </c>
      <c r="S925" s="165" t="s">
        <v>16</v>
      </c>
      <c r="T925" s="165" t="s">
        <v>16</v>
      </c>
      <c r="U925" s="165" t="s">
        <v>148</v>
      </c>
      <c r="V925" s="165" t="s">
        <v>16</v>
      </c>
      <c r="W925" s="165" t="s">
        <v>16</v>
      </c>
      <c r="X925" s="165" t="s">
        <v>16</v>
      </c>
      <c r="Y925" s="165" t="s">
        <v>16</v>
      </c>
      <c r="Z925" s="165" t="s">
        <v>16</v>
      </c>
      <c r="AA925" s="165" t="s">
        <v>16</v>
      </c>
      <c r="AB925" s="165" t="s">
        <v>149</v>
      </c>
      <c r="AC925" s="165" t="s">
        <v>16</v>
      </c>
      <c r="AD925" s="165" t="s">
        <v>16</v>
      </c>
      <c r="AE925" s="165" t="s">
        <v>1541</v>
      </c>
      <c r="AF925" s="165"/>
    </row>
    <row r="926" spans="1:35" x14ac:dyDescent="0.3">
      <c r="A926" s="165" t="s">
        <v>1544</v>
      </c>
      <c r="B926" s="165" t="s">
        <v>14</v>
      </c>
      <c r="C926" s="165" t="s">
        <v>1531</v>
      </c>
      <c r="D926" s="165" t="s">
        <v>15</v>
      </c>
      <c r="E926" s="157">
        <v>41273</v>
      </c>
      <c r="F926" s="165" t="s">
        <v>16</v>
      </c>
      <c r="G926" s="165" t="s">
        <v>16</v>
      </c>
      <c r="H926" s="165" t="s">
        <v>16</v>
      </c>
      <c r="I926" s="165" t="s">
        <v>16</v>
      </c>
      <c r="J926" s="165" t="s">
        <v>16</v>
      </c>
      <c r="K926" s="165" t="s">
        <v>16</v>
      </c>
      <c r="L926" s="165" t="s">
        <v>16</v>
      </c>
      <c r="M926" s="165" t="s">
        <v>16</v>
      </c>
      <c r="N926" s="165" t="s">
        <v>16</v>
      </c>
      <c r="O926" s="165" t="s">
        <v>16</v>
      </c>
      <c r="P926" s="165" t="s">
        <v>16</v>
      </c>
      <c r="Q926" s="165" t="s">
        <v>16</v>
      </c>
      <c r="R926" s="165" t="s">
        <v>16</v>
      </c>
      <c r="S926" s="165" t="s">
        <v>16</v>
      </c>
      <c r="T926" s="165" t="s">
        <v>16</v>
      </c>
      <c r="U926" s="165" t="s">
        <v>16</v>
      </c>
      <c r="V926" s="165" t="s">
        <v>16</v>
      </c>
      <c r="W926" s="165" t="s">
        <v>16</v>
      </c>
      <c r="X926" s="165" t="s">
        <v>16</v>
      </c>
      <c r="Y926" s="165" t="s">
        <v>16</v>
      </c>
      <c r="Z926" s="165" t="s">
        <v>16</v>
      </c>
      <c r="AA926" s="165" t="s">
        <v>16</v>
      </c>
      <c r="AB926" s="165" t="s">
        <v>16</v>
      </c>
      <c r="AC926" s="165" t="s">
        <v>16</v>
      </c>
      <c r="AD926" s="165" t="s">
        <v>16</v>
      </c>
      <c r="AE926" s="165" t="s">
        <v>1541</v>
      </c>
      <c r="AF926" s="165"/>
    </row>
    <row r="927" spans="1:35" x14ac:dyDescent="0.3">
      <c r="A927" s="165" t="s">
        <v>1545</v>
      </c>
      <c r="B927" s="165" t="s">
        <v>14</v>
      </c>
      <c r="C927" s="165" t="s">
        <v>1531</v>
      </c>
      <c r="D927" s="165" t="s">
        <v>15</v>
      </c>
      <c r="E927" s="157">
        <v>41273</v>
      </c>
      <c r="F927" s="165" t="s">
        <v>16</v>
      </c>
      <c r="G927" s="165" t="s">
        <v>16</v>
      </c>
      <c r="H927" s="165" t="s">
        <v>16</v>
      </c>
      <c r="I927" s="165" t="s">
        <v>16</v>
      </c>
      <c r="J927" s="165" t="s">
        <v>16</v>
      </c>
      <c r="K927" s="165" t="s">
        <v>16</v>
      </c>
      <c r="L927" s="165" t="s">
        <v>16</v>
      </c>
      <c r="M927" s="165" t="s">
        <v>16</v>
      </c>
      <c r="N927" s="165" t="s">
        <v>16</v>
      </c>
      <c r="O927" s="165" t="s">
        <v>16</v>
      </c>
      <c r="P927" s="165" t="s">
        <v>16</v>
      </c>
      <c r="Q927" s="165" t="s">
        <v>16</v>
      </c>
      <c r="R927" s="165" t="s">
        <v>16</v>
      </c>
      <c r="S927" s="165" t="s">
        <v>16</v>
      </c>
      <c r="T927" s="165" t="s">
        <v>16</v>
      </c>
      <c r="U927" s="165" t="s">
        <v>16</v>
      </c>
      <c r="V927" s="165" t="s">
        <v>16</v>
      </c>
      <c r="W927" s="165" t="s">
        <v>16</v>
      </c>
      <c r="X927" s="165" t="s">
        <v>16</v>
      </c>
      <c r="Y927" s="165" t="s">
        <v>16</v>
      </c>
      <c r="Z927" s="165" t="s">
        <v>16</v>
      </c>
      <c r="AA927" s="165" t="s">
        <v>16</v>
      </c>
      <c r="AB927" s="165" t="s">
        <v>16</v>
      </c>
      <c r="AC927" s="165" t="s">
        <v>16</v>
      </c>
      <c r="AD927" s="165" t="s">
        <v>16</v>
      </c>
      <c r="AE927" s="165" t="s">
        <v>1536</v>
      </c>
      <c r="AF927" s="165"/>
    </row>
    <row r="928" spans="1:35" x14ac:dyDescent="0.3">
      <c r="A928" s="165" t="s">
        <v>1546</v>
      </c>
      <c r="B928" s="165" t="s">
        <v>14</v>
      </c>
      <c r="C928" s="165" t="s">
        <v>1531</v>
      </c>
      <c r="D928" s="165" t="s">
        <v>15</v>
      </c>
      <c r="E928" s="157">
        <v>41273</v>
      </c>
      <c r="F928" s="165" t="s">
        <v>148</v>
      </c>
      <c r="G928" s="165" t="s">
        <v>16</v>
      </c>
      <c r="H928" s="165" t="s">
        <v>149</v>
      </c>
      <c r="I928" s="165" t="s">
        <v>150</v>
      </c>
      <c r="J928" s="165" t="s">
        <v>148</v>
      </c>
      <c r="K928" s="165" t="s">
        <v>16</v>
      </c>
      <c r="L928" s="165" t="s">
        <v>16</v>
      </c>
      <c r="M928" s="165" t="s">
        <v>16</v>
      </c>
      <c r="N928" s="165" t="s">
        <v>16</v>
      </c>
      <c r="O928" s="165" t="s">
        <v>16</v>
      </c>
      <c r="P928" s="165" t="s">
        <v>148</v>
      </c>
      <c r="Q928" s="165" t="s">
        <v>148</v>
      </c>
      <c r="R928" s="165" t="s">
        <v>149</v>
      </c>
      <c r="S928" s="165" t="s">
        <v>16</v>
      </c>
      <c r="T928" s="165" t="s">
        <v>16</v>
      </c>
      <c r="U928" s="165" t="s">
        <v>16</v>
      </c>
      <c r="V928" s="165" t="s">
        <v>16</v>
      </c>
      <c r="W928" s="165" t="s">
        <v>16</v>
      </c>
      <c r="X928" s="165" t="s">
        <v>16</v>
      </c>
      <c r="Y928" s="165" t="s">
        <v>16</v>
      </c>
      <c r="Z928" s="165" t="s">
        <v>16</v>
      </c>
      <c r="AA928" s="165" t="s">
        <v>16</v>
      </c>
      <c r="AB928" s="165" t="s">
        <v>16</v>
      </c>
      <c r="AC928" s="165" t="s">
        <v>16</v>
      </c>
      <c r="AD928" s="165" t="s">
        <v>16</v>
      </c>
      <c r="AE928" s="165" t="s">
        <v>1536</v>
      </c>
      <c r="AF928" s="165"/>
    </row>
    <row r="929" spans="1:32" x14ac:dyDescent="0.3">
      <c r="A929" s="165" t="s">
        <v>1547</v>
      </c>
      <c r="B929" s="165" t="s">
        <v>14</v>
      </c>
      <c r="C929" s="165" t="s">
        <v>1531</v>
      </c>
      <c r="D929" s="165" t="s">
        <v>15</v>
      </c>
      <c r="E929" s="157">
        <v>41273</v>
      </c>
      <c r="F929" s="165" t="s">
        <v>16</v>
      </c>
      <c r="G929" s="165" t="s">
        <v>16</v>
      </c>
      <c r="H929" s="165" t="s">
        <v>16</v>
      </c>
      <c r="I929" s="165" t="s">
        <v>16</v>
      </c>
      <c r="J929" s="165" t="s">
        <v>16</v>
      </c>
      <c r="K929" s="165" t="s">
        <v>16</v>
      </c>
      <c r="L929" s="165" t="s">
        <v>16</v>
      </c>
      <c r="M929" s="165" t="s">
        <v>16</v>
      </c>
      <c r="N929" s="165" t="s">
        <v>16</v>
      </c>
      <c r="O929" s="165" t="s">
        <v>16</v>
      </c>
      <c r="P929" s="165" t="s">
        <v>16</v>
      </c>
      <c r="Q929" s="165" t="s">
        <v>16</v>
      </c>
      <c r="R929" s="165" t="s">
        <v>16</v>
      </c>
      <c r="S929" s="165" t="s">
        <v>16</v>
      </c>
      <c r="T929" s="165" t="s">
        <v>16</v>
      </c>
      <c r="U929" s="165" t="s">
        <v>16</v>
      </c>
      <c r="V929" s="165" t="s">
        <v>16</v>
      </c>
      <c r="W929" s="165" t="s">
        <v>16</v>
      </c>
      <c r="X929" s="165" t="s">
        <v>16</v>
      </c>
      <c r="Y929" s="165" t="s">
        <v>16</v>
      </c>
      <c r="Z929" s="165" t="s">
        <v>16</v>
      </c>
      <c r="AA929" s="165" t="s">
        <v>16</v>
      </c>
      <c r="AB929" s="165" t="s">
        <v>16</v>
      </c>
      <c r="AC929" s="165" t="s">
        <v>16</v>
      </c>
      <c r="AD929" s="165" t="s">
        <v>16</v>
      </c>
      <c r="AE929" s="165" t="s">
        <v>1541</v>
      </c>
      <c r="AF929" s="165"/>
    </row>
    <row r="930" spans="1:32" x14ac:dyDescent="0.3">
      <c r="A930" s="165" t="s">
        <v>1548</v>
      </c>
      <c r="B930" s="165" t="s">
        <v>14</v>
      </c>
      <c r="C930" s="165" t="s">
        <v>1531</v>
      </c>
      <c r="D930" s="165" t="s">
        <v>15</v>
      </c>
      <c r="E930" s="157">
        <v>41273</v>
      </c>
      <c r="F930" s="165" t="s">
        <v>16</v>
      </c>
      <c r="G930" s="165" t="s">
        <v>148</v>
      </c>
      <c r="H930" s="165" t="s">
        <v>16</v>
      </c>
      <c r="I930" s="165" t="s">
        <v>16</v>
      </c>
      <c r="J930" s="165" t="s">
        <v>16</v>
      </c>
      <c r="K930" s="165" t="s">
        <v>16</v>
      </c>
      <c r="L930" s="165" t="s">
        <v>16</v>
      </c>
      <c r="M930" s="165" t="s">
        <v>16</v>
      </c>
      <c r="N930" s="165" t="s">
        <v>148</v>
      </c>
      <c r="O930" s="165" t="s">
        <v>148</v>
      </c>
      <c r="P930" s="165" t="s">
        <v>148</v>
      </c>
      <c r="Q930" s="165" t="s">
        <v>16</v>
      </c>
      <c r="R930" s="165" t="s">
        <v>16</v>
      </c>
      <c r="S930" s="165" t="s">
        <v>16</v>
      </c>
      <c r="T930" s="165" t="s">
        <v>16</v>
      </c>
      <c r="U930" s="165" t="s">
        <v>148</v>
      </c>
      <c r="V930" s="165" t="s">
        <v>148</v>
      </c>
      <c r="W930" s="165" t="s">
        <v>16</v>
      </c>
      <c r="X930" s="165" t="s">
        <v>16</v>
      </c>
      <c r="Y930" s="165" t="s">
        <v>148</v>
      </c>
      <c r="Z930" s="165" t="s">
        <v>16</v>
      </c>
      <c r="AA930" s="165" t="s">
        <v>16</v>
      </c>
      <c r="AB930" s="165" t="s">
        <v>16</v>
      </c>
      <c r="AC930" s="165" t="s">
        <v>148</v>
      </c>
      <c r="AD930" s="165" t="s">
        <v>16</v>
      </c>
      <c r="AE930" s="165" t="s">
        <v>1536</v>
      </c>
      <c r="AF930" s="165"/>
    </row>
    <row r="931" spans="1:32" x14ac:dyDescent="0.3">
      <c r="A931" s="165" t="s">
        <v>1549</v>
      </c>
      <c r="B931" s="165" t="s">
        <v>14</v>
      </c>
      <c r="C931" s="165" t="s">
        <v>1531</v>
      </c>
      <c r="D931" s="165" t="s">
        <v>15</v>
      </c>
      <c r="E931" s="157">
        <v>41273</v>
      </c>
      <c r="F931" s="165" t="s">
        <v>148</v>
      </c>
      <c r="G931" s="165" t="s">
        <v>16</v>
      </c>
      <c r="H931" s="165" t="s">
        <v>148</v>
      </c>
      <c r="I931" s="165" t="s">
        <v>148</v>
      </c>
      <c r="J931" s="165" t="s">
        <v>16</v>
      </c>
      <c r="K931" s="165" t="s">
        <v>148</v>
      </c>
      <c r="L931" s="165" t="s">
        <v>16</v>
      </c>
      <c r="M931" s="165" t="s">
        <v>16</v>
      </c>
      <c r="N931" s="165" t="s">
        <v>16</v>
      </c>
      <c r="O931" s="165" t="s">
        <v>16</v>
      </c>
      <c r="P931" s="165" t="s">
        <v>148</v>
      </c>
      <c r="Q931" s="165" t="s">
        <v>16</v>
      </c>
      <c r="R931" s="165" t="s">
        <v>148</v>
      </c>
      <c r="S931" s="165" t="s">
        <v>148</v>
      </c>
      <c r="T931" s="165" t="s">
        <v>16</v>
      </c>
      <c r="U931" s="165" t="s">
        <v>16</v>
      </c>
      <c r="V931" s="165" t="s">
        <v>16</v>
      </c>
      <c r="W931" s="165" t="s">
        <v>148</v>
      </c>
      <c r="X931" s="165" t="s">
        <v>16</v>
      </c>
      <c r="Y931" s="165" t="s">
        <v>16</v>
      </c>
      <c r="Z931" s="165" t="s">
        <v>16</v>
      </c>
      <c r="AA931" s="165" t="s">
        <v>16</v>
      </c>
      <c r="AB931" s="165" t="s">
        <v>16</v>
      </c>
      <c r="AC931" s="165" t="s">
        <v>148</v>
      </c>
      <c r="AD931" s="165" t="s">
        <v>16</v>
      </c>
      <c r="AE931" s="165" t="s">
        <v>1550</v>
      </c>
      <c r="AF931" s="165"/>
    </row>
    <row r="932" spans="1:32" x14ac:dyDescent="0.3">
      <c r="A932" s="165" t="s">
        <v>1551</v>
      </c>
      <c r="B932" s="165" t="s">
        <v>14</v>
      </c>
      <c r="C932" s="165" t="s">
        <v>1531</v>
      </c>
      <c r="D932" s="165" t="s">
        <v>15</v>
      </c>
      <c r="E932" s="157">
        <v>41273</v>
      </c>
      <c r="F932" s="165" t="s">
        <v>16</v>
      </c>
      <c r="G932" s="165" t="s">
        <v>16</v>
      </c>
      <c r="H932" s="165" t="s">
        <v>16</v>
      </c>
      <c r="I932" s="165" t="s">
        <v>16</v>
      </c>
      <c r="J932" s="165" t="s">
        <v>16</v>
      </c>
      <c r="K932" s="165" t="s">
        <v>16</v>
      </c>
      <c r="L932" s="165" t="s">
        <v>16</v>
      </c>
      <c r="M932" s="165" t="s">
        <v>16</v>
      </c>
      <c r="N932" s="165" t="s">
        <v>16</v>
      </c>
      <c r="O932" s="165" t="s">
        <v>16</v>
      </c>
      <c r="P932" s="165" t="s">
        <v>16</v>
      </c>
      <c r="Q932" s="165" t="s">
        <v>16</v>
      </c>
      <c r="R932" s="165" t="s">
        <v>16</v>
      </c>
      <c r="S932" s="165" t="s">
        <v>16</v>
      </c>
      <c r="T932" s="165" t="s">
        <v>16</v>
      </c>
      <c r="U932" s="165" t="s">
        <v>16</v>
      </c>
      <c r="V932" s="165" t="s">
        <v>16</v>
      </c>
      <c r="W932" s="165" t="s">
        <v>16</v>
      </c>
      <c r="X932" s="165" t="s">
        <v>16</v>
      </c>
      <c r="Y932" s="165" t="s">
        <v>16</v>
      </c>
      <c r="Z932" s="165" t="s">
        <v>16</v>
      </c>
      <c r="AA932" s="165" t="s">
        <v>16</v>
      </c>
      <c r="AB932" s="165" t="s">
        <v>16</v>
      </c>
      <c r="AC932" s="165" t="s">
        <v>16</v>
      </c>
      <c r="AD932" s="165" t="s">
        <v>16</v>
      </c>
      <c r="AE932" s="165"/>
      <c r="AF932" s="165"/>
    </row>
    <row r="933" spans="1:32" x14ac:dyDescent="0.3">
      <c r="A933" s="165" t="s">
        <v>1552</v>
      </c>
      <c r="B933" s="165" t="s">
        <v>14</v>
      </c>
      <c r="C933" s="165" t="s">
        <v>1531</v>
      </c>
      <c r="D933" s="165" t="s">
        <v>15</v>
      </c>
      <c r="E933" s="157">
        <v>41273</v>
      </c>
      <c r="F933" s="165" t="s">
        <v>151</v>
      </c>
      <c r="G933" s="165" t="s">
        <v>151</v>
      </c>
      <c r="H933" s="165" t="s">
        <v>151</v>
      </c>
      <c r="I933" s="165" t="s">
        <v>149</v>
      </c>
      <c r="J933" s="165" t="s">
        <v>149</v>
      </c>
      <c r="K933" s="165" t="s">
        <v>148</v>
      </c>
      <c r="L933" s="165" t="s">
        <v>16</v>
      </c>
      <c r="M933" s="165" t="s">
        <v>151</v>
      </c>
      <c r="N933" s="165" t="s">
        <v>149</v>
      </c>
      <c r="O933" s="165" t="s">
        <v>149</v>
      </c>
      <c r="P933" s="165" t="s">
        <v>16</v>
      </c>
      <c r="Q933" s="165" t="s">
        <v>149</v>
      </c>
      <c r="R933" s="165" t="s">
        <v>151</v>
      </c>
      <c r="S933" s="165" t="s">
        <v>151</v>
      </c>
      <c r="T933" s="165" t="s">
        <v>151</v>
      </c>
      <c r="U933" s="165" t="s">
        <v>151</v>
      </c>
      <c r="V933" s="165" t="s">
        <v>151</v>
      </c>
      <c r="W933" s="165" t="s">
        <v>148</v>
      </c>
      <c r="X933" s="165" t="s">
        <v>150</v>
      </c>
      <c r="Y933" s="165" t="s">
        <v>148</v>
      </c>
      <c r="Z933" s="165" t="s">
        <v>149</v>
      </c>
      <c r="AA933" s="165" t="s">
        <v>149</v>
      </c>
      <c r="AB933" s="165" t="s">
        <v>148</v>
      </c>
      <c r="AC933" s="165" t="s">
        <v>16</v>
      </c>
      <c r="AD933" s="165" t="s">
        <v>149</v>
      </c>
      <c r="AE933" s="165" t="s">
        <v>1541</v>
      </c>
      <c r="AF933" s="165"/>
    </row>
    <row r="934" spans="1:32" x14ac:dyDescent="0.3">
      <c r="A934" s="165" t="s">
        <v>1553</v>
      </c>
      <c r="B934" s="165" t="s">
        <v>14</v>
      </c>
      <c r="C934" s="165" t="s">
        <v>1531</v>
      </c>
      <c r="D934" s="165" t="s">
        <v>15</v>
      </c>
      <c r="E934" s="157">
        <v>41273</v>
      </c>
      <c r="F934" s="165" t="s">
        <v>148</v>
      </c>
      <c r="G934" s="165" t="s">
        <v>16</v>
      </c>
      <c r="H934" s="165" t="s">
        <v>148</v>
      </c>
      <c r="I934" s="165" t="s">
        <v>16</v>
      </c>
      <c r="J934" s="165" t="s">
        <v>148</v>
      </c>
      <c r="K934" s="165" t="s">
        <v>148</v>
      </c>
      <c r="L934" s="165" t="s">
        <v>148</v>
      </c>
      <c r="M934" s="165" t="s">
        <v>148</v>
      </c>
      <c r="N934" s="165" t="s">
        <v>148</v>
      </c>
      <c r="O934" s="165" t="s">
        <v>16</v>
      </c>
      <c r="P934" s="165" t="s">
        <v>16</v>
      </c>
      <c r="Q934" s="165" t="s">
        <v>16</v>
      </c>
      <c r="R934" s="165" t="s">
        <v>16</v>
      </c>
      <c r="S934" s="165" t="s">
        <v>148</v>
      </c>
      <c r="T934" s="165" t="s">
        <v>148</v>
      </c>
      <c r="U934" s="165" t="s">
        <v>16</v>
      </c>
      <c r="V934" s="165" t="s">
        <v>16</v>
      </c>
      <c r="W934" s="165" t="s">
        <v>16</v>
      </c>
      <c r="X934" s="165" t="s">
        <v>16</v>
      </c>
      <c r="Y934" s="165" t="s">
        <v>16</v>
      </c>
      <c r="Z934" s="165" t="s">
        <v>16</v>
      </c>
      <c r="AA934" s="165" t="s">
        <v>16</v>
      </c>
      <c r="AB934" s="165" t="s">
        <v>148</v>
      </c>
      <c r="AC934" s="165" t="s">
        <v>148</v>
      </c>
      <c r="AD934" s="165" t="s">
        <v>16</v>
      </c>
      <c r="AE934" s="165" t="s">
        <v>1541</v>
      </c>
      <c r="AF934" s="165" t="s">
        <v>1554</v>
      </c>
    </row>
    <row r="935" spans="1:32" x14ac:dyDescent="0.3">
      <c r="A935" s="165" t="s">
        <v>1555</v>
      </c>
      <c r="B935" s="165" t="s">
        <v>14</v>
      </c>
      <c r="C935" s="165" t="s">
        <v>1531</v>
      </c>
      <c r="D935" s="165" t="s">
        <v>15</v>
      </c>
      <c r="E935" s="157">
        <v>41273</v>
      </c>
      <c r="F935" s="165" t="s">
        <v>16</v>
      </c>
      <c r="G935" s="165" t="s">
        <v>149</v>
      </c>
      <c r="H935" s="165" t="s">
        <v>16</v>
      </c>
      <c r="I935" s="165" t="s">
        <v>16</v>
      </c>
      <c r="J935" s="165" t="s">
        <v>16</v>
      </c>
      <c r="K935" s="165" t="s">
        <v>16</v>
      </c>
      <c r="L935" s="165" t="s">
        <v>16</v>
      </c>
      <c r="M935" s="165" t="s">
        <v>16</v>
      </c>
      <c r="N935" s="165" t="s">
        <v>16</v>
      </c>
      <c r="O935" s="165" t="s">
        <v>16</v>
      </c>
      <c r="P935" s="165" t="s">
        <v>148</v>
      </c>
      <c r="Q935" s="165" t="s">
        <v>149</v>
      </c>
      <c r="R935" s="165" t="s">
        <v>149</v>
      </c>
      <c r="S935" s="165" t="s">
        <v>16</v>
      </c>
      <c r="T935" s="165" t="s">
        <v>16</v>
      </c>
      <c r="U935" s="165" t="s">
        <v>16</v>
      </c>
      <c r="V935" s="165" t="s">
        <v>16</v>
      </c>
      <c r="W935" s="165" t="s">
        <v>16</v>
      </c>
      <c r="X935" s="165" t="s">
        <v>16</v>
      </c>
      <c r="Y935" s="165" t="s">
        <v>16</v>
      </c>
      <c r="Z935" s="165" t="s">
        <v>16</v>
      </c>
      <c r="AA935" s="165" t="s">
        <v>16</v>
      </c>
      <c r="AB935" s="165" t="s">
        <v>148</v>
      </c>
      <c r="AC935" s="165" t="s">
        <v>148</v>
      </c>
      <c r="AD935" s="165" t="s">
        <v>16</v>
      </c>
      <c r="AE935" s="165" t="s">
        <v>1536</v>
      </c>
      <c r="AF935" s="165"/>
    </row>
    <row r="936" spans="1:32" x14ac:dyDescent="0.3">
      <c r="A936" s="165" t="s">
        <v>1556</v>
      </c>
      <c r="B936" s="165" t="s">
        <v>14</v>
      </c>
      <c r="C936" s="165" t="s">
        <v>1531</v>
      </c>
      <c r="D936" s="165" t="s">
        <v>15</v>
      </c>
      <c r="E936" s="157">
        <v>41273</v>
      </c>
      <c r="F936" s="165" t="s">
        <v>16</v>
      </c>
      <c r="G936" s="165" t="s">
        <v>16</v>
      </c>
      <c r="H936" s="165" t="s">
        <v>16</v>
      </c>
      <c r="I936" s="165" t="s">
        <v>16</v>
      </c>
      <c r="J936" s="165" t="s">
        <v>16</v>
      </c>
      <c r="K936" s="165" t="s">
        <v>16</v>
      </c>
      <c r="L936" s="165" t="s">
        <v>16</v>
      </c>
      <c r="M936" s="165" t="s">
        <v>16</v>
      </c>
      <c r="N936" s="165" t="s">
        <v>16</v>
      </c>
      <c r="O936" s="165" t="s">
        <v>16</v>
      </c>
      <c r="P936" s="165" t="s">
        <v>16</v>
      </c>
      <c r="Q936" s="165" t="s">
        <v>16</v>
      </c>
      <c r="R936" s="165" t="s">
        <v>16</v>
      </c>
      <c r="S936" s="165" t="s">
        <v>16</v>
      </c>
      <c r="T936" s="165" t="s">
        <v>16</v>
      </c>
      <c r="U936" s="165" t="s">
        <v>16</v>
      </c>
      <c r="V936" s="165" t="s">
        <v>16</v>
      </c>
      <c r="W936" s="165" t="s">
        <v>16</v>
      </c>
      <c r="X936" s="165" t="s">
        <v>16</v>
      </c>
      <c r="Y936" s="165" t="s">
        <v>16</v>
      </c>
      <c r="Z936" s="165" t="s">
        <v>16</v>
      </c>
      <c r="AA936" s="165" t="s">
        <v>16</v>
      </c>
      <c r="AB936" s="165" t="s">
        <v>16</v>
      </c>
      <c r="AC936" s="165" t="s">
        <v>16</v>
      </c>
      <c r="AD936" s="165" t="s">
        <v>16</v>
      </c>
      <c r="AE936" s="165" t="s">
        <v>1536</v>
      </c>
      <c r="AF936" s="165" t="s">
        <v>1557</v>
      </c>
    </row>
    <row r="937" spans="1:32" x14ac:dyDescent="0.3">
      <c r="A937" s="165" t="s">
        <v>1558</v>
      </c>
      <c r="B937" s="165" t="s">
        <v>14</v>
      </c>
      <c r="C937" s="165" t="s">
        <v>1531</v>
      </c>
      <c r="D937" s="165" t="s">
        <v>15</v>
      </c>
      <c r="E937" s="157">
        <v>41273</v>
      </c>
      <c r="F937" s="165" t="s">
        <v>16</v>
      </c>
      <c r="G937" s="165" t="s">
        <v>16</v>
      </c>
      <c r="H937" s="165" t="s">
        <v>16</v>
      </c>
      <c r="I937" s="165" t="s">
        <v>16</v>
      </c>
      <c r="J937" s="165" t="s">
        <v>16</v>
      </c>
      <c r="K937" s="165" t="s">
        <v>16</v>
      </c>
      <c r="L937" s="165" t="s">
        <v>16</v>
      </c>
      <c r="M937" s="165" t="s">
        <v>16</v>
      </c>
      <c r="N937" s="165" t="s">
        <v>16</v>
      </c>
      <c r="O937" s="165" t="s">
        <v>16</v>
      </c>
      <c r="P937" s="165" t="s">
        <v>16</v>
      </c>
      <c r="Q937" s="165" t="s">
        <v>16</v>
      </c>
      <c r="R937" s="165" t="s">
        <v>16</v>
      </c>
      <c r="S937" s="165" t="s">
        <v>16</v>
      </c>
      <c r="T937" s="165" t="s">
        <v>16</v>
      </c>
      <c r="U937" s="165" t="s">
        <v>16</v>
      </c>
      <c r="V937" s="165" t="s">
        <v>16</v>
      </c>
      <c r="W937" s="165" t="s">
        <v>16</v>
      </c>
      <c r="X937" s="165" t="s">
        <v>16</v>
      </c>
      <c r="Y937" s="165" t="s">
        <v>16</v>
      </c>
      <c r="Z937" s="165" t="s">
        <v>16</v>
      </c>
      <c r="AA937" s="165" t="s">
        <v>16</v>
      </c>
      <c r="AB937" s="165" t="s">
        <v>16</v>
      </c>
      <c r="AC937" s="165" t="s">
        <v>16</v>
      </c>
      <c r="AD937" s="165" t="s">
        <v>16</v>
      </c>
      <c r="AE937" s="165" t="s">
        <v>1532</v>
      </c>
      <c r="AF937" s="165"/>
    </row>
    <row r="938" spans="1:32" x14ac:dyDescent="0.3">
      <c r="A938" s="165" t="s">
        <v>1559</v>
      </c>
      <c r="B938" s="165" t="s">
        <v>14</v>
      </c>
      <c r="C938" s="165" t="s">
        <v>1531</v>
      </c>
      <c r="D938" s="165" t="s">
        <v>15</v>
      </c>
      <c r="E938" s="157">
        <v>41273</v>
      </c>
      <c r="F938" s="165" t="s">
        <v>16</v>
      </c>
      <c r="G938" s="165" t="s">
        <v>16</v>
      </c>
      <c r="H938" s="165" t="s">
        <v>16</v>
      </c>
      <c r="I938" s="165" t="s">
        <v>16</v>
      </c>
      <c r="J938" s="165" t="s">
        <v>16</v>
      </c>
      <c r="K938" s="165" t="s">
        <v>16</v>
      </c>
      <c r="L938" s="165" t="s">
        <v>16</v>
      </c>
      <c r="M938" s="165" t="s">
        <v>16</v>
      </c>
      <c r="N938" s="165" t="s">
        <v>148</v>
      </c>
      <c r="O938" s="165" t="s">
        <v>16</v>
      </c>
      <c r="P938" s="165" t="s">
        <v>16</v>
      </c>
      <c r="Q938" s="165" t="s">
        <v>16</v>
      </c>
      <c r="R938" s="165" t="s">
        <v>148</v>
      </c>
      <c r="S938" s="165" t="s">
        <v>16</v>
      </c>
      <c r="T938" s="165" t="s">
        <v>16</v>
      </c>
      <c r="U938" s="165" t="s">
        <v>16</v>
      </c>
      <c r="V938" s="165" t="s">
        <v>16</v>
      </c>
      <c r="W938" s="165" t="s">
        <v>148</v>
      </c>
      <c r="X938" s="165" t="s">
        <v>16</v>
      </c>
      <c r="Y938" s="165" t="s">
        <v>148</v>
      </c>
      <c r="Z938" s="165" t="s">
        <v>16</v>
      </c>
      <c r="AA938" s="165" t="s">
        <v>16</v>
      </c>
      <c r="AB938" s="165" t="s">
        <v>16</v>
      </c>
      <c r="AC938" s="165" t="s">
        <v>16</v>
      </c>
      <c r="AD938" s="165" t="s">
        <v>16</v>
      </c>
      <c r="AE938" s="165" t="s">
        <v>1532</v>
      </c>
      <c r="AF938" s="165"/>
    </row>
    <row r="939" spans="1:32" x14ac:dyDescent="0.3">
      <c r="A939" s="165" t="s">
        <v>1560</v>
      </c>
      <c r="B939" s="165" t="s">
        <v>14</v>
      </c>
      <c r="C939" s="165" t="s">
        <v>1531</v>
      </c>
      <c r="D939" s="165" t="s">
        <v>15</v>
      </c>
      <c r="E939" s="157">
        <v>41273</v>
      </c>
      <c r="F939" s="165" t="s">
        <v>16</v>
      </c>
      <c r="G939" s="165" t="s">
        <v>16</v>
      </c>
      <c r="H939" s="165" t="s">
        <v>16</v>
      </c>
      <c r="I939" s="165" t="s">
        <v>16</v>
      </c>
      <c r="J939" s="165" t="s">
        <v>16</v>
      </c>
      <c r="K939" s="165" t="s">
        <v>16</v>
      </c>
      <c r="L939" s="165" t="s">
        <v>16</v>
      </c>
      <c r="M939" s="165" t="s">
        <v>16</v>
      </c>
      <c r="N939" s="165" t="s">
        <v>16</v>
      </c>
      <c r="O939" s="165" t="s">
        <v>16</v>
      </c>
      <c r="P939" s="165" t="s">
        <v>16</v>
      </c>
      <c r="Q939" s="165" t="s">
        <v>16</v>
      </c>
      <c r="R939" s="165" t="s">
        <v>16</v>
      </c>
      <c r="S939" s="165" t="s">
        <v>16</v>
      </c>
      <c r="T939" s="165" t="s">
        <v>16</v>
      </c>
      <c r="U939" s="165" t="s">
        <v>16</v>
      </c>
      <c r="V939" s="165" t="s">
        <v>16</v>
      </c>
      <c r="W939" s="165" t="s">
        <v>16</v>
      </c>
      <c r="X939" s="165" t="s">
        <v>16</v>
      </c>
      <c r="Y939" s="165" t="s">
        <v>16</v>
      </c>
      <c r="Z939" s="165" t="s">
        <v>16</v>
      </c>
      <c r="AA939" s="165" t="s">
        <v>16</v>
      </c>
      <c r="AB939" s="165" t="s">
        <v>16</v>
      </c>
      <c r="AC939" s="165" t="s">
        <v>16</v>
      </c>
      <c r="AD939" s="165" t="s">
        <v>16</v>
      </c>
      <c r="AE939" s="165" t="s">
        <v>1532</v>
      </c>
      <c r="AF939" s="165"/>
    </row>
    <row r="940" spans="1:32" x14ac:dyDescent="0.3">
      <c r="A940" s="165" t="s">
        <v>1561</v>
      </c>
      <c r="B940" s="165" t="s">
        <v>14</v>
      </c>
      <c r="C940" s="165" t="s">
        <v>1531</v>
      </c>
      <c r="D940" s="165" t="s">
        <v>15</v>
      </c>
      <c r="E940" s="157">
        <v>41273</v>
      </c>
      <c r="F940" s="165" t="s">
        <v>16</v>
      </c>
      <c r="G940" s="165" t="s">
        <v>16</v>
      </c>
      <c r="H940" s="165" t="s">
        <v>16</v>
      </c>
      <c r="I940" s="165" t="s">
        <v>151</v>
      </c>
      <c r="J940" s="165" t="s">
        <v>16</v>
      </c>
      <c r="K940" s="165" t="s">
        <v>151</v>
      </c>
      <c r="L940" s="165" t="s">
        <v>151</v>
      </c>
      <c r="M940" s="165" t="s">
        <v>149</v>
      </c>
      <c r="N940" s="165" t="s">
        <v>149</v>
      </c>
      <c r="O940" s="165" t="s">
        <v>149</v>
      </c>
      <c r="P940" s="165" t="s">
        <v>16</v>
      </c>
      <c r="Q940" s="165" t="s">
        <v>16</v>
      </c>
      <c r="R940" s="165" t="s">
        <v>16</v>
      </c>
      <c r="S940" s="165" t="s">
        <v>16</v>
      </c>
      <c r="T940" s="165" t="s">
        <v>149</v>
      </c>
      <c r="U940" s="165" t="s">
        <v>149</v>
      </c>
      <c r="V940" s="165" t="s">
        <v>16</v>
      </c>
      <c r="W940" s="165" t="s">
        <v>16</v>
      </c>
      <c r="X940" s="165" t="s">
        <v>149</v>
      </c>
      <c r="Y940" s="165" t="s">
        <v>16</v>
      </c>
      <c r="Z940" s="165" t="s">
        <v>16</v>
      </c>
      <c r="AA940" s="165" t="s">
        <v>16</v>
      </c>
      <c r="AB940" s="165" t="s">
        <v>16</v>
      </c>
      <c r="AC940" s="165" t="s">
        <v>16</v>
      </c>
      <c r="AD940" s="165" t="s">
        <v>16</v>
      </c>
      <c r="AE940" s="165" t="s">
        <v>1541</v>
      </c>
      <c r="AF940" s="165"/>
    </row>
    <row r="941" spans="1:32" x14ac:dyDescent="0.3">
      <c r="A941" s="165" t="s">
        <v>1562</v>
      </c>
      <c r="B941" s="165" t="s">
        <v>14</v>
      </c>
      <c r="C941" s="165" t="s">
        <v>1531</v>
      </c>
      <c r="D941" s="165" t="s">
        <v>15</v>
      </c>
      <c r="E941" s="157">
        <v>41273</v>
      </c>
      <c r="F941" s="165" t="s">
        <v>16</v>
      </c>
      <c r="G941" s="165" t="s">
        <v>16</v>
      </c>
      <c r="H941" s="165" t="s">
        <v>16</v>
      </c>
      <c r="I941" s="165" t="s">
        <v>16</v>
      </c>
      <c r="J941" s="165" t="s">
        <v>148</v>
      </c>
      <c r="K941" s="165" t="s">
        <v>148</v>
      </c>
      <c r="L941" s="165" t="s">
        <v>16</v>
      </c>
      <c r="M941" s="165" t="s">
        <v>16</v>
      </c>
      <c r="N941" s="165" t="s">
        <v>16</v>
      </c>
      <c r="O941" s="165" t="s">
        <v>16</v>
      </c>
      <c r="P941" s="165" t="s">
        <v>16</v>
      </c>
      <c r="Q941" s="165" t="s">
        <v>16</v>
      </c>
      <c r="R941" s="165" t="s">
        <v>16</v>
      </c>
      <c r="S941" s="165" t="s">
        <v>16</v>
      </c>
      <c r="T941" s="165" t="s">
        <v>16</v>
      </c>
      <c r="U941" s="165" t="s">
        <v>16</v>
      </c>
      <c r="V941" s="165" t="s">
        <v>16</v>
      </c>
      <c r="W941" s="165" t="s">
        <v>16</v>
      </c>
      <c r="X941" s="165" t="s">
        <v>16</v>
      </c>
      <c r="Y941" s="165" t="s">
        <v>16</v>
      </c>
      <c r="Z941" s="165" t="s">
        <v>16</v>
      </c>
      <c r="AA941" s="165" t="s">
        <v>16</v>
      </c>
      <c r="AB941" s="165" t="s">
        <v>16</v>
      </c>
      <c r="AC941" s="165" t="s">
        <v>16</v>
      </c>
      <c r="AD941" s="165" t="s">
        <v>16</v>
      </c>
      <c r="AE941" s="165"/>
      <c r="AF941" s="165"/>
    </row>
    <row r="942" spans="1:32" x14ac:dyDescent="0.3">
      <c r="A942" s="165" t="s">
        <v>1563</v>
      </c>
      <c r="B942" s="165" t="s">
        <v>14</v>
      </c>
      <c r="C942" s="165" t="s">
        <v>1531</v>
      </c>
      <c r="D942" s="165" t="s">
        <v>15</v>
      </c>
      <c r="E942" s="157">
        <v>41273</v>
      </c>
      <c r="F942" s="165" t="s">
        <v>16</v>
      </c>
      <c r="G942" s="165" t="s">
        <v>16</v>
      </c>
      <c r="H942" s="165" t="s">
        <v>16</v>
      </c>
      <c r="I942" s="165" t="s">
        <v>16</v>
      </c>
      <c r="J942" s="165" t="s">
        <v>16</v>
      </c>
      <c r="K942" s="165" t="s">
        <v>148</v>
      </c>
      <c r="L942" s="165" t="s">
        <v>16</v>
      </c>
      <c r="M942" s="165" t="s">
        <v>148</v>
      </c>
      <c r="N942" s="165" t="s">
        <v>16</v>
      </c>
      <c r="O942" s="165" t="s">
        <v>16</v>
      </c>
      <c r="P942" s="165" t="s">
        <v>16</v>
      </c>
      <c r="Q942" s="165" t="s">
        <v>16</v>
      </c>
      <c r="R942" s="165" t="s">
        <v>148</v>
      </c>
      <c r="S942" s="165" t="s">
        <v>148</v>
      </c>
      <c r="T942" s="165" t="s">
        <v>148</v>
      </c>
      <c r="U942" s="165" t="s">
        <v>16</v>
      </c>
      <c r="V942" s="165" t="s">
        <v>16</v>
      </c>
      <c r="W942" s="165" t="s">
        <v>16</v>
      </c>
      <c r="X942" s="165" t="s">
        <v>16</v>
      </c>
      <c r="Y942" s="165" t="s">
        <v>16</v>
      </c>
      <c r="Z942" s="165" t="s">
        <v>16</v>
      </c>
      <c r="AA942" s="165" t="s">
        <v>16</v>
      </c>
      <c r="AB942" s="165" t="s">
        <v>16</v>
      </c>
      <c r="AC942" s="165" t="s">
        <v>16</v>
      </c>
      <c r="AD942" s="165" t="s">
        <v>16</v>
      </c>
      <c r="AE942" s="165" t="s">
        <v>1541</v>
      </c>
      <c r="AF942" s="165"/>
    </row>
    <row r="943" spans="1:32" x14ac:dyDescent="0.3">
      <c r="A943" s="165" t="s">
        <v>1564</v>
      </c>
      <c r="B943" s="165" t="s">
        <v>14</v>
      </c>
      <c r="C943" s="165" t="s">
        <v>1531</v>
      </c>
      <c r="D943" s="165" t="s">
        <v>15</v>
      </c>
      <c r="E943" s="157">
        <v>41273</v>
      </c>
      <c r="F943" s="165" t="s">
        <v>16</v>
      </c>
      <c r="G943" s="165" t="s">
        <v>16</v>
      </c>
      <c r="H943" s="165" t="s">
        <v>16</v>
      </c>
      <c r="I943" s="165" t="s">
        <v>16</v>
      </c>
      <c r="J943" s="165" t="s">
        <v>16</v>
      </c>
      <c r="K943" s="165" t="s">
        <v>148</v>
      </c>
      <c r="L943" s="165" t="s">
        <v>16</v>
      </c>
      <c r="M943" s="165" t="s">
        <v>16</v>
      </c>
      <c r="N943" s="165" t="s">
        <v>16</v>
      </c>
      <c r="O943" s="165" t="s">
        <v>16</v>
      </c>
      <c r="P943" s="165" t="s">
        <v>148</v>
      </c>
      <c r="Q943" s="165" t="s">
        <v>16</v>
      </c>
      <c r="R943" s="165" t="s">
        <v>16</v>
      </c>
      <c r="S943" s="165" t="s">
        <v>16</v>
      </c>
      <c r="T943" s="165" t="s">
        <v>16</v>
      </c>
      <c r="U943" s="165" t="s">
        <v>16</v>
      </c>
      <c r="V943" s="165" t="s">
        <v>16</v>
      </c>
      <c r="W943" s="165" t="s">
        <v>16</v>
      </c>
      <c r="X943" s="165" t="s">
        <v>16</v>
      </c>
      <c r="Y943" s="165" t="s">
        <v>16</v>
      </c>
      <c r="Z943" s="165" t="s">
        <v>16</v>
      </c>
      <c r="AA943" s="165" t="s">
        <v>16</v>
      </c>
      <c r="AB943" s="165" t="s">
        <v>16</v>
      </c>
      <c r="AC943" s="165" t="s">
        <v>16</v>
      </c>
      <c r="AD943" s="165" t="s">
        <v>148</v>
      </c>
      <c r="AE943" s="165" t="s">
        <v>1536</v>
      </c>
      <c r="AF943" s="165"/>
    </row>
    <row r="944" spans="1:32" x14ac:dyDescent="0.3">
      <c r="A944" s="165" t="s">
        <v>1565</v>
      </c>
      <c r="B944" s="165" t="s">
        <v>14</v>
      </c>
      <c r="C944" s="165" t="s">
        <v>1531</v>
      </c>
      <c r="D944" s="165" t="s">
        <v>15</v>
      </c>
      <c r="E944" s="157">
        <v>41273</v>
      </c>
      <c r="F944" s="165" t="s">
        <v>149</v>
      </c>
      <c r="G944" s="165" t="s">
        <v>150</v>
      </c>
      <c r="H944" s="165" t="s">
        <v>149</v>
      </c>
      <c r="I944" s="165" t="s">
        <v>16</v>
      </c>
      <c r="J944" s="165" t="s">
        <v>16</v>
      </c>
      <c r="K944" s="165" t="s">
        <v>16</v>
      </c>
      <c r="L944" s="165" t="s">
        <v>16</v>
      </c>
      <c r="M944" s="165" t="s">
        <v>16</v>
      </c>
      <c r="N944" s="165" t="s">
        <v>16</v>
      </c>
      <c r="O944" s="165" t="s">
        <v>149</v>
      </c>
      <c r="P944" s="165" t="s">
        <v>150</v>
      </c>
      <c r="Q944" s="165" t="s">
        <v>149</v>
      </c>
      <c r="R944" s="165" t="s">
        <v>16</v>
      </c>
      <c r="S944" s="165" t="s">
        <v>16</v>
      </c>
      <c r="T944" s="165" t="s">
        <v>16</v>
      </c>
      <c r="U944" s="165" t="s">
        <v>148</v>
      </c>
      <c r="V944" s="165" t="s">
        <v>16</v>
      </c>
      <c r="W944" s="165" t="s">
        <v>16</v>
      </c>
      <c r="X944" s="165" t="s">
        <v>16</v>
      </c>
      <c r="Y944" s="165" t="s">
        <v>16</v>
      </c>
      <c r="Z944" s="165" t="s">
        <v>149</v>
      </c>
      <c r="AA944" s="165" t="s">
        <v>149</v>
      </c>
      <c r="AB944" s="165" t="s">
        <v>148</v>
      </c>
      <c r="AC944" s="165" t="s">
        <v>16</v>
      </c>
      <c r="AD944" s="165" t="s">
        <v>16</v>
      </c>
      <c r="AE944" s="165" t="s">
        <v>1566</v>
      </c>
      <c r="AF944" s="165" t="s">
        <v>1567</v>
      </c>
    </row>
    <row r="945" spans="1:32" x14ac:dyDescent="0.3">
      <c r="A945" s="165" t="s">
        <v>1568</v>
      </c>
      <c r="B945" s="165" t="s">
        <v>14</v>
      </c>
      <c r="C945" s="165" t="s">
        <v>1531</v>
      </c>
      <c r="D945" s="165" t="s">
        <v>15</v>
      </c>
      <c r="E945" s="157">
        <v>41273</v>
      </c>
      <c r="F945" s="165" t="s">
        <v>149</v>
      </c>
      <c r="G945" s="165" t="s">
        <v>16</v>
      </c>
      <c r="H945" s="165" t="s">
        <v>16</v>
      </c>
      <c r="I945" s="165" t="s">
        <v>148</v>
      </c>
      <c r="J945" s="165" t="s">
        <v>148</v>
      </c>
      <c r="K945" s="165" t="s">
        <v>148</v>
      </c>
      <c r="L945" s="165" t="s">
        <v>16</v>
      </c>
      <c r="M945" s="165" t="s">
        <v>16</v>
      </c>
      <c r="N945" s="165" t="s">
        <v>16</v>
      </c>
      <c r="O945" s="165" t="s">
        <v>148</v>
      </c>
      <c r="P945" s="165" t="s">
        <v>16</v>
      </c>
      <c r="Q945" s="165" t="s">
        <v>16</v>
      </c>
      <c r="R945" s="165" t="s">
        <v>148</v>
      </c>
      <c r="S945" s="165" t="s">
        <v>148</v>
      </c>
      <c r="T945" s="165" t="s">
        <v>16</v>
      </c>
      <c r="U945" s="165" t="s">
        <v>16</v>
      </c>
      <c r="V945" s="165" t="s">
        <v>16</v>
      </c>
      <c r="W945" s="165" t="s">
        <v>148</v>
      </c>
      <c r="X945" s="165" t="s">
        <v>16</v>
      </c>
      <c r="Y945" s="165" t="s">
        <v>16</v>
      </c>
      <c r="Z945" s="165" t="s">
        <v>149</v>
      </c>
      <c r="AA945" s="165" t="s">
        <v>16</v>
      </c>
      <c r="AB945" s="165" t="s">
        <v>16</v>
      </c>
      <c r="AC945" s="165" t="s">
        <v>149</v>
      </c>
      <c r="AD945" s="165" t="s">
        <v>16</v>
      </c>
      <c r="AE945" s="165" t="s">
        <v>1550</v>
      </c>
      <c r="AF945" s="165"/>
    </row>
    <row r="946" spans="1:32" x14ac:dyDescent="0.3">
      <c r="A946" s="165" t="s">
        <v>1569</v>
      </c>
      <c r="B946" s="165" t="s">
        <v>14</v>
      </c>
      <c r="C946" s="165" t="s">
        <v>1531</v>
      </c>
      <c r="D946" s="165" t="s">
        <v>15</v>
      </c>
      <c r="E946" s="157">
        <v>41273</v>
      </c>
      <c r="F946" s="165" t="s">
        <v>16</v>
      </c>
      <c r="G946" s="165" t="s">
        <v>16</v>
      </c>
      <c r="H946" s="165" t="s">
        <v>16</v>
      </c>
      <c r="I946" s="165" t="s">
        <v>16</v>
      </c>
      <c r="J946" s="165" t="s">
        <v>148</v>
      </c>
      <c r="K946" s="165" t="s">
        <v>16</v>
      </c>
      <c r="L946" s="165" t="s">
        <v>16</v>
      </c>
      <c r="M946" s="165" t="s">
        <v>16</v>
      </c>
      <c r="N946" s="165" t="s">
        <v>16</v>
      </c>
      <c r="O946" s="165" t="s">
        <v>16</v>
      </c>
      <c r="P946" s="165" t="s">
        <v>16</v>
      </c>
      <c r="Q946" s="165" t="s">
        <v>16</v>
      </c>
      <c r="R946" s="165" t="s">
        <v>16</v>
      </c>
      <c r="S946" s="165" t="s">
        <v>16</v>
      </c>
      <c r="T946" s="165" t="s">
        <v>16</v>
      </c>
      <c r="U946" s="165" t="s">
        <v>16</v>
      </c>
      <c r="V946" s="165" t="s">
        <v>16</v>
      </c>
      <c r="W946" s="165" t="s">
        <v>16</v>
      </c>
      <c r="X946" s="165" t="s">
        <v>16</v>
      </c>
      <c r="Y946" s="165" t="s">
        <v>16</v>
      </c>
      <c r="Z946" s="165" t="s">
        <v>16</v>
      </c>
      <c r="AA946" s="165" t="s">
        <v>16</v>
      </c>
      <c r="AB946" s="165" t="s">
        <v>16</v>
      </c>
      <c r="AC946" s="165" t="s">
        <v>16</v>
      </c>
      <c r="AD946" s="165" t="s">
        <v>148</v>
      </c>
      <c r="AE946" s="165"/>
      <c r="AF946" s="165"/>
    </row>
    <row r="949" spans="1:32" x14ac:dyDescent="0.3">
      <c r="A949" s="165"/>
      <c r="B949" s="165"/>
      <c r="C949" s="165"/>
      <c r="D949" s="165"/>
      <c r="E949" s="165"/>
      <c r="F949" s="165" t="s">
        <v>124</v>
      </c>
      <c r="G949" s="165" t="s">
        <v>125</v>
      </c>
      <c r="H949" s="165" t="s">
        <v>126</v>
      </c>
      <c r="I949" s="165" t="s">
        <v>127</v>
      </c>
      <c r="J949" s="165" t="s">
        <v>214</v>
      </c>
      <c r="K949" s="165" t="s">
        <v>128</v>
      </c>
      <c r="L949" s="165" t="s">
        <v>129</v>
      </c>
      <c r="M949" s="165" t="s">
        <v>130</v>
      </c>
      <c r="N949" s="165" t="s">
        <v>131</v>
      </c>
      <c r="O949" s="165" t="s">
        <v>132</v>
      </c>
      <c r="P949" s="165" t="s">
        <v>133</v>
      </c>
      <c r="Q949" s="165" t="s">
        <v>134</v>
      </c>
      <c r="R949" s="165" t="s">
        <v>135</v>
      </c>
      <c r="S949" s="165" t="s">
        <v>136</v>
      </c>
      <c r="T949" s="165" t="s">
        <v>137</v>
      </c>
      <c r="U949" s="165" t="s">
        <v>138</v>
      </c>
      <c r="V949" s="165" t="s">
        <v>139</v>
      </c>
      <c r="W949" s="165" t="s">
        <v>140</v>
      </c>
      <c r="X949" s="165" t="s">
        <v>186</v>
      </c>
      <c r="Y949" s="165" t="s">
        <v>209</v>
      </c>
      <c r="Z949" s="165" t="s">
        <v>141</v>
      </c>
      <c r="AA949" s="165" t="s">
        <v>142</v>
      </c>
      <c r="AB949" s="165" t="s">
        <v>210</v>
      </c>
      <c r="AC949" s="165" t="s">
        <v>1180</v>
      </c>
      <c r="AD949" s="165" t="s">
        <v>144</v>
      </c>
      <c r="AE949" s="165" t="s">
        <v>1571</v>
      </c>
      <c r="AF949" s="165" t="s">
        <v>190</v>
      </c>
    </row>
    <row r="950" spans="1:32" x14ac:dyDescent="0.3">
      <c r="A950" s="165" t="s">
        <v>1572</v>
      </c>
      <c r="B950" s="165" t="s">
        <v>1140</v>
      </c>
      <c r="C950" s="165" t="s">
        <v>1573</v>
      </c>
      <c r="D950" s="165" t="s">
        <v>15</v>
      </c>
      <c r="E950" s="157">
        <v>41304</v>
      </c>
      <c r="F950" s="165" t="s">
        <v>148</v>
      </c>
      <c r="G950" s="165" t="s">
        <v>148</v>
      </c>
      <c r="H950" s="165" t="s">
        <v>149</v>
      </c>
      <c r="I950" s="165" t="s">
        <v>150</v>
      </c>
      <c r="J950" s="165" t="s">
        <v>148</v>
      </c>
      <c r="K950" s="165" t="s">
        <v>16</v>
      </c>
      <c r="L950" s="165" t="s">
        <v>16</v>
      </c>
      <c r="M950" s="165" t="s">
        <v>16</v>
      </c>
      <c r="N950" s="165" t="s">
        <v>16</v>
      </c>
      <c r="O950" s="165" t="s">
        <v>16</v>
      </c>
      <c r="P950" s="165" t="s">
        <v>16</v>
      </c>
      <c r="Q950" s="165" t="s">
        <v>16</v>
      </c>
      <c r="R950" s="165" t="s">
        <v>16</v>
      </c>
      <c r="S950" s="165" t="s">
        <v>16</v>
      </c>
      <c r="T950" s="165" t="s">
        <v>16</v>
      </c>
      <c r="U950" s="165" t="s">
        <v>16</v>
      </c>
      <c r="V950" s="165" t="s">
        <v>16</v>
      </c>
      <c r="W950" s="165" t="s">
        <v>16</v>
      </c>
      <c r="X950" s="165" t="s">
        <v>16</v>
      </c>
      <c r="Y950" s="165" t="s">
        <v>16</v>
      </c>
      <c r="Z950" s="165" t="s">
        <v>16</v>
      </c>
      <c r="AA950" s="165" t="s">
        <v>16</v>
      </c>
      <c r="AB950" s="165" t="s">
        <v>16</v>
      </c>
      <c r="AC950" s="165" t="s">
        <v>16</v>
      </c>
      <c r="AD950" s="165" t="s">
        <v>16</v>
      </c>
      <c r="AE950" s="165" t="s">
        <v>1574</v>
      </c>
      <c r="AF950" s="165"/>
    </row>
    <row r="951" spans="1:32" x14ac:dyDescent="0.3">
      <c r="A951" s="165" t="s">
        <v>1575</v>
      </c>
      <c r="B951" s="165" t="s">
        <v>14</v>
      </c>
      <c r="C951" s="165" t="s">
        <v>1573</v>
      </c>
      <c r="D951" s="165" t="s">
        <v>15</v>
      </c>
      <c r="E951" s="157">
        <v>41304</v>
      </c>
      <c r="F951" s="165" t="s">
        <v>16</v>
      </c>
      <c r="G951" s="165" t="s">
        <v>16</v>
      </c>
      <c r="H951" s="165" t="s">
        <v>16</v>
      </c>
      <c r="I951" s="165" t="s">
        <v>16</v>
      </c>
      <c r="J951" s="165" t="s">
        <v>16</v>
      </c>
      <c r="K951" s="165" t="s">
        <v>16</v>
      </c>
      <c r="L951" s="165" t="s">
        <v>16</v>
      </c>
      <c r="M951" s="165" t="s">
        <v>16</v>
      </c>
      <c r="N951" s="165" t="s">
        <v>148</v>
      </c>
      <c r="O951" s="165" t="s">
        <v>16</v>
      </c>
      <c r="P951" s="165" t="s">
        <v>16</v>
      </c>
      <c r="Q951" s="165" t="s">
        <v>16</v>
      </c>
      <c r="R951" s="165" t="s">
        <v>16</v>
      </c>
      <c r="S951" s="165" t="s">
        <v>148</v>
      </c>
      <c r="T951" s="165" t="s">
        <v>16</v>
      </c>
      <c r="U951" s="165" t="s">
        <v>16</v>
      </c>
      <c r="V951" s="165" t="s">
        <v>16</v>
      </c>
      <c r="W951" s="165" t="s">
        <v>148</v>
      </c>
      <c r="X951" s="165" t="s">
        <v>148</v>
      </c>
      <c r="Y951" s="165" t="s">
        <v>16</v>
      </c>
      <c r="Z951" s="165" t="s">
        <v>16</v>
      </c>
      <c r="AA951" s="165" t="s">
        <v>16</v>
      </c>
      <c r="AB951" s="165" t="s">
        <v>16</v>
      </c>
      <c r="AC951" s="165" t="s">
        <v>16</v>
      </c>
      <c r="AD951" s="165" t="s">
        <v>16</v>
      </c>
      <c r="AE951" s="165" t="s">
        <v>1576</v>
      </c>
      <c r="AF951" s="165"/>
    </row>
    <row r="952" spans="1:32" x14ac:dyDescent="0.3">
      <c r="A952" s="165" t="s">
        <v>1577</v>
      </c>
      <c r="B952" s="165" t="s">
        <v>14</v>
      </c>
      <c r="C952" s="165" t="s">
        <v>1573</v>
      </c>
      <c r="D952" s="165" t="s">
        <v>15</v>
      </c>
      <c r="E952" s="157">
        <v>41304</v>
      </c>
      <c r="F952" s="165" t="s">
        <v>16</v>
      </c>
      <c r="G952" s="165" t="s">
        <v>16</v>
      </c>
      <c r="H952" s="165" t="s">
        <v>16</v>
      </c>
      <c r="I952" s="165" t="s">
        <v>16</v>
      </c>
      <c r="J952" s="165" t="s">
        <v>16</v>
      </c>
      <c r="K952" s="165" t="s">
        <v>16</v>
      </c>
      <c r="L952" s="165" t="s">
        <v>16</v>
      </c>
      <c r="M952" s="165" t="s">
        <v>149</v>
      </c>
      <c r="N952" s="165" t="s">
        <v>16</v>
      </c>
      <c r="O952" s="165" t="s">
        <v>16</v>
      </c>
      <c r="P952" s="165" t="s">
        <v>149</v>
      </c>
      <c r="Q952" s="165" t="s">
        <v>148</v>
      </c>
      <c r="R952" s="165" t="s">
        <v>149</v>
      </c>
      <c r="S952" s="165" t="s">
        <v>149</v>
      </c>
      <c r="T952" s="165" t="s">
        <v>16</v>
      </c>
      <c r="U952" s="165" t="s">
        <v>16</v>
      </c>
      <c r="V952" s="165" t="s">
        <v>148</v>
      </c>
      <c r="W952" s="165" t="s">
        <v>16</v>
      </c>
      <c r="X952" s="165" t="s">
        <v>149</v>
      </c>
      <c r="Y952" s="165" t="s">
        <v>148</v>
      </c>
      <c r="Z952" s="165" t="s">
        <v>16</v>
      </c>
      <c r="AA952" s="165" t="s">
        <v>16</v>
      </c>
      <c r="AB952" s="165" t="s">
        <v>16</v>
      </c>
      <c r="AC952" s="165" t="s">
        <v>149</v>
      </c>
      <c r="AD952" s="165" t="s">
        <v>16</v>
      </c>
      <c r="AE952" s="165" t="s">
        <v>1578</v>
      </c>
      <c r="AF952" s="165"/>
    </row>
    <row r="953" spans="1:32" x14ac:dyDescent="0.3">
      <c r="A953" s="165" t="s">
        <v>1579</v>
      </c>
      <c r="B953" s="165" t="s">
        <v>14</v>
      </c>
      <c r="C953" s="165" t="s">
        <v>1573</v>
      </c>
      <c r="D953" s="165" t="s">
        <v>15</v>
      </c>
      <c r="E953" s="157">
        <v>41304</v>
      </c>
      <c r="F953" s="165" t="s">
        <v>16</v>
      </c>
      <c r="G953" s="165" t="s">
        <v>16</v>
      </c>
      <c r="H953" s="165" t="s">
        <v>16</v>
      </c>
      <c r="I953" s="165" t="s">
        <v>16</v>
      </c>
      <c r="J953" s="165" t="s">
        <v>16</v>
      </c>
      <c r="K953" s="165" t="s">
        <v>16</v>
      </c>
      <c r="L953" s="165" t="s">
        <v>16</v>
      </c>
      <c r="M953" s="165" t="s">
        <v>16</v>
      </c>
      <c r="N953" s="165" t="s">
        <v>16</v>
      </c>
      <c r="O953" s="165" t="s">
        <v>16</v>
      </c>
      <c r="P953" s="165" t="s">
        <v>16</v>
      </c>
      <c r="Q953" s="165" t="s">
        <v>16</v>
      </c>
      <c r="R953" s="165" t="s">
        <v>16</v>
      </c>
      <c r="S953" s="165" t="s">
        <v>16</v>
      </c>
      <c r="T953" s="165" t="s">
        <v>16</v>
      </c>
      <c r="U953" s="165" t="s">
        <v>16</v>
      </c>
      <c r="V953" s="165" t="s">
        <v>16</v>
      </c>
      <c r="W953" s="165" t="s">
        <v>16</v>
      </c>
      <c r="X953" s="165" t="s">
        <v>16</v>
      </c>
      <c r="Y953" s="165" t="s">
        <v>16</v>
      </c>
      <c r="Z953" s="165" t="s">
        <v>16</v>
      </c>
      <c r="AA953" s="165" t="s">
        <v>16</v>
      </c>
      <c r="AB953" s="165" t="s">
        <v>16</v>
      </c>
      <c r="AC953" s="165" t="s">
        <v>16</v>
      </c>
      <c r="AD953" s="165" t="s">
        <v>16</v>
      </c>
      <c r="AE953" s="165" t="s">
        <v>1580</v>
      </c>
      <c r="AF953" s="165"/>
    </row>
    <row r="954" spans="1:32" x14ac:dyDescent="0.3">
      <c r="A954" s="165" t="s">
        <v>1581</v>
      </c>
      <c r="B954" s="165" t="s">
        <v>14</v>
      </c>
      <c r="C954" s="165" t="s">
        <v>1573</v>
      </c>
      <c r="D954" s="165" t="s">
        <v>15</v>
      </c>
      <c r="E954" s="157">
        <v>41304</v>
      </c>
      <c r="F954" s="165" t="s">
        <v>148</v>
      </c>
      <c r="G954" s="165" t="s">
        <v>16</v>
      </c>
      <c r="H954" s="165" t="s">
        <v>16</v>
      </c>
      <c r="I954" s="165" t="s">
        <v>16</v>
      </c>
      <c r="J954" s="165" t="s">
        <v>150</v>
      </c>
      <c r="K954" s="165" t="s">
        <v>148</v>
      </c>
      <c r="L954" s="165" t="s">
        <v>149</v>
      </c>
      <c r="M954" s="165" t="s">
        <v>16</v>
      </c>
      <c r="N954" s="165" t="s">
        <v>16</v>
      </c>
      <c r="O954" s="165" t="s">
        <v>16</v>
      </c>
      <c r="P954" s="165" t="s">
        <v>150</v>
      </c>
      <c r="Q954" s="165" t="s">
        <v>16</v>
      </c>
      <c r="R954" s="165" t="s">
        <v>16</v>
      </c>
      <c r="S954" s="165" t="s">
        <v>148</v>
      </c>
      <c r="T954" s="165" t="s">
        <v>148</v>
      </c>
      <c r="U954" s="165" t="s">
        <v>16</v>
      </c>
      <c r="V954" s="165" t="s">
        <v>148</v>
      </c>
      <c r="W954" s="165" t="s">
        <v>16</v>
      </c>
      <c r="X954" s="165" t="s">
        <v>16</v>
      </c>
      <c r="Y954" s="165" t="s">
        <v>148</v>
      </c>
      <c r="Z954" s="165" t="s">
        <v>16</v>
      </c>
      <c r="AA954" s="165" t="s">
        <v>148</v>
      </c>
      <c r="AB954" s="165" t="s">
        <v>148</v>
      </c>
      <c r="AC954" s="165" t="s">
        <v>148</v>
      </c>
      <c r="AD954" s="165" t="s">
        <v>148</v>
      </c>
      <c r="AE954" s="165" t="s">
        <v>1580</v>
      </c>
      <c r="AF954" s="165" t="s">
        <v>1582</v>
      </c>
    </row>
    <row r="955" spans="1:32" x14ac:dyDescent="0.3">
      <c r="A955" s="165" t="s">
        <v>1583</v>
      </c>
      <c r="B955" s="165" t="s">
        <v>14</v>
      </c>
      <c r="C955" s="165" t="s">
        <v>1573</v>
      </c>
      <c r="D955" s="165" t="s">
        <v>15</v>
      </c>
      <c r="E955" s="157">
        <v>41304</v>
      </c>
      <c r="F955" s="165" t="s">
        <v>16</v>
      </c>
      <c r="G955" s="165" t="s">
        <v>16</v>
      </c>
      <c r="H955" s="165" t="s">
        <v>148</v>
      </c>
      <c r="I955" s="165" t="s">
        <v>148</v>
      </c>
      <c r="J955" s="165" t="s">
        <v>149</v>
      </c>
      <c r="K955" s="165" t="s">
        <v>16</v>
      </c>
      <c r="L955" s="165" t="s">
        <v>16</v>
      </c>
      <c r="M955" s="165" t="s">
        <v>148</v>
      </c>
      <c r="N955" s="165" t="s">
        <v>16</v>
      </c>
      <c r="O955" s="165" t="s">
        <v>149</v>
      </c>
      <c r="P955" s="165" t="s">
        <v>148</v>
      </c>
      <c r="Q955" s="165" t="s">
        <v>16</v>
      </c>
      <c r="R955" s="165" t="s">
        <v>16</v>
      </c>
      <c r="S955" s="165" t="s">
        <v>16</v>
      </c>
      <c r="T955" s="165" t="s">
        <v>16</v>
      </c>
      <c r="U955" s="165" t="s">
        <v>16</v>
      </c>
      <c r="V955" s="165" t="s">
        <v>16</v>
      </c>
      <c r="W955" s="165" t="s">
        <v>16</v>
      </c>
      <c r="X955" s="165" t="s">
        <v>148</v>
      </c>
      <c r="Y955" s="165" t="s">
        <v>16</v>
      </c>
      <c r="Z955" s="165" t="s">
        <v>16</v>
      </c>
      <c r="AA955" s="165" t="s">
        <v>16</v>
      </c>
      <c r="AB955" s="165" t="s">
        <v>16</v>
      </c>
      <c r="AC955" s="165" t="s">
        <v>148</v>
      </c>
      <c r="AD955" s="165" t="s">
        <v>16</v>
      </c>
      <c r="AE955" s="165" t="s">
        <v>1584</v>
      </c>
      <c r="AF955" s="165"/>
    </row>
    <row r="956" spans="1:32" x14ac:dyDescent="0.3">
      <c r="A956" s="165" t="s">
        <v>1585</v>
      </c>
      <c r="B956" s="165" t="s">
        <v>14</v>
      </c>
      <c r="C956" s="165" t="s">
        <v>1573</v>
      </c>
      <c r="D956" s="165" t="s">
        <v>15</v>
      </c>
      <c r="E956" s="157">
        <v>41304</v>
      </c>
      <c r="F956" s="165" t="s">
        <v>16</v>
      </c>
      <c r="G956" s="165" t="s">
        <v>148</v>
      </c>
      <c r="H956" s="165" t="s">
        <v>16</v>
      </c>
      <c r="I956" s="165" t="s">
        <v>16</v>
      </c>
      <c r="J956" s="165" t="s">
        <v>148</v>
      </c>
      <c r="K956" s="165" t="s">
        <v>16</v>
      </c>
      <c r="L956" s="165" t="s">
        <v>148</v>
      </c>
      <c r="M956" s="165" t="s">
        <v>16</v>
      </c>
      <c r="N956" s="165" t="s">
        <v>148</v>
      </c>
      <c r="O956" s="165" t="s">
        <v>148</v>
      </c>
      <c r="P956" s="165" t="s">
        <v>148</v>
      </c>
      <c r="Q956" s="165" t="s">
        <v>148</v>
      </c>
      <c r="R956" s="165" t="s">
        <v>16</v>
      </c>
      <c r="S956" s="165" t="s">
        <v>16</v>
      </c>
      <c r="T956" s="165" t="s">
        <v>148</v>
      </c>
      <c r="U956" s="165" t="s">
        <v>148</v>
      </c>
      <c r="V956" s="165" t="s">
        <v>16</v>
      </c>
      <c r="W956" s="165" t="s">
        <v>16</v>
      </c>
      <c r="X956" s="165" t="s">
        <v>148</v>
      </c>
      <c r="Y956" s="165" t="s">
        <v>114</v>
      </c>
      <c r="Z956" s="165" t="s">
        <v>148</v>
      </c>
      <c r="AA956" s="165" t="s">
        <v>148</v>
      </c>
      <c r="AB956" s="165" t="s">
        <v>16</v>
      </c>
      <c r="AC956" s="165" t="s">
        <v>16</v>
      </c>
      <c r="AD956" s="165" t="s">
        <v>148</v>
      </c>
      <c r="AE956" s="165" t="s">
        <v>1586</v>
      </c>
      <c r="AF956" s="165" t="s">
        <v>1587</v>
      </c>
    </row>
    <row r="957" spans="1:32" x14ac:dyDescent="0.3">
      <c r="A957" s="165" t="s">
        <v>1588</v>
      </c>
      <c r="B957" s="165" t="s">
        <v>14</v>
      </c>
      <c r="C957" s="165" t="s">
        <v>1573</v>
      </c>
      <c r="D957" s="165" t="s">
        <v>15</v>
      </c>
      <c r="E957" s="157">
        <v>41304</v>
      </c>
      <c r="F957" s="165" t="s">
        <v>148</v>
      </c>
      <c r="G957" s="165" t="s">
        <v>148</v>
      </c>
      <c r="H957" s="165" t="s">
        <v>16</v>
      </c>
      <c r="I957" s="165" t="s">
        <v>16</v>
      </c>
      <c r="J957" s="165" t="s">
        <v>16</v>
      </c>
      <c r="K957" s="165" t="s">
        <v>148</v>
      </c>
      <c r="L957" s="165" t="s">
        <v>148</v>
      </c>
      <c r="M957" s="165" t="s">
        <v>16</v>
      </c>
      <c r="N957" s="165" t="s">
        <v>16</v>
      </c>
      <c r="O957" s="165" t="s">
        <v>16</v>
      </c>
      <c r="P957" s="165" t="s">
        <v>148</v>
      </c>
      <c r="Q957" s="165" t="s">
        <v>148</v>
      </c>
      <c r="R957" s="165" t="s">
        <v>148</v>
      </c>
      <c r="S957" s="165" t="s">
        <v>148</v>
      </c>
      <c r="T957" s="165" t="s">
        <v>150</v>
      </c>
      <c r="U957" s="165" t="s">
        <v>16</v>
      </c>
      <c r="V957" s="165" t="s">
        <v>148</v>
      </c>
      <c r="W957" s="165" t="s">
        <v>148</v>
      </c>
      <c r="X957" s="165" t="s">
        <v>16</v>
      </c>
      <c r="Y957" s="165" t="s">
        <v>150</v>
      </c>
      <c r="Z957" s="165" t="s">
        <v>16</v>
      </c>
      <c r="AA957" s="165" t="s">
        <v>16</v>
      </c>
      <c r="AB957" s="165" t="s">
        <v>16</v>
      </c>
      <c r="AC957" s="165" t="s">
        <v>148</v>
      </c>
      <c r="AD957" s="165" t="s">
        <v>148</v>
      </c>
      <c r="AE957" s="165" t="s">
        <v>1589</v>
      </c>
      <c r="AF957" s="165" t="s">
        <v>1590</v>
      </c>
    </row>
    <row r="958" spans="1:32" x14ac:dyDescent="0.3">
      <c r="A958" s="165" t="s">
        <v>1591</v>
      </c>
      <c r="B958" s="165" t="s">
        <v>14</v>
      </c>
      <c r="C958" s="165" t="s">
        <v>1573</v>
      </c>
      <c r="D958" s="165" t="s">
        <v>15</v>
      </c>
      <c r="E958" s="157">
        <v>41304</v>
      </c>
      <c r="F958" s="165" t="s">
        <v>16</v>
      </c>
      <c r="G958" s="165" t="s">
        <v>16</v>
      </c>
      <c r="H958" s="165" t="s">
        <v>16</v>
      </c>
      <c r="I958" s="165" t="s">
        <v>16</v>
      </c>
      <c r="J958" s="165" t="s">
        <v>16</v>
      </c>
      <c r="K958" s="165" t="s">
        <v>16</v>
      </c>
      <c r="L958" s="165" t="s">
        <v>16</v>
      </c>
      <c r="M958" s="165" t="s">
        <v>16</v>
      </c>
      <c r="N958" s="165" t="s">
        <v>16</v>
      </c>
      <c r="O958" s="165" t="s">
        <v>16</v>
      </c>
      <c r="P958" s="165" t="s">
        <v>16</v>
      </c>
      <c r="Q958" s="165" t="s">
        <v>16</v>
      </c>
      <c r="R958" s="165" t="s">
        <v>16</v>
      </c>
      <c r="S958" s="165" t="s">
        <v>16</v>
      </c>
      <c r="T958" s="165" t="s">
        <v>16</v>
      </c>
      <c r="U958" s="165" t="s">
        <v>16</v>
      </c>
      <c r="V958" s="165" t="s">
        <v>16</v>
      </c>
      <c r="W958" s="165" t="s">
        <v>16</v>
      </c>
      <c r="X958" s="165" t="s">
        <v>16</v>
      </c>
      <c r="Y958" s="165" t="s">
        <v>16</v>
      </c>
      <c r="Z958" s="165" t="s">
        <v>16</v>
      </c>
      <c r="AA958" s="165" t="s">
        <v>16</v>
      </c>
      <c r="AB958" s="165" t="s">
        <v>16</v>
      </c>
      <c r="AC958" s="165" t="s">
        <v>16</v>
      </c>
      <c r="AD958" s="165" t="s">
        <v>16</v>
      </c>
      <c r="AE958" s="165" t="s">
        <v>1589</v>
      </c>
      <c r="AF958" s="165"/>
    </row>
    <row r="959" spans="1:32" x14ac:dyDescent="0.3">
      <c r="A959" s="165" t="s">
        <v>1592</v>
      </c>
      <c r="B959" s="165" t="s">
        <v>14</v>
      </c>
      <c r="C959" s="165" t="s">
        <v>1573</v>
      </c>
      <c r="D959" s="165" t="s">
        <v>15</v>
      </c>
      <c r="E959" s="157">
        <v>41304</v>
      </c>
      <c r="F959" s="165" t="s">
        <v>16</v>
      </c>
      <c r="G959" s="165" t="s">
        <v>114</v>
      </c>
      <c r="H959" s="165" t="s">
        <v>148</v>
      </c>
      <c r="I959" s="165" t="s">
        <v>148</v>
      </c>
      <c r="J959" s="165" t="s">
        <v>16</v>
      </c>
      <c r="K959" s="165" t="s">
        <v>16</v>
      </c>
      <c r="L959" s="165" t="s">
        <v>148</v>
      </c>
      <c r="M959" s="165" t="s">
        <v>16</v>
      </c>
      <c r="N959" s="165" t="s">
        <v>148</v>
      </c>
      <c r="O959" s="165" t="s">
        <v>16</v>
      </c>
      <c r="P959" s="165" t="s">
        <v>16</v>
      </c>
      <c r="Q959" s="165" t="s">
        <v>16</v>
      </c>
      <c r="R959" s="165" t="s">
        <v>148</v>
      </c>
      <c r="S959" s="165" t="s">
        <v>148</v>
      </c>
      <c r="T959" s="165" t="s">
        <v>16</v>
      </c>
      <c r="U959" s="165" t="s">
        <v>148</v>
      </c>
      <c r="V959" s="165" t="s">
        <v>16</v>
      </c>
      <c r="W959" s="165" t="s">
        <v>148</v>
      </c>
      <c r="X959" s="165" t="s">
        <v>148</v>
      </c>
      <c r="Y959" s="165" t="s">
        <v>150</v>
      </c>
      <c r="Z959" s="165" t="s">
        <v>148</v>
      </c>
      <c r="AA959" s="165" t="s">
        <v>16</v>
      </c>
      <c r="AB959" s="165" t="s">
        <v>16</v>
      </c>
      <c r="AC959" s="165" t="s">
        <v>148</v>
      </c>
      <c r="AD959" s="165" t="s">
        <v>16</v>
      </c>
      <c r="AE959" s="165" t="s">
        <v>1593</v>
      </c>
      <c r="AF959" s="165" t="s">
        <v>1594</v>
      </c>
    </row>
    <row r="960" spans="1:32" x14ac:dyDescent="0.3">
      <c r="A960" s="165" t="s">
        <v>1595</v>
      </c>
      <c r="B960" s="165" t="s">
        <v>14</v>
      </c>
      <c r="C960" s="165" t="s">
        <v>1573</v>
      </c>
      <c r="D960" s="165" t="s">
        <v>15</v>
      </c>
      <c r="E960" s="157">
        <v>41304</v>
      </c>
      <c r="F960" s="165" t="s">
        <v>149</v>
      </c>
      <c r="G960" s="165" t="s">
        <v>114</v>
      </c>
      <c r="H960" s="165" t="s">
        <v>16</v>
      </c>
      <c r="I960" s="165" t="s">
        <v>16</v>
      </c>
      <c r="J960" s="165" t="s">
        <v>16</v>
      </c>
      <c r="K960" s="165" t="s">
        <v>149</v>
      </c>
      <c r="L960" s="165" t="s">
        <v>149</v>
      </c>
      <c r="M960" s="165" t="s">
        <v>16</v>
      </c>
      <c r="N960" s="165" t="s">
        <v>16</v>
      </c>
      <c r="O960" s="165" t="s">
        <v>16</v>
      </c>
      <c r="P960" s="165" t="s">
        <v>16</v>
      </c>
      <c r="Q960" s="165" t="s">
        <v>149</v>
      </c>
      <c r="R960" s="165" t="s">
        <v>16</v>
      </c>
      <c r="S960" s="165" t="s">
        <v>16</v>
      </c>
      <c r="T960" s="165" t="s">
        <v>16</v>
      </c>
      <c r="U960" s="165" t="s">
        <v>16</v>
      </c>
      <c r="V960" s="165" t="s">
        <v>16</v>
      </c>
      <c r="W960" s="165" t="s">
        <v>16</v>
      </c>
      <c r="X960" s="165" t="s">
        <v>16</v>
      </c>
      <c r="Y960" s="165" t="s">
        <v>16</v>
      </c>
      <c r="Z960" s="165" t="s">
        <v>16</v>
      </c>
      <c r="AA960" s="165" t="s">
        <v>16</v>
      </c>
      <c r="AB960" s="165" t="s">
        <v>16</v>
      </c>
      <c r="AC960" s="165" t="s">
        <v>16</v>
      </c>
      <c r="AD960" s="165" t="s">
        <v>16</v>
      </c>
      <c r="AE960" s="165" t="s">
        <v>1593</v>
      </c>
      <c r="AF960" s="165"/>
    </row>
    <row r="961" spans="1:32" x14ac:dyDescent="0.3">
      <c r="A961" s="165" t="s">
        <v>1596</v>
      </c>
      <c r="B961" s="165" t="s">
        <v>14</v>
      </c>
      <c r="C961" s="165" t="s">
        <v>1573</v>
      </c>
      <c r="D961" s="165" t="s">
        <v>15</v>
      </c>
      <c r="E961" s="157">
        <v>41304</v>
      </c>
      <c r="F961" s="165" t="s">
        <v>16</v>
      </c>
      <c r="G961" s="165" t="s">
        <v>16</v>
      </c>
      <c r="H961" s="165" t="s">
        <v>149</v>
      </c>
      <c r="I961" s="165" t="s">
        <v>16</v>
      </c>
      <c r="J961" s="165" t="s">
        <v>16</v>
      </c>
      <c r="K961" s="165" t="s">
        <v>16</v>
      </c>
      <c r="L961" s="165" t="s">
        <v>148</v>
      </c>
      <c r="M961" s="165" t="s">
        <v>16</v>
      </c>
      <c r="N961" s="165" t="s">
        <v>148</v>
      </c>
      <c r="O961" s="165" t="s">
        <v>150</v>
      </c>
      <c r="P961" s="165" t="s">
        <v>148</v>
      </c>
      <c r="Q961" s="165" t="s">
        <v>16</v>
      </c>
      <c r="R961" s="165" t="s">
        <v>149</v>
      </c>
      <c r="S961" s="165" t="s">
        <v>16</v>
      </c>
      <c r="T961" s="165" t="s">
        <v>16</v>
      </c>
      <c r="U961" s="165" t="s">
        <v>150</v>
      </c>
      <c r="V961" s="165" t="s">
        <v>16</v>
      </c>
      <c r="W961" s="165" t="s">
        <v>16</v>
      </c>
      <c r="X961" s="165" t="s">
        <v>16</v>
      </c>
      <c r="Y961" s="165" t="s">
        <v>16</v>
      </c>
      <c r="Z961" s="165" t="s">
        <v>16</v>
      </c>
      <c r="AA961" s="165" t="s">
        <v>16</v>
      </c>
      <c r="AB961" s="165" t="s">
        <v>148</v>
      </c>
      <c r="AC961" s="165" t="s">
        <v>148</v>
      </c>
      <c r="AD961" s="165" t="s">
        <v>16</v>
      </c>
      <c r="AE961" s="165" t="s">
        <v>1597</v>
      </c>
      <c r="AF961" s="165"/>
    </row>
    <row r="962" spans="1:32" x14ac:dyDescent="0.3">
      <c r="A962" s="165" t="s">
        <v>1598</v>
      </c>
      <c r="B962" s="165" t="s">
        <v>14</v>
      </c>
      <c r="C962" s="165" t="s">
        <v>1573</v>
      </c>
      <c r="D962" s="165" t="s">
        <v>15</v>
      </c>
      <c r="E962" s="157">
        <v>41304</v>
      </c>
      <c r="F962" s="165" t="s">
        <v>148</v>
      </c>
      <c r="G962" s="165" t="s">
        <v>16</v>
      </c>
      <c r="H962" s="165" t="s">
        <v>114</v>
      </c>
      <c r="I962" s="165" t="s">
        <v>148</v>
      </c>
      <c r="J962" s="165" t="s">
        <v>114</v>
      </c>
      <c r="K962" s="165" t="s">
        <v>16</v>
      </c>
      <c r="L962" s="165" t="s">
        <v>16</v>
      </c>
      <c r="M962" s="165" t="s">
        <v>16</v>
      </c>
      <c r="N962" s="165" t="s">
        <v>16</v>
      </c>
      <c r="O962" s="165" t="s">
        <v>16</v>
      </c>
      <c r="P962" s="165" t="s">
        <v>148</v>
      </c>
      <c r="Q962" s="165" t="s">
        <v>16</v>
      </c>
      <c r="R962" s="165" t="s">
        <v>16</v>
      </c>
      <c r="S962" s="165" t="s">
        <v>16</v>
      </c>
      <c r="T962" s="165" t="s">
        <v>16</v>
      </c>
      <c r="U962" s="165" t="s">
        <v>16</v>
      </c>
      <c r="V962" s="165" t="s">
        <v>16</v>
      </c>
      <c r="W962" s="165" t="s">
        <v>16</v>
      </c>
      <c r="X962" s="165" t="s">
        <v>16</v>
      </c>
      <c r="Y962" s="165" t="s">
        <v>16</v>
      </c>
      <c r="Z962" s="165" t="s">
        <v>16</v>
      </c>
      <c r="AA962" s="165" t="s">
        <v>148</v>
      </c>
      <c r="AB962" s="165" t="s">
        <v>148</v>
      </c>
      <c r="AC962" s="165" t="s">
        <v>148</v>
      </c>
      <c r="AD962" s="165" t="s">
        <v>16</v>
      </c>
      <c r="AE962" s="165" t="s">
        <v>1599</v>
      </c>
      <c r="AF962" s="165"/>
    </row>
    <row r="963" spans="1:32" x14ac:dyDescent="0.3">
      <c r="A963" s="165" t="s">
        <v>1600</v>
      </c>
      <c r="B963" s="165" t="s">
        <v>14</v>
      </c>
      <c r="C963" s="165" t="s">
        <v>1573</v>
      </c>
      <c r="D963" s="165" t="s">
        <v>15</v>
      </c>
      <c r="E963" s="157">
        <v>41304</v>
      </c>
      <c r="F963" s="165" t="s">
        <v>148</v>
      </c>
      <c r="G963" s="165" t="s">
        <v>16</v>
      </c>
      <c r="H963" s="165" t="s">
        <v>148</v>
      </c>
      <c r="I963" s="165" t="s">
        <v>16</v>
      </c>
      <c r="J963" s="165" t="s">
        <v>16</v>
      </c>
      <c r="K963" s="165" t="s">
        <v>16</v>
      </c>
      <c r="L963" s="165" t="s">
        <v>16</v>
      </c>
      <c r="M963" s="165" t="s">
        <v>16</v>
      </c>
      <c r="N963" s="165" t="s">
        <v>16</v>
      </c>
      <c r="O963" s="165" t="s">
        <v>16</v>
      </c>
      <c r="P963" s="165" t="s">
        <v>16</v>
      </c>
      <c r="Q963" s="165" t="s">
        <v>16</v>
      </c>
      <c r="R963" s="165" t="s">
        <v>16</v>
      </c>
      <c r="S963" s="165" t="s">
        <v>16</v>
      </c>
      <c r="T963" s="165" t="s">
        <v>148</v>
      </c>
      <c r="U963" s="165" t="s">
        <v>16</v>
      </c>
      <c r="V963" s="165" t="s">
        <v>16</v>
      </c>
      <c r="W963" s="165" t="s">
        <v>148</v>
      </c>
      <c r="X963" s="165" t="s">
        <v>16</v>
      </c>
      <c r="Y963" s="165" t="s">
        <v>148</v>
      </c>
      <c r="Z963" s="165" t="s">
        <v>16</v>
      </c>
      <c r="AA963" s="165" t="s">
        <v>16</v>
      </c>
      <c r="AB963" s="165" t="s">
        <v>16</v>
      </c>
      <c r="AC963" s="165" t="s">
        <v>16</v>
      </c>
      <c r="AD963" s="165" t="s">
        <v>16</v>
      </c>
      <c r="AE963" s="165" t="s">
        <v>1601</v>
      </c>
      <c r="AF963" s="165" t="s">
        <v>1602</v>
      </c>
    </row>
    <row r="964" spans="1:32" x14ac:dyDescent="0.3">
      <c r="A964" s="165" t="s">
        <v>1603</v>
      </c>
      <c r="B964" s="165" t="s">
        <v>14</v>
      </c>
      <c r="C964" s="165" t="s">
        <v>1573</v>
      </c>
      <c r="D964" s="165" t="s">
        <v>15</v>
      </c>
      <c r="E964" s="157">
        <v>41304</v>
      </c>
      <c r="F964" s="165" t="s">
        <v>16</v>
      </c>
      <c r="G964" s="165" t="s">
        <v>16</v>
      </c>
      <c r="H964" s="165" t="s">
        <v>16</v>
      </c>
      <c r="I964" s="165" t="s">
        <v>16</v>
      </c>
      <c r="J964" s="165" t="s">
        <v>16</v>
      </c>
      <c r="K964" s="165" t="s">
        <v>16</v>
      </c>
      <c r="L964" s="165" t="s">
        <v>16</v>
      </c>
      <c r="M964" s="165" t="s">
        <v>16</v>
      </c>
      <c r="N964" s="165" t="s">
        <v>16</v>
      </c>
      <c r="O964" s="165" t="s">
        <v>16</v>
      </c>
      <c r="P964" s="165" t="s">
        <v>16</v>
      </c>
      <c r="Q964" s="165" t="s">
        <v>16</v>
      </c>
      <c r="R964" s="165" t="s">
        <v>16</v>
      </c>
      <c r="S964" s="165" t="s">
        <v>16</v>
      </c>
      <c r="T964" s="165" t="s">
        <v>16</v>
      </c>
      <c r="U964" s="165" t="s">
        <v>16</v>
      </c>
      <c r="V964" s="165" t="s">
        <v>16</v>
      </c>
      <c r="W964" s="165" t="s">
        <v>16</v>
      </c>
      <c r="X964" s="165" t="s">
        <v>16</v>
      </c>
      <c r="Y964" s="165" t="s">
        <v>16</v>
      </c>
      <c r="Z964" s="165" t="s">
        <v>16</v>
      </c>
      <c r="AA964" s="165" t="s">
        <v>16</v>
      </c>
      <c r="AB964" s="165" t="s">
        <v>16</v>
      </c>
      <c r="AC964" s="165" t="s">
        <v>16</v>
      </c>
      <c r="AD964" s="165" t="s">
        <v>16</v>
      </c>
      <c r="AE964" s="165" t="s">
        <v>1589</v>
      </c>
      <c r="AF964" s="165"/>
    </row>
    <row r="965" spans="1:32" x14ac:dyDescent="0.3">
      <c r="A965" s="165" t="s">
        <v>1604</v>
      </c>
      <c r="B965" s="165" t="s">
        <v>14</v>
      </c>
      <c r="C965" s="165" t="s">
        <v>1573</v>
      </c>
      <c r="D965" s="165" t="s">
        <v>15</v>
      </c>
      <c r="E965" s="157">
        <v>41304</v>
      </c>
      <c r="F965" s="165" t="s">
        <v>16</v>
      </c>
      <c r="G965" s="165" t="s">
        <v>16</v>
      </c>
      <c r="H965" s="165" t="s">
        <v>16</v>
      </c>
      <c r="I965" s="165" t="s">
        <v>16</v>
      </c>
      <c r="J965" s="165" t="s">
        <v>16</v>
      </c>
      <c r="K965" s="165" t="s">
        <v>16</v>
      </c>
      <c r="L965" s="165" t="s">
        <v>16</v>
      </c>
      <c r="M965" s="165" t="s">
        <v>16</v>
      </c>
      <c r="N965" s="165" t="s">
        <v>16</v>
      </c>
      <c r="O965" s="165" t="s">
        <v>16</v>
      </c>
      <c r="P965" s="165" t="s">
        <v>16</v>
      </c>
      <c r="Q965" s="165" t="s">
        <v>16</v>
      </c>
      <c r="R965" s="165" t="s">
        <v>16</v>
      </c>
      <c r="S965" s="165" t="s">
        <v>16</v>
      </c>
      <c r="T965" s="165" t="s">
        <v>16</v>
      </c>
      <c r="U965" s="165" t="s">
        <v>16</v>
      </c>
      <c r="V965" s="165" t="s">
        <v>16</v>
      </c>
      <c r="W965" s="165" t="s">
        <v>16</v>
      </c>
      <c r="X965" s="165" t="s">
        <v>16</v>
      </c>
      <c r="Y965" s="165" t="s">
        <v>16</v>
      </c>
      <c r="Z965" s="165" t="s">
        <v>16</v>
      </c>
      <c r="AA965" s="165" t="s">
        <v>16</v>
      </c>
      <c r="AB965" s="165" t="s">
        <v>16</v>
      </c>
      <c r="AC965" s="165" t="s">
        <v>16</v>
      </c>
      <c r="AD965" s="165" t="s">
        <v>16</v>
      </c>
      <c r="AE965" s="165" t="s">
        <v>1605</v>
      </c>
      <c r="AF965" s="165"/>
    </row>
    <row r="966" spans="1:32" x14ac:dyDescent="0.3">
      <c r="A966" s="165" t="s">
        <v>1606</v>
      </c>
      <c r="B966" s="165" t="s">
        <v>14</v>
      </c>
      <c r="C966" s="165" t="s">
        <v>1573</v>
      </c>
      <c r="D966" s="165" t="s">
        <v>15</v>
      </c>
      <c r="E966" s="157">
        <v>41304</v>
      </c>
      <c r="F966" s="165" t="s">
        <v>149</v>
      </c>
      <c r="G966" s="165" t="s">
        <v>149</v>
      </c>
      <c r="H966" s="165" t="s">
        <v>149</v>
      </c>
      <c r="I966" s="165" t="s">
        <v>149</v>
      </c>
      <c r="J966" s="165" t="s">
        <v>149</v>
      </c>
      <c r="K966" s="165" t="s">
        <v>149</v>
      </c>
      <c r="L966" s="165" t="s">
        <v>149</v>
      </c>
      <c r="M966" s="165" t="s">
        <v>149</v>
      </c>
      <c r="N966" s="165" t="s">
        <v>149</v>
      </c>
      <c r="O966" s="165" t="s">
        <v>149</v>
      </c>
      <c r="P966" s="165" t="s">
        <v>149</v>
      </c>
      <c r="Q966" s="165" t="s">
        <v>149</v>
      </c>
      <c r="R966" s="165" t="s">
        <v>149</v>
      </c>
      <c r="S966" s="165" t="s">
        <v>149</v>
      </c>
      <c r="T966" s="165" t="s">
        <v>149</v>
      </c>
      <c r="U966" s="165" t="s">
        <v>149</v>
      </c>
      <c r="V966" s="165" t="s">
        <v>149</v>
      </c>
      <c r="W966" s="165" t="s">
        <v>149</v>
      </c>
      <c r="X966" s="165" t="s">
        <v>149</v>
      </c>
      <c r="Y966" s="165" t="s">
        <v>149</v>
      </c>
      <c r="Z966" s="165" t="s">
        <v>149</v>
      </c>
      <c r="AA966" s="165" t="s">
        <v>149</v>
      </c>
      <c r="AB966" s="165" t="s">
        <v>148</v>
      </c>
      <c r="AC966" s="165" t="s">
        <v>16</v>
      </c>
      <c r="AD966" s="165" t="s">
        <v>149</v>
      </c>
      <c r="AE966" s="165" t="s">
        <v>1576</v>
      </c>
      <c r="AF966" s="165"/>
    </row>
    <row r="967" spans="1:32" x14ac:dyDescent="0.3">
      <c r="A967" s="165" t="s">
        <v>1607</v>
      </c>
      <c r="B967" s="165" t="s">
        <v>14</v>
      </c>
      <c r="C967" s="165" t="s">
        <v>1573</v>
      </c>
      <c r="D967" s="165" t="s">
        <v>15</v>
      </c>
      <c r="E967" s="157">
        <v>41304</v>
      </c>
      <c r="F967" s="165" t="s">
        <v>16</v>
      </c>
      <c r="G967" s="165" t="s">
        <v>16</v>
      </c>
      <c r="H967" s="165" t="s">
        <v>16</v>
      </c>
      <c r="I967" s="165" t="s">
        <v>16</v>
      </c>
      <c r="J967" s="165" t="s">
        <v>16</v>
      </c>
      <c r="K967" s="165" t="s">
        <v>16</v>
      </c>
      <c r="L967" s="165" t="s">
        <v>16</v>
      </c>
      <c r="M967" s="165" t="s">
        <v>16</v>
      </c>
      <c r="N967" s="165" t="s">
        <v>148</v>
      </c>
      <c r="O967" s="165" t="s">
        <v>16</v>
      </c>
      <c r="P967" s="165" t="s">
        <v>16</v>
      </c>
      <c r="Q967" s="165" t="s">
        <v>16</v>
      </c>
      <c r="R967" s="165" t="s">
        <v>16</v>
      </c>
      <c r="S967" s="165" t="s">
        <v>16</v>
      </c>
      <c r="T967" s="165" t="s">
        <v>16</v>
      </c>
      <c r="U967" s="165" t="s">
        <v>16</v>
      </c>
      <c r="V967" s="165" t="s">
        <v>148</v>
      </c>
      <c r="W967" s="165" t="s">
        <v>16</v>
      </c>
      <c r="X967" s="165" t="s">
        <v>16</v>
      </c>
      <c r="Y967" s="165" t="s">
        <v>148</v>
      </c>
      <c r="Z967" s="165" t="s">
        <v>16</v>
      </c>
      <c r="AA967" s="165" t="s">
        <v>16</v>
      </c>
      <c r="AB967" s="165" t="s">
        <v>16</v>
      </c>
      <c r="AC967" s="165" t="s">
        <v>16</v>
      </c>
      <c r="AD967" s="165" t="s">
        <v>16</v>
      </c>
      <c r="AE967" s="165" t="s">
        <v>1589</v>
      </c>
      <c r="AF967" s="165"/>
    </row>
    <row r="968" spans="1:32" x14ac:dyDescent="0.3">
      <c r="A968" s="165" t="s">
        <v>1608</v>
      </c>
      <c r="B968" s="165" t="s">
        <v>14</v>
      </c>
      <c r="C968" s="165" t="s">
        <v>1573</v>
      </c>
      <c r="D968" s="165" t="s">
        <v>15</v>
      </c>
      <c r="E968" s="157">
        <v>41304</v>
      </c>
      <c r="F968" s="165" t="s">
        <v>16</v>
      </c>
      <c r="G968" s="165" t="s">
        <v>16</v>
      </c>
      <c r="H968" s="165" t="s">
        <v>16</v>
      </c>
      <c r="I968" s="165" t="s">
        <v>16</v>
      </c>
      <c r="J968" s="165" t="s">
        <v>16</v>
      </c>
      <c r="K968" s="165" t="s">
        <v>16</v>
      </c>
      <c r="L968" s="165" t="s">
        <v>16</v>
      </c>
      <c r="M968" s="165" t="s">
        <v>148</v>
      </c>
      <c r="N968" s="165" t="s">
        <v>16</v>
      </c>
      <c r="O968" s="165" t="s">
        <v>16</v>
      </c>
      <c r="P968" s="165" t="s">
        <v>16</v>
      </c>
      <c r="Q968" s="165" t="s">
        <v>16</v>
      </c>
      <c r="R968" s="165" t="s">
        <v>16</v>
      </c>
      <c r="S968" s="165" t="s">
        <v>16</v>
      </c>
      <c r="T968" s="165" t="s">
        <v>16</v>
      </c>
      <c r="U968" s="165" t="s">
        <v>16</v>
      </c>
      <c r="V968" s="165" t="s">
        <v>16</v>
      </c>
      <c r="W968" s="165" t="s">
        <v>16</v>
      </c>
      <c r="X968" s="165" t="s">
        <v>16</v>
      </c>
      <c r="Y968" s="165" t="s">
        <v>16</v>
      </c>
      <c r="Z968" s="165" t="s">
        <v>16</v>
      </c>
      <c r="AA968" s="165" t="s">
        <v>16</v>
      </c>
      <c r="AB968" s="165" t="s">
        <v>16</v>
      </c>
      <c r="AC968" s="165" t="s">
        <v>16</v>
      </c>
      <c r="AD968" s="165" t="s">
        <v>16</v>
      </c>
      <c r="AE968" s="165"/>
      <c r="AF968" s="165"/>
    </row>
    <row r="969" spans="1:32" x14ac:dyDescent="0.3">
      <c r="A969" s="165" t="s">
        <v>1609</v>
      </c>
      <c r="B969" s="165" t="s">
        <v>14</v>
      </c>
      <c r="C969" s="165" t="s">
        <v>1573</v>
      </c>
      <c r="D969" s="165" t="s">
        <v>15</v>
      </c>
      <c r="E969" s="157">
        <v>41304</v>
      </c>
      <c r="F969" s="165" t="s">
        <v>16</v>
      </c>
      <c r="G969" s="165" t="s">
        <v>150</v>
      </c>
      <c r="H969" s="165" t="s">
        <v>148</v>
      </c>
      <c r="I969" s="165" t="s">
        <v>16</v>
      </c>
      <c r="J969" s="165" t="s">
        <v>149</v>
      </c>
      <c r="K969" s="165" t="s">
        <v>148</v>
      </c>
      <c r="L969" s="165" t="s">
        <v>148</v>
      </c>
      <c r="M969" s="165" t="s">
        <v>150</v>
      </c>
      <c r="N969" s="165" t="s">
        <v>16</v>
      </c>
      <c r="O969" s="165" t="s">
        <v>148</v>
      </c>
      <c r="P969" s="165" t="s">
        <v>148</v>
      </c>
      <c r="Q969" s="165" t="s">
        <v>148</v>
      </c>
      <c r="R969" s="165" t="s">
        <v>16</v>
      </c>
      <c r="S969" s="165" t="s">
        <v>150</v>
      </c>
      <c r="T969" s="165" t="s">
        <v>150</v>
      </c>
      <c r="U969" s="165" t="s">
        <v>16</v>
      </c>
      <c r="V969" s="165" t="s">
        <v>16</v>
      </c>
      <c r="W969" s="165" t="s">
        <v>16</v>
      </c>
      <c r="X969" s="165" t="s">
        <v>16</v>
      </c>
      <c r="Y969" s="165" t="s">
        <v>148</v>
      </c>
      <c r="Z969" s="165" t="s">
        <v>148</v>
      </c>
      <c r="AA969" s="165" t="s">
        <v>16</v>
      </c>
      <c r="AB969" s="165" t="s">
        <v>16</v>
      </c>
      <c r="AC969" s="165" t="s">
        <v>150</v>
      </c>
      <c r="AD969" s="165" t="s">
        <v>16</v>
      </c>
      <c r="AE969" s="165" t="s">
        <v>1580</v>
      </c>
      <c r="AF969" s="165"/>
    </row>
    <row r="970" spans="1:32" x14ac:dyDescent="0.3">
      <c r="A970" s="165" t="s">
        <v>1610</v>
      </c>
      <c r="B970" s="165" t="s">
        <v>14</v>
      </c>
      <c r="C970" s="165" t="s">
        <v>1573</v>
      </c>
      <c r="D970" s="165" t="s">
        <v>15</v>
      </c>
      <c r="E970" s="157">
        <v>41304</v>
      </c>
      <c r="F970" s="165" t="s">
        <v>16</v>
      </c>
      <c r="G970" s="165" t="s">
        <v>16</v>
      </c>
      <c r="H970" s="165" t="s">
        <v>149</v>
      </c>
      <c r="I970" s="165" t="s">
        <v>16</v>
      </c>
      <c r="J970" s="165" t="s">
        <v>16</v>
      </c>
      <c r="K970" s="165" t="s">
        <v>16</v>
      </c>
      <c r="L970" s="165" t="s">
        <v>16</v>
      </c>
      <c r="M970" s="165" t="s">
        <v>16</v>
      </c>
      <c r="N970" s="165" t="s">
        <v>148</v>
      </c>
      <c r="O970" s="165" t="s">
        <v>148</v>
      </c>
      <c r="P970" s="165" t="s">
        <v>148</v>
      </c>
      <c r="Q970" s="165" t="s">
        <v>16</v>
      </c>
      <c r="R970" s="165" t="s">
        <v>16</v>
      </c>
      <c r="S970" s="165" t="s">
        <v>148</v>
      </c>
      <c r="T970" s="165" t="s">
        <v>16</v>
      </c>
      <c r="U970" s="165" t="s">
        <v>16</v>
      </c>
      <c r="V970" s="165" t="s">
        <v>148</v>
      </c>
      <c r="W970" s="165" t="s">
        <v>16</v>
      </c>
      <c r="X970" s="165" t="s">
        <v>148</v>
      </c>
      <c r="Y970" s="165" t="s">
        <v>16</v>
      </c>
      <c r="Z970" s="165" t="s">
        <v>16</v>
      </c>
      <c r="AA970" s="165" t="s">
        <v>16</v>
      </c>
      <c r="AB970" s="165" t="s">
        <v>16</v>
      </c>
      <c r="AC970" s="165" t="s">
        <v>16</v>
      </c>
      <c r="AD970" s="165" t="s">
        <v>148</v>
      </c>
      <c r="AE970" s="165" t="s">
        <v>1589</v>
      </c>
      <c r="AF970" s="165"/>
    </row>
    <row r="971" spans="1:32" x14ac:dyDescent="0.3">
      <c r="A971" s="165" t="s">
        <v>1611</v>
      </c>
      <c r="B971" s="165" t="s">
        <v>14</v>
      </c>
      <c r="C971" s="165" t="s">
        <v>1573</v>
      </c>
      <c r="D971" s="165" t="s">
        <v>15</v>
      </c>
      <c r="E971" s="157">
        <v>41304</v>
      </c>
      <c r="F971" s="165" t="s">
        <v>16</v>
      </c>
      <c r="G971" s="165" t="s">
        <v>16</v>
      </c>
      <c r="H971" s="165" t="s">
        <v>16</v>
      </c>
      <c r="I971" s="165" t="s">
        <v>16</v>
      </c>
      <c r="J971" s="165" t="s">
        <v>16</v>
      </c>
      <c r="K971" s="165" t="s">
        <v>16</v>
      </c>
      <c r="L971" s="165" t="s">
        <v>16</v>
      </c>
      <c r="M971" s="165" t="s">
        <v>16</v>
      </c>
      <c r="N971" s="165" t="s">
        <v>148</v>
      </c>
      <c r="O971" s="165" t="s">
        <v>16</v>
      </c>
      <c r="P971" s="165" t="s">
        <v>16</v>
      </c>
      <c r="Q971" s="165" t="s">
        <v>16</v>
      </c>
      <c r="R971" s="165" t="s">
        <v>16</v>
      </c>
      <c r="S971" s="165" t="s">
        <v>16</v>
      </c>
      <c r="T971" s="165" t="s">
        <v>16</v>
      </c>
      <c r="U971" s="165" t="s">
        <v>16</v>
      </c>
      <c r="V971" s="165" t="s">
        <v>16</v>
      </c>
      <c r="W971" s="165" t="s">
        <v>16</v>
      </c>
      <c r="X971" s="165" t="s">
        <v>16</v>
      </c>
      <c r="Y971" s="165" t="s">
        <v>16</v>
      </c>
      <c r="Z971" s="165" t="s">
        <v>16</v>
      </c>
      <c r="AA971" s="165" t="s">
        <v>16</v>
      </c>
      <c r="AB971" s="165" t="s">
        <v>16</v>
      </c>
      <c r="AC971" s="165" t="s">
        <v>16</v>
      </c>
      <c r="AD971" s="165" t="s">
        <v>16</v>
      </c>
      <c r="AE971" s="165" t="s">
        <v>1584</v>
      </c>
      <c r="AF971" s="165"/>
    </row>
    <row r="972" spans="1:32" x14ac:dyDescent="0.3">
      <c r="A972" s="165" t="s">
        <v>1612</v>
      </c>
      <c r="B972" s="165" t="s">
        <v>14</v>
      </c>
      <c r="C972" s="165" t="s">
        <v>1573</v>
      </c>
      <c r="D972" s="165" t="s">
        <v>15</v>
      </c>
      <c r="E972" s="157">
        <v>41304</v>
      </c>
      <c r="F972" s="165" t="s">
        <v>16</v>
      </c>
      <c r="G972" s="165" t="s">
        <v>16</v>
      </c>
      <c r="H972" s="165" t="s">
        <v>16</v>
      </c>
      <c r="I972" s="165" t="s">
        <v>16</v>
      </c>
      <c r="J972" s="165" t="s">
        <v>16</v>
      </c>
      <c r="K972" s="165" t="s">
        <v>148</v>
      </c>
      <c r="L972" s="165" t="s">
        <v>16</v>
      </c>
      <c r="M972" s="165" t="s">
        <v>16</v>
      </c>
      <c r="N972" s="165" t="s">
        <v>16</v>
      </c>
      <c r="O972" s="165" t="s">
        <v>16</v>
      </c>
      <c r="P972" s="165" t="s">
        <v>16</v>
      </c>
      <c r="Q972" s="165" t="s">
        <v>16</v>
      </c>
      <c r="R972" s="165" t="s">
        <v>16</v>
      </c>
      <c r="S972" s="165" t="s">
        <v>16</v>
      </c>
      <c r="T972" s="165" t="s">
        <v>148</v>
      </c>
      <c r="U972" s="165" t="s">
        <v>16</v>
      </c>
      <c r="V972" s="165" t="s">
        <v>16</v>
      </c>
      <c r="W972" s="165" t="s">
        <v>16</v>
      </c>
      <c r="X972" s="165" t="s">
        <v>16</v>
      </c>
      <c r="Y972" s="165" t="s">
        <v>148</v>
      </c>
      <c r="Z972" s="165" t="s">
        <v>16</v>
      </c>
      <c r="AA972" s="165" t="s">
        <v>16</v>
      </c>
      <c r="AB972" s="165" t="s">
        <v>16</v>
      </c>
      <c r="AC972" s="165" t="s">
        <v>16</v>
      </c>
      <c r="AD972" s="165" t="s">
        <v>16</v>
      </c>
      <c r="AE972" s="165" t="s">
        <v>1578</v>
      </c>
      <c r="AF972" s="165"/>
    </row>
    <row r="973" spans="1:32" x14ac:dyDescent="0.3">
      <c r="A973" s="165" t="s">
        <v>1613</v>
      </c>
      <c r="B973" s="165" t="s">
        <v>14</v>
      </c>
      <c r="C973" s="165" t="s">
        <v>1573</v>
      </c>
      <c r="D973" s="165" t="s">
        <v>15</v>
      </c>
      <c r="E973" s="157">
        <v>41304</v>
      </c>
      <c r="F973" s="165" t="s">
        <v>16</v>
      </c>
      <c r="G973" s="165" t="s">
        <v>16</v>
      </c>
      <c r="H973" s="165" t="s">
        <v>16</v>
      </c>
      <c r="I973" s="165" t="s">
        <v>16</v>
      </c>
      <c r="J973" s="165" t="s">
        <v>16</v>
      </c>
      <c r="K973" s="165" t="s">
        <v>16</v>
      </c>
      <c r="L973" s="165" t="s">
        <v>16</v>
      </c>
      <c r="M973" s="165" t="s">
        <v>16</v>
      </c>
      <c r="N973" s="165" t="s">
        <v>16</v>
      </c>
      <c r="O973" s="165" t="s">
        <v>16</v>
      </c>
      <c r="P973" s="165" t="s">
        <v>16</v>
      </c>
      <c r="Q973" s="165" t="s">
        <v>16</v>
      </c>
      <c r="R973" s="165" t="s">
        <v>16</v>
      </c>
      <c r="S973" s="165" t="s">
        <v>16</v>
      </c>
      <c r="T973" s="165" t="s">
        <v>16</v>
      </c>
      <c r="U973" s="165" t="s">
        <v>16</v>
      </c>
      <c r="V973" s="165" t="s">
        <v>16</v>
      </c>
      <c r="W973" s="165" t="s">
        <v>16</v>
      </c>
      <c r="X973" s="165" t="s">
        <v>16</v>
      </c>
      <c r="Y973" s="165" t="s">
        <v>16</v>
      </c>
      <c r="Z973" s="165" t="s">
        <v>16</v>
      </c>
      <c r="AA973" s="165" t="s">
        <v>16</v>
      </c>
      <c r="AB973" s="165" t="s">
        <v>16</v>
      </c>
      <c r="AC973" s="165" t="s">
        <v>16</v>
      </c>
      <c r="AD973" s="165" t="s">
        <v>16</v>
      </c>
      <c r="AE973" s="165" t="s">
        <v>1614</v>
      </c>
      <c r="AF973" s="165"/>
    </row>
    <row r="974" spans="1:32" x14ac:dyDescent="0.3">
      <c r="A974" s="165" t="s">
        <v>1615</v>
      </c>
      <c r="B974" s="165" t="s">
        <v>14</v>
      </c>
      <c r="C974" s="165" t="s">
        <v>1573</v>
      </c>
      <c r="D974" s="165" t="s">
        <v>15</v>
      </c>
      <c r="E974" s="157">
        <v>41304</v>
      </c>
      <c r="F974" s="165" t="s">
        <v>16</v>
      </c>
      <c r="G974" s="165" t="s">
        <v>16</v>
      </c>
      <c r="H974" s="165" t="s">
        <v>16</v>
      </c>
      <c r="I974" s="165" t="s">
        <v>149</v>
      </c>
      <c r="J974" s="165" t="s">
        <v>149</v>
      </c>
      <c r="K974" s="165" t="s">
        <v>149</v>
      </c>
      <c r="L974" s="165" t="s">
        <v>16</v>
      </c>
      <c r="M974" s="165" t="s">
        <v>16</v>
      </c>
      <c r="N974" s="165" t="s">
        <v>16</v>
      </c>
      <c r="O974" s="165" t="s">
        <v>16</v>
      </c>
      <c r="P974" s="165" t="s">
        <v>16</v>
      </c>
      <c r="Q974" s="165" t="s">
        <v>16</v>
      </c>
      <c r="R974" s="165" t="s">
        <v>16</v>
      </c>
      <c r="S974" s="165" t="s">
        <v>16</v>
      </c>
      <c r="T974" s="165" t="s">
        <v>149</v>
      </c>
      <c r="U974" s="165" t="s">
        <v>149</v>
      </c>
      <c r="V974" s="165" t="s">
        <v>16</v>
      </c>
      <c r="W974" s="165" t="s">
        <v>16</v>
      </c>
      <c r="X974" s="165" t="s">
        <v>16</v>
      </c>
      <c r="Y974" s="165" t="s">
        <v>149</v>
      </c>
      <c r="Z974" s="165" t="s">
        <v>149</v>
      </c>
      <c r="AA974" s="165" t="s">
        <v>16</v>
      </c>
      <c r="AB974" s="165" t="s">
        <v>149</v>
      </c>
      <c r="AC974" s="165" t="s">
        <v>16</v>
      </c>
      <c r="AD974" s="165" t="s">
        <v>16</v>
      </c>
      <c r="AE974" s="165" t="s">
        <v>1597</v>
      </c>
      <c r="AF974" s="165" t="s">
        <v>1616</v>
      </c>
    </row>
    <row r="975" spans="1:32" x14ac:dyDescent="0.3">
      <c r="A975" s="165" t="s">
        <v>1617</v>
      </c>
      <c r="B975" s="165" t="s">
        <v>14</v>
      </c>
      <c r="C975" s="165" t="s">
        <v>1573</v>
      </c>
      <c r="D975" s="165" t="s">
        <v>15</v>
      </c>
      <c r="E975" s="157">
        <v>41304</v>
      </c>
      <c r="F975" s="165" t="s">
        <v>16</v>
      </c>
      <c r="G975" s="165" t="s">
        <v>16</v>
      </c>
      <c r="H975" s="165" t="s">
        <v>148</v>
      </c>
      <c r="I975" s="165" t="s">
        <v>16</v>
      </c>
      <c r="J975" s="165" t="s">
        <v>148</v>
      </c>
      <c r="K975" s="165" t="s">
        <v>16</v>
      </c>
      <c r="L975" s="165" t="s">
        <v>16</v>
      </c>
      <c r="M975" s="165" t="s">
        <v>16</v>
      </c>
      <c r="N975" s="165" t="s">
        <v>16</v>
      </c>
      <c r="O975" s="165" t="s">
        <v>16</v>
      </c>
      <c r="P975" s="165" t="s">
        <v>16</v>
      </c>
      <c r="Q975" s="165" t="s">
        <v>16</v>
      </c>
      <c r="R975" s="165" t="s">
        <v>16</v>
      </c>
      <c r="S975" s="165" t="s">
        <v>16</v>
      </c>
      <c r="T975" s="165" t="s">
        <v>16</v>
      </c>
      <c r="U975" s="165" t="s">
        <v>16</v>
      </c>
      <c r="V975" s="165" t="s">
        <v>16</v>
      </c>
      <c r="W975" s="165" t="s">
        <v>148</v>
      </c>
      <c r="X975" s="165" t="s">
        <v>16</v>
      </c>
      <c r="Y975" s="165" t="s">
        <v>148</v>
      </c>
      <c r="Z975" s="165" t="s">
        <v>16</v>
      </c>
      <c r="AA975" s="165" t="s">
        <v>16</v>
      </c>
      <c r="AB975" s="165" t="s">
        <v>16</v>
      </c>
      <c r="AC975" s="165" t="s">
        <v>16</v>
      </c>
      <c r="AD975" s="165" t="s">
        <v>16</v>
      </c>
      <c r="AE975" s="165" t="s">
        <v>1580</v>
      </c>
      <c r="AF975" s="165"/>
    </row>
    <row r="976" spans="1:32" x14ac:dyDescent="0.3">
      <c r="A976" s="165" t="s">
        <v>1618</v>
      </c>
      <c r="B976" s="165" t="s">
        <v>14</v>
      </c>
      <c r="C976" s="165" t="s">
        <v>1573</v>
      </c>
      <c r="D976" s="165" t="s">
        <v>15</v>
      </c>
      <c r="E976" s="157">
        <v>41304</v>
      </c>
      <c r="F976" s="165" t="s">
        <v>16</v>
      </c>
      <c r="G976" s="165" t="s">
        <v>16</v>
      </c>
      <c r="H976" s="165" t="s">
        <v>16</v>
      </c>
      <c r="I976" s="165" t="s">
        <v>16</v>
      </c>
      <c r="J976" s="165" t="s">
        <v>16</v>
      </c>
      <c r="K976" s="165" t="s">
        <v>16</v>
      </c>
      <c r="L976" s="165" t="s">
        <v>16</v>
      </c>
      <c r="M976" s="165" t="s">
        <v>16</v>
      </c>
      <c r="N976" s="165" t="s">
        <v>16</v>
      </c>
      <c r="O976" s="165" t="s">
        <v>16</v>
      </c>
      <c r="P976" s="165" t="s">
        <v>16</v>
      </c>
      <c r="Q976" s="165" t="s">
        <v>16</v>
      </c>
      <c r="R976" s="165" t="s">
        <v>16</v>
      </c>
      <c r="S976" s="165" t="s">
        <v>16</v>
      </c>
      <c r="T976" s="165" t="s">
        <v>16</v>
      </c>
      <c r="U976" s="165" t="s">
        <v>16</v>
      </c>
      <c r="V976" s="165" t="s">
        <v>16</v>
      </c>
      <c r="W976" s="165" t="s">
        <v>16</v>
      </c>
      <c r="X976" s="165" t="s">
        <v>16</v>
      </c>
      <c r="Y976" s="165" t="s">
        <v>16</v>
      </c>
      <c r="Z976" s="165" t="s">
        <v>16</v>
      </c>
      <c r="AA976" s="165" t="s">
        <v>16</v>
      </c>
      <c r="AB976" s="165" t="s">
        <v>16</v>
      </c>
      <c r="AC976" s="165" t="s">
        <v>16</v>
      </c>
      <c r="AD976" s="165" t="s">
        <v>16</v>
      </c>
      <c r="AE976" s="165" t="s">
        <v>1619</v>
      </c>
      <c r="AF976" s="165"/>
    </row>
    <row r="977" spans="1:32" x14ac:dyDescent="0.3">
      <c r="A977" s="165" t="s">
        <v>1620</v>
      </c>
      <c r="B977" s="165" t="s">
        <v>14</v>
      </c>
      <c r="C977" s="165" t="s">
        <v>1573</v>
      </c>
      <c r="D977" s="165" t="s">
        <v>15</v>
      </c>
      <c r="E977" s="157">
        <v>41304</v>
      </c>
      <c r="F977" s="165" t="s">
        <v>16</v>
      </c>
      <c r="G977" s="165" t="s">
        <v>16</v>
      </c>
      <c r="H977" s="165" t="s">
        <v>16</v>
      </c>
      <c r="I977" s="165" t="s">
        <v>16</v>
      </c>
      <c r="J977" s="165" t="s">
        <v>16</v>
      </c>
      <c r="K977" s="165" t="s">
        <v>16</v>
      </c>
      <c r="L977" s="165" t="s">
        <v>16</v>
      </c>
      <c r="M977" s="165" t="s">
        <v>16</v>
      </c>
      <c r="N977" s="165" t="s">
        <v>148</v>
      </c>
      <c r="O977" s="165" t="s">
        <v>16</v>
      </c>
      <c r="P977" s="165" t="s">
        <v>148</v>
      </c>
      <c r="Q977" s="165" t="s">
        <v>16</v>
      </c>
      <c r="R977" s="165" t="s">
        <v>16</v>
      </c>
      <c r="S977" s="165" t="s">
        <v>16</v>
      </c>
      <c r="T977" s="165" t="s">
        <v>16</v>
      </c>
      <c r="U977" s="165" t="s">
        <v>16</v>
      </c>
      <c r="V977" s="165" t="s">
        <v>16</v>
      </c>
      <c r="W977" s="165" t="s">
        <v>16</v>
      </c>
      <c r="X977" s="165" t="s">
        <v>16</v>
      </c>
      <c r="Y977" s="165" t="s">
        <v>16</v>
      </c>
      <c r="Z977" s="165" t="s">
        <v>16</v>
      </c>
      <c r="AA977" s="165" t="s">
        <v>148</v>
      </c>
      <c r="AB977" s="165" t="s">
        <v>16</v>
      </c>
      <c r="AC977" s="165" t="s">
        <v>16</v>
      </c>
      <c r="AD977" s="165" t="s">
        <v>16</v>
      </c>
      <c r="AE977" s="165" t="s">
        <v>1597</v>
      </c>
      <c r="AF977" s="165"/>
    </row>
    <row r="978" spans="1:32" x14ac:dyDescent="0.3">
      <c r="A978" s="165" t="s">
        <v>1621</v>
      </c>
      <c r="B978" s="165" t="s">
        <v>14</v>
      </c>
      <c r="C978" s="165" t="s">
        <v>1573</v>
      </c>
      <c r="D978" s="165" t="s">
        <v>15</v>
      </c>
      <c r="E978" s="157">
        <v>41304</v>
      </c>
      <c r="F978" s="165" t="s">
        <v>16</v>
      </c>
      <c r="G978" s="165" t="s">
        <v>148</v>
      </c>
      <c r="H978" s="165" t="s">
        <v>16</v>
      </c>
      <c r="I978" s="165" t="s">
        <v>16</v>
      </c>
      <c r="J978" s="165" t="s">
        <v>16</v>
      </c>
      <c r="K978" s="165" t="s">
        <v>16</v>
      </c>
      <c r="L978" s="165" t="s">
        <v>16</v>
      </c>
      <c r="M978" s="165" t="s">
        <v>16</v>
      </c>
      <c r="N978" s="165" t="s">
        <v>150</v>
      </c>
      <c r="O978" s="165" t="s">
        <v>148</v>
      </c>
      <c r="P978" s="165" t="s">
        <v>148</v>
      </c>
      <c r="Q978" s="165" t="s">
        <v>16</v>
      </c>
      <c r="R978" s="165" t="s">
        <v>16</v>
      </c>
      <c r="S978" s="165" t="s">
        <v>16</v>
      </c>
      <c r="T978" s="165" t="s">
        <v>16</v>
      </c>
      <c r="U978" s="165" t="s">
        <v>16</v>
      </c>
      <c r="V978" s="165" t="s">
        <v>148</v>
      </c>
      <c r="W978" s="165" t="s">
        <v>16</v>
      </c>
      <c r="X978" s="165" t="s">
        <v>16</v>
      </c>
      <c r="Y978" s="165" t="s">
        <v>16</v>
      </c>
      <c r="Z978" s="165" t="s">
        <v>16</v>
      </c>
      <c r="AA978" s="165" t="s">
        <v>16</v>
      </c>
      <c r="AB978" s="165" t="s">
        <v>148</v>
      </c>
      <c r="AC978" s="165" t="s">
        <v>148</v>
      </c>
      <c r="AD978" s="165" t="s">
        <v>16</v>
      </c>
      <c r="AE978" s="165" t="s">
        <v>1589</v>
      </c>
      <c r="AF978" s="165"/>
    </row>
    <row r="979" spans="1:32" x14ac:dyDescent="0.3">
      <c r="A979" s="165" t="s">
        <v>1622</v>
      </c>
      <c r="B979" s="165" t="s">
        <v>14</v>
      </c>
      <c r="C979" s="165" t="s">
        <v>1573</v>
      </c>
      <c r="D979" s="165" t="s">
        <v>15</v>
      </c>
      <c r="E979" s="157">
        <v>41304</v>
      </c>
      <c r="F979" s="165" t="s">
        <v>16</v>
      </c>
      <c r="G979" s="165" t="s">
        <v>16</v>
      </c>
      <c r="H979" s="165" t="s">
        <v>16</v>
      </c>
      <c r="I979" s="165" t="s">
        <v>16</v>
      </c>
      <c r="J979" s="165" t="s">
        <v>16</v>
      </c>
      <c r="K979" s="165" t="s">
        <v>16</v>
      </c>
      <c r="L979" s="165" t="s">
        <v>16</v>
      </c>
      <c r="M979" s="165" t="s">
        <v>16</v>
      </c>
      <c r="N979" s="165" t="s">
        <v>16</v>
      </c>
      <c r="O979" s="165" t="s">
        <v>16</v>
      </c>
      <c r="P979" s="165" t="s">
        <v>16</v>
      </c>
      <c r="Q979" s="165" t="s">
        <v>16</v>
      </c>
      <c r="R979" s="165" t="s">
        <v>16</v>
      </c>
      <c r="S979" s="165" t="s">
        <v>16</v>
      </c>
      <c r="T979" s="165" t="s">
        <v>16</v>
      </c>
      <c r="U979" s="165" t="s">
        <v>16</v>
      </c>
      <c r="V979" s="165" t="s">
        <v>16</v>
      </c>
      <c r="W979" s="165" t="s">
        <v>16</v>
      </c>
      <c r="X979" s="165" t="s">
        <v>16</v>
      </c>
      <c r="Y979" s="165" t="s">
        <v>16</v>
      </c>
      <c r="Z979" s="165" t="s">
        <v>16</v>
      </c>
      <c r="AA979" s="165" t="s">
        <v>16</v>
      </c>
      <c r="AB979" s="165" t="s">
        <v>16</v>
      </c>
      <c r="AC979" s="165" t="s">
        <v>16</v>
      </c>
      <c r="AD979" s="165" t="s">
        <v>16</v>
      </c>
      <c r="AE979" s="165" t="s">
        <v>1593</v>
      </c>
      <c r="AF979" s="165"/>
    </row>
    <row r="980" spans="1:32" x14ac:dyDescent="0.3">
      <c r="A980" s="165" t="s">
        <v>1623</v>
      </c>
      <c r="B980" s="165" t="s">
        <v>14</v>
      </c>
      <c r="C980" s="165" t="s">
        <v>1573</v>
      </c>
      <c r="D980" s="165" t="s">
        <v>15</v>
      </c>
      <c r="E980" s="157">
        <v>41304</v>
      </c>
      <c r="F980" s="165" t="s">
        <v>16</v>
      </c>
      <c r="G980" s="165" t="s">
        <v>16</v>
      </c>
      <c r="H980" s="165" t="s">
        <v>16</v>
      </c>
      <c r="I980" s="165" t="s">
        <v>16</v>
      </c>
      <c r="J980" s="165" t="s">
        <v>16</v>
      </c>
      <c r="K980" s="165" t="s">
        <v>16</v>
      </c>
      <c r="L980" s="165" t="s">
        <v>16</v>
      </c>
      <c r="M980" s="165" t="s">
        <v>16</v>
      </c>
      <c r="N980" s="165" t="s">
        <v>16</v>
      </c>
      <c r="O980" s="165" t="s">
        <v>16</v>
      </c>
      <c r="P980" s="165" t="s">
        <v>16</v>
      </c>
      <c r="Q980" s="165" t="s">
        <v>16</v>
      </c>
      <c r="R980" s="165" t="s">
        <v>16</v>
      </c>
      <c r="S980" s="165" t="s">
        <v>16</v>
      </c>
      <c r="T980" s="165" t="s">
        <v>16</v>
      </c>
      <c r="U980" s="165" t="s">
        <v>16</v>
      </c>
      <c r="V980" s="165" t="s">
        <v>16</v>
      </c>
      <c r="W980" s="165" t="s">
        <v>16</v>
      </c>
      <c r="X980" s="165" t="s">
        <v>16</v>
      </c>
      <c r="Y980" s="165" t="s">
        <v>16</v>
      </c>
      <c r="Z980" s="165" t="s">
        <v>16</v>
      </c>
      <c r="AA980" s="165" t="s">
        <v>16</v>
      </c>
      <c r="AB980" s="165" t="s">
        <v>16</v>
      </c>
      <c r="AC980" s="165" t="s">
        <v>16</v>
      </c>
      <c r="AD980" s="165" t="s">
        <v>16</v>
      </c>
      <c r="AE980" s="165" t="s">
        <v>1580</v>
      </c>
      <c r="AF980" s="165"/>
    </row>
    <row r="983" spans="1:32" x14ac:dyDescent="0.3">
      <c r="A983" s="165"/>
      <c r="B983" s="165"/>
      <c r="C983" s="165"/>
      <c r="D983" s="165"/>
      <c r="E983" s="165"/>
      <c r="F983" s="165" t="s">
        <v>124</v>
      </c>
      <c r="G983" s="165" t="s">
        <v>125</v>
      </c>
      <c r="H983" s="165" t="s">
        <v>126</v>
      </c>
      <c r="I983" s="165" t="s">
        <v>127</v>
      </c>
      <c r="J983" s="165" t="s">
        <v>214</v>
      </c>
      <c r="K983" s="165" t="s">
        <v>128</v>
      </c>
      <c r="L983" s="165" t="s">
        <v>129</v>
      </c>
      <c r="M983" s="165" t="s">
        <v>130</v>
      </c>
      <c r="N983" s="165" t="s">
        <v>131</v>
      </c>
      <c r="O983" s="165" t="s">
        <v>132</v>
      </c>
      <c r="P983" s="165" t="s">
        <v>133</v>
      </c>
      <c r="Q983" s="165" t="s">
        <v>134</v>
      </c>
      <c r="R983" s="165" t="s">
        <v>135</v>
      </c>
      <c r="S983" s="165" t="s">
        <v>136</v>
      </c>
      <c r="T983" s="165" t="s">
        <v>137</v>
      </c>
      <c r="U983" s="165" t="s">
        <v>138</v>
      </c>
      <c r="V983" s="165" t="s">
        <v>139</v>
      </c>
      <c r="W983" s="165" t="s">
        <v>140</v>
      </c>
      <c r="X983" s="165" t="s">
        <v>186</v>
      </c>
      <c r="Y983" s="165" t="s">
        <v>209</v>
      </c>
      <c r="Z983" s="165" t="s">
        <v>141</v>
      </c>
      <c r="AA983" s="165" t="s">
        <v>142</v>
      </c>
      <c r="AB983" s="165" t="s">
        <v>210</v>
      </c>
      <c r="AC983" s="165" t="s">
        <v>1180</v>
      </c>
      <c r="AD983" s="165" t="s">
        <v>144</v>
      </c>
      <c r="AE983" s="165" t="s">
        <v>1625</v>
      </c>
      <c r="AF983" s="165" t="s">
        <v>190</v>
      </c>
    </row>
    <row r="984" spans="1:32" x14ac:dyDescent="0.3">
      <c r="A984" s="165" t="s">
        <v>1658</v>
      </c>
      <c r="B984" s="165" t="s">
        <v>14</v>
      </c>
      <c r="C984" s="165" t="s">
        <v>1627</v>
      </c>
      <c r="D984" s="165" t="s">
        <v>15</v>
      </c>
      <c r="E984" s="157">
        <v>41332</v>
      </c>
      <c r="F984" s="165" t="s">
        <v>149</v>
      </c>
      <c r="G984" s="165" t="s">
        <v>149</v>
      </c>
      <c r="H984" s="165" t="s">
        <v>149</v>
      </c>
      <c r="I984" s="165" t="s">
        <v>16</v>
      </c>
      <c r="J984" s="165" t="s">
        <v>16</v>
      </c>
      <c r="K984" s="165" t="s">
        <v>149</v>
      </c>
      <c r="L984" s="165" t="s">
        <v>16</v>
      </c>
      <c r="M984" s="165" t="s">
        <v>16</v>
      </c>
      <c r="N984" s="165" t="s">
        <v>148</v>
      </c>
      <c r="O984" s="165" t="s">
        <v>16</v>
      </c>
      <c r="P984" s="165" t="s">
        <v>148</v>
      </c>
      <c r="Q984" s="165" t="s">
        <v>149</v>
      </c>
      <c r="R984" s="165" t="s">
        <v>151</v>
      </c>
      <c r="S984" s="165" t="s">
        <v>16</v>
      </c>
      <c r="T984" s="165" t="s">
        <v>16</v>
      </c>
      <c r="U984" s="165" t="s">
        <v>148</v>
      </c>
      <c r="V984" s="165" t="s">
        <v>148</v>
      </c>
      <c r="W984" s="165" t="s">
        <v>148</v>
      </c>
      <c r="X984" s="165" t="s">
        <v>16</v>
      </c>
      <c r="Y984" s="165" t="s">
        <v>16</v>
      </c>
      <c r="Z984" s="165" t="s">
        <v>149</v>
      </c>
      <c r="AA984" s="165" t="s">
        <v>16</v>
      </c>
      <c r="AB984" s="165" t="s">
        <v>148</v>
      </c>
      <c r="AC984" s="165" t="s">
        <v>148</v>
      </c>
      <c r="AD984" s="165" t="s">
        <v>150</v>
      </c>
      <c r="AE984" s="165" t="s">
        <v>1630</v>
      </c>
      <c r="AF984" s="165"/>
    </row>
    <row r="985" spans="1:32" x14ac:dyDescent="0.3">
      <c r="A985" s="165" t="s">
        <v>1659</v>
      </c>
      <c r="B985" s="165" t="s">
        <v>14</v>
      </c>
      <c r="C985" s="165" t="s">
        <v>1627</v>
      </c>
      <c r="D985" s="165" t="s">
        <v>15</v>
      </c>
      <c r="E985" s="157">
        <v>41332</v>
      </c>
      <c r="F985" s="165" t="s">
        <v>16</v>
      </c>
      <c r="G985" s="165" t="s">
        <v>16</v>
      </c>
      <c r="H985" s="165" t="s">
        <v>16</v>
      </c>
      <c r="I985" s="165" t="s">
        <v>16</v>
      </c>
      <c r="J985" s="165" t="s">
        <v>16</v>
      </c>
      <c r="K985" s="165" t="s">
        <v>16</v>
      </c>
      <c r="L985" s="165" t="s">
        <v>16</v>
      </c>
      <c r="M985" s="165" t="s">
        <v>16</v>
      </c>
      <c r="N985" s="165" t="s">
        <v>16</v>
      </c>
      <c r="O985" s="165" t="s">
        <v>16</v>
      </c>
      <c r="P985" s="165" t="s">
        <v>16</v>
      </c>
      <c r="Q985" s="165" t="s">
        <v>16</v>
      </c>
      <c r="R985" s="165" t="s">
        <v>148</v>
      </c>
      <c r="S985" s="165" t="s">
        <v>148</v>
      </c>
      <c r="T985" s="165" t="s">
        <v>16</v>
      </c>
      <c r="U985" s="165" t="s">
        <v>16</v>
      </c>
      <c r="V985" s="165" t="s">
        <v>16</v>
      </c>
      <c r="W985" s="165" t="s">
        <v>16</v>
      </c>
      <c r="X985" s="165" t="s">
        <v>148</v>
      </c>
      <c r="Y985" s="165" t="s">
        <v>16</v>
      </c>
      <c r="Z985" s="165" t="s">
        <v>16</v>
      </c>
      <c r="AA985" s="165" t="s">
        <v>16</v>
      </c>
      <c r="AB985" s="165" t="s">
        <v>16</v>
      </c>
      <c r="AC985" s="165" t="s">
        <v>16</v>
      </c>
      <c r="AD985" s="165" t="s">
        <v>16</v>
      </c>
      <c r="AE985" s="165" t="s">
        <v>1634</v>
      </c>
      <c r="AF985" s="165"/>
    </row>
    <row r="986" spans="1:32" x14ac:dyDescent="0.3">
      <c r="A986" s="165" t="s">
        <v>1660</v>
      </c>
      <c r="B986" s="165" t="s">
        <v>14</v>
      </c>
      <c r="C986" s="165" t="s">
        <v>1627</v>
      </c>
      <c r="D986" s="165" t="s">
        <v>15</v>
      </c>
      <c r="E986" s="157">
        <v>41332</v>
      </c>
      <c r="F986" s="165" t="s">
        <v>16</v>
      </c>
      <c r="G986" s="165" t="s">
        <v>16</v>
      </c>
      <c r="H986" s="165" t="s">
        <v>148</v>
      </c>
      <c r="I986" s="165" t="s">
        <v>148</v>
      </c>
      <c r="J986" s="165" t="s">
        <v>148</v>
      </c>
      <c r="K986" s="165" t="s">
        <v>148</v>
      </c>
      <c r="L986" s="165" t="s">
        <v>148</v>
      </c>
      <c r="M986" s="165" t="s">
        <v>148</v>
      </c>
      <c r="N986" s="165" t="s">
        <v>148</v>
      </c>
      <c r="O986" s="165" t="s">
        <v>148</v>
      </c>
      <c r="P986" s="165" t="s">
        <v>148</v>
      </c>
      <c r="Q986" s="165" t="s">
        <v>16</v>
      </c>
      <c r="R986" s="165" t="s">
        <v>16</v>
      </c>
      <c r="S986" s="165" t="s">
        <v>16</v>
      </c>
      <c r="T986" s="165" t="s">
        <v>16</v>
      </c>
      <c r="U986" s="165" t="s">
        <v>148</v>
      </c>
      <c r="V986" s="165" t="s">
        <v>148</v>
      </c>
      <c r="W986" s="165" t="s">
        <v>16</v>
      </c>
      <c r="X986" s="165" t="s">
        <v>148</v>
      </c>
      <c r="Y986" s="165" t="s">
        <v>16</v>
      </c>
      <c r="Z986" s="165" t="s">
        <v>148</v>
      </c>
      <c r="AA986" s="165" t="s">
        <v>148</v>
      </c>
      <c r="AB986" s="165" t="s">
        <v>16</v>
      </c>
      <c r="AC986" s="165" t="s">
        <v>148</v>
      </c>
      <c r="AD986" s="165" t="s">
        <v>148</v>
      </c>
      <c r="AE986" s="165" t="s">
        <v>1653</v>
      </c>
      <c r="AF986" s="165"/>
    </row>
    <row r="987" spans="1:32" x14ac:dyDescent="0.3">
      <c r="A987" s="165" t="s">
        <v>1661</v>
      </c>
      <c r="B987" s="165" t="s">
        <v>14</v>
      </c>
      <c r="C987" s="165" t="s">
        <v>1627</v>
      </c>
      <c r="D987" s="165" t="s">
        <v>15</v>
      </c>
      <c r="E987" s="157">
        <v>41332</v>
      </c>
      <c r="F987" s="165" t="s">
        <v>148</v>
      </c>
      <c r="G987" s="165" t="s">
        <v>16</v>
      </c>
      <c r="H987" s="165" t="s">
        <v>16</v>
      </c>
      <c r="I987" s="165" t="s">
        <v>148</v>
      </c>
      <c r="J987" s="165" t="s">
        <v>16</v>
      </c>
      <c r="K987" s="165" t="s">
        <v>148</v>
      </c>
      <c r="L987" s="165" t="s">
        <v>148</v>
      </c>
      <c r="M987" s="165" t="s">
        <v>16</v>
      </c>
      <c r="N987" s="165" t="s">
        <v>16</v>
      </c>
      <c r="O987" s="165" t="s">
        <v>148</v>
      </c>
      <c r="P987" s="165" t="s">
        <v>148</v>
      </c>
      <c r="Q987" s="165" t="s">
        <v>16</v>
      </c>
      <c r="R987" s="165" t="s">
        <v>148</v>
      </c>
      <c r="S987" s="165" t="s">
        <v>148</v>
      </c>
      <c r="T987" s="165" t="s">
        <v>148</v>
      </c>
      <c r="U987" s="165" t="s">
        <v>148</v>
      </c>
      <c r="V987" s="165" t="s">
        <v>148</v>
      </c>
      <c r="W987" s="165" t="s">
        <v>148</v>
      </c>
      <c r="X987" s="165" t="s">
        <v>148</v>
      </c>
      <c r="Y987" s="165" t="s">
        <v>148</v>
      </c>
      <c r="Z987" s="165" t="s">
        <v>148</v>
      </c>
      <c r="AA987" s="165" t="s">
        <v>148</v>
      </c>
      <c r="AB987" s="165" t="s">
        <v>16</v>
      </c>
      <c r="AC987" s="165" t="s">
        <v>16</v>
      </c>
      <c r="AD987" s="165" t="s">
        <v>16</v>
      </c>
      <c r="AE987" s="165" t="s">
        <v>1630</v>
      </c>
      <c r="AF987" s="165"/>
    </row>
    <row r="988" spans="1:32" x14ac:dyDescent="0.3">
      <c r="A988" s="165" t="s">
        <v>1662</v>
      </c>
      <c r="B988" s="165" t="s">
        <v>14</v>
      </c>
      <c r="C988" s="165" t="s">
        <v>1627</v>
      </c>
      <c r="D988" s="165" t="s">
        <v>15</v>
      </c>
      <c r="E988" s="157">
        <v>41332</v>
      </c>
      <c r="F988" s="165" t="s">
        <v>149</v>
      </c>
      <c r="G988" s="165" t="s">
        <v>16</v>
      </c>
      <c r="H988" s="165" t="s">
        <v>16</v>
      </c>
      <c r="I988" s="165" t="s">
        <v>16</v>
      </c>
      <c r="J988" s="165" t="s">
        <v>16</v>
      </c>
      <c r="K988" s="165" t="s">
        <v>16</v>
      </c>
      <c r="L988" s="165" t="s">
        <v>16</v>
      </c>
      <c r="M988" s="165" t="s">
        <v>16</v>
      </c>
      <c r="N988" s="165" t="s">
        <v>16</v>
      </c>
      <c r="O988" s="165" t="s">
        <v>16</v>
      </c>
      <c r="P988" s="165" t="s">
        <v>16</v>
      </c>
      <c r="Q988" s="165" t="s">
        <v>16</v>
      </c>
      <c r="R988" s="165" t="s">
        <v>16</v>
      </c>
      <c r="S988" s="165" t="s">
        <v>16</v>
      </c>
      <c r="T988" s="165" t="s">
        <v>16</v>
      </c>
      <c r="U988" s="165" t="s">
        <v>149</v>
      </c>
      <c r="V988" s="165" t="s">
        <v>16</v>
      </c>
      <c r="W988" s="165" t="s">
        <v>16</v>
      </c>
      <c r="X988" s="165" t="s">
        <v>149</v>
      </c>
      <c r="Y988" s="165" t="s">
        <v>16</v>
      </c>
      <c r="Z988" s="165" t="s">
        <v>149</v>
      </c>
      <c r="AA988" s="165" t="s">
        <v>16</v>
      </c>
      <c r="AB988" s="165" t="s">
        <v>16</v>
      </c>
      <c r="AC988" s="165" t="s">
        <v>148</v>
      </c>
      <c r="AD988" s="165" t="s">
        <v>16</v>
      </c>
      <c r="AE988" s="165" t="s">
        <v>1653</v>
      </c>
      <c r="AF988" s="165"/>
    </row>
    <row r="989" spans="1:32" x14ac:dyDescent="0.3">
      <c r="A989" s="165" t="s">
        <v>1663</v>
      </c>
      <c r="B989" s="165" t="s">
        <v>14</v>
      </c>
      <c r="C989" s="165" t="s">
        <v>1627</v>
      </c>
      <c r="D989" s="165" t="s">
        <v>15</v>
      </c>
      <c r="E989" s="157">
        <v>41332</v>
      </c>
      <c r="F989" s="165" t="s">
        <v>16</v>
      </c>
      <c r="G989" s="165" t="s">
        <v>16</v>
      </c>
      <c r="H989" s="165" t="s">
        <v>16</v>
      </c>
      <c r="I989" s="165" t="s">
        <v>16</v>
      </c>
      <c r="J989" s="165" t="s">
        <v>16</v>
      </c>
      <c r="K989" s="165" t="s">
        <v>16</v>
      </c>
      <c r="L989" s="165" t="s">
        <v>16</v>
      </c>
      <c r="M989" s="165" t="s">
        <v>16</v>
      </c>
      <c r="N989" s="165" t="s">
        <v>148</v>
      </c>
      <c r="O989" s="165" t="s">
        <v>16</v>
      </c>
      <c r="P989" s="165" t="s">
        <v>16</v>
      </c>
      <c r="Q989" s="165" t="s">
        <v>16</v>
      </c>
      <c r="R989" s="165" t="s">
        <v>16</v>
      </c>
      <c r="S989" s="165" t="s">
        <v>16</v>
      </c>
      <c r="T989" s="165" t="s">
        <v>16</v>
      </c>
      <c r="U989" s="165" t="s">
        <v>148</v>
      </c>
      <c r="V989" s="165" t="s">
        <v>16</v>
      </c>
      <c r="W989" s="165" t="s">
        <v>16</v>
      </c>
      <c r="X989" s="165" t="s">
        <v>16</v>
      </c>
      <c r="Y989" s="165" t="s">
        <v>16</v>
      </c>
      <c r="Z989" s="165" t="s">
        <v>16</v>
      </c>
      <c r="AA989" s="165" t="s">
        <v>16</v>
      </c>
      <c r="AB989" s="165" t="s">
        <v>16</v>
      </c>
      <c r="AC989" s="165" t="s">
        <v>16</v>
      </c>
      <c r="AD989" s="165" t="s">
        <v>16</v>
      </c>
      <c r="AE989" s="165" t="s">
        <v>1628</v>
      </c>
      <c r="AF989" s="165" t="s">
        <v>1664</v>
      </c>
    </row>
    <row r="990" spans="1:32" x14ac:dyDescent="0.3">
      <c r="A990" s="165" t="s">
        <v>1665</v>
      </c>
      <c r="B990" s="165" t="s">
        <v>14</v>
      </c>
      <c r="C990" s="165" t="s">
        <v>1627</v>
      </c>
      <c r="D990" s="165" t="s">
        <v>15</v>
      </c>
      <c r="E990" s="157">
        <v>41332</v>
      </c>
      <c r="F990" s="165" t="s">
        <v>149</v>
      </c>
      <c r="G990" s="165" t="s">
        <v>149</v>
      </c>
      <c r="H990" s="165" t="s">
        <v>149</v>
      </c>
      <c r="I990" s="165" t="s">
        <v>149</v>
      </c>
      <c r="J990" s="165" t="s">
        <v>16</v>
      </c>
      <c r="K990" s="165" t="s">
        <v>151</v>
      </c>
      <c r="L990" s="165" t="s">
        <v>151</v>
      </c>
      <c r="M990" s="165" t="s">
        <v>149</v>
      </c>
      <c r="N990" s="165" t="s">
        <v>16</v>
      </c>
      <c r="O990" s="165" t="s">
        <v>149</v>
      </c>
      <c r="P990" s="165" t="s">
        <v>149</v>
      </c>
      <c r="Q990" s="165" t="s">
        <v>149</v>
      </c>
      <c r="R990" s="165" t="s">
        <v>149</v>
      </c>
      <c r="S990" s="165" t="s">
        <v>16</v>
      </c>
      <c r="T990" s="165" t="s">
        <v>149</v>
      </c>
      <c r="U990" s="165" t="s">
        <v>149</v>
      </c>
      <c r="V990" s="165" t="s">
        <v>151</v>
      </c>
      <c r="W990" s="165" t="s">
        <v>149</v>
      </c>
      <c r="X990" s="165" t="s">
        <v>16</v>
      </c>
      <c r="Y990" s="165" t="s">
        <v>149</v>
      </c>
      <c r="Z990" s="165" t="s">
        <v>149</v>
      </c>
      <c r="AA990" s="165" t="s">
        <v>149</v>
      </c>
      <c r="AB990" s="165" t="s">
        <v>148</v>
      </c>
      <c r="AC990" s="165" t="s">
        <v>150</v>
      </c>
      <c r="AD990" s="165" t="s">
        <v>148</v>
      </c>
      <c r="AE990" s="165" t="s">
        <v>1650</v>
      </c>
      <c r="AF990" s="165" t="s">
        <v>1666</v>
      </c>
    </row>
    <row r="991" spans="1:32" x14ac:dyDescent="0.3">
      <c r="A991" s="165" t="s">
        <v>1667</v>
      </c>
      <c r="B991" s="165" t="s">
        <v>14</v>
      </c>
      <c r="C991" s="165" t="s">
        <v>1627</v>
      </c>
      <c r="D991" s="165" t="s">
        <v>15</v>
      </c>
      <c r="E991" s="157">
        <v>41332</v>
      </c>
      <c r="F991" s="165" t="s">
        <v>16</v>
      </c>
      <c r="G991" s="165" t="s">
        <v>114</v>
      </c>
      <c r="H991" s="165" t="s">
        <v>16</v>
      </c>
      <c r="I991" s="165" t="s">
        <v>16</v>
      </c>
      <c r="J991" s="165" t="s">
        <v>16</v>
      </c>
      <c r="K991" s="165" t="s">
        <v>16</v>
      </c>
      <c r="L991" s="165" t="s">
        <v>148</v>
      </c>
      <c r="M991" s="165" t="s">
        <v>16</v>
      </c>
      <c r="N991" s="165" t="s">
        <v>148</v>
      </c>
      <c r="O991" s="165" t="s">
        <v>16</v>
      </c>
      <c r="P991" s="165" t="s">
        <v>16</v>
      </c>
      <c r="Q991" s="165" t="s">
        <v>16</v>
      </c>
      <c r="R991" s="165" t="s">
        <v>16</v>
      </c>
      <c r="S991" s="165" t="s">
        <v>16</v>
      </c>
      <c r="T991" s="165" t="s">
        <v>16</v>
      </c>
      <c r="U991" s="165" t="s">
        <v>16</v>
      </c>
      <c r="V991" s="165" t="s">
        <v>16</v>
      </c>
      <c r="W991" s="165" t="s">
        <v>148</v>
      </c>
      <c r="X991" s="165" t="s">
        <v>16</v>
      </c>
      <c r="Y991" s="165" t="s">
        <v>16</v>
      </c>
      <c r="Z991" s="165" t="s">
        <v>148</v>
      </c>
      <c r="AA991" s="165" t="s">
        <v>148</v>
      </c>
      <c r="AB991" s="165" t="s">
        <v>149</v>
      </c>
      <c r="AC991" s="165" t="s">
        <v>148</v>
      </c>
      <c r="AD991" s="165" t="s">
        <v>148</v>
      </c>
      <c r="AE991" s="165" t="s">
        <v>1668</v>
      </c>
      <c r="AF991" s="165"/>
    </row>
    <row r="992" spans="1:32" x14ac:dyDescent="0.3">
      <c r="A992" s="165" t="s">
        <v>1626</v>
      </c>
      <c r="B992" s="165" t="s">
        <v>14</v>
      </c>
      <c r="C992" s="165" t="s">
        <v>1627</v>
      </c>
      <c r="D992" s="165" t="s">
        <v>15</v>
      </c>
      <c r="E992" s="157">
        <v>41332</v>
      </c>
      <c r="F992" s="165" t="s">
        <v>16</v>
      </c>
      <c r="G992" s="165" t="s">
        <v>16</v>
      </c>
      <c r="H992" s="165" t="s">
        <v>148</v>
      </c>
      <c r="I992" s="165" t="s">
        <v>16</v>
      </c>
      <c r="J992" s="165" t="s">
        <v>148</v>
      </c>
      <c r="K992" s="165" t="s">
        <v>16</v>
      </c>
      <c r="L992" s="165" t="s">
        <v>148</v>
      </c>
      <c r="M992" s="165" t="s">
        <v>16</v>
      </c>
      <c r="N992" s="165" t="s">
        <v>148</v>
      </c>
      <c r="O992" s="165" t="s">
        <v>16</v>
      </c>
      <c r="P992" s="165" t="s">
        <v>148</v>
      </c>
      <c r="Q992" s="165" t="s">
        <v>16</v>
      </c>
      <c r="R992" s="165" t="s">
        <v>16</v>
      </c>
      <c r="S992" s="165" t="s">
        <v>16</v>
      </c>
      <c r="T992" s="165" t="s">
        <v>16</v>
      </c>
      <c r="U992" s="165" t="s">
        <v>148</v>
      </c>
      <c r="V992" s="165" t="s">
        <v>16</v>
      </c>
      <c r="W992" s="165" t="s">
        <v>16</v>
      </c>
      <c r="X992" s="165" t="s">
        <v>16</v>
      </c>
      <c r="Y992" s="165" t="s">
        <v>16</v>
      </c>
      <c r="Z992" s="165" t="s">
        <v>16</v>
      </c>
      <c r="AA992" s="165" t="s">
        <v>16</v>
      </c>
      <c r="AB992" s="165" t="s">
        <v>16</v>
      </c>
      <c r="AC992" s="165" t="s">
        <v>16</v>
      </c>
      <c r="AD992" s="165" t="s">
        <v>16</v>
      </c>
      <c r="AE992" s="165" t="s">
        <v>1628</v>
      </c>
      <c r="AF992" s="165"/>
    </row>
    <row r="993" spans="1:32" x14ac:dyDescent="0.3">
      <c r="A993" s="165" t="s">
        <v>1629</v>
      </c>
      <c r="B993" s="165" t="s">
        <v>14</v>
      </c>
      <c r="C993" s="165" t="s">
        <v>1627</v>
      </c>
      <c r="D993" s="165" t="s">
        <v>15</v>
      </c>
      <c r="E993" s="157">
        <v>41332</v>
      </c>
      <c r="F993" s="165" t="s">
        <v>16</v>
      </c>
      <c r="G993" s="165" t="s">
        <v>16</v>
      </c>
      <c r="H993" s="165" t="s">
        <v>16</v>
      </c>
      <c r="I993" s="165" t="s">
        <v>16</v>
      </c>
      <c r="J993" s="165" t="s">
        <v>16</v>
      </c>
      <c r="K993" s="165" t="s">
        <v>16</v>
      </c>
      <c r="L993" s="165" t="s">
        <v>16</v>
      </c>
      <c r="M993" s="165" t="s">
        <v>16</v>
      </c>
      <c r="N993" s="165" t="s">
        <v>16</v>
      </c>
      <c r="O993" s="165" t="s">
        <v>16</v>
      </c>
      <c r="P993" s="165" t="s">
        <v>16</v>
      </c>
      <c r="Q993" s="165" t="s">
        <v>16</v>
      </c>
      <c r="R993" s="165" t="s">
        <v>16</v>
      </c>
      <c r="S993" s="165" t="s">
        <v>16</v>
      </c>
      <c r="T993" s="165" t="s">
        <v>16</v>
      </c>
      <c r="U993" s="165" t="s">
        <v>16</v>
      </c>
      <c r="V993" s="165" t="s">
        <v>16</v>
      </c>
      <c r="W993" s="165" t="s">
        <v>16</v>
      </c>
      <c r="X993" s="165" t="s">
        <v>16</v>
      </c>
      <c r="Y993" s="165" t="s">
        <v>16</v>
      </c>
      <c r="Z993" s="165" t="s">
        <v>16</v>
      </c>
      <c r="AA993" s="165" t="s">
        <v>16</v>
      </c>
      <c r="AB993" s="165" t="s">
        <v>16</v>
      </c>
      <c r="AC993" s="165" t="s">
        <v>16</v>
      </c>
      <c r="AD993" s="165" t="s">
        <v>16</v>
      </c>
      <c r="AE993" s="165" t="s">
        <v>1630</v>
      </c>
      <c r="AF993" s="165"/>
    </row>
    <row r="994" spans="1:32" x14ac:dyDescent="0.3">
      <c r="A994" s="165" t="s">
        <v>1631</v>
      </c>
      <c r="B994" s="165" t="s">
        <v>14</v>
      </c>
      <c r="C994" s="165" t="s">
        <v>1627</v>
      </c>
      <c r="D994" s="165" t="s">
        <v>15</v>
      </c>
      <c r="E994" s="157">
        <v>41332</v>
      </c>
      <c r="F994" s="165" t="s">
        <v>148</v>
      </c>
      <c r="G994" s="165" t="s">
        <v>16</v>
      </c>
      <c r="H994" s="165" t="s">
        <v>16</v>
      </c>
      <c r="I994" s="165" t="s">
        <v>16</v>
      </c>
      <c r="J994" s="165" t="s">
        <v>148</v>
      </c>
      <c r="K994" s="165" t="s">
        <v>148</v>
      </c>
      <c r="L994" s="165" t="s">
        <v>149</v>
      </c>
      <c r="M994" s="165" t="s">
        <v>148</v>
      </c>
      <c r="N994" s="165" t="s">
        <v>16</v>
      </c>
      <c r="O994" s="165" t="s">
        <v>148</v>
      </c>
      <c r="P994" s="165" t="s">
        <v>148</v>
      </c>
      <c r="Q994" s="165" t="s">
        <v>16</v>
      </c>
      <c r="R994" s="165" t="s">
        <v>148</v>
      </c>
      <c r="S994" s="165" t="s">
        <v>16</v>
      </c>
      <c r="T994" s="165" t="s">
        <v>148</v>
      </c>
      <c r="U994" s="165" t="s">
        <v>148</v>
      </c>
      <c r="V994" s="165" t="s">
        <v>16</v>
      </c>
      <c r="W994" s="165" t="s">
        <v>16</v>
      </c>
      <c r="X994" s="165" t="s">
        <v>16</v>
      </c>
      <c r="Y994" s="165" t="s">
        <v>148</v>
      </c>
      <c r="Z994" s="165" t="s">
        <v>16</v>
      </c>
      <c r="AA994" s="165" t="s">
        <v>16</v>
      </c>
      <c r="AB994" s="165" t="s">
        <v>148</v>
      </c>
      <c r="AC994" s="165" t="s">
        <v>16</v>
      </c>
      <c r="AD994" s="165" t="s">
        <v>16</v>
      </c>
      <c r="AE994" s="165" t="s">
        <v>1630</v>
      </c>
      <c r="AF994" s="165"/>
    </row>
    <row r="995" spans="1:32" x14ac:dyDescent="0.3">
      <c r="A995" s="165" t="s">
        <v>1632</v>
      </c>
      <c r="B995" s="165" t="s">
        <v>14</v>
      </c>
      <c r="C995" s="165" t="s">
        <v>1627</v>
      </c>
      <c r="D995" s="165" t="s">
        <v>15</v>
      </c>
      <c r="E995" s="157">
        <v>41332</v>
      </c>
      <c r="F995" s="165" t="s">
        <v>16</v>
      </c>
      <c r="G995" s="165" t="s">
        <v>149</v>
      </c>
      <c r="H995" s="165" t="s">
        <v>149</v>
      </c>
      <c r="I995" s="165" t="s">
        <v>149</v>
      </c>
      <c r="J995" s="165" t="s">
        <v>150</v>
      </c>
      <c r="K995" s="165" t="s">
        <v>16</v>
      </c>
      <c r="L995" s="165" t="s">
        <v>16</v>
      </c>
      <c r="M995" s="165" t="s">
        <v>148</v>
      </c>
      <c r="N995" s="165" t="s">
        <v>148</v>
      </c>
      <c r="O995" s="165" t="s">
        <v>149</v>
      </c>
      <c r="P995" s="165" t="s">
        <v>16</v>
      </c>
      <c r="Q995" s="165" t="s">
        <v>16</v>
      </c>
      <c r="R995" s="165" t="s">
        <v>16</v>
      </c>
      <c r="S995" s="165" t="s">
        <v>16</v>
      </c>
      <c r="T995" s="165" t="s">
        <v>16</v>
      </c>
      <c r="U995" s="165" t="s">
        <v>16</v>
      </c>
      <c r="V995" s="165" t="s">
        <v>16</v>
      </c>
      <c r="W995" s="165" t="s">
        <v>16</v>
      </c>
      <c r="X995" s="165" t="s">
        <v>16</v>
      </c>
      <c r="Y995" s="165" t="s">
        <v>150</v>
      </c>
      <c r="Z995" s="165" t="s">
        <v>148</v>
      </c>
      <c r="AA995" s="165" t="s">
        <v>148</v>
      </c>
      <c r="AB995" s="165" t="s">
        <v>16</v>
      </c>
      <c r="AC995" s="165" t="s">
        <v>16</v>
      </c>
      <c r="AD995" s="165" t="s">
        <v>16</v>
      </c>
      <c r="AE995" s="165" t="s">
        <v>1628</v>
      </c>
      <c r="AF995" s="165"/>
    </row>
    <row r="996" spans="1:32" x14ac:dyDescent="0.3">
      <c r="A996" s="165" t="s">
        <v>1633</v>
      </c>
      <c r="B996" s="165" t="s">
        <v>14</v>
      </c>
      <c r="C996" s="165" t="s">
        <v>1627</v>
      </c>
      <c r="D996" s="165" t="s">
        <v>15</v>
      </c>
      <c r="E996" s="157">
        <v>41332</v>
      </c>
      <c r="F996" s="165" t="s">
        <v>16</v>
      </c>
      <c r="G996" s="165" t="s">
        <v>16</v>
      </c>
      <c r="H996" s="165" t="s">
        <v>16</v>
      </c>
      <c r="I996" s="165" t="s">
        <v>16</v>
      </c>
      <c r="J996" s="165" t="s">
        <v>16</v>
      </c>
      <c r="K996" s="165" t="s">
        <v>16</v>
      </c>
      <c r="L996" s="165" t="s">
        <v>16</v>
      </c>
      <c r="M996" s="165" t="s">
        <v>16</v>
      </c>
      <c r="N996" s="165" t="s">
        <v>16</v>
      </c>
      <c r="O996" s="165" t="s">
        <v>16</v>
      </c>
      <c r="P996" s="165" t="s">
        <v>16</v>
      </c>
      <c r="Q996" s="165" t="s">
        <v>16</v>
      </c>
      <c r="R996" s="165" t="s">
        <v>16</v>
      </c>
      <c r="S996" s="165" t="s">
        <v>16</v>
      </c>
      <c r="T996" s="165" t="s">
        <v>16</v>
      </c>
      <c r="U996" s="165" t="s">
        <v>16</v>
      </c>
      <c r="V996" s="165" t="s">
        <v>16</v>
      </c>
      <c r="W996" s="165" t="s">
        <v>16</v>
      </c>
      <c r="X996" s="165" t="s">
        <v>16</v>
      </c>
      <c r="Y996" s="165" t="s">
        <v>16</v>
      </c>
      <c r="Z996" s="165" t="s">
        <v>16</v>
      </c>
      <c r="AA996" s="165" t="s">
        <v>16</v>
      </c>
      <c r="AB996" s="165" t="s">
        <v>16</v>
      </c>
      <c r="AC996" s="165" t="s">
        <v>16</v>
      </c>
      <c r="AD996" s="165" t="s">
        <v>16</v>
      </c>
      <c r="AE996" s="165" t="s">
        <v>1634</v>
      </c>
      <c r="AF996" s="165"/>
    </row>
    <row r="997" spans="1:32" x14ac:dyDescent="0.3">
      <c r="A997" s="165" t="s">
        <v>1635</v>
      </c>
      <c r="B997" s="165" t="s">
        <v>14</v>
      </c>
      <c r="C997" s="165" t="s">
        <v>1627</v>
      </c>
      <c r="D997" s="165" t="s">
        <v>15</v>
      </c>
      <c r="E997" s="157">
        <v>41332</v>
      </c>
      <c r="F997" s="165" t="s">
        <v>16</v>
      </c>
      <c r="G997" s="165" t="s">
        <v>149</v>
      </c>
      <c r="H997" s="165" t="s">
        <v>149</v>
      </c>
      <c r="I997" s="165" t="s">
        <v>16</v>
      </c>
      <c r="J997" s="165" t="s">
        <v>149</v>
      </c>
      <c r="K997" s="165" t="s">
        <v>16</v>
      </c>
      <c r="L997" s="165" t="s">
        <v>16</v>
      </c>
      <c r="M997" s="165" t="s">
        <v>16</v>
      </c>
      <c r="N997" s="165" t="s">
        <v>16</v>
      </c>
      <c r="O997" s="165" t="s">
        <v>16</v>
      </c>
      <c r="P997" s="165" t="s">
        <v>16</v>
      </c>
      <c r="Q997" s="165" t="s">
        <v>148</v>
      </c>
      <c r="R997" s="165" t="s">
        <v>16</v>
      </c>
      <c r="S997" s="165" t="s">
        <v>16</v>
      </c>
      <c r="T997" s="165" t="s">
        <v>16</v>
      </c>
      <c r="U997" s="165" t="s">
        <v>16</v>
      </c>
      <c r="V997" s="165" t="s">
        <v>16</v>
      </c>
      <c r="W997" s="165" t="s">
        <v>16</v>
      </c>
      <c r="X997" s="165" t="s">
        <v>16</v>
      </c>
      <c r="Y997" s="165" t="s">
        <v>16</v>
      </c>
      <c r="Z997" s="165" t="s">
        <v>16</v>
      </c>
      <c r="AA997" s="165" t="s">
        <v>149</v>
      </c>
      <c r="AB997" s="165" t="s">
        <v>16</v>
      </c>
      <c r="AC997" s="165" t="s">
        <v>16</v>
      </c>
      <c r="AD997" s="165" t="s">
        <v>16</v>
      </c>
      <c r="AE997" s="165" t="s">
        <v>1628</v>
      </c>
      <c r="AF997" s="165"/>
    </row>
    <row r="998" spans="1:32" x14ac:dyDescent="0.3">
      <c r="A998" s="165" t="s">
        <v>1636</v>
      </c>
      <c r="B998" s="165" t="s">
        <v>14</v>
      </c>
      <c r="C998" s="165" t="s">
        <v>1627</v>
      </c>
      <c r="D998" s="165" t="s">
        <v>15</v>
      </c>
      <c r="E998" s="157">
        <v>41332</v>
      </c>
      <c r="F998" s="165" t="s">
        <v>148</v>
      </c>
      <c r="G998" s="165" t="s">
        <v>16</v>
      </c>
      <c r="H998" s="165" t="s">
        <v>148</v>
      </c>
      <c r="I998" s="165" t="s">
        <v>148</v>
      </c>
      <c r="J998" s="165" t="s">
        <v>148</v>
      </c>
      <c r="K998" s="165" t="s">
        <v>16</v>
      </c>
      <c r="L998" s="165" t="s">
        <v>16</v>
      </c>
      <c r="M998" s="165" t="s">
        <v>148</v>
      </c>
      <c r="N998" s="165" t="s">
        <v>148</v>
      </c>
      <c r="O998" s="165" t="s">
        <v>16</v>
      </c>
      <c r="P998" s="165" t="s">
        <v>16</v>
      </c>
      <c r="Q998" s="165" t="s">
        <v>16</v>
      </c>
      <c r="R998" s="165" t="s">
        <v>148</v>
      </c>
      <c r="S998" s="165" t="s">
        <v>16</v>
      </c>
      <c r="T998" s="165" t="s">
        <v>148</v>
      </c>
      <c r="U998" s="165" t="s">
        <v>148</v>
      </c>
      <c r="V998" s="165" t="s">
        <v>148</v>
      </c>
      <c r="W998" s="165" t="s">
        <v>148</v>
      </c>
      <c r="X998" s="165" t="s">
        <v>16</v>
      </c>
      <c r="Y998" s="165" t="s">
        <v>148</v>
      </c>
      <c r="Z998" s="165" t="s">
        <v>16</v>
      </c>
      <c r="AA998" s="165" t="s">
        <v>16</v>
      </c>
      <c r="AB998" s="165" t="s">
        <v>16</v>
      </c>
      <c r="AC998" s="165" t="s">
        <v>148</v>
      </c>
      <c r="AD998" s="165" t="s">
        <v>16</v>
      </c>
      <c r="AE998" s="165" t="s">
        <v>1630</v>
      </c>
      <c r="AF998" s="165" t="s">
        <v>1637</v>
      </c>
    </row>
    <row r="999" spans="1:32" x14ac:dyDescent="0.3">
      <c r="A999" s="165" t="s">
        <v>1638</v>
      </c>
      <c r="B999" s="165" t="s">
        <v>14</v>
      </c>
      <c r="C999" s="165" t="s">
        <v>1627</v>
      </c>
      <c r="D999" s="165" t="s">
        <v>15</v>
      </c>
      <c r="E999" s="157">
        <v>41332</v>
      </c>
      <c r="F999" s="165" t="s">
        <v>16</v>
      </c>
      <c r="G999" s="165" t="s">
        <v>16</v>
      </c>
      <c r="H999" s="165" t="s">
        <v>16</v>
      </c>
      <c r="I999" s="165" t="s">
        <v>16</v>
      </c>
      <c r="J999" s="165" t="s">
        <v>16</v>
      </c>
      <c r="K999" s="165" t="s">
        <v>16</v>
      </c>
      <c r="L999" s="165" t="s">
        <v>16</v>
      </c>
      <c r="M999" s="165" t="s">
        <v>16</v>
      </c>
      <c r="N999" s="165" t="s">
        <v>16</v>
      </c>
      <c r="O999" s="165" t="s">
        <v>16</v>
      </c>
      <c r="P999" s="165" t="s">
        <v>16</v>
      </c>
      <c r="Q999" s="165" t="s">
        <v>16</v>
      </c>
      <c r="R999" s="165" t="s">
        <v>16</v>
      </c>
      <c r="S999" s="165" t="s">
        <v>16</v>
      </c>
      <c r="T999" s="165" t="s">
        <v>16</v>
      </c>
      <c r="U999" s="165" t="s">
        <v>16</v>
      </c>
      <c r="V999" s="165" t="s">
        <v>16</v>
      </c>
      <c r="W999" s="165" t="s">
        <v>16</v>
      </c>
      <c r="X999" s="165" t="s">
        <v>16</v>
      </c>
      <c r="Y999" s="165" t="s">
        <v>16</v>
      </c>
      <c r="Z999" s="165" t="s">
        <v>16</v>
      </c>
      <c r="AA999" s="165" t="s">
        <v>148</v>
      </c>
      <c r="AB999" s="165" t="s">
        <v>16</v>
      </c>
      <c r="AC999" s="165" t="s">
        <v>16</v>
      </c>
      <c r="AD999" s="165" t="s">
        <v>16</v>
      </c>
      <c r="AE999" s="165" t="s">
        <v>1634</v>
      </c>
      <c r="AF999" s="165"/>
    </row>
    <row r="1000" spans="1:32" x14ac:dyDescent="0.3">
      <c r="A1000" s="165" t="s">
        <v>1639</v>
      </c>
      <c r="B1000" s="165" t="s">
        <v>14</v>
      </c>
      <c r="C1000" s="165" t="s">
        <v>1627</v>
      </c>
      <c r="D1000" s="165" t="s">
        <v>15</v>
      </c>
      <c r="E1000" s="157">
        <v>41332</v>
      </c>
      <c r="F1000" s="165" t="s">
        <v>148</v>
      </c>
      <c r="G1000" s="165" t="s">
        <v>16</v>
      </c>
      <c r="H1000" s="165" t="s">
        <v>16</v>
      </c>
      <c r="I1000" s="165" t="s">
        <v>16</v>
      </c>
      <c r="J1000" s="165" t="s">
        <v>16</v>
      </c>
      <c r="K1000" s="165" t="s">
        <v>16</v>
      </c>
      <c r="L1000" s="165" t="s">
        <v>149</v>
      </c>
      <c r="M1000" s="165" t="s">
        <v>148</v>
      </c>
      <c r="N1000" s="165" t="s">
        <v>148</v>
      </c>
      <c r="O1000" s="165" t="s">
        <v>148</v>
      </c>
      <c r="P1000" s="165" t="s">
        <v>148</v>
      </c>
      <c r="Q1000" s="165" t="s">
        <v>149</v>
      </c>
      <c r="R1000" s="165" t="s">
        <v>149</v>
      </c>
      <c r="S1000" s="165" t="s">
        <v>148</v>
      </c>
      <c r="T1000" s="165" t="s">
        <v>16</v>
      </c>
      <c r="U1000" s="165" t="s">
        <v>16</v>
      </c>
      <c r="V1000" s="165" t="s">
        <v>148</v>
      </c>
      <c r="W1000" s="165" t="s">
        <v>148</v>
      </c>
      <c r="X1000" s="165" t="s">
        <v>148</v>
      </c>
      <c r="Y1000" s="165" t="s">
        <v>150</v>
      </c>
      <c r="Z1000" s="165" t="s">
        <v>16</v>
      </c>
      <c r="AA1000" s="165" t="s">
        <v>16</v>
      </c>
      <c r="AB1000" s="165" t="s">
        <v>16</v>
      </c>
      <c r="AC1000" s="165" t="s">
        <v>148</v>
      </c>
      <c r="AD1000" s="165" t="s">
        <v>148</v>
      </c>
      <c r="AE1000" s="165" t="s">
        <v>1630</v>
      </c>
      <c r="AF1000" s="165" t="s">
        <v>1640</v>
      </c>
    </row>
    <row r="1001" spans="1:32" x14ac:dyDescent="0.3">
      <c r="A1001" s="165" t="s">
        <v>1641</v>
      </c>
      <c r="B1001" s="165" t="s">
        <v>14</v>
      </c>
      <c r="C1001" s="165" t="s">
        <v>1627</v>
      </c>
      <c r="D1001" s="165" t="s">
        <v>15</v>
      </c>
      <c r="E1001" s="157">
        <v>41332</v>
      </c>
      <c r="F1001" s="165" t="s">
        <v>16</v>
      </c>
      <c r="G1001" s="165" t="s">
        <v>16</v>
      </c>
      <c r="H1001" s="165" t="s">
        <v>16</v>
      </c>
      <c r="I1001" s="165" t="s">
        <v>16</v>
      </c>
      <c r="J1001" s="165" t="s">
        <v>16</v>
      </c>
      <c r="K1001" s="165" t="s">
        <v>148</v>
      </c>
      <c r="L1001" s="165" t="s">
        <v>16</v>
      </c>
      <c r="M1001" s="165" t="s">
        <v>16</v>
      </c>
      <c r="N1001" s="165" t="s">
        <v>16</v>
      </c>
      <c r="O1001" s="165" t="s">
        <v>16</v>
      </c>
      <c r="P1001" s="165" t="s">
        <v>16</v>
      </c>
      <c r="Q1001" s="165" t="s">
        <v>16</v>
      </c>
      <c r="R1001" s="165" t="s">
        <v>16</v>
      </c>
      <c r="S1001" s="165" t="s">
        <v>148</v>
      </c>
      <c r="T1001" s="165" t="s">
        <v>148</v>
      </c>
      <c r="U1001" s="165" t="s">
        <v>16</v>
      </c>
      <c r="V1001" s="165" t="s">
        <v>16</v>
      </c>
      <c r="W1001" s="165" t="s">
        <v>16</v>
      </c>
      <c r="X1001" s="165" t="s">
        <v>16</v>
      </c>
      <c r="Y1001" s="165" t="s">
        <v>16</v>
      </c>
      <c r="Z1001" s="165" t="s">
        <v>16</v>
      </c>
      <c r="AA1001" s="165" t="s">
        <v>16</v>
      </c>
      <c r="AB1001" s="165" t="s">
        <v>16</v>
      </c>
      <c r="AC1001" s="165" t="s">
        <v>16</v>
      </c>
      <c r="AD1001" s="165" t="s">
        <v>16</v>
      </c>
      <c r="AE1001" s="165" t="s">
        <v>1642</v>
      </c>
      <c r="AF1001" s="165"/>
    </row>
    <row r="1002" spans="1:32" x14ac:dyDescent="0.3">
      <c r="A1002" s="165" t="s">
        <v>1643</v>
      </c>
      <c r="B1002" s="165" t="s">
        <v>14</v>
      </c>
      <c r="C1002" s="165" t="s">
        <v>1627</v>
      </c>
      <c r="D1002" s="165" t="s">
        <v>15</v>
      </c>
      <c r="E1002" s="157">
        <v>41332</v>
      </c>
      <c r="F1002" s="165" t="s">
        <v>16</v>
      </c>
      <c r="G1002" s="165" t="s">
        <v>149</v>
      </c>
      <c r="H1002" s="165" t="s">
        <v>149</v>
      </c>
      <c r="I1002" s="165" t="s">
        <v>148</v>
      </c>
      <c r="J1002" s="165" t="s">
        <v>148</v>
      </c>
      <c r="K1002" s="165" t="s">
        <v>150</v>
      </c>
      <c r="L1002" s="165" t="s">
        <v>148</v>
      </c>
      <c r="M1002" s="165" t="s">
        <v>148</v>
      </c>
      <c r="N1002" s="165" t="s">
        <v>148</v>
      </c>
      <c r="O1002" s="165" t="s">
        <v>149</v>
      </c>
      <c r="P1002" s="165" t="s">
        <v>150</v>
      </c>
      <c r="Q1002" s="165" t="s">
        <v>149</v>
      </c>
      <c r="R1002" s="165" t="s">
        <v>148</v>
      </c>
      <c r="S1002" s="165" t="s">
        <v>16</v>
      </c>
      <c r="T1002" s="165" t="s">
        <v>148</v>
      </c>
      <c r="U1002" s="165" t="s">
        <v>16</v>
      </c>
      <c r="V1002" s="165" t="s">
        <v>148</v>
      </c>
      <c r="W1002" s="165" t="s">
        <v>150</v>
      </c>
      <c r="X1002" s="165" t="s">
        <v>148</v>
      </c>
      <c r="Y1002" s="165" t="s">
        <v>150</v>
      </c>
      <c r="Z1002" s="165" t="s">
        <v>16</v>
      </c>
      <c r="AA1002" s="165" t="s">
        <v>148</v>
      </c>
      <c r="AB1002" s="165" t="s">
        <v>149</v>
      </c>
      <c r="AC1002" s="165" t="s">
        <v>148</v>
      </c>
      <c r="AD1002" s="165" t="s">
        <v>148</v>
      </c>
      <c r="AE1002" s="165" t="s">
        <v>1634</v>
      </c>
      <c r="AF1002" s="165"/>
    </row>
    <row r="1003" spans="1:32" x14ac:dyDescent="0.3">
      <c r="A1003" s="165" t="s">
        <v>1644</v>
      </c>
      <c r="B1003" s="165" t="s">
        <v>14</v>
      </c>
      <c r="C1003" s="165" t="s">
        <v>1627</v>
      </c>
      <c r="D1003" s="165" t="s">
        <v>15</v>
      </c>
      <c r="E1003" s="157">
        <v>41332</v>
      </c>
      <c r="F1003" s="165" t="s">
        <v>16</v>
      </c>
      <c r="G1003" s="165" t="s">
        <v>16</v>
      </c>
      <c r="H1003" s="165" t="s">
        <v>16</v>
      </c>
      <c r="I1003" s="165" t="s">
        <v>16</v>
      </c>
      <c r="J1003" s="165" t="s">
        <v>16</v>
      </c>
      <c r="K1003" s="165" t="s">
        <v>16</v>
      </c>
      <c r="L1003" s="165" t="s">
        <v>16</v>
      </c>
      <c r="M1003" s="165" t="s">
        <v>16</v>
      </c>
      <c r="N1003" s="165" t="s">
        <v>16</v>
      </c>
      <c r="O1003" s="165" t="s">
        <v>16</v>
      </c>
      <c r="P1003" s="165" t="s">
        <v>16</v>
      </c>
      <c r="Q1003" s="165" t="s">
        <v>16</v>
      </c>
      <c r="R1003" s="165" t="s">
        <v>16</v>
      </c>
      <c r="S1003" s="165" t="s">
        <v>16</v>
      </c>
      <c r="T1003" s="165" t="s">
        <v>16</v>
      </c>
      <c r="U1003" s="165" t="s">
        <v>16</v>
      </c>
      <c r="V1003" s="165" t="s">
        <v>16</v>
      </c>
      <c r="W1003" s="165" t="s">
        <v>16</v>
      </c>
      <c r="X1003" s="165" t="s">
        <v>16</v>
      </c>
      <c r="Y1003" s="165" t="s">
        <v>16</v>
      </c>
      <c r="Z1003" s="165" t="s">
        <v>16</v>
      </c>
      <c r="AA1003" s="165" t="s">
        <v>16</v>
      </c>
      <c r="AB1003" s="165" t="s">
        <v>16</v>
      </c>
      <c r="AC1003" s="165" t="s">
        <v>16</v>
      </c>
      <c r="AD1003" s="165" t="s">
        <v>16</v>
      </c>
      <c r="AE1003" s="165" t="s">
        <v>1630</v>
      </c>
      <c r="AF1003" s="165"/>
    </row>
    <row r="1004" spans="1:32" x14ac:dyDescent="0.3">
      <c r="A1004" s="165" t="s">
        <v>1645</v>
      </c>
      <c r="B1004" s="165" t="s">
        <v>14</v>
      </c>
      <c r="C1004" s="165" t="s">
        <v>1627</v>
      </c>
      <c r="D1004" s="165" t="s">
        <v>15</v>
      </c>
      <c r="E1004" s="157">
        <v>41332</v>
      </c>
      <c r="F1004" s="165" t="s">
        <v>16</v>
      </c>
      <c r="G1004" s="165" t="s">
        <v>148</v>
      </c>
      <c r="H1004" s="165" t="s">
        <v>16</v>
      </c>
      <c r="I1004" s="165" t="s">
        <v>16</v>
      </c>
      <c r="J1004" s="165" t="s">
        <v>16</v>
      </c>
      <c r="K1004" s="165" t="s">
        <v>16</v>
      </c>
      <c r="L1004" s="165" t="s">
        <v>16</v>
      </c>
      <c r="M1004" s="165" t="s">
        <v>16</v>
      </c>
      <c r="N1004" s="165" t="s">
        <v>148</v>
      </c>
      <c r="O1004" s="165" t="s">
        <v>16</v>
      </c>
      <c r="P1004" s="165" t="s">
        <v>16</v>
      </c>
      <c r="Q1004" s="165" t="s">
        <v>148</v>
      </c>
      <c r="R1004" s="165" t="s">
        <v>16</v>
      </c>
      <c r="S1004" s="165" t="s">
        <v>16</v>
      </c>
      <c r="T1004" s="165" t="s">
        <v>16</v>
      </c>
      <c r="U1004" s="165" t="s">
        <v>16</v>
      </c>
      <c r="V1004" s="165" t="s">
        <v>16</v>
      </c>
      <c r="W1004" s="165" t="s">
        <v>16</v>
      </c>
      <c r="X1004" s="165" t="s">
        <v>16</v>
      </c>
      <c r="Y1004" s="165" t="s">
        <v>16</v>
      </c>
      <c r="Z1004" s="165" t="s">
        <v>16</v>
      </c>
      <c r="AA1004" s="165" t="s">
        <v>16</v>
      </c>
      <c r="AB1004" s="165" t="s">
        <v>16</v>
      </c>
      <c r="AC1004" s="165" t="s">
        <v>16</v>
      </c>
      <c r="AD1004" s="165" t="s">
        <v>16</v>
      </c>
      <c r="AE1004" s="165" t="s">
        <v>1630</v>
      </c>
      <c r="AF1004" s="165"/>
    </row>
    <row r="1005" spans="1:32" x14ac:dyDescent="0.3">
      <c r="A1005" s="165" t="s">
        <v>1646</v>
      </c>
      <c r="B1005" s="165" t="s">
        <v>14</v>
      </c>
      <c r="C1005" s="165" t="s">
        <v>1627</v>
      </c>
      <c r="D1005" s="165" t="s">
        <v>15</v>
      </c>
      <c r="E1005" s="157">
        <v>41332</v>
      </c>
      <c r="F1005" s="165" t="s">
        <v>16</v>
      </c>
      <c r="G1005" s="165" t="s">
        <v>16</v>
      </c>
      <c r="H1005" s="165" t="s">
        <v>16</v>
      </c>
      <c r="I1005" s="165" t="s">
        <v>16</v>
      </c>
      <c r="J1005" s="165" t="s">
        <v>16</v>
      </c>
      <c r="K1005" s="165" t="s">
        <v>16</v>
      </c>
      <c r="L1005" s="165" t="s">
        <v>16</v>
      </c>
      <c r="M1005" s="165" t="s">
        <v>16</v>
      </c>
      <c r="N1005" s="165" t="s">
        <v>16</v>
      </c>
      <c r="O1005" s="165" t="s">
        <v>16</v>
      </c>
      <c r="P1005" s="165" t="s">
        <v>16</v>
      </c>
      <c r="Q1005" s="165" t="s">
        <v>16</v>
      </c>
      <c r="R1005" s="165" t="s">
        <v>16</v>
      </c>
      <c r="S1005" s="165" t="s">
        <v>16</v>
      </c>
      <c r="T1005" s="165" t="s">
        <v>16</v>
      </c>
      <c r="U1005" s="165" t="s">
        <v>16</v>
      </c>
      <c r="V1005" s="165" t="s">
        <v>16</v>
      </c>
      <c r="W1005" s="165" t="s">
        <v>16</v>
      </c>
      <c r="X1005" s="165" t="s">
        <v>16</v>
      </c>
      <c r="Y1005" s="165" t="s">
        <v>16</v>
      </c>
      <c r="Z1005" s="165" t="s">
        <v>16</v>
      </c>
      <c r="AA1005" s="165" t="s">
        <v>16</v>
      </c>
      <c r="AB1005" s="165" t="s">
        <v>16</v>
      </c>
      <c r="AC1005" s="165" t="s">
        <v>16</v>
      </c>
      <c r="AD1005" s="165" t="s">
        <v>16</v>
      </c>
      <c r="AE1005" s="165" t="s">
        <v>1634</v>
      </c>
      <c r="AF1005" s="165"/>
    </row>
    <row r="1006" spans="1:32" x14ac:dyDescent="0.3">
      <c r="A1006" s="165" t="s">
        <v>1647</v>
      </c>
      <c r="B1006" s="165" t="s">
        <v>14</v>
      </c>
      <c r="C1006" s="165" t="s">
        <v>1627</v>
      </c>
      <c r="D1006" s="165" t="s">
        <v>15</v>
      </c>
      <c r="E1006" s="157">
        <v>41332</v>
      </c>
      <c r="F1006" s="165" t="s">
        <v>16</v>
      </c>
      <c r="G1006" s="165" t="s">
        <v>16</v>
      </c>
      <c r="H1006" s="165" t="s">
        <v>16</v>
      </c>
      <c r="I1006" s="165" t="s">
        <v>16</v>
      </c>
      <c r="J1006" s="165" t="s">
        <v>16</v>
      </c>
      <c r="K1006" s="165" t="s">
        <v>16</v>
      </c>
      <c r="L1006" s="165" t="s">
        <v>16</v>
      </c>
      <c r="M1006" s="165" t="s">
        <v>16</v>
      </c>
      <c r="N1006" s="165" t="s">
        <v>16</v>
      </c>
      <c r="O1006" s="165" t="s">
        <v>16</v>
      </c>
      <c r="P1006" s="165" t="s">
        <v>16</v>
      </c>
      <c r="Q1006" s="165" t="s">
        <v>16</v>
      </c>
      <c r="R1006" s="165" t="s">
        <v>16</v>
      </c>
      <c r="S1006" s="165" t="s">
        <v>16</v>
      </c>
      <c r="T1006" s="165" t="s">
        <v>16</v>
      </c>
      <c r="U1006" s="165" t="s">
        <v>16</v>
      </c>
      <c r="V1006" s="165" t="s">
        <v>16</v>
      </c>
      <c r="W1006" s="165" t="s">
        <v>16</v>
      </c>
      <c r="X1006" s="165" t="s">
        <v>16</v>
      </c>
      <c r="Y1006" s="165" t="s">
        <v>16</v>
      </c>
      <c r="Z1006" s="165" t="s">
        <v>16</v>
      </c>
      <c r="AA1006" s="165" t="s">
        <v>16</v>
      </c>
      <c r="AB1006" s="165" t="s">
        <v>16</v>
      </c>
      <c r="AC1006" s="165" t="s">
        <v>16</v>
      </c>
      <c r="AD1006" s="165" t="s">
        <v>16</v>
      </c>
      <c r="AE1006" s="165" t="s">
        <v>1630</v>
      </c>
      <c r="AF1006" s="165"/>
    </row>
    <row r="1007" spans="1:32" x14ac:dyDescent="0.3">
      <c r="A1007" s="165" t="s">
        <v>1648</v>
      </c>
      <c r="B1007" s="165" t="s">
        <v>14</v>
      </c>
      <c r="C1007" s="165" t="s">
        <v>1627</v>
      </c>
      <c r="D1007" s="165" t="s">
        <v>15</v>
      </c>
      <c r="E1007" s="157">
        <v>41332</v>
      </c>
      <c r="F1007" s="165" t="s">
        <v>151</v>
      </c>
      <c r="G1007" s="165" t="s">
        <v>151</v>
      </c>
      <c r="H1007" s="165" t="s">
        <v>148</v>
      </c>
      <c r="I1007" s="165" t="s">
        <v>148</v>
      </c>
      <c r="J1007" s="165" t="s">
        <v>148</v>
      </c>
      <c r="K1007" s="165" t="s">
        <v>151</v>
      </c>
      <c r="L1007" s="165" t="s">
        <v>148</v>
      </c>
      <c r="M1007" s="165" t="s">
        <v>16</v>
      </c>
      <c r="N1007" s="165" t="s">
        <v>148</v>
      </c>
      <c r="O1007" s="165" t="s">
        <v>151</v>
      </c>
      <c r="P1007" s="165" t="s">
        <v>16</v>
      </c>
      <c r="Q1007" s="165" t="s">
        <v>16</v>
      </c>
      <c r="R1007" s="165" t="s">
        <v>16</v>
      </c>
      <c r="S1007" s="165" t="s">
        <v>16</v>
      </c>
      <c r="T1007" s="165" t="s">
        <v>16</v>
      </c>
      <c r="U1007" s="165" t="s">
        <v>148</v>
      </c>
      <c r="V1007" s="165" t="s">
        <v>16</v>
      </c>
      <c r="W1007" s="165" t="s">
        <v>151</v>
      </c>
      <c r="X1007" s="165" t="s">
        <v>151</v>
      </c>
      <c r="Y1007" s="165" t="s">
        <v>16</v>
      </c>
      <c r="Z1007" s="165" t="s">
        <v>16</v>
      </c>
      <c r="AA1007" s="165" t="s">
        <v>16</v>
      </c>
      <c r="AB1007" s="165" t="s">
        <v>16</v>
      </c>
      <c r="AC1007" s="165" t="s">
        <v>16</v>
      </c>
      <c r="AD1007" s="165" t="s">
        <v>16</v>
      </c>
      <c r="AE1007" s="165" t="s">
        <v>1634</v>
      </c>
      <c r="AF1007" s="165"/>
    </row>
    <row r="1008" spans="1:32" x14ac:dyDescent="0.3">
      <c r="A1008" s="165" t="s">
        <v>1649</v>
      </c>
      <c r="B1008" s="165" t="s">
        <v>14</v>
      </c>
      <c r="C1008" s="165" t="s">
        <v>1627</v>
      </c>
      <c r="D1008" s="165" t="s">
        <v>15</v>
      </c>
      <c r="E1008" s="157">
        <v>41332</v>
      </c>
      <c r="F1008" s="165" t="s">
        <v>16</v>
      </c>
      <c r="G1008" s="165" t="s">
        <v>16</v>
      </c>
      <c r="H1008" s="165" t="s">
        <v>16</v>
      </c>
      <c r="I1008" s="165" t="s">
        <v>148</v>
      </c>
      <c r="J1008" s="165" t="s">
        <v>16</v>
      </c>
      <c r="K1008" s="165" t="s">
        <v>16</v>
      </c>
      <c r="L1008" s="165" t="s">
        <v>16</v>
      </c>
      <c r="M1008" s="165" t="s">
        <v>16</v>
      </c>
      <c r="N1008" s="165" t="s">
        <v>148</v>
      </c>
      <c r="O1008" s="165" t="s">
        <v>148</v>
      </c>
      <c r="P1008" s="165" t="s">
        <v>16</v>
      </c>
      <c r="Q1008" s="165" t="s">
        <v>16</v>
      </c>
      <c r="R1008" s="165" t="s">
        <v>16</v>
      </c>
      <c r="S1008" s="165" t="s">
        <v>16</v>
      </c>
      <c r="T1008" s="165" t="s">
        <v>16</v>
      </c>
      <c r="U1008" s="165" t="s">
        <v>16</v>
      </c>
      <c r="V1008" s="165" t="s">
        <v>16</v>
      </c>
      <c r="W1008" s="165" t="s">
        <v>16</v>
      </c>
      <c r="X1008" s="165" t="s">
        <v>16</v>
      </c>
      <c r="Y1008" s="165" t="s">
        <v>16</v>
      </c>
      <c r="Z1008" s="165" t="s">
        <v>16</v>
      </c>
      <c r="AA1008" s="165" t="s">
        <v>16</v>
      </c>
      <c r="AB1008" s="165" t="s">
        <v>16</v>
      </c>
      <c r="AC1008" s="165" t="s">
        <v>16</v>
      </c>
      <c r="AD1008" s="165" t="s">
        <v>16</v>
      </c>
      <c r="AE1008" s="165" t="s">
        <v>1650</v>
      </c>
      <c r="AF1008" s="165"/>
    </row>
    <row r="1009" spans="1:32" x14ac:dyDescent="0.3">
      <c r="A1009" s="165" t="s">
        <v>1651</v>
      </c>
      <c r="B1009" s="165" t="s">
        <v>14</v>
      </c>
      <c r="C1009" s="165" t="s">
        <v>1627</v>
      </c>
      <c r="D1009" s="165" t="s">
        <v>15</v>
      </c>
      <c r="E1009" s="157">
        <v>41332</v>
      </c>
      <c r="F1009" s="165" t="s">
        <v>16</v>
      </c>
      <c r="G1009" s="165" t="s">
        <v>16</v>
      </c>
      <c r="H1009" s="165" t="s">
        <v>16</v>
      </c>
      <c r="I1009" s="165" t="s">
        <v>16</v>
      </c>
      <c r="J1009" s="165" t="s">
        <v>16</v>
      </c>
      <c r="K1009" s="165" t="s">
        <v>16</v>
      </c>
      <c r="L1009" s="165" t="s">
        <v>16</v>
      </c>
      <c r="M1009" s="165" t="s">
        <v>16</v>
      </c>
      <c r="N1009" s="165" t="s">
        <v>148</v>
      </c>
      <c r="O1009" s="165" t="s">
        <v>16</v>
      </c>
      <c r="P1009" s="165" t="s">
        <v>16</v>
      </c>
      <c r="Q1009" s="165" t="s">
        <v>16</v>
      </c>
      <c r="R1009" s="165" t="s">
        <v>16</v>
      </c>
      <c r="S1009" s="165" t="s">
        <v>16</v>
      </c>
      <c r="T1009" s="165" t="s">
        <v>16</v>
      </c>
      <c r="U1009" s="165" t="s">
        <v>16</v>
      </c>
      <c r="V1009" s="165" t="s">
        <v>16</v>
      </c>
      <c r="W1009" s="165" t="s">
        <v>16</v>
      </c>
      <c r="X1009" s="165" t="s">
        <v>16</v>
      </c>
      <c r="Y1009" s="165" t="s">
        <v>16</v>
      </c>
      <c r="Z1009" s="165" t="s">
        <v>16</v>
      </c>
      <c r="AA1009" s="165" t="s">
        <v>16</v>
      </c>
      <c r="AB1009" s="165" t="s">
        <v>16</v>
      </c>
      <c r="AC1009" s="165" t="s">
        <v>16</v>
      </c>
      <c r="AD1009" s="165" t="s">
        <v>16</v>
      </c>
      <c r="AE1009" s="165" t="s">
        <v>1634</v>
      </c>
      <c r="AF1009" s="165"/>
    </row>
    <row r="1010" spans="1:32" x14ac:dyDescent="0.3">
      <c r="A1010" s="165" t="s">
        <v>1652</v>
      </c>
      <c r="B1010" s="165" t="s">
        <v>14</v>
      </c>
      <c r="C1010" s="165" t="s">
        <v>1627</v>
      </c>
      <c r="D1010" s="165" t="s">
        <v>15</v>
      </c>
      <c r="E1010" s="157">
        <v>41332</v>
      </c>
      <c r="F1010" s="165" t="s">
        <v>16</v>
      </c>
      <c r="G1010" s="165" t="s">
        <v>16</v>
      </c>
      <c r="H1010" s="165" t="s">
        <v>16</v>
      </c>
      <c r="I1010" s="165" t="s">
        <v>16</v>
      </c>
      <c r="J1010" s="165" t="s">
        <v>16</v>
      </c>
      <c r="K1010" s="165" t="s">
        <v>16</v>
      </c>
      <c r="L1010" s="165" t="s">
        <v>16</v>
      </c>
      <c r="M1010" s="165" t="s">
        <v>16</v>
      </c>
      <c r="N1010" s="165" t="s">
        <v>16</v>
      </c>
      <c r="O1010" s="165" t="s">
        <v>16</v>
      </c>
      <c r="P1010" s="165" t="s">
        <v>16</v>
      </c>
      <c r="Q1010" s="165" t="s">
        <v>16</v>
      </c>
      <c r="R1010" s="165" t="s">
        <v>16</v>
      </c>
      <c r="S1010" s="165" t="s">
        <v>16</v>
      </c>
      <c r="T1010" s="165" t="s">
        <v>16</v>
      </c>
      <c r="U1010" s="165" t="s">
        <v>16</v>
      </c>
      <c r="V1010" s="165" t="s">
        <v>16</v>
      </c>
      <c r="W1010" s="165" t="s">
        <v>16</v>
      </c>
      <c r="X1010" s="165" t="s">
        <v>16</v>
      </c>
      <c r="Y1010" s="165" t="s">
        <v>16</v>
      </c>
      <c r="Z1010" s="165" t="s">
        <v>16</v>
      </c>
      <c r="AA1010" s="165" t="s">
        <v>16</v>
      </c>
      <c r="AB1010" s="165" t="s">
        <v>16</v>
      </c>
      <c r="AC1010" s="165" t="s">
        <v>16</v>
      </c>
      <c r="AD1010" s="165" t="s">
        <v>16</v>
      </c>
      <c r="AE1010" s="165" t="s">
        <v>1653</v>
      </c>
      <c r="AF1010" s="165"/>
    </row>
    <row r="1011" spans="1:32" x14ac:dyDescent="0.3">
      <c r="A1011" s="165" t="s">
        <v>1654</v>
      </c>
      <c r="B1011" s="165" t="s">
        <v>14</v>
      </c>
      <c r="C1011" s="165" t="s">
        <v>1627</v>
      </c>
      <c r="D1011" s="165" t="s">
        <v>15</v>
      </c>
      <c r="E1011" s="157">
        <v>41332</v>
      </c>
      <c r="F1011" s="165" t="s">
        <v>16</v>
      </c>
      <c r="G1011" s="165" t="s">
        <v>16</v>
      </c>
      <c r="H1011" s="165" t="s">
        <v>16</v>
      </c>
      <c r="I1011" s="165" t="s">
        <v>148</v>
      </c>
      <c r="J1011" s="165" t="s">
        <v>148</v>
      </c>
      <c r="K1011" s="165" t="s">
        <v>16</v>
      </c>
      <c r="L1011" s="165" t="s">
        <v>16</v>
      </c>
      <c r="M1011" s="165" t="s">
        <v>16</v>
      </c>
      <c r="N1011" s="165" t="s">
        <v>148</v>
      </c>
      <c r="O1011" s="165" t="s">
        <v>148</v>
      </c>
      <c r="P1011" s="165" t="s">
        <v>16</v>
      </c>
      <c r="Q1011" s="165" t="s">
        <v>16</v>
      </c>
      <c r="R1011" s="165" t="s">
        <v>16</v>
      </c>
      <c r="S1011" s="165" t="s">
        <v>16</v>
      </c>
      <c r="T1011" s="165" t="s">
        <v>16</v>
      </c>
      <c r="U1011" s="165" t="s">
        <v>16</v>
      </c>
      <c r="V1011" s="165" t="s">
        <v>16</v>
      </c>
      <c r="W1011" s="165" t="s">
        <v>16</v>
      </c>
      <c r="X1011" s="165" t="s">
        <v>16</v>
      </c>
      <c r="Y1011" s="165" t="s">
        <v>149</v>
      </c>
      <c r="Z1011" s="165" t="s">
        <v>149</v>
      </c>
      <c r="AA1011" s="165" t="s">
        <v>16</v>
      </c>
      <c r="AB1011" s="165" t="s">
        <v>16</v>
      </c>
      <c r="AC1011" s="165" t="s">
        <v>16</v>
      </c>
      <c r="AD1011" s="165" t="s">
        <v>16</v>
      </c>
      <c r="AE1011" s="165" t="s">
        <v>1634</v>
      </c>
      <c r="AF1011" s="165"/>
    </row>
    <row r="1012" spans="1:32" x14ac:dyDescent="0.3">
      <c r="A1012" s="165" t="s">
        <v>1655</v>
      </c>
      <c r="B1012" s="165" t="s">
        <v>14</v>
      </c>
      <c r="C1012" s="165" t="s">
        <v>1627</v>
      </c>
      <c r="D1012" s="165" t="s">
        <v>15</v>
      </c>
      <c r="E1012" s="157">
        <v>41332</v>
      </c>
      <c r="F1012" s="165" t="s">
        <v>16</v>
      </c>
      <c r="G1012" s="165" t="s">
        <v>16</v>
      </c>
      <c r="H1012" s="165" t="s">
        <v>16</v>
      </c>
      <c r="I1012" s="165" t="s">
        <v>16</v>
      </c>
      <c r="J1012" s="165" t="s">
        <v>16</v>
      </c>
      <c r="K1012" s="165" t="s">
        <v>16</v>
      </c>
      <c r="L1012" s="165" t="s">
        <v>16</v>
      </c>
      <c r="M1012" s="165" t="s">
        <v>16</v>
      </c>
      <c r="N1012" s="165" t="s">
        <v>16</v>
      </c>
      <c r="O1012" s="165" t="s">
        <v>16</v>
      </c>
      <c r="P1012" s="165" t="s">
        <v>16</v>
      </c>
      <c r="Q1012" s="165" t="s">
        <v>16</v>
      </c>
      <c r="R1012" s="165" t="s">
        <v>16</v>
      </c>
      <c r="S1012" s="165" t="s">
        <v>16</v>
      </c>
      <c r="T1012" s="165" t="s">
        <v>16</v>
      </c>
      <c r="U1012" s="165" t="s">
        <v>16</v>
      </c>
      <c r="V1012" s="165" t="s">
        <v>16</v>
      </c>
      <c r="W1012" s="165" t="s">
        <v>16</v>
      </c>
      <c r="X1012" s="165" t="s">
        <v>16</v>
      </c>
      <c r="Y1012" s="165" t="s">
        <v>16</v>
      </c>
      <c r="Z1012" s="165" t="s">
        <v>16</v>
      </c>
      <c r="AA1012" s="165" t="s">
        <v>16</v>
      </c>
      <c r="AB1012" s="165" t="s">
        <v>16</v>
      </c>
      <c r="AC1012" s="165" t="s">
        <v>16</v>
      </c>
      <c r="AD1012" s="165" t="s">
        <v>16</v>
      </c>
      <c r="AE1012" s="165" t="s">
        <v>1630</v>
      </c>
      <c r="AF1012" s="165"/>
    </row>
    <row r="1013" spans="1:32" x14ac:dyDescent="0.3">
      <c r="A1013" s="165" t="s">
        <v>1656</v>
      </c>
      <c r="B1013" s="165" t="s">
        <v>14</v>
      </c>
      <c r="C1013" s="165" t="s">
        <v>1627</v>
      </c>
      <c r="D1013" s="165" t="s">
        <v>15</v>
      </c>
      <c r="E1013" s="157">
        <v>41332</v>
      </c>
      <c r="F1013" s="165" t="s">
        <v>16</v>
      </c>
      <c r="G1013" s="165" t="s">
        <v>16</v>
      </c>
      <c r="H1013" s="165" t="s">
        <v>16</v>
      </c>
      <c r="I1013" s="165" t="s">
        <v>16</v>
      </c>
      <c r="J1013" s="165" t="s">
        <v>16</v>
      </c>
      <c r="K1013" s="165" t="s">
        <v>16</v>
      </c>
      <c r="L1013" s="165" t="s">
        <v>16</v>
      </c>
      <c r="M1013" s="165" t="s">
        <v>16</v>
      </c>
      <c r="N1013" s="165" t="s">
        <v>148</v>
      </c>
      <c r="O1013" s="165" t="s">
        <v>16</v>
      </c>
      <c r="P1013" s="165" t="s">
        <v>16</v>
      </c>
      <c r="Q1013" s="165" t="s">
        <v>16</v>
      </c>
      <c r="R1013" s="165" t="s">
        <v>16</v>
      </c>
      <c r="S1013" s="165" t="s">
        <v>16</v>
      </c>
      <c r="T1013" s="165" t="s">
        <v>148</v>
      </c>
      <c r="U1013" s="165" t="s">
        <v>16</v>
      </c>
      <c r="V1013" s="165" t="s">
        <v>148</v>
      </c>
      <c r="W1013" s="165" t="s">
        <v>16</v>
      </c>
      <c r="X1013" s="165" t="s">
        <v>16</v>
      </c>
      <c r="Y1013" s="165" t="s">
        <v>148</v>
      </c>
      <c r="Z1013" s="165" t="s">
        <v>16</v>
      </c>
      <c r="AA1013" s="165" t="s">
        <v>16</v>
      </c>
      <c r="AB1013" s="165" t="s">
        <v>16</v>
      </c>
      <c r="AC1013" s="165" t="s">
        <v>16</v>
      </c>
      <c r="AD1013" s="165" t="s">
        <v>16</v>
      </c>
      <c r="AE1013" s="165"/>
      <c r="AF1013" s="165"/>
    </row>
    <row r="1014" spans="1:32" x14ac:dyDescent="0.3">
      <c r="A1014" s="165" t="s">
        <v>1657</v>
      </c>
      <c r="B1014" s="165" t="s">
        <v>14</v>
      </c>
      <c r="C1014" s="165" t="s">
        <v>1627</v>
      </c>
      <c r="D1014" s="165" t="s">
        <v>15</v>
      </c>
      <c r="E1014" s="157">
        <v>41332</v>
      </c>
      <c r="F1014" s="165" t="s">
        <v>16</v>
      </c>
      <c r="G1014" s="165" t="s">
        <v>16</v>
      </c>
      <c r="H1014" s="165" t="s">
        <v>149</v>
      </c>
      <c r="I1014" s="165" t="s">
        <v>149</v>
      </c>
      <c r="J1014" s="165" t="s">
        <v>16</v>
      </c>
      <c r="K1014" s="165" t="s">
        <v>149</v>
      </c>
      <c r="L1014" s="165" t="s">
        <v>149</v>
      </c>
      <c r="M1014" s="165" t="s">
        <v>16</v>
      </c>
      <c r="N1014" s="165" t="s">
        <v>148</v>
      </c>
      <c r="O1014" s="165" t="s">
        <v>16</v>
      </c>
      <c r="P1014" s="165" t="s">
        <v>16</v>
      </c>
      <c r="Q1014" s="165" t="s">
        <v>149</v>
      </c>
      <c r="R1014" s="165" t="s">
        <v>16</v>
      </c>
      <c r="S1014" s="165" t="s">
        <v>16</v>
      </c>
      <c r="T1014" s="165" t="s">
        <v>16</v>
      </c>
      <c r="U1014" s="165" t="s">
        <v>16</v>
      </c>
      <c r="V1014" s="165" t="s">
        <v>148</v>
      </c>
      <c r="W1014" s="165" t="s">
        <v>149</v>
      </c>
      <c r="X1014" s="165" t="s">
        <v>149</v>
      </c>
      <c r="Y1014" s="165" t="s">
        <v>16</v>
      </c>
      <c r="Z1014" s="165" t="s">
        <v>16</v>
      </c>
      <c r="AA1014" s="165" t="s">
        <v>16</v>
      </c>
      <c r="AB1014" s="165" t="s">
        <v>148</v>
      </c>
      <c r="AC1014" s="165" t="s">
        <v>149</v>
      </c>
      <c r="AD1014" s="165" t="s">
        <v>16</v>
      </c>
      <c r="AE1014" s="165" t="s">
        <v>1630</v>
      </c>
      <c r="AF1014" s="165"/>
    </row>
    <row r="1018" spans="1:32" x14ac:dyDescent="0.3">
      <c r="A1018" s="165"/>
      <c r="B1018" s="165"/>
      <c r="C1018" s="165"/>
      <c r="D1018" s="165"/>
      <c r="E1018" s="165"/>
      <c r="F1018" s="165" t="s">
        <v>124</v>
      </c>
      <c r="G1018" s="165" t="s">
        <v>125</v>
      </c>
      <c r="H1018" s="165" t="s">
        <v>126</v>
      </c>
      <c r="I1018" s="165" t="s">
        <v>127</v>
      </c>
      <c r="J1018" s="165" t="s">
        <v>214</v>
      </c>
      <c r="K1018" s="165" t="s">
        <v>128</v>
      </c>
      <c r="L1018" s="165" t="s">
        <v>129</v>
      </c>
      <c r="M1018" s="165" t="s">
        <v>130</v>
      </c>
      <c r="N1018" s="165" t="s">
        <v>131</v>
      </c>
      <c r="O1018" s="165" t="s">
        <v>132</v>
      </c>
      <c r="P1018" s="165" t="s">
        <v>133</v>
      </c>
      <c r="Q1018" s="165" t="s">
        <v>134</v>
      </c>
      <c r="R1018" s="165" t="s">
        <v>135</v>
      </c>
      <c r="S1018" s="165" t="s">
        <v>136</v>
      </c>
      <c r="T1018" s="165" t="s">
        <v>137</v>
      </c>
      <c r="U1018" s="165" t="s">
        <v>138</v>
      </c>
      <c r="V1018" s="165" t="s">
        <v>139</v>
      </c>
      <c r="W1018" s="165" t="s">
        <v>140</v>
      </c>
      <c r="X1018" s="165" t="s">
        <v>186</v>
      </c>
      <c r="Y1018" s="165" t="s">
        <v>209</v>
      </c>
      <c r="Z1018" s="165" t="s">
        <v>141</v>
      </c>
      <c r="AA1018" s="165" t="s">
        <v>142</v>
      </c>
      <c r="AB1018" s="165" t="s">
        <v>210</v>
      </c>
      <c r="AC1018" s="165" t="s">
        <v>1180</v>
      </c>
      <c r="AD1018" s="165" t="s">
        <v>144</v>
      </c>
      <c r="AE1018" s="165" t="s">
        <v>1669</v>
      </c>
      <c r="AF1018" s="165" t="s">
        <v>190</v>
      </c>
    </row>
    <row r="1019" spans="1:32" x14ac:dyDescent="0.3">
      <c r="A1019" s="165" t="s">
        <v>1670</v>
      </c>
      <c r="B1019" s="165" t="s">
        <v>14</v>
      </c>
      <c r="C1019" s="165" t="s">
        <v>1671</v>
      </c>
      <c r="D1019" s="165" t="s">
        <v>15</v>
      </c>
      <c r="E1019" s="157">
        <v>41363</v>
      </c>
      <c r="F1019" s="165" t="s">
        <v>16</v>
      </c>
      <c r="G1019" s="165" t="s">
        <v>16</v>
      </c>
      <c r="H1019" s="165" t="s">
        <v>16</v>
      </c>
      <c r="I1019" s="165" t="s">
        <v>148</v>
      </c>
      <c r="J1019" s="165" t="s">
        <v>16</v>
      </c>
      <c r="K1019" s="165" t="s">
        <v>16</v>
      </c>
      <c r="L1019" s="165" t="s">
        <v>16</v>
      </c>
      <c r="M1019" s="165" t="s">
        <v>150</v>
      </c>
      <c r="N1019" s="165" t="s">
        <v>16</v>
      </c>
      <c r="O1019" s="165" t="s">
        <v>148</v>
      </c>
      <c r="P1019" s="165" t="s">
        <v>148</v>
      </c>
      <c r="Q1019" s="165" t="s">
        <v>150</v>
      </c>
      <c r="R1019" s="165" t="s">
        <v>148</v>
      </c>
      <c r="S1019" s="165" t="s">
        <v>150</v>
      </c>
      <c r="T1019" s="165" t="s">
        <v>148</v>
      </c>
      <c r="U1019" s="165" t="s">
        <v>16</v>
      </c>
      <c r="V1019" s="165" t="s">
        <v>16</v>
      </c>
      <c r="W1019" s="165" t="s">
        <v>16</v>
      </c>
      <c r="X1019" s="165" t="s">
        <v>148</v>
      </c>
      <c r="Y1019" s="165" t="s">
        <v>16</v>
      </c>
      <c r="Z1019" s="165" t="s">
        <v>148</v>
      </c>
      <c r="AA1019" s="165" t="s">
        <v>148</v>
      </c>
      <c r="AB1019" s="165" t="s">
        <v>16</v>
      </c>
      <c r="AC1019" s="165" t="s">
        <v>148</v>
      </c>
      <c r="AD1019" s="165" t="s">
        <v>16</v>
      </c>
      <c r="AE1019" s="165" t="s">
        <v>1672</v>
      </c>
      <c r="AF1019" s="165"/>
    </row>
    <row r="1020" spans="1:32" x14ac:dyDescent="0.3">
      <c r="A1020" s="165" t="s">
        <v>1673</v>
      </c>
      <c r="B1020" s="165" t="s">
        <v>14</v>
      </c>
      <c r="C1020" s="165" t="s">
        <v>1671</v>
      </c>
      <c r="D1020" s="165" t="s">
        <v>15</v>
      </c>
      <c r="E1020" s="157">
        <v>41363</v>
      </c>
      <c r="F1020" s="165" t="s">
        <v>16</v>
      </c>
      <c r="G1020" s="165" t="s">
        <v>16</v>
      </c>
      <c r="H1020" s="165" t="s">
        <v>16</v>
      </c>
      <c r="I1020" s="165" t="s">
        <v>16</v>
      </c>
      <c r="J1020" s="165" t="s">
        <v>16</v>
      </c>
      <c r="K1020" s="165" t="s">
        <v>16</v>
      </c>
      <c r="L1020" s="165" t="s">
        <v>16</v>
      </c>
      <c r="M1020" s="165" t="s">
        <v>16</v>
      </c>
      <c r="N1020" s="165" t="s">
        <v>148</v>
      </c>
      <c r="O1020" s="165" t="s">
        <v>148</v>
      </c>
      <c r="P1020" s="165" t="s">
        <v>16</v>
      </c>
      <c r="Q1020" s="165" t="s">
        <v>16</v>
      </c>
      <c r="R1020" s="165" t="s">
        <v>148</v>
      </c>
      <c r="S1020" s="165" t="s">
        <v>16</v>
      </c>
      <c r="T1020" s="165" t="s">
        <v>16</v>
      </c>
      <c r="U1020" s="165" t="s">
        <v>16</v>
      </c>
      <c r="V1020" s="165" t="s">
        <v>16</v>
      </c>
      <c r="W1020" s="165" t="s">
        <v>16</v>
      </c>
      <c r="X1020" s="165" t="s">
        <v>16</v>
      </c>
      <c r="Y1020" s="165" t="s">
        <v>16</v>
      </c>
      <c r="Z1020" s="165" t="s">
        <v>16</v>
      </c>
      <c r="AA1020" s="165" t="s">
        <v>16</v>
      </c>
      <c r="AB1020" s="165" t="s">
        <v>16</v>
      </c>
      <c r="AC1020" s="165" t="s">
        <v>16</v>
      </c>
      <c r="AD1020" s="165" t="s">
        <v>16</v>
      </c>
      <c r="AE1020" s="165" t="s">
        <v>1674</v>
      </c>
      <c r="AF1020" s="165"/>
    </row>
    <row r="1021" spans="1:32" x14ac:dyDescent="0.3">
      <c r="A1021" s="165" t="s">
        <v>1675</v>
      </c>
      <c r="B1021" s="165" t="s">
        <v>14</v>
      </c>
      <c r="C1021" s="165" t="s">
        <v>1671</v>
      </c>
      <c r="D1021" s="165" t="s">
        <v>15</v>
      </c>
      <c r="E1021" s="157">
        <v>41363</v>
      </c>
      <c r="F1021" s="165" t="s">
        <v>16</v>
      </c>
      <c r="G1021" s="165" t="s">
        <v>16</v>
      </c>
      <c r="H1021" s="165" t="s">
        <v>16</v>
      </c>
      <c r="I1021" s="165" t="s">
        <v>16</v>
      </c>
      <c r="J1021" s="165" t="s">
        <v>16</v>
      </c>
      <c r="K1021" s="165" t="s">
        <v>16</v>
      </c>
      <c r="L1021" s="165" t="s">
        <v>16</v>
      </c>
      <c r="M1021" s="165" t="s">
        <v>16</v>
      </c>
      <c r="N1021" s="165" t="s">
        <v>16</v>
      </c>
      <c r="O1021" s="165" t="s">
        <v>16</v>
      </c>
      <c r="P1021" s="165" t="s">
        <v>16</v>
      </c>
      <c r="Q1021" s="165" t="s">
        <v>16</v>
      </c>
      <c r="R1021" s="165" t="s">
        <v>16</v>
      </c>
      <c r="S1021" s="165" t="s">
        <v>16</v>
      </c>
      <c r="T1021" s="165" t="s">
        <v>16</v>
      </c>
      <c r="U1021" s="165" t="s">
        <v>16</v>
      </c>
      <c r="V1021" s="165" t="s">
        <v>149</v>
      </c>
      <c r="W1021" s="165" t="s">
        <v>16</v>
      </c>
      <c r="X1021" s="165" t="s">
        <v>16</v>
      </c>
      <c r="Y1021" s="165" t="s">
        <v>16</v>
      </c>
      <c r="Z1021" s="165" t="s">
        <v>16</v>
      </c>
      <c r="AA1021" s="165" t="s">
        <v>16</v>
      </c>
      <c r="AB1021" s="165" t="s">
        <v>16</v>
      </c>
      <c r="AC1021" s="165" t="s">
        <v>16</v>
      </c>
      <c r="AD1021" s="165" t="s">
        <v>16</v>
      </c>
      <c r="AE1021" s="165" t="s">
        <v>1674</v>
      </c>
      <c r="AF1021" s="165"/>
    </row>
    <row r="1022" spans="1:32" x14ac:dyDescent="0.3">
      <c r="A1022" s="165" t="s">
        <v>1676</v>
      </c>
      <c r="B1022" s="165" t="s">
        <v>14</v>
      </c>
      <c r="C1022" s="165" t="s">
        <v>1671</v>
      </c>
      <c r="D1022" s="165" t="s">
        <v>15</v>
      </c>
      <c r="E1022" s="157">
        <v>41363</v>
      </c>
      <c r="F1022" s="165" t="s">
        <v>16</v>
      </c>
      <c r="G1022" s="165" t="s">
        <v>16</v>
      </c>
      <c r="H1022" s="165" t="s">
        <v>16</v>
      </c>
      <c r="I1022" s="165" t="s">
        <v>16</v>
      </c>
      <c r="J1022" s="165" t="s">
        <v>16</v>
      </c>
      <c r="K1022" s="165" t="s">
        <v>16</v>
      </c>
      <c r="L1022" s="165" t="s">
        <v>16</v>
      </c>
      <c r="M1022" s="165" t="s">
        <v>16</v>
      </c>
      <c r="N1022" s="165" t="s">
        <v>16</v>
      </c>
      <c r="O1022" s="165" t="s">
        <v>16</v>
      </c>
      <c r="P1022" s="165" t="s">
        <v>16</v>
      </c>
      <c r="Q1022" s="165" t="s">
        <v>16</v>
      </c>
      <c r="R1022" s="165" t="s">
        <v>16</v>
      </c>
      <c r="S1022" s="165" t="s">
        <v>16</v>
      </c>
      <c r="T1022" s="165" t="s">
        <v>16</v>
      </c>
      <c r="U1022" s="165" t="s">
        <v>16</v>
      </c>
      <c r="V1022" s="165" t="s">
        <v>16</v>
      </c>
      <c r="W1022" s="165" t="s">
        <v>16</v>
      </c>
      <c r="X1022" s="165" t="s">
        <v>16</v>
      </c>
      <c r="Y1022" s="165" t="s">
        <v>16</v>
      </c>
      <c r="Z1022" s="165" t="s">
        <v>16</v>
      </c>
      <c r="AA1022" s="165" t="s">
        <v>16</v>
      </c>
      <c r="AB1022" s="165" t="s">
        <v>16</v>
      </c>
      <c r="AC1022" s="165" t="s">
        <v>16</v>
      </c>
      <c r="AD1022" s="165" t="s">
        <v>16</v>
      </c>
      <c r="AE1022" s="165" t="s">
        <v>1672</v>
      </c>
      <c r="AF1022" s="165" t="s">
        <v>1677</v>
      </c>
    </row>
    <row r="1023" spans="1:32" x14ac:dyDescent="0.3">
      <c r="A1023" s="165" t="s">
        <v>1678</v>
      </c>
      <c r="B1023" s="165" t="s">
        <v>14</v>
      </c>
      <c r="C1023" s="165" t="s">
        <v>1671</v>
      </c>
      <c r="D1023" s="165" t="s">
        <v>15</v>
      </c>
      <c r="E1023" s="157">
        <v>41363</v>
      </c>
      <c r="F1023" s="165" t="s">
        <v>16</v>
      </c>
      <c r="G1023" s="165" t="s">
        <v>16</v>
      </c>
      <c r="H1023" s="165" t="s">
        <v>16</v>
      </c>
      <c r="I1023" s="165" t="s">
        <v>16</v>
      </c>
      <c r="J1023" s="165" t="s">
        <v>16</v>
      </c>
      <c r="K1023" s="165" t="s">
        <v>16</v>
      </c>
      <c r="L1023" s="165" t="s">
        <v>16</v>
      </c>
      <c r="M1023" s="165" t="s">
        <v>16</v>
      </c>
      <c r="N1023" s="165" t="s">
        <v>16</v>
      </c>
      <c r="O1023" s="165" t="s">
        <v>16</v>
      </c>
      <c r="P1023" s="165" t="s">
        <v>16</v>
      </c>
      <c r="Q1023" s="165" t="s">
        <v>16</v>
      </c>
      <c r="R1023" s="165" t="s">
        <v>16</v>
      </c>
      <c r="S1023" s="165" t="s">
        <v>16</v>
      </c>
      <c r="T1023" s="165" t="s">
        <v>16</v>
      </c>
      <c r="U1023" s="165" t="s">
        <v>16</v>
      </c>
      <c r="V1023" s="165" t="s">
        <v>16</v>
      </c>
      <c r="W1023" s="165" t="s">
        <v>16</v>
      </c>
      <c r="X1023" s="165" t="s">
        <v>16</v>
      </c>
      <c r="Y1023" s="165" t="s">
        <v>16</v>
      </c>
      <c r="Z1023" s="165" t="s">
        <v>16</v>
      </c>
      <c r="AA1023" s="165" t="s">
        <v>16</v>
      </c>
      <c r="AB1023" s="165" t="s">
        <v>16</v>
      </c>
      <c r="AC1023" s="165" t="s">
        <v>16</v>
      </c>
      <c r="AD1023" s="165" t="s">
        <v>16</v>
      </c>
      <c r="AE1023" s="165" t="s">
        <v>1679</v>
      </c>
      <c r="AF1023" s="165"/>
    </row>
    <row r="1024" spans="1:32" x14ac:dyDescent="0.3">
      <c r="A1024" s="165" t="s">
        <v>1680</v>
      </c>
      <c r="B1024" s="165" t="s">
        <v>14</v>
      </c>
      <c r="C1024" s="165" t="s">
        <v>1671</v>
      </c>
      <c r="D1024" s="165" t="s">
        <v>15</v>
      </c>
      <c r="E1024" s="157">
        <v>41363</v>
      </c>
      <c r="F1024" s="165" t="s">
        <v>16</v>
      </c>
      <c r="G1024" s="165" t="s">
        <v>16</v>
      </c>
      <c r="H1024" s="165" t="s">
        <v>16</v>
      </c>
      <c r="I1024" s="165" t="s">
        <v>16</v>
      </c>
      <c r="J1024" s="165" t="s">
        <v>16</v>
      </c>
      <c r="K1024" s="165" t="s">
        <v>16</v>
      </c>
      <c r="L1024" s="165" t="s">
        <v>16</v>
      </c>
      <c r="M1024" s="165" t="s">
        <v>16</v>
      </c>
      <c r="N1024" s="165" t="s">
        <v>148</v>
      </c>
      <c r="O1024" s="165" t="s">
        <v>16</v>
      </c>
      <c r="P1024" s="165" t="s">
        <v>16</v>
      </c>
      <c r="Q1024" s="165" t="s">
        <v>16</v>
      </c>
      <c r="R1024" s="165" t="s">
        <v>16</v>
      </c>
      <c r="S1024" s="165" t="s">
        <v>16</v>
      </c>
      <c r="T1024" s="165" t="s">
        <v>16</v>
      </c>
      <c r="U1024" s="165" t="s">
        <v>16</v>
      </c>
      <c r="V1024" s="165" t="s">
        <v>16</v>
      </c>
      <c r="W1024" s="165" t="s">
        <v>148</v>
      </c>
      <c r="X1024" s="165" t="s">
        <v>16</v>
      </c>
      <c r="Y1024" s="165" t="s">
        <v>16</v>
      </c>
      <c r="Z1024" s="165" t="s">
        <v>16</v>
      </c>
      <c r="AA1024" s="165" t="s">
        <v>16</v>
      </c>
      <c r="AB1024" s="165" t="s">
        <v>16</v>
      </c>
      <c r="AC1024" s="165" t="s">
        <v>16</v>
      </c>
      <c r="AD1024" s="165" t="s">
        <v>16</v>
      </c>
      <c r="AE1024" s="165"/>
      <c r="AF1024" s="165"/>
    </row>
    <row r="1025" spans="1:32" x14ac:dyDescent="0.3">
      <c r="A1025" s="165" t="s">
        <v>1681</v>
      </c>
      <c r="B1025" s="165" t="s">
        <v>14</v>
      </c>
      <c r="C1025" s="165" t="s">
        <v>1671</v>
      </c>
      <c r="D1025" s="165" t="s">
        <v>15</v>
      </c>
      <c r="E1025" s="157">
        <v>41363</v>
      </c>
      <c r="F1025" s="165" t="s">
        <v>16</v>
      </c>
      <c r="G1025" s="165" t="s">
        <v>16</v>
      </c>
      <c r="H1025" s="165" t="s">
        <v>16</v>
      </c>
      <c r="I1025" s="165" t="s">
        <v>148</v>
      </c>
      <c r="J1025" s="165" t="s">
        <v>16</v>
      </c>
      <c r="K1025" s="165" t="s">
        <v>16</v>
      </c>
      <c r="L1025" s="165" t="s">
        <v>148</v>
      </c>
      <c r="M1025" s="165" t="s">
        <v>16</v>
      </c>
      <c r="N1025" s="165" t="s">
        <v>148</v>
      </c>
      <c r="O1025" s="165" t="s">
        <v>148</v>
      </c>
      <c r="P1025" s="165" t="s">
        <v>148</v>
      </c>
      <c r="Q1025" s="165" t="s">
        <v>16</v>
      </c>
      <c r="R1025" s="165" t="s">
        <v>16</v>
      </c>
      <c r="S1025" s="165" t="s">
        <v>148</v>
      </c>
      <c r="T1025" s="165" t="s">
        <v>148</v>
      </c>
      <c r="U1025" s="165" t="s">
        <v>16</v>
      </c>
      <c r="V1025" s="165" t="s">
        <v>16</v>
      </c>
      <c r="W1025" s="165" t="s">
        <v>148</v>
      </c>
      <c r="X1025" s="165" t="s">
        <v>148</v>
      </c>
      <c r="Y1025" s="165" t="s">
        <v>16</v>
      </c>
      <c r="Z1025" s="165" t="s">
        <v>149</v>
      </c>
      <c r="AA1025" s="165" t="s">
        <v>16</v>
      </c>
      <c r="AB1025" s="165" t="s">
        <v>16</v>
      </c>
      <c r="AC1025" s="165" t="s">
        <v>16</v>
      </c>
      <c r="AD1025" s="165" t="s">
        <v>16</v>
      </c>
      <c r="AE1025" s="165" t="s">
        <v>1672</v>
      </c>
      <c r="AF1025" s="165"/>
    </row>
    <row r="1026" spans="1:32" x14ac:dyDescent="0.3">
      <c r="A1026" s="165" t="s">
        <v>1682</v>
      </c>
      <c r="B1026" s="165" t="s">
        <v>14</v>
      </c>
      <c r="C1026" s="165" t="s">
        <v>1671</v>
      </c>
      <c r="D1026" s="165" t="s">
        <v>15</v>
      </c>
      <c r="E1026" s="157">
        <v>41363</v>
      </c>
      <c r="F1026" s="165" t="s">
        <v>16</v>
      </c>
      <c r="G1026" s="165" t="s">
        <v>16</v>
      </c>
      <c r="H1026" s="165" t="s">
        <v>16</v>
      </c>
      <c r="I1026" s="165" t="s">
        <v>16</v>
      </c>
      <c r="J1026" s="165" t="s">
        <v>16</v>
      </c>
      <c r="K1026" s="165" t="s">
        <v>16</v>
      </c>
      <c r="L1026" s="165" t="s">
        <v>16</v>
      </c>
      <c r="M1026" s="165" t="s">
        <v>16</v>
      </c>
      <c r="N1026" s="165" t="s">
        <v>16</v>
      </c>
      <c r="O1026" s="165" t="s">
        <v>16</v>
      </c>
      <c r="P1026" s="165" t="s">
        <v>16</v>
      </c>
      <c r="Q1026" s="165" t="s">
        <v>16</v>
      </c>
      <c r="R1026" s="165" t="s">
        <v>16</v>
      </c>
      <c r="S1026" s="165" t="s">
        <v>16</v>
      </c>
      <c r="T1026" s="165" t="s">
        <v>16</v>
      </c>
      <c r="U1026" s="165" t="s">
        <v>16</v>
      </c>
      <c r="V1026" s="165" t="s">
        <v>16</v>
      </c>
      <c r="W1026" s="165" t="s">
        <v>16</v>
      </c>
      <c r="X1026" s="165" t="s">
        <v>16</v>
      </c>
      <c r="Y1026" s="165" t="s">
        <v>16</v>
      </c>
      <c r="Z1026" s="165" t="s">
        <v>16</v>
      </c>
      <c r="AA1026" s="165" t="s">
        <v>16</v>
      </c>
      <c r="AB1026" s="165" t="s">
        <v>16</v>
      </c>
      <c r="AC1026" s="165" t="s">
        <v>16</v>
      </c>
      <c r="AD1026" s="165" t="s">
        <v>16</v>
      </c>
      <c r="AE1026" s="165" t="s">
        <v>1674</v>
      </c>
      <c r="AF1026" s="165"/>
    </row>
    <row r="1027" spans="1:32" x14ac:dyDescent="0.3">
      <c r="A1027" s="165" t="s">
        <v>1683</v>
      </c>
      <c r="B1027" s="165" t="s">
        <v>14</v>
      </c>
      <c r="C1027" s="165" t="s">
        <v>1671</v>
      </c>
      <c r="D1027" s="165" t="s">
        <v>15</v>
      </c>
      <c r="E1027" s="157">
        <v>41363</v>
      </c>
      <c r="F1027" s="165" t="s">
        <v>149</v>
      </c>
      <c r="G1027" s="165" t="s">
        <v>149</v>
      </c>
      <c r="H1027" s="165" t="s">
        <v>149</v>
      </c>
      <c r="I1027" s="165" t="s">
        <v>149</v>
      </c>
      <c r="J1027" s="165" t="s">
        <v>16</v>
      </c>
      <c r="K1027" s="165" t="s">
        <v>151</v>
      </c>
      <c r="L1027" s="165" t="s">
        <v>149</v>
      </c>
      <c r="M1027" s="165" t="s">
        <v>151</v>
      </c>
      <c r="N1027" s="165" t="s">
        <v>151</v>
      </c>
      <c r="O1027" s="165" t="s">
        <v>149</v>
      </c>
      <c r="P1027" s="165" t="s">
        <v>151</v>
      </c>
      <c r="Q1027" s="165" t="s">
        <v>151</v>
      </c>
      <c r="R1027" s="165" t="s">
        <v>149</v>
      </c>
      <c r="S1027" s="165" t="s">
        <v>151</v>
      </c>
      <c r="T1027" s="165" t="s">
        <v>151</v>
      </c>
      <c r="U1027" s="165" t="s">
        <v>151</v>
      </c>
      <c r="V1027" s="165" t="s">
        <v>151</v>
      </c>
      <c r="W1027" s="165" t="s">
        <v>151</v>
      </c>
      <c r="X1027" s="165" t="s">
        <v>151</v>
      </c>
      <c r="Y1027" s="165" t="s">
        <v>151</v>
      </c>
      <c r="Z1027" s="165" t="s">
        <v>149</v>
      </c>
      <c r="AA1027" s="165" t="s">
        <v>149</v>
      </c>
      <c r="AB1027" s="165" t="s">
        <v>148</v>
      </c>
      <c r="AC1027" s="165" t="s">
        <v>148</v>
      </c>
      <c r="AD1027" s="165" t="s">
        <v>16</v>
      </c>
      <c r="AE1027" s="165" t="s">
        <v>1674</v>
      </c>
      <c r="AF1027" s="165"/>
    </row>
    <row r="1028" spans="1:32" x14ac:dyDescent="0.3">
      <c r="A1028" s="165" t="s">
        <v>1684</v>
      </c>
      <c r="B1028" s="165" t="s">
        <v>14</v>
      </c>
      <c r="C1028" s="165" t="s">
        <v>1671</v>
      </c>
      <c r="D1028" s="165" t="s">
        <v>15</v>
      </c>
      <c r="E1028" s="157">
        <v>41363</v>
      </c>
      <c r="F1028" s="165" t="s">
        <v>16</v>
      </c>
      <c r="G1028" s="165" t="s">
        <v>148</v>
      </c>
      <c r="H1028" s="165" t="s">
        <v>148</v>
      </c>
      <c r="I1028" s="165" t="s">
        <v>148</v>
      </c>
      <c r="J1028" s="165" t="s">
        <v>148</v>
      </c>
      <c r="K1028" s="165" t="s">
        <v>16</v>
      </c>
      <c r="L1028" s="165" t="s">
        <v>16</v>
      </c>
      <c r="M1028" s="165" t="s">
        <v>148</v>
      </c>
      <c r="N1028" s="165" t="s">
        <v>148</v>
      </c>
      <c r="O1028" s="165" t="s">
        <v>16</v>
      </c>
      <c r="P1028" s="165" t="s">
        <v>148</v>
      </c>
      <c r="Q1028" s="165" t="s">
        <v>16</v>
      </c>
      <c r="R1028" s="165" t="s">
        <v>148</v>
      </c>
      <c r="S1028" s="165" t="s">
        <v>16</v>
      </c>
      <c r="T1028" s="165" t="s">
        <v>148</v>
      </c>
      <c r="U1028" s="165" t="s">
        <v>16</v>
      </c>
      <c r="V1028" s="165" t="s">
        <v>148</v>
      </c>
      <c r="W1028" s="165" t="s">
        <v>148</v>
      </c>
      <c r="X1028" s="165" t="s">
        <v>16</v>
      </c>
      <c r="Y1028" s="165" t="s">
        <v>148</v>
      </c>
      <c r="Z1028" s="165" t="s">
        <v>16</v>
      </c>
      <c r="AA1028" s="165" t="s">
        <v>16</v>
      </c>
      <c r="AB1028" s="165" t="s">
        <v>16</v>
      </c>
      <c r="AC1028" s="165" t="s">
        <v>16</v>
      </c>
      <c r="AD1028" s="165" t="s">
        <v>16</v>
      </c>
      <c r="AE1028" s="165" t="s">
        <v>1685</v>
      </c>
      <c r="AF1028" s="165"/>
    </row>
    <row r="1029" spans="1:32" x14ac:dyDescent="0.3">
      <c r="A1029" s="165" t="s">
        <v>1686</v>
      </c>
      <c r="B1029" s="165" t="s">
        <v>14</v>
      </c>
      <c r="C1029" s="165" t="s">
        <v>1671</v>
      </c>
      <c r="D1029" s="165" t="s">
        <v>15</v>
      </c>
      <c r="E1029" s="157">
        <v>41363</v>
      </c>
      <c r="F1029" s="165" t="s">
        <v>16</v>
      </c>
      <c r="G1029" s="165" t="s">
        <v>16</v>
      </c>
      <c r="H1029" s="165" t="s">
        <v>16</v>
      </c>
      <c r="I1029" s="165" t="s">
        <v>16</v>
      </c>
      <c r="J1029" s="165" t="s">
        <v>148</v>
      </c>
      <c r="K1029" s="165" t="s">
        <v>16</v>
      </c>
      <c r="L1029" s="165" t="s">
        <v>16</v>
      </c>
      <c r="M1029" s="165" t="s">
        <v>16</v>
      </c>
      <c r="N1029" s="165" t="s">
        <v>16</v>
      </c>
      <c r="O1029" s="165" t="s">
        <v>148</v>
      </c>
      <c r="P1029" s="165" t="s">
        <v>148</v>
      </c>
      <c r="Q1029" s="165" t="s">
        <v>148</v>
      </c>
      <c r="R1029" s="165" t="s">
        <v>16</v>
      </c>
      <c r="S1029" s="165" t="s">
        <v>148</v>
      </c>
      <c r="T1029" s="165" t="s">
        <v>148</v>
      </c>
      <c r="U1029" s="165" t="s">
        <v>16</v>
      </c>
      <c r="V1029" s="165" t="s">
        <v>16</v>
      </c>
      <c r="W1029" s="165" t="s">
        <v>16</v>
      </c>
      <c r="X1029" s="165" t="s">
        <v>148</v>
      </c>
      <c r="Y1029" s="165" t="s">
        <v>16</v>
      </c>
      <c r="Z1029" s="165" t="s">
        <v>148</v>
      </c>
      <c r="AA1029" s="165" t="s">
        <v>148</v>
      </c>
      <c r="AB1029" s="165" t="s">
        <v>16</v>
      </c>
      <c r="AC1029" s="165" t="s">
        <v>16</v>
      </c>
      <c r="AD1029" s="165" t="s">
        <v>16</v>
      </c>
      <c r="AE1029" s="165" t="s">
        <v>1674</v>
      </c>
      <c r="AF1029" s="165"/>
    </row>
    <row r="1030" spans="1:32" x14ac:dyDescent="0.3">
      <c r="A1030" s="165" t="s">
        <v>1687</v>
      </c>
      <c r="B1030" s="165" t="s">
        <v>14</v>
      </c>
      <c r="C1030" s="165" t="s">
        <v>1671</v>
      </c>
      <c r="D1030" s="165" t="s">
        <v>15</v>
      </c>
      <c r="E1030" s="157">
        <v>41363</v>
      </c>
      <c r="F1030" s="165" t="s">
        <v>16</v>
      </c>
      <c r="G1030" s="165" t="s">
        <v>16</v>
      </c>
      <c r="H1030" s="165" t="s">
        <v>16</v>
      </c>
      <c r="I1030" s="165" t="s">
        <v>16</v>
      </c>
      <c r="J1030" s="165" t="s">
        <v>16</v>
      </c>
      <c r="K1030" s="165" t="s">
        <v>16</v>
      </c>
      <c r="L1030" s="165" t="s">
        <v>16</v>
      </c>
      <c r="M1030" s="165" t="s">
        <v>16</v>
      </c>
      <c r="N1030" s="165" t="s">
        <v>16</v>
      </c>
      <c r="O1030" s="165" t="s">
        <v>16</v>
      </c>
      <c r="P1030" s="165" t="s">
        <v>16</v>
      </c>
      <c r="Q1030" s="165" t="s">
        <v>16</v>
      </c>
      <c r="R1030" s="165" t="s">
        <v>16</v>
      </c>
      <c r="S1030" s="165" t="s">
        <v>16</v>
      </c>
      <c r="T1030" s="165" t="s">
        <v>16</v>
      </c>
      <c r="U1030" s="165" t="s">
        <v>16</v>
      </c>
      <c r="V1030" s="165" t="s">
        <v>16</v>
      </c>
      <c r="W1030" s="165" t="s">
        <v>16</v>
      </c>
      <c r="X1030" s="165" t="s">
        <v>16</v>
      </c>
      <c r="Y1030" s="165" t="s">
        <v>16</v>
      </c>
      <c r="Z1030" s="165" t="s">
        <v>16</v>
      </c>
      <c r="AA1030" s="165" t="s">
        <v>16</v>
      </c>
      <c r="AB1030" s="165" t="s">
        <v>16</v>
      </c>
      <c r="AC1030" s="165" t="s">
        <v>16</v>
      </c>
      <c r="AD1030" s="165" t="s">
        <v>16</v>
      </c>
      <c r="AE1030" s="165" t="s">
        <v>1674</v>
      </c>
      <c r="AF1030" s="165"/>
    </row>
    <row r="1031" spans="1:32" x14ac:dyDescent="0.3">
      <c r="A1031" s="165" t="s">
        <v>1688</v>
      </c>
      <c r="B1031" s="165" t="s">
        <v>14</v>
      </c>
      <c r="C1031" s="165" t="s">
        <v>1671</v>
      </c>
      <c r="D1031" s="165" t="s">
        <v>15</v>
      </c>
      <c r="E1031" s="157">
        <v>41363</v>
      </c>
      <c r="F1031" s="165" t="s">
        <v>16</v>
      </c>
      <c r="G1031" s="165" t="s">
        <v>148</v>
      </c>
      <c r="H1031" s="165" t="s">
        <v>149</v>
      </c>
      <c r="I1031" s="165" t="s">
        <v>16</v>
      </c>
      <c r="J1031" s="165" t="s">
        <v>149</v>
      </c>
      <c r="K1031" s="165" t="s">
        <v>149</v>
      </c>
      <c r="L1031" s="165" t="s">
        <v>148</v>
      </c>
      <c r="M1031" s="165" t="s">
        <v>16</v>
      </c>
      <c r="N1031" s="165" t="s">
        <v>148</v>
      </c>
      <c r="O1031" s="165" t="s">
        <v>149</v>
      </c>
      <c r="P1031" s="165" t="s">
        <v>148</v>
      </c>
      <c r="Q1031" s="165" t="s">
        <v>16</v>
      </c>
      <c r="R1031" s="165" t="s">
        <v>149</v>
      </c>
      <c r="S1031" s="165" t="s">
        <v>148</v>
      </c>
      <c r="T1031" s="165" t="s">
        <v>149</v>
      </c>
      <c r="U1031" s="165" t="s">
        <v>149</v>
      </c>
      <c r="V1031" s="165" t="s">
        <v>149</v>
      </c>
      <c r="W1031" s="165" t="s">
        <v>148</v>
      </c>
      <c r="X1031" s="165" t="s">
        <v>148</v>
      </c>
      <c r="Y1031" s="165" t="s">
        <v>151</v>
      </c>
      <c r="Z1031" s="165" t="s">
        <v>149</v>
      </c>
      <c r="AA1031" s="165" t="s">
        <v>16</v>
      </c>
      <c r="AB1031" s="165" t="s">
        <v>149</v>
      </c>
      <c r="AC1031" s="165" t="s">
        <v>149</v>
      </c>
      <c r="AD1031" s="165" t="s">
        <v>151</v>
      </c>
      <c r="AE1031" s="165" t="s">
        <v>1689</v>
      </c>
      <c r="AF1031" s="165" t="s">
        <v>1690</v>
      </c>
    </row>
    <row r="1032" spans="1:32" x14ac:dyDescent="0.3">
      <c r="A1032" s="165" t="s">
        <v>1691</v>
      </c>
      <c r="B1032" s="165" t="s">
        <v>14</v>
      </c>
      <c r="C1032" s="165" t="s">
        <v>1671</v>
      </c>
      <c r="D1032" s="165" t="s">
        <v>15</v>
      </c>
      <c r="E1032" s="157">
        <v>41363</v>
      </c>
      <c r="F1032" s="165" t="s">
        <v>16</v>
      </c>
      <c r="G1032" s="165" t="s">
        <v>16</v>
      </c>
      <c r="H1032" s="165" t="s">
        <v>16</v>
      </c>
      <c r="I1032" s="165" t="s">
        <v>16</v>
      </c>
      <c r="J1032" s="165" t="s">
        <v>16</v>
      </c>
      <c r="K1032" s="165" t="s">
        <v>16</v>
      </c>
      <c r="L1032" s="165" t="s">
        <v>149</v>
      </c>
      <c r="M1032" s="165" t="s">
        <v>149</v>
      </c>
      <c r="N1032" s="165" t="s">
        <v>16</v>
      </c>
      <c r="O1032" s="165" t="s">
        <v>16</v>
      </c>
      <c r="P1032" s="165" t="s">
        <v>16</v>
      </c>
      <c r="Q1032" s="165" t="s">
        <v>16</v>
      </c>
      <c r="R1032" s="165" t="s">
        <v>16</v>
      </c>
      <c r="S1032" s="165" t="s">
        <v>16</v>
      </c>
      <c r="T1032" s="165" t="s">
        <v>16</v>
      </c>
      <c r="U1032" s="165" t="s">
        <v>16</v>
      </c>
      <c r="V1032" s="165" t="s">
        <v>16</v>
      </c>
      <c r="W1032" s="165" t="s">
        <v>16</v>
      </c>
      <c r="X1032" s="165" t="s">
        <v>16</v>
      </c>
      <c r="Y1032" s="165" t="s">
        <v>16</v>
      </c>
      <c r="Z1032" s="165" t="s">
        <v>16</v>
      </c>
      <c r="AA1032" s="165" t="s">
        <v>16</v>
      </c>
      <c r="AB1032" s="165" t="s">
        <v>16</v>
      </c>
      <c r="AC1032" s="165" t="s">
        <v>16</v>
      </c>
      <c r="AD1032" s="165" t="s">
        <v>16</v>
      </c>
      <c r="AE1032" s="165" t="s">
        <v>1685</v>
      </c>
      <c r="AF1032" s="165"/>
    </row>
    <row r="1033" spans="1:32" x14ac:dyDescent="0.3">
      <c r="A1033" s="165" t="s">
        <v>1692</v>
      </c>
      <c r="B1033" s="165" t="s">
        <v>14</v>
      </c>
      <c r="C1033" s="165" t="s">
        <v>1671</v>
      </c>
      <c r="D1033" s="165" t="s">
        <v>15</v>
      </c>
      <c r="E1033" s="157">
        <v>41363</v>
      </c>
      <c r="F1033" s="165" t="s">
        <v>16</v>
      </c>
      <c r="G1033" s="165" t="s">
        <v>16</v>
      </c>
      <c r="H1033" s="165" t="s">
        <v>16</v>
      </c>
      <c r="I1033" s="165" t="s">
        <v>16</v>
      </c>
      <c r="J1033" s="165" t="s">
        <v>16</v>
      </c>
      <c r="K1033" s="165" t="s">
        <v>16</v>
      </c>
      <c r="L1033" s="165" t="s">
        <v>16</v>
      </c>
      <c r="M1033" s="165" t="s">
        <v>148</v>
      </c>
      <c r="N1033" s="165" t="s">
        <v>16</v>
      </c>
      <c r="O1033" s="165" t="s">
        <v>149</v>
      </c>
      <c r="P1033" s="165" t="s">
        <v>16</v>
      </c>
      <c r="Q1033" s="165" t="s">
        <v>16</v>
      </c>
      <c r="R1033" s="165" t="s">
        <v>16</v>
      </c>
      <c r="S1033" s="165" t="s">
        <v>149</v>
      </c>
      <c r="T1033" s="165" t="s">
        <v>16</v>
      </c>
      <c r="U1033" s="165" t="s">
        <v>16</v>
      </c>
      <c r="V1033" s="165" t="s">
        <v>16</v>
      </c>
      <c r="W1033" s="165" t="s">
        <v>148</v>
      </c>
      <c r="X1033" s="165" t="s">
        <v>16</v>
      </c>
      <c r="Y1033" s="165" t="s">
        <v>148</v>
      </c>
      <c r="Z1033" s="165" t="s">
        <v>148</v>
      </c>
      <c r="AA1033" s="165" t="s">
        <v>16</v>
      </c>
      <c r="AB1033" s="165" t="s">
        <v>16</v>
      </c>
      <c r="AC1033" s="165" t="s">
        <v>16</v>
      </c>
      <c r="AD1033" s="165" t="s">
        <v>16</v>
      </c>
      <c r="AE1033" s="165"/>
      <c r="AF1033" s="165"/>
    </row>
    <row r="1034" spans="1:32" x14ac:dyDescent="0.3">
      <c r="A1034" s="165" t="s">
        <v>1693</v>
      </c>
      <c r="B1034" s="165" t="s">
        <v>14</v>
      </c>
      <c r="C1034" s="165" t="s">
        <v>1671</v>
      </c>
      <c r="D1034" s="165" t="s">
        <v>15</v>
      </c>
      <c r="E1034" s="157">
        <v>41363</v>
      </c>
      <c r="F1034" s="165" t="s">
        <v>16</v>
      </c>
      <c r="G1034" s="165" t="s">
        <v>16</v>
      </c>
      <c r="H1034" s="165" t="s">
        <v>148</v>
      </c>
      <c r="I1034" s="165" t="s">
        <v>148</v>
      </c>
      <c r="J1034" s="165" t="s">
        <v>16</v>
      </c>
      <c r="K1034" s="165" t="s">
        <v>16</v>
      </c>
      <c r="L1034" s="165" t="s">
        <v>16</v>
      </c>
      <c r="M1034" s="165" t="s">
        <v>16</v>
      </c>
      <c r="N1034" s="165" t="s">
        <v>16</v>
      </c>
      <c r="O1034" s="165" t="s">
        <v>16</v>
      </c>
      <c r="P1034" s="165" t="s">
        <v>16</v>
      </c>
      <c r="Q1034" s="165" t="s">
        <v>16</v>
      </c>
      <c r="R1034" s="165" t="s">
        <v>16</v>
      </c>
      <c r="S1034" s="165" t="s">
        <v>16</v>
      </c>
      <c r="T1034" s="165" t="s">
        <v>16</v>
      </c>
      <c r="U1034" s="165" t="s">
        <v>16</v>
      </c>
      <c r="V1034" s="165" t="s">
        <v>16</v>
      </c>
      <c r="W1034" s="165" t="s">
        <v>16</v>
      </c>
      <c r="X1034" s="165" t="s">
        <v>16</v>
      </c>
      <c r="Y1034" s="165" t="s">
        <v>16</v>
      </c>
      <c r="Z1034" s="165" t="s">
        <v>16</v>
      </c>
      <c r="AA1034" s="165" t="s">
        <v>16</v>
      </c>
      <c r="AB1034" s="165" t="s">
        <v>16</v>
      </c>
      <c r="AC1034" s="165" t="s">
        <v>16</v>
      </c>
      <c r="AD1034" s="165" t="s">
        <v>16</v>
      </c>
      <c r="AE1034" s="165" t="s">
        <v>1674</v>
      </c>
      <c r="AF1034" s="165"/>
    </row>
    <row r="1035" spans="1:32" x14ac:dyDescent="0.3">
      <c r="A1035" s="165" t="s">
        <v>1694</v>
      </c>
      <c r="B1035" s="165" t="s">
        <v>14</v>
      </c>
      <c r="C1035" s="165" t="s">
        <v>1671</v>
      </c>
      <c r="D1035" s="165" t="s">
        <v>15</v>
      </c>
      <c r="E1035" s="157">
        <v>41363</v>
      </c>
      <c r="F1035" s="165" t="s">
        <v>16</v>
      </c>
      <c r="G1035" s="165" t="s">
        <v>16</v>
      </c>
      <c r="H1035" s="165" t="s">
        <v>16</v>
      </c>
      <c r="I1035" s="165" t="s">
        <v>16</v>
      </c>
      <c r="J1035" s="165" t="s">
        <v>16</v>
      </c>
      <c r="K1035" s="165" t="s">
        <v>16</v>
      </c>
      <c r="L1035" s="165" t="s">
        <v>16</v>
      </c>
      <c r="M1035" s="165" t="s">
        <v>16</v>
      </c>
      <c r="N1035" s="165" t="s">
        <v>16</v>
      </c>
      <c r="O1035" s="165" t="s">
        <v>16</v>
      </c>
      <c r="P1035" s="165" t="s">
        <v>16</v>
      </c>
      <c r="Q1035" s="165" t="s">
        <v>16</v>
      </c>
      <c r="R1035" s="165" t="s">
        <v>16</v>
      </c>
      <c r="S1035" s="165" t="s">
        <v>16</v>
      </c>
      <c r="T1035" s="165" t="s">
        <v>16</v>
      </c>
      <c r="U1035" s="165" t="s">
        <v>16</v>
      </c>
      <c r="V1035" s="165" t="s">
        <v>16</v>
      </c>
      <c r="W1035" s="165" t="s">
        <v>16</v>
      </c>
      <c r="X1035" s="165" t="s">
        <v>16</v>
      </c>
      <c r="Y1035" s="165" t="s">
        <v>16</v>
      </c>
      <c r="Z1035" s="165" t="s">
        <v>16</v>
      </c>
      <c r="AA1035" s="165" t="s">
        <v>16</v>
      </c>
      <c r="AB1035" s="165" t="s">
        <v>16</v>
      </c>
      <c r="AC1035" s="165" t="s">
        <v>16</v>
      </c>
      <c r="AD1035" s="165" t="s">
        <v>16</v>
      </c>
      <c r="AE1035" s="165" t="s">
        <v>1672</v>
      </c>
      <c r="AF1035" s="165"/>
    </row>
    <row r="1036" spans="1:32" x14ac:dyDescent="0.3">
      <c r="A1036" s="165" t="s">
        <v>1695</v>
      </c>
      <c r="B1036" s="165" t="s">
        <v>14</v>
      </c>
      <c r="C1036" s="165" t="s">
        <v>1671</v>
      </c>
      <c r="D1036" s="165" t="s">
        <v>15</v>
      </c>
      <c r="E1036" s="157">
        <v>41363</v>
      </c>
      <c r="F1036" s="165" t="s">
        <v>16</v>
      </c>
      <c r="G1036" s="165" t="s">
        <v>16</v>
      </c>
      <c r="H1036" s="165" t="s">
        <v>16</v>
      </c>
      <c r="I1036" s="165" t="s">
        <v>148</v>
      </c>
      <c r="J1036" s="165" t="s">
        <v>16</v>
      </c>
      <c r="K1036" s="165" t="s">
        <v>16</v>
      </c>
      <c r="L1036" s="165" t="s">
        <v>16</v>
      </c>
      <c r="M1036" s="165" t="s">
        <v>16</v>
      </c>
      <c r="N1036" s="165" t="s">
        <v>148</v>
      </c>
      <c r="O1036" s="165" t="s">
        <v>16</v>
      </c>
      <c r="P1036" s="165" t="s">
        <v>16</v>
      </c>
      <c r="Q1036" s="165" t="s">
        <v>16</v>
      </c>
      <c r="R1036" s="165" t="s">
        <v>16</v>
      </c>
      <c r="S1036" s="165" t="s">
        <v>16</v>
      </c>
      <c r="T1036" s="165" t="s">
        <v>16</v>
      </c>
      <c r="U1036" s="165" t="s">
        <v>16</v>
      </c>
      <c r="V1036" s="165" t="s">
        <v>16</v>
      </c>
      <c r="W1036" s="165" t="s">
        <v>16</v>
      </c>
      <c r="X1036" s="165" t="s">
        <v>16</v>
      </c>
      <c r="Y1036" s="165" t="s">
        <v>16</v>
      </c>
      <c r="Z1036" s="165" t="s">
        <v>16</v>
      </c>
      <c r="AA1036" s="165" t="s">
        <v>16</v>
      </c>
      <c r="AB1036" s="165" t="s">
        <v>16</v>
      </c>
      <c r="AC1036" s="165" t="s">
        <v>16</v>
      </c>
      <c r="AD1036" s="165" t="s">
        <v>16</v>
      </c>
      <c r="AE1036" s="165" t="s">
        <v>1674</v>
      </c>
      <c r="AF1036" s="165"/>
    </row>
    <row r="1037" spans="1:32" x14ac:dyDescent="0.3">
      <c r="A1037" s="165" t="s">
        <v>1696</v>
      </c>
      <c r="B1037" s="165" t="s">
        <v>14</v>
      </c>
      <c r="C1037" s="165" t="s">
        <v>1671</v>
      </c>
      <c r="D1037" s="165" t="s">
        <v>15</v>
      </c>
      <c r="E1037" s="157">
        <v>41363</v>
      </c>
      <c r="F1037" s="165" t="s">
        <v>148</v>
      </c>
      <c r="G1037" s="165" t="s">
        <v>16</v>
      </c>
      <c r="H1037" s="165" t="s">
        <v>149</v>
      </c>
      <c r="I1037" s="165" t="s">
        <v>16</v>
      </c>
      <c r="J1037" s="165" t="s">
        <v>16</v>
      </c>
      <c r="K1037" s="165" t="s">
        <v>148</v>
      </c>
      <c r="L1037" s="165" t="s">
        <v>16</v>
      </c>
      <c r="M1037" s="165" t="s">
        <v>16</v>
      </c>
      <c r="N1037" s="165" t="s">
        <v>16</v>
      </c>
      <c r="O1037" s="165" t="s">
        <v>16</v>
      </c>
      <c r="P1037" s="165" t="s">
        <v>16</v>
      </c>
      <c r="Q1037" s="165" t="s">
        <v>16</v>
      </c>
      <c r="R1037" s="165" t="s">
        <v>16</v>
      </c>
      <c r="S1037" s="165" t="s">
        <v>16</v>
      </c>
      <c r="T1037" s="165" t="s">
        <v>16</v>
      </c>
      <c r="U1037" s="165" t="s">
        <v>149</v>
      </c>
      <c r="V1037" s="165" t="s">
        <v>16</v>
      </c>
      <c r="W1037" s="165" t="s">
        <v>16</v>
      </c>
      <c r="X1037" s="165" t="s">
        <v>16</v>
      </c>
      <c r="Y1037" s="165" t="s">
        <v>148</v>
      </c>
      <c r="Z1037" s="165" t="s">
        <v>16</v>
      </c>
      <c r="AA1037" s="165" t="s">
        <v>16</v>
      </c>
      <c r="AB1037" s="165" t="s">
        <v>16</v>
      </c>
      <c r="AC1037" s="165" t="s">
        <v>16</v>
      </c>
      <c r="AD1037" s="165" t="s">
        <v>16</v>
      </c>
      <c r="AE1037" s="165" t="s">
        <v>1674</v>
      </c>
      <c r="AF1037" s="165"/>
    </row>
    <row r="1038" spans="1:32" x14ac:dyDescent="0.3">
      <c r="A1038" s="165" t="s">
        <v>1697</v>
      </c>
      <c r="B1038" s="165" t="s">
        <v>14</v>
      </c>
      <c r="C1038" s="165" t="s">
        <v>1671</v>
      </c>
      <c r="D1038" s="165" t="s">
        <v>15</v>
      </c>
      <c r="E1038" s="157">
        <v>41363</v>
      </c>
      <c r="F1038" s="165" t="s">
        <v>16</v>
      </c>
      <c r="G1038" s="165" t="s">
        <v>16</v>
      </c>
      <c r="H1038" s="165" t="s">
        <v>16</v>
      </c>
      <c r="I1038" s="165" t="s">
        <v>16</v>
      </c>
      <c r="J1038" s="165" t="s">
        <v>16</v>
      </c>
      <c r="K1038" s="165" t="s">
        <v>16</v>
      </c>
      <c r="L1038" s="165" t="s">
        <v>16</v>
      </c>
      <c r="M1038" s="165" t="s">
        <v>16</v>
      </c>
      <c r="N1038" s="165" t="s">
        <v>148</v>
      </c>
      <c r="O1038" s="165" t="s">
        <v>16</v>
      </c>
      <c r="P1038" s="165" t="s">
        <v>16</v>
      </c>
      <c r="Q1038" s="165" t="s">
        <v>16</v>
      </c>
      <c r="R1038" s="165" t="s">
        <v>16</v>
      </c>
      <c r="S1038" s="165" t="s">
        <v>16</v>
      </c>
      <c r="T1038" s="165" t="s">
        <v>16</v>
      </c>
      <c r="U1038" s="165" t="s">
        <v>16</v>
      </c>
      <c r="V1038" s="165" t="s">
        <v>16</v>
      </c>
      <c r="W1038" s="165" t="s">
        <v>16</v>
      </c>
      <c r="X1038" s="165" t="s">
        <v>16</v>
      </c>
      <c r="Y1038" s="165" t="s">
        <v>148</v>
      </c>
      <c r="Z1038" s="165" t="s">
        <v>16</v>
      </c>
      <c r="AA1038" s="165" t="s">
        <v>16</v>
      </c>
      <c r="AB1038" s="165" t="s">
        <v>16</v>
      </c>
      <c r="AC1038" s="165" t="s">
        <v>16</v>
      </c>
      <c r="AD1038" s="165" t="s">
        <v>148</v>
      </c>
      <c r="AE1038" s="165"/>
      <c r="AF1038" s="165"/>
    </row>
    <row r="1039" spans="1:32" x14ac:dyDescent="0.3">
      <c r="A1039" s="165" t="s">
        <v>1698</v>
      </c>
      <c r="B1039" s="165" t="s">
        <v>14</v>
      </c>
      <c r="C1039" s="165" t="s">
        <v>1671</v>
      </c>
      <c r="D1039" s="165" t="s">
        <v>15</v>
      </c>
      <c r="E1039" s="157">
        <v>41363</v>
      </c>
      <c r="F1039" s="165" t="s">
        <v>16</v>
      </c>
      <c r="G1039" s="165" t="s">
        <v>148</v>
      </c>
      <c r="H1039" s="165" t="s">
        <v>16</v>
      </c>
      <c r="I1039" s="165" t="s">
        <v>149</v>
      </c>
      <c r="J1039" s="165" t="s">
        <v>16</v>
      </c>
      <c r="K1039" s="165" t="s">
        <v>16</v>
      </c>
      <c r="L1039" s="165" t="s">
        <v>149</v>
      </c>
      <c r="M1039" s="165" t="s">
        <v>148</v>
      </c>
      <c r="N1039" s="165" t="s">
        <v>148</v>
      </c>
      <c r="O1039" s="165" t="s">
        <v>16</v>
      </c>
      <c r="P1039" s="165" t="s">
        <v>148</v>
      </c>
      <c r="Q1039" s="165" t="s">
        <v>16</v>
      </c>
      <c r="R1039" s="165" t="s">
        <v>16</v>
      </c>
      <c r="S1039" s="165" t="s">
        <v>16</v>
      </c>
      <c r="T1039" s="165" t="s">
        <v>16</v>
      </c>
      <c r="U1039" s="165" t="s">
        <v>16</v>
      </c>
      <c r="V1039" s="165" t="s">
        <v>148</v>
      </c>
      <c r="W1039" s="165" t="s">
        <v>16</v>
      </c>
      <c r="X1039" s="165" t="s">
        <v>16</v>
      </c>
      <c r="Y1039" s="165" t="s">
        <v>148</v>
      </c>
      <c r="Z1039" s="165" t="s">
        <v>16</v>
      </c>
      <c r="AA1039" s="165" t="s">
        <v>16</v>
      </c>
      <c r="AB1039" s="165" t="s">
        <v>16</v>
      </c>
      <c r="AC1039" s="165" t="s">
        <v>16</v>
      </c>
      <c r="AD1039" s="165" t="s">
        <v>16</v>
      </c>
      <c r="AE1039" s="165" t="s">
        <v>1674</v>
      </c>
      <c r="AF1039" s="165"/>
    </row>
    <row r="1040" spans="1:32" x14ac:dyDescent="0.3">
      <c r="A1040" s="165" t="s">
        <v>1699</v>
      </c>
      <c r="B1040" s="165" t="s">
        <v>14</v>
      </c>
      <c r="C1040" s="165" t="s">
        <v>1671</v>
      </c>
      <c r="D1040" s="165" t="s">
        <v>15</v>
      </c>
      <c r="E1040" s="157">
        <v>41363</v>
      </c>
      <c r="F1040" s="165" t="s">
        <v>16</v>
      </c>
      <c r="G1040" s="165" t="s">
        <v>16</v>
      </c>
      <c r="H1040" s="165" t="s">
        <v>16</v>
      </c>
      <c r="I1040" s="165" t="s">
        <v>16</v>
      </c>
      <c r="J1040" s="165" t="s">
        <v>16</v>
      </c>
      <c r="K1040" s="165" t="s">
        <v>16</v>
      </c>
      <c r="L1040" s="165" t="s">
        <v>148</v>
      </c>
      <c r="M1040" s="165" t="s">
        <v>148</v>
      </c>
      <c r="N1040" s="165" t="s">
        <v>16</v>
      </c>
      <c r="O1040" s="165" t="s">
        <v>16</v>
      </c>
      <c r="P1040" s="165" t="s">
        <v>16</v>
      </c>
      <c r="Q1040" s="165" t="s">
        <v>16</v>
      </c>
      <c r="R1040" s="165" t="s">
        <v>16</v>
      </c>
      <c r="S1040" s="165" t="s">
        <v>148</v>
      </c>
      <c r="T1040" s="165" t="s">
        <v>148</v>
      </c>
      <c r="U1040" s="165" t="s">
        <v>148</v>
      </c>
      <c r="V1040" s="165" t="s">
        <v>16</v>
      </c>
      <c r="W1040" s="165" t="s">
        <v>148</v>
      </c>
      <c r="X1040" s="165" t="s">
        <v>16</v>
      </c>
      <c r="Y1040" s="165" t="s">
        <v>16</v>
      </c>
      <c r="Z1040" s="165" t="s">
        <v>16</v>
      </c>
      <c r="AA1040" s="165" t="s">
        <v>16</v>
      </c>
      <c r="AB1040" s="165" t="s">
        <v>16</v>
      </c>
      <c r="AC1040" s="165" t="s">
        <v>16</v>
      </c>
      <c r="AD1040" s="165" t="s">
        <v>16</v>
      </c>
      <c r="AE1040" s="165"/>
      <c r="AF1040" s="165"/>
    </row>
    <row r="1041" spans="1:32" x14ac:dyDescent="0.3">
      <c r="A1041" s="165" t="s">
        <v>1700</v>
      </c>
      <c r="B1041" s="165" t="s">
        <v>14</v>
      </c>
      <c r="C1041" s="165" t="s">
        <v>1671</v>
      </c>
      <c r="D1041" s="165" t="s">
        <v>15</v>
      </c>
      <c r="E1041" s="157">
        <v>41363</v>
      </c>
      <c r="F1041" s="165" t="s">
        <v>16</v>
      </c>
      <c r="G1041" s="165" t="s">
        <v>16</v>
      </c>
      <c r="H1041" s="165" t="s">
        <v>16</v>
      </c>
      <c r="I1041" s="165" t="s">
        <v>16</v>
      </c>
      <c r="J1041" s="165" t="s">
        <v>16</v>
      </c>
      <c r="K1041" s="165" t="s">
        <v>16</v>
      </c>
      <c r="L1041" s="165" t="s">
        <v>16</v>
      </c>
      <c r="M1041" s="165" t="s">
        <v>16</v>
      </c>
      <c r="N1041" s="165" t="s">
        <v>16</v>
      </c>
      <c r="O1041" s="165" t="s">
        <v>16</v>
      </c>
      <c r="P1041" s="165" t="s">
        <v>16</v>
      </c>
      <c r="Q1041" s="165" t="s">
        <v>16</v>
      </c>
      <c r="R1041" s="165" t="s">
        <v>16</v>
      </c>
      <c r="S1041" s="165" t="s">
        <v>16</v>
      </c>
      <c r="T1041" s="165" t="s">
        <v>16</v>
      </c>
      <c r="U1041" s="165" t="s">
        <v>16</v>
      </c>
      <c r="V1041" s="165" t="s">
        <v>16</v>
      </c>
      <c r="W1041" s="165" t="s">
        <v>16</v>
      </c>
      <c r="X1041" s="165" t="s">
        <v>16</v>
      </c>
      <c r="Y1041" s="165" t="s">
        <v>16</v>
      </c>
      <c r="Z1041" s="165" t="s">
        <v>16</v>
      </c>
      <c r="AA1041" s="165" t="s">
        <v>16</v>
      </c>
      <c r="AB1041" s="165" t="s">
        <v>16</v>
      </c>
      <c r="AC1041" s="165" t="s">
        <v>16</v>
      </c>
      <c r="AD1041" s="165" t="s">
        <v>16</v>
      </c>
      <c r="AE1041" s="165" t="s">
        <v>1674</v>
      </c>
      <c r="AF1041" s="165"/>
    </row>
    <row r="1042" spans="1:32" x14ac:dyDescent="0.3">
      <c r="A1042" s="165" t="s">
        <v>1701</v>
      </c>
      <c r="B1042" s="165" t="s">
        <v>14</v>
      </c>
      <c r="C1042" s="165" t="s">
        <v>1671</v>
      </c>
      <c r="D1042" s="165" t="s">
        <v>15</v>
      </c>
      <c r="E1042" s="157">
        <v>41363</v>
      </c>
      <c r="F1042" s="165" t="s">
        <v>16</v>
      </c>
      <c r="G1042" s="165" t="s">
        <v>16</v>
      </c>
      <c r="H1042" s="165" t="s">
        <v>16</v>
      </c>
      <c r="I1042" s="165" t="s">
        <v>16</v>
      </c>
      <c r="J1042" s="165" t="s">
        <v>16</v>
      </c>
      <c r="K1042" s="165" t="s">
        <v>16</v>
      </c>
      <c r="L1042" s="165" t="s">
        <v>16</v>
      </c>
      <c r="M1042" s="165" t="s">
        <v>16</v>
      </c>
      <c r="N1042" s="165" t="s">
        <v>16</v>
      </c>
      <c r="O1042" s="165" t="s">
        <v>16</v>
      </c>
      <c r="P1042" s="165" t="s">
        <v>16</v>
      </c>
      <c r="Q1042" s="165" t="s">
        <v>16</v>
      </c>
      <c r="R1042" s="165" t="s">
        <v>16</v>
      </c>
      <c r="S1042" s="165" t="s">
        <v>16</v>
      </c>
      <c r="T1042" s="165" t="s">
        <v>16</v>
      </c>
      <c r="U1042" s="165" t="s">
        <v>16</v>
      </c>
      <c r="V1042" s="165" t="s">
        <v>16</v>
      </c>
      <c r="W1042" s="165" t="s">
        <v>16</v>
      </c>
      <c r="X1042" s="165" t="s">
        <v>16</v>
      </c>
      <c r="Y1042" s="165" t="s">
        <v>16</v>
      </c>
      <c r="Z1042" s="165" t="s">
        <v>16</v>
      </c>
      <c r="AA1042" s="165" t="s">
        <v>16</v>
      </c>
      <c r="AB1042" s="165" t="s">
        <v>16</v>
      </c>
      <c r="AC1042" s="165" t="s">
        <v>16</v>
      </c>
      <c r="AD1042" s="165" t="s">
        <v>16</v>
      </c>
      <c r="AE1042" s="165" t="s">
        <v>1702</v>
      </c>
      <c r="AF1042" s="165"/>
    </row>
    <row r="1043" spans="1:32" x14ac:dyDescent="0.3">
      <c r="A1043" s="165" t="s">
        <v>1703</v>
      </c>
      <c r="B1043" s="165" t="s">
        <v>14</v>
      </c>
      <c r="C1043" s="165" t="s">
        <v>1671</v>
      </c>
      <c r="D1043" s="165" t="s">
        <v>15</v>
      </c>
      <c r="E1043" s="157">
        <v>41363</v>
      </c>
      <c r="F1043" s="165" t="s">
        <v>16</v>
      </c>
      <c r="G1043" s="165" t="s">
        <v>16</v>
      </c>
      <c r="H1043" s="165" t="s">
        <v>16</v>
      </c>
      <c r="I1043" s="165" t="s">
        <v>16</v>
      </c>
      <c r="J1043" s="165" t="s">
        <v>16</v>
      </c>
      <c r="K1043" s="165" t="s">
        <v>16</v>
      </c>
      <c r="L1043" s="165" t="s">
        <v>16</v>
      </c>
      <c r="M1043" s="165" t="s">
        <v>16</v>
      </c>
      <c r="N1043" s="165" t="s">
        <v>16</v>
      </c>
      <c r="O1043" s="165" t="s">
        <v>16</v>
      </c>
      <c r="P1043" s="165" t="s">
        <v>16</v>
      </c>
      <c r="Q1043" s="165" t="s">
        <v>16</v>
      </c>
      <c r="R1043" s="165" t="s">
        <v>16</v>
      </c>
      <c r="S1043" s="165" t="s">
        <v>16</v>
      </c>
      <c r="T1043" s="165" t="s">
        <v>16</v>
      </c>
      <c r="U1043" s="165" t="s">
        <v>16</v>
      </c>
      <c r="V1043" s="165" t="s">
        <v>16</v>
      </c>
      <c r="W1043" s="165" t="s">
        <v>16</v>
      </c>
      <c r="X1043" s="165" t="s">
        <v>16</v>
      </c>
      <c r="Y1043" s="165" t="s">
        <v>16</v>
      </c>
      <c r="Z1043" s="165" t="s">
        <v>16</v>
      </c>
      <c r="AA1043" s="165" t="s">
        <v>16</v>
      </c>
      <c r="AB1043" s="165" t="s">
        <v>16</v>
      </c>
      <c r="AC1043" s="165" t="s">
        <v>16</v>
      </c>
      <c r="AD1043" s="165" t="s">
        <v>16</v>
      </c>
      <c r="AE1043" s="165" t="s">
        <v>1674</v>
      </c>
      <c r="AF1043" s="165"/>
    </row>
    <row r="1044" spans="1:32" x14ac:dyDescent="0.3">
      <c r="A1044" s="165" t="s">
        <v>1704</v>
      </c>
      <c r="B1044" s="165" t="s">
        <v>14</v>
      </c>
      <c r="C1044" s="165" t="s">
        <v>1671</v>
      </c>
      <c r="D1044" s="165" t="s">
        <v>15</v>
      </c>
      <c r="E1044" s="157">
        <v>41363</v>
      </c>
      <c r="F1044" s="165" t="s">
        <v>16</v>
      </c>
      <c r="G1044" s="165" t="s">
        <v>16</v>
      </c>
      <c r="H1044" s="165" t="s">
        <v>16</v>
      </c>
      <c r="I1044" s="165" t="s">
        <v>16</v>
      </c>
      <c r="J1044" s="165" t="s">
        <v>16</v>
      </c>
      <c r="K1044" s="165" t="s">
        <v>16</v>
      </c>
      <c r="L1044" s="165" t="s">
        <v>16</v>
      </c>
      <c r="M1044" s="165" t="s">
        <v>16</v>
      </c>
      <c r="N1044" s="165" t="s">
        <v>16</v>
      </c>
      <c r="O1044" s="165" t="s">
        <v>16</v>
      </c>
      <c r="P1044" s="165" t="s">
        <v>16</v>
      </c>
      <c r="Q1044" s="165" t="s">
        <v>16</v>
      </c>
      <c r="R1044" s="165" t="s">
        <v>16</v>
      </c>
      <c r="S1044" s="165" t="s">
        <v>16</v>
      </c>
      <c r="T1044" s="165" t="s">
        <v>16</v>
      </c>
      <c r="U1044" s="165" t="s">
        <v>16</v>
      </c>
      <c r="V1044" s="165" t="s">
        <v>16</v>
      </c>
      <c r="W1044" s="165" t="s">
        <v>16</v>
      </c>
      <c r="X1044" s="165" t="s">
        <v>16</v>
      </c>
      <c r="Y1044" s="165" t="s">
        <v>16</v>
      </c>
      <c r="Z1044" s="165" t="s">
        <v>16</v>
      </c>
      <c r="AA1044" s="165" t="s">
        <v>16</v>
      </c>
      <c r="AB1044" s="165" t="s">
        <v>148</v>
      </c>
      <c r="AC1044" s="165" t="s">
        <v>16</v>
      </c>
      <c r="AD1044" s="165" t="s">
        <v>16</v>
      </c>
      <c r="AE1044" s="165" t="s">
        <v>1705</v>
      </c>
      <c r="AF1044" s="165" t="s">
        <v>1706</v>
      </c>
    </row>
    <row r="1045" spans="1:32" x14ac:dyDescent="0.3">
      <c r="A1045" s="165" t="s">
        <v>1707</v>
      </c>
      <c r="B1045" s="165" t="s">
        <v>14</v>
      </c>
      <c r="C1045" s="165" t="s">
        <v>1671</v>
      </c>
      <c r="D1045" s="165" t="s">
        <v>15</v>
      </c>
      <c r="E1045" s="157">
        <v>41363</v>
      </c>
      <c r="F1045" s="165" t="s">
        <v>149</v>
      </c>
      <c r="G1045" s="165" t="s">
        <v>149</v>
      </c>
      <c r="H1045" s="165" t="s">
        <v>16</v>
      </c>
      <c r="I1045" s="165" t="s">
        <v>148</v>
      </c>
      <c r="J1045" s="165" t="s">
        <v>150</v>
      </c>
      <c r="K1045" s="165" t="s">
        <v>150</v>
      </c>
      <c r="L1045" s="165" t="s">
        <v>16</v>
      </c>
      <c r="M1045" s="165" t="s">
        <v>148</v>
      </c>
      <c r="N1045" s="165" t="s">
        <v>16</v>
      </c>
      <c r="O1045" s="165" t="s">
        <v>16</v>
      </c>
      <c r="P1045" s="165" t="s">
        <v>148</v>
      </c>
      <c r="Q1045" s="165" t="s">
        <v>148</v>
      </c>
      <c r="R1045" s="165" t="s">
        <v>148</v>
      </c>
      <c r="S1045" s="165" t="s">
        <v>148</v>
      </c>
      <c r="T1045" s="165" t="s">
        <v>16</v>
      </c>
      <c r="U1045" s="165" t="s">
        <v>16</v>
      </c>
      <c r="V1045" s="165" t="s">
        <v>148</v>
      </c>
      <c r="W1045" s="165" t="s">
        <v>148</v>
      </c>
      <c r="X1045" s="165" t="s">
        <v>148</v>
      </c>
      <c r="Y1045" s="165" t="s">
        <v>16</v>
      </c>
      <c r="Z1045" s="165" t="s">
        <v>16</v>
      </c>
      <c r="AA1045" s="165" t="s">
        <v>16</v>
      </c>
      <c r="AB1045" s="165" t="s">
        <v>148</v>
      </c>
      <c r="AC1045" s="165" t="s">
        <v>16</v>
      </c>
      <c r="AD1045" s="165" t="s">
        <v>16</v>
      </c>
      <c r="AE1045" s="165" t="s">
        <v>1674</v>
      </c>
      <c r="AF1045" s="165" t="s">
        <v>1708</v>
      </c>
    </row>
    <row r="1046" spans="1:32" x14ac:dyDescent="0.3">
      <c r="A1046" s="165" t="s">
        <v>1709</v>
      </c>
      <c r="B1046" s="165" t="s">
        <v>14</v>
      </c>
      <c r="C1046" s="165" t="s">
        <v>1671</v>
      </c>
      <c r="D1046" s="165" t="s">
        <v>15</v>
      </c>
      <c r="E1046" s="157">
        <v>41363</v>
      </c>
      <c r="F1046" s="165" t="s">
        <v>149</v>
      </c>
      <c r="G1046" s="165" t="s">
        <v>151</v>
      </c>
      <c r="H1046" s="165" t="s">
        <v>16</v>
      </c>
      <c r="I1046" s="165" t="s">
        <v>151</v>
      </c>
      <c r="J1046" s="165" t="s">
        <v>16</v>
      </c>
      <c r="K1046" s="165" t="s">
        <v>151</v>
      </c>
      <c r="L1046" s="165" t="s">
        <v>16</v>
      </c>
      <c r="M1046" s="165" t="s">
        <v>16</v>
      </c>
      <c r="N1046" s="165" t="s">
        <v>148</v>
      </c>
      <c r="O1046" s="165" t="s">
        <v>151</v>
      </c>
      <c r="P1046" s="165" t="s">
        <v>16</v>
      </c>
      <c r="Q1046" s="165" t="s">
        <v>151</v>
      </c>
      <c r="R1046" s="165" t="s">
        <v>149</v>
      </c>
      <c r="S1046" s="165" t="s">
        <v>16</v>
      </c>
      <c r="T1046" s="165" t="s">
        <v>16</v>
      </c>
      <c r="U1046" s="165" t="s">
        <v>150</v>
      </c>
      <c r="V1046" s="165" t="s">
        <v>151</v>
      </c>
      <c r="W1046" s="165" t="s">
        <v>151</v>
      </c>
      <c r="X1046" s="165" t="s">
        <v>151</v>
      </c>
      <c r="Y1046" s="165" t="s">
        <v>151</v>
      </c>
      <c r="Z1046" s="165" t="s">
        <v>16</v>
      </c>
      <c r="AA1046" s="165" t="s">
        <v>16</v>
      </c>
      <c r="AB1046" s="165" t="s">
        <v>16</v>
      </c>
      <c r="AC1046" s="165" t="s">
        <v>16</v>
      </c>
      <c r="AD1046" s="165" t="s">
        <v>16</v>
      </c>
      <c r="AE1046" s="165" t="s">
        <v>1710</v>
      </c>
      <c r="AF1046" s="165"/>
    </row>
    <row r="1047" spans="1:32" x14ac:dyDescent="0.3">
      <c r="A1047" s="165" t="s">
        <v>1711</v>
      </c>
      <c r="B1047" s="165" t="s">
        <v>14</v>
      </c>
      <c r="C1047" s="165" t="s">
        <v>1671</v>
      </c>
      <c r="D1047" s="165" t="s">
        <v>15</v>
      </c>
      <c r="E1047" s="157">
        <v>41363</v>
      </c>
      <c r="F1047" s="165" t="s">
        <v>16</v>
      </c>
      <c r="G1047" s="165" t="s">
        <v>16</v>
      </c>
      <c r="H1047" s="165" t="s">
        <v>16</v>
      </c>
      <c r="I1047" s="165" t="s">
        <v>16</v>
      </c>
      <c r="J1047" s="165" t="s">
        <v>16</v>
      </c>
      <c r="K1047" s="165" t="s">
        <v>16</v>
      </c>
      <c r="L1047" s="165" t="s">
        <v>16</v>
      </c>
      <c r="M1047" s="165" t="s">
        <v>16</v>
      </c>
      <c r="N1047" s="165" t="s">
        <v>16</v>
      </c>
      <c r="O1047" s="165" t="s">
        <v>16</v>
      </c>
      <c r="P1047" s="165" t="s">
        <v>16</v>
      </c>
      <c r="Q1047" s="165" t="s">
        <v>16</v>
      </c>
      <c r="R1047" s="165" t="s">
        <v>16</v>
      </c>
      <c r="S1047" s="165" t="s">
        <v>16</v>
      </c>
      <c r="T1047" s="165" t="s">
        <v>16</v>
      </c>
      <c r="U1047" s="165" t="s">
        <v>16</v>
      </c>
      <c r="V1047" s="165" t="s">
        <v>16</v>
      </c>
      <c r="W1047" s="165" t="s">
        <v>16</v>
      </c>
      <c r="X1047" s="165" t="s">
        <v>16</v>
      </c>
      <c r="Y1047" s="165" t="s">
        <v>114</v>
      </c>
      <c r="Z1047" s="165" t="s">
        <v>16</v>
      </c>
      <c r="AA1047" s="165" t="s">
        <v>16</v>
      </c>
      <c r="AB1047" s="165" t="s">
        <v>16</v>
      </c>
      <c r="AC1047" s="165" t="s">
        <v>16</v>
      </c>
      <c r="AD1047" s="165" t="s">
        <v>16</v>
      </c>
      <c r="AE1047" s="165" t="s">
        <v>1674</v>
      </c>
      <c r="AF1047" s="165"/>
    </row>
    <row r="1048" spans="1:32" x14ac:dyDescent="0.3">
      <c r="A1048" s="165" t="s">
        <v>1712</v>
      </c>
      <c r="B1048" s="165" t="s">
        <v>14</v>
      </c>
      <c r="C1048" s="165" t="s">
        <v>1671</v>
      </c>
      <c r="D1048" s="165" t="s">
        <v>15</v>
      </c>
      <c r="E1048" s="157">
        <v>41363</v>
      </c>
      <c r="F1048" s="165" t="s">
        <v>148</v>
      </c>
      <c r="G1048" s="165" t="s">
        <v>16</v>
      </c>
      <c r="H1048" s="165" t="s">
        <v>16</v>
      </c>
      <c r="I1048" s="165" t="s">
        <v>148</v>
      </c>
      <c r="J1048" s="165" t="s">
        <v>16</v>
      </c>
      <c r="K1048" s="165" t="s">
        <v>16</v>
      </c>
      <c r="L1048" s="165" t="s">
        <v>16</v>
      </c>
      <c r="M1048" s="165" t="s">
        <v>148</v>
      </c>
      <c r="N1048" s="165" t="s">
        <v>16</v>
      </c>
      <c r="O1048" s="165" t="s">
        <v>148</v>
      </c>
      <c r="P1048" s="165" t="s">
        <v>148</v>
      </c>
      <c r="Q1048" s="165" t="s">
        <v>16</v>
      </c>
      <c r="R1048" s="165" t="s">
        <v>148</v>
      </c>
      <c r="S1048" s="165" t="s">
        <v>148</v>
      </c>
      <c r="T1048" s="165" t="s">
        <v>16</v>
      </c>
      <c r="U1048" s="165" t="s">
        <v>16</v>
      </c>
      <c r="V1048" s="165" t="s">
        <v>16</v>
      </c>
      <c r="W1048" s="165" t="s">
        <v>148</v>
      </c>
      <c r="X1048" s="165" t="s">
        <v>148</v>
      </c>
      <c r="Y1048" s="165" t="s">
        <v>16</v>
      </c>
      <c r="Z1048" s="165" t="s">
        <v>16</v>
      </c>
      <c r="AA1048" s="165" t="s">
        <v>16</v>
      </c>
      <c r="AB1048" s="165" t="s">
        <v>16</v>
      </c>
      <c r="AC1048" s="165" t="s">
        <v>16</v>
      </c>
      <c r="AD1048" s="165" t="s">
        <v>16</v>
      </c>
      <c r="AE1048" s="165" t="s">
        <v>1685</v>
      </c>
      <c r="AF1048" s="165"/>
    </row>
    <row r="1051" spans="1:32" x14ac:dyDescent="0.3">
      <c r="A1051" s="165"/>
      <c r="B1051" s="165"/>
      <c r="C1051" s="165"/>
      <c r="D1051" s="165"/>
      <c r="E1051" s="165"/>
      <c r="F1051" s="165" t="s">
        <v>124</v>
      </c>
      <c r="G1051" s="165" t="s">
        <v>125</v>
      </c>
      <c r="H1051" s="165" t="s">
        <v>126</v>
      </c>
      <c r="I1051" s="165" t="s">
        <v>127</v>
      </c>
      <c r="J1051" s="165" t="s">
        <v>214</v>
      </c>
      <c r="K1051" s="165" t="s">
        <v>128</v>
      </c>
      <c r="L1051" s="165" t="s">
        <v>129</v>
      </c>
      <c r="M1051" s="165" t="s">
        <v>130</v>
      </c>
      <c r="N1051" s="165" t="s">
        <v>131</v>
      </c>
      <c r="O1051" s="165" t="s">
        <v>132</v>
      </c>
      <c r="P1051" s="165" t="s">
        <v>133</v>
      </c>
      <c r="Q1051" s="165" t="s">
        <v>134</v>
      </c>
      <c r="R1051" s="165" t="s">
        <v>135</v>
      </c>
      <c r="S1051" s="165" t="s">
        <v>136</v>
      </c>
      <c r="T1051" s="165" t="s">
        <v>137</v>
      </c>
      <c r="U1051" s="165" t="s">
        <v>138</v>
      </c>
      <c r="V1051" s="165" t="s">
        <v>139</v>
      </c>
      <c r="W1051" s="165" t="s">
        <v>140</v>
      </c>
      <c r="X1051" s="165" t="s">
        <v>186</v>
      </c>
      <c r="Y1051" s="165" t="s">
        <v>209</v>
      </c>
      <c r="Z1051" s="165" t="s">
        <v>141</v>
      </c>
      <c r="AA1051" s="165" t="s">
        <v>142</v>
      </c>
      <c r="AB1051" s="165" t="s">
        <v>210</v>
      </c>
      <c r="AC1051" s="165" t="s">
        <v>1180</v>
      </c>
      <c r="AD1051" s="165" t="s">
        <v>144</v>
      </c>
      <c r="AE1051" s="165" t="s">
        <v>1713</v>
      </c>
      <c r="AF1051" s="165" t="s">
        <v>190</v>
      </c>
    </row>
    <row r="1052" spans="1:32" x14ac:dyDescent="0.3">
      <c r="A1052" s="165" t="s">
        <v>1714</v>
      </c>
      <c r="B1052" s="165" t="s">
        <v>14</v>
      </c>
      <c r="C1052" s="165" t="s">
        <v>1715</v>
      </c>
      <c r="D1052" s="165" t="s">
        <v>15</v>
      </c>
      <c r="E1052" s="157">
        <v>41393</v>
      </c>
      <c r="F1052" s="165" t="s">
        <v>16</v>
      </c>
      <c r="G1052" s="165" t="s">
        <v>148</v>
      </c>
      <c r="H1052" s="165" t="s">
        <v>16</v>
      </c>
      <c r="I1052" s="165" t="s">
        <v>16</v>
      </c>
      <c r="J1052" s="165" t="s">
        <v>148</v>
      </c>
      <c r="K1052" s="165" t="s">
        <v>148</v>
      </c>
      <c r="L1052" s="165" t="s">
        <v>16</v>
      </c>
      <c r="M1052" s="165" t="s">
        <v>148</v>
      </c>
      <c r="N1052" s="165" t="s">
        <v>16</v>
      </c>
      <c r="O1052" s="165" t="s">
        <v>16</v>
      </c>
      <c r="P1052" s="165" t="s">
        <v>148</v>
      </c>
      <c r="Q1052" s="165" t="s">
        <v>16</v>
      </c>
      <c r="R1052" s="165" t="s">
        <v>148</v>
      </c>
      <c r="S1052" s="165" t="s">
        <v>148</v>
      </c>
      <c r="T1052" s="165" t="s">
        <v>148</v>
      </c>
      <c r="U1052" s="165" t="s">
        <v>148</v>
      </c>
      <c r="V1052" s="165" t="s">
        <v>16</v>
      </c>
      <c r="W1052" s="165" t="s">
        <v>16</v>
      </c>
      <c r="X1052" s="165" t="s">
        <v>16</v>
      </c>
      <c r="Y1052" s="165" t="s">
        <v>148</v>
      </c>
      <c r="Z1052" s="165" t="s">
        <v>16</v>
      </c>
      <c r="AA1052" s="165" t="s">
        <v>16</v>
      </c>
      <c r="AB1052" s="165" t="s">
        <v>16</v>
      </c>
      <c r="AC1052" s="165" t="s">
        <v>148</v>
      </c>
      <c r="AD1052" s="165" t="s">
        <v>16</v>
      </c>
      <c r="AE1052" s="165" t="s">
        <v>1716</v>
      </c>
      <c r="AF1052" s="165"/>
    </row>
    <row r="1053" spans="1:32" x14ac:dyDescent="0.3">
      <c r="A1053" s="165" t="s">
        <v>1717</v>
      </c>
      <c r="B1053" s="165" t="s">
        <v>14</v>
      </c>
      <c r="C1053" s="165" t="s">
        <v>1715</v>
      </c>
      <c r="D1053" s="165" t="s">
        <v>15</v>
      </c>
      <c r="E1053" s="157">
        <v>41393</v>
      </c>
      <c r="F1053" s="165" t="s">
        <v>16</v>
      </c>
      <c r="G1053" s="165" t="s">
        <v>16</v>
      </c>
      <c r="H1053" s="165" t="s">
        <v>16</v>
      </c>
      <c r="I1053" s="165" t="s">
        <v>16</v>
      </c>
      <c r="J1053" s="165" t="s">
        <v>16</v>
      </c>
      <c r="K1053" s="165" t="s">
        <v>16</v>
      </c>
      <c r="L1053" s="165" t="s">
        <v>16</v>
      </c>
      <c r="M1053" s="165" t="s">
        <v>16</v>
      </c>
      <c r="N1053" s="165" t="s">
        <v>16</v>
      </c>
      <c r="O1053" s="165" t="s">
        <v>16</v>
      </c>
      <c r="P1053" s="165" t="s">
        <v>148</v>
      </c>
      <c r="Q1053" s="165" t="s">
        <v>149</v>
      </c>
      <c r="R1053" s="165" t="s">
        <v>149</v>
      </c>
      <c r="S1053" s="165" t="s">
        <v>16</v>
      </c>
      <c r="T1053" s="165" t="s">
        <v>16</v>
      </c>
      <c r="U1053" s="165" t="s">
        <v>149</v>
      </c>
      <c r="V1053" s="165" t="s">
        <v>16</v>
      </c>
      <c r="W1053" s="165" t="s">
        <v>16</v>
      </c>
      <c r="X1053" s="165" t="s">
        <v>148</v>
      </c>
      <c r="Y1053" s="165" t="s">
        <v>16</v>
      </c>
      <c r="Z1053" s="165" t="s">
        <v>149</v>
      </c>
      <c r="AA1053" s="165" t="s">
        <v>16</v>
      </c>
      <c r="AB1053" s="165" t="s">
        <v>16</v>
      </c>
      <c r="AC1053" s="165" t="s">
        <v>16</v>
      </c>
      <c r="AD1053" s="165" t="s">
        <v>148</v>
      </c>
      <c r="AE1053" s="165" t="s">
        <v>1718</v>
      </c>
      <c r="AF1053" s="165" t="s">
        <v>1719</v>
      </c>
    </row>
    <row r="1054" spans="1:32" x14ac:dyDescent="0.3">
      <c r="A1054" s="165" t="s">
        <v>1720</v>
      </c>
      <c r="B1054" s="165" t="s">
        <v>14</v>
      </c>
      <c r="C1054" s="165" t="s">
        <v>1715</v>
      </c>
      <c r="D1054" s="165" t="s">
        <v>15</v>
      </c>
      <c r="E1054" s="157">
        <v>41393</v>
      </c>
      <c r="F1054" s="165" t="s">
        <v>16</v>
      </c>
      <c r="G1054" s="165" t="s">
        <v>16</v>
      </c>
      <c r="H1054" s="165" t="s">
        <v>16</v>
      </c>
      <c r="I1054" s="165" t="s">
        <v>148</v>
      </c>
      <c r="J1054" s="165" t="s">
        <v>148</v>
      </c>
      <c r="K1054" s="165" t="s">
        <v>16</v>
      </c>
      <c r="L1054" s="165" t="s">
        <v>148</v>
      </c>
      <c r="M1054" s="165" t="s">
        <v>16</v>
      </c>
      <c r="N1054" s="165" t="s">
        <v>148</v>
      </c>
      <c r="O1054" s="165" t="s">
        <v>16</v>
      </c>
      <c r="P1054" s="165" t="s">
        <v>16</v>
      </c>
      <c r="Q1054" s="165" t="s">
        <v>16</v>
      </c>
      <c r="R1054" s="165" t="s">
        <v>16</v>
      </c>
      <c r="S1054" s="165" t="s">
        <v>16</v>
      </c>
      <c r="T1054" s="165" t="s">
        <v>148</v>
      </c>
      <c r="U1054" s="165" t="s">
        <v>148</v>
      </c>
      <c r="V1054" s="165" t="s">
        <v>16</v>
      </c>
      <c r="W1054" s="165" t="s">
        <v>16</v>
      </c>
      <c r="X1054" s="165" t="s">
        <v>148</v>
      </c>
      <c r="Y1054" s="165" t="s">
        <v>114</v>
      </c>
      <c r="Z1054" s="165" t="s">
        <v>148</v>
      </c>
      <c r="AA1054" s="165" t="s">
        <v>148</v>
      </c>
      <c r="AB1054" s="165" t="s">
        <v>16</v>
      </c>
      <c r="AC1054" s="165" t="s">
        <v>148</v>
      </c>
      <c r="AD1054" s="165" t="s">
        <v>148</v>
      </c>
      <c r="AE1054" s="165" t="s">
        <v>1721</v>
      </c>
      <c r="AF1054" s="165" t="s">
        <v>1722</v>
      </c>
    </row>
    <row r="1055" spans="1:32" x14ac:dyDescent="0.3">
      <c r="A1055" s="165" t="s">
        <v>1723</v>
      </c>
      <c r="B1055" s="165" t="s">
        <v>14</v>
      </c>
      <c r="C1055" s="165" t="s">
        <v>1715</v>
      </c>
      <c r="D1055" s="165" t="s">
        <v>15</v>
      </c>
      <c r="E1055" s="157">
        <v>41393</v>
      </c>
      <c r="F1055" s="165" t="s">
        <v>16</v>
      </c>
      <c r="G1055" s="165" t="s">
        <v>16</v>
      </c>
      <c r="H1055" s="165" t="s">
        <v>16</v>
      </c>
      <c r="I1055" s="165" t="s">
        <v>16</v>
      </c>
      <c r="J1055" s="165" t="s">
        <v>16</v>
      </c>
      <c r="K1055" s="165" t="s">
        <v>16</v>
      </c>
      <c r="L1055" s="165" t="s">
        <v>16</v>
      </c>
      <c r="M1055" s="165" t="s">
        <v>148</v>
      </c>
      <c r="N1055" s="165" t="s">
        <v>16</v>
      </c>
      <c r="O1055" s="165" t="s">
        <v>16</v>
      </c>
      <c r="P1055" s="165" t="s">
        <v>16</v>
      </c>
      <c r="Q1055" s="165" t="s">
        <v>16</v>
      </c>
      <c r="R1055" s="165" t="s">
        <v>16</v>
      </c>
      <c r="S1055" s="165" t="s">
        <v>16</v>
      </c>
      <c r="T1055" s="165" t="s">
        <v>16</v>
      </c>
      <c r="U1055" s="165" t="s">
        <v>16</v>
      </c>
      <c r="V1055" s="165" t="s">
        <v>16</v>
      </c>
      <c r="W1055" s="165" t="s">
        <v>148</v>
      </c>
      <c r="X1055" s="165" t="s">
        <v>148</v>
      </c>
      <c r="Y1055" s="165" t="s">
        <v>16</v>
      </c>
      <c r="Z1055" s="165" t="s">
        <v>16</v>
      </c>
      <c r="AA1055" s="165" t="s">
        <v>16</v>
      </c>
      <c r="AB1055" s="165" t="s">
        <v>148</v>
      </c>
      <c r="AC1055" s="165" t="s">
        <v>148</v>
      </c>
      <c r="AD1055" s="165" t="s">
        <v>16</v>
      </c>
      <c r="AE1055" s="165" t="s">
        <v>1716</v>
      </c>
      <c r="AF1055" s="165" t="s">
        <v>1724</v>
      </c>
    </row>
    <row r="1056" spans="1:32" x14ac:dyDescent="0.3">
      <c r="A1056" s="165" t="s">
        <v>1725</v>
      </c>
      <c r="B1056" s="165" t="s">
        <v>14</v>
      </c>
      <c r="C1056" s="165" t="s">
        <v>1715</v>
      </c>
      <c r="D1056" s="165" t="s">
        <v>15</v>
      </c>
      <c r="E1056" s="157">
        <v>41393</v>
      </c>
      <c r="F1056" s="165" t="s">
        <v>16</v>
      </c>
      <c r="G1056" s="165" t="s">
        <v>148</v>
      </c>
      <c r="H1056" s="165" t="s">
        <v>148</v>
      </c>
      <c r="I1056" s="165" t="s">
        <v>148</v>
      </c>
      <c r="J1056" s="165" t="s">
        <v>148</v>
      </c>
      <c r="K1056" s="165" t="s">
        <v>16</v>
      </c>
      <c r="L1056" s="165" t="s">
        <v>148</v>
      </c>
      <c r="M1056" s="165" t="s">
        <v>150</v>
      </c>
      <c r="N1056" s="165" t="s">
        <v>16</v>
      </c>
      <c r="O1056" s="165" t="s">
        <v>16</v>
      </c>
      <c r="P1056" s="165" t="s">
        <v>148</v>
      </c>
      <c r="Q1056" s="165" t="s">
        <v>16</v>
      </c>
      <c r="R1056" s="165" t="s">
        <v>16</v>
      </c>
      <c r="S1056" s="165" t="s">
        <v>16</v>
      </c>
      <c r="T1056" s="165" t="s">
        <v>148</v>
      </c>
      <c r="U1056" s="165" t="s">
        <v>148</v>
      </c>
      <c r="V1056" s="165" t="s">
        <v>148</v>
      </c>
      <c r="W1056" s="165" t="s">
        <v>148</v>
      </c>
      <c r="X1056" s="165" t="s">
        <v>148</v>
      </c>
      <c r="Y1056" s="165" t="s">
        <v>148</v>
      </c>
      <c r="Z1056" s="165" t="s">
        <v>16</v>
      </c>
      <c r="AA1056" s="165" t="s">
        <v>16</v>
      </c>
      <c r="AB1056" s="165" t="s">
        <v>16</v>
      </c>
      <c r="AC1056" s="165" t="s">
        <v>149</v>
      </c>
      <c r="AD1056" s="165" t="s">
        <v>16</v>
      </c>
      <c r="AE1056" s="165" t="s">
        <v>1716</v>
      </c>
      <c r="AF1056" s="165"/>
    </row>
    <row r="1057" spans="1:32" x14ac:dyDescent="0.3">
      <c r="A1057" s="165" t="s">
        <v>1726</v>
      </c>
      <c r="B1057" s="165" t="s">
        <v>14</v>
      </c>
      <c r="C1057" s="165" t="s">
        <v>1715</v>
      </c>
      <c r="D1057" s="165" t="s">
        <v>15</v>
      </c>
      <c r="E1057" s="157">
        <v>41393</v>
      </c>
      <c r="F1057" s="165" t="s">
        <v>16</v>
      </c>
      <c r="G1057" s="165" t="s">
        <v>16</v>
      </c>
      <c r="H1057" s="165" t="s">
        <v>16</v>
      </c>
      <c r="I1057" s="165" t="s">
        <v>149</v>
      </c>
      <c r="J1057" s="165" t="s">
        <v>149</v>
      </c>
      <c r="K1057" s="165" t="s">
        <v>16</v>
      </c>
      <c r="L1057" s="165" t="s">
        <v>149</v>
      </c>
      <c r="M1057" s="165" t="s">
        <v>16</v>
      </c>
      <c r="N1057" s="165" t="s">
        <v>149</v>
      </c>
      <c r="O1057" s="165" t="s">
        <v>149</v>
      </c>
      <c r="P1057" s="165" t="s">
        <v>149</v>
      </c>
      <c r="Q1057" s="165" t="s">
        <v>16</v>
      </c>
      <c r="R1057" s="165" t="s">
        <v>16</v>
      </c>
      <c r="S1057" s="165" t="s">
        <v>149</v>
      </c>
      <c r="T1057" s="165" t="s">
        <v>16</v>
      </c>
      <c r="U1057" s="165" t="s">
        <v>16</v>
      </c>
      <c r="V1057" s="165" t="s">
        <v>16</v>
      </c>
      <c r="W1057" s="165" t="s">
        <v>16</v>
      </c>
      <c r="X1057" s="165" t="s">
        <v>16</v>
      </c>
      <c r="Y1057" s="165" t="s">
        <v>16</v>
      </c>
      <c r="Z1057" s="165" t="s">
        <v>149</v>
      </c>
      <c r="AA1057" s="165" t="s">
        <v>16</v>
      </c>
      <c r="AB1057" s="165" t="s">
        <v>16</v>
      </c>
      <c r="AC1057" s="165" t="s">
        <v>16</v>
      </c>
      <c r="AD1057" s="165" t="s">
        <v>16</v>
      </c>
      <c r="AE1057" s="165" t="s">
        <v>1727</v>
      </c>
      <c r="AF1057" s="165"/>
    </row>
    <row r="1058" spans="1:32" x14ac:dyDescent="0.3">
      <c r="A1058" s="165" t="s">
        <v>1728</v>
      </c>
      <c r="B1058" s="165" t="s">
        <v>14</v>
      </c>
      <c r="C1058" s="165" t="s">
        <v>1715</v>
      </c>
      <c r="D1058" s="165" t="s">
        <v>15</v>
      </c>
      <c r="E1058" s="157">
        <v>41393</v>
      </c>
      <c r="F1058" s="165" t="s">
        <v>148</v>
      </c>
      <c r="G1058" s="165" t="s">
        <v>16</v>
      </c>
      <c r="H1058" s="165" t="s">
        <v>148</v>
      </c>
      <c r="I1058" s="165" t="s">
        <v>150</v>
      </c>
      <c r="J1058" s="165" t="s">
        <v>16</v>
      </c>
      <c r="K1058" s="165" t="s">
        <v>148</v>
      </c>
      <c r="L1058" s="165" t="s">
        <v>16</v>
      </c>
      <c r="M1058" s="165" t="s">
        <v>150</v>
      </c>
      <c r="N1058" s="165" t="s">
        <v>148</v>
      </c>
      <c r="O1058" s="165" t="s">
        <v>16</v>
      </c>
      <c r="P1058" s="165" t="s">
        <v>148</v>
      </c>
      <c r="Q1058" s="165" t="s">
        <v>148</v>
      </c>
      <c r="R1058" s="165" t="s">
        <v>149</v>
      </c>
      <c r="S1058" s="165" t="s">
        <v>148</v>
      </c>
      <c r="T1058" s="165" t="s">
        <v>148</v>
      </c>
      <c r="U1058" s="165" t="s">
        <v>16</v>
      </c>
      <c r="V1058" s="165" t="s">
        <v>16</v>
      </c>
      <c r="W1058" s="165" t="s">
        <v>16</v>
      </c>
      <c r="X1058" s="165" t="s">
        <v>148</v>
      </c>
      <c r="Y1058" s="165" t="s">
        <v>148</v>
      </c>
      <c r="Z1058" s="165" t="s">
        <v>148</v>
      </c>
      <c r="AA1058" s="165" t="s">
        <v>148</v>
      </c>
      <c r="AB1058" s="165" t="s">
        <v>16</v>
      </c>
      <c r="AC1058" s="165" t="s">
        <v>148</v>
      </c>
      <c r="AD1058" s="165" t="s">
        <v>148</v>
      </c>
      <c r="AE1058" s="165"/>
      <c r="AF1058" s="165"/>
    </row>
    <row r="1059" spans="1:32" x14ac:dyDescent="0.3">
      <c r="A1059" s="165" t="s">
        <v>1729</v>
      </c>
      <c r="B1059" s="165" t="s">
        <v>14</v>
      </c>
      <c r="C1059" s="165" t="s">
        <v>1715</v>
      </c>
      <c r="D1059" s="165" t="s">
        <v>15</v>
      </c>
      <c r="E1059" s="157">
        <v>41393</v>
      </c>
      <c r="F1059" s="165" t="s">
        <v>151</v>
      </c>
      <c r="G1059" s="165" t="s">
        <v>151</v>
      </c>
      <c r="H1059" s="165" t="s">
        <v>149</v>
      </c>
      <c r="I1059" s="165" t="s">
        <v>16</v>
      </c>
      <c r="J1059" s="165" t="s">
        <v>16</v>
      </c>
      <c r="K1059" s="165" t="s">
        <v>149</v>
      </c>
      <c r="L1059" s="165" t="s">
        <v>149</v>
      </c>
      <c r="M1059" s="165" t="s">
        <v>149</v>
      </c>
      <c r="N1059" s="165" t="s">
        <v>149</v>
      </c>
      <c r="O1059" s="165" t="s">
        <v>149</v>
      </c>
      <c r="P1059" s="165" t="s">
        <v>149</v>
      </c>
      <c r="Q1059" s="165" t="s">
        <v>149</v>
      </c>
      <c r="R1059" s="165" t="s">
        <v>149</v>
      </c>
      <c r="S1059" s="165" t="s">
        <v>148</v>
      </c>
      <c r="T1059" s="165" t="s">
        <v>149</v>
      </c>
      <c r="U1059" s="165" t="s">
        <v>149</v>
      </c>
      <c r="V1059" s="165" t="s">
        <v>149</v>
      </c>
      <c r="W1059" s="165" t="s">
        <v>149</v>
      </c>
      <c r="X1059" s="165" t="s">
        <v>149</v>
      </c>
      <c r="Y1059" s="165" t="s">
        <v>149</v>
      </c>
      <c r="Z1059" s="165" t="s">
        <v>149</v>
      </c>
      <c r="AA1059" s="165" t="s">
        <v>149</v>
      </c>
      <c r="AB1059" s="165" t="s">
        <v>16</v>
      </c>
      <c r="AC1059" s="165" t="s">
        <v>150</v>
      </c>
      <c r="AD1059" s="165" t="s">
        <v>16</v>
      </c>
      <c r="AE1059" s="165" t="s">
        <v>1730</v>
      </c>
      <c r="AF1059" s="165"/>
    </row>
    <row r="1060" spans="1:32" x14ac:dyDescent="0.3">
      <c r="A1060" s="165" t="s">
        <v>1731</v>
      </c>
      <c r="B1060" s="165" t="s">
        <v>14</v>
      </c>
      <c r="C1060" s="165" t="s">
        <v>1715</v>
      </c>
      <c r="D1060" s="165" t="s">
        <v>15</v>
      </c>
      <c r="E1060" s="157">
        <v>41393</v>
      </c>
      <c r="F1060" s="165" t="s">
        <v>16</v>
      </c>
      <c r="G1060" s="165" t="s">
        <v>16</v>
      </c>
      <c r="H1060" s="165" t="s">
        <v>16</v>
      </c>
      <c r="I1060" s="165" t="s">
        <v>16</v>
      </c>
      <c r="J1060" s="165" t="s">
        <v>16</v>
      </c>
      <c r="K1060" s="165" t="s">
        <v>16</v>
      </c>
      <c r="L1060" s="165" t="s">
        <v>16</v>
      </c>
      <c r="M1060" s="165" t="s">
        <v>16</v>
      </c>
      <c r="N1060" s="165" t="s">
        <v>16</v>
      </c>
      <c r="O1060" s="165" t="s">
        <v>16</v>
      </c>
      <c r="P1060" s="165" t="s">
        <v>16</v>
      </c>
      <c r="Q1060" s="165" t="s">
        <v>16</v>
      </c>
      <c r="R1060" s="165" t="s">
        <v>16</v>
      </c>
      <c r="S1060" s="165" t="s">
        <v>16</v>
      </c>
      <c r="T1060" s="165" t="s">
        <v>16</v>
      </c>
      <c r="U1060" s="165" t="s">
        <v>16</v>
      </c>
      <c r="V1060" s="165" t="s">
        <v>16</v>
      </c>
      <c r="W1060" s="165" t="s">
        <v>16</v>
      </c>
      <c r="X1060" s="165" t="s">
        <v>16</v>
      </c>
      <c r="Y1060" s="165" t="s">
        <v>16</v>
      </c>
      <c r="Z1060" s="165" t="s">
        <v>16</v>
      </c>
      <c r="AA1060" s="165" t="s">
        <v>16</v>
      </c>
      <c r="AB1060" s="165" t="s">
        <v>16</v>
      </c>
      <c r="AC1060" s="165" t="s">
        <v>16</v>
      </c>
      <c r="AD1060" s="165" t="s">
        <v>16</v>
      </c>
      <c r="AE1060" s="165" t="s">
        <v>1732</v>
      </c>
      <c r="AF1060" s="165"/>
    </row>
    <row r="1061" spans="1:32" x14ac:dyDescent="0.3">
      <c r="A1061" s="165" t="s">
        <v>1733</v>
      </c>
      <c r="B1061" s="165" t="s">
        <v>14</v>
      </c>
      <c r="C1061" s="165" t="s">
        <v>1715</v>
      </c>
      <c r="D1061" s="165" t="s">
        <v>15</v>
      </c>
      <c r="E1061" s="157">
        <v>41393</v>
      </c>
      <c r="F1061" s="165" t="s">
        <v>148</v>
      </c>
      <c r="G1061" s="165" t="s">
        <v>16</v>
      </c>
      <c r="H1061" s="165" t="s">
        <v>16</v>
      </c>
      <c r="I1061" s="165" t="s">
        <v>16</v>
      </c>
      <c r="J1061" s="165" t="s">
        <v>16</v>
      </c>
      <c r="K1061" s="165" t="s">
        <v>148</v>
      </c>
      <c r="L1061" s="165" t="s">
        <v>148</v>
      </c>
      <c r="M1061" s="165" t="s">
        <v>148</v>
      </c>
      <c r="N1061" s="165" t="s">
        <v>16</v>
      </c>
      <c r="O1061" s="165" t="s">
        <v>16</v>
      </c>
      <c r="P1061" s="165" t="s">
        <v>16</v>
      </c>
      <c r="Q1061" s="165" t="s">
        <v>16</v>
      </c>
      <c r="R1061" s="165" t="s">
        <v>16</v>
      </c>
      <c r="S1061" s="165" t="s">
        <v>150</v>
      </c>
      <c r="T1061" s="165" t="s">
        <v>148</v>
      </c>
      <c r="U1061" s="165" t="s">
        <v>16</v>
      </c>
      <c r="V1061" s="165" t="s">
        <v>16</v>
      </c>
      <c r="W1061" s="165" t="s">
        <v>16</v>
      </c>
      <c r="X1061" s="165" t="s">
        <v>16</v>
      </c>
      <c r="Y1061" s="165" t="s">
        <v>16</v>
      </c>
      <c r="Z1061" s="165" t="s">
        <v>150</v>
      </c>
      <c r="AA1061" s="165" t="s">
        <v>150</v>
      </c>
      <c r="AB1061" s="165" t="s">
        <v>16</v>
      </c>
      <c r="AC1061" s="165" t="s">
        <v>16</v>
      </c>
      <c r="AD1061" s="165" t="s">
        <v>151</v>
      </c>
      <c r="AE1061" s="165" t="s">
        <v>1734</v>
      </c>
      <c r="AF1061" s="165"/>
    </row>
    <row r="1062" spans="1:32" x14ac:dyDescent="0.3">
      <c r="A1062" s="165" t="s">
        <v>1735</v>
      </c>
      <c r="B1062" s="165" t="s">
        <v>14</v>
      </c>
      <c r="C1062" s="165" t="s">
        <v>1715</v>
      </c>
      <c r="D1062" s="165" t="s">
        <v>15</v>
      </c>
      <c r="E1062" s="157">
        <v>41393</v>
      </c>
      <c r="F1062" s="165" t="s">
        <v>16</v>
      </c>
      <c r="G1062" s="165" t="s">
        <v>16</v>
      </c>
      <c r="H1062" s="165" t="s">
        <v>16</v>
      </c>
      <c r="I1062" s="165" t="s">
        <v>16</v>
      </c>
      <c r="J1062" s="165" t="s">
        <v>16</v>
      </c>
      <c r="K1062" s="165" t="s">
        <v>148</v>
      </c>
      <c r="L1062" s="165" t="s">
        <v>16</v>
      </c>
      <c r="M1062" s="165" t="s">
        <v>16</v>
      </c>
      <c r="N1062" s="165" t="s">
        <v>16</v>
      </c>
      <c r="O1062" s="165" t="s">
        <v>16</v>
      </c>
      <c r="P1062" s="165" t="s">
        <v>16</v>
      </c>
      <c r="Q1062" s="165" t="s">
        <v>16</v>
      </c>
      <c r="R1062" s="165" t="s">
        <v>16</v>
      </c>
      <c r="S1062" s="165" t="s">
        <v>16</v>
      </c>
      <c r="T1062" s="165" t="s">
        <v>148</v>
      </c>
      <c r="U1062" s="165" t="s">
        <v>16</v>
      </c>
      <c r="V1062" s="165" t="s">
        <v>16</v>
      </c>
      <c r="W1062" s="165" t="s">
        <v>16</v>
      </c>
      <c r="X1062" s="165" t="s">
        <v>16</v>
      </c>
      <c r="Y1062" s="165" t="s">
        <v>148</v>
      </c>
      <c r="Z1062" s="165" t="s">
        <v>16</v>
      </c>
      <c r="AA1062" s="165" t="s">
        <v>16</v>
      </c>
      <c r="AB1062" s="165" t="s">
        <v>16</v>
      </c>
      <c r="AC1062" s="165" t="s">
        <v>16</v>
      </c>
      <c r="AD1062" s="165" t="s">
        <v>16</v>
      </c>
      <c r="AE1062" s="165" t="s">
        <v>882</v>
      </c>
      <c r="AF1062" s="165"/>
    </row>
    <row r="1063" spans="1:32" x14ac:dyDescent="0.3">
      <c r="A1063" s="165" t="s">
        <v>1736</v>
      </c>
      <c r="B1063" s="165" t="s">
        <v>14</v>
      </c>
      <c r="C1063" s="165" t="s">
        <v>1715</v>
      </c>
      <c r="D1063" s="165" t="s">
        <v>15</v>
      </c>
      <c r="E1063" s="157">
        <v>41393</v>
      </c>
      <c r="F1063" s="165" t="s">
        <v>16</v>
      </c>
      <c r="G1063" s="165" t="s">
        <v>16</v>
      </c>
      <c r="H1063" s="165" t="s">
        <v>16</v>
      </c>
      <c r="I1063" s="165" t="s">
        <v>16</v>
      </c>
      <c r="J1063" s="165" t="s">
        <v>16</v>
      </c>
      <c r="K1063" s="165" t="s">
        <v>16</v>
      </c>
      <c r="L1063" s="165" t="s">
        <v>16</v>
      </c>
      <c r="M1063" s="165" t="s">
        <v>16</v>
      </c>
      <c r="N1063" s="165" t="s">
        <v>148</v>
      </c>
      <c r="O1063" s="165" t="s">
        <v>16</v>
      </c>
      <c r="P1063" s="165" t="s">
        <v>16</v>
      </c>
      <c r="Q1063" s="165" t="s">
        <v>16</v>
      </c>
      <c r="R1063" s="165" t="s">
        <v>16</v>
      </c>
      <c r="S1063" s="165" t="s">
        <v>16</v>
      </c>
      <c r="T1063" s="165" t="s">
        <v>16</v>
      </c>
      <c r="U1063" s="165" t="s">
        <v>16</v>
      </c>
      <c r="V1063" s="165" t="s">
        <v>16</v>
      </c>
      <c r="W1063" s="165" t="s">
        <v>16</v>
      </c>
      <c r="X1063" s="165" t="s">
        <v>16</v>
      </c>
      <c r="Y1063" s="165" t="s">
        <v>16</v>
      </c>
      <c r="Z1063" s="165" t="s">
        <v>16</v>
      </c>
      <c r="AA1063" s="165" t="s">
        <v>16</v>
      </c>
      <c r="AB1063" s="165" t="s">
        <v>16</v>
      </c>
      <c r="AC1063" s="165" t="s">
        <v>16</v>
      </c>
      <c r="AD1063" s="165" t="s">
        <v>16</v>
      </c>
      <c r="AE1063" s="165"/>
      <c r="AF1063" s="165"/>
    </row>
    <row r="1064" spans="1:32" x14ac:dyDescent="0.3">
      <c r="A1064" s="165" t="s">
        <v>1737</v>
      </c>
      <c r="B1064" s="165" t="s">
        <v>14</v>
      </c>
      <c r="C1064" s="165" t="s">
        <v>1715</v>
      </c>
      <c r="D1064" s="165" t="s">
        <v>15</v>
      </c>
      <c r="E1064" s="157">
        <v>41393</v>
      </c>
      <c r="F1064" s="165" t="s">
        <v>16</v>
      </c>
      <c r="G1064" s="165" t="s">
        <v>16</v>
      </c>
      <c r="H1064" s="165" t="s">
        <v>16</v>
      </c>
      <c r="I1064" s="165" t="s">
        <v>16</v>
      </c>
      <c r="J1064" s="165" t="s">
        <v>16</v>
      </c>
      <c r="K1064" s="165" t="s">
        <v>16</v>
      </c>
      <c r="L1064" s="165" t="s">
        <v>16</v>
      </c>
      <c r="M1064" s="165" t="s">
        <v>16</v>
      </c>
      <c r="N1064" s="165" t="s">
        <v>16</v>
      </c>
      <c r="O1064" s="165" t="s">
        <v>16</v>
      </c>
      <c r="P1064" s="165" t="s">
        <v>16</v>
      </c>
      <c r="Q1064" s="165" t="s">
        <v>16</v>
      </c>
      <c r="R1064" s="165" t="s">
        <v>16</v>
      </c>
      <c r="S1064" s="165" t="s">
        <v>16</v>
      </c>
      <c r="T1064" s="165" t="s">
        <v>16</v>
      </c>
      <c r="U1064" s="165" t="s">
        <v>16</v>
      </c>
      <c r="V1064" s="165" t="s">
        <v>16</v>
      </c>
      <c r="W1064" s="165" t="s">
        <v>16</v>
      </c>
      <c r="X1064" s="165" t="s">
        <v>16</v>
      </c>
      <c r="Y1064" s="165" t="s">
        <v>16</v>
      </c>
      <c r="Z1064" s="165" t="s">
        <v>16</v>
      </c>
      <c r="AA1064" s="165" t="s">
        <v>16</v>
      </c>
      <c r="AB1064" s="165" t="s">
        <v>16</v>
      </c>
      <c r="AC1064" s="165" t="s">
        <v>16</v>
      </c>
      <c r="AD1064" s="165" t="s">
        <v>16</v>
      </c>
      <c r="AE1064" s="165" t="s">
        <v>1738</v>
      </c>
      <c r="AF1064" s="165"/>
    </row>
    <row r="1065" spans="1:32" x14ac:dyDescent="0.3">
      <c r="A1065" s="165" t="s">
        <v>1739</v>
      </c>
      <c r="B1065" s="165" t="s">
        <v>14</v>
      </c>
      <c r="C1065" s="165" t="s">
        <v>1715</v>
      </c>
      <c r="D1065" s="165" t="s">
        <v>15</v>
      </c>
      <c r="E1065" s="157">
        <v>41393</v>
      </c>
      <c r="F1065" s="165" t="s">
        <v>16</v>
      </c>
      <c r="G1065" s="165" t="s">
        <v>16</v>
      </c>
      <c r="H1065" s="165" t="s">
        <v>16</v>
      </c>
      <c r="I1065" s="165" t="s">
        <v>16</v>
      </c>
      <c r="J1065" s="165" t="s">
        <v>114</v>
      </c>
      <c r="K1065" s="165" t="s">
        <v>16</v>
      </c>
      <c r="L1065" s="165" t="s">
        <v>16</v>
      </c>
      <c r="M1065" s="165" t="s">
        <v>16</v>
      </c>
      <c r="N1065" s="165" t="s">
        <v>148</v>
      </c>
      <c r="O1065" s="165" t="s">
        <v>148</v>
      </c>
      <c r="P1065" s="165" t="s">
        <v>16</v>
      </c>
      <c r="Q1065" s="165" t="s">
        <v>16</v>
      </c>
      <c r="R1065" s="165" t="s">
        <v>148</v>
      </c>
      <c r="S1065" s="165" t="s">
        <v>148</v>
      </c>
      <c r="T1065" s="165" t="s">
        <v>148</v>
      </c>
      <c r="U1065" s="165" t="s">
        <v>16</v>
      </c>
      <c r="V1065" s="165" t="s">
        <v>16</v>
      </c>
      <c r="W1065" s="165" t="s">
        <v>16</v>
      </c>
      <c r="X1065" s="165" t="s">
        <v>16</v>
      </c>
      <c r="Y1065" s="165" t="s">
        <v>16</v>
      </c>
      <c r="Z1065" s="165" t="s">
        <v>16</v>
      </c>
      <c r="AA1065" s="165" t="s">
        <v>16</v>
      </c>
      <c r="AB1065" s="165" t="s">
        <v>16</v>
      </c>
      <c r="AC1065" s="165" t="s">
        <v>148</v>
      </c>
      <c r="AD1065" s="165" t="s">
        <v>16</v>
      </c>
      <c r="AE1065" s="165" t="s">
        <v>1740</v>
      </c>
      <c r="AF1065" s="165"/>
    </row>
    <row r="1066" spans="1:32" x14ac:dyDescent="0.3">
      <c r="A1066" s="165" t="s">
        <v>1741</v>
      </c>
      <c r="B1066" s="165" t="s">
        <v>14</v>
      </c>
      <c r="C1066" s="165" t="s">
        <v>1715</v>
      </c>
      <c r="D1066" s="165" t="s">
        <v>15</v>
      </c>
      <c r="E1066" s="157">
        <v>41393</v>
      </c>
      <c r="F1066" s="165" t="s">
        <v>16</v>
      </c>
      <c r="G1066" s="165" t="s">
        <v>114</v>
      </c>
      <c r="H1066" s="165" t="s">
        <v>16</v>
      </c>
      <c r="I1066" s="165" t="s">
        <v>16</v>
      </c>
      <c r="J1066" s="165" t="s">
        <v>149</v>
      </c>
      <c r="K1066" s="165" t="s">
        <v>148</v>
      </c>
      <c r="L1066" s="165" t="s">
        <v>16</v>
      </c>
      <c r="M1066" s="165" t="s">
        <v>16</v>
      </c>
      <c r="N1066" s="165" t="s">
        <v>16</v>
      </c>
      <c r="O1066" s="165" t="s">
        <v>148</v>
      </c>
      <c r="P1066" s="165" t="s">
        <v>16</v>
      </c>
      <c r="Q1066" s="165" t="s">
        <v>16</v>
      </c>
      <c r="R1066" s="165" t="s">
        <v>148</v>
      </c>
      <c r="S1066" s="165" t="s">
        <v>16</v>
      </c>
      <c r="T1066" s="165" t="s">
        <v>16</v>
      </c>
      <c r="U1066" s="165" t="s">
        <v>16</v>
      </c>
      <c r="V1066" s="165" t="s">
        <v>16</v>
      </c>
      <c r="W1066" s="165" t="s">
        <v>148</v>
      </c>
      <c r="X1066" s="165" t="s">
        <v>16</v>
      </c>
      <c r="Y1066" s="165" t="s">
        <v>16</v>
      </c>
      <c r="Z1066" s="165" t="s">
        <v>16</v>
      </c>
      <c r="AA1066" s="165" t="s">
        <v>16</v>
      </c>
      <c r="AB1066" s="165" t="s">
        <v>16</v>
      </c>
      <c r="AC1066" s="165" t="s">
        <v>148</v>
      </c>
      <c r="AD1066" s="165" t="s">
        <v>16</v>
      </c>
      <c r="AE1066" s="165" t="s">
        <v>1742</v>
      </c>
      <c r="AF1066" s="165"/>
    </row>
    <row r="1067" spans="1:32" x14ac:dyDescent="0.3">
      <c r="A1067" s="165" t="s">
        <v>1743</v>
      </c>
      <c r="B1067" s="165" t="s">
        <v>14</v>
      </c>
      <c r="C1067" s="165" t="s">
        <v>1715</v>
      </c>
      <c r="D1067" s="165" t="s">
        <v>15</v>
      </c>
      <c r="E1067" s="157">
        <v>41393</v>
      </c>
      <c r="F1067" s="165" t="s">
        <v>16</v>
      </c>
      <c r="G1067" s="165" t="s">
        <v>16</v>
      </c>
      <c r="H1067" s="165" t="s">
        <v>16</v>
      </c>
      <c r="I1067" s="165" t="s">
        <v>16</v>
      </c>
      <c r="J1067" s="165" t="s">
        <v>16</v>
      </c>
      <c r="K1067" s="165" t="s">
        <v>16</v>
      </c>
      <c r="L1067" s="165" t="s">
        <v>16</v>
      </c>
      <c r="M1067" s="165" t="s">
        <v>16</v>
      </c>
      <c r="N1067" s="165" t="s">
        <v>148</v>
      </c>
      <c r="O1067" s="165" t="s">
        <v>16</v>
      </c>
      <c r="P1067" s="165" t="s">
        <v>16</v>
      </c>
      <c r="Q1067" s="165" t="s">
        <v>16</v>
      </c>
      <c r="R1067" s="165" t="s">
        <v>16</v>
      </c>
      <c r="S1067" s="165" t="s">
        <v>16</v>
      </c>
      <c r="T1067" s="165" t="s">
        <v>16</v>
      </c>
      <c r="U1067" s="165" t="s">
        <v>16</v>
      </c>
      <c r="V1067" s="165" t="s">
        <v>16</v>
      </c>
      <c r="W1067" s="165" t="s">
        <v>16</v>
      </c>
      <c r="X1067" s="165" t="s">
        <v>16</v>
      </c>
      <c r="Y1067" s="165" t="s">
        <v>16</v>
      </c>
      <c r="Z1067" s="165" t="s">
        <v>16</v>
      </c>
      <c r="AA1067" s="165" t="s">
        <v>16</v>
      </c>
      <c r="AB1067" s="165" t="s">
        <v>16</v>
      </c>
      <c r="AC1067" s="165" t="s">
        <v>16</v>
      </c>
      <c r="AD1067" s="165" t="s">
        <v>16</v>
      </c>
      <c r="AE1067" s="165" t="s">
        <v>1734</v>
      </c>
      <c r="AF1067" s="165"/>
    </row>
    <row r="1068" spans="1:32" x14ac:dyDescent="0.3">
      <c r="A1068" s="165" t="s">
        <v>1744</v>
      </c>
      <c r="B1068" s="165" t="s">
        <v>14</v>
      </c>
      <c r="C1068" s="165" t="s">
        <v>1715</v>
      </c>
      <c r="D1068" s="165" t="s">
        <v>15</v>
      </c>
      <c r="E1068" s="157">
        <v>41393</v>
      </c>
      <c r="F1068" s="165" t="s">
        <v>16</v>
      </c>
      <c r="G1068" s="165" t="s">
        <v>16</v>
      </c>
      <c r="H1068" s="165" t="s">
        <v>16</v>
      </c>
      <c r="I1068" s="165" t="s">
        <v>16</v>
      </c>
      <c r="J1068" s="165" t="s">
        <v>16</v>
      </c>
      <c r="K1068" s="165" t="s">
        <v>16</v>
      </c>
      <c r="L1068" s="165" t="s">
        <v>16</v>
      </c>
      <c r="M1068" s="165" t="s">
        <v>16</v>
      </c>
      <c r="N1068" s="165" t="s">
        <v>16</v>
      </c>
      <c r="O1068" s="165" t="s">
        <v>16</v>
      </c>
      <c r="P1068" s="165" t="s">
        <v>16</v>
      </c>
      <c r="Q1068" s="165" t="s">
        <v>16</v>
      </c>
      <c r="R1068" s="165" t="s">
        <v>16</v>
      </c>
      <c r="S1068" s="165" t="s">
        <v>16</v>
      </c>
      <c r="T1068" s="165" t="s">
        <v>16</v>
      </c>
      <c r="U1068" s="165" t="s">
        <v>16</v>
      </c>
      <c r="V1068" s="165" t="s">
        <v>16</v>
      </c>
      <c r="W1068" s="165" t="s">
        <v>16</v>
      </c>
      <c r="X1068" s="165" t="s">
        <v>16</v>
      </c>
      <c r="Y1068" s="165" t="s">
        <v>16</v>
      </c>
      <c r="Z1068" s="165" t="s">
        <v>16</v>
      </c>
      <c r="AA1068" s="165" t="s">
        <v>16</v>
      </c>
      <c r="AB1068" s="165" t="s">
        <v>16</v>
      </c>
      <c r="AC1068" s="165" t="s">
        <v>16</v>
      </c>
      <c r="AD1068" s="165" t="s">
        <v>16</v>
      </c>
      <c r="AE1068" s="165" t="s">
        <v>1721</v>
      </c>
      <c r="AF1068" s="165"/>
    </row>
    <row r="1069" spans="1:32" x14ac:dyDescent="0.3">
      <c r="A1069" s="165" t="s">
        <v>1745</v>
      </c>
      <c r="B1069" s="165" t="s">
        <v>14</v>
      </c>
      <c r="C1069" s="165" t="s">
        <v>1715</v>
      </c>
      <c r="D1069" s="165" t="s">
        <v>15</v>
      </c>
      <c r="E1069" s="157">
        <v>41393</v>
      </c>
      <c r="F1069" s="165" t="s">
        <v>148</v>
      </c>
      <c r="G1069" s="165" t="s">
        <v>149</v>
      </c>
      <c r="H1069" s="165" t="s">
        <v>16</v>
      </c>
      <c r="I1069" s="165" t="s">
        <v>148</v>
      </c>
      <c r="J1069" s="165" t="s">
        <v>149</v>
      </c>
      <c r="K1069" s="165" t="s">
        <v>149</v>
      </c>
      <c r="L1069" s="165" t="s">
        <v>149</v>
      </c>
      <c r="M1069" s="165" t="s">
        <v>16</v>
      </c>
      <c r="N1069" s="165" t="s">
        <v>148</v>
      </c>
      <c r="O1069" s="165" t="s">
        <v>148</v>
      </c>
      <c r="P1069" s="165" t="s">
        <v>16</v>
      </c>
      <c r="Q1069" s="165" t="s">
        <v>16</v>
      </c>
      <c r="R1069" s="165" t="s">
        <v>16</v>
      </c>
      <c r="S1069" s="165" t="s">
        <v>16</v>
      </c>
      <c r="T1069" s="165" t="s">
        <v>16</v>
      </c>
      <c r="U1069" s="165" t="s">
        <v>16</v>
      </c>
      <c r="V1069" s="165" t="s">
        <v>148</v>
      </c>
      <c r="W1069" s="165" t="s">
        <v>16</v>
      </c>
      <c r="X1069" s="165" t="s">
        <v>16</v>
      </c>
      <c r="Y1069" s="165" t="s">
        <v>16</v>
      </c>
      <c r="Z1069" s="165" t="s">
        <v>16</v>
      </c>
      <c r="AA1069" s="165" t="s">
        <v>16</v>
      </c>
      <c r="AB1069" s="165" t="s">
        <v>16</v>
      </c>
      <c r="AC1069" s="165" t="s">
        <v>16</v>
      </c>
      <c r="AD1069" s="165" t="s">
        <v>16</v>
      </c>
      <c r="AE1069" s="165" t="s">
        <v>1742</v>
      </c>
      <c r="AF1069" s="165"/>
    </row>
    <row r="1070" spans="1:32" x14ac:dyDescent="0.3">
      <c r="A1070" s="165" t="s">
        <v>1746</v>
      </c>
      <c r="B1070" s="165" t="s">
        <v>14</v>
      </c>
      <c r="C1070" s="165" t="s">
        <v>1715</v>
      </c>
      <c r="D1070" s="165" t="s">
        <v>15</v>
      </c>
      <c r="E1070" s="157">
        <v>41393</v>
      </c>
      <c r="F1070" s="165" t="s">
        <v>149</v>
      </c>
      <c r="G1070" s="165" t="s">
        <v>16</v>
      </c>
      <c r="H1070" s="165" t="s">
        <v>16</v>
      </c>
      <c r="I1070" s="165" t="s">
        <v>16</v>
      </c>
      <c r="J1070" s="165" t="s">
        <v>16</v>
      </c>
      <c r="K1070" s="165" t="s">
        <v>16</v>
      </c>
      <c r="L1070" s="165" t="s">
        <v>16</v>
      </c>
      <c r="M1070" s="165" t="s">
        <v>16</v>
      </c>
      <c r="N1070" s="165" t="s">
        <v>16</v>
      </c>
      <c r="O1070" s="165" t="s">
        <v>16</v>
      </c>
      <c r="P1070" s="165" t="s">
        <v>16</v>
      </c>
      <c r="Q1070" s="165" t="s">
        <v>16</v>
      </c>
      <c r="R1070" s="165" t="s">
        <v>16</v>
      </c>
      <c r="S1070" s="165" t="s">
        <v>16</v>
      </c>
      <c r="T1070" s="165" t="s">
        <v>16</v>
      </c>
      <c r="U1070" s="165" t="s">
        <v>149</v>
      </c>
      <c r="V1070" s="165" t="s">
        <v>16</v>
      </c>
      <c r="W1070" s="165" t="s">
        <v>16</v>
      </c>
      <c r="X1070" s="165" t="s">
        <v>16</v>
      </c>
      <c r="Y1070" s="165" t="s">
        <v>16</v>
      </c>
      <c r="Z1070" s="165" t="s">
        <v>16</v>
      </c>
      <c r="AA1070" s="165" t="s">
        <v>16</v>
      </c>
      <c r="AB1070" s="165" t="s">
        <v>16</v>
      </c>
      <c r="AC1070" s="165" t="s">
        <v>16</v>
      </c>
      <c r="AD1070" s="165" t="s">
        <v>16</v>
      </c>
      <c r="AE1070" s="165" t="s">
        <v>1747</v>
      </c>
      <c r="AF1070" s="165"/>
    </row>
    <row r="1071" spans="1:32" x14ac:dyDescent="0.3">
      <c r="A1071" s="165" t="s">
        <v>1748</v>
      </c>
      <c r="B1071" s="165" t="s">
        <v>14</v>
      </c>
      <c r="C1071" s="165" t="s">
        <v>1715</v>
      </c>
      <c r="D1071" s="165" t="s">
        <v>15</v>
      </c>
      <c r="E1071" s="157">
        <v>41393</v>
      </c>
      <c r="F1071" s="165" t="s">
        <v>16</v>
      </c>
      <c r="G1071" s="165" t="s">
        <v>148</v>
      </c>
      <c r="H1071" s="165" t="s">
        <v>16</v>
      </c>
      <c r="I1071" s="165" t="s">
        <v>16</v>
      </c>
      <c r="J1071" s="165" t="s">
        <v>16</v>
      </c>
      <c r="K1071" s="165" t="s">
        <v>16</v>
      </c>
      <c r="L1071" s="165" t="s">
        <v>16</v>
      </c>
      <c r="M1071" s="165" t="s">
        <v>16</v>
      </c>
      <c r="N1071" s="165" t="s">
        <v>148</v>
      </c>
      <c r="O1071" s="165" t="s">
        <v>148</v>
      </c>
      <c r="P1071" s="165" t="s">
        <v>148</v>
      </c>
      <c r="Q1071" s="165" t="s">
        <v>16</v>
      </c>
      <c r="R1071" s="165" t="s">
        <v>16</v>
      </c>
      <c r="S1071" s="165" t="s">
        <v>16</v>
      </c>
      <c r="T1071" s="165" t="s">
        <v>16</v>
      </c>
      <c r="U1071" s="165" t="s">
        <v>148</v>
      </c>
      <c r="V1071" s="165" t="s">
        <v>148</v>
      </c>
      <c r="W1071" s="165" t="s">
        <v>16</v>
      </c>
      <c r="X1071" s="165" t="s">
        <v>16</v>
      </c>
      <c r="Y1071" s="165" t="s">
        <v>16</v>
      </c>
      <c r="Z1071" s="165" t="s">
        <v>148</v>
      </c>
      <c r="AA1071" s="165" t="s">
        <v>16</v>
      </c>
      <c r="AB1071" s="165" t="s">
        <v>148</v>
      </c>
      <c r="AC1071" s="165" t="s">
        <v>16</v>
      </c>
      <c r="AD1071" s="165" t="s">
        <v>16</v>
      </c>
      <c r="AE1071" s="165" t="s">
        <v>1749</v>
      </c>
      <c r="AF1071" s="165"/>
    </row>
    <row r="1072" spans="1:32" x14ac:dyDescent="0.3">
      <c r="A1072" s="165" t="s">
        <v>1750</v>
      </c>
      <c r="B1072" s="165" t="s">
        <v>14</v>
      </c>
      <c r="C1072" s="165" t="s">
        <v>1715</v>
      </c>
      <c r="D1072" s="165" t="s">
        <v>15</v>
      </c>
      <c r="E1072" s="157">
        <v>41393</v>
      </c>
      <c r="F1072" s="165" t="s">
        <v>16</v>
      </c>
      <c r="G1072" s="165" t="s">
        <v>16</v>
      </c>
      <c r="H1072" s="165" t="s">
        <v>16</v>
      </c>
      <c r="I1072" s="165" t="s">
        <v>16</v>
      </c>
      <c r="J1072" s="165" t="s">
        <v>16</v>
      </c>
      <c r="K1072" s="165" t="s">
        <v>16</v>
      </c>
      <c r="L1072" s="165" t="s">
        <v>16</v>
      </c>
      <c r="M1072" s="165" t="s">
        <v>16</v>
      </c>
      <c r="N1072" s="165" t="s">
        <v>16</v>
      </c>
      <c r="O1072" s="165" t="s">
        <v>16</v>
      </c>
      <c r="P1072" s="165" t="s">
        <v>16</v>
      </c>
      <c r="Q1072" s="165" t="s">
        <v>16</v>
      </c>
      <c r="R1072" s="165" t="s">
        <v>16</v>
      </c>
      <c r="S1072" s="165" t="s">
        <v>16</v>
      </c>
      <c r="T1072" s="165" t="s">
        <v>16</v>
      </c>
      <c r="U1072" s="165" t="s">
        <v>16</v>
      </c>
      <c r="V1072" s="165" t="s">
        <v>16</v>
      </c>
      <c r="W1072" s="165" t="s">
        <v>16</v>
      </c>
      <c r="X1072" s="165" t="s">
        <v>16</v>
      </c>
      <c r="Y1072" s="165" t="s">
        <v>16</v>
      </c>
      <c r="Z1072" s="165" t="s">
        <v>16</v>
      </c>
      <c r="AA1072" s="165" t="s">
        <v>16</v>
      </c>
      <c r="AB1072" s="165" t="s">
        <v>16</v>
      </c>
      <c r="AC1072" s="165" t="s">
        <v>16</v>
      </c>
      <c r="AD1072" s="165" t="s">
        <v>16</v>
      </c>
      <c r="AE1072" s="165" t="s">
        <v>1751</v>
      </c>
      <c r="AF1072" s="165"/>
    </row>
    <row r="1073" spans="1:32" x14ac:dyDescent="0.3">
      <c r="A1073" s="165" t="s">
        <v>1752</v>
      </c>
      <c r="B1073" s="165" t="s">
        <v>14</v>
      </c>
      <c r="C1073" s="165" t="s">
        <v>1715</v>
      </c>
      <c r="D1073" s="165" t="s">
        <v>15</v>
      </c>
      <c r="E1073" s="157">
        <v>41393</v>
      </c>
      <c r="F1073" s="165" t="s">
        <v>148</v>
      </c>
      <c r="G1073" s="165" t="s">
        <v>16</v>
      </c>
      <c r="H1073" s="165" t="s">
        <v>148</v>
      </c>
      <c r="I1073" s="165" t="s">
        <v>16</v>
      </c>
      <c r="J1073" s="165" t="s">
        <v>148</v>
      </c>
      <c r="K1073" s="165" t="s">
        <v>16</v>
      </c>
      <c r="L1073" s="165" t="s">
        <v>16</v>
      </c>
      <c r="M1073" s="165" t="s">
        <v>16</v>
      </c>
      <c r="N1073" s="165" t="s">
        <v>148</v>
      </c>
      <c r="O1073" s="165" t="s">
        <v>16</v>
      </c>
      <c r="P1073" s="165" t="s">
        <v>16</v>
      </c>
      <c r="Q1073" s="165" t="s">
        <v>16</v>
      </c>
      <c r="R1073" s="165" t="s">
        <v>16</v>
      </c>
      <c r="S1073" s="165" t="s">
        <v>148</v>
      </c>
      <c r="T1073" s="165" t="s">
        <v>148</v>
      </c>
      <c r="U1073" s="165" t="s">
        <v>16</v>
      </c>
      <c r="V1073" s="165" t="s">
        <v>148</v>
      </c>
      <c r="W1073" s="165" t="s">
        <v>148</v>
      </c>
      <c r="X1073" s="165" t="s">
        <v>148</v>
      </c>
      <c r="Y1073" s="165" t="s">
        <v>148</v>
      </c>
      <c r="Z1073" s="165" t="s">
        <v>16</v>
      </c>
      <c r="AA1073" s="165" t="s">
        <v>16</v>
      </c>
      <c r="AB1073" s="165" t="s">
        <v>16</v>
      </c>
      <c r="AC1073" s="165" t="s">
        <v>148</v>
      </c>
      <c r="AD1073" s="165" t="s">
        <v>148</v>
      </c>
      <c r="AE1073" s="165" t="s">
        <v>1751</v>
      </c>
      <c r="AF1073" s="165" t="s">
        <v>1753</v>
      </c>
    </row>
    <row r="1074" spans="1:32" x14ac:dyDescent="0.3">
      <c r="A1074" s="165" t="s">
        <v>1754</v>
      </c>
      <c r="B1074" s="165" t="s">
        <v>14</v>
      </c>
      <c r="C1074" s="165" t="s">
        <v>1715</v>
      </c>
      <c r="D1074" s="165" t="s">
        <v>15</v>
      </c>
      <c r="E1074" s="157">
        <v>41393</v>
      </c>
      <c r="F1074" s="165" t="s">
        <v>16</v>
      </c>
      <c r="G1074" s="165" t="s">
        <v>16</v>
      </c>
      <c r="H1074" s="165" t="s">
        <v>16</v>
      </c>
      <c r="I1074" s="165" t="s">
        <v>16</v>
      </c>
      <c r="J1074" s="165" t="s">
        <v>16</v>
      </c>
      <c r="K1074" s="165" t="s">
        <v>16</v>
      </c>
      <c r="L1074" s="165" t="s">
        <v>16</v>
      </c>
      <c r="M1074" s="165" t="s">
        <v>16</v>
      </c>
      <c r="N1074" s="165" t="s">
        <v>16</v>
      </c>
      <c r="O1074" s="165" t="s">
        <v>16</v>
      </c>
      <c r="P1074" s="165" t="s">
        <v>16</v>
      </c>
      <c r="Q1074" s="165" t="s">
        <v>16</v>
      </c>
      <c r="R1074" s="165" t="s">
        <v>16</v>
      </c>
      <c r="S1074" s="165" t="s">
        <v>16</v>
      </c>
      <c r="T1074" s="165" t="s">
        <v>16</v>
      </c>
      <c r="U1074" s="165" t="s">
        <v>16</v>
      </c>
      <c r="V1074" s="165" t="s">
        <v>16</v>
      </c>
      <c r="W1074" s="165" t="s">
        <v>16</v>
      </c>
      <c r="X1074" s="165" t="s">
        <v>16</v>
      </c>
      <c r="Y1074" s="165" t="s">
        <v>16</v>
      </c>
      <c r="Z1074" s="165" t="s">
        <v>16</v>
      </c>
      <c r="AA1074" s="165" t="s">
        <v>16</v>
      </c>
      <c r="AB1074" s="165" t="s">
        <v>16</v>
      </c>
      <c r="AC1074" s="165" t="s">
        <v>16</v>
      </c>
      <c r="AD1074" s="165" t="s">
        <v>16</v>
      </c>
      <c r="AE1074" s="165" t="s">
        <v>1755</v>
      </c>
      <c r="AF1074" s="165"/>
    </row>
    <row r="1075" spans="1:32" x14ac:dyDescent="0.3">
      <c r="A1075" s="165" t="s">
        <v>1756</v>
      </c>
      <c r="B1075" s="165" t="s">
        <v>14</v>
      </c>
      <c r="C1075" s="165" t="s">
        <v>1715</v>
      </c>
      <c r="D1075" s="165" t="s">
        <v>15</v>
      </c>
      <c r="E1075" s="157">
        <v>41393</v>
      </c>
      <c r="F1075" s="165" t="s">
        <v>16</v>
      </c>
      <c r="G1075" s="165" t="s">
        <v>16</v>
      </c>
      <c r="H1075" s="165" t="s">
        <v>148</v>
      </c>
      <c r="I1075" s="165" t="s">
        <v>148</v>
      </c>
      <c r="J1075" s="165" t="s">
        <v>16</v>
      </c>
      <c r="K1075" s="165" t="s">
        <v>16</v>
      </c>
      <c r="L1075" s="165" t="s">
        <v>16</v>
      </c>
      <c r="M1075" s="165" t="s">
        <v>16</v>
      </c>
      <c r="N1075" s="165" t="s">
        <v>16</v>
      </c>
      <c r="O1075" s="165" t="s">
        <v>16</v>
      </c>
      <c r="P1075" s="165" t="s">
        <v>16</v>
      </c>
      <c r="Q1075" s="165" t="s">
        <v>16</v>
      </c>
      <c r="R1075" s="165" t="s">
        <v>148</v>
      </c>
      <c r="S1075" s="165" t="s">
        <v>16</v>
      </c>
      <c r="T1075" s="165" t="s">
        <v>16</v>
      </c>
      <c r="U1075" s="165" t="s">
        <v>16</v>
      </c>
      <c r="V1075" s="165" t="s">
        <v>16</v>
      </c>
      <c r="W1075" s="165" t="s">
        <v>148</v>
      </c>
      <c r="X1075" s="165" t="s">
        <v>148</v>
      </c>
      <c r="Y1075" s="165" t="s">
        <v>16</v>
      </c>
      <c r="Z1075" s="165" t="s">
        <v>16</v>
      </c>
      <c r="AA1075" s="165" t="s">
        <v>16</v>
      </c>
      <c r="AB1075" s="165" t="s">
        <v>16</v>
      </c>
      <c r="AC1075" s="165" t="s">
        <v>16</v>
      </c>
      <c r="AD1075" s="165" t="s">
        <v>16</v>
      </c>
      <c r="AE1075" s="165" t="s">
        <v>1738</v>
      </c>
      <c r="AF1075" s="165"/>
    </row>
    <row r="1076" spans="1:32" x14ac:dyDescent="0.3">
      <c r="A1076" s="165" t="s">
        <v>1757</v>
      </c>
      <c r="B1076" s="165" t="s">
        <v>14</v>
      </c>
      <c r="C1076" s="165" t="s">
        <v>1715</v>
      </c>
      <c r="D1076" s="165" t="s">
        <v>15</v>
      </c>
      <c r="E1076" s="157">
        <v>41393</v>
      </c>
      <c r="F1076" s="165" t="s">
        <v>16</v>
      </c>
      <c r="G1076" s="165" t="s">
        <v>16</v>
      </c>
      <c r="H1076" s="165" t="s">
        <v>16</v>
      </c>
      <c r="I1076" s="165" t="s">
        <v>16</v>
      </c>
      <c r="J1076" s="165" t="s">
        <v>16</v>
      </c>
      <c r="K1076" s="165" t="s">
        <v>16</v>
      </c>
      <c r="L1076" s="165" t="s">
        <v>16</v>
      </c>
      <c r="M1076" s="165" t="s">
        <v>16</v>
      </c>
      <c r="N1076" s="165" t="s">
        <v>16</v>
      </c>
      <c r="O1076" s="165" t="s">
        <v>16</v>
      </c>
      <c r="P1076" s="165" t="s">
        <v>16</v>
      </c>
      <c r="Q1076" s="165" t="s">
        <v>16</v>
      </c>
      <c r="R1076" s="165" t="s">
        <v>16</v>
      </c>
      <c r="S1076" s="165" t="s">
        <v>16</v>
      </c>
      <c r="T1076" s="165" t="s">
        <v>16</v>
      </c>
      <c r="U1076" s="165" t="s">
        <v>16</v>
      </c>
      <c r="V1076" s="165" t="s">
        <v>16</v>
      </c>
      <c r="W1076" s="165" t="s">
        <v>16</v>
      </c>
      <c r="X1076" s="165" t="s">
        <v>16</v>
      </c>
      <c r="Y1076" s="165" t="s">
        <v>16</v>
      </c>
      <c r="Z1076" s="165" t="s">
        <v>16</v>
      </c>
      <c r="AA1076" s="165" t="s">
        <v>16</v>
      </c>
      <c r="AB1076" s="165" t="s">
        <v>16</v>
      </c>
      <c r="AC1076" s="165" t="s">
        <v>16</v>
      </c>
      <c r="AD1076" s="165" t="s">
        <v>16</v>
      </c>
      <c r="AE1076" s="165"/>
      <c r="AF1076" s="165"/>
    </row>
    <row r="1077" spans="1:32" x14ac:dyDescent="0.3">
      <c r="A1077" s="165" t="s">
        <v>1758</v>
      </c>
      <c r="B1077" s="165" t="s">
        <v>14</v>
      </c>
      <c r="C1077" s="165" t="s">
        <v>1715</v>
      </c>
      <c r="D1077" s="165" t="s">
        <v>15</v>
      </c>
      <c r="E1077" s="157">
        <v>41393</v>
      </c>
      <c r="F1077" s="165" t="s">
        <v>16</v>
      </c>
      <c r="G1077" s="165" t="s">
        <v>16</v>
      </c>
      <c r="H1077" s="165" t="s">
        <v>16</v>
      </c>
      <c r="I1077" s="165" t="s">
        <v>16</v>
      </c>
      <c r="J1077" s="165" t="s">
        <v>16</v>
      </c>
      <c r="K1077" s="165" t="s">
        <v>16</v>
      </c>
      <c r="L1077" s="165" t="s">
        <v>16</v>
      </c>
      <c r="M1077" s="165" t="s">
        <v>16</v>
      </c>
      <c r="N1077" s="165" t="s">
        <v>148</v>
      </c>
      <c r="O1077" s="165" t="s">
        <v>16</v>
      </c>
      <c r="P1077" s="165" t="s">
        <v>16</v>
      </c>
      <c r="Q1077" s="165" t="s">
        <v>16</v>
      </c>
      <c r="R1077" s="165" t="s">
        <v>16</v>
      </c>
      <c r="S1077" s="165" t="s">
        <v>16</v>
      </c>
      <c r="T1077" s="165" t="s">
        <v>148</v>
      </c>
      <c r="U1077" s="165" t="s">
        <v>16</v>
      </c>
      <c r="V1077" s="165" t="s">
        <v>16</v>
      </c>
      <c r="W1077" s="165" t="s">
        <v>16</v>
      </c>
      <c r="X1077" s="165" t="s">
        <v>16</v>
      </c>
      <c r="Y1077" s="165" t="s">
        <v>16</v>
      </c>
      <c r="Z1077" s="165" t="s">
        <v>16</v>
      </c>
      <c r="AA1077" s="165" t="s">
        <v>16</v>
      </c>
      <c r="AB1077" s="165" t="s">
        <v>16</v>
      </c>
      <c r="AC1077" s="165" t="s">
        <v>16</v>
      </c>
      <c r="AD1077" s="165" t="s">
        <v>16</v>
      </c>
      <c r="AE1077" s="165" t="s">
        <v>882</v>
      </c>
      <c r="AF1077" s="165"/>
    </row>
    <row r="1078" spans="1:32" x14ac:dyDescent="0.3">
      <c r="A1078" s="165" t="s">
        <v>1759</v>
      </c>
      <c r="B1078" s="165" t="s">
        <v>14</v>
      </c>
      <c r="C1078" s="165" t="s">
        <v>1715</v>
      </c>
      <c r="D1078" s="165" t="s">
        <v>15</v>
      </c>
      <c r="E1078" s="157">
        <v>41393</v>
      </c>
      <c r="F1078" s="165" t="s">
        <v>16</v>
      </c>
      <c r="G1078" s="165" t="s">
        <v>16</v>
      </c>
      <c r="H1078" s="165" t="s">
        <v>16</v>
      </c>
      <c r="I1078" s="165" t="s">
        <v>16</v>
      </c>
      <c r="J1078" s="165" t="s">
        <v>148</v>
      </c>
      <c r="K1078" s="165" t="s">
        <v>148</v>
      </c>
      <c r="L1078" s="165" t="s">
        <v>16</v>
      </c>
      <c r="M1078" s="165" t="s">
        <v>148</v>
      </c>
      <c r="N1078" s="165" t="s">
        <v>16</v>
      </c>
      <c r="O1078" s="165" t="s">
        <v>16</v>
      </c>
      <c r="P1078" s="165" t="s">
        <v>148</v>
      </c>
      <c r="Q1078" s="165" t="s">
        <v>148</v>
      </c>
      <c r="R1078" s="165" t="s">
        <v>16</v>
      </c>
      <c r="S1078" s="165" t="s">
        <v>148</v>
      </c>
      <c r="T1078" s="165" t="s">
        <v>16</v>
      </c>
      <c r="U1078" s="165" t="s">
        <v>148</v>
      </c>
      <c r="V1078" s="165" t="s">
        <v>16</v>
      </c>
      <c r="W1078" s="165" t="s">
        <v>148</v>
      </c>
      <c r="X1078" s="165" t="s">
        <v>16</v>
      </c>
      <c r="Y1078" s="165" t="s">
        <v>16</v>
      </c>
      <c r="Z1078" s="165" t="s">
        <v>148</v>
      </c>
      <c r="AA1078" s="165" t="s">
        <v>148</v>
      </c>
      <c r="AB1078" s="165" t="s">
        <v>16</v>
      </c>
      <c r="AC1078" s="165" t="s">
        <v>16</v>
      </c>
      <c r="AD1078" s="165" t="s">
        <v>16</v>
      </c>
      <c r="AE1078" s="165" t="s">
        <v>1734</v>
      </c>
      <c r="AF1078" s="165"/>
    </row>
    <row r="1079" spans="1:32" x14ac:dyDescent="0.3">
      <c r="A1079" s="165" t="s">
        <v>1760</v>
      </c>
      <c r="B1079" s="165" t="s">
        <v>14</v>
      </c>
      <c r="C1079" s="165" t="s">
        <v>1715</v>
      </c>
      <c r="D1079" s="165" t="s">
        <v>15</v>
      </c>
      <c r="E1079" s="157">
        <v>41393</v>
      </c>
      <c r="F1079" s="165" t="s">
        <v>16</v>
      </c>
      <c r="G1079" s="165" t="s">
        <v>16</v>
      </c>
      <c r="H1079" s="165" t="s">
        <v>16</v>
      </c>
      <c r="I1079" s="165" t="s">
        <v>16</v>
      </c>
      <c r="J1079" s="165" t="s">
        <v>16</v>
      </c>
      <c r="K1079" s="165" t="s">
        <v>16</v>
      </c>
      <c r="L1079" s="165" t="s">
        <v>16</v>
      </c>
      <c r="M1079" s="165" t="s">
        <v>16</v>
      </c>
      <c r="N1079" s="165" t="s">
        <v>16</v>
      </c>
      <c r="O1079" s="165" t="s">
        <v>16</v>
      </c>
      <c r="P1079" s="165" t="s">
        <v>16</v>
      </c>
      <c r="Q1079" s="165" t="s">
        <v>16</v>
      </c>
      <c r="R1079" s="165" t="s">
        <v>16</v>
      </c>
      <c r="S1079" s="165" t="s">
        <v>16</v>
      </c>
      <c r="T1079" s="165" t="s">
        <v>16</v>
      </c>
      <c r="U1079" s="165" t="s">
        <v>16</v>
      </c>
      <c r="V1079" s="165" t="s">
        <v>16</v>
      </c>
      <c r="W1079" s="165" t="s">
        <v>16</v>
      </c>
      <c r="X1079" s="165" t="s">
        <v>16</v>
      </c>
      <c r="Y1079" s="165" t="s">
        <v>16</v>
      </c>
      <c r="Z1079" s="165" t="s">
        <v>16</v>
      </c>
      <c r="AA1079" s="165" t="s">
        <v>148</v>
      </c>
      <c r="AB1079" s="165" t="s">
        <v>16</v>
      </c>
      <c r="AC1079" s="165" t="s">
        <v>16</v>
      </c>
      <c r="AD1079" s="165" t="s">
        <v>16</v>
      </c>
      <c r="AE1079" s="165" t="s">
        <v>1761</v>
      </c>
      <c r="AF1079" s="165"/>
    </row>
    <row r="1080" spans="1:32" x14ac:dyDescent="0.3">
      <c r="A1080" s="165" t="s">
        <v>1762</v>
      </c>
      <c r="B1080" s="165" t="s">
        <v>14</v>
      </c>
      <c r="C1080" s="165" t="s">
        <v>1715</v>
      </c>
      <c r="D1080" s="165" t="s">
        <v>15</v>
      </c>
      <c r="E1080" s="157">
        <v>41393</v>
      </c>
      <c r="F1080" s="165" t="s">
        <v>16</v>
      </c>
      <c r="G1080" s="165" t="s">
        <v>16</v>
      </c>
      <c r="H1080" s="165" t="s">
        <v>16</v>
      </c>
      <c r="I1080" s="165" t="s">
        <v>16</v>
      </c>
      <c r="J1080" s="165" t="s">
        <v>16</v>
      </c>
      <c r="K1080" s="165" t="s">
        <v>16</v>
      </c>
      <c r="L1080" s="165" t="s">
        <v>16</v>
      </c>
      <c r="M1080" s="165" t="s">
        <v>16</v>
      </c>
      <c r="N1080" s="165" t="s">
        <v>16</v>
      </c>
      <c r="O1080" s="165" t="s">
        <v>16</v>
      </c>
      <c r="P1080" s="165" t="s">
        <v>16</v>
      </c>
      <c r="Q1080" s="165" t="s">
        <v>16</v>
      </c>
      <c r="R1080" s="165" t="s">
        <v>16</v>
      </c>
      <c r="S1080" s="165" t="s">
        <v>16</v>
      </c>
      <c r="T1080" s="165" t="s">
        <v>16</v>
      </c>
      <c r="U1080" s="165" t="s">
        <v>16</v>
      </c>
      <c r="V1080" s="165" t="s">
        <v>16</v>
      </c>
      <c r="W1080" s="165" t="s">
        <v>16</v>
      </c>
      <c r="X1080" s="165" t="s">
        <v>16</v>
      </c>
      <c r="Y1080" s="165" t="s">
        <v>16</v>
      </c>
      <c r="Z1080" s="165" t="s">
        <v>16</v>
      </c>
      <c r="AA1080" s="165" t="s">
        <v>16</v>
      </c>
      <c r="AB1080" s="165" t="s">
        <v>16</v>
      </c>
      <c r="AC1080" s="165" t="s">
        <v>16</v>
      </c>
      <c r="AD1080" s="165" t="s">
        <v>16</v>
      </c>
      <c r="AE1080" s="165" t="s">
        <v>1716</v>
      </c>
      <c r="AF1080" s="165"/>
    </row>
    <row r="1081" spans="1:32" x14ac:dyDescent="0.3">
      <c r="A1081" s="165" t="s">
        <v>1763</v>
      </c>
      <c r="B1081" s="165" t="s">
        <v>14</v>
      </c>
      <c r="C1081" s="165" t="s">
        <v>1715</v>
      </c>
      <c r="D1081" s="165" t="s">
        <v>15</v>
      </c>
      <c r="E1081" s="157">
        <v>41393</v>
      </c>
      <c r="F1081" s="165" t="s">
        <v>16</v>
      </c>
      <c r="G1081" s="165" t="s">
        <v>16</v>
      </c>
      <c r="H1081" s="165" t="s">
        <v>148</v>
      </c>
      <c r="I1081" s="165" t="s">
        <v>148</v>
      </c>
      <c r="J1081" s="165" t="s">
        <v>16</v>
      </c>
      <c r="K1081" s="165" t="s">
        <v>16</v>
      </c>
      <c r="L1081" s="165" t="s">
        <v>148</v>
      </c>
      <c r="M1081" s="165" t="s">
        <v>148</v>
      </c>
      <c r="N1081" s="165" t="s">
        <v>148</v>
      </c>
      <c r="O1081" s="165" t="s">
        <v>16</v>
      </c>
      <c r="P1081" s="165" t="s">
        <v>148</v>
      </c>
      <c r="Q1081" s="165" t="s">
        <v>16</v>
      </c>
      <c r="R1081" s="165" t="s">
        <v>148</v>
      </c>
      <c r="S1081" s="165" t="s">
        <v>16</v>
      </c>
      <c r="T1081" s="165" t="s">
        <v>16</v>
      </c>
      <c r="U1081" s="165" t="s">
        <v>148</v>
      </c>
      <c r="V1081" s="165" t="s">
        <v>16</v>
      </c>
      <c r="W1081" s="165" t="s">
        <v>16</v>
      </c>
      <c r="X1081" s="165" t="s">
        <v>148</v>
      </c>
      <c r="Y1081" s="165" t="s">
        <v>16</v>
      </c>
      <c r="Z1081" s="165" t="s">
        <v>16</v>
      </c>
      <c r="AA1081" s="165" t="s">
        <v>16</v>
      </c>
      <c r="AB1081" s="165" t="s">
        <v>16</v>
      </c>
      <c r="AC1081" s="165" t="s">
        <v>16</v>
      </c>
      <c r="AD1081" s="165" t="s">
        <v>16</v>
      </c>
      <c r="AE1081" s="165" t="s">
        <v>1721</v>
      </c>
      <c r="AF1081" s="165"/>
    </row>
    <row r="1082" spans="1:32" x14ac:dyDescent="0.3">
      <c r="A1082" s="165" t="s">
        <v>1764</v>
      </c>
      <c r="B1082" s="165" t="s">
        <v>14</v>
      </c>
      <c r="C1082" s="165" t="s">
        <v>1715</v>
      </c>
      <c r="D1082" s="165" t="s">
        <v>15</v>
      </c>
      <c r="E1082" s="157">
        <v>41393</v>
      </c>
      <c r="F1082" s="165" t="s">
        <v>16</v>
      </c>
      <c r="G1082" s="165" t="s">
        <v>16</v>
      </c>
      <c r="H1082" s="165" t="s">
        <v>16</v>
      </c>
      <c r="I1082" s="165" t="s">
        <v>148</v>
      </c>
      <c r="J1082" s="165" t="s">
        <v>16</v>
      </c>
      <c r="K1082" s="165" t="s">
        <v>16</v>
      </c>
      <c r="L1082" s="165" t="s">
        <v>16</v>
      </c>
      <c r="M1082" s="165" t="s">
        <v>148</v>
      </c>
      <c r="N1082" s="165" t="s">
        <v>16</v>
      </c>
      <c r="O1082" s="165" t="s">
        <v>16</v>
      </c>
      <c r="P1082" s="165" t="s">
        <v>16</v>
      </c>
      <c r="Q1082" s="165" t="s">
        <v>16</v>
      </c>
      <c r="R1082" s="165" t="s">
        <v>16</v>
      </c>
      <c r="S1082" s="165" t="s">
        <v>16</v>
      </c>
      <c r="T1082" s="165" t="s">
        <v>16</v>
      </c>
      <c r="U1082" s="165" t="s">
        <v>16</v>
      </c>
      <c r="V1082" s="165" t="s">
        <v>16</v>
      </c>
      <c r="W1082" s="165" t="s">
        <v>16</v>
      </c>
      <c r="X1082" s="165" t="s">
        <v>16</v>
      </c>
      <c r="Y1082" s="165" t="s">
        <v>16</v>
      </c>
      <c r="Z1082" s="165" t="s">
        <v>16</v>
      </c>
      <c r="AA1082" s="165" t="s">
        <v>148</v>
      </c>
      <c r="AB1082" s="165" t="s">
        <v>16</v>
      </c>
      <c r="AC1082" s="165" t="s">
        <v>16</v>
      </c>
      <c r="AD1082" s="165" t="s">
        <v>16</v>
      </c>
      <c r="AE1082" s="165"/>
      <c r="AF1082" s="165"/>
    </row>
    <row r="1086" spans="1:32" x14ac:dyDescent="0.3">
      <c r="A1086" s="165"/>
      <c r="B1086" s="165"/>
      <c r="C1086" s="165"/>
      <c r="D1086" s="165"/>
      <c r="E1086" s="165"/>
      <c r="F1086" s="165" t="s">
        <v>124</v>
      </c>
      <c r="G1086" s="165" t="s">
        <v>125</v>
      </c>
      <c r="H1086" s="165" t="s">
        <v>126</v>
      </c>
      <c r="I1086" s="165" t="s">
        <v>127</v>
      </c>
      <c r="J1086" s="165" t="s">
        <v>214</v>
      </c>
      <c r="K1086" s="165" t="s">
        <v>128</v>
      </c>
      <c r="L1086" s="165" t="s">
        <v>129</v>
      </c>
      <c r="M1086" s="165" t="s">
        <v>130</v>
      </c>
      <c r="N1086" s="165" t="s">
        <v>131</v>
      </c>
      <c r="O1086" s="165" t="s">
        <v>132</v>
      </c>
      <c r="P1086" s="165" t="s">
        <v>133</v>
      </c>
      <c r="Q1086" s="165" t="s">
        <v>134</v>
      </c>
      <c r="R1086" s="165" t="s">
        <v>135</v>
      </c>
      <c r="S1086" s="165" t="s">
        <v>136</v>
      </c>
      <c r="T1086" s="165" t="s">
        <v>137</v>
      </c>
      <c r="U1086" s="165" t="s">
        <v>138</v>
      </c>
      <c r="V1086" s="165" t="s">
        <v>139</v>
      </c>
      <c r="W1086" s="165" t="s">
        <v>140</v>
      </c>
      <c r="X1086" s="165" t="s">
        <v>186</v>
      </c>
      <c r="Y1086" s="165" t="s">
        <v>209</v>
      </c>
      <c r="Z1086" s="165" t="s">
        <v>141</v>
      </c>
      <c r="AA1086" s="165" t="s">
        <v>142</v>
      </c>
      <c r="AB1086" s="165" t="s">
        <v>210</v>
      </c>
      <c r="AC1086" s="165" t="s">
        <v>1180</v>
      </c>
      <c r="AD1086" s="165" t="s">
        <v>144</v>
      </c>
      <c r="AE1086" s="165" t="s">
        <v>1765</v>
      </c>
      <c r="AF1086" s="165" t="s">
        <v>190</v>
      </c>
    </row>
    <row r="1087" spans="1:32" x14ac:dyDescent="0.3">
      <c r="A1087" s="165" t="s">
        <v>1766</v>
      </c>
      <c r="B1087" s="165" t="s">
        <v>14</v>
      </c>
      <c r="C1087" s="165" t="s">
        <v>1767</v>
      </c>
      <c r="D1087" s="165" t="s">
        <v>15</v>
      </c>
      <c r="E1087" s="157">
        <v>41424</v>
      </c>
      <c r="F1087" s="165" t="s">
        <v>16</v>
      </c>
      <c r="G1087" s="165" t="s">
        <v>16</v>
      </c>
      <c r="H1087" s="165" t="s">
        <v>16</v>
      </c>
      <c r="I1087" s="165" t="s">
        <v>16</v>
      </c>
      <c r="J1087" s="165" t="s">
        <v>16</v>
      </c>
      <c r="K1087" s="165" t="s">
        <v>16</v>
      </c>
      <c r="L1087" s="165" t="s">
        <v>16</v>
      </c>
      <c r="M1087" s="165" t="s">
        <v>16</v>
      </c>
      <c r="N1087" s="165" t="s">
        <v>16</v>
      </c>
      <c r="O1087" s="165" t="s">
        <v>16</v>
      </c>
      <c r="P1087" s="165" t="s">
        <v>16</v>
      </c>
      <c r="Q1087" s="165" t="s">
        <v>16</v>
      </c>
      <c r="R1087" s="165" t="s">
        <v>16</v>
      </c>
      <c r="S1087" s="165" t="s">
        <v>16</v>
      </c>
      <c r="T1087" s="165" t="s">
        <v>148</v>
      </c>
      <c r="U1087" s="165" t="s">
        <v>16</v>
      </c>
      <c r="V1087" s="165" t="s">
        <v>16</v>
      </c>
      <c r="W1087" s="165" t="s">
        <v>16</v>
      </c>
      <c r="X1087" s="165" t="s">
        <v>16</v>
      </c>
      <c r="Y1087" s="165" t="s">
        <v>16</v>
      </c>
      <c r="Z1087" s="165" t="s">
        <v>16</v>
      </c>
      <c r="AA1087" s="165" t="s">
        <v>16</v>
      </c>
      <c r="AB1087" s="165" t="s">
        <v>148</v>
      </c>
      <c r="AC1087" s="165" t="s">
        <v>16</v>
      </c>
      <c r="AD1087" s="165" t="s">
        <v>16</v>
      </c>
      <c r="AE1087" s="165" t="s">
        <v>1768</v>
      </c>
      <c r="AF1087" s="165"/>
    </row>
    <row r="1088" spans="1:32" x14ac:dyDescent="0.3">
      <c r="A1088" s="165" t="s">
        <v>1769</v>
      </c>
      <c r="B1088" s="165" t="s">
        <v>14</v>
      </c>
      <c r="C1088" s="165" t="s">
        <v>1767</v>
      </c>
      <c r="D1088" s="165" t="s">
        <v>15</v>
      </c>
      <c r="E1088" s="157">
        <v>41424</v>
      </c>
      <c r="F1088" s="165" t="s">
        <v>16</v>
      </c>
      <c r="G1088" s="165" t="s">
        <v>16</v>
      </c>
      <c r="H1088" s="165" t="s">
        <v>16</v>
      </c>
      <c r="I1088" s="165" t="s">
        <v>16</v>
      </c>
      <c r="J1088" s="165" t="s">
        <v>114</v>
      </c>
      <c r="K1088" s="165" t="s">
        <v>16</v>
      </c>
      <c r="L1088" s="165" t="s">
        <v>16</v>
      </c>
      <c r="M1088" s="165" t="s">
        <v>16</v>
      </c>
      <c r="N1088" s="165" t="s">
        <v>148</v>
      </c>
      <c r="O1088" s="165" t="s">
        <v>16</v>
      </c>
      <c r="P1088" s="165" t="s">
        <v>16</v>
      </c>
      <c r="Q1088" s="165" t="s">
        <v>16</v>
      </c>
      <c r="R1088" s="165" t="s">
        <v>16</v>
      </c>
      <c r="S1088" s="165" t="s">
        <v>148</v>
      </c>
      <c r="T1088" s="165" t="s">
        <v>16</v>
      </c>
      <c r="U1088" s="165" t="s">
        <v>16</v>
      </c>
      <c r="V1088" s="165" t="s">
        <v>16</v>
      </c>
      <c r="W1088" s="165" t="s">
        <v>16</v>
      </c>
      <c r="X1088" s="165" t="s">
        <v>16</v>
      </c>
      <c r="Y1088" s="165" t="s">
        <v>16</v>
      </c>
      <c r="Z1088" s="165" t="s">
        <v>16</v>
      </c>
      <c r="AA1088" s="165" t="s">
        <v>148</v>
      </c>
      <c r="AB1088" s="165" t="s">
        <v>16</v>
      </c>
      <c r="AC1088" s="165" t="s">
        <v>148</v>
      </c>
      <c r="AD1088" s="165" t="s">
        <v>16</v>
      </c>
      <c r="AE1088" s="165" t="s">
        <v>1770</v>
      </c>
      <c r="AF1088" s="165"/>
    </row>
    <row r="1089" spans="1:32" x14ac:dyDescent="0.3">
      <c r="A1089" s="165" t="s">
        <v>1771</v>
      </c>
      <c r="B1089" s="165" t="s">
        <v>14</v>
      </c>
      <c r="C1089" s="165" t="s">
        <v>1767</v>
      </c>
      <c r="D1089" s="165" t="s">
        <v>15</v>
      </c>
      <c r="E1089" s="157">
        <v>41424</v>
      </c>
      <c r="F1089" s="165" t="s">
        <v>16</v>
      </c>
      <c r="G1089" s="165" t="s">
        <v>16</v>
      </c>
      <c r="H1089" s="165" t="s">
        <v>16</v>
      </c>
      <c r="I1089" s="165" t="s">
        <v>148</v>
      </c>
      <c r="J1089" s="165" t="s">
        <v>148</v>
      </c>
      <c r="K1089" s="165" t="s">
        <v>148</v>
      </c>
      <c r="L1089" s="165" t="s">
        <v>16</v>
      </c>
      <c r="M1089" s="165" t="s">
        <v>16</v>
      </c>
      <c r="N1089" s="165" t="s">
        <v>16</v>
      </c>
      <c r="O1089" s="165" t="s">
        <v>16</v>
      </c>
      <c r="P1089" s="165" t="s">
        <v>16</v>
      </c>
      <c r="Q1089" s="165" t="s">
        <v>148</v>
      </c>
      <c r="R1089" s="165" t="s">
        <v>148</v>
      </c>
      <c r="S1089" s="165" t="s">
        <v>148</v>
      </c>
      <c r="T1089" s="165" t="s">
        <v>148</v>
      </c>
      <c r="U1089" s="165" t="s">
        <v>16</v>
      </c>
      <c r="V1089" s="165" t="s">
        <v>16</v>
      </c>
      <c r="W1089" s="165" t="s">
        <v>16</v>
      </c>
      <c r="X1089" s="165" t="s">
        <v>148</v>
      </c>
      <c r="Y1089" s="165" t="s">
        <v>16</v>
      </c>
      <c r="Z1089" s="165" t="s">
        <v>148</v>
      </c>
      <c r="AA1089" s="165" t="s">
        <v>148</v>
      </c>
      <c r="AB1089" s="165" t="s">
        <v>149</v>
      </c>
      <c r="AC1089" s="165" t="s">
        <v>16</v>
      </c>
      <c r="AD1089" s="165" t="s">
        <v>16</v>
      </c>
      <c r="AE1089" s="165" t="s">
        <v>1772</v>
      </c>
      <c r="AF1089" s="165"/>
    </row>
    <row r="1090" spans="1:32" x14ac:dyDescent="0.3">
      <c r="A1090" s="165" t="s">
        <v>1773</v>
      </c>
      <c r="B1090" s="165" t="s">
        <v>14</v>
      </c>
      <c r="C1090" s="165" t="s">
        <v>1767</v>
      </c>
      <c r="D1090" s="165" t="s">
        <v>15</v>
      </c>
      <c r="E1090" s="157">
        <v>41424</v>
      </c>
      <c r="F1090" s="165" t="s">
        <v>16</v>
      </c>
      <c r="G1090" s="165" t="s">
        <v>16</v>
      </c>
      <c r="H1090" s="165" t="s">
        <v>150</v>
      </c>
      <c r="I1090" s="165" t="s">
        <v>148</v>
      </c>
      <c r="J1090" s="165" t="s">
        <v>16</v>
      </c>
      <c r="K1090" s="165" t="s">
        <v>16</v>
      </c>
      <c r="L1090" s="165" t="s">
        <v>16</v>
      </c>
      <c r="M1090" s="165" t="s">
        <v>16</v>
      </c>
      <c r="N1090" s="165" t="s">
        <v>16</v>
      </c>
      <c r="O1090" s="165" t="s">
        <v>148</v>
      </c>
      <c r="P1090" s="165" t="s">
        <v>16</v>
      </c>
      <c r="Q1090" s="165" t="s">
        <v>150</v>
      </c>
      <c r="R1090" s="165" t="s">
        <v>150</v>
      </c>
      <c r="S1090" s="165" t="s">
        <v>148</v>
      </c>
      <c r="T1090" s="165" t="s">
        <v>16</v>
      </c>
      <c r="U1090" s="165" t="s">
        <v>16</v>
      </c>
      <c r="V1090" s="165" t="s">
        <v>16</v>
      </c>
      <c r="W1090" s="165" t="s">
        <v>16</v>
      </c>
      <c r="X1090" s="165" t="s">
        <v>16</v>
      </c>
      <c r="Y1090" s="165" t="s">
        <v>148</v>
      </c>
      <c r="Z1090" s="165" t="s">
        <v>16</v>
      </c>
      <c r="AA1090" s="165" t="s">
        <v>16</v>
      </c>
      <c r="AB1090" s="165" t="s">
        <v>16</v>
      </c>
      <c r="AC1090" s="165" t="s">
        <v>150</v>
      </c>
      <c r="AD1090" s="165" t="s">
        <v>16</v>
      </c>
      <c r="AE1090" s="165" t="s">
        <v>1772</v>
      </c>
      <c r="AF1090" s="165"/>
    </row>
    <row r="1091" spans="1:32" x14ac:dyDescent="0.3">
      <c r="A1091" s="165" t="s">
        <v>1774</v>
      </c>
      <c r="B1091" s="165" t="s">
        <v>14</v>
      </c>
      <c r="C1091" s="165" t="s">
        <v>1767</v>
      </c>
      <c r="D1091" s="165" t="s">
        <v>15</v>
      </c>
      <c r="E1091" s="157">
        <v>41424</v>
      </c>
      <c r="F1091" s="165" t="s">
        <v>148</v>
      </c>
      <c r="G1091" s="165" t="s">
        <v>148</v>
      </c>
      <c r="H1091" s="165" t="s">
        <v>16</v>
      </c>
      <c r="I1091" s="165" t="s">
        <v>148</v>
      </c>
      <c r="J1091" s="165" t="s">
        <v>148</v>
      </c>
      <c r="K1091" s="165" t="s">
        <v>148</v>
      </c>
      <c r="L1091" s="165" t="s">
        <v>148</v>
      </c>
      <c r="M1091" s="165" t="s">
        <v>150</v>
      </c>
      <c r="N1091" s="165" t="s">
        <v>148</v>
      </c>
      <c r="O1091" s="165" t="s">
        <v>16</v>
      </c>
      <c r="P1091" s="165" t="s">
        <v>148</v>
      </c>
      <c r="Q1091" s="165" t="s">
        <v>148</v>
      </c>
      <c r="R1091" s="165" t="s">
        <v>16</v>
      </c>
      <c r="S1091" s="165" t="s">
        <v>16</v>
      </c>
      <c r="T1091" s="165" t="s">
        <v>148</v>
      </c>
      <c r="U1091" s="165" t="s">
        <v>148</v>
      </c>
      <c r="V1091" s="165" t="s">
        <v>16</v>
      </c>
      <c r="W1091" s="165" t="s">
        <v>16</v>
      </c>
      <c r="X1091" s="165" t="s">
        <v>148</v>
      </c>
      <c r="Y1091" s="165" t="s">
        <v>148</v>
      </c>
      <c r="Z1091" s="165" t="s">
        <v>148</v>
      </c>
      <c r="AA1091" s="165" t="s">
        <v>148</v>
      </c>
      <c r="AB1091" s="165" t="s">
        <v>148</v>
      </c>
      <c r="AC1091" s="165" t="s">
        <v>16</v>
      </c>
      <c r="AD1091" s="165" t="s">
        <v>16</v>
      </c>
      <c r="AE1091" s="165" t="s">
        <v>1772</v>
      </c>
      <c r="AF1091" s="165"/>
    </row>
    <row r="1092" spans="1:32" x14ac:dyDescent="0.3">
      <c r="A1092" s="165" t="s">
        <v>1775</v>
      </c>
      <c r="B1092" s="165" t="s">
        <v>14</v>
      </c>
      <c r="C1092" s="165" t="s">
        <v>1767</v>
      </c>
      <c r="D1092" s="165" t="s">
        <v>15</v>
      </c>
      <c r="E1092" s="157">
        <v>41424</v>
      </c>
      <c r="F1092" s="165" t="s">
        <v>16</v>
      </c>
      <c r="G1092" s="165" t="s">
        <v>114</v>
      </c>
      <c r="H1092" s="165" t="s">
        <v>16</v>
      </c>
      <c r="I1092" s="165" t="s">
        <v>148</v>
      </c>
      <c r="J1092" s="165" t="s">
        <v>16</v>
      </c>
      <c r="K1092" s="165" t="s">
        <v>16</v>
      </c>
      <c r="L1092" s="165" t="s">
        <v>148</v>
      </c>
      <c r="M1092" s="165" t="s">
        <v>148</v>
      </c>
      <c r="N1092" s="165" t="s">
        <v>150</v>
      </c>
      <c r="O1092" s="165" t="s">
        <v>148</v>
      </c>
      <c r="P1092" s="165" t="s">
        <v>148</v>
      </c>
      <c r="Q1092" s="165" t="s">
        <v>16</v>
      </c>
      <c r="R1092" s="165" t="s">
        <v>148</v>
      </c>
      <c r="S1092" s="165" t="s">
        <v>16</v>
      </c>
      <c r="T1092" s="165" t="s">
        <v>16</v>
      </c>
      <c r="U1092" s="165" t="s">
        <v>148</v>
      </c>
      <c r="V1092" s="165" t="s">
        <v>16</v>
      </c>
      <c r="W1092" s="165" t="s">
        <v>16</v>
      </c>
      <c r="X1092" s="165" t="s">
        <v>148</v>
      </c>
      <c r="Y1092" s="165" t="s">
        <v>16</v>
      </c>
      <c r="Z1092" s="165" t="s">
        <v>148</v>
      </c>
      <c r="AA1092" s="165" t="s">
        <v>148</v>
      </c>
      <c r="AB1092" s="165" t="s">
        <v>16</v>
      </c>
      <c r="AC1092" s="165" t="s">
        <v>16</v>
      </c>
      <c r="AD1092" s="165" t="s">
        <v>16</v>
      </c>
      <c r="AE1092" s="165" t="s">
        <v>1772</v>
      </c>
      <c r="AF1092" s="165"/>
    </row>
    <row r="1093" spans="1:32" x14ac:dyDescent="0.3">
      <c r="A1093" s="165" t="s">
        <v>1776</v>
      </c>
      <c r="B1093" s="165" t="s">
        <v>14</v>
      </c>
      <c r="C1093" s="165" t="s">
        <v>1767</v>
      </c>
      <c r="D1093" s="165" t="s">
        <v>15</v>
      </c>
      <c r="E1093" s="157">
        <v>41424</v>
      </c>
      <c r="F1093" s="165" t="s">
        <v>16</v>
      </c>
      <c r="G1093" s="165" t="s">
        <v>16</v>
      </c>
      <c r="H1093" s="165" t="s">
        <v>16</v>
      </c>
      <c r="I1093" s="165" t="s">
        <v>148</v>
      </c>
      <c r="J1093" s="165" t="s">
        <v>149</v>
      </c>
      <c r="K1093" s="165" t="s">
        <v>149</v>
      </c>
      <c r="L1093" s="165" t="s">
        <v>148</v>
      </c>
      <c r="M1093" s="165" t="s">
        <v>150</v>
      </c>
      <c r="N1093" s="165" t="s">
        <v>148</v>
      </c>
      <c r="O1093" s="165" t="s">
        <v>16</v>
      </c>
      <c r="P1093" s="165" t="s">
        <v>148</v>
      </c>
      <c r="Q1093" s="165" t="s">
        <v>16</v>
      </c>
      <c r="R1093" s="165" t="s">
        <v>149</v>
      </c>
      <c r="S1093" s="165" t="s">
        <v>150</v>
      </c>
      <c r="T1093" s="165" t="s">
        <v>148</v>
      </c>
      <c r="U1093" s="165" t="s">
        <v>16</v>
      </c>
      <c r="V1093" s="165" t="s">
        <v>148</v>
      </c>
      <c r="W1093" s="165" t="s">
        <v>16</v>
      </c>
      <c r="X1093" s="165" t="s">
        <v>148</v>
      </c>
      <c r="Y1093" s="165" t="s">
        <v>16</v>
      </c>
      <c r="Z1093" s="165" t="s">
        <v>148</v>
      </c>
      <c r="AA1093" s="165" t="s">
        <v>16</v>
      </c>
      <c r="AB1093" s="165" t="s">
        <v>148</v>
      </c>
      <c r="AC1093" s="165" t="s">
        <v>16</v>
      </c>
      <c r="AD1093" s="165" t="s">
        <v>148</v>
      </c>
      <c r="AE1093" s="165" t="s">
        <v>1772</v>
      </c>
      <c r="AF1093" s="165"/>
    </row>
    <row r="1094" spans="1:32" x14ac:dyDescent="0.3">
      <c r="A1094" s="165" t="s">
        <v>1777</v>
      </c>
      <c r="B1094" s="165" t="s">
        <v>14</v>
      </c>
      <c r="C1094" s="165" t="s">
        <v>1767</v>
      </c>
      <c r="D1094" s="165" t="s">
        <v>15</v>
      </c>
      <c r="E1094" s="157">
        <v>41424</v>
      </c>
      <c r="F1094" s="165" t="s">
        <v>16</v>
      </c>
      <c r="G1094" s="165" t="s">
        <v>16</v>
      </c>
      <c r="H1094" s="165" t="s">
        <v>148</v>
      </c>
      <c r="I1094" s="165" t="s">
        <v>148</v>
      </c>
      <c r="J1094" s="165" t="s">
        <v>16</v>
      </c>
      <c r="K1094" s="165" t="s">
        <v>16</v>
      </c>
      <c r="L1094" s="165" t="s">
        <v>148</v>
      </c>
      <c r="M1094" s="165" t="s">
        <v>16</v>
      </c>
      <c r="N1094" s="165" t="s">
        <v>16</v>
      </c>
      <c r="O1094" s="165" t="s">
        <v>16</v>
      </c>
      <c r="P1094" s="165" t="s">
        <v>16</v>
      </c>
      <c r="Q1094" s="165" t="s">
        <v>16</v>
      </c>
      <c r="R1094" s="165" t="s">
        <v>148</v>
      </c>
      <c r="S1094" s="165" t="s">
        <v>16</v>
      </c>
      <c r="T1094" s="165" t="s">
        <v>16</v>
      </c>
      <c r="U1094" s="165" t="s">
        <v>148</v>
      </c>
      <c r="V1094" s="165" t="s">
        <v>16</v>
      </c>
      <c r="W1094" s="165" t="s">
        <v>16</v>
      </c>
      <c r="X1094" s="165" t="s">
        <v>16</v>
      </c>
      <c r="Y1094" s="165" t="s">
        <v>16</v>
      </c>
      <c r="Z1094" s="165" t="s">
        <v>16</v>
      </c>
      <c r="AA1094" s="165" t="s">
        <v>16</v>
      </c>
      <c r="AB1094" s="165" t="s">
        <v>16</v>
      </c>
      <c r="AC1094" s="165" t="s">
        <v>16</v>
      </c>
      <c r="AD1094" s="165" t="s">
        <v>16</v>
      </c>
      <c r="AE1094" s="165" t="s">
        <v>1770</v>
      </c>
      <c r="AF1094" s="165"/>
    </row>
    <row r="1095" spans="1:32" x14ac:dyDescent="0.3">
      <c r="A1095" s="165" t="s">
        <v>1778</v>
      </c>
      <c r="B1095" s="165" t="s">
        <v>14</v>
      </c>
      <c r="C1095" s="165" t="s">
        <v>1767</v>
      </c>
      <c r="D1095" s="165" t="s">
        <v>15</v>
      </c>
      <c r="E1095" s="157">
        <v>41424</v>
      </c>
      <c r="F1095" s="165" t="s">
        <v>149</v>
      </c>
      <c r="G1095" s="165" t="s">
        <v>16</v>
      </c>
      <c r="H1095" s="165" t="s">
        <v>16</v>
      </c>
      <c r="I1095" s="165" t="s">
        <v>16</v>
      </c>
      <c r="J1095" s="165" t="s">
        <v>16</v>
      </c>
      <c r="K1095" s="165" t="s">
        <v>16</v>
      </c>
      <c r="L1095" s="165" t="s">
        <v>16</v>
      </c>
      <c r="M1095" s="165" t="s">
        <v>16</v>
      </c>
      <c r="N1095" s="165" t="s">
        <v>16</v>
      </c>
      <c r="O1095" s="165" t="s">
        <v>16</v>
      </c>
      <c r="P1095" s="165" t="s">
        <v>16</v>
      </c>
      <c r="Q1095" s="165" t="s">
        <v>16</v>
      </c>
      <c r="R1095" s="165" t="s">
        <v>148</v>
      </c>
      <c r="S1095" s="165" t="s">
        <v>16</v>
      </c>
      <c r="T1095" s="165" t="s">
        <v>16</v>
      </c>
      <c r="U1095" s="165" t="s">
        <v>16</v>
      </c>
      <c r="V1095" s="165" t="s">
        <v>16</v>
      </c>
      <c r="W1095" s="165" t="s">
        <v>16</v>
      </c>
      <c r="X1095" s="165" t="s">
        <v>16</v>
      </c>
      <c r="Y1095" s="165" t="s">
        <v>16</v>
      </c>
      <c r="Z1095" s="165" t="s">
        <v>16</v>
      </c>
      <c r="AA1095" s="165" t="s">
        <v>16</v>
      </c>
      <c r="AB1095" s="165" t="s">
        <v>16</v>
      </c>
      <c r="AC1095" s="165" t="s">
        <v>16</v>
      </c>
      <c r="AD1095" s="165" t="s">
        <v>16</v>
      </c>
      <c r="AE1095" s="165" t="s">
        <v>1772</v>
      </c>
      <c r="AF1095" s="165"/>
    </row>
    <row r="1096" spans="1:32" x14ac:dyDescent="0.3">
      <c r="A1096" s="165" t="s">
        <v>1779</v>
      </c>
      <c r="B1096" s="165" t="s">
        <v>14</v>
      </c>
      <c r="C1096" s="165" t="s">
        <v>1767</v>
      </c>
      <c r="D1096" s="165" t="s">
        <v>15</v>
      </c>
      <c r="E1096" s="157">
        <v>41424</v>
      </c>
      <c r="F1096" s="165" t="s">
        <v>16</v>
      </c>
      <c r="G1096" s="165" t="s">
        <v>16</v>
      </c>
      <c r="H1096" s="165" t="s">
        <v>16</v>
      </c>
      <c r="I1096" s="165" t="s">
        <v>16</v>
      </c>
      <c r="J1096" s="165" t="s">
        <v>16</v>
      </c>
      <c r="K1096" s="165" t="s">
        <v>16</v>
      </c>
      <c r="L1096" s="165" t="s">
        <v>16</v>
      </c>
      <c r="M1096" s="165" t="s">
        <v>16</v>
      </c>
      <c r="N1096" s="165" t="s">
        <v>16</v>
      </c>
      <c r="O1096" s="165" t="s">
        <v>16</v>
      </c>
      <c r="P1096" s="165" t="s">
        <v>16</v>
      </c>
      <c r="Q1096" s="165" t="s">
        <v>16</v>
      </c>
      <c r="R1096" s="165" t="s">
        <v>16</v>
      </c>
      <c r="S1096" s="165" t="s">
        <v>16</v>
      </c>
      <c r="T1096" s="165" t="s">
        <v>16</v>
      </c>
      <c r="U1096" s="165" t="s">
        <v>148</v>
      </c>
      <c r="V1096" s="165" t="s">
        <v>16</v>
      </c>
      <c r="W1096" s="165" t="s">
        <v>16</v>
      </c>
      <c r="X1096" s="165" t="s">
        <v>16</v>
      </c>
      <c r="Y1096" s="165" t="s">
        <v>16</v>
      </c>
      <c r="Z1096" s="165" t="s">
        <v>16</v>
      </c>
      <c r="AA1096" s="165" t="s">
        <v>16</v>
      </c>
      <c r="AB1096" s="165" t="s">
        <v>16</v>
      </c>
      <c r="AC1096" s="165" t="s">
        <v>16</v>
      </c>
      <c r="AD1096" s="165" t="s">
        <v>16</v>
      </c>
      <c r="AE1096" s="165" t="s">
        <v>1780</v>
      </c>
      <c r="AF1096" s="165"/>
    </row>
    <row r="1097" spans="1:32" x14ac:dyDescent="0.3">
      <c r="A1097" s="165" t="s">
        <v>1781</v>
      </c>
      <c r="B1097" s="165" t="s">
        <v>14</v>
      </c>
      <c r="C1097" s="165" t="s">
        <v>1767</v>
      </c>
      <c r="D1097" s="165" t="s">
        <v>15</v>
      </c>
      <c r="E1097" s="157">
        <v>41424</v>
      </c>
      <c r="F1097" s="165" t="s">
        <v>16</v>
      </c>
      <c r="G1097" s="165" t="s">
        <v>16</v>
      </c>
      <c r="H1097" s="165" t="s">
        <v>16</v>
      </c>
      <c r="I1097" s="165" t="s">
        <v>148</v>
      </c>
      <c r="J1097" s="165" t="s">
        <v>16</v>
      </c>
      <c r="K1097" s="165" t="s">
        <v>16</v>
      </c>
      <c r="L1097" s="165" t="s">
        <v>150</v>
      </c>
      <c r="M1097" s="165" t="s">
        <v>148</v>
      </c>
      <c r="N1097" s="165" t="s">
        <v>16</v>
      </c>
      <c r="O1097" s="165" t="s">
        <v>16</v>
      </c>
      <c r="P1097" s="165" t="s">
        <v>16</v>
      </c>
      <c r="Q1097" s="165" t="s">
        <v>16</v>
      </c>
      <c r="R1097" s="165" t="s">
        <v>148</v>
      </c>
      <c r="S1097" s="165" t="s">
        <v>16</v>
      </c>
      <c r="T1097" s="165" t="s">
        <v>16</v>
      </c>
      <c r="U1097" s="165" t="s">
        <v>16</v>
      </c>
      <c r="V1097" s="165" t="s">
        <v>148</v>
      </c>
      <c r="W1097" s="165" t="s">
        <v>16</v>
      </c>
      <c r="X1097" s="165" t="s">
        <v>16</v>
      </c>
      <c r="Y1097" s="165" t="s">
        <v>16</v>
      </c>
      <c r="Z1097" s="165" t="s">
        <v>16</v>
      </c>
      <c r="AA1097" s="165" t="s">
        <v>16</v>
      </c>
      <c r="AB1097" s="165" t="s">
        <v>16</v>
      </c>
      <c r="AC1097" s="165" t="s">
        <v>16</v>
      </c>
      <c r="AD1097" s="165" t="s">
        <v>16</v>
      </c>
      <c r="AE1097" s="165" t="s">
        <v>1772</v>
      </c>
      <c r="AF1097" s="165"/>
    </row>
    <row r="1098" spans="1:32" x14ac:dyDescent="0.3">
      <c r="A1098" s="165" t="s">
        <v>1782</v>
      </c>
      <c r="B1098" s="165" t="s">
        <v>14</v>
      </c>
      <c r="C1098" s="165" t="s">
        <v>1767</v>
      </c>
      <c r="D1098" s="165" t="s">
        <v>15</v>
      </c>
      <c r="E1098" s="157">
        <v>41424</v>
      </c>
      <c r="F1098" s="165" t="s">
        <v>16</v>
      </c>
      <c r="G1098" s="165" t="s">
        <v>16</v>
      </c>
      <c r="H1098" s="165" t="s">
        <v>16</v>
      </c>
      <c r="I1098" s="165" t="s">
        <v>148</v>
      </c>
      <c r="J1098" s="165" t="s">
        <v>148</v>
      </c>
      <c r="K1098" s="165" t="s">
        <v>16</v>
      </c>
      <c r="L1098" s="165" t="s">
        <v>148</v>
      </c>
      <c r="M1098" s="165" t="s">
        <v>148</v>
      </c>
      <c r="N1098" s="165" t="s">
        <v>148</v>
      </c>
      <c r="O1098" s="165" t="s">
        <v>16</v>
      </c>
      <c r="P1098" s="165" t="s">
        <v>16</v>
      </c>
      <c r="Q1098" s="165" t="s">
        <v>148</v>
      </c>
      <c r="R1098" s="165" t="s">
        <v>148</v>
      </c>
      <c r="S1098" s="165" t="s">
        <v>16</v>
      </c>
      <c r="T1098" s="165" t="s">
        <v>16</v>
      </c>
      <c r="U1098" s="165" t="s">
        <v>148</v>
      </c>
      <c r="V1098" s="165" t="s">
        <v>16</v>
      </c>
      <c r="W1098" s="165" t="s">
        <v>16</v>
      </c>
      <c r="X1098" s="165" t="s">
        <v>16</v>
      </c>
      <c r="Y1098" s="165" t="s">
        <v>16</v>
      </c>
      <c r="Z1098" s="165" t="s">
        <v>16</v>
      </c>
      <c r="AA1098" s="165" t="s">
        <v>16</v>
      </c>
      <c r="AB1098" s="165" t="s">
        <v>16</v>
      </c>
      <c r="AC1098" s="165" t="s">
        <v>16</v>
      </c>
      <c r="AD1098" s="165" t="s">
        <v>16</v>
      </c>
      <c r="AE1098" s="165" t="s">
        <v>1783</v>
      </c>
      <c r="AF1098" s="165"/>
    </row>
    <row r="1099" spans="1:32" x14ac:dyDescent="0.3">
      <c r="A1099" s="165" t="s">
        <v>1784</v>
      </c>
      <c r="B1099" s="165" t="s">
        <v>14</v>
      </c>
      <c r="C1099" s="165" t="s">
        <v>1767</v>
      </c>
      <c r="D1099" s="165" t="s">
        <v>15</v>
      </c>
      <c r="E1099" s="157">
        <v>41424</v>
      </c>
      <c r="F1099" s="165" t="s">
        <v>148</v>
      </c>
      <c r="G1099" s="165" t="s">
        <v>149</v>
      </c>
      <c r="H1099" s="165" t="s">
        <v>16</v>
      </c>
      <c r="I1099" s="165" t="s">
        <v>16</v>
      </c>
      <c r="J1099" s="165" t="s">
        <v>148</v>
      </c>
      <c r="K1099" s="165" t="s">
        <v>16</v>
      </c>
      <c r="L1099" s="165" t="s">
        <v>148</v>
      </c>
      <c r="M1099" s="165" t="s">
        <v>148</v>
      </c>
      <c r="N1099" s="165" t="s">
        <v>16</v>
      </c>
      <c r="O1099" s="165" t="s">
        <v>16</v>
      </c>
      <c r="P1099" s="165" t="s">
        <v>16</v>
      </c>
      <c r="Q1099" s="165" t="s">
        <v>16</v>
      </c>
      <c r="R1099" s="165" t="s">
        <v>16</v>
      </c>
      <c r="S1099" s="165" t="s">
        <v>148</v>
      </c>
      <c r="T1099" s="165" t="s">
        <v>148</v>
      </c>
      <c r="U1099" s="165" t="s">
        <v>148</v>
      </c>
      <c r="V1099" s="165" t="s">
        <v>16</v>
      </c>
      <c r="W1099" s="165" t="s">
        <v>16</v>
      </c>
      <c r="X1099" s="165" t="s">
        <v>16</v>
      </c>
      <c r="Y1099" s="165" t="s">
        <v>16</v>
      </c>
      <c r="Z1099" s="165" t="s">
        <v>16</v>
      </c>
      <c r="AA1099" s="165" t="s">
        <v>16</v>
      </c>
      <c r="AB1099" s="165" t="s">
        <v>16</v>
      </c>
      <c r="AC1099" s="165" t="s">
        <v>16</v>
      </c>
      <c r="AD1099" s="165" t="s">
        <v>16</v>
      </c>
      <c r="AE1099" s="165" t="s">
        <v>1772</v>
      </c>
      <c r="AF1099" s="165"/>
    </row>
    <row r="1100" spans="1:32" x14ac:dyDescent="0.3">
      <c r="A1100" s="165" t="s">
        <v>1785</v>
      </c>
      <c r="B1100" s="165" t="s">
        <v>14</v>
      </c>
      <c r="C1100" s="165" t="s">
        <v>1767</v>
      </c>
      <c r="D1100" s="165" t="s">
        <v>15</v>
      </c>
      <c r="E1100" s="157">
        <v>41424</v>
      </c>
      <c r="F1100" s="165" t="s">
        <v>16</v>
      </c>
      <c r="G1100" s="165" t="s">
        <v>16</v>
      </c>
      <c r="H1100" s="165" t="s">
        <v>16</v>
      </c>
      <c r="I1100" s="165" t="s">
        <v>148</v>
      </c>
      <c r="J1100" s="165" t="s">
        <v>16</v>
      </c>
      <c r="K1100" s="165" t="s">
        <v>16</v>
      </c>
      <c r="L1100" s="165" t="s">
        <v>16</v>
      </c>
      <c r="M1100" s="165" t="s">
        <v>148</v>
      </c>
      <c r="N1100" s="165" t="s">
        <v>16</v>
      </c>
      <c r="O1100" s="165" t="s">
        <v>16</v>
      </c>
      <c r="P1100" s="165" t="s">
        <v>16</v>
      </c>
      <c r="Q1100" s="165" t="s">
        <v>16</v>
      </c>
      <c r="R1100" s="165" t="s">
        <v>148</v>
      </c>
      <c r="S1100" s="165" t="s">
        <v>16</v>
      </c>
      <c r="T1100" s="165" t="s">
        <v>148</v>
      </c>
      <c r="U1100" s="165" t="s">
        <v>16</v>
      </c>
      <c r="V1100" s="165" t="s">
        <v>16</v>
      </c>
      <c r="W1100" s="165" t="s">
        <v>16</v>
      </c>
      <c r="X1100" s="165" t="s">
        <v>148</v>
      </c>
      <c r="Y1100" s="165" t="s">
        <v>16</v>
      </c>
      <c r="Z1100" s="165" t="s">
        <v>148</v>
      </c>
      <c r="AA1100" s="165" t="s">
        <v>16</v>
      </c>
      <c r="AB1100" s="165" t="s">
        <v>16</v>
      </c>
      <c r="AC1100" s="165" t="s">
        <v>16</v>
      </c>
      <c r="AD1100" s="165" t="s">
        <v>16</v>
      </c>
      <c r="AE1100" s="165" t="s">
        <v>1768</v>
      </c>
      <c r="AF1100" s="165"/>
    </row>
    <row r="1101" spans="1:32" x14ac:dyDescent="0.3">
      <c r="A1101" s="165" t="s">
        <v>1786</v>
      </c>
      <c r="B1101" s="165" t="s">
        <v>14</v>
      </c>
      <c r="C1101" s="165" t="s">
        <v>1767</v>
      </c>
      <c r="D1101" s="165" t="s">
        <v>15</v>
      </c>
      <c r="E1101" s="157">
        <v>41424</v>
      </c>
      <c r="F1101" s="165" t="s">
        <v>16</v>
      </c>
      <c r="G1101" s="165" t="s">
        <v>148</v>
      </c>
      <c r="H1101" s="165" t="s">
        <v>148</v>
      </c>
      <c r="I1101" s="165" t="s">
        <v>148</v>
      </c>
      <c r="J1101" s="165" t="s">
        <v>148</v>
      </c>
      <c r="K1101" s="165" t="s">
        <v>148</v>
      </c>
      <c r="L1101" s="165" t="s">
        <v>150</v>
      </c>
      <c r="M1101" s="165" t="s">
        <v>148</v>
      </c>
      <c r="N1101" s="165" t="s">
        <v>148</v>
      </c>
      <c r="O1101" s="165" t="s">
        <v>16</v>
      </c>
      <c r="P1101" s="165" t="s">
        <v>16</v>
      </c>
      <c r="Q1101" s="165" t="s">
        <v>148</v>
      </c>
      <c r="R1101" s="165" t="s">
        <v>148</v>
      </c>
      <c r="S1101" s="165" t="s">
        <v>16</v>
      </c>
      <c r="T1101" s="165" t="s">
        <v>148</v>
      </c>
      <c r="U1101" s="165" t="s">
        <v>148</v>
      </c>
      <c r="V1101" s="165" t="s">
        <v>148</v>
      </c>
      <c r="W1101" s="165" t="s">
        <v>148</v>
      </c>
      <c r="X1101" s="165" t="s">
        <v>148</v>
      </c>
      <c r="Y1101" s="165" t="s">
        <v>148</v>
      </c>
      <c r="Z1101" s="165" t="s">
        <v>16</v>
      </c>
      <c r="AA1101" s="165" t="s">
        <v>16</v>
      </c>
      <c r="AB1101" s="165" t="s">
        <v>16</v>
      </c>
      <c r="AC1101" s="165" t="s">
        <v>16</v>
      </c>
      <c r="AD1101" s="165" t="s">
        <v>148</v>
      </c>
      <c r="AE1101" s="165" t="s">
        <v>1768</v>
      </c>
      <c r="AF1101" s="165" t="s">
        <v>1787</v>
      </c>
    </row>
    <row r="1102" spans="1:32" x14ac:dyDescent="0.3">
      <c r="A1102" s="165" t="s">
        <v>1788</v>
      </c>
      <c r="B1102" s="165" t="s">
        <v>14</v>
      </c>
      <c r="C1102" s="165" t="s">
        <v>1767</v>
      </c>
      <c r="D1102" s="165" t="s">
        <v>15</v>
      </c>
      <c r="E1102" s="157">
        <v>41424</v>
      </c>
      <c r="F1102" s="165" t="s">
        <v>149</v>
      </c>
      <c r="G1102" s="165" t="s">
        <v>16</v>
      </c>
      <c r="H1102" s="165" t="s">
        <v>16</v>
      </c>
      <c r="I1102" s="165" t="s">
        <v>150</v>
      </c>
      <c r="J1102" s="165" t="s">
        <v>150</v>
      </c>
      <c r="K1102" s="165" t="s">
        <v>16</v>
      </c>
      <c r="L1102" s="165" t="s">
        <v>150</v>
      </c>
      <c r="M1102" s="165" t="s">
        <v>150</v>
      </c>
      <c r="N1102" s="165" t="s">
        <v>16</v>
      </c>
      <c r="O1102" s="165" t="s">
        <v>16</v>
      </c>
      <c r="P1102" s="165" t="s">
        <v>150</v>
      </c>
      <c r="Q1102" s="165" t="s">
        <v>16</v>
      </c>
      <c r="R1102" s="165" t="s">
        <v>148</v>
      </c>
      <c r="S1102" s="165" t="s">
        <v>16</v>
      </c>
      <c r="T1102" s="165" t="s">
        <v>148</v>
      </c>
      <c r="U1102" s="165" t="s">
        <v>150</v>
      </c>
      <c r="V1102" s="165" t="s">
        <v>16</v>
      </c>
      <c r="W1102" s="165" t="s">
        <v>16</v>
      </c>
      <c r="X1102" s="165" t="s">
        <v>16</v>
      </c>
      <c r="Y1102" s="165" t="s">
        <v>16</v>
      </c>
      <c r="Z1102" s="165" t="s">
        <v>16</v>
      </c>
      <c r="AA1102" s="165" t="s">
        <v>150</v>
      </c>
      <c r="AB1102" s="165" t="s">
        <v>16</v>
      </c>
      <c r="AC1102" s="165" t="s">
        <v>16</v>
      </c>
      <c r="AD1102" s="165" t="s">
        <v>148</v>
      </c>
      <c r="AE1102" s="165" t="s">
        <v>1768</v>
      </c>
      <c r="AF1102" s="165"/>
    </row>
    <row r="1103" spans="1:32" x14ac:dyDescent="0.3">
      <c r="A1103" s="165" t="s">
        <v>1789</v>
      </c>
      <c r="B1103" s="165" t="s">
        <v>14</v>
      </c>
      <c r="C1103" s="165" t="s">
        <v>1767</v>
      </c>
      <c r="D1103" s="165" t="s">
        <v>15</v>
      </c>
      <c r="E1103" s="157">
        <v>41424</v>
      </c>
      <c r="F1103" s="165" t="s">
        <v>16</v>
      </c>
      <c r="G1103" s="165" t="s">
        <v>16</v>
      </c>
      <c r="H1103" s="165" t="s">
        <v>148</v>
      </c>
      <c r="I1103" s="165" t="s">
        <v>150</v>
      </c>
      <c r="J1103" s="165" t="s">
        <v>148</v>
      </c>
      <c r="K1103" s="165" t="s">
        <v>16</v>
      </c>
      <c r="L1103" s="165" t="s">
        <v>150</v>
      </c>
      <c r="M1103" s="165" t="s">
        <v>150</v>
      </c>
      <c r="N1103" s="165" t="s">
        <v>16</v>
      </c>
      <c r="O1103" s="165" t="s">
        <v>16</v>
      </c>
      <c r="P1103" s="165" t="s">
        <v>16</v>
      </c>
      <c r="Q1103" s="165" t="s">
        <v>16</v>
      </c>
      <c r="R1103" s="165" t="s">
        <v>150</v>
      </c>
      <c r="S1103" s="165" t="s">
        <v>16</v>
      </c>
      <c r="T1103" s="165" t="s">
        <v>150</v>
      </c>
      <c r="U1103" s="165" t="s">
        <v>148</v>
      </c>
      <c r="V1103" s="165" t="s">
        <v>149</v>
      </c>
      <c r="W1103" s="165" t="s">
        <v>149</v>
      </c>
      <c r="X1103" s="165" t="s">
        <v>149</v>
      </c>
      <c r="Y1103" s="165" t="s">
        <v>149</v>
      </c>
      <c r="Z1103" s="165" t="s">
        <v>148</v>
      </c>
      <c r="AA1103" s="165" t="s">
        <v>16</v>
      </c>
      <c r="AB1103" s="165" t="s">
        <v>16</v>
      </c>
      <c r="AC1103" s="165" t="s">
        <v>149</v>
      </c>
      <c r="AD1103" s="165" t="s">
        <v>148</v>
      </c>
      <c r="AE1103" s="165" t="s">
        <v>1790</v>
      </c>
      <c r="AF1103" s="165"/>
    </row>
    <row r="1104" spans="1:32" x14ac:dyDescent="0.3">
      <c r="A1104" s="165" t="s">
        <v>1791</v>
      </c>
      <c r="B1104" s="165" t="s">
        <v>14</v>
      </c>
      <c r="C1104" s="165" t="s">
        <v>1767</v>
      </c>
      <c r="D1104" s="165" t="s">
        <v>15</v>
      </c>
      <c r="E1104" s="157">
        <v>41424</v>
      </c>
      <c r="F1104" s="165" t="s">
        <v>16</v>
      </c>
      <c r="G1104" s="165" t="s">
        <v>16</v>
      </c>
      <c r="H1104" s="165" t="s">
        <v>16</v>
      </c>
      <c r="I1104" s="165" t="s">
        <v>16</v>
      </c>
      <c r="J1104" s="165" t="s">
        <v>16</v>
      </c>
      <c r="K1104" s="165" t="s">
        <v>16</v>
      </c>
      <c r="L1104" s="165" t="s">
        <v>16</v>
      </c>
      <c r="M1104" s="165" t="s">
        <v>16</v>
      </c>
      <c r="N1104" s="165" t="s">
        <v>16</v>
      </c>
      <c r="O1104" s="165" t="s">
        <v>16</v>
      </c>
      <c r="P1104" s="165" t="s">
        <v>16</v>
      </c>
      <c r="Q1104" s="165" t="s">
        <v>16</v>
      </c>
      <c r="R1104" s="165" t="s">
        <v>16</v>
      </c>
      <c r="S1104" s="165" t="s">
        <v>16</v>
      </c>
      <c r="T1104" s="165" t="s">
        <v>16</v>
      </c>
      <c r="U1104" s="165" t="s">
        <v>16</v>
      </c>
      <c r="V1104" s="165" t="s">
        <v>16</v>
      </c>
      <c r="W1104" s="165" t="s">
        <v>16</v>
      </c>
      <c r="X1104" s="165" t="s">
        <v>16</v>
      </c>
      <c r="Y1104" s="165" t="s">
        <v>16</v>
      </c>
      <c r="Z1104" s="165" t="s">
        <v>16</v>
      </c>
      <c r="AA1104" s="165" t="s">
        <v>16</v>
      </c>
      <c r="AB1104" s="165" t="s">
        <v>16</v>
      </c>
      <c r="AC1104" s="165" t="s">
        <v>16</v>
      </c>
      <c r="AD1104" s="165" t="s">
        <v>16</v>
      </c>
      <c r="AE1104" s="165" t="s">
        <v>1772</v>
      </c>
      <c r="AF1104" s="165" t="s">
        <v>1792</v>
      </c>
    </row>
    <row r="1105" spans="1:32" x14ac:dyDescent="0.3">
      <c r="A1105" s="165" t="s">
        <v>1793</v>
      </c>
      <c r="B1105" s="165" t="s">
        <v>14</v>
      </c>
      <c r="C1105" s="165" t="s">
        <v>1767</v>
      </c>
      <c r="D1105" s="165" t="s">
        <v>15</v>
      </c>
      <c r="E1105" s="157">
        <v>41424</v>
      </c>
      <c r="F1105" s="165" t="s">
        <v>16</v>
      </c>
      <c r="G1105" s="165" t="s">
        <v>16</v>
      </c>
      <c r="H1105" s="165" t="s">
        <v>16</v>
      </c>
      <c r="I1105" s="165" t="s">
        <v>16</v>
      </c>
      <c r="J1105" s="165" t="s">
        <v>16</v>
      </c>
      <c r="K1105" s="165" t="s">
        <v>16</v>
      </c>
      <c r="L1105" s="165" t="s">
        <v>16</v>
      </c>
      <c r="M1105" s="165" t="s">
        <v>16</v>
      </c>
      <c r="N1105" s="165" t="s">
        <v>16</v>
      </c>
      <c r="O1105" s="165" t="s">
        <v>16</v>
      </c>
      <c r="P1105" s="165" t="s">
        <v>16</v>
      </c>
      <c r="Q1105" s="165" t="s">
        <v>16</v>
      </c>
      <c r="R1105" s="165" t="s">
        <v>16</v>
      </c>
      <c r="S1105" s="165" t="s">
        <v>16</v>
      </c>
      <c r="T1105" s="165" t="s">
        <v>16</v>
      </c>
      <c r="U1105" s="165" t="s">
        <v>16</v>
      </c>
      <c r="V1105" s="165" t="s">
        <v>16</v>
      </c>
      <c r="W1105" s="165" t="s">
        <v>16</v>
      </c>
      <c r="X1105" s="165" t="s">
        <v>16</v>
      </c>
      <c r="Y1105" s="165" t="s">
        <v>16</v>
      </c>
      <c r="Z1105" s="165" t="s">
        <v>16</v>
      </c>
      <c r="AA1105" s="165" t="s">
        <v>16</v>
      </c>
      <c r="AB1105" s="165" t="s">
        <v>16</v>
      </c>
      <c r="AC1105" s="165" t="s">
        <v>16</v>
      </c>
      <c r="AD1105" s="165" t="s">
        <v>16</v>
      </c>
      <c r="AE1105" s="165" t="s">
        <v>1768</v>
      </c>
      <c r="AF1105" s="165" t="s">
        <v>1794</v>
      </c>
    </row>
    <row r="1106" spans="1:32" x14ac:dyDescent="0.3">
      <c r="A1106" s="165" t="s">
        <v>1795</v>
      </c>
      <c r="B1106" s="165" t="s">
        <v>14</v>
      </c>
      <c r="C1106" s="165" t="s">
        <v>1767</v>
      </c>
      <c r="D1106" s="165" t="s">
        <v>15</v>
      </c>
      <c r="E1106" s="157">
        <v>41424</v>
      </c>
      <c r="F1106" s="165" t="s">
        <v>16</v>
      </c>
      <c r="G1106" s="165" t="s">
        <v>16</v>
      </c>
      <c r="H1106" s="165" t="s">
        <v>16</v>
      </c>
      <c r="I1106" s="165" t="s">
        <v>148</v>
      </c>
      <c r="J1106" s="165" t="s">
        <v>148</v>
      </c>
      <c r="K1106" s="165" t="s">
        <v>16</v>
      </c>
      <c r="L1106" s="165" t="s">
        <v>16</v>
      </c>
      <c r="M1106" s="165" t="s">
        <v>16</v>
      </c>
      <c r="N1106" s="165" t="s">
        <v>16</v>
      </c>
      <c r="O1106" s="165" t="s">
        <v>16</v>
      </c>
      <c r="P1106" s="165" t="s">
        <v>148</v>
      </c>
      <c r="Q1106" s="165" t="s">
        <v>16</v>
      </c>
      <c r="R1106" s="165" t="s">
        <v>148</v>
      </c>
      <c r="S1106" s="165" t="s">
        <v>148</v>
      </c>
      <c r="T1106" s="165" t="s">
        <v>16</v>
      </c>
      <c r="U1106" s="165" t="s">
        <v>16</v>
      </c>
      <c r="V1106" s="165" t="s">
        <v>16</v>
      </c>
      <c r="W1106" s="165" t="s">
        <v>16</v>
      </c>
      <c r="X1106" s="165" t="s">
        <v>148</v>
      </c>
      <c r="Y1106" s="165" t="s">
        <v>16</v>
      </c>
      <c r="Z1106" s="165" t="s">
        <v>149</v>
      </c>
      <c r="AA1106" s="165" t="s">
        <v>16</v>
      </c>
      <c r="AB1106" s="165" t="s">
        <v>16</v>
      </c>
      <c r="AC1106" s="165" t="s">
        <v>16</v>
      </c>
      <c r="AD1106" s="165" t="s">
        <v>16</v>
      </c>
      <c r="AE1106" s="165" t="s">
        <v>1783</v>
      </c>
      <c r="AF1106" s="165" t="s">
        <v>1796</v>
      </c>
    </row>
    <row r="1107" spans="1:32" x14ac:dyDescent="0.3">
      <c r="A1107" s="165" t="s">
        <v>1797</v>
      </c>
      <c r="B1107" s="165" t="s">
        <v>14</v>
      </c>
      <c r="C1107" s="165" t="s">
        <v>1767</v>
      </c>
      <c r="D1107" s="165" t="s">
        <v>15</v>
      </c>
      <c r="E1107" s="157">
        <v>41424</v>
      </c>
      <c r="F1107" s="165" t="s">
        <v>16</v>
      </c>
      <c r="G1107" s="165" t="s">
        <v>16</v>
      </c>
      <c r="H1107" s="165" t="s">
        <v>16</v>
      </c>
      <c r="I1107" s="165" t="s">
        <v>148</v>
      </c>
      <c r="J1107" s="165" t="s">
        <v>16</v>
      </c>
      <c r="K1107" s="165" t="s">
        <v>16</v>
      </c>
      <c r="L1107" s="165" t="s">
        <v>16</v>
      </c>
      <c r="M1107" s="165" t="s">
        <v>150</v>
      </c>
      <c r="N1107" s="165" t="s">
        <v>16</v>
      </c>
      <c r="O1107" s="165" t="s">
        <v>16</v>
      </c>
      <c r="P1107" s="165" t="s">
        <v>16</v>
      </c>
      <c r="Q1107" s="165" t="s">
        <v>16</v>
      </c>
      <c r="R1107" s="165" t="s">
        <v>16</v>
      </c>
      <c r="S1107" s="165" t="s">
        <v>16</v>
      </c>
      <c r="T1107" s="165" t="s">
        <v>16</v>
      </c>
      <c r="U1107" s="165" t="s">
        <v>16</v>
      </c>
      <c r="V1107" s="165" t="s">
        <v>16</v>
      </c>
      <c r="W1107" s="165" t="s">
        <v>16</v>
      </c>
      <c r="X1107" s="165" t="s">
        <v>16</v>
      </c>
      <c r="Y1107" s="165" t="s">
        <v>16</v>
      </c>
      <c r="Z1107" s="165" t="s">
        <v>16</v>
      </c>
      <c r="AA1107" s="165" t="s">
        <v>148</v>
      </c>
      <c r="AB1107" s="165" t="s">
        <v>16</v>
      </c>
      <c r="AC1107" s="165" t="s">
        <v>16</v>
      </c>
      <c r="AD1107" s="165" t="s">
        <v>16</v>
      </c>
      <c r="AE1107" s="165"/>
      <c r="AF1107" s="165"/>
    </row>
    <row r="1108" spans="1:32" x14ac:dyDescent="0.3">
      <c r="A1108" s="165" t="s">
        <v>1798</v>
      </c>
      <c r="B1108" s="165" t="s">
        <v>14</v>
      </c>
      <c r="C1108" s="165" t="s">
        <v>1767</v>
      </c>
      <c r="D1108" s="165" t="s">
        <v>15</v>
      </c>
      <c r="E1108" s="157">
        <v>41424</v>
      </c>
      <c r="F1108" s="165" t="s">
        <v>16</v>
      </c>
      <c r="G1108" s="165" t="s">
        <v>16</v>
      </c>
      <c r="H1108" s="165" t="s">
        <v>16</v>
      </c>
      <c r="I1108" s="165" t="s">
        <v>148</v>
      </c>
      <c r="J1108" s="165" t="s">
        <v>16</v>
      </c>
      <c r="K1108" s="165" t="s">
        <v>16</v>
      </c>
      <c r="L1108" s="165" t="s">
        <v>16</v>
      </c>
      <c r="M1108" s="165" t="s">
        <v>16</v>
      </c>
      <c r="N1108" s="165" t="s">
        <v>16</v>
      </c>
      <c r="O1108" s="165" t="s">
        <v>16</v>
      </c>
      <c r="P1108" s="165" t="s">
        <v>16</v>
      </c>
      <c r="Q1108" s="165" t="s">
        <v>16</v>
      </c>
      <c r="R1108" s="165" t="s">
        <v>16</v>
      </c>
      <c r="S1108" s="165" t="s">
        <v>16</v>
      </c>
      <c r="T1108" s="165" t="s">
        <v>16</v>
      </c>
      <c r="U1108" s="165" t="s">
        <v>16</v>
      </c>
      <c r="V1108" s="165" t="s">
        <v>16</v>
      </c>
      <c r="W1108" s="165" t="s">
        <v>16</v>
      </c>
      <c r="X1108" s="165" t="s">
        <v>16</v>
      </c>
      <c r="Y1108" s="165" t="s">
        <v>16</v>
      </c>
      <c r="Z1108" s="165" t="s">
        <v>16</v>
      </c>
      <c r="AA1108" s="165" t="s">
        <v>16</v>
      </c>
      <c r="AB1108" s="165" t="s">
        <v>16</v>
      </c>
      <c r="AC1108" s="165" t="s">
        <v>16</v>
      </c>
      <c r="AD1108" s="165" t="s">
        <v>16</v>
      </c>
      <c r="AE1108" s="165"/>
      <c r="AF1108" s="165"/>
    </row>
    <row r="1109" spans="1:32" x14ac:dyDescent="0.3">
      <c r="A1109" s="165" t="s">
        <v>1799</v>
      </c>
      <c r="B1109" s="165" t="s">
        <v>14</v>
      </c>
      <c r="C1109" s="165" t="s">
        <v>1767</v>
      </c>
      <c r="D1109" s="165" t="s">
        <v>15</v>
      </c>
      <c r="E1109" s="157">
        <v>41424</v>
      </c>
      <c r="F1109" s="165" t="s">
        <v>16</v>
      </c>
      <c r="G1109" s="165" t="s">
        <v>16</v>
      </c>
      <c r="H1109" s="165" t="s">
        <v>16</v>
      </c>
      <c r="I1109" s="165" t="s">
        <v>16</v>
      </c>
      <c r="J1109" s="165" t="s">
        <v>16</v>
      </c>
      <c r="K1109" s="165" t="s">
        <v>149</v>
      </c>
      <c r="L1109" s="165" t="s">
        <v>148</v>
      </c>
      <c r="M1109" s="165" t="s">
        <v>16</v>
      </c>
      <c r="N1109" s="165" t="s">
        <v>148</v>
      </c>
      <c r="O1109" s="165" t="s">
        <v>149</v>
      </c>
      <c r="P1109" s="165" t="s">
        <v>16</v>
      </c>
      <c r="Q1109" s="165" t="s">
        <v>16</v>
      </c>
      <c r="R1109" s="165" t="s">
        <v>16</v>
      </c>
      <c r="S1109" s="165" t="s">
        <v>16</v>
      </c>
      <c r="T1109" s="165" t="s">
        <v>16</v>
      </c>
      <c r="U1109" s="165" t="s">
        <v>148</v>
      </c>
      <c r="V1109" s="165" t="s">
        <v>149</v>
      </c>
      <c r="W1109" s="165" t="s">
        <v>149</v>
      </c>
      <c r="X1109" s="165" t="s">
        <v>149</v>
      </c>
      <c r="Y1109" s="165" t="s">
        <v>16</v>
      </c>
      <c r="Z1109" s="165" t="s">
        <v>16</v>
      </c>
      <c r="AA1109" s="165" t="s">
        <v>16</v>
      </c>
      <c r="AB1109" s="165" t="s">
        <v>16</v>
      </c>
      <c r="AC1109" s="165" t="s">
        <v>16</v>
      </c>
      <c r="AD1109" s="165" t="s">
        <v>16</v>
      </c>
      <c r="AE1109" s="165" t="s">
        <v>1772</v>
      </c>
      <c r="AF1109" s="165"/>
    </row>
    <row r="1110" spans="1:32" x14ac:dyDescent="0.3">
      <c r="A1110" s="165" t="s">
        <v>1800</v>
      </c>
      <c r="B1110" s="165" t="s">
        <v>14</v>
      </c>
      <c r="C1110" s="165" t="s">
        <v>1767</v>
      </c>
      <c r="D1110" s="165" t="s">
        <v>15</v>
      </c>
      <c r="E1110" s="157">
        <v>41424</v>
      </c>
      <c r="F1110" s="165" t="s">
        <v>16</v>
      </c>
      <c r="G1110" s="165" t="s">
        <v>16</v>
      </c>
      <c r="H1110" s="165" t="s">
        <v>148</v>
      </c>
      <c r="I1110" s="165" t="s">
        <v>148</v>
      </c>
      <c r="J1110" s="165" t="s">
        <v>148</v>
      </c>
      <c r="K1110" s="165" t="s">
        <v>16</v>
      </c>
      <c r="L1110" s="165" t="s">
        <v>148</v>
      </c>
      <c r="M1110" s="165" t="s">
        <v>150</v>
      </c>
      <c r="N1110" s="165" t="s">
        <v>16</v>
      </c>
      <c r="O1110" s="165" t="s">
        <v>148</v>
      </c>
      <c r="P1110" s="165" t="s">
        <v>16</v>
      </c>
      <c r="Q1110" s="165" t="s">
        <v>148</v>
      </c>
      <c r="R1110" s="165" t="s">
        <v>150</v>
      </c>
      <c r="S1110" s="165" t="s">
        <v>16</v>
      </c>
      <c r="T1110" s="165" t="s">
        <v>148</v>
      </c>
      <c r="U1110" s="165" t="s">
        <v>148</v>
      </c>
      <c r="V1110" s="165" t="s">
        <v>16</v>
      </c>
      <c r="W1110" s="165" t="s">
        <v>16</v>
      </c>
      <c r="X1110" s="165" t="s">
        <v>148</v>
      </c>
      <c r="Y1110" s="165" t="s">
        <v>16</v>
      </c>
      <c r="Z1110" s="165" t="s">
        <v>16</v>
      </c>
      <c r="AA1110" s="165" t="s">
        <v>148</v>
      </c>
      <c r="AB1110" s="165" t="s">
        <v>16</v>
      </c>
      <c r="AC1110" s="165" t="s">
        <v>148</v>
      </c>
      <c r="AD1110" s="165" t="s">
        <v>16</v>
      </c>
      <c r="AE1110" s="165" t="s">
        <v>1772</v>
      </c>
      <c r="AF1110" s="165"/>
    </row>
    <row r="1111" spans="1:32" x14ac:dyDescent="0.3">
      <c r="A1111" s="165" t="s">
        <v>1801</v>
      </c>
      <c r="B1111" s="165" t="s">
        <v>14</v>
      </c>
      <c r="C1111" s="165" t="s">
        <v>1767</v>
      </c>
      <c r="D1111" s="165" t="s">
        <v>15</v>
      </c>
      <c r="E1111" s="157">
        <v>41424</v>
      </c>
      <c r="F1111" s="165" t="s">
        <v>16</v>
      </c>
      <c r="G1111" s="165" t="s">
        <v>16</v>
      </c>
      <c r="H1111" s="165" t="s">
        <v>16</v>
      </c>
      <c r="I1111" s="165" t="s">
        <v>16</v>
      </c>
      <c r="J1111" s="165" t="s">
        <v>16</v>
      </c>
      <c r="K1111" s="165" t="s">
        <v>16</v>
      </c>
      <c r="L1111" s="165" t="s">
        <v>16</v>
      </c>
      <c r="M1111" s="165" t="s">
        <v>16</v>
      </c>
      <c r="N1111" s="165" t="s">
        <v>16</v>
      </c>
      <c r="O1111" s="165" t="s">
        <v>16</v>
      </c>
      <c r="P1111" s="165" t="s">
        <v>16</v>
      </c>
      <c r="Q1111" s="165" t="s">
        <v>16</v>
      </c>
      <c r="R1111" s="165" t="s">
        <v>16</v>
      </c>
      <c r="S1111" s="165" t="s">
        <v>16</v>
      </c>
      <c r="T1111" s="165" t="s">
        <v>16</v>
      </c>
      <c r="U1111" s="165" t="s">
        <v>16</v>
      </c>
      <c r="V1111" s="165" t="s">
        <v>16</v>
      </c>
      <c r="W1111" s="165" t="s">
        <v>16</v>
      </c>
      <c r="X1111" s="165" t="s">
        <v>16</v>
      </c>
      <c r="Y1111" s="165" t="s">
        <v>16</v>
      </c>
      <c r="Z1111" s="165" t="s">
        <v>16</v>
      </c>
      <c r="AA1111" s="165" t="s">
        <v>16</v>
      </c>
      <c r="AB1111" s="165" t="s">
        <v>16</v>
      </c>
      <c r="AC1111" s="165" t="s">
        <v>16</v>
      </c>
      <c r="AD1111" s="165" t="s">
        <v>16</v>
      </c>
      <c r="AE1111" s="165" t="s">
        <v>1768</v>
      </c>
      <c r="AF1111" s="165"/>
    </row>
    <row r="1112" spans="1:32" x14ac:dyDescent="0.3">
      <c r="A1112" s="165" t="s">
        <v>1802</v>
      </c>
      <c r="B1112" s="165" t="s">
        <v>14</v>
      </c>
      <c r="C1112" s="165" t="s">
        <v>1767</v>
      </c>
      <c r="D1112" s="165" t="s">
        <v>15</v>
      </c>
      <c r="E1112" s="157">
        <v>41424</v>
      </c>
      <c r="F1112" s="165" t="s">
        <v>16</v>
      </c>
      <c r="G1112" s="165" t="s">
        <v>16</v>
      </c>
      <c r="H1112" s="165" t="s">
        <v>16</v>
      </c>
      <c r="I1112" s="165" t="s">
        <v>149</v>
      </c>
      <c r="J1112" s="165" t="s">
        <v>148</v>
      </c>
      <c r="K1112" s="165" t="s">
        <v>16</v>
      </c>
      <c r="L1112" s="165" t="s">
        <v>16</v>
      </c>
      <c r="M1112" s="165" t="s">
        <v>148</v>
      </c>
      <c r="N1112" s="165" t="s">
        <v>16</v>
      </c>
      <c r="O1112" s="165" t="s">
        <v>16</v>
      </c>
      <c r="P1112" s="165" t="s">
        <v>16</v>
      </c>
      <c r="Q1112" s="165" t="s">
        <v>148</v>
      </c>
      <c r="R1112" s="165" t="s">
        <v>16</v>
      </c>
      <c r="S1112" s="165" t="s">
        <v>148</v>
      </c>
      <c r="T1112" s="165" t="s">
        <v>148</v>
      </c>
      <c r="U1112" s="165" t="s">
        <v>16</v>
      </c>
      <c r="V1112" s="165" t="s">
        <v>16</v>
      </c>
      <c r="W1112" s="165" t="s">
        <v>16</v>
      </c>
      <c r="X1112" s="165" t="s">
        <v>16</v>
      </c>
      <c r="Y1112" s="165" t="s">
        <v>16</v>
      </c>
      <c r="Z1112" s="165" t="s">
        <v>16</v>
      </c>
      <c r="AA1112" s="165" t="s">
        <v>16</v>
      </c>
      <c r="AB1112" s="165" t="s">
        <v>16</v>
      </c>
      <c r="AC1112" s="165" t="s">
        <v>16</v>
      </c>
      <c r="AD1112" s="165" t="s">
        <v>16</v>
      </c>
      <c r="AE1112" s="165" t="s">
        <v>1772</v>
      </c>
      <c r="AF1112" s="165"/>
    </row>
    <row r="1113" spans="1:32" x14ac:dyDescent="0.3">
      <c r="A1113" s="165" t="s">
        <v>1803</v>
      </c>
      <c r="B1113" s="165" t="s">
        <v>14</v>
      </c>
      <c r="C1113" s="165" t="s">
        <v>1767</v>
      </c>
      <c r="D1113" s="165" t="s">
        <v>15</v>
      </c>
      <c r="E1113" s="157">
        <v>41424</v>
      </c>
      <c r="F1113" s="165" t="s">
        <v>151</v>
      </c>
      <c r="G1113" s="165" t="s">
        <v>149</v>
      </c>
      <c r="H1113" s="165" t="s">
        <v>149</v>
      </c>
      <c r="I1113" s="165" t="s">
        <v>149</v>
      </c>
      <c r="J1113" s="165" t="s">
        <v>149</v>
      </c>
      <c r="K1113" s="165" t="s">
        <v>149</v>
      </c>
      <c r="L1113" s="165" t="s">
        <v>149</v>
      </c>
      <c r="M1113" s="165" t="s">
        <v>149</v>
      </c>
      <c r="N1113" s="165" t="s">
        <v>148</v>
      </c>
      <c r="O1113" s="165" t="s">
        <v>149</v>
      </c>
      <c r="P1113" s="165" t="s">
        <v>151</v>
      </c>
      <c r="Q1113" s="165" t="s">
        <v>151</v>
      </c>
      <c r="R1113" s="165" t="s">
        <v>149</v>
      </c>
      <c r="S1113" s="165" t="s">
        <v>149</v>
      </c>
      <c r="T1113" s="165" t="s">
        <v>16</v>
      </c>
      <c r="U1113" s="165" t="s">
        <v>16</v>
      </c>
      <c r="V1113" s="165" t="s">
        <v>151</v>
      </c>
      <c r="W1113" s="165" t="s">
        <v>149</v>
      </c>
      <c r="X1113" s="165" t="s">
        <v>16</v>
      </c>
      <c r="Y1113" s="165" t="s">
        <v>148</v>
      </c>
      <c r="Z1113" s="165" t="s">
        <v>149</v>
      </c>
      <c r="AA1113" s="165" t="s">
        <v>149</v>
      </c>
      <c r="AB1113" s="165" t="s">
        <v>16</v>
      </c>
      <c r="AC1113" s="165" t="s">
        <v>148</v>
      </c>
      <c r="AD1113" s="165" t="s">
        <v>16</v>
      </c>
      <c r="AE1113" s="165" t="s">
        <v>1780</v>
      </c>
      <c r="AF1113" s="165"/>
    </row>
    <row r="1114" spans="1:32" x14ac:dyDescent="0.3">
      <c r="A1114" s="165" t="s">
        <v>1804</v>
      </c>
      <c r="B1114" s="165" t="s">
        <v>14</v>
      </c>
      <c r="C1114" s="165" t="s">
        <v>1767</v>
      </c>
      <c r="D1114" s="165" t="s">
        <v>15</v>
      </c>
      <c r="E1114" s="157">
        <v>41424</v>
      </c>
      <c r="F1114" s="165" t="s">
        <v>148</v>
      </c>
      <c r="G1114" s="165" t="s">
        <v>16</v>
      </c>
      <c r="H1114" s="165" t="s">
        <v>16</v>
      </c>
      <c r="I1114" s="165" t="s">
        <v>16</v>
      </c>
      <c r="J1114" s="165" t="s">
        <v>148</v>
      </c>
      <c r="K1114" s="165" t="s">
        <v>16</v>
      </c>
      <c r="L1114" s="165" t="s">
        <v>16</v>
      </c>
      <c r="M1114" s="165" t="s">
        <v>16</v>
      </c>
      <c r="N1114" s="165" t="s">
        <v>16</v>
      </c>
      <c r="O1114" s="165" t="s">
        <v>16</v>
      </c>
      <c r="P1114" s="165" t="s">
        <v>16</v>
      </c>
      <c r="Q1114" s="165" t="s">
        <v>16</v>
      </c>
      <c r="R1114" s="165" t="s">
        <v>16</v>
      </c>
      <c r="S1114" s="165" t="s">
        <v>16</v>
      </c>
      <c r="T1114" s="165" t="s">
        <v>16</v>
      </c>
      <c r="U1114" s="165" t="s">
        <v>16</v>
      </c>
      <c r="V1114" s="165" t="s">
        <v>16</v>
      </c>
      <c r="W1114" s="165" t="s">
        <v>16</v>
      </c>
      <c r="X1114" s="165" t="s">
        <v>16</v>
      </c>
      <c r="Y1114" s="165" t="s">
        <v>16</v>
      </c>
      <c r="Z1114" s="165" t="s">
        <v>148</v>
      </c>
      <c r="AA1114" s="165" t="s">
        <v>16</v>
      </c>
      <c r="AB1114" s="165" t="s">
        <v>16</v>
      </c>
      <c r="AC1114" s="165" t="s">
        <v>148</v>
      </c>
      <c r="AD1114" s="165" t="s">
        <v>16</v>
      </c>
      <c r="AE1114" s="165" t="s">
        <v>1768</v>
      </c>
      <c r="AF1114" s="165"/>
    </row>
    <row r="1115" spans="1:32" x14ac:dyDescent="0.3">
      <c r="A1115" s="165" t="s">
        <v>1805</v>
      </c>
      <c r="B1115" s="165" t="s">
        <v>14</v>
      </c>
      <c r="C1115" s="165" t="s">
        <v>1767</v>
      </c>
      <c r="D1115" s="165" t="s">
        <v>15</v>
      </c>
      <c r="E1115" s="157">
        <v>41424</v>
      </c>
      <c r="F1115" s="165" t="s">
        <v>16</v>
      </c>
      <c r="G1115" s="165" t="s">
        <v>148</v>
      </c>
      <c r="H1115" s="165" t="s">
        <v>16</v>
      </c>
      <c r="I1115" s="165" t="s">
        <v>16</v>
      </c>
      <c r="J1115" s="165" t="s">
        <v>16</v>
      </c>
      <c r="K1115" s="165" t="s">
        <v>16</v>
      </c>
      <c r="L1115" s="165" t="s">
        <v>16</v>
      </c>
      <c r="M1115" s="165" t="s">
        <v>16</v>
      </c>
      <c r="N1115" s="165" t="s">
        <v>16</v>
      </c>
      <c r="O1115" s="165" t="s">
        <v>148</v>
      </c>
      <c r="P1115" s="165" t="s">
        <v>16</v>
      </c>
      <c r="Q1115" s="165" t="s">
        <v>148</v>
      </c>
      <c r="R1115" s="165" t="s">
        <v>148</v>
      </c>
      <c r="S1115" s="165" t="s">
        <v>16</v>
      </c>
      <c r="T1115" s="165" t="s">
        <v>16</v>
      </c>
      <c r="U1115" s="165" t="s">
        <v>16</v>
      </c>
      <c r="V1115" s="165" t="s">
        <v>16</v>
      </c>
      <c r="W1115" s="165" t="s">
        <v>16</v>
      </c>
      <c r="X1115" s="165" t="s">
        <v>148</v>
      </c>
      <c r="Y1115" s="165" t="s">
        <v>16</v>
      </c>
      <c r="Z1115" s="165" t="s">
        <v>16</v>
      </c>
      <c r="AA1115" s="165" t="s">
        <v>16</v>
      </c>
      <c r="AB1115" s="165" t="s">
        <v>149</v>
      </c>
      <c r="AC1115" s="165" t="s">
        <v>149</v>
      </c>
      <c r="AD1115" s="165" t="s">
        <v>149</v>
      </c>
      <c r="AE1115" s="165" t="s">
        <v>1768</v>
      </c>
      <c r="AF1115" s="165"/>
    </row>
    <row r="1116" spans="1:32" x14ac:dyDescent="0.3">
      <c r="A1116" s="165" t="s">
        <v>1806</v>
      </c>
      <c r="B1116" s="165" t="s">
        <v>14</v>
      </c>
      <c r="C1116" s="165" t="s">
        <v>1767</v>
      </c>
      <c r="D1116" s="165" t="s">
        <v>15</v>
      </c>
      <c r="E1116" s="157">
        <v>41424</v>
      </c>
      <c r="F1116" s="165" t="s">
        <v>16</v>
      </c>
      <c r="G1116" s="165" t="s">
        <v>16</v>
      </c>
      <c r="H1116" s="165" t="s">
        <v>148</v>
      </c>
      <c r="I1116" s="165" t="s">
        <v>16</v>
      </c>
      <c r="J1116" s="165" t="s">
        <v>16</v>
      </c>
      <c r="K1116" s="165" t="s">
        <v>16</v>
      </c>
      <c r="L1116" s="165" t="s">
        <v>148</v>
      </c>
      <c r="M1116" s="165" t="s">
        <v>148</v>
      </c>
      <c r="N1116" s="165" t="s">
        <v>16</v>
      </c>
      <c r="O1116" s="165" t="s">
        <v>16</v>
      </c>
      <c r="P1116" s="165" t="s">
        <v>16</v>
      </c>
      <c r="Q1116" s="165" t="s">
        <v>16</v>
      </c>
      <c r="R1116" s="165" t="s">
        <v>148</v>
      </c>
      <c r="S1116" s="165" t="s">
        <v>16</v>
      </c>
      <c r="T1116" s="165" t="s">
        <v>16</v>
      </c>
      <c r="U1116" s="165" t="s">
        <v>148</v>
      </c>
      <c r="V1116" s="165" t="s">
        <v>16</v>
      </c>
      <c r="W1116" s="165" t="s">
        <v>16</v>
      </c>
      <c r="X1116" s="165" t="s">
        <v>148</v>
      </c>
      <c r="Y1116" s="165" t="s">
        <v>16</v>
      </c>
      <c r="Z1116" s="165" t="s">
        <v>16</v>
      </c>
      <c r="AA1116" s="165" t="s">
        <v>16</v>
      </c>
      <c r="AB1116" s="165" t="s">
        <v>16</v>
      </c>
      <c r="AC1116" s="165" t="s">
        <v>16</v>
      </c>
      <c r="AD1116" s="165" t="s">
        <v>16</v>
      </c>
      <c r="AE1116" s="165" t="s">
        <v>1772</v>
      </c>
      <c r="AF1116" s="165"/>
    </row>
    <row r="1117" spans="1:32" x14ac:dyDescent="0.3">
      <c r="A1117" s="165" t="s">
        <v>1807</v>
      </c>
      <c r="B1117" s="165" t="s">
        <v>14</v>
      </c>
      <c r="C1117" s="165" t="s">
        <v>1767</v>
      </c>
      <c r="D1117" s="165" t="s">
        <v>15</v>
      </c>
      <c r="E1117" s="157">
        <v>41424</v>
      </c>
      <c r="F1117" s="165" t="s">
        <v>16</v>
      </c>
      <c r="G1117" s="165" t="s">
        <v>16</v>
      </c>
      <c r="H1117" s="165" t="s">
        <v>148</v>
      </c>
      <c r="I1117" s="165" t="s">
        <v>148</v>
      </c>
      <c r="J1117" s="165" t="s">
        <v>16</v>
      </c>
      <c r="K1117" s="165" t="s">
        <v>16</v>
      </c>
      <c r="L1117" s="165" t="s">
        <v>16</v>
      </c>
      <c r="M1117" s="165" t="s">
        <v>16</v>
      </c>
      <c r="N1117" s="165" t="s">
        <v>16</v>
      </c>
      <c r="O1117" s="165" t="s">
        <v>16</v>
      </c>
      <c r="P1117" s="165" t="s">
        <v>16</v>
      </c>
      <c r="Q1117" s="165" t="s">
        <v>16</v>
      </c>
      <c r="R1117" s="165" t="s">
        <v>148</v>
      </c>
      <c r="S1117" s="165" t="s">
        <v>16</v>
      </c>
      <c r="T1117" s="165" t="s">
        <v>16</v>
      </c>
      <c r="U1117" s="165" t="s">
        <v>16</v>
      </c>
      <c r="V1117" s="165" t="s">
        <v>16</v>
      </c>
      <c r="W1117" s="165" t="s">
        <v>16</v>
      </c>
      <c r="X1117" s="165" t="s">
        <v>16</v>
      </c>
      <c r="Y1117" s="165" t="s">
        <v>148</v>
      </c>
      <c r="Z1117" s="165" t="s">
        <v>16</v>
      </c>
      <c r="AA1117" s="165" t="s">
        <v>16</v>
      </c>
      <c r="AB1117" s="165" t="s">
        <v>16</v>
      </c>
      <c r="AC1117" s="165" t="s">
        <v>16</v>
      </c>
      <c r="AD1117" s="165" t="s">
        <v>148</v>
      </c>
      <c r="AE1117" s="165"/>
      <c r="AF1117" s="165"/>
    </row>
    <row r="1121" spans="1:32" x14ac:dyDescent="0.3">
      <c r="A1121" s="165"/>
      <c r="B1121" s="165"/>
      <c r="C1121" s="165"/>
      <c r="D1121" s="165"/>
      <c r="E1121" s="165"/>
      <c r="F1121" s="165" t="s">
        <v>124</v>
      </c>
      <c r="G1121" s="165" t="s">
        <v>125</v>
      </c>
      <c r="H1121" s="165" t="s">
        <v>126</v>
      </c>
      <c r="I1121" s="165" t="s">
        <v>127</v>
      </c>
      <c r="J1121" s="165" t="s">
        <v>214</v>
      </c>
      <c r="K1121" s="165" t="s">
        <v>128</v>
      </c>
      <c r="L1121" s="165" t="s">
        <v>129</v>
      </c>
      <c r="M1121" s="165" t="s">
        <v>130</v>
      </c>
      <c r="N1121" s="165" t="s">
        <v>131</v>
      </c>
      <c r="O1121" s="165" t="s">
        <v>132</v>
      </c>
      <c r="P1121" s="165" t="s">
        <v>133</v>
      </c>
      <c r="Q1121" s="165" t="s">
        <v>134</v>
      </c>
      <c r="R1121" s="165" t="s">
        <v>135</v>
      </c>
      <c r="S1121" s="165" t="s">
        <v>136</v>
      </c>
      <c r="T1121" s="165" t="s">
        <v>137</v>
      </c>
      <c r="U1121" s="165" t="s">
        <v>138</v>
      </c>
      <c r="V1121" s="165" t="s">
        <v>139</v>
      </c>
      <c r="W1121" s="165" t="s">
        <v>140</v>
      </c>
      <c r="X1121" s="165" t="s">
        <v>186</v>
      </c>
      <c r="Y1121" s="165" t="s">
        <v>209</v>
      </c>
      <c r="Z1121" s="165" t="s">
        <v>141</v>
      </c>
      <c r="AA1121" s="165" t="s">
        <v>142</v>
      </c>
      <c r="AB1121" s="165" t="s">
        <v>210</v>
      </c>
      <c r="AC1121" s="165" t="s">
        <v>1180</v>
      </c>
      <c r="AD1121" s="165" t="s">
        <v>144</v>
      </c>
      <c r="AE1121" s="165" t="s">
        <v>1808</v>
      </c>
      <c r="AF1121" s="165" t="s">
        <v>190</v>
      </c>
    </row>
    <row r="1122" spans="1:32" x14ac:dyDescent="0.3">
      <c r="A1122" s="165" t="s">
        <v>1809</v>
      </c>
      <c r="B1122" s="165" t="s">
        <v>14</v>
      </c>
      <c r="C1122" s="165" t="s">
        <v>1810</v>
      </c>
      <c r="D1122" s="165" t="s">
        <v>15</v>
      </c>
      <c r="E1122" s="157">
        <v>41454</v>
      </c>
      <c r="F1122" s="165" t="s">
        <v>16</v>
      </c>
      <c r="G1122" s="165" t="s">
        <v>16</v>
      </c>
      <c r="H1122" s="165" t="s">
        <v>16</v>
      </c>
      <c r="I1122" s="165" t="s">
        <v>16</v>
      </c>
      <c r="J1122" s="165" t="s">
        <v>16</v>
      </c>
      <c r="K1122" s="165" t="s">
        <v>16</v>
      </c>
      <c r="L1122" s="165" t="s">
        <v>16</v>
      </c>
      <c r="M1122" s="165" t="s">
        <v>16</v>
      </c>
      <c r="N1122" s="165" t="s">
        <v>16</v>
      </c>
      <c r="O1122" s="165" t="s">
        <v>16</v>
      </c>
      <c r="P1122" s="165" t="s">
        <v>16</v>
      </c>
      <c r="Q1122" s="165" t="s">
        <v>16</v>
      </c>
      <c r="R1122" s="165" t="s">
        <v>16</v>
      </c>
      <c r="S1122" s="165" t="s">
        <v>16</v>
      </c>
      <c r="T1122" s="165" t="s">
        <v>16</v>
      </c>
      <c r="U1122" s="165" t="s">
        <v>16</v>
      </c>
      <c r="V1122" s="165" t="s">
        <v>16</v>
      </c>
      <c r="W1122" s="165" t="s">
        <v>16</v>
      </c>
      <c r="X1122" s="165" t="s">
        <v>16</v>
      </c>
      <c r="Y1122" s="165" t="s">
        <v>16</v>
      </c>
      <c r="Z1122" s="165" t="s">
        <v>16</v>
      </c>
      <c r="AA1122" s="165" t="s">
        <v>16</v>
      </c>
      <c r="AB1122" s="165" t="s">
        <v>16</v>
      </c>
      <c r="AC1122" s="165" t="s">
        <v>16</v>
      </c>
      <c r="AD1122" s="165" t="s">
        <v>16</v>
      </c>
      <c r="AE1122" s="165" t="s">
        <v>1811</v>
      </c>
      <c r="AF1122" s="165"/>
    </row>
    <row r="1123" spans="1:32" x14ac:dyDescent="0.3">
      <c r="A1123" s="165" t="s">
        <v>1812</v>
      </c>
      <c r="B1123" s="165" t="s">
        <v>14</v>
      </c>
      <c r="C1123" s="165" t="s">
        <v>1810</v>
      </c>
      <c r="D1123" s="165" t="s">
        <v>15</v>
      </c>
      <c r="E1123" s="157">
        <v>41454</v>
      </c>
      <c r="F1123" s="165" t="s">
        <v>16</v>
      </c>
      <c r="G1123" s="165" t="s">
        <v>16</v>
      </c>
      <c r="H1123" s="165" t="s">
        <v>148</v>
      </c>
      <c r="I1123" s="165" t="s">
        <v>148</v>
      </c>
      <c r="J1123" s="165" t="s">
        <v>16</v>
      </c>
      <c r="K1123" s="165" t="s">
        <v>16</v>
      </c>
      <c r="L1123" s="165" t="s">
        <v>148</v>
      </c>
      <c r="M1123" s="165" t="s">
        <v>148</v>
      </c>
      <c r="N1123" s="165" t="s">
        <v>148</v>
      </c>
      <c r="O1123" s="165" t="s">
        <v>16</v>
      </c>
      <c r="P1123" s="165" t="s">
        <v>148</v>
      </c>
      <c r="Q1123" s="165" t="s">
        <v>148</v>
      </c>
      <c r="R1123" s="165" t="s">
        <v>148</v>
      </c>
      <c r="S1123" s="165" t="s">
        <v>16</v>
      </c>
      <c r="T1123" s="165" t="s">
        <v>16</v>
      </c>
      <c r="U1123" s="165" t="s">
        <v>148</v>
      </c>
      <c r="V1123" s="165" t="s">
        <v>16</v>
      </c>
      <c r="W1123" s="165" t="s">
        <v>16</v>
      </c>
      <c r="X1123" s="165" t="s">
        <v>16</v>
      </c>
      <c r="Y1123" s="165" t="s">
        <v>16</v>
      </c>
      <c r="Z1123" s="165" t="s">
        <v>148</v>
      </c>
      <c r="AA1123" s="165" t="s">
        <v>148</v>
      </c>
      <c r="AB1123" s="165" t="s">
        <v>16</v>
      </c>
      <c r="AC1123" s="165" t="s">
        <v>148</v>
      </c>
      <c r="AD1123" s="165" t="s">
        <v>16</v>
      </c>
      <c r="AE1123" s="165" t="s">
        <v>1813</v>
      </c>
      <c r="AF1123" s="165"/>
    </row>
    <row r="1124" spans="1:32" x14ac:dyDescent="0.3">
      <c r="A1124" s="165" t="s">
        <v>1814</v>
      </c>
      <c r="B1124" s="165" t="s">
        <v>14</v>
      </c>
      <c r="C1124" s="165" t="s">
        <v>1810</v>
      </c>
      <c r="D1124" s="165" t="s">
        <v>15</v>
      </c>
      <c r="E1124" s="157">
        <v>41454</v>
      </c>
      <c r="F1124" s="165" t="s">
        <v>16</v>
      </c>
      <c r="G1124" s="165" t="s">
        <v>16</v>
      </c>
      <c r="H1124" s="165" t="s">
        <v>16</v>
      </c>
      <c r="I1124" s="165" t="s">
        <v>16</v>
      </c>
      <c r="J1124" s="165" t="s">
        <v>16</v>
      </c>
      <c r="K1124" s="165" t="s">
        <v>16</v>
      </c>
      <c r="L1124" s="165" t="s">
        <v>16</v>
      </c>
      <c r="M1124" s="165" t="s">
        <v>16</v>
      </c>
      <c r="N1124" s="165" t="s">
        <v>16</v>
      </c>
      <c r="O1124" s="165" t="s">
        <v>16</v>
      </c>
      <c r="P1124" s="165" t="s">
        <v>16</v>
      </c>
      <c r="Q1124" s="165" t="s">
        <v>16</v>
      </c>
      <c r="R1124" s="165" t="s">
        <v>16</v>
      </c>
      <c r="S1124" s="165" t="s">
        <v>16</v>
      </c>
      <c r="T1124" s="165" t="s">
        <v>16</v>
      </c>
      <c r="U1124" s="165" t="s">
        <v>16</v>
      </c>
      <c r="V1124" s="165" t="s">
        <v>16</v>
      </c>
      <c r="W1124" s="165" t="s">
        <v>16</v>
      </c>
      <c r="X1124" s="165" t="s">
        <v>16</v>
      </c>
      <c r="Y1124" s="165" t="s">
        <v>16</v>
      </c>
      <c r="Z1124" s="165" t="s">
        <v>16</v>
      </c>
      <c r="AA1124" s="165" t="s">
        <v>16</v>
      </c>
      <c r="AB1124" s="165" t="s">
        <v>16</v>
      </c>
      <c r="AC1124" s="165" t="s">
        <v>16</v>
      </c>
      <c r="AD1124" s="165" t="s">
        <v>16</v>
      </c>
      <c r="AE1124" s="165" t="s">
        <v>1815</v>
      </c>
      <c r="AF1124" s="165"/>
    </row>
    <row r="1125" spans="1:32" x14ac:dyDescent="0.3">
      <c r="A1125" s="165" t="s">
        <v>1816</v>
      </c>
      <c r="B1125" s="165" t="s">
        <v>14</v>
      </c>
      <c r="C1125" s="165" t="s">
        <v>1810</v>
      </c>
      <c r="D1125" s="165" t="s">
        <v>15</v>
      </c>
      <c r="E1125" s="157">
        <v>41454</v>
      </c>
      <c r="F1125" s="165" t="s">
        <v>16</v>
      </c>
      <c r="G1125" s="165" t="s">
        <v>16</v>
      </c>
      <c r="H1125" s="165" t="s">
        <v>16</v>
      </c>
      <c r="I1125" s="165" t="s">
        <v>16</v>
      </c>
      <c r="J1125" s="165" t="s">
        <v>16</v>
      </c>
      <c r="K1125" s="165" t="s">
        <v>16</v>
      </c>
      <c r="L1125" s="165" t="s">
        <v>16</v>
      </c>
      <c r="M1125" s="165" t="s">
        <v>16</v>
      </c>
      <c r="N1125" s="165" t="s">
        <v>16</v>
      </c>
      <c r="O1125" s="165" t="s">
        <v>16</v>
      </c>
      <c r="P1125" s="165" t="s">
        <v>16</v>
      </c>
      <c r="Q1125" s="165" t="s">
        <v>16</v>
      </c>
      <c r="R1125" s="165" t="s">
        <v>16</v>
      </c>
      <c r="S1125" s="165" t="s">
        <v>16</v>
      </c>
      <c r="T1125" s="165" t="s">
        <v>16</v>
      </c>
      <c r="U1125" s="165" t="s">
        <v>16</v>
      </c>
      <c r="V1125" s="165" t="s">
        <v>16</v>
      </c>
      <c r="W1125" s="165" t="s">
        <v>16</v>
      </c>
      <c r="X1125" s="165" t="s">
        <v>16</v>
      </c>
      <c r="Y1125" s="165" t="s">
        <v>16</v>
      </c>
      <c r="Z1125" s="165" t="s">
        <v>16</v>
      </c>
      <c r="AA1125" s="165" t="s">
        <v>16</v>
      </c>
      <c r="AB1125" s="165" t="s">
        <v>16</v>
      </c>
      <c r="AC1125" s="165" t="s">
        <v>16</v>
      </c>
      <c r="AD1125" s="165" t="s">
        <v>16</v>
      </c>
      <c r="AE1125" s="165" t="s">
        <v>1815</v>
      </c>
      <c r="AF1125" s="165"/>
    </row>
    <row r="1126" spans="1:32" x14ac:dyDescent="0.3">
      <c r="A1126" s="165" t="s">
        <v>1817</v>
      </c>
      <c r="B1126" s="165" t="s">
        <v>14</v>
      </c>
      <c r="C1126" s="165" t="s">
        <v>1810</v>
      </c>
      <c r="D1126" s="165" t="s">
        <v>15</v>
      </c>
      <c r="E1126" s="157">
        <v>41454</v>
      </c>
      <c r="F1126" s="165" t="s">
        <v>16</v>
      </c>
      <c r="G1126" s="165" t="s">
        <v>16</v>
      </c>
      <c r="H1126" s="165" t="s">
        <v>16</v>
      </c>
      <c r="I1126" s="165" t="s">
        <v>16</v>
      </c>
      <c r="J1126" s="165" t="s">
        <v>16</v>
      </c>
      <c r="K1126" s="165" t="s">
        <v>16</v>
      </c>
      <c r="L1126" s="165" t="s">
        <v>16</v>
      </c>
      <c r="M1126" s="165" t="s">
        <v>16</v>
      </c>
      <c r="N1126" s="165" t="s">
        <v>16</v>
      </c>
      <c r="O1126" s="165" t="s">
        <v>16</v>
      </c>
      <c r="P1126" s="165" t="s">
        <v>16</v>
      </c>
      <c r="Q1126" s="165" t="s">
        <v>16</v>
      </c>
      <c r="R1126" s="165" t="s">
        <v>16</v>
      </c>
      <c r="S1126" s="165" t="s">
        <v>16</v>
      </c>
      <c r="T1126" s="165" t="s">
        <v>16</v>
      </c>
      <c r="U1126" s="165" t="s">
        <v>16</v>
      </c>
      <c r="V1126" s="165" t="s">
        <v>16</v>
      </c>
      <c r="W1126" s="165" t="s">
        <v>16</v>
      </c>
      <c r="X1126" s="165" t="s">
        <v>16</v>
      </c>
      <c r="Y1126" s="165" t="s">
        <v>16</v>
      </c>
      <c r="Z1126" s="165" t="s">
        <v>16</v>
      </c>
      <c r="AA1126" s="165" t="s">
        <v>148</v>
      </c>
      <c r="AB1126" s="165" t="s">
        <v>16</v>
      </c>
      <c r="AC1126" s="165" t="s">
        <v>16</v>
      </c>
      <c r="AD1126" s="165" t="s">
        <v>16</v>
      </c>
      <c r="AE1126" s="165" t="s">
        <v>1818</v>
      </c>
      <c r="AF1126" s="165" t="s">
        <v>1819</v>
      </c>
    </row>
    <row r="1127" spans="1:32" x14ac:dyDescent="0.3">
      <c r="A1127" s="165" t="s">
        <v>1820</v>
      </c>
      <c r="B1127" s="165" t="s">
        <v>14</v>
      </c>
      <c r="C1127" s="165" t="s">
        <v>1810</v>
      </c>
      <c r="D1127" s="165" t="s">
        <v>15</v>
      </c>
      <c r="E1127" s="157">
        <v>41454</v>
      </c>
      <c r="F1127" s="165" t="s">
        <v>16</v>
      </c>
      <c r="G1127" s="165" t="s">
        <v>16</v>
      </c>
      <c r="H1127" s="165" t="s">
        <v>16</v>
      </c>
      <c r="I1127" s="165" t="s">
        <v>16</v>
      </c>
      <c r="J1127" s="165" t="s">
        <v>16</v>
      </c>
      <c r="K1127" s="165" t="s">
        <v>16</v>
      </c>
      <c r="L1127" s="165" t="s">
        <v>16</v>
      </c>
      <c r="M1127" s="165" t="s">
        <v>16</v>
      </c>
      <c r="N1127" s="165" t="s">
        <v>16</v>
      </c>
      <c r="O1127" s="165" t="s">
        <v>16</v>
      </c>
      <c r="P1127" s="165" t="s">
        <v>16</v>
      </c>
      <c r="Q1127" s="165" t="s">
        <v>16</v>
      </c>
      <c r="R1127" s="165" t="s">
        <v>16</v>
      </c>
      <c r="S1127" s="165" t="s">
        <v>16</v>
      </c>
      <c r="T1127" s="165" t="s">
        <v>16</v>
      </c>
      <c r="U1127" s="165" t="s">
        <v>16</v>
      </c>
      <c r="V1127" s="165" t="s">
        <v>16</v>
      </c>
      <c r="W1127" s="165" t="s">
        <v>16</v>
      </c>
      <c r="X1127" s="165" t="s">
        <v>16</v>
      </c>
      <c r="Y1127" s="165" t="s">
        <v>16</v>
      </c>
      <c r="Z1127" s="165" t="s">
        <v>16</v>
      </c>
      <c r="AA1127" s="165" t="s">
        <v>16</v>
      </c>
      <c r="AB1127" s="165" t="s">
        <v>16</v>
      </c>
      <c r="AC1127" s="165" t="s">
        <v>16</v>
      </c>
      <c r="AD1127" s="165" t="s">
        <v>16</v>
      </c>
      <c r="AE1127" s="165" t="s">
        <v>1815</v>
      </c>
      <c r="AF1127" s="165"/>
    </row>
    <row r="1128" spans="1:32" x14ac:dyDescent="0.3">
      <c r="A1128" s="165" t="s">
        <v>1821</v>
      </c>
      <c r="B1128" s="165" t="s">
        <v>14</v>
      </c>
      <c r="C1128" s="165" t="s">
        <v>1810</v>
      </c>
      <c r="D1128" s="165" t="s">
        <v>15</v>
      </c>
      <c r="E1128" s="157">
        <v>41454</v>
      </c>
      <c r="F1128" s="165" t="s">
        <v>148</v>
      </c>
      <c r="G1128" s="165" t="s">
        <v>16</v>
      </c>
      <c r="H1128" s="165" t="s">
        <v>16</v>
      </c>
      <c r="I1128" s="165" t="s">
        <v>16</v>
      </c>
      <c r="J1128" s="165" t="s">
        <v>16</v>
      </c>
      <c r="K1128" s="165" t="s">
        <v>16</v>
      </c>
      <c r="L1128" s="165" t="s">
        <v>16</v>
      </c>
      <c r="M1128" s="165" t="s">
        <v>16</v>
      </c>
      <c r="N1128" s="165" t="s">
        <v>148</v>
      </c>
      <c r="O1128" s="165" t="s">
        <v>16</v>
      </c>
      <c r="P1128" s="165" t="s">
        <v>16</v>
      </c>
      <c r="Q1128" s="165" t="s">
        <v>16</v>
      </c>
      <c r="R1128" s="165" t="s">
        <v>16</v>
      </c>
      <c r="S1128" s="165" t="s">
        <v>16</v>
      </c>
      <c r="T1128" s="165" t="s">
        <v>148</v>
      </c>
      <c r="U1128" s="165" t="s">
        <v>148</v>
      </c>
      <c r="V1128" s="165" t="s">
        <v>148</v>
      </c>
      <c r="W1128" s="165" t="s">
        <v>148</v>
      </c>
      <c r="X1128" s="165" t="s">
        <v>148</v>
      </c>
      <c r="Y1128" s="165" t="s">
        <v>148</v>
      </c>
      <c r="Z1128" s="165" t="s">
        <v>16</v>
      </c>
      <c r="AA1128" s="165" t="s">
        <v>16</v>
      </c>
      <c r="AB1128" s="165" t="s">
        <v>16</v>
      </c>
      <c r="AC1128" s="165" t="s">
        <v>150</v>
      </c>
      <c r="AD1128" s="165" t="s">
        <v>16</v>
      </c>
      <c r="AE1128" s="165" t="s">
        <v>1818</v>
      </c>
      <c r="AF1128" s="165"/>
    </row>
    <row r="1129" spans="1:32" x14ac:dyDescent="0.3">
      <c r="A1129" s="165" t="s">
        <v>1822</v>
      </c>
      <c r="B1129" s="165" t="s">
        <v>14</v>
      </c>
      <c r="C1129" s="165" t="s">
        <v>1810</v>
      </c>
      <c r="D1129" s="165" t="s">
        <v>15</v>
      </c>
      <c r="E1129" s="157">
        <v>41454</v>
      </c>
      <c r="F1129" s="165" t="s">
        <v>16</v>
      </c>
      <c r="G1129" s="165" t="s">
        <v>148</v>
      </c>
      <c r="H1129" s="165" t="s">
        <v>148</v>
      </c>
      <c r="I1129" s="165" t="s">
        <v>16</v>
      </c>
      <c r="J1129" s="165" t="s">
        <v>150</v>
      </c>
      <c r="K1129" s="165" t="s">
        <v>148</v>
      </c>
      <c r="L1129" s="165" t="s">
        <v>16</v>
      </c>
      <c r="M1129" s="165" t="s">
        <v>16</v>
      </c>
      <c r="N1129" s="165" t="s">
        <v>16</v>
      </c>
      <c r="O1129" s="165" t="s">
        <v>148</v>
      </c>
      <c r="P1129" s="165" t="s">
        <v>16</v>
      </c>
      <c r="Q1129" s="165" t="s">
        <v>148</v>
      </c>
      <c r="R1129" s="165" t="s">
        <v>150</v>
      </c>
      <c r="S1129" s="165" t="s">
        <v>16</v>
      </c>
      <c r="T1129" s="165" t="s">
        <v>16</v>
      </c>
      <c r="U1129" s="165" t="s">
        <v>16</v>
      </c>
      <c r="V1129" s="165" t="s">
        <v>16</v>
      </c>
      <c r="W1129" s="165" t="s">
        <v>148</v>
      </c>
      <c r="X1129" s="165" t="s">
        <v>148</v>
      </c>
      <c r="Y1129" s="165" t="s">
        <v>148</v>
      </c>
      <c r="Z1129" s="165" t="s">
        <v>16</v>
      </c>
      <c r="AA1129" s="165" t="s">
        <v>148</v>
      </c>
      <c r="AB1129" s="165" t="s">
        <v>16</v>
      </c>
      <c r="AC1129" s="165" t="s">
        <v>148</v>
      </c>
      <c r="AD1129" s="165" t="s">
        <v>16</v>
      </c>
      <c r="AE1129" s="165" t="s">
        <v>1815</v>
      </c>
      <c r="AF1129" s="165"/>
    </row>
    <row r="1130" spans="1:32" x14ac:dyDescent="0.3">
      <c r="A1130" s="165" t="s">
        <v>1823</v>
      </c>
      <c r="B1130" s="165" t="s">
        <v>14</v>
      </c>
      <c r="C1130" s="165" t="s">
        <v>1810</v>
      </c>
      <c r="D1130" s="165" t="s">
        <v>15</v>
      </c>
      <c r="E1130" s="157">
        <v>41454</v>
      </c>
      <c r="F1130" s="165" t="s">
        <v>16</v>
      </c>
      <c r="G1130" s="165" t="s">
        <v>16</v>
      </c>
      <c r="H1130" s="165" t="s">
        <v>16</v>
      </c>
      <c r="I1130" s="165" t="s">
        <v>16</v>
      </c>
      <c r="J1130" s="165" t="s">
        <v>16</v>
      </c>
      <c r="K1130" s="165" t="s">
        <v>16</v>
      </c>
      <c r="L1130" s="165" t="s">
        <v>16</v>
      </c>
      <c r="M1130" s="165" t="s">
        <v>16</v>
      </c>
      <c r="N1130" s="165" t="s">
        <v>16</v>
      </c>
      <c r="O1130" s="165" t="s">
        <v>16</v>
      </c>
      <c r="P1130" s="165" t="s">
        <v>16</v>
      </c>
      <c r="Q1130" s="165" t="s">
        <v>16</v>
      </c>
      <c r="R1130" s="165" t="s">
        <v>16</v>
      </c>
      <c r="S1130" s="165" t="s">
        <v>16</v>
      </c>
      <c r="T1130" s="165" t="s">
        <v>16</v>
      </c>
      <c r="U1130" s="165" t="s">
        <v>16</v>
      </c>
      <c r="V1130" s="165" t="s">
        <v>16</v>
      </c>
      <c r="W1130" s="165" t="s">
        <v>16</v>
      </c>
      <c r="X1130" s="165" t="s">
        <v>16</v>
      </c>
      <c r="Y1130" s="165" t="s">
        <v>16</v>
      </c>
      <c r="Z1130" s="165" t="s">
        <v>16</v>
      </c>
      <c r="AA1130" s="165" t="s">
        <v>16</v>
      </c>
      <c r="AB1130" s="165" t="s">
        <v>16</v>
      </c>
      <c r="AC1130" s="165" t="s">
        <v>16</v>
      </c>
      <c r="AD1130" s="165" t="s">
        <v>16</v>
      </c>
      <c r="AE1130" s="165"/>
      <c r="AF1130" s="165"/>
    </row>
    <row r="1131" spans="1:32" x14ac:dyDescent="0.3">
      <c r="A1131" s="165" t="s">
        <v>1824</v>
      </c>
      <c r="B1131" s="165" t="s">
        <v>14</v>
      </c>
      <c r="C1131" s="165" t="s">
        <v>1810</v>
      </c>
      <c r="D1131" s="165" t="s">
        <v>15</v>
      </c>
      <c r="E1131" s="157">
        <v>41454</v>
      </c>
      <c r="F1131" s="165" t="s">
        <v>148</v>
      </c>
      <c r="G1131" s="165" t="s">
        <v>16</v>
      </c>
      <c r="H1131" s="165" t="s">
        <v>16</v>
      </c>
      <c r="I1131" s="165" t="s">
        <v>148</v>
      </c>
      <c r="J1131" s="165" t="s">
        <v>16</v>
      </c>
      <c r="K1131" s="165" t="s">
        <v>149</v>
      </c>
      <c r="L1131" s="165" t="s">
        <v>149</v>
      </c>
      <c r="M1131" s="165" t="s">
        <v>149</v>
      </c>
      <c r="N1131" s="165" t="s">
        <v>148</v>
      </c>
      <c r="O1131" s="165" t="s">
        <v>148</v>
      </c>
      <c r="P1131" s="165" t="s">
        <v>148</v>
      </c>
      <c r="Q1131" s="165" t="s">
        <v>16</v>
      </c>
      <c r="R1131" s="165" t="s">
        <v>149</v>
      </c>
      <c r="S1131" s="165" t="s">
        <v>149</v>
      </c>
      <c r="T1131" s="165" t="s">
        <v>149</v>
      </c>
      <c r="U1131" s="165" t="s">
        <v>149</v>
      </c>
      <c r="V1131" s="165" t="s">
        <v>16</v>
      </c>
      <c r="W1131" s="165" t="s">
        <v>16</v>
      </c>
      <c r="X1131" s="165" t="s">
        <v>16</v>
      </c>
      <c r="Y1131" s="165" t="s">
        <v>16</v>
      </c>
      <c r="Z1131" s="165" t="s">
        <v>149</v>
      </c>
      <c r="AA1131" s="165" t="s">
        <v>16</v>
      </c>
      <c r="AB1131" s="165" t="s">
        <v>16</v>
      </c>
      <c r="AC1131" s="165" t="s">
        <v>16</v>
      </c>
      <c r="AD1131" s="165" t="s">
        <v>16</v>
      </c>
      <c r="AE1131" s="165" t="s">
        <v>1815</v>
      </c>
      <c r="AF1131" s="165"/>
    </row>
    <row r="1132" spans="1:32" x14ac:dyDescent="0.3">
      <c r="A1132" s="165" t="s">
        <v>1825</v>
      </c>
      <c r="B1132" s="165" t="s">
        <v>14</v>
      </c>
      <c r="C1132" s="165" t="s">
        <v>1810</v>
      </c>
      <c r="D1132" s="165" t="s">
        <v>15</v>
      </c>
      <c r="E1132" s="157">
        <v>41454</v>
      </c>
      <c r="F1132" s="165" t="s">
        <v>16</v>
      </c>
      <c r="G1132" s="165" t="s">
        <v>16</v>
      </c>
      <c r="H1132" s="165" t="s">
        <v>16</v>
      </c>
      <c r="I1132" s="165" t="s">
        <v>16</v>
      </c>
      <c r="J1132" s="165" t="s">
        <v>16</v>
      </c>
      <c r="K1132" s="165" t="s">
        <v>16</v>
      </c>
      <c r="L1132" s="165" t="s">
        <v>16</v>
      </c>
      <c r="M1132" s="165" t="s">
        <v>16</v>
      </c>
      <c r="N1132" s="165" t="s">
        <v>16</v>
      </c>
      <c r="O1132" s="165" t="s">
        <v>16</v>
      </c>
      <c r="P1132" s="165" t="s">
        <v>16</v>
      </c>
      <c r="Q1132" s="165" t="s">
        <v>16</v>
      </c>
      <c r="R1132" s="165" t="s">
        <v>16</v>
      </c>
      <c r="S1132" s="165" t="s">
        <v>16</v>
      </c>
      <c r="T1132" s="165" t="s">
        <v>16</v>
      </c>
      <c r="U1132" s="165" t="s">
        <v>16</v>
      </c>
      <c r="V1132" s="165" t="s">
        <v>16</v>
      </c>
      <c r="W1132" s="165" t="s">
        <v>16</v>
      </c>
      <c r="X1132" s="165" t="s">
        <v>16</v>
      </c>
      <c r="Y1132" s="165" t="s">
        <v>16</v>
      </c>
      <c r="Z1132" s="165" t="s">
        <v>16</v>
      </c>
      <c r="AA1132" s="165" t="s">
        <v>16</v>
      </c>
      <c r="AB1132" s="165" t="s">
        <v>16</v>
      </c>
      <c r="AC1132" s="165" t="s">
        <v>16</v>
      </c>
      <c r="AD1132" s="165" t="s">
        <v>16</v>
      </c>
      <c r="AE1132" s="165" t="s">
        <v>1815</v>
      </c>
      <c r="AF1132" s="165"/>
    </row>
    <row r="1133" spans="1:32" x14ac:dyDescent="0.3">
      <c r="A1133" s="165" t="s">
        <v>1826</v>
      </c>
      <c r="B1133" s="165" t="s">
        <v>14</v>
      </c>
      <c r="C1133" s="165" t="s">
        <v>1810</v>
      </c>
      <c r="D1133" s="165" t="s">
        <v>15</v>
      </c>
      <c r="E1133" s="157">
        <v>41454</v>
      </c>
      <c r="F1133" s="165" t="s">
        <v>16</v>
      </c>
      <c r="G1133" s="165" t="s">
        <v>16</v>
      </c>
      <c r="H1133" s="165" t="s">
        <v>16</v>
      </c>
      <c r="I1133" s="165" t="s">
        <v>148</v>
      </c>
      <c r="J1133" s="165" t="s">
        <v>16</v>
      </c>
      <c r="K1133" s="165" t="s">
        <v>16</v>
      </c>
      <c r="L1133" s="165" t="s">
        <v>148</v>
      </c>
      <c r="M1133" s="165" t="s">
        <v>148</v>
      </c>
      <c r="N1133" s="165" t="s">
        <v>16</v>
      </c>
      <c r="O1133" s="165" t="s">
        <v>16</v>
      </c>
      <c r="P1133" s="165" t="s">
        <v>16</v>
      </c>
      <c r="Q1133" s="165" t="s">
        <v>16</v>
      </c>
      <c r="R1133" s="165" t="s">
        <v>16</v>
      </c>
      <c r="S1133" s="165" t="s">
        <v>16</v>
      </c>
      <c r="T1133" s="165" t="s">
        <v>16</v>
      </c>
      <c r="U1133" s="165" t="s">
        <v>148</v>
      </c>
      <c r="V1133" s="165" t="s">
        <v>16</v>
      </c>
      <c r="W1133" s="165" t="s">
        <v>16</v>
      </c>
      <c r="X1133" s="165" t="s">
        <v>148</v>
      </c>
      <c r="Y1133" s="165" t="s">
        <v>16</v>
      </c>
      <c r="Z1133" s="165" t="s">
        <v>148</v>
      </c>
      <c r="AA1133" s="165" t="s">
        <v>148</v>
      </c>
      <c r="AB1133" s="165" t="s">
        <v>16</v>
      </c>
      <c r="AC1133" s="165" t="s">
        <v>148</v>
      </c>
      <c r="AD1133" s="165" t="s">
        <v>16</v>
      </c>
      <c r="AE1133" s="165" t="s">
        <v>1815</v>
      </c>
      <c r="AF1133" s="165"/>
    </row>
    <row r="1134" spans="1:32" x14ac:dyDescent="0.3">
      <c r="A1134" s="165" t="s">
        <v>1827</v>
      </c>
      <c r="B1134" s="165" t="s">
        <v>14</v>
      </c>
      <c r="C1134" s="165" t="s">
        <v>1810</v>
      </c>
      <c r="D1134" s="165" t="s">
        <v>15</v>
      </c>
      <c r="E1134" s="157">
        <v>41454</v>
      </c>
      <c r="F1134" s="165" t="s">
        <v>16</v>
      </c>
      <c r="G1134" s="165" t="s">
        <v>16</v>
      </c>
      <c r="H1134" s="165" t="s">
        <v>16</v>
      </c>
      <c r="I1134" s="165" t="s">
        <v>16</v>
      </c>
      <c r="J1134" s="165" t="s">
        <v>16</v>
      </c>
      <c r="K1134" s="165" t="s">
        <v>16</v>
      </c>
      <c r="L1134" s="165" t="s">
        <v>16</v>
      </c>
      <c r="M1134" s="165" t="s">
        <v>16</v>
      </c>
      <c r="N1134" s="165" t="s">
        <v>16</v>
      </c>
      <c r="O1134" s="165" t="s">
        <v>16</v>
      </c>
      <c r="P1134" s="165" t="s">
        <v>16</v>
      </c>
      <c r="Q1134" s="165" t="s">
        <v>16</v>
      </c>
      <c r="R1134" s="165" t="s">
        <v>16</v>
      </c>
      <c r="S1134" s="165" t="s">
        <v>16</v>
      </c>
      <c r="T1134" s="165" t="s">
        <v>16</v>
      </c>
      <c r="U1134" s="165" t="s">
        <v>16</v>
      </c>
      <c r="V1134" s="165" t="s">
        <v>16</v>
      </c>
      <c r="W1134" s="165" t="s">
        <v>16</v>
      </c>
      <c r="X1134" s="165" t="s">
        <v>16</v>
      </c>
      <c r="Y1134" s="165" t="s">
        <v>16</v>
      </c>
      <c r="Z1134" s="165" t="s">
        <v>16</v>
      </c>
      <c r="AA1134" s="165" t="s">
        <v>16</v>
      </c>
      <c r="AB1134" s="165" t="s">
        <v>16</v>
      </c>
      <c r="AC1134" s="165" t="s">
        <v>16</v>
      </c>
      <c r="AD1134" s="165" t="s">
        <v>16</v>
      </c>
      <c r="AE1134" s="165"/>
      <c r="AF1134" s="165"/>
    </row>
    <row r="1135" spans="1:32" x14ac:dyDescent="0.3">
      <c r="A1135" s="165" t="s">
        <v>1828</v>
      </c>
      <c r="B1135" s="165" t="s">
        <v>14</v>
      </c>
      <c r="C1135" s="165" t="s">
        <v>1810</v>
      </c>
      <c r="D1135" s="165" t="s">
        <v>15</v>
      </c>
      <c r="E1135" s="157">
        <v>41454</v>
      </c>
      <c r="F1135" s="165" t="s">
        <v>151</v>
      </c>
      <c r="G1135" s="165" t="s">
        <v>151</v>
      </c>
      <c r="H1135" s="165" t="s">
        <v>151</v>
      </c>
      <c r="I1135" s="165" t="s">
        <v>149</v>
      </c>
      <c r="J1135" s="165" t="s">
        <v>149</v>
      </c>
      <c r="K1135" s="165" t="s">
        <v>151</v>
      </c>
      <c r="L1135" s="165" t="s">
        <v>151</v>
      </c>
      <c r="M1135" s="165" t="s">
        <v>151</v>
      </c>
      <c r="N1135" s="165" t="s">
        <v>150</v>
      </c>
      <c r="O1135" s="165" t="s">
        <v>16</v>
      </c>
      <c r="P1135" s="165" t="s">
        <v>151</v>
      </c>
      <c r="Q1135" s="165" t="s">
        <v>151</v>
      </c>
      <c r="R1135" s="165" t="s">
        <v>16</v>
      </c>
      <c r="S1135" s="165" t="s">
        <v>149</v>
      </c>
      <c r="T1135" s="165" t="s">
        <v>16</v>
      </c>
      <c r="U1135" s="165" t="s">
        <v>151</v>
      </c>
      <c r="V1135" s="165" t="s">
        <v>151</v>
      </c>
      <c r="W1135" s="165" t="s">
        <v>149</v>
      </c>
      <c r="X1135" s="165" t="s">
        <v>148</v>
      </c>
      <c r="Y1135" s="165" t="s">
        <v>148</v>
      </c>
      <c r="Z1135" s="165" t="s">
        <v>151</v>
      </c>
      <c r="AA1135" s="165" t="s">
        <v>151</v>
      </c>
      <c r="AB1135" s="165" t="s">
        <v>148</v>
      </c>
      <c r="AC1135" s="165" t="s">
        <v>150</v>
      </c>
      <c r="AD1135" s="165" t="s">
        <v>148</v>
      </c>
      <c r="AE1135" s="165" t="s">
        <v>1815</v>
      </c>
      <c r="AF1135" s="165"/>
    </row>
    <row r="1136" spans="1:32" x14ac:dyDescent="0.3">
      <c r="A1136" s="165" t="s">
        <v>1829</v>
      </c>
      <c r="B1136" s="165" t="s">
        <v>14</v>
      </c>
      <c r="C1136" s="165" t="s">
        <v>1810</v>
      </c>
      <c r="D1136" s="165" t="s">
        <v>15</v>
      </c>
      <c r="E1136" s="157">
        <v>41454</v>
      </c>
      <c r="F1136" s="165" t="s">
        <v>16</v>
      </c>
      <c r="G1136" s="165" t="s">
        <v>16</v>
      </c>
      <c r="H1136" s="165" t="s">
        <v>16</v>
      </c>
      <c r="I1136" s="165" t="s">
        <v>150</v>
      </c>
      <c r="J1136" s="165" t="s">
        <v>148</v>
      </c>
      <c r="K1136" s="165" t="s">
        <v>150</v>
      </c>
      <c r="L1136" s="165" t="s">
        <v>148</v>
      </c>
      <c r="M1136" s="165" t="s">
        <v>150</v>
      </c>
      <c r="N1136" s="165" t="s">
        <v>148</v>
      </c>
      <c r="O1136" s="165" t="s">
        <v>148</v>
      </c>
      <c r="P1136" s="165" t="s">
        <v>149</v>
      </c>
      <c r="Q1136" s="165" t="s">
        <v>16</v>
      </c>
      <c r="R1136" s="165" t="s">
        <v>150</v>
      </c>
      <c r="S1136" s="165" t="s">
        <v>151</v>
      </c>
      <c r="T1136" s="165" t="s">
        <v>148</v>
      </c>
      <c r="U1136" s="165" t="s">
        <v>148</v>
      </c>
      <c r="V1136" s="165" t="s">
        <v>16</v>
      </c>
      <c r="W1136" s="165" t="s">
        <v>148</v>
      </c>
      <c r="X1136" s="165" t="s">
        <v>148</v>
      </c>
      <c r="Y1136" s="165" t="s">
        <v>150</v>
      </c>
      <c r="Z1136" s="165" t="s">
        <v>150</v>
      </c>
      <c r="AA1136" s="165" t="s">
        <v>150</v>
      </c>
      <c r="AB1136" s="165" t="s">
        <v>16</v>
      </c>
      <c r="AC1136" s="165" t="s">
        <v>16</v>
      </c>
      <c r="AD1136" s="165" t="s">
        <v>150</v>
      </c>
      <c r="AE1136" s="165" t="s">
        <v>1813</v>
      </c>
      <c r="AF1136" s="165"/>
    </row>
    <row r="1137" spans="1:32" x14ac:dyDescent="0.3">
      <c r="A1137" s="165" t="s">
        <v>1830</v>
      </c>
      <c r="B1137" s="165" t="s">
        <v>14</v>
      </c>
      <c r="C1137" s="165" t="s">
        <v>1810</v>
      </c>
      <c r="D1137" s="165" t="s">
        <v>15</v>
      </c>
      <c r="E1137" s="157">
        <v>41454</v>
      </c>
      <c r="F1137" s="165" t="s">
        <v>16</v>
      </c>
      <c r="G1137" s="165" t="s">
        <v>16</v>
      </c>
      <c r="H1137" s="165" t="s">
        <v>16</v>
      </c>
      <c r="I1137" s="165" t="s">
        <v>16</v>
      </c>
      <c r="J1137" s="165" t="s">
        <v>16</v>
      </c>
      <c r="K1137" s="165" t="s">
        <v>16</v>
      </c>
      <c r="L1137" s="165" t="s">
        <v>16</v>
      </c>
      <c r="M1137" s="165" t="s">
        <v>16</v>
      </c>
      <c r="N1137" s="165" t="s">
        <v>16</v>
      </c>
      <c r="O1137" s="165" t="s">
        <v>16</v>
      </c>
      <c r="P1137" s="165" t="s">
        <v>16</v>
      </c>
      <c r="Q1137" s="165" t="s">
        <v>16</v>
      </c>
      <c r="R1137" s="165" t="s">
        <v>16</v>
      </c>
      <c r="S1137" s="165" t="s">
        <v>16</v>
      </c>
      <c r="T1137" s="165" t="s">
        <v>16</v>
      </c>
      <c r="U1137" s="165" t="s">
        <v>16</v>
      </c>
      <c r="V1137" s="165" t="s">
        <v>16</v>
      </c>
      <c r="W1137" s="165" t="s">
        <v>16</v>
      </c>
      <c r="X1137" s="165" t="s">
        <v>16</v>
      </c>
      <c r="Y1137" s="165" t="s">
        <v>16</v>
      </c>
      <c r="Z1137" s="165" t="s">
        <v>16</v>
      </c>
      <c r="AA1137" s="165" t="s">
        <v>16</v>
      </c>
      <c r="AB1137" s="165" t="s">
        <v>16</v>
      </c>
      <c r="AC1137" s="165" t="s">
        <v>16</v>
      </c>
      <c r="AD1137" s="165" t="s">
        <v>16</v>
      </c>
      <c r="AE1137" s="165" t="s">
        <v>1818</v>
      </c>
      <c r="AF1137" s="165"/>
    </row>
    <row r="1138" spans="1:32" x14ac:dyDescent="0.3">
      <c r="A1138" s="165" t="s">
        <v>1831</v>
      </c>
      <c r="B1138" s="165" t="s">
        <v>14</v>
      </c>
      <c r="C1138" s="165" t="s">
        <v>1810</v>
      </c>
      <c r="D1138" s="165" t="s">
        <v>15</v>
      </c>
      <c r="E1138" s="157">
        <v>41454</v>
      </c>
      <c r="F1138" s="165" t="s">
        <v>16</v>
      </c>
      <c r="G1138" s="165" t="s">
        <v>148</v>
      </c>
      <c r="H1138" s="165" t="s">
        <v>148</v>
      </c>
      <c r="I1138" s="165" t="s">
        <v>16</v>
      </c>
      <c r="J1138" s="165" t="s">
        <v>16</v>
      </c>
      <c r="K1138" s="165" t="s">
        <v>16</v>
      </c>
      <c r="L1138" s="165" t="s">
        <v>16</v>
      </c>
      <c r="M1138" s="165" t="s">
        <v>16</v>
      </c>
      <c r="N1138" s="165" t="s">
        <v>16</v>
      </c>
      <c r="O1138" s="165" t="s">
        <v>16</v>
      </c>
      <c r="P1138" s="165" t="s">
        <v>16</v>
      </c>
      <c r="Q1138" s="165" t="s">
        <v>16</v>
      </c>
      <c r="R1138" s="165" t="s">
        <v>16</v>
      </c>
      <c r="S1138" s="165" t="s">
        <v>16</v>
      </c>
      <c r="T1138" s="165" t="s">
        <v>16</v>
      </c>
      <c r="U1138" s="165" t="s">
        <v>16</v>
      </c>
      <c r="V1138" s="165" t="s">
        <v>16</v>
      </c>
      <c r="W1138" s="165" t="s">
        <v>16</v>
      </c>
      <c r="X1138" s="165" t="s">
        <v>16</v>
      </c>
      <c r="Y1138" s="165" t="s">
        <v>16</v>
      </c>
      <c r="Z1138" s="165" t="s">
        <v>16</v>
      </c>
      <c r="AA1138" s="165" t="s">
        <v>16</v>
      </c>
      <c r="AB1138" s="165" t="s">
        <v>16</v>
      </c>
      <c r="AC1138" s="165" t="s">
        <v>16</v>
      </c>
      <c r="AD1138" s="165" t="s">
        <v>16</v>
      </c>
      <c r="AE1138" s="165"/>
      <c r="AF1138" s="165"/>
    </row>
    <row r="1139" spans="1:32" x14ac:dyDescent="0.3">
      <c r="A1139" s="165" t="s">
        <v>1832</v>
      </c>
      <c r="B1139" s="165" t="s">
        <v>14</v>
      </c>
      <c r="C1139" s="165" t="s">
        <v>1810</v>
      </c>
      <c r="D1139" s="165" t="s">
        <v>15</v>
      </c>
      <c r="E1139" s="157">
        <v>41454</v>
      </c>
      <c r="F1139" s="165" t="s">
        <v>16</v>
      </c>
      <c r="G1139" s="165" t="s">
        <v>16</v>
      </c>
      <c r="H1139" s="165" t="s">
        <v>16</v>
      </c>
      <c r="I1139" s="165" t="s">
        <v>16</v>
      </c>
      <c r="J1139" s="165" t="s">
        <v>16</v>
      </c>
      <c r="K1139" s="165" t="s">
        <v>16</v>
      </c>
      <c r="L1139" s="165" t="s">
        <v>16</v>
      </c>
      <c r="M1139" s="165" t="s">
        <v>148</v>
      </c>
      <c r="N1139" s="165" t="s">
        <v>16</v>
      </c>
      <c r="O1139" s="165" t="s">
        <v>16</v>
      </c>
      <c r="P1139" s="165" t="s">
        <v>148</v>
      </c>
      <c r="Q1139" s="165" t="s">
        <v>16</v>
      </c>
      <c r="R1139" s="165" t="s">
        <v>16</v>
      </c>
      <c r="S1139" s="165" t="s">
        <v>148</v>
      </c>
      <c r="T1139" s="165" t="s">
        <v>148</v>
      </c>
      <c r="U1139" s="165" t="s">
        <v>16</v>
      </c>
      <c r="V1139" s="165" t="s">
        <v>16</v>
      </c>
      <c r="W1139" s="165" t="s">
        <v>16</v>
      </c>
      <c r="X1139" s="165" t="s">
        <v>16</v>
      </c>
      <c r="Y1139" s="165" t="s">
        <v>16</v>
      </c>
      <c r="Z1139" s="165" t="s">
        <v>16</v>
      </c>
      <c r="AA1139" s="165" t="s">
        <v>16</v>
      </c>
      <c r="AB1139" s="165" t="s">
        <v>148</v>
      </c>
      <c r="AC1139" s="165" t="s">
        <v>16</v>
      </c>
      <c r="AD1139" s="165" t="s">
        <v>16</v>
      </c>
      <c r="AE1139" s="165" t="s">
        <v>1818</v>
      </c>
      <c r="AF1139" s="165"/>
    </row>
    <row r="1140" spans="1:32" x14ac:dyDescent="0.3">
      <c r="A1140" s="165" t="s">
        <v>1833</v>
      </c>
      <c r="B1140" s="165" t="s">
        <v>14</v>
      </c>
      <c r="C1140" s="165" t="s">
        <v>1810</v>
      </c>
      <c r="D1140" s="165" t="s">
        <v>15</v>
      </c>
      <c r="E1140" s="157">
        <v>41454</v>
      </c>
      <c r="F1140" s="165" t="s">
        <v>16</v>
      </c>
      <c r="G1140" s="165" t="s">
        <v>16</v>
      </c>
      <c r="H1140" s="165" t="s">
        <v>16</v>
      </c>
      <c r="I1140" s="165" t="s">
        <v>16</v>
      </c>
      <c r="J1140" s="165" t="s">
        <v>16</v>
      </c>
      <c r="K1140" s="165" t="s">
        <v>16</v>
      </c>
      <c r="L1140" s="165" t="s">
        <v>16</v>
      </c>
      <c r="M1140" s="165" t="s">
        <v>16</v>
      </c>
      <c r="N1140" s="165" t="s">
        <v>16</v>
      </c>
      <c r="O1140" s="165" t="s">
        <v>16</v>
      </c>
      <c r="P1140" s="165" t="s">
        <v>16</v>
      </c>
      <c r="Q1140" s="165" t="s">
        <v>16</v>
      </c>
      <c r="R1140" s="165" t="s">
        <v>16</v>
      </c>
      <c r="S1140" s="165" t="s">
        <v>16</v>
      </c>
      <c r="T1140" s="165" t="s">
        <v>16</v>
      </c>
      <c r="U1140" s="165" t="s">
        <v>16</v>
      </c>
      <c r="V1140" s="165" t="s">
        <v>16</v>
      </c>
      <c r="W1140" s="165" t="s">
        <v>16</v>
      </c>
      <c r="X1140" s="165" t="s">
        <v>16</v>
      </c>
      <c r="Y1140" s="165" t="s">
        <v>16</v>
      </c>
      <c r="Z1140" s="165" t="s">
        <v>16</v>
      </c>
      <c r="AA1140" s="165" t="s">
        <v>16</v>
      </c>
      <c r="AB1140" s="165" t="s">
        <v>16</v>
      </c>
      <c r="AC1140" s="165" t="s">
        <v>16</v>
      </c>
      <c r="AD1140" s="165" t="s">
        <v>16</v>
      </c>
      <c r="AE1140" s="165" t="s">
        <v>1815</v>
      </c>
      <c r="AF1140" s="165"/>
    </row>
    <row r="1141" spans="1:32" x14ac:dyDescent="0.3">
      <c r="A1141" s="165" t="s">
        <v>1834</v>
      </c>
      <c r="B1141" s="165" t="s">
        <v>14</v>
      </c>
      <c r="C1141" s="165" t="s">
        <v>1810</v>
      </c>
      <c r="D1141" s="165" t="s">
        <v>15</v>
      </c>
      <c r="E1141" s="157">
        <v>41454</v>
      </c>
      <c r="F1141" s="165" t="s">
        <v>16</v>
      </c>
      <c r="G1141" s="165" t="s">
        <v>148</v>
      </c>
      <c r="H1141" s="165" t="s">
        <v>148</v>
      </c>
      <c r="I1141" s="165" t="s">
        <v>148</v>
      </c>
      <c r="J1141" s="165" t="s">
        <v>148</v>
      </c>
      <c r="K1141" s="165" t="s">
        <v>16</v>
      </c>
      <c r="L1141" s="165" t="s">
        <v>148</v>
      </c>
      <c r="M1141" s="165" t="s">
        <v>150</v>
      </c>
      <c r="N1141" s="165" t="s">
        <v>148</v>
      </c>
      <c r="O1141" s="165" t="s">
        <v>148</v>
      </c>
      <c r="P1141" s="165" t="s">
        <v>148</v>
      </c>
      <c r="Q1141" s="165" t="s">
        <v>148</v>
      </c>
      <c r="R1141" s="165" t="s">
        <v>148</v>
      </c>
      <c r="S1141" s="165" t="s">
        <v>148</v>
      </c>
      <c r="T1141" s="165" t="s">
        <v>148</v>
      </c>
      <c r="U1141" s="165" t="s">
        <v>148</v>
      </c>
      <c r="V1141" s="165" t="s">
        <v>148</v>
      </c>
      <c r="W1141" s="165" t="s">
        <v>148</v>
      </c>
      <c r="X1141" s="165" t="s">
        <v>148</v>
      </c>
      <c r="Y1141" s="165" t="s">
        <v>148</v>
      </c>
      <c r="Z1141" s="165" t="s">
        <v>148</v>
      </c>
      <c r="AA1141" s="165" t="s">
        <v>148</v>
      </c>
      <c r="AB1141" s="165" t="s">
        <v>16</v>
      </c>
      <c r="AC1141" s="165" t="s">
        <v>148</v>
      </c>
      <c r="AD1141" s="165" t="s">
        <v>16</v>
      </c>
      <c r="AE1141" s="165" t="s">
        <v>1815</v>
      </c>
      <c r="AF1141" s="165"/>
    </row>
    <row r="1142" spans="1:32" x14ac:dyDescent="0.3">
      <c r="A1142" s="165" t="s">
        <v>1835</v>
      </c>
      <c r="B1142" s="165" t="s">
        <v>14</v>
      </c>
      <c r="C1142" s="165" t="s">
        <v>1810</v>
      </c>
      <c r="D1142" s="165" t="s">
        <v>15</v>
      </c>
      <c r="E1142" s="157">
        <v>41454</v>
      </c>
      <c r="F1142" s="165" t="s">
        <v>16</v>
      </c>
      <c r="G1142" s="165" t="s">
        <v>16</v>
      </c>
      <c r="H1142" s="165" t="s">
        <v>16</v>
      </c>
      <c r="I1142" s="165" t="s">
        <v>148</v>
      </c>
      <c r="J1142" s="165" t="s">
        <v>16</v>
      </c>
      <c r="K1142" s="165" t="s">
        <v>16</v>
      </c>
      <c r="L1142" s="165" t="s">
        <v>16</v>
      </c>
      <c r="M1142" s="165" t="s">
        <v>16</v>
      </c>
      <c r="N1142" s="165" t="s">
        <v>148</v>
      </c>
      <c r="O1142" s="165" t="s">
        <v>16</v>
      </c>
      <c r="P1142" s="165" t="s">
        <v>16</v>
      </c>
      <c r="Q1142" s="165" t="s">
        <v>16</v>
      </c>
      <c r="R1142" s="165" t="s">
        <v>148</v>
      </c>
      <c r="S1142" s="165" t="s">
        <v>16</v>
      </c>
      <c r="T1142" s="165" t="s">
        <v>16</v>
      </c>
      <c r="U1142" s="165" t="s">
        <v>148</v>
      </c>
      <c r="V1142" s="165" t="s">
        <v>16</v>
      </c>
      <c r="W1142" s="165" t="s">
        <v>16</v>
      </c>
      <c r="X1142" s="165" t="s">
        <v>16</v>
      </c>
      <c r="Y1142" s="165" t="s">
        <v>16</v>
      </c>
      <c r="Z1142" s="165" t="s">
        <v>16</v>
      </c>
      <c r="AA1142" s="165" t="s">
        <v>16</v>
      </c>
      <c r="AB1142" s="165" t="s">
        <v>148</v>
      </c>
      <c r="AC1142" s="165" t="s">
        <v>16</v>
      </c>
      <c r="AD1142" s="165" t="s">
        <v>16</v>
      </c>
      <c r="AE1142" s="165" t="s">
        <v>1818</v>
      </c>
      <c r="AF1142" s="165"/>
    </row>
    <row r="1143" spans="1:32" x14ac:dyDescent="0.3">
      <c r="A1143" s="165" t="s">
        <v>1836</v>
      </c>
      <c r="B1143" s="165" t="s">
        <v>14</v>
      </c>
      <c r="C1143" s="165" t="s">
        <v>1810</v>
      </c>
      <c r="D1143" s="165" t="s">
        <v>15</v>
      </c>
      <c r="E1143" s="157">
        <v>41454</v>
      </c>
      <c r="F1143" s="165" t="s">
        <v>16</v>
      </c>
      <c r="G1143" s="165" t="s">
        <v>16</v>
      </c>
      <c r="H1143" s="165" t="s">
        <v>16</v>
      </c>
      <c r="I1143" s="165" t="s">
        <v>16</v>
      </c>
      <c r="J1143" s="165" t="s">
        <v>16</v>
      </c>
      <c r="K1143" s="165" t="s">
        <v>16</v>
      </c>
      <c r="L1143" s="165" t="s">
        <v>16</v>
      </c>
      <c r="M1143" s="165" t="s">
        <v>16</v>
      </c>
      <c r="N1143" s="165" t="s">
        <v>16</v>
      </c>
      <c r="O1143" s="165" t="s">
        <v>16</v>
      </c>
      <c r="P1143" s="165" t="s">
        <v>16</v>
      </c>
      <c r="Q1143" s="165" t="s">
        <v>16</v>
      </c>
      <c r="R1143" s="165" t="s">
        <v>16</v>
      </c>
      <c r="S1143" s="165" t="s">
        <v>16</v>
      </c>
      <c r="T1143" s="165" t="s">
        <v>16</v>
      </c>
      <c r="U1143" s="165" t="s">
        <v>16</v>
      </c>
      <c r="V1143" s="165" t="s">
        <v>16</v>
      </c>
      <c r="W1143" s="165" t="s">
        <v>16</v>
      </c>
      <c r="X1143" s="165" t="s">
        <v>16</v>
      </c>
      <c r="Y1143" s="165" t="s">
        <v>16</v>
      </c>
      <c r="Z1143" s="165" t="s">
        <v>16</v>
      </c>
      <c r="AA1143" s="165" t="s">
        <v>16</v>
      </c>
      <c r="AB1143" s="165" t="s">
        <v>16</v>
      </c>
      <c r="AC1143" s="165" t="s">
        <v>16</v>
      </c>
      <c r="AD1143" s="165" t="s">
        <v>16</v>
      </c>
      <c r="AE1143" s="165" t="s">
        <v>1815</v>
      </c>
      <c r="AF1143" s="165"/>
    </row>
    <row r="1144" spans="1:32" x14ac:dyDescent="0.3">
      <c r="A1144" s="165" t="s">
        <v>1837</v>
      </c>
      <c r="B1144" s="165" t="s">
        <v>14</v>
      </c>
      <c r="C1144" s="165" t="s">
        <v>1810</v>
      </c>
      <c r="D1144" s="165" t="s">
        <v>15</v>
      </c>
      <c r="E1144" s="157">
        <v>41454</v>
      </c>
      <c r="F1144" s="165" t="s">
        <v>16</v>
      </c>
      <c r="G1144" s="165" t="s">
        <v>16</v>
      </c>
      <c r="H1144" s="165" t="s">
        <v>16</v>
      </c>
      <c r="I1144" s="165" t="s">
        <v>16</v>
      </c>
      <c r="J1144" s="165" t="s">
        <v>16</v>
      </c>
      <c r="K1144" s="165" t="s">
        <v>16</v>
      </c>
      <c r="L1144" s="165" t="s">
        <v>16</v>
      </c>
      <c r="M1144" s="165" t="s">
        <v>16</v>
      </c>
      <c r="N1144" s="165" t="s">
        <v>16</v>
      </c>
      <c r="O1144" s="165" t="s">
        <v>16</v>
      </c>
      <c r="P1144" s="165" t="s">
        <v>16</v>
      </c>
      <c r="Q1144" s="165" t="s">
        <v>149</v>
      </c>
      <c r="R1144" s="165" t="s">
        <v>16</v>
      </c>
      <c r="S1144" s="165" t="s">
        <v>16</v>
      </c>
      <c r="T1144" s="165" t="s">
        <v>16</v>
      </c>
      <c r="U1144" s="165" t="s">
        <v>16</v>
      </c>
      <c r="V1144" s="165" t="s">
        <v>148</v>
      </c>
      <c r="W1144" s="165" t="s">
        <v>16</v>
      </c>
      <c r="X1144" s="165" t="s">
        <v>16</v>
      </c>
      <c r="Y1144" s="165" t="s">
        <v>16</v>
      </c>
      <c r="Z1144" s="165" t="s">
        <v>16</v>
      </c>
      <c r="AA1144" s="165" t="s">
        <v>16</v>
      </c>
      <c r="AB1144" s="165" t="s">
        <v>16</v>
      </c>
      <c r="AC1144" s="165" t="s">
        <v>16</v>
      </c>
      <c r="AD1144" s="165" t="s">
        <v>16</v>
      </c>
      <c r="AE1144" s="165" t="s">
        <v>1811</v>
      </c>
      <c r="AF1144" s="165"/>
    </row>
    <row r="1145" spans="1:32" x14ac:dyDescent="0.3">
      <c r="A1145" s="165" t="s">
        <v>1838</v>
      </c>
      <c r="B1145" s="165" t="s">
        <v>14</v>
      </c>
      <c r="C1145" s="165" t="s">
        <v>1810</v>
      </c>
      <c r="D1145" s="165" t="s">
        <v>15</v>
      </c>
      <c r="E1145" s="157">
        <v>41454</v>
      </c>
      <c r="F1145" s="165" t="s">
        <v>16</v>
      </c>
      <c r="G1145" s="165" t="s">
        <v>16</v>
      </c>
      <c r="H1145" s="165" t="s">
        <v>16</v>
      </c>
      <c r="I1145" s="165" t="s">
        <v>16</v>
      </c>
      <c r="J1145" s="165" t="s">
        <v>16</v>
      </c>
      <c r="K1145" s="165" t="s">
        <v>16</v>
      </c>
      <c r="L1145" s="165" t="s">
        <v>16</v>
      </c>
      <c r="M1145" s="165" t="s">
        <v>148</v>
      </c>
      <c r="N1145" s="165" t="s">
        <v>16</v>
      </c>
      <c r="O1145" s="165" t="s">
        <v>16</v>
      </c>
      <c r="P1145" s="165" t="s">
        <v>16</v>
      </c>
      <c r="Q1145" s="165" t="s">
        <v>16</v>
      </c>
      <c r="R1145" s="165" t="s">
        <v>148</v>
      </c>
      <c r="S1145" s="165" t="s">
        <v>16</v>
      </c>
      <c r="T1145" s="165" t="s">
        <v>16</v>
      </c>
      <c r="U1145" s="165" t="s">
        <v>148</v>
      </c>
      <c r="V1145" s="165" t="s">
        <v>16</v>
      </c>
      <c r="W1145" s="165" t="s">
        <v>16</v>
      </c>
      <c r="X1145" s="165" t="s">
        <v>16</v>
      </c>
      <c r="Y1145" s="165" t="s">
        <v>16</v>
      </c>
      <c r="Z1145" s="165" t="s">
        <v>16</v>
      </c>
      <c r="AA1145" s="165" t="s">
        <v>16</v>
      </c>
      <c r="AB1145" s="165" t="s">
        <v>16</v>
      </c>
      <c r="AC1145" s="165" t="s">
        <v>16</v>
      </c>
      <c r="AD1145" s="165" t="s">
        <v>16</v>
      </c>
      <c r="AE1145" s="165" t="s">
        <v>1815</v>
      </c>
      <c r="AF1145" s="165"/>
    </row>
    <row r="1146" spans="1:32" x14ac:dyDescent="0.3">
      <c r="A1146" s="165" t="s">
        <v>1839</v>
      </c>
      <c r="B1146" s="165" t="s">
        <v>14</v>
      </c>
      <c r="C1146" s="165" t="s">
        <v>1810</v>
      </c>
      <c r="D1146" s="165" t="s">
        <v>15</v>
      </c>
      <c r="E1146" s="157">
        <v>41454</v>
      </c>
      <c r="F1146" s="165" t="s">
        <v>16</v>
      </c>
      <c r="G1146" s="165" t="s">
        <v>16</v>
      </c>
      <c r="H1146" s="165" t="s">
        <v>16</v>
      </c>
      <c r="I1146" s="165" t="s">
        <v>148</v>
      </c>
      <c r="J1146" s="165" t="s">
        <v>16</v>
      </c>
      <c r="K1146" s="165" t="s">
        <v>16</v>
      </c>
      <c r="L1146" s="165" t="s">
        <v>148</v>
      </c>
      <c r="M1146" s="165" t="s">
        <v>148</v>
      </c>
      <c r="N1146" s="165" t="s">
        <v>148</v>
      </c>
      <c r="O1146" s="165" t="s">
        <v>16</v>
      </c>
      <c r="P1146" s="165" t="s">
        <v>16</v>
      </c>
      <c r="Q1146" s="165" t="s">
        <v>148</v>
      </c>
      <c r="R1146" s="165" t="s">
        <v>148</v>
      </c>
      <c r="S1146" s="165" t="s">
        <v>16</v>
      </c>
      <c r="T1146" s="165" t="s">
        <v>16</v>
      </c>
      <c r="U1146" s="165" t="s">
        <v>148</v>
      </c>
      <c r="V1146" s="165" t="s">
        <v>148</v>
      </c>
      <c r="W1146" s="165" t="s">
        <v>16</v>
      </c>
      <c r="X1146" s="165" t="s">
        <v>16</v>
      </c>
      <c r="Y1146" s="165" t="s">
        <v>16</v>
      </c>
      <c r="Z1146" s="165" t="s">
        <v>16</v>
      </c>
      <c r="AA1146" s="165" t="s">
        <v>16</v>
      </c>
      <c r="AB1146" s="165" t="s">
        <v>16</v>
      </c>
      <c r="AC1146" s="165" t="s">
        <v>16</v>
      </c>
      <c r="AD1146" s="165" t="s">
        <v>16</v>
      </c>
      <c r="AE1146" s="165" t="s">
        <v>1818</v>
      </c>
      <c r="AF1146" s="165"/>
    </row>
    <row r="1147" spans="1:32" x14ac:dyDescent="0.3">
      <c r="A1147" s="165" t="s">
        <v>1840</v>
      </c>
      <c r="B1147" s="165" t="s">
        <v>14</v>
      </c>
      <c r="C1147" s="165" t="s">
        <v>1810</v>
      </c>
      <c r="D1147" s="165" t="s">
        <v>15</v>
      </c>
      <c r="E1147" s="157">
        <v>41454</v>
      </c>
      <c r="F1147" s="165" t="s">
        <v>16</v>
      </c>
      <c r="G1147" s="165" t="s">
        <v>16</v>
      </c>
      <c r="H1147" s="165" t="s">
        <v>16</v>
      </c>
      <c r="I1147" s="165" t="s">
        <v>16</v>
      </c>
      <c r="J1147" s="165" t="s">
        <v>148</v>
      </c>
      <c r="K1147" s="165" t="s">
        <v>16</v>
      </c>
      <c r="L1147" s="165" t="s">
        <v>16</v>
      </c>
      <c r="M1147" s="165" t="s">
        <v>16</v>
      </c>
      <c r="N1147" s="165" t="s">
        <v>148</v>
      </c>
      <c r="O1147" s="165" t="s">
        <v>16</v>
      </c>
      <c r="P1147" s="165" t="s">
        <v>16</v>
      </c>
      <c r="Q1147" s="165" t="s">
        <v>16</v>
      </c>
      <c r="R1147" s="165" t="s">
        <v>16</v>
      </c>
      <c r="S1147" s="165" t="s">
        <v>16</v>
      </c>
      <c r="T1147" s="165" t="s">
        <v>16</v>
      </c>
      <c r="U1147" s="165" t="s">
        <v>16</v>
      </c>
      <c r="V1147" s="165" t="s">
        <v>16</v>
      </c>
      <c r="W1147" s="165" t="s">
        <v>148</v>
      </c>
      <c r="X1147" s="165" t="s">
        <v>16</v>
      </c>
      <c r="Y1147" s="165" t="s">
        <v>16</v>
      </c>
      <c r="Z1147" s="165" t="s">
        <v>16</v>
      </c>
      <c r="AA1147" s="165" t="s">
        <v>16</v>
      </c>
      <c r="AB1147" s="165" t="s">
        <v>16</v>
      </c>
      <c r="AC1147" s="165" t="s">
        <v>16</v>
      </c>
      <c r="AD1147" s="165" t="s">
        <v>16</v>
      </c>
      <c r="AE1147" s="165" t="s">
        <v>1841</v>
      </c>
      <c r="AF1147" s="165"/>
    </row>
    <row r="1148" spans="1:32" x14ac:dyDescent="0.3">
      <c r="A1148" s="165" t="s">
        <v>1842</v>
      </c>
      <c r="B1148" s="165" t="s">
        <v>14</v>
      </c>
      <c r="C1148" s="165" t="s">
        <v>1810</v>
      </c>
      <c r="D1148" s="165" t="s">
        <v>15</v>
      </c>
      <c r="E1148" s="157">
        <v>41454</v>
      </c>
      <c r="F1148" s="165" t="s">
        <v>149</v>
      </c>
      <c r="G1148" s="165" t="s">
        <v>149</v>
      </c>
      <c r="H1148" s="165" t="s">
        <v>16</v>
      </c>
      <c r="I1148" s="165" t="s">
        <v>148</v>
      </c>
      <c r="J1148" s="165" t="s">
        <v>148</v>
      </c>
      <c r="K1148" s="165" t="s">
        <v>148</v>
      </c>
      <c r="L1148" s="165" t="s">
        <v>148</v>
      </c>
      <c r="M1148" s="165" t="s">
        <v>16</v>
      </c>
      <c r="N1148" s="165" t="s">
        <v>16</v>
      </c>
      <c r="O1148" s="165" t="s">
        <v>148</v>
      </c>
      <c r="P1148" s="165" t="s">
        <v>150</v>
      </c>
      <c r="Q1148" s="165" t="s">
        <v>148</v>
      </c>
      <c r="R1148" s="165" t="s">
        <v>148</v>
      </c>
      <c r="S1148" s="165" t="s">
        <v>150</v>
      </c>
      <c r="T1148" s="165" t="s">
        <v>148</v>
      </c>
      <c r="U1148" s="165" t="s">
        <v>16</v>
      </c>
      <c r="V1148" s="165" t="s">
        <v>16</v>
      </c>
      <c r="W1148" s="165" t="s">
        <v>16</v>
      </c>
      <c r="X1148" s="165" t="s">
        <v>150</v>
      </c>
      <c r="Y1148" s="165" t="s">
        <v>16</v>
      </c>
      <c r="Z1148" s="165" t="s">
        <v>149</v>
      </c>
      <c r="AA1148" s="165" t="s">
        <v>149</v>
      </c>
      <c r="AB1148" s="165" t="s">
        <v>148</v>
      </c>
      <c r="AC1148" s="165" t="s">
        <v>148</v>
      </c>
      <c r="AD1148" s="165" t="s">
        <v>16</v>
      </c>
      <c r="AE1148" s="165" t="s">
        <v>1815</v>
      </c>
      <c r="AF1148" s="165" t="s">
        <v>1843</v>
      </c>
    </row>
    <row r="1149" spans="1:32" x14ac:dyDescent="0.3">
      <c r="A1149" s="165" t="s">
        <v>1844</v>
      </c>
      <c r="B1149" s="165" t="s">
        <v>14</v>
      </c>
      <c r="C1149" s="165" t="s">
        <v>1810</v>
      </c>
      <c r="D1149" s="165" t="s">
        <v>15</v>
      </c>
      <c r="E1149" s="157">
        <v>41454</v>
      </c>
      <c r="F1149" s="165" t="s">
        <v>16</v>
      </c>
      <c r="G1149" s="165" t="s">
        <v>16</v>
      </c>
      <c r="H1149" s="165" t="s">
        <v>16</v>
      </c>
      <c r="I1149" s="165" t="s">
        <v>16</v>
      </c>
      <c r="J1149" s="165" t="s">
        <v>16</v>
      </c>
      <c r="K1149" s="165" t="s">
        <v>16</v>
      </c>
      <c r="L1149" s="165" t="s">
        <v>16</v>
      </c>
      <c r="M1149" s="165" t="s">
        <v>16</v>
      </c>
      <c r="N1149" s="165" t="s">
        <v>16</v>
      </c>
      <c r="O1149" s="165" t="s">
        <v>16</v>
      </c>
      <c r="P1149" s="165" t="s">
        <v>16</v>
      </c>
      <c r="Q1149" s="165" t="s">
        <v>16</v>
      </c>
      <c r="R1149" s="165" t="s">
        <v>16</v>
      </c>
      <c r="S1149" s="165" t="s">
        <v>16</v>
      </c>
      <c r="T1149" s="165" t="s">
        <v>16</v>
      </c>
      <c r="U1149" s="165" t="s">
        <v>16</v>
      </c>
      <c r="V1149" s="165" t="s">
        <v>16</v>
      </c>
      <c r="W1149" s="165" t="s">
        <v>16</v>
      </c>
      <c r="X1149" s="165" t="s">
        <v>16</v>
      </c>
      <c r="Y1149" s="165" t="s">
        <v>16</v>
      </c>
      <c r="Z1149" s="165" t="s">
        <v>16</v>
      </c>
      <c r="AA1149" s="165" t="s">
        <v>16</v>
      </c>
      <c r="AB1149" s="165" t="s">
        <v>16</v>
      </c>
      <c r="AC1149" s="165" t="s">
        <v>16</v>
      </c>
      <c r="AD1149" s="165" t="s">
        <v>16</v>
      </c>
      <c r="AE1149" s="165" t="s">
        <v>1818</v>
      </c>
      <c r="AF1149" s="165"/>
    </row>
    <row r="1150" spans="1:32" x14ac:dyDescent="0.3">
      <c r="A1150" s="165" t="s">
        <v>1845</v>
      </c>
      <c r="B1150" s="165" t="s">
        <v>14</v>
      </c>
      <c r="C1150" s="165" t="s">
        <v>1810</v>
      </c>
      <c r="D1150" s="165" t="s">
        <v>15</v>
      </c>
      <c r="E1150" s="157">
        <v>41454</v>
      </c>
      <c r="F1150" s="165" t="s">
        <v>16</v>
      </c>
      <c r="G1150" s="165" t="s">
        <v>16</v>
      </c>
      <c r="H1150" s="165" t="s">
        <v>16</v>
      </c>
      <c r="I1150" s="165" t="s">
        <v>16</v>
      </c>
      <c r="J1150" s="165" t="s">
        <v>16</v>
      </c>
      <c r="K1150" s="165" t="s">
        <v>149</v>
      </c>
      <c r="L1150" s="165" t="s">
        <v>149</v>
      </c>
      <c r="M1150" s="165" t="s">
        <v>148</v>
      </c>
      <c r="N1150" s="165" t="s">
        <v>148</v>
      </c>
      <c r="O1150" s="165" t="s">
        <v>151</v>
      </c>
      <c r="P1150" s="165" t="s">
        <v>16</v>
      </c>
      <c r="Q1150" s="165" t="s">
        <v>16</v>
      </c>
      <c r="R1150" s="165" t="s">
        <v>16</v>
      </c>
      <c r="S1150" s="165" t="s">
        <v>149</v>
      </c>
      <c r="T1150" s="165" t="s">
        <v>16</v>
      </c>
      <c r="U1150" s="165" t="s">
        <v>148</v>
      </c>
      <c r="V1150" s="165" t="s">
        <v>16</v>
      </c>
      <c r="W1150" s="165" t="s">
        <v>16</v>
      </c>
      <c r="X1150" s="165" t="s">
        <v>16</v>
      </c>
      <c r="Y1150" s="165" t="s">
        <v>16</v>
      </c>
      <c r="Z1150" s="165" t="s">
        <v>16</v>
      </c>
      <c r="AA1150" s="165" t="s">
        <v>16</v>
      </c>
      <c r="AB1150" s="165" t="s">
        <v>16</v>
      </c>
      <c r="AC1150" s="165" t="s">
        <v>16</v>
      </c>
      <c r="AD1150" s="165" t="s">
        <v>16</v>
      </c>
      <c r="AE1150" s="165" t="s">
        <v>1815</v>
      </c>
      <c r="AF1150" s="165"/>
    </row>
    <row r="1151" spans="1:32" x14ac:dyDescent="0.3">
      <c r="A1151" s="165" t="s">
        <v>1846</v>
      </c>
      <c r="B1151" s="165" t="s">
        <v>14</v>
      </c>
      <c r="C1151" s="165" t="s">
        <v>1810</v>
      </c>
      <c r="D1151" s="165" t="s">
        <v>15</v>
      </c>
      <c r="E1151" s="157">
        <v>41454</v>
      </c>
      <c r="F1151" s="165" t="s">
        <v>16</v>
      </c>
      <c r="G1151" s="165" t="s">
        <v>16</v>
      </c>
      <c r="H1151" s="165" t="s">
        <v>148</v>
      </c>
      <c r="I1151" s="165" t="s">
        <v>148</v>
      </c>
      <c r="J1151" s="165" t="s">
        <v>149</v>
      </c>
      <c r="K1151" s="165" t="s">
        <v>16</v>
      </c>
      <c r="L1151" s="165" t="s">
        <v>16</v>
      </c>
      <c r="M1151" s="165" t="s">
        <v>150</v>
      </c>
      <c r="N1151" s="165" t="s">
        <v>149</v>
      </c>
      <c r="O1151" s="165" t="s">
        <v>148</v>
      </c>
      <c r="P1151" s="165" t="s">
        <v>16</v>
      </c>
      <c r="Q1151" s="165" t="s">
        <v>149</v>
      </c>
      <c r="R1151" s="165" t="s">
        <v>16</v>
      </c>
      <c r="S1151" s="165" t="s">
        <v>148</v>
      </c>
      <c r="T1151" s="165" t="s">
        <v>16</v>
      </c>
      <c r="U1151" s="165" t="s">
        <v>148</v>
      </c>
      <c r="V1151" s="165" t="s">
        <v>16</v>
      </c>
      <c r="W1151" s="165" t="s">
        <v>16</v>
      </c>
      <c r="X1151" s="165" t="s">
        <v>16</v>
      </c>
      <c r="Y1151" s="165" t="s">
        <v>16</v>
      </c>
      <c r="Z1151" s="165" t="s">
        <v>148</v>
      </c>
      <c r="AA1151" s="165" t="s">
        <v>148</v>
      </c>
      <c r="AB1151" s="165" t="s">
        <v>16</v>
      </c>
      <c r="AC1151" s="165" t="s">
        <v>16</v>
      </c>
      <c r="AD1151" s="165" t="s">
        <v>16</v>
      </c>
      <c r="AE1151" s="165" t="s">
        <v>1815</v>
      </c>
      <c r="AF1151" s="165"/>
    </row>
    <row r="1154" spans="1:32" x14ac:dyDescent="0.3">
      <c r="A1154" s="165"/>
      <c r="B1154" s="165"/>
      <c r="C1154" s="165"/>
      <c r="D1154" s="165"/>
      <c r="E1154" s="165"/>
      <c r="F1154" s="165" t="s">
        <v>124</v>
      </c>
      <c r="G1154" s="165" t="s">
        <v>125</v>
      </c>
      <c r="H1154" s="165" t="s">
        <v>126</v>
      </c>
      <c r="I1154" s="165" t="s">
        <v>127</v>
      </c>
      <c r="J1154" s="165" t="s">
        <v>214</v>
      </c>
      <c r="K1154" s="165" t="s">
        <v>128</v>
      </c>
      <c r="L1154" s="165" t="s">
        <v>129</v>
      </c>
      <c r="M1154" s="165" t="s">
        <v>130</v>
      </c>
      <c r="N1154" s="165" t="s">
        <v>131</v>
      </c>
      <c r="O1154" s="165" t="s">
        <v>132</v>
      </c>
      <c r="P1154" s="165" t="s">
        <v>133</v>
      </c>
      <c r="Q1154" s="165" t="s">
        <v>134</v>
      </c>
      <c r="R1154" s="165" t="s">
        <v>135</v>
      </c>
      <c r="S1154" s="165" t="s">
        <v>136</v>
      </c>
      <c r="T1154" s="165" t="s">
        <v>137</v>
      </c>
      <c r="U1154" s="165" t="s">
        <v>138</v>
      </c>
      <c r="V1154" s="165" t="s">
        <v>139</v>
      </c>
      <c r="W1154" s="165" t="s">
        <v>140</v>
      </c>
      <c r="X1154" s="165" t="s">
        <v>186</v>
      </c>
      <c r="Y1154" s="165" t="s">
        <v>209</v>
      </c>
      <c r="Z1154" s="165" t="s">
        <v>141</v>
      </c>
      <c r="AA1154" s="165" t="s">
        <v>142</v>
      </c>
      <c r="AB1154" s="165" t="s">
        <v>210</v>
      </c>
      <c r="AC1154" s="165" t="s">
        <v>1180</v>
      </c>
      <c r="AD1154" s="165" t="s">
        <v>144</v>
      </c>
      <c r="AE1154" s="165" t="s">
        <v>1847</v>
      </c>
      <c r="AF1154" s="165" t="s">
        <v>190</v>
      </c>
    </row>
    <row r="1155" spans="1:32" x14ac:dyDescent="0.3">
      <c r="A1155" s="165" t="s">
        <v>1848</v>
      </c>
      <c r="B1155" s="165" t="s">
        <v>14</v>
      </c>
      <c r="C1155" s="165" t="s">
        <v>1849</v>
      </c>
      <c r="D1155" s="165" t="s">
        <v>15</v>
      </c>
      <c r="E1155" s="157">
        <v>41485</v>
      </c>
      <c r="F1155" s="165" t="s">
        <v>151</v>
      </c>
      <c r="G1155" s="165" t="s">
        <v>149</v>
      </c>
      <c r="H1155" s="165" t="s">
        <v>149</v>
      </c>
      <c r="I1155" s="165" t="s">
        <v>148</v>
      </c>
      <c r="J1155" s="165" t="s">
        <v>16</v>
      </c>
      <c r="K1155" s="165" t="s">
        <v>149</v>
      </c>
      <c r="L1155" s="165" t="s">
        <v>149</v>
      </c>
      <c r="M1155" s="165" t="s">
        <v>16</v>
      </c>
      <c r="N1155" s="165" t="s">
        <v>148</v>
      </c>
      <c r="O1155" s="165" t="s">
        <v>149</v>
      </c>
      <c r="P1155" s="165" t="s">
        <v>148</v>
      </c>
      <c r="Q1155" s="165" t="s">
        <v>16</v>
      </c>
      <c r="R1155" s="165" t="s">
        <v>151</v>
      </c>
      <c r="S1155" s="165" t="s">
        <v>149</v>
      </c>
      <c r="T1155" s="165" t="s">
        <v>148</v>
      </c>
      <c r="U1155" s="165" t="s">
        <v>149</v>
      </c>
      <c r="V1155" s="165" t="s">
        <v>16</v>
      </c>
      <c r="W1155" s="165" t="s">
        <v>148</v>
      </c>
      <c r="X1155" s="165" t="s">
        <v>16</v>
      </c>
      <c r="Y1155" s="165" t="s">
        <v>16</v>
      </c>
      <c r="Z1155" s="165" t="s">
        <v>149</v>
      </c>
      <c r="AA1155" s="165" t="s">
        <v>16</v>
      </c>
      <c r="AB1155" s="165" t="s">
        <v>16</v>
      </c>
      <c r="AC1155" s="165" t="s">
        <v>148</v>
      </c>
      <c r="AD1155" s="165" t="s">
        <v>16</v>
      </c>
      <c r="AE1155" s="165" t="s">
        <v>1850</v>
      </c>
      <c r="AF1155" s="165"/>
    </row>
    <row r="1156" spans="1:32" x14ac:dyDescent="0.3">
      <c r="A1156" s="165" t="s">
        <v>1851</v>
      </c>
      <c r="B1156" s="165" t="s">
        <v>14</v>
      </c>
      <c r="C1156" s="165" t="s">
        <v>1849</v>
      </c>
      <c r="D1156" s="165" t="s">
        <v>15</v>
      </c>
      <c r="E1156" s="157">
        <v>41485</v>
      </c>
      <c r="F1156" s="165" t="s">
        <v>16</v>
      </c>
      <c r="G1156" s="165" t="s">
        <v>16</v>
      </c>
      <c r="H1156" s="165" t="s">
        <v>148</v>
      </c>
      <c r="I1156" s="165" t="s">
        <v>148</v>
      </c>
      <c r="J1156" s="165" t="s">
        <v>148</v>
      </c>
      <c r="K1156" s="165" t="s">
        <v>16</v>
      </c>
      <c r="L1156" s="165" t="s">
        <v>148</v>
      </c>
      <c r="M1156" s="165" t="s">
        <v>148</v>
      </c>
      <c r="N1156" s="165" t="s">
        <v>148</v>
      </c>
      <c r="O1156" s="165" t="s">
        <v>148</v>
      </c>
      <c r="P1156" s="165" t="s">
        <v>148</v>
      </c>
      <c r="Q1156" s="165" t="s">
        <v>16</v>
      </c>
      <c r="R1156" s="165" t="s">
        <v>148</v>
      </c>
      <c r="S1156" s="165" t="s">
        <v>148</v>
      </c>
      <c r="T1156" s="165" t="s">
        <v>148</v>
      </c>
      <c r="U1156" s="165" t="s">
        <v>148</v>
      </c>
      <c r="V1156" s="165" t="s">
        <v>148</v>
      </c>
      <c r="W1156" s="165" t="s">
        <v>16</v>
      </c>
      <c r="X1156" s="165" t="s">
        <v>148</v>
      </c>
      <c r="Y1156" s="165" t="s">
        <v>114</v>
      </c>
      <c r="Z1156" s="165" t="s">
        <v>148</v>
      </c>
      <c r="AA1156" s="165" t="s">
        <v>148</v>
      </c>
      <c r="AB1156" s="165" t="s">
        <v>16</v>
      </c>
      <c r="AC1156" s="165" t="s">
        <v>148</v>
      </c>
      <c r="AD1156" s="165" t="s">
        <v>148</v>
      </c>
      <c r="AE1156" s="165" t="s">
        <v>1852</v>
      </c>
      <c r="AF1156" s="165" t="s">
        <v>1853</v>
      </c>
    </row>
    <row r="1157" spans="1:32" x14ac:dyDescent="0.3">
      <c r="A1157" s="165" t="s">
        <v>1854</v>
      </c>
      <c r="B1157" s="165" t="s">
        <v>14</v>
      </c>
      <c r="C1157" s="165" t="s">
        <v>1849</v>
      </c>
      <c r="D1157" s="165" t="s">
        <v>15</v>
      </c>
      <c r="E1157" s="157">
        <v>41485</v>
      </c>
      <c r="F1157" s="165" t="s">
        <v>149</v>
      </c>
      <c r="G1157" s="165" t="s">
        <v>149</v>
      </c>
      <c r="H1157" s="165" t="s">
        <v>149</v>
      </c>
      <c r="I1157" s="165" t="s">
        <v>149</v>
      </c>
      <c r="J1157" s="165" t="s">
        <v>149</v>
      </c>
      <c r="K1157" s="165" t="s">
        <v>149</v>
      </c>
      <c r="L1157" s="165" t="s">
        <v>149</v>
      </c>
      <c r="M1157" s="165" t="s">
        <v>151</v>
      </c>
      <c r="N1157" s="165" t="s">
        <v>149</v>
      </c>
      <c r="O1157" s="165" t="s">
        <v>148</v>
      </c>
      <c r="P1157" s="165" t="s">
        <v>149</v>
      </c>
      <c r="Q1157" s="165" t="s">
        <v>149</v>
      </c>
      <c r="R1157" s="165" t="s">
        <v>149</v>
      </c>
      <c r="S1157" s="165" t="s">
        <v>149</v>
      </c>
      <c r="T1157" s="165" t="s">
        <v>149</v>
      </c>
      <c r="U1157" s="165" t="s">
        <v>151</v>
      </c>
      <c r="V1157" s="165" t="s">
        <v>149</v>
      </c>
      <c r="W1157" s="165" t="s">
        <v>149</v>
      </c>
      <c r="X1157" s="165" t="s">
        <v>16</v>
      </c>
      <c r="Y1157" s="165" t="s">
        <v>149</v>
      </c>
      <c r="Z1157" s="165" t="s">
        <v>149</v>
      </c>
      <c r="AA1157" s="165" t="s">
        <v>149</v>
      </c>
      <c r="AB1157" s="165" t="s">
        <v>148</v>
      </c>
      <c r="AC1157" s="165" t="s">
        <v>148</v>
      </c>
      <c r="AD1157" s="165" t="s">
        <v>148</v>
      </c>
      <c r="AE1157" s="165" t="s">
        <v>1855</v>
      </c>
      <c r="AF1157" s="165"/>
    </row>
    <row r="1158" spans="1:32" x14ac:dyDescent="0.3">
      <c r="A1158" s="165" t="s">
        <v>1856</v>
      </c>
      <c r="B1158" s="165" t="s">
        <v>14</v>
      </c>
      <c r="C1158" s="165" t="s">
        <v>1849</v>
      </c>
      <c r="D1158" s="165" t="s">
        <v>15</v>
      </c>
      <c r="E1158" s="157">
        <v>41485</v>
      </c>
      <c r="F1158" s="165" t="s">
        <v>16</v>
      </c>
      <c r="G1158" s="165" t="s">
        <v>16</v>
      </c>
      <c r="H1158" s="165" t="s">
        <v>148</v>
      </c>
      <c r="I1158" s="165" t="s">
        <v>16</v>
      </c>
      <c r="J1158" s="165" t="s">
        <v>16</v>
      </c>
      <c r="K1158" s="165" t="s">
        <v>16</v>
      </c>
      <c r="L1158" s="165" t="s">
        <v>148</v>
      </c>
      <c r="M1158" s="165" t="s">
        <v>16</v>
      </c>
      <c r="N1158" s="165" t="s">
        <v>16</v>
      </c>
      <c r="O1158" s="165" t="s">
        <v>16</v>
      </c>
      <c r="P1158" s="165" t="s">
        <v>16</v>
      </c>
      <c r="Q1158" s="165" t="s">
        <v>16</v>
      </c>
      <c r="R1158" s="165" t="s">
        <v>16</v>
      </c>
      <c r="S1158" s="165" t="s">
        <v>16</v>
      </c>
      <c r="T1158" s="165" t="s">
        <v>16</v>
      </c>
      <c r="U1158" s="165" t="s">
        <v>16</v>
      </c>
      <c r="V1158" s="165" t="s">
        <v>16</v>
      </c>
      <c r="W1158" s="165" t="s">
        <v>16</v>
      </c>
      <c r="X1158" s="165" t="s">
        <v>16</v>
      </c>
      <c r="Y1158" s="165" t="s">
        <v>16</v>
      </c>
      <c r="Z1158" s="165" t="s">
        <v>16</v>
      </c>
      <c r="AA1158" s="165" t="s">
        <v>16</v>
      </c>
      <c r="AB1158" s="165" t="s">
        <v>16</v>
      </c>
      <c r="AC1158" s="165" t="s">
        <v>16</v>
      </c>
      <c r="AD1158" s="165" t="s">
        <v>16</v>
      </c>
      <c r="AE1158" s="165" t="s">
        <v>1855</v>
      </c>
      <c r="AF1158" s="165"/>
    </row>
    <row r="1159" spans="1:32" x14ac:dyDescent="0.3">
      <c r="A1159" s="165" t="s">
        <v>1857</v>
      </c>
      <c r="B1159" s="165" t="s">
        <v>14</v>
      </c>
      <c r="C1159" s="165" t="s">
        <v>1849</v>
      </c>
      <c r="D1159" s="165" t="s">
        <v>15</v>
      </c>
      <c r="E1159" s="157">
        <v>41485</v>
      </c>
      <c r="F1159" s="165" t="s">
        <v>16</v>
      </c>
      <c r="G1159" s="165" t="s">
        <v>16</v>
      </c>
      <c r="H1159" s="165" t="s">
        <v>16</v>
      </c>
      <c r="I1159" s="165" t="s">
        <v>16</v>
      </c>
      <c r="J1159" s="165" t="s">
        <v>148</v>
      </c>
      <c r="K1159" s="165" t="s">
        <v>16</v>
      </c>
      <c r="L1159" s="165" t="s">
        <v>16</v>
      </c>
      <c r="M1159" s="165" t="s">
        <v>16</v>
      </c>
      <c r="N1159" s="165" t="s">
        <v>148</v>
      </c>
      <c r="O1159" s="165" t="s">
        <v>148</v>
      </c>
      <c r="P1159" s="165" t="s">
        <v>148</v>
      </c>
      <c r="Q1159" s="165" t="s">
        <v>16</v>
      </c>
      <c r="R1159" s="165" t="s">
        <v>16</v>
      </c>
      <c r="S1159" s="165" t="s">
        <v>148</v>
      </c>
      <c r="T1159" s="165" t="s">
        <v>16</v>
      </c>
      <c r="U1159" s="165" t="s">
        <v>16</v>
      </c>
      <c r="V1159" s="165" t="s">
        <v>16</v>
      </c>
      <c r="W1159" s="165" t="s">
        <v>16</v>
      </c>
      <c r="X1159" s="165" t="s">
        <v>16</v>
      </c>
      <c r="Y1159" s="165" t="s">
        <v>16</v>
      </c>
      <c r="Z1159" s="165" t="s">
        <v>16</v>
      </c>
      <c r="AA1159" s="165" t="s">
        <v>16</v>
      </c>
      <c r="AB1159" s="165" t="s">
        <v>16</v>
      </c>
      <c r="AC1159" s="165" t="s">
        <v>16</v>
      </c>
      <c r="AD1159" s="165" t="s">
        <v>16</v>
      </c>
      <c r="AE1159" s="165" t="s">
        <v>1855</v>
      </c>
      <c r="AF1159" s="165"/>
    </row>
    <row r="1160" spans="1:32" x14ac:dyDescent="0.3">
      <c r="A1160" s="165" t="s">
        <v>1858</v>
      </c>
      <c r="B1160" s="165" t="s">
        <v>14</v>
      </c>
      <c r="C1160" s="165" t="s">
        <v>1849</v>
      </c>
      <c r="D1160" s="165" t="s">
        <v>15</v>
      </c>
      <c r="E1160" s="157">
        <v>41485</v>
      </c>
      <c r="F1160" s="165" t="s">
        <v>16</v>
      </c>
      <c r="G1160" s="165" t="s">
        <v>16</v>
      </c>
      <c r="H1160" s="165" t="s">
        <v>16</v>
      </c>
      <c r="I1160" s="165" t="s">
        <v>16</v>
      </c>
      <c r="J1160" s="165" t="s">
        <v>16</v>
      </c>
      <c r="K1160" s="165" t="s">
        <v>16</v>
      </c>
      <c r="L1160" s="165" t="s">
        <v>148</v>
      </c>
      <c r="M1160" s="165" t="s">
        <v>16</v>
      </c>
      <c r="N1160" s="165" t="s">
        <v>16</v>
      </c>
      <c r="O1160" s="165" t="s">
        <v>16</v>
      </c>
      <c r="P1160" s="165" t="s">
        <v>16</v>
      </c>
      <c r="Q1160" s="165" t="s">
        <v>16</v>
      </c>
      <c r="R1160" s="165" t="s">
        <v>148</v>
      </c>
      <c r="S1160" s="165" t="s">
        <v>16</v>
      </c>
      <c r="T1160" s="165" t="s">
        <v>148</v>
      </c>
      <c r="U1160" s="165" t="s">
        <v>148</v>
      </c>
      <c r="V1160" s="165" t="s">
        <v>16</v>
      </c>
      <c r="W1160" s="165" t="s">
        <v>16</v>
      </c>
      <c r="X1160" s="165" t="s">
        <v>16</v>
      </c>
      <c r="Y1160" s="165" t="s">
        <v>16</v>
      </c>
      <c r="Z1160" s="165" t="s">
        <v>16</v>
      </c>
      <c r="AA1160" s="165" t="s">
        <v>16</v>
      </c>
      <c r="AB1160" s="165" t="s">
        <v>16</v>
      </c>
      <c r="AC1160" s="165" t="s">
        <v>16</v>
      </c>
      <c r="AD1160" s="165" t="s">
        <v>16</v>
      </c>
      <c r="AE1160" s="165" t="s">
        <v>1859</v>
      </c>
      <c r="AF1160" s="165"/>
    </row>
    <row r="1161" spans="1:32" x14ac:dyDescent="0.3">
      <c r="A1161" s="165" t="s">
        <v>1860</v>
      </c>
      <c r="B1161" s="165" t="s">
        <v>14</v>
      </c>
      <c r="C1161" s="165" t="s">
        <v>1849</v>
      </c>
      <c r="D1161" s="165" t="s">
        <v>15</v>
      </c>
      <c r="E1161" s="157">
        <v>41485</v>
      </c>
      <c r="F1161" s="165" t="s">
        <v>16</v>
      </c>
      <c r="G1161" s="165" t="s">
        <v>16</v>
      </c>
      <c r="H1161" s="165" t="s">
        <v>16</v>
      </c>
      <c r="I1161" s="165" t="s">
        <v>16</v>
      </c>
      <c r="J1161" s="165" t="s">
        <v>114</v>
      </c>
      <c r="K1161" s="165" t="s">
        <v>16</v>
      </c>
      <c r="L1161" s="165" t="s">
        <v>16</v>
      </c>
      <c r="M1161" s="165" t="s">
        <v>16</v>
      </c>
      <c r="N1161" s="165" t="s">
        <v>148</v>
      </c>
      <c r="O1161" s="165" t="s">
        <v>16</v>
      </c>
      <c r="P1161" s="165" t="s">
        <v>16</v>
      </c>
      <c r="Q1161" s="165" t="s">
        <v>16</v>
      </c>
      <c r="R1161" s="165" t="s">
        <v>16</v>
      </c>
      <c r="S1161" s="165" t="s">
        <v>148</v>
      </c>
      <c r="T1161" s="165" t="s">
        <v>16</v>
      </c>
      <c r="U1161" s="165" t="s">
        <v>148</v>
      </c>
      <c r="V1161" s="165" t="s">
        <v>16</v>
      </c>
      <c r="W1161" s="165" t="s">
        <v>16</v>
      </c>
      <c r="X1161" s="165" t="s">
        <v>16</v>
      </c>
      <c r="Y1161" s="165" t="s">
        <v>16</v>
      </c>
      <c r="Z1161" s="165" t="s">
        <v>16</v>
      </c>
      <c r="AA1161" s="165" t="s">
        <v>148</v>
      </c>
      <c r="AB1161" s="165" t="s">
        <v>148</v>
      </c>
      <c r="AC1161" s="165" t="s">
        <v>148</v>
      </c>
      <c r="AD1161" s="165" t="s">
        <v>16</v>
      </c>
      <c r="AE1161" s="165" t="s">
        <v>1861</v>
      </c>
      <c r="AF1161" s="165"/>
    </row>
    <row r="1162" spans="1:32" x14ac:dyDescent="0.3">
      <c r="A1162" s="165" t="s">
        <v>1862</v>
      </c>
      <c r="B1162" s="165" t="s">
        <v>14</v>
      </c>
      <c r="C1162" s="165" t="s">
        <v>1849</v>
      </c>
      <c r="D1162" s="165" t="s">
        <v>15</v>
      </c>
      <c r="E1162" s="157">
        <v>41485</v>
      </c>
      <c r="F1162" s="165" t="s">
        <v>16</v>
      </c>
      <c r="G1162" s="165" t="s">
        <v>16</v>
      </c>
      <c r="H1162" s="165" t="s">
        <v>16</v>
      </c>
      <c r="I1162" s="165" t="s">
        <v>148</v>
      </c>
      <c r="J1162" s="165" t="s">
        <v>16</v>
      </c>
      <c r="K1162" s="165" t="s">
        <v>16</v>
      </c>
      <c r="L1162" s="165" t="s">
        <v>16</v>
      </c>
      <c r="M1162" s="165" t="s">
        <v>16</v>
      </c>
      <c r="N1162" s="165" t="s">
        <v>148</v>
      </c>
      <c r="O1162" s="165" t="s">
        <v>16</v>
      </c>
      <c r="P1162" s="165" t="s">
        <v>16</v>
      </c>
      <c r="Q1162" s="165" t="s">
        <v>16</v>
      </c>
      <c r="R1162" s="165" t="s">
        <v>16</v>
      </c>
      <c r="S1162" s="165" t="s">
        <v>16</v>
      </c>
      <c r="T1162" s="165" t="s">
        <v>16</v>
      </c>
      <c r="U1162" s="165" t="s">
        <v>16</v>
      </c>
      <c r="V1162" s="165" t="s">
        <v>16</v>
      </c>
      <c r="W1162" s="165" t="s">
        <v>148</v>
      </c>
      <c r="X1162" s="165" t="s">
        <v>16</v>
      </c>
      <c r="Y1162" s="165" t="s">
        <v>16</v>
      </c>
      <c r="Z1162" s="165" t="s">
        <v>148</v>
      </c>
      <c r="AA1162" s="165" t="s">
        <v>16</v>
      </c>
      <c r="AB1162" s="165" t="s">
        <v>148</v>
      </c>
      <c r="AC1162" s="165" t="s">
        <v>16</v>
      </c>
      <c r="AD1162" s="165" t="s">
        <v>16</v>
      </c>
      <c r="AE1162" s="165" t="s">
        <v>1850</v>
      </c>
      <c r="AF1162" s="165" t="s">
        <v>1863</v>
      </c>
    </row>
    <row r="1163" spans="1:32" x14ac:dyDescent="0.3">
      <c r="A1163" s="165" t="s">
        <v>1864</v>
      </c>
      <c r="B1163" s="165" t="s">
        <v>14</v>
      </c>
      <c r="C1163" s="165" t="s">
        <v>1849</v>
      </c>
      <c r="D1163" s="165" t="s">
        <v>15</v>
      </c>
      <c r="E1163" s="157">
        <v>41485</v>
      </c>
      <c r="F1163" s="165" t="s">
        <v>16</v>
      </c>
      <c r="G1163" s="165" t="s">
        <v>148</v>
      </c>
      <c r="H1163" s="165" t="s">
        <v>148</v>
      </c>
      <c r="I1163" s="165" t="s">
        <v>16</v>
      </c>
      <c r="J1163" s="165" t="s">
        <v>148</v>
      </c>
      <c r="K1163" s="165" t="s">
        <v>148</v>
      </c>
      <c r="L1163" s="165" t="s">
        <v>148</v>
      </c>
      <c r="M1163" s="165" t="s">
        <v>148</v>
      </c>
      <c r="N1163" s="165" t="s">
        <v>148</v>
      </c>
      <c r="O1163" s="165" t="s">
        <v>16</v>
      </c>
      <c r="P1163" s="165" t="s">
        <v>16</v>
      </c>
      <c r="Q1163" s="165" t="s">
        <v>16</v>
      </c>
      <c r="R1163" s="165" t="s">
        <v>148</v>
      </c>
      <c r="S1163" s="165" t="s">
        <v>148</v>
      </c>
      <c r="T1163" s="165" t="s">
        <v>148</v>
      </c>
      <c r="U1163" s="165" t="s">
        <v>16</v>
      </c>
      <c r="V1163" s="165" t="s">
        <v>148</v>
      </c>
      <c r="W1163" s="165" t="s">
        <v>148</v>
      </c>
      <c r="X1163" s="165" t="s">
        <v>16</v>
      </c>
      <c r="Y1163" s="165" t="s">
        <v>148</v>
      </c>
      <c r="Z1163" s="165" t="s">
        <v>16</v>
      </c>
      <c r="AA1163" s="165" t="s">
        <v>16</v>
      </c>
      <c r="AB1163" s="165" t="s">
        <v>16</v>
      </c>
      <c r="AC1163" s="165" t="s">
        <v>150</v>
      </c>
      <c r="AD1163" s="165" t="s">
        <v>16</v>
      </c>
      <c r="AE1163" s="165" t="s">
        <v>1855</v>
      </c>
      <c r="AF1163" s="165"/>
    </row>
    <row r="1164" spans="1:32" x14ac:dyDescent="0.3">
      <c r="A1164" s="165" t="s">
        <v>1865</v>
      </c>
      <c r="B1164" s="165" t="s">
        <v>14</v>
      </c>
      <c r="C1164" s="165" t="s">
        <v>1849</v>
      </c>
      <c r="D1164" s="165" t="s">
        <v>15</v>
      </c>
      <c r="E1164" s="157">
        <v>41485</v>
      </c>
      <c r="F1164" s="165" t="s">
        <v>16</v>
      </c>
      <c r="G1164" s="165" t="s">
        <v>16</v>
      </c>
      <c r="H1164" s="165" t="s">
        <v>16</v>
      </c>
      <c r="I1164" s="165" t="s">
        <v>16</v>
      </c>
      <c r="J1164" s="165" t="s">
        <v>16</v>
      </c>
      <c r="K1164" s="165" t="s">
        <v>16</v>
      </c>
      <c r="L1164" s="165" t="s">
        <v>16</v>
      </c>
      <c r="M1164" s="165" t="s">
        <v>16</v>
      </c>
      <c r="N1164" s="165" t="s">
        <v>16</v>
      </c>
      <c r="O1164" s="165" t="s">
        <v>16</v>
      </c>
      <c r="P1164" s="165" t="s">
        <v>16</v>
      </c>
      <c r="Q1164" s="165" t="s">
        <v>16</v>
      </c>
      <c r="R1164" s="165" t="s">
        <v>16</v>
      </c>
      <c r="S1164" s="165" t="s">
        <v>16</v>
      </c>
      <c r="T1164" s="165" t="s">
        <v>16</v>
      </c>
      <c r="U1164" s="165" t="s">
        <v>16</v>
      </c>
      <c r="V1164" s="165" t="s">
        <v>16</v>
      </c>
      <c r="W1164" s="165" t="s">
        <v>16</v>
      </c>
      <c r="X1164" s="165" t="s">
        <v>16</v>
      </c>
      <c r="Y1164" s="165" t="s">
        <v>16</v>
      </c>
      <c r="Z1164" s="165" t="s">
        <v>16</v>
      </c>
      <c r="AA1164" s="165" t="s">
        <v>16</v>
      </c>
      <c r="AB1164" s="165" t="s">
        <v>16</v>
      </c>
      <c r="AC1164" s="165" t="s">
        <v>16</v>
      </c>
      <c r="AD1164" s="165" t="s">
        <v>16</v>
      </c>
      <c r="AE1164" s="165" t="s">
        <v>1866</v>
      </c>
      <c r="AF1164" s="165"/>
    </row>
    <row r="1165" spans="1:32" x14ac:dyDescent="0.3">
      <c r="A1165" s="165" t="s">
        <v>1867</v>
      </c>
      <c r="B1165" s="165" t="s">
        <v>14</v>
      </c>
      <c r="C1165" s="165" t="s">
        <v>1849</v>
      </c>
      <c r="D1165" s="165" t="s">
        <v>15</v>
      </c>
      <c r="E1165" s="157">
        <v>41485</v>
      </c>
      <c r="F1165" s="165" t="s">
        <v>16</v>
      </c>
      <c r="G1165" s="165" t="s">
        <v>16</v>
      </c>
      <c r="H1165" s="165" t="s">
        <v>16</v>
      </c>
      <c r="I1165" s="165" t="s">
        <v>148</v>
      </c>
      <c r="J1165" s="165" t="s">
        <v>148</v>
      </c>
      <c r="K1165" s="165" t="s">
        <v>16</v>
      </c>
      <c r="L1165" s="165" t="s">
        <v>16</v>
      </c>
      <c r="M1165" s="165" t="s">
        <v>16</v>
      </c>
      <c r="N1165" s="165" t="s">
        <v>148</v>
      </c>
      <c r="O1165" s="165" t="s">
        <v>148</v>
      </c>
      <c r="P1165" s="165" t="s">
        <v>148</v>
      </c>
      <c r="Q1165" s="165" t="s">
        <v>16</v>
      </c>
      <c r="R1165" s="165" t="s">
        <v>16</v>
      </c>
      <c r="S1165" s="165" t="s">
        <v>148</v>
      </c>
      <c r="T1165" s="165" t="s">
        <v>16</v>
      </c>
      <c r="U1165" s="165" t="s">
        <v>148</v>
      </c>
      <c r="V1165" s="165" t="s">
        <v>148</v>
      </c>
      <c r="W1165" s="165" t="s">
        <v>16</v>
      </c>
      <c r="X1165" s="165" t="s">
        <v>16</v>
      </c>
      <c r="Y1165" s="165" t="s">
        <v>16</v>
      </c>
      <c r="Z1165" s="165" t="s">
        <v>16</v>
      </c>
      <c r="AA1165" s="165" t="s">
        <v>16</v>
      </c>
      <c r="AB1165" s="165" t="s">
        <v>148</v>
      </c>
      <c r="AC1165" s="165" t="s">
        <v>148</v>
      </c>
      <c r="AD1165" s="165" t="s">
        <v>16</v>
      </c>
      <c r="AE1165" s="165" t="s">
        <v>1859</v>
      </c>
      <c r="AF1165" s="165"/>
    </row>
    <row r="1166" spans="1:32" x14ac:dyDescent="0.3">
      <c r="A1166" s="165" t="s">
        <v>1868</v>
      </c>
      <c r="B1166" s="165" t="s">
        <v>14</v>
      </c>
      <c r="C1166" s="165" t="s">
        <v>1849</v>
      </c>
      <c r="D1166" s="165" t="s">
        <v>15</v>
      </c>
      <c r="E1166" s="157">
        <v>41485</v>
      </c>
      <c r="F1166" s="165" t="s">
        <v>16</v>
      </c>
      <c r="G1166" s="165" t="s">
        <v>16</v>
      </c>
      <c r="H1166" s="165" t="s">
        <v>16</v>
      </c>
      <c r="I1166" s="165" t="s">
        <v>16</v>
      </c>
      <c r="J1166" s="165" t="s">
        <v>16</v>
      </c>
      <c r="K1166" s="165" t="s">
        <v>16</v>
      </c>
      <c r="L1166" s="165" t="s">
        <v>16</v>
      </c>
      <c r="M1166" s="165" t="s">
        <v>16</v>
      </c>
      <c r="N1166" s="165" t="s">
        <v>148</v>
      </c>
      <c r="O1166" s="165" t="s">
        <v>16</v>
      </c>
      <c r="P1166" s="165" t="s">
        <v>148</v>
      </c>
      <c r="Q1166" s="165" t="s">
        <v>16</v>
      </c>
      <c r="R1166" s="165" t="s">
        <v>16</v>
      </c>
      <c r="S1166" s="165" t="s">
        <v>16</v>
      </c>
      <c r="T1166" s="165" t="s">
        <v>16</v>
      </c>
      <c r="U1166" s="165" t="s">
        <v>16</v>
      </c>
      <c r="V1166" s="165" t="s">
        <v>16</v>
      </c>
      <c r="W1166" s="165" t="s">
        <v>148</v>
      </c>
      <c r="X1166" s="165" t="s">
        <v>148</v>
      </c>
      <c r="Y1166" s="165" t="s">
        <v>16</v>
      </c>
      <c r="Z1166" s="165" t="s">
        <v>16</v>
      </c>
      <c r="AA1166" s="165" t="s">
        <v>16</v>
      </c>
      <c r="AB1166" s="165" t="s">
        <v>16</v>
      </c>
      <c r="AC1166" s="165" t="s">
        <v>16</v>
      </c>
      <c r="AD1166" s="165" t="s">
        <v>16</v>
      </c>
      <c r="AE1166" s="165" t="s">
        <v>1869</v>
      </c>
      <c r="AF1166" s="165"/>
    </row>
    <row r="1167" spans="1:32" x14ac:dyDescent="0.3">
      <c r="A1167" s="165" t="s">
        <v>1870</v>
      </c>
      <c r="B1167" s="165" t="s">
        <v>14</v>
      </c>
      <c r="C1167" s="165" t="s">
        <v>1849</v>
      </c>
      <c r="D1167" s="165" t="s">
        <v>15</v>
      </c>
      <c r="E1167" s="157">
        <v>41485</v>
      </c>
      <c r="F1167" s="165" t="s">
        <v>16</v>
      </c>
      <c r="G1167" s="165" t="s">
        <v>16</v>
      </c>
      <c r="H1167" s="165" t="s">
        <v>16</v>
      </c>
      <c r="I1167" s="165" t="s">
        <v>16</v>
      </c>
      <c r="J1167" s="165" t="s">
        <v>16</v>
      </c>
      <c r="K1167" s="165" t="s">
        <v>16</v>
      </c>
      <c r="L1167" s="165" t="s">
        <v>16</v>
      </c>
      <c r="M1167" s="165" t="s">
        <v>16</v>
      </c>
      <c r="N1167" s="165" t="s">
        <v>16</v>
      </c>
      <c r="O1167" s="165" t="s">
        <v>16</v>
      </c>
      <c r="P1167" s="165" t="s">
        <v>16</v>
      </c>
      <c r="Q1167" s="165" t="s">
        <v>16</v>
      </c>
      <c r="R1167" s="165" t="s">
        <v>16</v>
      </c>
      <c r="S1167" s="165" t="s">
        <v>16</v>
      </c>
      <c r="T1167" s="165" t="s">
        <v>16</v>
      </c>
      <c r="U1167" s="165" t="s">
        <v>16</v>
      </c>
      <c r="V1167" s="165" t="s">
        <v>16</v>
      </c>
      <c r="W1167" s="165" t="s">
        <v>16</v>
      </c>
      <c r="X1167" s="165" t="s">
        <v>16</v>
      </c>
      <c r="Y1167" s="165" t="s">
        <v>16</v>
      </c>
      <c r="Z1167" s="165" t="s">
        <v>16</v>
      </c>
      <c r="AA1167" s="165" t="s">
        <v>16</v>
      </c>
      <c r="AB1167" s="165" t="s">
        <v>16</v>
      </c>
      <c r="AC1167" s="165" t="s">
        <v>16</v>
      </c>
      <c r="AD1167" s="165" t="s">
        <v>148</v>
      </c>
      <c r="AE1167" s="165"/>
      <c r="AF1167" s="165"/>
    </row>
    <row r="1168" spans="1:32" x14ac:dyDescent="0.3">
      <c r="A1168" s="165" t="s">
        <v>1871</v>
      </c>
      <c r="B1168" s="165" t="s">
        <v>14</v>
      </c>
      <c r="C1168" s="165" t="s">
        <v>1849</v>
      </c>
      <c r="D1168" s="165" t="s">
        <v>15</v>
      </c>
      <c r="E1168" s="157">
        <v>41485</v>
      </c>
      <c r="F1168" s="165" t="s">
        <v>16</v>
      </c>
      <c r="G1168" s="165" t="s">
        <v>16</v>
      </c>
      <c r="H1168" s="165" t="s">
        <v>16</v>
      </c>
      <c r="I1168" s="165" t="s">
        <v>150</v>
      </c>
      <c r="J1168" s="165" t="s">
        <v>16</v>
      </c>
      <c r="K1168" s="165" t="s">
        <v>16</v>
      </c>
      <c r="L1168" s="165" t="s">
        <v>150</v>
      </c>
      <c r="M1168" s="165" t="s">
        <v>150</v>
      </c>
      <c r="N1168" s="165" t="s">
        <v>16</v>
      </c>
      <c r="O1168" s="165" t="s">
        <v>16</v>
      </c>
      <c r="P1168" s="165" t="s">
        <v>16</v>
      </c>
      <c r="Q1168" s="165" t="s">
        <v>16</v>
      </c>
      <c r="R1168" s="165" t="s">
        <v>150</v>
      </c>
      <c r="S1168" s="165" t="s">
        <v>16</v>
      </c>
      <c r="T1168" s="165" t="s">
        <v>150</v>
      </c>
      <c r="U1168" s="165" t="s">
        <v>16</v>
      </c>
      <c r="V1168" s="165" t="s">
        <v>16</v>
      </c>
      <c r="W1168" s="165" t="s">
        <v>16</v>
      </c>
      <c r="X1168" s="165" t="s">
        <v>150</v>
      </c>
      <c r="Y1168" s="165" t="s">
        <v>16</v>
      </c>
      <c r="Z1168" s="165" t="s">
        <v>16</v>
      </c>
      <c r="AA1168" s="165" t="s">
        <v>148</v>
      </c>
      <c r="AB1168" s="165" t="s">
        <v>16</v>
      </c>
      <c r="AC1168" s="165" t="s">
        <v>150</v>
      </c>
      <c r="AD1168" s="165" t="s">
        <v>16</v>
      </c>
      <c r="AE1168" s="165" t="s">
        <v>1861</v>
      </c>
      <c r="AF1168" s="165"/>
    </row>
    <row r="1169" spans="1:32" x14ac:dyDescent="0.3">
      <c r="A1169" s="165" t="s">
        <v>1872</v>
      </c>
      <c r="B1169" s="165" t="s">
        <v>14</v>
      </c>
      <c r="C1169" s="165" t="s">
        <v>1849</v>
      </c>
      <c r="D1169" s="165" t="s">
        <v>15</v>
      </c>
      <c r="E1169" s="157">
        <v>41485</v>
      </c>
      <c r="F1169" s="165" t="s">
        <v>16</v>
      </c>
      <c r="G1169" s="165" t="s">
        <v>16</v>
      </c>
      <c r="H1169" s="165" t="s">
        <v>16</v>
      </c>
      <c r="I1169" s="165" t="s">
        <v>149</v>
      </c>
      <c r="J1169" s="165" t="s">
        <v>16</v>
      </c>
      <c r="K1169" s="165" t="s">
        <v>16</v>
      </c>
      <c r="L1169" s="165" t="s">
        <v>16</v>
      </c>
      <c r="M1169" s="165" t="s">
        <v>16</v>
      </c>
      <c r="N1169" s="165" t="s">
        <v>149</v>
      </c>
      <c r="O1169" s="165" t="s">
        <v>149</v>
      </c>
      <c r="P1169" s="165" t="s">
        <v>16</v>
      </c>
      <c r="Q1169" s="165" t="s">
        <v>16</v>
      </c>
      <c r="R1169" s="165" t="s">
        <v>16</v>
      </c>
      <c r="S1169" s="165" t="s">
        <v>16</v>
      </c>
      <c r="T1169" s="165" t="s">
        <v>16</v>
      </c>
      <c r="U1169" s="165" t="s">
        <v>16</v>
      </c>
      <c r="V1169" s="165" t="s">
        <v>16</v>
      </c>
      <c r="W1169" s="165" t="s">
        <v>16</v>
      </c>
      <c r="X1169" s="165" t="s">
        <v>16</v>
      </c>
      <c r="Y1169" s="165" t="s">
        <v>16</v>
      </c>
      <c r="Z1169" s="165" t="s">
        <v>16</v>
      </c>
      <c r="AA1169" s="165" t="s">
        <v>16</v>
      </c>
      <c r="AB1169" s="165" t="s">
        <v>16</v>
      </c>
      <c r="AC1169" s="165" t="s">
        <v>16</v>
      </c>
      <c r="AD1169" s="165" t="s">
        <v>16</v>
      </c>
      <c r="AE1169" s="165" t="s">
        <v>1861</v>
      </c>
      <c r="AF1169" s="165"/>
    </row>
    <row r="1170" spans="1:32" x14ac:dyDescent="0.3">
      <c r="A1170" s="165" t="s">
        <v>1873</v>
      </c>
      <c r="B1170" s="165" t="s">
        <v>14</v>
      </c>
      <c r="C1170" s="165" t="s">
        <v>1849</v>
      </c>
      <c r="D1170" s="165" t="s">
        <v>15</v>
      </c>
      <c r="E1170" s="157">
        <v>41485</v>
      </c>
      <c r="F1170" s="165" t="s">
        <v>148</v>
      </c>
      <c r="G1170" s="165" t="s">
        <v>16</v>
      </c>
      <c r="H1170" s="165" t="s">
        <v>148</v>
      </c>
      <c r="I1170" s="165" t="s">
        <v>148</v>
      </c>
      <c r="J1170" s="165" t="s">
        <v>148</v>
      </c>
      <c r="K1170" s="165" t="s">
        <v>148</v>
      </c>
      <c r="L1170" s="165" t="s">
        <v>148</v>
      </c>
      <c r="M1170" s="165" t="s">
        <v>148</v>
      </c>
      <c r="N1170" s="165" t="s">
        <v>148</v>
      </c>
      <c r="O1170" s="165" t="s">
        <v>148</v>
      </c>
      <c r="P1170" s="165" t="s">
        <v>148</v>
      </c>
      <c r="Q1170" s="165" t="s">
        <v>148</v>
      </c>
      <c r="R1170" s="165" t="s">
        <v>148</v>
      </c>
      <c r="S1170" s="165" t="s">
        <v>150</v>
      </c>
      <c r="T1170" s="165" t="s">
        <v>148</v>
      </c>
      <c r="U1170" s="165" t="s">
        <v>148</v>
      </c>
      <c r="V1170" s="165" t="s">
        <v>148</v>
      </c>
      <c r="W1170" s="165" t="s">
        <v>148</v>
      </c>
      <c r="X1170" s="165" t="s">
        <v>148</v>
      </c>
      <c r="Y1170" s="165" t="s">
        <v>148</v>
      </c>
      <c r="Z1170" s="165" t="s">
        <v>148</v>
      </c>
      <c r="AA1170" s="165" t="s">
        <v>150</v>
      </c>
      <c r="AB1170" s="165" t="s">
        <v>16</v>
      </c>
      <c r="AC1170" s="165" t="s">
        <v>148</v>
      </c>
      <c r="AD1170" s="165" t="s">
        <v>16</v>
      </c>
      <c r="AE1170" s="165" t="s">
        <v>1859</v>
      </c>
      <c r="AF1170" s="165"/>
    </row>
    <row r="1171" spans="1:32" x14ac:dyDescent="0.3">
      <c r="A1171" s="165" t="s">
        <v>1874</v>
      </c>
      <c r="B1171" s="165" t="s">
        <v>14</v>
      </c>
      <c r="C1171" s="165" t="s">
        <v>1849</v>
      </c>
      <c r="D1171" s="165" t="s">
        <v>15</v>
      </c>
      <c r="E1171" s="157">
        <v>41485</v>
      </c>
      <c r="F1171" s="165" t="s">
        <v>16</v>
      </c>
      <c r="G1171" s="165" t="s">
        <v>16</v>
      </c>
      <c r="H1171" s="165" t="s">
        <v>16</v>
      </c>
      <c r="I1171" s="165" t="s">
        <v>16</v>
      </c>
      <c r="J1171" s="165" t="s">
        <v>16</v>
      </c>
      <c r="K1171" s="165" t="s">
        <v>16</v>
      </c>
      <c r="L1171" s="165" t="s">
        <v>16</v>
      </c>
      <c r="M1171" s="165" t="s">
        <v>16</v>
      </c>
      <c r="N1171" s="165" t="s">
        <v>16</v>
      </c>
      <c r="O1171" s="165" t="s">
        <v>16</v>
      </c>
      <c r="P1171" s="165" t="s">
        <v>148</v>
      </c>
      <c r="Q1171" s="165" t="s">
        <v>16</v>
      </c>
      <c r="R1171" s="165" t="s">
        <v>148</v>
      </c>
      <c r="S1171" s="165" t="s">
        <v>148</v>
      </c>
      <c r="T1171" s="165" t="s">
        <v>16</v>
      </c>
      <c r="U1171" s="165" t="s">
        <v>16</v>
      </c>
      <c r="V1171" s="165" t="s">
        <v>148</v>
      </c>
      <c r="W1171" s="165" t="s">
        <v>16</v>
      </c>
      <c r="X1171" s="165" t="s">
        <v>16</v>
      </c>
      <c r="Y1171" s="165" t="s">
        <v>16</v>
      </c>
      <c r="Z1171" s="165" t="s">
        <v>16</v>
      </c>
      <c r="AA1171" s="165" t="s">
        <v>16</v>
      </c>
      <c r="AB1171" s="165" t="s">
        <v>149</v>
      </c>
      <c r="AC1171" s="165" t="s">
        <v>16</v>
      </c>
      <c r="AD1171" s="165" t="s">
        <v>148</v>
      </c>
      <c r="AE1171" s="165" t="s">
        <v>1861</v>
      </c>
      <c r="AF1171" s="165"/>
    </row>
    <row r="1172" spans="1:32" x14ac:dyDescent="0.3">
      <c r="A1172" s="165" t="s">
        <v>1875</v>
      </c>
      <c r="B1172" s="165" t="s">
        <v>14</v>
      </c>
      <c r="C1172" s="165" t="s">
        <v>1849</v>
      </c>
      <c r="D1172" s="165" t="s">
        <v>15</v>
      </c>
      <c r="E1172" s="157">
        <v>41485</v>
      </c>
      <c r="F1172" s="165" t="s">
        <v>16</v>
      </c>
      <c r="G1172" s="165" t="s">
        <v>16</v>
      </c>
      <c r="H1172" s="165" t="s">
        <v>16</v>
      </c>
      <c r="I1172" s="165" t="s">
        <v>16</v>
      </c>
      <c r="J1172" s="165" t="s">
        <v>16</v>
      </c>
      <c r="K1172" s="165" t="s">
        <v>16</v>
      </c>
      <c r="L1172" s="165" t="s">
        <v>16</v>
      </c>
      <c r="M1172" s="165" t="s">
        <v>16</v>
      </c>
      <c r="N1172" s="165" t="s">
        <v>16</v>
      </c>
      <c r="O1172" s="165" t="s">
        <v>16</v>
      </c>
      <c r="P1172" s="165" t="s">
        <v>16</v>
      </c>
      <c r="Q1172" s="165" t="s">
        <v>16</v>
      </c>
      <c r="R1172" s="165" t="s">
        <v>16</v>
      </c>
      <c r="S1172" s="165" t="s">
        <v>16</v>
      </c>
      <c r="T1172" s="165" t="s">
        <v>16</v>
      </c>
      <c r="U1172" s="165" t="s">
        <v>16</v>
      </c>
      <c r="V1172" s="165" t="s">
        <v>16</v>
      </c>
      <c r="W1172" s="165" t="s">
        <v>16</v>
      </c>
      <c r="X1172" s="165" t="s">
        <v>16</v>
      </c>
      <c r="Y1172" s="165" t="s">
        <v>16</v>
      </c>
      <c r="Z1172" s="165" t="s">
        <v>16</v>
      </c>
      <c r="AA1172" s="165" t="s">
        <v>16</v>
      </c>
      <c r="AB1172" s="165" t="s">
        <v>16</v>
      </c>
      <c r="AC1172" s="165" t="s">
        <v>16</v>
      </c>
      <c r="AD1172" s="165" t="s">
        <v>16</v>
      </c>
      <c r="AE1172" s="165"/>
      <c r="AF1172" s="165"/>
    </row>
    <row r="1173" spans="1:32" x14ac:dyDescent="0.3">
      <c r="A1173" s="165" t="s">
        <v>1876</v>
      </c>
      <c r="B1173" s="165" t="s">
        <v>14</v>
      </c>
      <c r="C1173" s="165" t="s">
        <v>1849</v>
      </c>
      <c r="D1173" s="165" t="s">
        <v>15</v>
      </c>
      <c r="E1173" s="157">
        <v>41485</v>
      </c>
      <c r="F1173" s="165" t="s">
        <v>16</v>
      </c>
      <c r="G1173" s="165" t="s">
        <v>16</v>
      </c>
      <c r="H1173" s="165" t="s">
        <v>16</v>
      </c>
      <c r="I1173" s="165" t="s">
        <v>16</v>
      </c>
      <c r="J1173" s="165" t="s">
        <v>16</v>
      </c>
      <c r="K1173" s="165" t="s">
        <v>16</v>
      </c>
      <c r="L1173" s="165" t="s">
        <v>16</v>
      </c>
      <c r="M1173" s="165" t="s">
        <v>16</v>
      </c>
      <c r="N1173" s="165" t="s">
        <v>16</v>
      </c>
      <c r="O1173" s="165" t="s">
        <v>16</v>
      </c>
      <c r="P1173" s="165" t="s">
        <v>16</v>
      </c>
      <c r="Q1173" s="165" t="s">
        <v>16</v>
      </c>
      <c r="R1173" s="165" t="s">
        <v>16</v>
      </c>
      <c r="S1173" s="165" t="s">
        <v>16</v>
      </c>
      <c r="T1173" s="165" t="s">
        <v>16</v>
      </c>
      <c r="U1173" s="165" t="s">
        <v>16</v>
      </c>
      <c r="V1173" s="165" t="s">
        <v>16</v>
      </c>
      <c r="W1173" s="165" t="s">
        <v>16</v>
      </c>
      <c r="X1173" s="165" t="s">
        <v>16</v>
      </c>
      <c r="Y1173" s="165" t="s">
        <v>16</v>
      </c>
      <c r="Z1173" s="165" t="s">
        <v>16</v>
      </c>
      <c r="AA1173" s="165" t="s">
        <v>16</v>
      </c>
      <c r="AB1173" s="165" t="s">
        <v>16</v>
      </c>
      <c r="AC1173" s="165" t="s">
        <v>16</v>
      </c>
      <c r="AD1173" s="165" t="s">
        <v>16</v>
      </c>
      <c r="AE1173" s="165" t="s">
        <v>1861</v>
      </c>
      <c r="AF1173" s="165"/>
    </row>
    <row r="1174" spans="1:32" x14ac:dyDescent="0.3">
      <c r="A1174" s="165" t="s">
        <v>1877</v>
      </c>
      <c r="B1174" s="165" t="s">
        <v>14</v>
      </c>
      <c r="C1174" s="165" t="s">
        <v>1849</v>
      </c>
      <c r="D1174" s="165" t="s">
        <v>15</v>
      </c>
      <c r="E1174" s="157">
        <v>41485</v>
      </c>
      <c r="F1174" s="165" t="s">
        <v>16</v>
      </c>
      <c r="G1174" s="165" t="s">
        <v>16</v>
      </c>
      <c r="H1174" s="165" t="s">
        <v>16</v>
      </c>
      <c r="I1174" s="165" t="s">
        <v>16</v>
      </c>
      <c r="J1174" s="165" t="s">
        <v>148</v>
      </c>
      <c r="K1174" s="165" t="s">
        <v>16</v>
      </c>
      <c r="L1174" s="165" t="s">
        <v>150</v>
      </c>
      <c r="M1174" s="165" t="s">
        <v>148</v>
      </c>
      <c r="N1174" s="165" t="s">
        <v>16</v>
      </c>
      <c r="O1174" s="165" t="s">
        <v>16</v>
      </c>
      <c r="P1174" s="165" t="s">
        <v>16</v>
      </c>
      <c r="Q1174" s="165" t="s">
        <v>148</v>
      </c>
      <c r="R1174" s="165" t="s">
        <v>148</v>
      </c>
      <c r="S1174" s="165" t="s">
        <v>16</v>
      </c>
      <c r="T1174" s="165" t="s">
        <v>16</v>
      </c>
      <c r="U1174" s="165" t="s">
        <v>16</v>
      </c>
      <c r="V1174" s="165" t="s">
        <v>148</v>
      </c>
      <c r="W1174" s="165" t="s">
        <v>16</v>
      </c>
      <c r="X1174" s="165" t="s">
        <v>16</v>
      </c>
      <c r="Y1174" s="165" t="s">
        <v>16</v>
      </c>
      <c r="Z1174" s="165" t="s">
        <v>16</v>
      </c>
      <c r="AA1174" s="165" t="s">
        <v>16</v>
      </c>
      <c r="AB1174" s="165" t="s">
        <v>16</v>
      </c>
      <c r="AC1174" s="165" t="s">
        <v>16</v>
      </c>
      <c r="AD1174" s="165" t="s">
        <v>16</v>
      </c>
      <c r="AE1174" s="165" t="s">
        <v>1859</v>
      </c>
      <c r="AF1174" s="165"/>
    </row>
    <row r="1175" spans="1:32" x14ac:dyDescent="0.3">
      <c r="A1175" s="165" t="s">
        <v>1878</v>
      </c>
      <c r="B1175" s="165" t="s">
        <v>14</v>
      </c>
      <c r="C1175" s="165" t="s">
        <v>1849</v>
      </c>
      <c r="D1175" s="165" t="s">
        <v>15</v>
      </c>
      <c r="E1175" s="157">
        <v>41485</v>
      </c>
      <c r="F1175" s="165" t="s">
        <v>16</v>
      </c>
      <c r="G1175" s="165" t="s">
        <v>16</v>
      </c>
      <c r="H1175" s="165" t="s">
        <v>16</v>
      </c>
      <c r="I1175" s="165" t="s">
        <v>148</v>
      </c>
      <c r="J1175" s="165" t="s">
        <v>148</v>
      </c>
      <c r="K1175" s="165" t="s">
        <v>16</v>
      </c>
      <c r="L1175" s="165" t="s">
        <v>16</v>
      </c>
      <c r="M1175" s="165" t="s">
        <v>148</v>
      </c>
      <c r="N1175" s="165" t="s">
        <v>148</v>
      </c>
      <c r="O1175" s="165" t="s">
        <v>16</v>
      </c>
      <c r="P1175" s="165" t="s">
        <v>16</v>
      </c>
      <c r="Q1175" s="165" t="s">
        <v>16</v>
      </c>
      <c r="R1175" s="165" t="s">
        <v>148</v>
      </c>
      <c r="S1175" s="165" t="s">
        <v>16</v>
      </c>
      <c r="T1175" s="165" t="s">
        <v>16</v>
      </c>
      <c r="U1175" s="165" t="s">
        <v>16</v>
      </c>
      <c r="V1175" s="165" t="s">
        <v>16</v>
      </c>
      <c r="W1175" s="165" t="s">
        <v>16</v>
      </c>
      <c r="X1175" s="165" t="s">
        <v>16</v>
      </c>
      <c r="Y1175" s="165" t="s">
        <v>16</v>
      </c>
      <c r="Z1175" s="165" t="s">
        <v>148</v>
      </c>
      <c r="AA1175" s="165" t="s">
        <v>148</v>
      </c>
      <c r="AB1175" s="165" t="s">
        <v>16</v>
      </c>
      <c r="AC1175" s="165" t="s">
        <v>16</v>
      </c>
      <c r="AD1175" s="165" t="s">
        <v>16</v>
      </c>
      <c r="AE1175" s="165" t="s">
        <v>1859</v>
      </c>
      <c r="AF1175" s="165"/>
    </row>
    <row r="1176" spans="1:32" x14ac:dyDescent="0.3">
      <c r="A1176" s="165" t="s">
        <v>1879</v>
      </c>
      <c r="B1176" s="165" t="s">
        <v>14</v>
      </c>
      <c r="C1176" s="165" t="s">
        <v>1849</v>
      </c>
      <c r="D1176" s="165" t="s">
        <v>15</v>
      </c>
      <c r="E1176" s="157">
        <v>41485</v>
      </c>
      <c r="F1176" s="165" t="s">
        <v>149</v>
      </c>
      <c r="G1176" s="165" t="s">
        <v>149</v>
      </c>
      <c r="H1176" s="165" t="s">
        <v>16</v>
      </c>
      <c r="I1176" s="165" t="s">
        <v>16</v>
      </c>
      <c r="J1176" s="165" t="s">
        <v>16</v>
      </c>
      <c r="K1176" s="165" t="s">
        <v>16</v>
      </c>
      <c r="L1176" s="165" t="s">
        <v>16</v>
      </c>
      <c r="M1176" s="165" t="s">
        <v>16</v>
      </c>
      <c r="N1176" s="165" t="s">
        <v>16</v>
      </c>
      <c r="O1176" s="165" t="s">
        <v>16</v>
      </c>
      <c r="P1176" s="165" t="s">
        <v>148</v>
      </c>
      <c r="Q1176" s="165" t="s">
        <v>16</v>
      </c>
      <c r="R1176" s="165" t="s">
        <v>16</v>
      </c>
      <c r="S1176" s="165" t="s">
        <v>148</v>
      </c>
      <c r="T1176" s="165" t="s">
        <v>16</v>
      </c>
      <c r="U1176" s="165" t="s">
        <v>148</v>
      </c>
      <c r="V1176" s="165" t="s">
        <v>149</v>
      </c>
      <c r="W1176" s="165" t="s">
        <v>148</v>
      </c>
      <c r="X1176" s="165" t="s">
        <v>148</v>
      </c>
      <c r="Y1176" s="165" t="s">
        <v>148</v>
      </c>
      <c r="Z1176" s="165" t="s">
        <v>16</v>
      </c>
      <c r="AA1176" s="165" t="s">
        <v>16</v>
      </c>
      <c r="AB1176" s="165" t="s">
        <v>16</v>
      </c>
      <c r="AC1176" s="165" t="s">
        <v>16</v>
      </c>
      <c r="AD1176" s="165" t="s">
        <v>148</v>
      </c>
      <c r="AE1176" s="165" t="s">
        <v>1861</v>
      </c>
      <c r="AF1176" s="165" t="s">
        <v>1880</v>
      </c>
    </row>
    <row r="1177" spans="1:32" x14ac:dyDescent="0.3">
      <c r="A1177" s="165" t="s">
        <v>1881</v>
      </c>
      <c r="B1177" s="165" t="s">
        <v>14</v>
      </c>
      <c r="C1177" s="165" t="s">
        <v>1849</v>
      </c>
      <c r="D1177" s="165" t="s">
        <v>15</v>
      </c>
      <c r="E1177" s="157">
        <v>41485</v>
      </c>
      <c r="F1177" s="165" t="s">
        <v>16</v>
      </c>
      <c r="G1177" s="165" t="s">
        <v>16</v>
      </c>
      <c r="H1177" s="165" t="s">
        <v>16</v>
      </c>
      <c r="I1177" s="165" t="s">
        <v>16</v>
      </c>
      <c r="J1177" s="165" t="s">
        <v>16</v>
      </c>
      <c r="K1177" s="165" t="s">
        <v>16</v>
      </c>
      <c r="L1177" s="165" t="s">
        <v>16</v>
      </c>
      <c r="M1177" s="165" t="s">
        <v>16</v>
      </c>
      <c r="N1177" s="165" t="s">
        <v>16</v>
      </c>
      <c r="O1177" s="165" t="s">
        <v>16</v>
      </c>
      <c r="P1177" s="165" t="s">
        <v>16</v>
      </c>
      <c r="Q1177" s="165" t="s">
        <v>16</v>
      </c>
      <c r="R1177" s="165" t="s">
        <v>16</v>
      </c>
      <c r="S1177" s="165" t="s">
        <v>16</v>
      </c>
      <c r="T1177" s="165" t="s">
        <v>16</v>
      </c>
      <c r="U1177" s="165" t="s">
        <v>16</v>
      </c>
      <c r="V1177" s="165" t="s">
        <v>16</v>
      </c>
      <c r="W1177" s="165" t="s">
        <v>16</v>
      </c>
      <c r="X1177" s="165" t="s">
        <v>16</v>
      </c>
      <c r="Y1177" s="165" t="s">
        <v>16</v>
      </c>
      <c r="Z1177" s="165" t="s">
        <v>16</v>
      </c>
      <c r="AA1177" s="165" t="s">
        <v>16</v>
      </c>
      <c r="AB1177" s="165" t="s">
        <v>16</v>
      </c>
      <c r="AC1177" s="165" t="s">
        <v>16</v>
      </c>
      <c r="AD1177" s="165" t="s">
        <v>16</v>
      </c>
      <c r="AE1177" s="165"/>
      <c r="AF1177" s="165"/>
    </row>
    <row r="1178" spans="1:32" x14ac:dyDescent="0.3">
      <c r="A1178" s="165" t="s">
        <v>1882</v>
      </c>
      <c r="B1178" s="165" t="s">
        <v>14</v>
      </c>
      <c r="C1178" s="165" t="s">
        <v>1849</v>
      </c>
      <c r="D1178" s="165" t="s">
        <v>15</v>
      </c>
      <c r="E1178" s="157">
        <v>41485</v>
      </c>
      <c r="F1178" s="165" t="s">
        <v>148</v>
      </c>
      <c r="G1178" s="165" t="s">
        <v>16</v>
      </c>
      <c r="H1178" s="165" t="s">
        <v>148</v>
      </c>
      <c r="I1178" s="165" t="s">
        <v>16</v>
      </c>
      <c r="J1178" s="165" t="s">
        <v>148</v>
      </c>
      <c r="K1178" s="165" t="s">
        <v>16</v>
      </c>
      <c r="L1178" s="165" t="s">
        <v>16</v>
      </c>
      <c r="M1178" s="165" t="s">
        <v>16</v>
      </c>
      <c r="N1178" s="165" t="s">
        <v>150</v>
      </c>
      <c r="O1178" s="165" t="s">
        <v>150</v>
      </c>
      <c r="P1178" s="165" t="s">
        <v>148</v>
      </c>
      <c r="Q1178" s="165" t="s">
        <v>148</v>
      </c>
      <c r="R1178" s="165" t="s">
        <v>148</v>
      </c>
      <c r="S1178" s="165" t="s">
        <v>150</v>
      </c>
      <c r="T1178" s="165" t="s">
        <v>16</v>
      </c>
      <c r="U1178" s="165" t="s">
        <v>16</v>
      </c>
      <c r="V1178" s="165" t="s">
        <v>16</v>
      </c>
      <c r="W1178" s="165" t="s">
        <v>16</v>
      </c>
      <c r="X1178" s="165" t="s">
        <v>150</v>
      </c>
      <c r="Y1178" s="165" t="s">
        <v>16</v>
      </c>
      <c r="Z1178" s="165" t="s">
        <v>16</v>
      </c>
      <c r="AA1178" s="165" t="s">
        <v>16</v>
      </c>
      <c r="AB1178" s="165" t="s">
        <v>148</v>
      </c>
      <c r="AC1178" s="165" t="s">
        <v>148</v>
      </c>
      <c r="AD1178" s="165" t="s">
        <v>148</v>
      </c>
      <c r="AE1178" s="165" t="s">
        <v>1861</v>
      </c>
      <c r="AF1178" s="165"/>
    </row>
    <row r="1179" spans="1:32" x14ac:dyDescent="0.3">
      <c r="A1179" s="165" t="s">
        <v>1883</v>
      </c>
      <c r="B1179" s="165" t="s">
        <v>14</v>
      </c>
      <c r="C1179" s="165" t="s">
        <v>1849</v>
      </c>
      <c r="D1179" s="165" t="s">
        <v>15</v>
      </c>
      <c r="E1179" s="157">
        <v>41485</v>
      </c>
      <c r="F1179" s="165" t="s">
        <v>16</v>
      </c>
      <c r="G1179" s="165" t="s">
        <v>148</v>
      </c>
      <c r="H1179" s="165" t="s">
        <v>16</v>
      </c>
      <c r="I1179" s="165" t="s">
        <v>16</v>
      </c>
      <c r="J1179" s="165" t="s">
        <v>16</v>
      </c>
      <c r="K1179" s="165" t="s">
        <v>16</v>
      </c>
      <c r="L1179" s="165" t="s">
        <v>16</v>
      </c>
      <c r="M1179" s="165" t="s">
        <v>16</v>
      </c>
      <c r="N1179" s="165" t="s">
        <v>148</v>
      </c>
      <c r="O1179" s="165" t="s">
        <v>16</v>
      </c>
      <c r="P1179" s="165" t="s">
        <v>148</v>
      </c>
      <c r="Q1179" s="165" t="s">
        <v>16</v>
      </c>
      <c r="R1179" s="165" t="s">
        <v>16</v>
      </c>
      <c r="S1179" s="165" t="s">
        <v>16</v>
      </c>
      <c r="T1179" s="165" t="s">
        <v>16</v>
      </c>
      <c r="U1179" s="165" t="s">
        <v>148</v>
      </c>
      <c r="V1179" s="165" t="s">
        <v>16</v>
      </c>
      <c r="W1179" s="165" t="s">
        <v>16</v>
      </c>
      <c r="X1179" s="165" t="s">
        <v>16</v>
      </c>
      <c r="Y1179" s="165" t="s">
        <v>16</v>
      </c>
      <c r="Z1179" s="165" t="s">
        <v>16</v>
      </c>
      <c r="AA1179" s="165" t="s">
        <v>16</v>
      </c>
      <c r="AB1179" s="165" t="s">
        <v>16</v>
      </c>
      <c r="AC1179" s="165" t="s">
        <v>16</v>
      </c>
      <c r="AD1179" s="165" t="s">
        <v>16</v>
      </c>
      <c r="AE1179" s="165"/>
      <c r="AF1179" s="165"/>
    </row>
    <row r="1180" spans="1:32" x14ac:dyDescent="0.3">
      <c r="A1180" s="165" t="s">
        <v>1884</v>
      </c>
      <c r="B1180" s="165" t="s">
        <v>14</v>
      </c>
      <c r="C1180" s="165" t="s">
        <v>1849</v>
      </c>
      <c r="D1180" s="165" t="s">
        <v>15</v>
      </c>
      <c r="E1180" s="157">
        <v>41485</v>
      </c>
      <c r="F1180" s="165" t="s">
        <v>16</v>
      </c>
      <c r="G1180" s="165" t="s">
        <v>16</v>
      </c>
      <c r="H1180" s="165" t="s">
        <v>16</v>
      </c>
      <c r="I1180" s="165" t="s">
        <v>16</v>
      </c>
      <c r="J1180" s="165" t="s">
        <v>16</v>
      </c>
      <c r="K1180" s="165" t="s">
        <v>16</v>
      </c>
      <c r="L1180" s="165" t="s">
        <v>16</v>
      </c>
      <c r="M1180" s="165" t="s">
        <v>16</v>
      </c>
      <c r="N1180" s="165" t="s">
        <v>16</v>
      </c>
      <c r="O1180" s="165" t="s">
        <v>16</v>
      </c>
      <c r="P1180" s="165" t="s">
        <v>16</v>
      </c>
      <c r="Q1180" s="165" t="s">
        <v>16</v>
      </c>
      <c r="R1180" s="165" t="s">
        <v>16</v>
      </c>
      <c r="S1180" s="165" t="s">
        <v>16</v>
      </c>
      <c r="T1180" s="165" t="s">
        <v>16</v>
      </c>
      <c r="U1180" s="165" t="s">
        <v>16</v>
      </c>
      <c r="V1180" s="165" t="s">
        <v>16</v>
      </c>
      <c r="W1180" s="165" t="s">
        <v>148</v>
      </c>
      <c r="X1180" s="165" t="s">
        <v>16</v>
      </c>
      <c r="Y1180" s="165" t="s">
        <v>148</v>
      </c>
      <c r="Z1180" s="165" t="s">
        <v>16</v>
      </c>
      <c r="AA1180" s="165" t="s">
        <v>16</v>
      </c>
      <c r="AB1180" s="165" t="s">
        <v>16</v>
      </c>
      <c r="AC1180" s="165" t="s">
        <v>16</v>
      </c>
      <c r="AD1180" s="165" t="s">
        <v>16</v>
      </c>
      <c r="AE1180" s="165" t="s">
        <v>1859</v>
      </c>
      <c r="AF1180" s="165"/>
    </row>
    <row r="1183" spans="1:32" x14ac:dyDescent="0.3">
      <c r="A1183" s="165"/>
      <c r="B1183" s="165"/>
      <c r="C1183" s="165"/>
      <c r="D1183" s="165"/>
      <c r="E1183" s="165"/>
      <c r="F1183" s="165" t="s">
        <v>124</v>
      </c>
      <c r="G1183" s="165" t="s">
        <v>125</v>
      </c>
      <c r="H1183" s="165" t="s">
        <v>126</v>
      </c>
      <c r="I1183" s="165" t="s">
        <v>127</v>
      </c>
      <c r="J1183" s="165" t="s">
        <v>214</v>
      </c>
      <c r="K1183" s="165" t="s">
        <v>128</v>
      </c>
      <c r="L1183" s="165" t="s">
        <v>129</v>
      </c>
      <c r="M1183" s="165" t="s">
        <v>130</v>
      </c>
      <c r="N1183" s="165" t="s">
        <v>131</v>
      </c>
      <c r="O1183" s="165" t="s">
        <v>132</v>
      </c>
      <c r="P1183" s="165" t="s">
        <v>133</v>
      </c>
      <c r="Q1183" s="165" t="s">
        <v>134</v>
      </c>
      <c r="R1183" s="165" t="s">
        <v>135</v>
      </c>
      <c r="S1183" s="165" t="s">
        <v>136</v>
      </c>
      <c r="T1183" s="165" t="s">
        <v>137</v>
      </c>
      <c r="U1183" s="165" t="s">
        <v>138</v>
      </c>
      <c r="V1183" s="165" t="s">
        <v>139</v>
      </c>
      <c r="W1183" s="165" t="s">
        <v>140</v>
      </c>
      <c r="X1183" s="165" t="s">
        <v>186</v>
      </c>
      <c r="Y1183" s="165" t="s">
        <v>209</v>
      </c>
      <c r="Z1183" s="165" t="s">
        <v>141</v>
      </c>
      <c r="AA1183" s="165" t="s">
        <v>142</v>
      </c>
      <c r="AB1183" s="165" t="s">
        <v>210</v>
      </c>
      <c r="AC1183" s="165" t="s">
        <v>1180</v>
      </c>
      <c r="AD1183" s="165" t="s">
        <v>144</v>
      </c>
      <c r="AE1183" s="165" t="s">
        <v>1886</v>
      </c>
      <c r="AF1183" s="165" t="s">
        <v>190</v>
      </c>
    </row>
    <row r="1184" spans="1:32" x14ac:dyDescent="0.3">
      <c r="A1184" s="165" t="s">
        <v>1887</v>
      </c>
      <c r="B1184" s="165" t="s">
        <v>14</v>
      </c>
      <c r="C1184" s="165" t="s">
        <v>1888</v>
      </c>
      <c r="D1184" s="165" t="s">
        <v>15</v>
      </c>
      <c r="E1184" s="157">
        <v>41516</v>
      </c>
      <c r="F1184" s="165" t="s">
        <v>16</v>
      </c>
      <c r="G1184" s="165" t="s">
        <v>148</v>
      </c>
      <c r="H1184" s="165" t="s">
        <v>148</v>
      </c>
      <c r="I1184" s="165" t="s">
        <v>150</v>
      </c>
      <c r="J1184" s="165" t="s">
        <v>150</v>
      </c>
      <c r="K1184" s="165" t="s">
        <v>148</v>
      </c>
      <c r="L1184" s="165" t="s">
        <v>148</v>
      </c>
      <c r="M1184" s="165" t="s">
        <v>150</v>
      </c>
      <c r="N1184" s="165" t="s">
        <v>148</v>
      </c>
      <c r="O1184" s="165" t="s">
        <v>148</v>
      </c>
      <c r="P1184" s="165" t="s">
        <v>16</v>
      </c>
      <c r="Q1184" s="165" t="s">
        <v>148</v>
      </c>
      <c r="R1184" s="165" t="s">
        <v>148</v>
      </c>
      <c r="S1184" s="165" t="s">
        <v>16</v>
      </c>
      <c r="T1184" s="165" t="s">
        <v>148</v>
      </c>
      <c r="U1184" s="165" t="s">
        <v>148</v>
      </c>
      <c r="V1184" s="165" t="s">
        <v>16</v>
      </c>
      <c r="W1184" s="165" t="s">
        <v>148</v>
      </c>
      <c r="X1184" s="165" t="s">
        <v>148</v>
      </c>
      <c r="Y1184" s="165" t="s">
        <v>16</v>
      </c>
      <c r="Z1184" s="165" t="s">
        <v>150</v>
      </c>
      <c r="AA1184" s="165" t="s">
        <v>148</v>
      </c>
      <c r="AB1184" s="165" t="s">
        <v>16</v>
      </c>
      <c r="AC1184" s="165" t="s">
        <v>16</v>
      </c>
      <c r="AD1184" s="165" t="s">
        <v>16</v>
      </c>
      <c r="AE1184" s="165" t="s">
        <v>1889</v>
      </c>
      <c r="AF1184" s="165"/>
    </row>
    <row r="1185" spans="1:32" x14ac:dyDescent="0.3">
      <c r="A1185" s="165" t="s">
        <v>1890</v>
      </c>
      <c r="B1185" s="165" t="s">
        <v>14</v>
      </c>
      <c r="C1185" s="165" t="s">
        <v>1888</v>
      </c>
      <c r="D1185" s="165" t="s">
        <v>15</v>
      </c>
      <c r="E1185" s="157">
        <v>41516</v>
      </c>
      <c r="F1185" s="165" t="s">
        <v>16</v>
      </c>
      <c r="G1185" s="165" t="s">
        <v>16</v>
      </c>
      <c r="H1185" s="165" t="s">
        <v>16</v>
      </c>
      <c r="I1185" s="165" t="s">
        <v>148</v>
      </c>
      <c r="J1185" s="165" t="s">
        <v>16</v>
      </c>
      <c r="K1185" s="165" t="s">
        <v>16</v>
      </c>
      <c r="L1185" s="165" t="s">
        <v>16</v>
      </c>
      <c r="M1185" s="165" t="s">
        <v>16</v>
      </c>
      <c r="N1185" s="165" t="s">
        <v>148</v>
      </c>
      <c r="O1185" s="165" t="s">
        <v>16</v>
      </c>
      <c r="P1185" s="165" t="s">
        <v>16</v>
      </c>
      <c r="Q1185" s="165" t="s">
        <v>16</v>
      </c>
      <c r="R1185" s="165" t="s">
        <v>148</v>
      </c>
      <c r="S1185" s="165" t="s">
        <v>16</v>
      </c>
      <c r="T1185" s="165" t="s">
        <v>16</v>
      </c>
      <c r="U1185" s="165" t="s">
        <v>16</v>
      </c>
      <c r="V1185" s="165" t="s">
        <v>16</v>
      </c>
      <c r="W1185" s="165" t="s">
        <v>16</v>
      </c>
      <c r="X1185" s="165" t="s">
        <v>16</v>
      </c>
      <c r="Y1185" s="165" t="s">
        <v>16</v>
      </c>
      <c r="Z1185" s="165" t="s">
        <v>148</v>
      </c>
      <c r="AA1185" s="165" t="s">
        <v>16</v>
      </c>
      <c r="AB1185" s="165" t="s">
        <v>148</v>
      </c>
      <c r="AC1185" s="165" t="s">
        <v>16</v>
      </c>
      <c r="AD1185" s="165" t="s">
        <v>16</v>
      </c>
      <c r="AE1185" s="165" t="s">
        <v>1889</v>
      </c>
      <c r="AF1185" s="165"/>
    </row>
    <row r="1186" spans="1:32" x14ac:dyDescent="0.3">
      <c r="A1186" s="165" t="s">
        <v>1891</v>
      </c>
      <c r="B1186" s="165" t="s">
        <v>14</v>
      </c>
      <c r="C1186" s="165" t="s">
        <v>1888</v>
      </c>
      <c r="D1186" s="165" t="s">
        <v>15</v>
      </c>
      <c r="E1186" s="157">
        <v>41516</v>
      </c>
      <c r="F1186" s="165" t="s">
        <v>16</v>
      </c>
      <c r="G1186" s="165" t="s">
        <v>16</v>
      </c>
      <c r="H1186" s="165" t="s">
        <v>16</v>
      </c>
      <c r="I1186" s="165" t="s">
        <v>16</v>
      </c>
      <c r="J1186" s="165" t="s">
        <v>16</v>
      </c>
      <c r="K1186" s="165" t="s">
        <v>16</v>
      </c>
      <c r="L1186" s="165" t="s">
        <v>16</v>
      </c>
      <c r="M1186" s="165" t="s">
        <v>149</v>
      </c>
      <c r="N1186" s="165" t="s">
        <v>148</v>
      </c>
      <c r="O1186" s="165" t="s">
        <v>16</v>
      </c>
      <c r="P1186" s="165" t="s">
        <v>16</v>
      </c>
      <c r="Q1186" s="165" t="s">
        <v>16</v>
      </c>
      <c r="R1186" s="165" t="s">
        <v>16</v>
      </c>
      <c r="S1186" s="165" t="s">
        <v>149</v>
      </c>
      <c r="T1186" s="165" t="s">
        <v>16</v>
      </c>
      <c r="U1186" s="165" t="s">
        <v>148</v>
      </c>
      <c r="V1186" s="165" t="s">
        <v>16</v>
      </c>
      <c r="W1186" s="165" t="s">
        <v>149</v>
      </c>
      <c r="X1186" s="165" t="s">
        <v>16</v>
      </c>
      <c r="Y1186" s="165" t="s">
        <v>16</v>
      </c>
      <c r="Z1186" s="165" t="s">
        <v>16</v>
      </c>
      <c r="AA1186" s="165" t="s">
        <v>16</v>
      </c>
      <c r="AB1186" s="165" t="s">
        <v>16</v>
      </c>
      <c r="AC1186" s="165" t="s">
        <v>16</v>
      </c>
      <c r="AD1186" s="165" t="s">
        <v>16</v>
      </c>
      <c r="AE1186" s="165" t="s">
        <v>1889</v>
      </c>
      <c r="AF1186" s="165"/>
    </row>
    <row r="1187" spans="1:32" x14ac:dyDescent="0.3">
      <c r="A1187" s="165" t="s">
        <v>1892</v>
      </c>
      <c r="B1187" s="165" t="s">
        <v>14</v>
      </c>
      <c r="C1187" s="165" t="s">
        <v>1888</v>
      </c>
      <c r="D1187" s="165" t="s">
        <v>15</v>
      </c>
      <c r="E1187" s="157">
        <v>41516</v>
      </c>
      <c r="F1187" s="165" t="s">
        <v>148</v>
      </c>
      <c r="G1187" s="165" t="s">
        <v>149</v>
      </c>
      <c r="H1187" s="165" t="s">
        <v>16</v>
      </c>
      <c r="I1187" s="165" t="s">
        <v>16</v>
      </c>
      <c r="J1187" s="165" t="s">
        <v>16</v>
      </c>
      <c r="K1187" s="165" t="s">
        <v>149</v>
      </c>
      <c r="L1187" s="165" t="s">
        <v>16</v>
      </c>
      <c r="M1187" s="165" t="s">
        <v>148</v>
      </c>
      <c r="N1187" s="165" t="s">
        <v>16</v>
      </c>
      <c r="O1187" s="165" t="s">
        <v>149</v>
      </c>
      <c r="P1187" s="165" t="s">
        <v>148</v>
      </c>
      <c r="Q1187" s="165" t="s">
        <v>16</v>
      </c>
      <c r="R1187" s="165" t="s">
        <v>148</v>
      </c>
      <c r="S1187" s="165" t="s">
        <v>148</v>
      </c>
      <c r="T1187" s="165" t="s">
        <v>149</v>
      </c>
      <c r="U1187" s="165" t="s">
        <v>16</v>
      </c>
      <c r="V1187" s="165" t="s">
        <v>16</v>
      </c>
      <c r="W1187" s="165" t="s">
        <v>16</v>
      </c>
      <c r="X1187" s="165" t="s">
        <v>148</v>
      </c>
      <c r="Y1187" s="165" t="s">
        <v>114</v>
      </c>
      <c r="Z1187" s="165" t="s">
        <v>148</v>
      </c>
      <c r="AA1187" s="165" t="s">
        <v>148</v>
      </c>
      <c r="AB1187" s="165" t="s">
        <v>148</v>
      </c>
      <c r="AC1187" s="165" t="s">
        <v>16</v>
      </c>
      <c r="AD1187" s="165" t="s">
        <v>16</v>
      </c>
      <c r="AE1187" s="165" t="s">
        <v>1889</v>
      </c>
      <c r="AF1187" s="165" t="s">
        <v>1893</v>
      </c>
    </row>
    <row r="1188" spans="1:32" x14ac:dyDescent="0.3">
      <c r="A1188" s="165" t="s">
        <v>1894</v>
      </c>
      <c r="B1188" s="165" t="s">
        <v>14</v>
      </c>
      <c r="C1188" s="165" t="s">
        <v>1888</v>
      </c>
      <c r="D1188" s="165" t="s">
        <v>15</v>
      </c>
      <c r="E1188" s="157">
        <v>41516</v>
      </c>
      <c r="F1188" s="165" t="s">
        <v>148</v>
      </c>
      <c r="G1188" s="165" t="s">
        <v>148</v>
      </c>
      <c r="H1188" s="165" t="s">
        <v>16</v>
      </c>
      <c r="I1188" s="165" t="s">
        <v>16</v>
      </c>
      <c r="J1188" s="165" t="s">
        <v>148</v>
      </c>
      <c r="K1188" s="165" t="s">
        <v>16</v>
      </c>
      <c r="L1188" s="165" t="s">
        <v>148</v>
      </c>
      <c r="M1188" s="165" t="s">
        <v>148</v>
      </c>
      <c r="N1188" s="165" t="s">
        <v>148</v>
      </c>
      <c r="O1188" s="165" t="s">
        <v>16</v>
      </c>
      <c r="P1188" s="165" t="s">
        <v>16</v>
      </c>
      <c r="Q1188" s="165" t="s">
        <v>16</v>
      </c>
      <c r="R1188" s="165" t="s">
        <v>148</v>
      </c>
      <c r="S1188" s="165" t="s">
        <v>16</v>
      </c>
      <c r="T1188" s="165" t="s">
        <v>16</v>
      </c>
      <c r="U1188" s="165" t="s">
        <v>148</v>
      </c>
      <c r="V1188" s="165" t="s">
        <v>16</v>
      </c>
      <c r="W1188" s="165" t="s">
        <v>148</v>
      </c>
      <c r="X1188" s="165" t="s">
        <v>16</v>
      </c>
      <c r="Y1188" s="165" t="s">
        <v>16</v>
      </c>
      <c r="Z1188" s="165" t="s">
        <v>149</v>
      </c>
      <c r="AA1188" s="165" t="s">
        <v>16</v>
      </c>
      <c r="AB1188" s="165" t="s">
        <v>148</v>
      </c>
      <c r="AC1188" s="165" t="s">
        <v>16</v>
      </c>
      <c r="AD1188" s="165" t="s">
        <v>16</v>
      </c>
      <c r="AE1188" s="165" t="s">
        <v>1895</v>
      </c>
      <c r="AF1188" s="165"/>
    </row>
    <row r="1189" spans="1:32" x14ac:dyDescent="0.3">
      <c r="A1189" s="165" t="s">
        <v>1896</v>
      </c>
      <c r="B1189" s="165" t="s">
        <v>14</v>
      </c>
      <c r="C1189" s="165" t="s">
        <v>1888</v>
      </c>
      <c r="D1189" s="165" t="s">
        <v>15</v>
      </c>
      <c r="E1189" s="157">
        <v>41516</v>
      </c>
      <c r="F1189" s="165" t="s">
        <v>150</v>
      </c>
      <c r="G1189" s="165" t="s">
        <v>16</v>
      </c>
      <c r="H1189" s="165" t="s">
        <v>149</v>
      </c>
      <c r="I1189" s="165" t="s">
        <v>150</v>
      </c>
      <c r="J1189" s="165" t="s">
        <v>16</v>
      </c>
      <c r="K1189" s="165" t="s">
        <v>150</v>
      </c>
      <c r="L1189" s="165" t="s">
        <v>150</v>
      </c>
      <c r="M1189" s="165" t="s">
        <v>148</v>
      </c>
      <c r="N1189" s="165" t="s">
        <v>150</v>
      </c>
      <c r="O1189" s="165" t="s">
        <v>149</v>
      </c>
      <c r="P1189" s="165" t="s">
        <v>148</v>
      </c>
      <c r="Q1189" s="165" t="s">
        <v>149</v>
      </c>
      <c r="R1189" s="165" t="s">
        <v>149</v>
      </c>
      <c r="S1189" s="165" t="s">
        <v>148</v>
      </c>
      <c r="T1189" s="165" t="s">
        <v>148</v>
      </c>
      <c r="U1189" s="165" t="s">
        <v>148</v>
      </c>
      <c r="V1189" s="165" t="s">
        <v>148</v>
      </c>
      <c r="W1189" s="165" t="s">
        <v>16</v>
      </c>
      <c r="X1189" s="165" t="s">
        <v>148</v>
      </c>
      <c r="Y1189" s="165" t="s">
        <v>16</v>
      </c>
      <c r="Z1189" s="165" t="s">
        <v>16</v>
      </c>
      <c r="AA1189" s="165" t="s">
        <v>148</v>
      </c>
      <c r="AB1189" s="165" t="s">
        <v>16</v>
      </c>
      <c r="AC1189" s="165" t="s">
        <v>148</v>
      </c>
      <c r="AD1189" s="165" t="s">
        <v>16</v>
      </c>
      <c r="AE1189" s="165" t="s">
        <v>1889</v>
      </c>
      <c r="AF1189" s="165"/>
    </row>
    <row r="1190" spans="1:32" x14ac:dyDescent="0.3">
      <c r="A1190" s="165" t="s">
        <v>1897</v>
      </c>
      <c r="B1190" s="165" t="s">
        <v>14</v>
      </c>
      <c r="C1190" s="165" t="s">
        <v>1888</v>
      </c>
      <c r="D1190" s="165" t="s">
        <v>15</v>
      </c>
      <c r="E1190" s="157">
        <v>41516</v>
      </c>
      <c r="F1190" s="165" t="s">
        <v>16</v>
      </c>
      <c r="G1190" s="165" t="s">
        <v>16</v>
      </c>
      <c r="H1190" s="165" t="s">
        <v>16</v>
      </c>
      <c r="I1190" s="165" t="s">
        <v>149</v>
      </c>
      <c r="J1190" s="165" t="s">
        <v>16</v>
      </c>
      <c r="K1190" s="165" t="s">
        <v>16</v>
      </c>
      <c r="L1190" s="165" t="s">
        <v>16</v>
      </c>
      <c r="M1190" s="165" t="s">
        <v>16</v>
      </c>
      <c r="N1190" s="165" t="s">
        <v>149</v>
      </c>
      <c r="O1190" s="165" t="s">
        <v>16</v>
      </c>
      <c r="P1190" s="165" t="s">
        <v>16</v>
      </c>
      <c r="Q1190" s="165" t="s">
        <v>149</v>
      </c>
      <c r="R1190" s="165" t="s">
        <v>16</v>
      </c>
      <c r="S1190" s="165" t="s">
        <v>16</v>
      </c>
      <c r="T1190" s="165" t="s">
        <v>16</v>
      </c>
      <c r="U1190" s="165" t="s">
        <v>16</v>
      </c>
      <c r="V1190" s="165" t="s">
        <v>16</v>
      </c>
      <c r="W1190" s="165" t="s">
        <v>16</v>
      </c>
      <c r="X1190" s="165" t="s">
        <v>149</v>
      </c>
      <c r="Y1190" s="165" t="s">
        <v>16</v>
      </c>
      <c r="Z1190" s="165" t="s">
        <v>16</v>
      </c>
      <c r="AA1190" s="165" t="s">
        <v>16</v>
      </c>
      <c r="AB1190" s="165" t="s">
        <v>16</v>
      </c>
      <c r="AC1190" s="165" t="s">
        <v>16</v>
      </c>
      <c r="AD1190" s="165" t="s">
        <v>16</v>
      </c>
      <c r="AE1190" s="165" t="s">
        <v>1895</v>
      </c>
      <c r="AF1190" s="165"/>
    </row>
    <row r="1191" spans="1:32" x14ac:dyDescent="0.3">
      <c r="A1191" s="165" t="s">
        <v>1898</v>
      </c>
      <c r="B1191" s="165" t="s">
        <v>14</v>
      </c>
      <c r="C1191" s="165" t="s">
        <v>1888</v>
      </c>
      <c r="D1191" s="165" t="s">
        <v>15</v>
      </c>
      <c r="E1191" s="157">
        <v>41516</v>
      </c>
      <c r="F1191" s="165" t="s">
        <v>16</v>
      </c>
      <c r="G1191" s="165" t="s">
        <v>16</v>
      </c>
      <c r="H1191" s="165" t="s">
        <v>16</v>
      </c>
      <c r="I1191" s="165" t="s">
        <v>16</v>
      </c>
      <c r="J1191" s="165" t="s">
        <v>16</v>
      </c>
      <c r="K1191" s="165" t="s">
        <v>16</v>
      </c>
      <c r="L1191" s="165" t="s">
        <v>16</v>
      </c>
      <c r="M1191" s="165" t="s">
        <v>16</v>
      </c>
      <c r="N1191" s="165" t="s">
        <v>16</v>
      </c>
      <c r="O1191" s="165" t="s">
        <v>16</v>
      </c>
      <c r="P1191" s="165" t="s">
        <v>16</v>
      </c>
      <c r="Q1191" s="165" t="s">
        <v>16</v>
      </c>
      <c r="R1191" s="165" t="s">
        <v>16</v>
      </c>
      <c r="S1191" s="165" t="s">
        <v>16</v>
      </c>
      <c r="T1191" s="165" t="s">
        <v>16</v>
      </c>
      <c r="U1191" s="165" t="s">
        <v>16</v>
      </c>
      <c r="V1191" s="165" t="s">
        <v>16</v>
      </c>
      <c r="W1191" s="165" t="s">
        <v>16</v>
      </c>
      <c r="X1191" s="165" t="s">
        <v>16</v>
      </c>
      <c r="Y1191" s="165" t="s">
        <v>16</v>
      </c>
      <c r="Z1191" s="165" t="s">
        <v>16</v>
      </c>
      <c r="AA1191" s="165" t="s">
        <v>16</v>
      </c>
      <c r="AB1191" s="165" t="s">
        <v>16</v>
      </c>
      <c r="AC1191" s="165" t="s">
        <v>16</v>
      </c>
      <c r="AD1191" s="165" t="s">
        <v>16</v>
      </c>
      <c r="AE1191" s="165" t="s">
        <v>1889</v>
      </c>
      <c r="AF1191" s="165"/>
    </row>
    <row r="1192" spans="1:32" x14ac:dyDescent="0.3">
      <c r="A1192" s="165" t="s">
        <v>1899</v>
      </c>
      <c r="B1192" s="165" t="s">
        <v>14</v>
      </c>
      <c r="C1192" s="165" t="s">
        <v>1888</v>
      </c>
      <c r="D1192" s="165" t="s">
        <v>15</v>
      </c>
      <c r="E1192" s="157">
        <v>41516</v>
      </c>
      <c r="F1192" s="165" t="s">
        <v>16</v>
      </c>
      <c r="G1192" s="165" t="s">
        <v>16</v>
      </c>
      <c r="H1192" s="165" t="s">
        <v>16</v>
      </c>
      <c r="I1192" s="165" t="s">
        <v>16</v>
      </c>
      <c r="J1192" s="165" t="s">
        <v>16</v>
      </c>
      <c r="K1192" s="165" t="s">
        <v>16</v>
      </c>
      <c r="L1192" s="165" t="s">
        <v>16</v>
      </c>
      <c r="M1192" s="165" t="s">
        <v>16</v>
      </c>
      <c r="N1192" s="165" t="s">
        <v>16</v>
      </c>
      <c r="O1192" s="165" t="s">
        <v>16</v>
      </c>
      <c r="P1192" s="165" t="s">
        <v>16</v>
      </c>
      <c r="Q1192" s="165" t="s">
        <v>148</v>
      </c>
      <c r="R1192" s="165" t="s">
        <v>16</v>
      </c>
      <c r="S1192" s="165" t="s">
        <v>16</v>
      </c>
      <c r="T1192" s="165" t="s">
        <v>148</v>
      </c>
      <c r="U1192" s="165" t="s">
        <v>16</v>
      </c>
      <c r="V1192" s="165" t="s">
        <v>16</v>
      </c>
      <c r="W1192" s="165" t="s">
        <v>148</v>
      </c>
      <c r="X1192" s="165" t="s">
        <v>16</v>
      </c>
      <c r="Y1192" s="165" t="s">
        <v>16</v>
      </c>
      <c r="Z1192" s="165" t="s">
        <v>16</v>
      </c>
      <c r="AA1192" s="165" t="s">
        <v>16</v>
      </c>
      <c r="AB1192" s="165" t="s">
        <v>149</v>
      </c>
      <c r="AC1192" s="165" t="s">
        <v>148</v>
      </c>
      <c r="AD1192" s="165" t="s">
        <v>16</v>
      </c>
      <c r="AE1192" s="165" t="s">
        <v>1889</v>
      </c>
      <c r="AF1192" s="165"/>
    </row>
    <row r="1193" spans="1:32" x14ac:dyDescent="0.3">
      <c r="A1193" s="165" t="s">
        <v>1900</v>
      </c>
      <c r="B1193" s="165" t="s">
        <v>14</v>
      </c>
      <c r="C1193" s="165" t="s">
        <v>1888</v>
      </c>
      <c r="D1193" s="165" t="s">
        <v>15</v>
      </c>
      <c r="E1193" s="157">
        <v>41516</v>
      </c>
      <c r="F1193" s="165" t="s">
        <v>16</v>
      </c>
      <c r="G1193" s="165" t="s">
        <v>16</v>
      </c>
      <c r="H1193" s="165" t="s">
        <v>148</v>
      </c>
      <c r="I1193" s="165" t="s">
        <v>148</v>
      </c>
      <c r="J1193" s="165" t="s">
        <v>16</v>
      </c>
      <c r="K1193" s="165" t="s">
        <v>148</v>
      </c>
      <c r="L1193" s="165" t="s">
        <v>148</v>
      </c>
      <c r="M1193" s="165" t="s">
        <v>148</v>
      </c>
      <c r="N1193" s="165" t="s">
        <v>16</v>
      </c>
      <c r="O1193" s="165" t="s">
        <v>16</v>
      </c>
      <c r="P1193" s="165" t="s">
        <v>148</v>
      </c>
      <c r="Q1193" s="165" t="s">
        <v>16</v>
      </c>
      <c r="R1193" s="165" t="s">
        <v>148</v>
      </c>
      <c r="S1193" s="165" t="s">
        <v>16</v>
      </c>
      <c r="T1193" s="165" t="s">
        <v>16</v>
      </c>
      <c r="U1193" s="165" t="s">
        <v>148</v>
      </c>
      <c r="V1193" s="165" t="s">
        <v>149</v>
      </c>
      <c r="W1193" s="165" t="s">
        <v>148</v>
      </c>
      <c r="X1193" s="165" t="s">
        <v>16</v>
      </c>
      <c r="Y1193" s="165" t="s">
        <v>16</v>
      </c>
      <c r="Z1193" s="165" t="s">
        <v>16</v>
      </c>
      <c r="AA1193" s="165" t="s">
        <v>148</v>
      </c>
      <c r="AB1193" s="165" t="s">
        <v>151</v>
      </c>
      <c r="AC1193" s="165" t="s">
        <v>150</v>
      </c>
      <c r="AD1193" s="165" t="s">
        <v>149</v>
      </c>
      <c r="AE1193" s="165" t="s">
        <v>1895</v>
      </c>
      <c r="AF1193" s="165"/>
    </row>
    <row r="1194" spans="1:32" x14ac:dyDescent="0.3">
      <c r="A1194" s="165" t="s">
        <v>1901</v>
      </c>
      <c r="B1194" s="165" t="s">
        <v>14</v>
      </c>
      <c r="C1194" s="165" t="s">
        <v>1888</v>
      </c>
      <c r="D1194" s="165" t="s">
        <v>15</v>
      </c>
      <c r="E1194" s="157">
        <v>41516</v>
      </c>
      <c r="F1194" s="165" t="s">
        <v>16</v>
      </c>
      <c r="G1194" s="165" t="s">
        <v>16</v>
      </c>
      <c r="H1194" s="165" t="s">
        <v>16</v>
      </c>
      <c r="I1194" s="165" t="s">
        <v>16</v>
      </c>
      <c r="J1194" s="165" t="s">
        <v>16</v>
      </c>
      <c r="K1194" s="165" t="s">
        <v>16</v>
      </c>
      <c r="L1194" s="165" t="s">
        <v>16</v>
      </c>
      <c r="M1194" s="165" t="s">
        <v>16</v>
      </c>
      <c r="N1194" s="165" t="s">
        <v>16</v>
      </c>
      <c r="O1194" s="165" t="s">
        <v>16</v>
      </c>
      <c r="P1194" s="165" t="s">
        <v>16</v>
      </c>
      <c r="Q1194" s="165" t="s">
        <v>16</v>
      </c>
      <c r="R1194" s="165" t="s">
        <v>16</v>
      </c>
      <c r="S1194" s="165" t="s">
        <v>16</v>
      </c>
      <c r="T1194" s="165" t="s">
        <v>16</v>
      </c>
      <c r="U1194" s="165" t="s">
        <v>16</v>
      </c>
      <c r="V1194" s="165" t="s">
        <v>16</v>
      </c>
      <c r="W1194" s="165" t="s">
        <v>16</v>
      </c>
      <c r="X1194" s="165" t="s">
        <v>16</v>
      </c>
      <c r="Y1194" s="165" t="s">
        <v>16</v>
      </c>
      <c r="Z1194" s="165" t="s">
        <v>16</v>
      </c>
      <c r="AA1194" s="165" t="s">
        <v>16</v>
      </c>
      <c r="AB1194" s="165" t="s">
        <v>16</v>
      </c>
      <c r="AC1194" s="165" t="s">
        <v>16</v>
      </c>
      <c r="AD1194" s="165" t="s">
        <v>16</v>
      </c>
      <c r="AE1194" s="165" t="s">
        <v>1889</v>
      </c>
      <c r="AF1194" s="165"/>
    </row>
    <row r="1195" spans="1:32" x14ac:dyDescent="0.3">
      <c r="A1195" s="165" t="s">
        <v>1902</v>
      </c>
      <c r="B1195" s="165" t="s">
        <v>14</v>
      </c>
      <c r="C1195" s="165" t="s">
        <v>1888</v>
      </c>
      <c r="D1195" s="165" t="s">
        <v>15</v>
      </c>
      <c r="E1195" s="157">
        <v>41516</v>
      </c>
      <c r="F1195" s="165" t="s">
        <v>148</v>
      </c>
      <c r="G1195" s="165" t="s">
        <v>16</v>
      </c>
      <c r="H1195" s="165" t="s">
        <v>148</v>
      </c>
      <c r="I1195" s="165" t="s">
        <v>148</v>
      </c>
      <c r="J1195" s="165" t="s">
        <v>148</v>
      </c>
      <c r="K1195" s="165" t="s">
        <v>16</v>
      </c>
      <c r="L1195" s="165" t="s">
        <v>148</v>
      </c>
      <c r="M1195" s="165" t="s">
        <v>150</v>
      </c>
      <c r="N1195" s="165" t="s">
        <v>16</v>
      </c>
      <c r="O1195" s="165" t="s">
        <v>148</v>
      </c>
      <c r="P1195" s="165" t="s">
        <v>148</v>
      </c>
      <c r="Q1195" s="165" t="s">
        <v>148</v>
      </c>
      <c r="R1195" s="165" t="s">
        <v>148</v>
      </c>
      <c r="S1195" s="165" t="s">
        <v>148</v>
      </c>
      <c r="T1195" s="165" t="s">
        <v>148</v>
      </c>
      <c r="U1195" s="165" t="s">
        <v>148</v>
      </c>
      <c r="V1195" s="165" t="s">
        <v>148</v>
      </c>
      <c r="W1195" s="165" t="s">
        <v>148</v>
      </c>
      <c r="X1195" s="165" t="s">
        <v>148</v>
      </c>
      <c r="Y1195" s="165" t="s">
        <v>16</v>
      </c>
      <c r="Z1195" s="165" t="s">
        <v>16</v>
      </c>
      <c r="AA1195" s="165" t="s">
        <v>148</v>
      </c>
      <c r="AB1195" s="165" t="s">
        <v>16</v>
      </c>
      <c r="AC1195" s="165" t="s">
        <v>148</v>
      </c>
      <c r="AD1195" s="165" t="s">
        <v>16</v>
      </c>
      <c r="AE1195" s="165" t="s">
        <v>1895</v>
      </c>
      <c r="AF1195" s="165"/>
    </row>
    <row r="1196" spans="1:32" x14ac:dyDescent="0.3">
      <c r="A1196" s="165" t="s">
        <v>1903</v>
      </c>
      <c r="B1196" s="165" t="s">
        <v>14</v>
      </c>
      <c r="C1196" s="165" t="s">
        <v>1888</v>
      </c>
      <c r="D1196" s="165" t="s">
        <v>15</v>
      </c>
      <c r="E1196" s="157">
        <v>41516</v>
      </c>
      <c r="F1196" s="165" t="s">
        <v>16</v>
      </c>
      <c r="G1196" s="165" t="s">
        <v>148</v>
      </c>
      <c r="H1196" s="165" t="s">
        <v>148</v>
      </c>
      <c r="I1196" s="165" t="s">
        <v>148</v>
      </c>
      <c r="J1196" s="165" t="s">
        <v>148</v>
      </c>
      <c r="K1196" s="165" t="s">
        <v>148</v>
      </c>
      <c r="L1196" s="165" t="s">
        <v>148</v>
      </c>
      <c r="M1196" s="165" t="s">
        <v>16</v>
      </c>
      <c r="N1196" s="165" t="s">
        <v>16</v>
      </c>
      <c r="O1196" s="165" t="s">
        <v>16</v>
      </c>
      <c r="P1196" s="165" t="s">
        <v>16</v>
      </c>
      <c r="Q1196" s="165" t="s">
        <v>16</v>
      </c>
      <c r="R1196" s="165" t="s">
        <v>148</v>
      </c>
      <c r="S1196" s="165" t="s">
        <v>148</v>
      </c>
      <c r="T1196" s="165" t="s">
        <v>148</v>
      </c>
      <c r="U1196" s="165" t="s">
        <v>16</v>
      </c>
      <c r="V1196" s="165" t="s">
        <v>148</v>
      </c>
      <c r="W1196" s="165" t="s">
        <v>148</v>
      </c>
      <c r="X1196" s="165" t="s">
        <v>148</v>
      </c>
      <c r="Y1196" s="165" t="s">
        <v>148</v>
      </c>
      <c r="Z1196" s="165" t="s">
        <v>16</v>
      </c>
      <c r="AA1196" s="165" t="s">
        <v>16</v>
      </c>
      <c r="AB1196" s="165" t="s">
        <v>16</v>
      </c>
      <c r="AC1196" s="165" t="s">
        <v>148</v>
      </c>
      <c r="AD1196" s="165" t="s">
        <v>148</v>
      </c>
      <c r="AE1196" s="165" t="s">
        <v>1904</v>
      </c>
      <c r="AF1196" s="165"/>
    </row>
    <row r="1197" spans="1:32" x14ac:dyDescent="0.3">
      <c r="A1197" s="165" t="s">
        <v>1905</v>
      </c>
      <c r="B1197" s="165" t="s">
        <v>14</v>
      </c>
      <c r="C1197" s="165" t="s">
        <v>1888</v>
      </c>
      <c r="D1197" s="165" t="s">
        <v>15</v>
      </c>
      <c r="E1197" s="157">
        <v>41516</v>
      </c>
      <c r="F1197" s="165" t="s">
        <v>16</v>
      </c>
      <c r="G1197" s="165" t="s">
        <v>16</v>
      </c>
      <c r="H1197" s="165" t="s">
        <v>16</v>
      </c>
      <c r="I1197" s="165" t="s">
        <v>16</v>
      </c>
      <c r="J1197" s="165" t="s">
        <v>16</v>
      </c>
      <c r="K1197" s="165" t="s">
        <v>16</v>
      </c>
      <c r="L1197" s="165" t="s">
        <v>16</v>
      </c>
      <c r="M1197" s="165" t="s">
        <v>16</v>
      </c>
      <c r="N1197" s="165" t="s">
        <v>148</v>
      </c>
      <c r="O1197" s="165" t="s">
        <v>148</v>
      </c>
      <c r="P1197" s="165" t="s">
        <v>16</v>
      </c>
      <c r="Q1197" s="165" t="s">
        <v>16</v>
      </c>
      <c r="R1197" s="165" t="s">
        <v>16</v>
      </c>
      <c r="S1197" s="165" t="s">
        <v>16</v>
      </c>
      <c r="T1197" s="165" t="s">
        <v>148</v>
      </c>
      <c r="U1197" s="165" t="s">
        <v>148</v>
      </c>
      <c r="V1197" s="165" t="s">
        <v>16</v>
      </c>
      <c r="W1197" s="165" t="s">
        <v>16</v>
      </c>
      <c r="X1197" s="165" t="s">
        <v>16</v>
      </c>
      <c r="Y1197" s="165" t="s">
        <v>16</v>
      </c>
      <c r="Z1197" s="165" t="s">
        <v>16</v>
      </c>
      <c r="AA1197" s="165" t="s">
        <v>16</v>
      </c>
      <c r="AB1197" s="165" t="s">
        <v>16</v>
      </c>
      <c r="AC1197" s="165" t="s">
        <v>148</v>
      </c>
      <c r="AD1197" s="165" t="s">
        <v>16</v>
      </c>
      <c r="AE1197" s="165" t="s">
        <v>1889</v>
      </c>
      <c r="AF1197" s="165"/>
    </row>
    <row r="1198" spans="1:32" x14ac:dyDescent="0.3">
      <c r="A1198" s="165" t="s">
        <v>1906</v>
      </c>
      <c r="B1198" s="165" t="s">
        <v>14</v>
      </c>
      <c r="C1198" s="165" t="s">
        <v>1888</v>
      </c>
      <c r="D1198" s="165" t="s">
        <v>15</v>
      </c>
      <c r="E1198" s="157">
        <v>41516</v>
      </c>
      <c r="F1198" s="165" t="s">
        <v>16</v>
      </c>
      <c r="G1198" s="165" t="s">
        <v>16</v>
      </c>
      <c r="H1198" s="165" t="s">
        <v>16</v>
      </c>
      <c r="I1198" s="165" t="s">
        <v>16</v>
      </c>
      <c r="J1198" s="165" t="s">
        <v>16</v>
      </c>
      <c r="K1198" s="165" t="s">
        <v>16</v>
      </c>
      <c r="L1198" s="165" t="s">
        <v>16</v>
      </c>
      <c r="M1198" s="165" t="s">
        <v>16</v>
      </c>
      <c r="N1198" s="165" t="s">
        <v>16</v>
      </c>
      <c r="O1198" s="165" t="s">
        <v>16</v>
      </c>
      <c r="P1198" s="165" t="s">
        <v>16</v>
      </c>
      <c r="Q1198" s="165" t="s">
        <v>16</v>
      </c>
      <c r="R1198" s="165" t="s">
        <v>16</v>
      </c>
      <c r="S1198" s="165" t="s">
        <v>16</v>
      </c>
      <c r="T1198" s="165" t="s">
        <v>16</v>
      </c>
      <c r="U1198" s="165" t="s">
        <v>16</v>
      </c>
      <c r="V1198" s="165" t="s">
        <v>16</v>
      </c>
      <c r="W1198" s="165" t="s">
        <v>16</v>
      </c>
      <c r="X1198" s="165" t="s">
        <v>16</v>
      </c>
      <c r="Y1198" s="165" t="s">
        <v>16</v>
      </c>
      <c r="Z1198" s="165" t="s">
        <v>16</v>
      </c>
      <c r="AA1198" s="165" t="s">
        <v>16</v>
      </c>
      <c r="AB1198" s="165" t="s">
        <v>16</v>
      </c>
      <c r="AC1198" s="165" t="s">
        <v>16</v>
      </c>
      <c r="AD1198" s="165" t="s">
        <v>148</v>
      </c>
      <c r="AE1198" s="165" t="s">
        <v>1907</v>
      </c>
      <c r="AF1198" s="165"/>
    </row>
    <row r="1199" spans="1:32" x14ac:dyDescent="0.3">
      <c r="A1199" s="165" t="s">
        <v>1908</v>
      </c>
      <c r="B1199" s="165" t="s">
        <v>14</v>
      </c>
      <c r="C1199" s="165" t="s">
        <v>1888</v>
      </c>
      <c r="D1199" s="165" t="s">
        <v>15</v>
      </c>
      <c r="E1199" s="157">
        <v>41516</v>
      </c>
      <c r="F1199" s="165" t="s">
        <v>16</v>
      </c>
      <c r="G1199" s="165" t="s">
        <v>16</v>
      </c>
      <c r="H1199" s="165" t="s">
        <v>148</v>
      </c>
      <c r="I1199" s="165" t="s">
        <v>148</v>
      </c>
      <c r="J1199" s="165" t="s">
        <v>16</v>
      </c>
      <c r="K1199" s="165" t="s">
        <v>148</v>
      </c>
      <c r="L1199" s="165" t="s">
        <v>16</v>
      </c>
      <c r="M1199" s="165" t="s">
        <v>148</v>
      </c>
      <c r="N1199" s="165" t="s">
        <v>148</v>
      </c>
      <c r="O1199" s="165" t="s">
        <v>148</v>
      </c>
      <c r="P1199" s="165" t="s">
        <v>16</v>
      </c>
      <c r="Q1199" s="165" t="s">
        <v>16</v>
      </c>
      <c r="R1199" s="165" t="s">
        <v>148</v>
      </c>
      <c r="S1199" s="165" t="s">
        <v>148</v>
      </c>
      <c r="T1199" s="165" t="s">
        <v>148</v>
      </c>
      <c r="U1199" s="165" t="s">
        <v>16</v>
      </c>
      <c r="V1199" s="165" t="s">
        <v>16</v>
      </c>
      <c r="W1199" s="165" t="s">
        <v>148</v>
      </c>
      <c r="X1199" s="165" t="s">
        <v>148</v>
      </c>
      <c r="Y1199" s="165" t="s">
        <v>16</v>
      </c>
      <c r="Z1199" s="165" t="s">
        <v>16</v>
      </c>
      <c r="AA1199" s="165" t="s">
        <v>16</v>
      </c>
      <c r="AB1199" s="165" t="s">
        <v>16</v>
      </c>
      <c r="AC1199" s="165" t="s">
        <v>148</v>
      </c>
      <c r="AD1199" s="165" t="s">
        <v>16</v>
      </c>
      <c r="AE1199" s="165" t="s">
        <v>1895</v>
      </c>
      <c r="AF1199" s="165"/>
    </row>
    <row r="1200" spans="1:32" x14ac:dyDescent="0.3">
      <c r="A1200" s="165" t="s">
        <v>1909</v>
      </c>
      <c r="B1200" s="165" t="s">
        <v>14</v>
      </c>
      <c r="C1200" s="165" t="s">
        <v>1888</v>
      </c>
      <c r="D1200" s="165" t="s">
        <v>15</v>
      </c>
      <c r="E1200" s="157">
        <v>41516</v>
      </c>
      <c r="F1200" s="165" t="s">
        <v>148</v>
      </c>
      <c r="G1200" s="165" t="s">
        <v>16</v>
      </c>
      <c r="H1200" s="165" t="s">
        <v>16</v>
      </c>
      <c r="I1200" s="165" t="s">
        <v>16</v>
      </c>
      <c r="J1200" s="165" t="s">
        <v>148</v>
      </c>
      <c r="K1200" s="165" t="s">
        <v>16</v>
      </c>
      <c r="L1200" s="165" t="s">
        <v>16</v>
      </c>
      <c r="M1200" s="165" t="s">
        <v>148</v>
      </c>
      <c r="N1200" s="165" t="s">
        <v>16</v>
      </c>
      <c r="O1200" s="165" t="s">
        <v>148</v>
      </c>
      <c r="P1200" s="165" t="s">
        <v>16</v>
      </c>
      <c r="Q1200" s="165" t="s">
        <v>148</v>
      </c>
      <c r="R1200" s="165" t="s">
        <v>16</v>
      </c>
      <c r="S1200" s="165" t="s">
        <v>16</v>
      </c>
      <c r="T1200" s="165" t="s">
        <v>16</v>
      </c>
      <c r="U1200" s="165" t="s">
        <v>16</v>
      </c>
      <c r="V1200" s="165" t="s">
        <v>16</v>
      </c>
      <c r="W1200" s="165" t="s">
        <v>148</v>
      </c>
      <c r="X1200" s="165" t="s">
        <v>148</v>
      </c>
      <c r="Y1200" s="165" t="s">
        <v>16</v>
      </c>
      <c r="Z1200" s="165" t="s">
        <v>16</v>
      </c>
      <c r="AA1200" s="165" t="s">
        <v>148</v>
      </c>
      <c r="AB1200" s="165" t="s">
        <v>16</v>
      </c>
      <c r="AC1200" s="165" t="s">
        <v>16</v>
      </c>
      <c r="AD1200" s="165" t="s">
        <v>16</v>
      </c>
      <c r="AE1200" s="165" t="s">
        <v>1895</v>
      </c>
      <c r="AF1200" s="165" t="s">
        <v>1910</v>
      </c>
    </row>
    <row r="1201" spans="1:32" x14ac:dyDescent="0.3">
      <c r="A1201" s="165" t="s">
        <v>1911</v>
      </c>
      <c r="B1201" s="165" t="s">
        <v>14</v>
      </c>
      <c r="C1201" s="165" t="s">
        <v>1888</v>
      </c>
      <c r="D1201" s="165" t="s">
        <v>15</v>
      </c>
      <c r="E1201" s="157">
        <v>41516</v>
      </c>
      <c r="F1201" s="165" t="s">
        <v>16</v>
      </c>
      <c r="G1201" s="165" t="s">
        <v>16</v>
      </c>
      <c r="H1201" s="165" t="s">
        <v>16</v>
      </c>
      <c r="I1201" s="165" t="s">
        <v>16</v>
      </c>
      <c r="J1201" s="165" t="s">
        <v>151</v>
      </c>
      <c r="K1201" s="165" t="s">
        <v>16</v>
      </c>
      <c r="L1201" s="165" t="s">
        <v>148</v>
      </c>
      <c r="M1201" s="165" t="s">
        <v>148</v>
      </c>
      <c r="N1201" s="165" t="s">
        <v>148</v>
      </c>
      <c r="O1201" s="165" t="s">
        <v>16</v>
      </c>
      <c r="P1201" s="165" t="s">
        <v>16</v>
      </c>
      <c r="Q1201" s="165" t="s">
        <v>16</v>
      </c>
      <c r="R1201" s="165" t="s">
        <v>16</v>
      </c>
      <c r="S1201" s="165" t="s">
        <v>16</v>
      </c>
      <c r="T1201" s="165" t="s">
        <v>148</v>
      </c>
      <c r="U1201" s="165" t="s">
        <v>148</v>
      </c>
      <c r="V1201" s="165" t="s">
        <v>149</v>
      </c>
      <c r="W1201" s="165" t="s">
        <v>16</v>
      </c>
      <c r="X1201" s="165" t="s">
        <v>148</v>
      </c>
      <c r="Y1201" s="165" t="s">
        <v>148</v>
      </c>
      <c r="Z1201" s="165" t="s">
        <v>16</v>
      </c>
      <c r="AA1201" s="165" t="s">
        <v>16</v>
      </c>
      <c r="AB1201" s="165" t="s">
        <v>16</v>
      </c>
      <c r="AC1201" s="165" t="s">
        <v>150</v>
      </c>
      <c r="AD1201" s="165" t="s">
        <v>16</v>
      </c>
      <c r="AE1201" s="165" t="s">
        <v>1907</v>
      </c>
      <c r="AF1201" s="165"/>
    </row>
    <row r="1202" spans="1:32" x14ac:dyDescent="0.3">
      <c r="A1202" s="165" t="s">
        <v>1912</v>
      </c>
      <c r="B1202" s="165" t="s">
        <v>14</v>
      </c>
      <c r="C1202" s="165" t="s">
        <v>1888</v>
      </c>
      <c r="D1202" s="165" t="s">
        <v>15</v>
      </c>
      <c r="E1202" s="157">
        <v>41516</v>
      </c>
      <c r="F1202" s="165" t="s">
        <v>148</v>
      </c>
      <c r="G1202" s="165" t="s">
        <v>16</v>
      </c>
      <c r="H1202" s="165" t="s">
        <v>16</v>
      </c>
      <c r="I1202" s="165" t="s">
        <v>16</v>
      </c>
      <c r="J1202" s="165" t="s">
        <v>16</v>
      </c>
      <c r="K1202" s="165" t="s">
        <v>16</v>
      </c>
      <c r="L1202" s="165" t="s">
        <v>16</v>
      </c>
      <c r="M1202" s="165" t="s">
        <v>16</v>
      </c>
      <c r="N1202" s="165" t="s">
        <v>16</v>
      </c>
      <c r="O1202" s="165" t="s">
        <v>16</v>
      </c>
      <c r="P1202" s="165" t="s">
        <v>16</v>
      </c>
      <c r="Q1202" s="165" t="s">
        <v>16</v>
      </c>
      <c r="R1202" s="165" t="s">
        <v>16</v>
      </c>
      <c r="S1202" s="165" t="s">
        <v>16</v>
      </c>
      <c r="T1202" s="165" t="s">
        <v>16</v>
      </c>
      <c r="U1202" s="165" t="s">
        <v>16</v>
      </c>
      <c r="V1202" s="165" t="s">
        <v>16</v>
      </c>
      <c r="W1202" s="165" t="s">
        <v>16</v>
      </c>
      <c r="X1202" s="165" t="s">
        <v>16</v>
      </c>
      <c r="Y1202" s="165" t="s">
        <v>16</v>
      </c>
      <c r="Z1202" s="165" t="s">
        <v>16</v>
      </c>
      <c r="AA1202" s="165" t="s">
        <v>16</v>
      </c>
      <c r="AB1202" s="165" t="s">
        <v>16</v>
      </c>
      <c r="AC1202" s="165" t="s">
        <v>16</v>
      </c>
      <c r="AD1202" s="165" t="s">
        <v>16</v>
      </c>
      <c r="AE1202" s="165" t="s">
        <v>1895</v>
      </c>
      <c r="AF1202" s="165"/>
    </row>
    <row r="1203" spans="1:32" x14ac:dyDescent="0.3">
      <c r="A1203" s="165" t="s">
        <v>1913</v>
      </c>
      <c r="B1203" s="165" t="s">
        <v>14</v>
      </c>
      <c r="C1203" s="165" t="s">
        <v>1888</v>
      </c>
      <c r="D1203" s="165" t="s">
        <v>15</v>
      </c>
      <c r="E1203" s="157">
        <v>41516</v>
      </c>
      <c r="F1203" s="165" t="s">
        <v>16</v>
      </c>
      <c r="G1203" s="165" t="s">
        <v>16</v>
      </c>
      <c r="H1203" s="165" t="s">
        <v>16</v>
      </c>
      <c r="I1203" s="165" t="s">
        <v>16</v>
      </c>
      <c r="J1203" s="165" t="s">
        <v>16</v>
      </c>
      <c r="K1203" s="165" t="s">
        <v>16</v>
      </c>
      <c r="L1203" s="165" t="s">
        <v>16</v>
      </c>
      <c r="M1203" s="165" t="s">
        <v>16</v>
      </c>
      <c r="N1203" s="165" t="s">
        <v>16</v>
      </c>
      <c r="O1203" s="165" t="s">
        <v>16</v>
      </c>
      <c r="P1203" s="165" t="s">
        <v>16</v>
      </c>
      <c r="Q1203" s="165" t="s">
        <v>16</v>
      </c>
      <c r="R1203" s="165" t="s">
        <v>16</v>
      </c>
      <c r="S1203" s="165" t="s">
        <v>16</v>
      </c>
      <c r="T1203" s="165" t="s">
        <v>16</v>
      </c>
      <c r="U1203" s="165" t="s">
        <v>16</v>
      </c>
      <c r="V1203" s="165" t="s">
        <v>16</v>
      </c>
      <c r="W1203" s="165" t="s">
        <v>16</v>
      </c>
      <c r="X1203" s="165" t="s">
        <v>16</v>
      </c>
      <c r="Y1203" s="165" t="s">
        <v>16</v>
      </c>
      <c r="Z1203" s="165" t="s">
        <v>16</v>
      </c>
      <c r="AA1203" s="165" t="s">
        <v>16</v>
      </c>
      <c r="AB1203" s="165" t="s">
        <v>16</v>
      </c>
      <c r="AC1203" s="165" t="s">
        <v>16</v>
      </c>
      <c r="AD1203" s="165" t="s">
        <v>16</v>
      </c>
      <c r="AE1203" s="165" t="s">
        <v>1895</v>
      </c>
      <c r="AF1203" s="165"/>
    </row>
    <row r="1204" spans="1:32" x14ac:dyDescent="0.3">
      <c r="A1204" s="165" t="s">
        <v>1914</v>
      </c>
      <c r="B1204" s="165" t="s">
        <v>14</v>
      </c>
      <c r="C1204" s="165" t="s">
        <v>1888</v>
      </c>
      <c r="D1204" s="165" t="s">
        <v>15</v>
      </c>
      <c r="E1204" s="157">
        <v>41516</v>
      </c>
      <c r="F1204" s="165" t="s">
        <v>16</v>
      </c>
      <c r="G1204" s="165" t="s">
        <v>16</v>
      </c>
      <c r="H1204" s="165" t="s">
        <v>149</v>
      </c>
      <c r="I1204" s="165" t="s">
        <v>149</v>
      </c>
      <c r="J1204" s="165" t="s">
        <v>16</v>
      </c>
      <c r="K1204" s="165" t="s">
        <v>16</v>
      </c>
      <c r="L1204" s="165" t="s">
        <v>151</v>
      </c>
      <c r="M1204" s="165" t="s">
        <v>16</v>
      </c>
      <c r="N1204" s="165" t="s">
        <v>16</v>
      </c>
      <c r="O1204" s="165" t="s">
        <v>16</v>
      </c>
      <c r="P1204" s="165" t="s">
        <v>16</v>
      </c>
      <c r="Q1204" s="165" t="s">
        <v>16</v>
      </c>
      <c r="R1204" s="165" t="s">
        <v>151</v>
      </c>
      <c r="S1204" s="165" t="s">
        <v>16</v>
      </c>
      <c r="T1204" s="165" t="s">
        <v>16</v>
      </c>
      <c r="U1204" s="165" t="s">
        <v>151</v>
      </c>
      <c r="V1204" s="165" t="s">
        <v>149</v>
      </c>
      <c r="W1204" s="165" t="s">
        <v>16</v>
      </c>
      <c r="X1204" s="165" t="s">
        <v>16</v>
      </c>
      <c r="Y1204" s="165" t="s">
        <v>16</v>
      </c>
      <c r="Z1204" s="165" t="s">
        <v>16</v>
      </c>
      <c r="AA1204" s="165" t="s">
        <v>148</v>
      </c>
      <c r="AB1204" s="165" t="s">
        <v>16</v>
      </c>
      <c r="AC1204" s="165" t="s">
        <v>149</v>
      </c>
      <c r="AD1204" s="165" t="s">
        <v>16</v>
      </c>
      <c r="AE1204" s="165" t="s">
        <v>1895</v>
      </c>
      <c r="AF1204" s="165"/>
    </row>
    <row r="1205" spans="1:32" x14ac:dyDescent="0.3">
      <c r="A1205" s="165" t="s">
        <v>1915</v>
      </c>
      <c r="B1205" s="165" t="s">
        <v>14</v>
      </c>
      <c r="C1205" s="165" t="s">
        <v>1888</v>
      </c>
      <c r="D1205" s="165" t="s">
        <v>15</v>
      </c>
      <c r="E1205" s="157">
        <v>41516</v>
      </c>
      <c r="F1205" s="165" t="s">
        <v>16</v>
      </c>
      <c r="G1205" s="165" t="s">
        <v>16</v>
      </c>
      <c r="H1205" s="165" t="s">
        <v>16</v>
      </c>
      <c r="I1205" s="165" t="s">
        <v>16</v>
      </c>
      <c r="J1205" s="165" t="s">
        <v>114</v>
      </c>
      <c r="K1205" s="165" t="s">
        <v>16</v>
      </c>
      <c r="L1205" s="165" t="s">
        <v>16</v>
      </c>
      <c r="M1205" s="165" t="s">
        <v>16</v>
      </c>
      <c r="N1205" s="165" t="s">
        <v>16</v>
      </c>
      <c r="O1205" s="165" t="s">
        <v>16</v>
      </c>
      <c r="P1205" s="165" t="s">
        <v>148</v>
      </c>
      <c r="Q1205" s="165" t="s">
        <v>16</v>
      </c>
      <c r="R1205" s="165" t="s">
        <v>16</v>
      </c>
      <c r="S1205" s="165" t="s">
        <v>148</v>
      </c>
      <c r="T1205" s="165" t="s">
        <v>148</v>
      </c>
      <c r="U1205" s="165" t="s">
        <v>16</v>
      </c>
      <c r="V1205" s="165" t="s">
        <v>16</v>
      </c>
      <c r="W1205" s="165" t="s">
        <v>16</v>
      </c>
      <c r="X1205" s="165" t="s">
        <v>16</v>
      </c>
      <c r="Y1205" s="165" t="s">
        <v>16</v>
      </c>
      <c r="Z1205" s="165" t="s">
        <v>16</v>
      </c>
      <c r="AA1205" s="165" t="s">
        <v>148</v>
      </c>
      <c r="AB1205" s="165" t="s">
        <v>16</v>
      </c>
      <c r="AC1205" s="165" t="s">
        <v>16</v>
      </c>
      <c r="AD1205" s="165" t="s">
        <v>16</v>
      </c>
      <c r="AE1205" s="165" t="s">
        <v>1895</v>
      </c>
      <c r="AF1205" s="165"/>
    </row>
    <row r="1206" spans="1:32" x14ac:dyDescent="0.3">
      <c r="A1206" s="165" t="s">
        <v>1916</v>
      </c>
      <c r="B1206" s="165" t="s">
        <v>14</v>
      </c>
      <c r="C1206" s="165" t="s">
        <v>1888</v>
      </c>
      <c r="D1206" s="165" t="s">
        <v>15</v>
      </c>
      <c r="E1206" s="157">
        <v>41516</v>
      </c>
      <c r="F1206" s="165" t="s">
        <v>16</v>
      </c>
      <c r="G1206" s="165" t="s">
        <v>16</v>
      </c>
      <c r="H1206" s="165" t="s">
        <v>16</v>
      </c>
      <c r="I1206" s="165" t="s">
        <v>16</v>
      </c>
      <c r="J1206" s="165" t="s">
        <v>16</v>
      </c>
      <c r="K1206" s="165" t="s">
        <v>16</v>
      </c>
      <c r="L1206" s="165" t="s">
        <v>16</v>
      </c>
      <c r="M1206" s="165" t="s">
        <v>16</v>
      </c>
      <c r="N1206" s="165" t="s">
        <v>16</v>
      </c>
      <c r="O1206" s="165" t="s">
        <v>16</v>
      </c>
      <c r="P1206" s="165" t="s">
        <v>16</v>
      </c>
      <c r="Q1206" s="165" t="s">
        <v>16</v>
      </c>
      <c r="R1206" s="165" t="s">
        <v>16</v>
      </c>
      <c r="S1206" s="165" t="s">
        <v>16</v>
      </c>
      <c r="T1206" s="165" t="s">
        <v>16</v>
      </c>
      <c r="U1206" s="165" t="s">
        <v>16</v>
      </c>
      <c r="V1206" s="165" t="s">
        <v>16</v>
      </c>
      <c r="W1206" s="165" t="s">
        <v>16</v>
      </c>
      <c r="X1206" s="165" t="s">
        <v>16</v>
      </c>
      <c r="Y1206" s="165" t="s">
        <v>16</v>
      </c>
      <c r="Z1206" s="165" t="s">
        <v>16</v>
      </c>
      <c r="AA1206" s="165" t="s">
        <v>16</v>
      </c>
      <c r="AB1206" s="165" t="s">
        <v>16</v>
      </c>
      <c r="AC1206" s="165" t="s">
        <v>16</v>
      </c>
      <c r="AD1206" s="165" t="s">
        <v>16</v>
      </c>
      <c r="AE1206" s="165" t="s">
        <v>1907</v>
      </c>
      <c r="AF1206" s="165"/>
    </row>
    <row r="1207" spans="1:32" x14ac:dyDescent="0.3">
      <c r="A1207" s="165" t="s">
        <v>1917</v>
      </c>
      <c r="B1207" s="165" t="s">
        <v>14</v>
      </c>
      <c r="C1207" s="165" t="s">
        <v>1888</v>
      </c>
      <c r="D1207" s="165" t="s">
        <v>15</v>
      </c>
      <c r="E1207" s="157">
        <v>41516</v>
      </c>
      <c r="F1207" s="165" t="s">
        <v>16</v>
      </c>
      <c r="G1207" s="165" t="s">
        <v>16</v>
      </c>
      <c r="H1207" s="165" t="s">
        <v>16</v>
      </c>
      <c r="I1207" s="165" t="s">
        <v>16</v>
      </c>
      <c r="J1207" s="165" t="s">
        <v>16</v>
      </c>
      <c r="K1207" s="165" t="s">
        <v>16</v>
      </c>
      <c r="L1207" s="165" t="s">
        <v>16</v>
      </c>
      <c r="M1207" s="165" t="s">
        <v>16</v>
      </c>
      <c r="N1207" s="165" t="s">
        <v>148</v>
      </c>
      <c r="O1207" s="165" t="s">
        <v>16</v>
      </c>
      <c r="P1207" s="165" t="s">
        <v>16</v>
      </c>
      <c r="Q1207" s="165" t="s">
        <v>16</v>
      </c>
      <c r="R1207" s="165" t="s">
        <v>16</v>
      </c>
      <c r="S1207" s="165" t="s">
        <v>16</v>
      </c>
      <c r="T1207" s="165" t="s">
        <v>16</v>
      </c>
      <c r="U1207" s="165" t="s">
        <v>16</v>
      </c>
      <c r="V1207" s="165" t="s">
        <v>16</v>
      </c>
      <c r="W1207" s="165" t="s">
        <v>16</v>
      </c>
      <c r="X1207" s="165" t="s">
        <v>16</v>
      </c>
      <c r="Y1207" s="165" t="s">
        <v>148</v>
      </c>
      <c r="Z1207" s="165" t="s">
        <v>16</v>
      </c>
      <c r="AA1207" s="165" t="s">
        <v>16</v>
      </c>
      <c r="AB1207" s="165" t="s">
        <v>16</v>
      </c>
      <c r="AC1207" s="165" t="s">
        <v>16</v>
      </c>
      <c r="AD1207" s="165" t="s">
        <v>16</v>
      </c>
      <c r="AE1207" s="165" t="s">
        <v>1889</v>
      </c>
      <c r="AF1207" s="165"/>
    </row>
    <row r="1208" spans="1:32" x14ac:dyDescent="0.3">
      <c r="A1208" s="165" t="s">
        <v>1918</v>
      </c>
      <c r="B1208" s="165" t="s">
        <v>14</v>
      </c>
      <c r="C1208" s="165" t="s">
        <v>1888</v>
      </c>
      <c r="D1208" s="165" t="s">
        <v>15</v>
      </c>
      <c r="E1208" s="157">
        <v>41516</v>
      </c>
      <c r="F1208" s="165" t="s">
        <v>148</v>
      </c>
      <c r="G1208" s="165" t="s">
        <v>16</v>
      </c>
      <c r="H1208" s="165" t="s">
        <v>148</v>
      </c>
      <c r="I1208" s="165" t="s">
        <v>16</v>
      </c>
      <c r="J1208" s="165" t="s">
        <v>148</v>
      </c>
      <c r="K1208" s="165" t="s">
        <v>16</v>
      </c>
      <c r="L1208" s="165" t="s">
        <v>148</v>
      </c>
      <c r="M1208" s="165" t="s">
        <v>148</v>
      </c>
      <c r="N1208" s="165" t="s">
        <v>148</v>
      </c>
      <c r="O1208" s="165" t="s">
        <v>148</v>
      </c>
      <c r="P1208" s="165" t="s">
        <v>148</v>
      </c>
      <c r="Q1208" s="165" t="s">
        <v>16</v>
      </c>
      <c r="R1208" s="165" t="s">
        <v>16</v>
      </c>
      <c r="S1208" s="165" t="s">
        <v>150</v>
      </c>
      <c r="T1208" s="165" t="s">
        <v>16</v>
      </c>
      <c r="U1208" s="165" t="s">
        <v>16</v>
      </c>
      <c r="V1208" s="165" t="s">
        <v>16</v>
      </c>
      <c r="W1208" s="165" t="s">
        <v>148</v>
      </c>
      <c r="X1208" s="165" t="s">
        <v>148</v>
      </c>
      <c r="Y1208" s="165" t="s">
        <v>16</v>
      </c>
      <c r="Z1208" s="165" t="s">
        <v>148</v>
      </c>
      <c r="AA1208" s="165" t="s">
        <v>148</v>
      </c>
      <c r="AB1208" s="165" t="s">
        <v>148</v>
      </c>
      <c r="AC1208" s="165" t="s">
        <v>16</v>
      </c>
      <c r="AD1208" s="165" t="s">
        <v>148</v>
      </c>
      <c r="AE1208" s="165" t="s">
        <v>1895</v>
      </c>
      <c r="AF1208" s="165"/>
    </row>
    <row r="1209" spans="1:32" x14ac:dyDescent="0.3">
      <c r="A1209" s="165" t="s">
        <v>1919</v>
      </c>
      <c r="B1209" s="165" t="s">
        <v>14</v>
      </c>
      <c r="C1209" s="165" t="s">
        <v>1888</v>
      </c>
      <c r="D1209" s="165" t="s">
        <v>15</v>
      </c>
      <c r="E1209" s="157">
        <v>41516</v>
      </c>
      <c r="F1209" s="165" t="s">
        <v>16</v>
      </c>
      <c r="G1209" s="165" t="s">
        <v>16</v>
      </c>
      <c r="H1209" s="165" t="s">
        <v>16</v>
      </c>
      <c r="I1209" s="165" t="s">
        <v>16</v>
      </c>
      <c r="J1209" s="165" t="s">
        <v>16</v>
      </c>
      <c r="K1209" s="165" t="s">
        <v>16</v>
      </c>
      <c r="L1209" s="165" t="s">
        <v>16</v>
      </c>
      <c r="M1209" s="165" t="s">
        <v>16</v>
      </c>
      <c r="N1209" s="165" t="s">
        <v>16</v>
      </c>
      <c r="O1209" s="165" t="s">
        <v>16</v>
      </c>
      <c r="P1209" s="165" t="s">
        <v>16</v>
      </c>
      <c r="Q1209" s="165" t="s">
        <v>16</v>
      </c>
      <c r="R1209" s="165" t="s">
        <v>16</v>
      </c>
      <c r="S1209" s="165" t="s">
        <v>16</v>
      </c>
      <c r="T1209" s="165" t="s">
        <v>16</v>
      </c>
      <c r="U1209" s="165" t="s">
        <v>16</v>
      </c>
      <c r="V1209" s="165" t="s">
        <v>16</v>
      </c>
      <c r="W1209" s="165" t="s">
        <v>16</v>
      </c>
      <c r="X1209" s="165" t="s">
        <v>16</v>
      </c>
      <c r="Y1209" s="165" t="s">
        <v>16</v>
      </c>
      <c r="Z1209" s="165" t="s">
        <v>16</v>
      </c>
      <c r="AA1209" s="165" t="s">
        <v>16</v>
      </c>
      <c r="AB1209" s="165" t="s">
        <v>16</v>
      </c>
      <c r="AC1209" s="165" t="s">
        <v>16</v>
      </c>
      <c r="AD1209" s="165" t="s">
        <v>16</v>
      </c>
      <c r="AE1209" s="165" t="s">
        <v>1920</v>
      </c>
      <c r="AF1209" s="165"/>
    </row>
    <row r="1210" spans="1:32" x14ac:dyDescent="0.3">
      <c r="A1210" s="165" t="s">
        <v>1921</v>
      </c>
      <c r="B1210" s="165" t="s">
        <v>14</v>
      </c>
      <c r="C1210" s="165" t="s">
        <v>1888</v>
      </c>
      <c r="D1210" s="165" t="s">
        <v>15</v>
      </c>
      <c r="E1210" s="157">
        <v>41516</v>
      </c>
      <c r="F1210" s="165" t="s">
        <v>16</v>
      </c>
      <c r="G1210" s="165" t="s">
        <v>16</v>
      </c>
      <c r="H1210" s="165" t="s">
        <v>16</v>
      </c>
      <c r="I1210" s="165" t="s">
        <v>16</v>
      </c>
      <c r="J1210" s="165" t="s">
        <v>16</v>
      </c>
      <c r="K1210" s="165" t="s">
        <v>16</v>
      </c>
      <c r="L1210" s="165" t="s">
        <v>149</v>
      </c>
      <c r="M1210" s="165" t="s">
        <v>16</v>
      </c>
      <c r="N1210" s="165" t="s">
        <v>16</v>
      </c>
      <c r="O1210" s="165" t="s">
        <v>16</v>
      </c>
      <c r="P1210" s="165" t="s">
        <v>16</v>
      </c>
      <c r="Q1210" s="165" t="s">
        <v>16</v>
      </c>
      <c r="R1210" s="165" t="s">
        <v>16</v>
      </c>
      <c r="S1210" s="165" t="s">
        <v>16</v>
      </c>
      <c r="T1210" s="165" t="s">
        <v>16</v>
      </c>
      <c r="U1210" s="165" t="s">
        <v>16</v>
      </c>
      <c r="V1210" s="165" t="s">
        <v>16</v>
      </c>
      <c r="W1210" s="165" t="s">
        <v>16</v>
      </c>
      <c r="X1210" s="165" t="s">
        <v>16</v>
      </c>
      <c r="Y1210" s="165" t="s">
        <v>16</v>
      </c>
      <c r="Z1210" s="165" t="s">
        <v>16</v>
      </c>
      <c r="AA1210" s="165" t="s">
        <v>16</v>
      </c>
      <c r="AB1210" s="165" t="s">
        <v>16</v>
      </c>
      <c r="AC1210" s="165" t="s">
        <v>16</v>
      </c>
      <c r="AD1210" s="165" t="s">
        <v>16</v>
      </c>
      <c r="AE1210" s="165" t="s">
        <v>1907</v>
      </c>
      <c r="AF1210" s="165"/>
    </row>
    <row r="1211" spans="1:32" x14ac:dyDescent="0.3">
      <c r="A1211" s="165" t="s">
        <v>1922</v>
      </c>
      <c r="B1211" s="165" t="s">
        <v>14</v>
      </c>
      <c r="C1211" s="165" t="s">
        <v>1888</v>
      </c>
      <c r="D1211" s="165" t="s">
        <v>15</v>
      </c>
      <c r="E1211" s="157">
        <v>41516</v>
      </c>
      <c r="F1211" s="165" t="s">
        <v>16</v>
      </c>
      <c r="G1211" s="165" t="s">
        <v>16</v>
      </c>
      <c r="H1211" s="165" t="s">
        <v>16</v>
      </c>
      <c r="I1211" s="165" t="s">
        <v>16</v>
      </c>
      <c r="J1211" s="165" t="s">
        <v>16</v>
      </c>
      <c r="K1211" s="165" t="s">
        <v>16</v>
      </c>
      <c r="L1211" s="165" t="s">
        <v>16</v>
      </c>
      <c r="M1211" s="165" t="s">
        <v>16</v>
      </c>
      <c r="N1211" s="165" t="s">
        <v>16</v>
      </c>
      <c r="O1211" s="165" t="s">
        <v>16</v>
      </c>
      <c r="P1211" s="165" t="s">
        <v>16</v>
      </c>
      <c r="Q1211" s="165" t="s">
        <v>16</v>
      </c>
      <c r="R1211" s="165" t="s">
        <v>16</v>
      </c>
      <c r="S1211" s="165" t="s">
        <v>16</v>
      </c>
      <c r="T1211" s="165" t="s">
        <v>16</v>
      </c>
      <c r="U1211" s="165" t="s">
        <v>16</v>
      </c>
      <c r="V1211" s="165" t="s">
        <v>16</v>
      </c>
      <c r="W1211" s="165" t="s">
        <v>16</v>
      </c>
      <c r="X1211" s="165" t="s">
        <v>16</v>
      </c>
      <c r="Y1211" s="165" t="s">
        <v>16</v>
      </c>
      <c r="Z1211" s="165" t="s">
        <v>16</v>
      </c>
      <c r="AA1211" s="165" t="s">
        <v>16</v>
      </c>
      <c r="AB1211" s="165" t="s">
        <v>16</v>
      </c>
      <c r="AC1211" s="165" t="s">
        <v>16</v>
      </c>
      <c r="AD1211" s="165" t="s">
        <v>16</v>
      </c>
      <c r="AE1211" s="165" t="s">
        <v>1895</v>
      </c>
      <c r="AF1211" s="165"/>
    </row>
    <row r="1212" spans="1:32" x14ac:dyDescent="0.3">
      <c r="A1212" s="165" t="s">
        <v>1923</v>
      </c>
      <c r="B1212" s="165" t="s">
        <v>14</v>
      </c>
      <c r="C1212" s="165" t="s">
        <v>1888</v>
      </c>
      <c r="D1212" s="165" t="s">
        <v>15</v>
      </c>
      <c r="E1212" s="157">
        <v>41516</v>
      </c>
      <c r="F1212" s="165" t="s">
        <v>16</v>
      </c>
      <c r="G1212" s="165" t="s">
        <v>148</v>
      </c>
      <c r="H1212" s="165" t="s">
        <v>16</v>
      </c>
      <c r="I1212" s="165" t="s">
        <v>16</v>
      </c>
      <c r="J1212" s="165" t="s">
        <v>16</v>
      </c>
      <c r="K1212" s="165" t="s">
        <v>16</v>
      </c>
      <c r="L1212" s="165" t="s">
        <v>16</v>
      </c>
      <c r="M1212" s="165" t="s">
        <v>16</v>
      </c>
      <c r="N1212" s="165" t="s">
        <v>148</v>
      </c>
      <c r="O1212" s="165" t="s">
        <v>148</v>
      </c>
      <c r="P1212" s="165" t="s">
        <v>16</v>
      </c>
      <c r="Q1212" s="165" t="s">
        <v>16</v>
      </c>
      <c r="R1212" s="165" t="s">
        <v>148</v>
      </c>
      <c r="S1212" s="165" t="s">
        <v>16</v>
      </c>
      <c r="T1212" s="165" t="s">
        <v>148</v>
      </c>
      <c r="U1212" s="165" t="s">
        <v>16</v>
      </c>
      <c r="V1212" s="165" t="s">
        <v>16</v>
      </c>
      <c r="W1212" s="165" t="s">
        <v>16</v>
      </c>
      <c r="X1212" s="165" t="s">
        <v>16</v>
      </c>
      <c r="Y1212" s="165" t="s">
        <v>148</v>
      </c>
      <c r="Z1212" s="165" t="s">
        <v>16</v>
      </c>
      <c r="AA1212" s="165" t="s">
        <v>16</v>
      </c>
      <c r="AB1212" s="165" t="s">
        <v>16</v>
      </c>
      <c r="AC1212" s="165" t="s">
        <v>16</v>
      </c>
      <c r="AD1212" s="165" t="s">
        <v>16</v>
      </c>
      <c r="AE1212" s="165"/>
      <c r="AF1212" s="165"/>
    </row>
    <row r="1213" spans="1:32" x14ac:dyDescent="0.3">
      <c r="A1213" s="165" t="s">
        <v>1924</v>
      </c>
      <c r="B1213" s="165" t="s">
        <v>14</v>
      </c>
      <c r="C1213" s="165" t="s">
        <v>1888</v>
      </c>
      <c r="D1213" s="165" t="s">
        <v>15</v>
      </c>
      <c r="E1213" s="157">
        <v>41516</v>
      </c>
      <c r="F1213" s="165" t="s">
        <v>151</v>
      </c>
      <c r="G1213" s="165" t="s">
        <v>149</v>
      </c>
      <c r="H1213" s="165" t="s">
        <v>149</v>
      </c>
      <c r="I1213" s="165" t="s">
        <v>149</v>
      </c>
      <c r="J1213" s="165" t="s">
        <v>149</v>
      </c>
      <c r="K1213" s="165" t="s">
        <v>151</v>
      </c>
      <c r="L1213" s="165" t="s">
        <v>151</v>
      </c>
      <c r="M1213" s="165" t="s">
        <v>151</v>
      </c>
      <c r="N1213" s="165" t="s">
        <v>149</v>
      </c>
      <c r="O1213" s="165" t="s">
        <v>149</v>
      </c>
      <c r="P1213" s="165" t="s">
        <v>16</v>
      </c>
      <c r="Q1213" s="165" t="s">
        <v>16</v>
      </c>
      <c r="R1213" s="165" t="s">
        <v>16</v>
      </c>
      <c r="S1213" s="165" t="s">
        <v>149</v>
      </c>
      <c r="T1213" s="165" t="s">
        <v>149</v>
      </c>
      <c r="U1213" s="165" t="s">
        <v>151</v>
      </c>
      <c r="V1213" s="165" t="s">
        <v>149</v>
      </c>
      <c r="W1213" s="165" t="s">
        <v>149</v>
      </c>
      <c r="X1213" s="165" t="s">
        <v>148</v>
      </c>
      <c r="Y1213" s="165" t="s">
        <v>16</v>
      </c>
      <c r="Z1213" s="165" t="s">
        <v>151</v>
      </c>
      <c r="AA1213" s="165" t="s">
        <v>151</v>
      </c>
      <c r="AB1213" s="165" t="s">
        <v>148</v>
      </c>
      <c r="AC1213" s="165" t="s">
        <v>148</v>
      </c>
      <c r="AD1213" s="165" t="s">
        <v>148</v>
      </c>
      <c r="AE1213" s="165" t="s">
        <v>1895</v>
      </c>
      <c r="AF1213" s="165"/>
    </row>
    <row r="1214" spans="1:32" x14ac:dyDescent="0.3">
      <c r="A1214" s="165" t="s">
        <v>1925</v>
      </c>
      <c r="B1214" s="165" t="s">
        <v>14</v>
      </c>
      <c r="C1214" s="165" t="s">
        <v>1888</v>
      </c>
      <c r="D1214" s="165" t="s">
        <v>15</v>
      </c>
      <c r="E1214" s="157">
        <v>41516</v>
      </c>
      <c r="F1214" s="165" t="s">
        <v>16</v>
      </c>
      <c r="G1214" s="165" t="s">
        <v>16</v>
      </c>
      <c r="H1214" s="165" t="s">
        <v>16</v>
      </c>
      <c r="I1214" s="165" t="s">
        <v>16</v>
      </c>
      <c r="J1214" s="165" t="s">
        <v>16</v>
      </c>
      <c r="K1214" s="165" t="s">
        <v>16</v>
      </c>
      <c r="L1214" s="165" t="s">
        <v>16</v>
      </c>
      <c r="M1214" s="165" t="s">
        <v>16</v>
      </c>
      <c r="N1214" s="165" t="s">
        <v>16</v>
      </c>
      <c r="O1214" s="165" t="s">
        <v>16</v>
      </c>
      <c r="P1214" s="165" t="s">
        <v>16</v>
      </c>
      <c r="Q1214" s="165" t="s">
        <v>16</v>
      </c>
      <c r="R1214" s="165" t="s">
        <v>16</v>
      </c>
      <c r="S1214" s="165" t="s">
        <v>16</v>
      </c>
      <c r="T1214" s="165" t="s">
        <v>16</v>
      </c>
      <c r="U1214" s="165" t="s">
        <v>16</v>
      </c>
      <c r="V1214" s="165" t="s">
        <v>16</v>
      </c>
      <c r="W1214" s="165" t="s">
        <v>16</v>
      </c>
      <c r="X1214" s="165" t="s">
        <v>16</v>
      </c>
      <c r="Y1214" s="165" t="s">
        <v>16</v>
      </c>
      <c r="Z1214" s="165" t="s">
        <v>16</v>
      </c>
      <c r="AA1214" s="165" t="s">
        <v>16</v>
      </c>
      <c r="AB1214" s="165" t="s">
        <v>16</v>
      </c>
      <c r="AC1214" s="165" t="s">
        <v>16</v>
      </c>
      <c r="AD1214" s="165" t="s">
        <v>16</v>
      </c>
      <c r="AE1214" s="165"/>
      <c r="AF1214" s="165"/>
    </row>
    <row r="1215" spans="1:32" x14ac:dyDescent="0.3">
      <c r="A1215" s="165" t="s">
        <v>1926</v>
      </c>
      <c r="B1215" s="165" t="s">
        <v>14</v>
      </c>
      <c r="C1215" s="165" t="s">
        <v>1888</v>
      </c>
      <c r="D1215" s="165" t="s">
        <v>15</v>
      </c>
      <c r="E1215" s="157">
        <v>41516</v>
      </c>
      <c r="F1215" s="165" t="s">
        <v>16</v>
      </c>
      <c r="G1215" s="165" t="s">
        <v>16</v>
      </c>
      <c r="H1215" s="165" t="s">
        <v>16</v>
      </c>
      <c r="I1215" s="165" t="s">
        <v>16</v>
      </c>
      <c r="J1215" s="165" t="s">
        <v>16</v>
      </c>
      <c r="K1215" s="165" t="s">
        <v>16</v>
      </c>
      <c r="L1215" s="165" t="s">
        <v>16</v>
      </c>
      <c r="M1215" s="165" t="s">
        <v>16</v>
      </c>
      <c r="N1215" s="165" t="s">
        <v>16</v>
      </c>
      <c r="O1215" s="165" t="s">
        <v>16</v>
      </c>
      <c r="P1215" s="165" t="s">
        <v>16</v>
      </c>
      <c r="Q1215" s="165" t="s">
        <v>16</v>
      </c>
      <c r="R1215" s="165" t="s">
        <v>16</v>
      </c>
      <c r="S1215" s="165" t="s">
        <v>16</v>
      </c>
      <c r="T1215" s="165" t="s">
        <v>16</v>
      </c>
      <c r="U1215" s="165" t="s">
        <v>16</v>
      </c>
      <c r="V1215" s="165" t="s">
        <v>16</v>
      </c>
      <c r="W1215" s="165" t="s">
        <v>16</v>
      </c>
      <c r="X1215" s="165" t="s">
        <v>16</v>
      </c>
      <c r="Y1215" s="165" t="s">
        <v>16</v>
      </c>
      <c r="Z1215" s="165" t="s">
        <v>16</v>
      </c>
      <c r="AA1215" s="165" t="s">
        <v>16</v>
      </c>
      <c r="AB1215" s="165" t="s">
        <v>16</v>
      </c>
      <c r="AC1215" s="165" t="s">
        <v>16</v>
      </c>
      <c r="AD1215" s="165" t="s">
        <v>16</v>
      </c>
      <c r="AE1215" s="165" t="s">
        <v>1889</v>
      </c>
      <c r="AF1215" s="165"/>
    </row>
    <row r="1216" spans="1:32" x14ac:dyDescent="0.3">
      <c r="A1216" s="165" t="s">
        <v>1927</v>
      </c>
      <c r="B1216" s="165" t="s">
        <v>14</v>
      </c>
      <c r="C1216" s="165" t="s">
        <v>1888</v>
      </c>
      <c r="D1216" s="165" t="s">
        <v>15</v>
      </c>
      <c r="E1216" s="157">
        <v>41516</v>
      </c>
      <c r="F1216" s="165" t="s">
        <v>16</v>
      </c>
      <c r="G1216" s="165" t="s">
        <v>148</v>
      </c>
      <c r="H1216" s="165" t="s">
        <v>16</v>
      </c>
      <c r="I1216" s="165" t="s">
        <v>148</v>
      </c>
      <c r="J1216" s="165" t="s">
        <v>148</v>
      </c>
      <c r="K1216" s="165" t="s">
        <v>16</v>
      </c>
      <c r="L1216" s="165" t="s">
        <v>16</v>
      </c>
      <c r="M1216" s="165" t="s">
        <v>16</v>
      </c>
      <c r="N1216" s="165" t="s">
        <v>148</v>
      </c>
      <c r="O1216" s="165" t="s">
        <v>148</v>
      </c>
      <c r="P1216" s="165" t="s">
        <v>148</v>
      </c>
      <c r="Q1216" s="165" t="s">
        <v>16</v>
      </c>
      <c r="R1216" s="165" t="s">
        <v>149</v>
      </c>
      <c r="S1216" s="165" t="s">
        <v>16</v>
      </c>
      <c r="T1216" s="165" t="s">
        <v>16</v>
      </c>
      <c r="U1216" s="165" t="s">
        <v>16</v>
      </c>
      <c r="V1216" s="165" t="s">
        <v>16</v>
      </c>
      <c r="W1216" s="165" t="s">
        <v>16</v>
      </c>
      <c r="X1216" s="165" t="s">
        <v>16</v>
      </c>
      <c r="Y1216" s="165" t="s">
        <v>16</v>
      </c>
      <c r="Z1216" s="165" t="s">
        <v>16</v>
      </c>
      <c r="AA1216" s="165" t="s">
        <v>16</v>
      </c>
      <c r="AB1216" s="165" t="s">
        <v>16</v>
      </c>
      <c r="AC1216" s="165" t="s">
        <v>16</v>
      </c>
      <c r="AD1216" s="165" t="s">
        <v>16</v>
      </c>
      <c r="AE1216" s="165" t="s">
        <v>1895</v>
      </c>
      <c r="AF1216" s="165"/>
    </row>
    <row r="1217" spans="1:33" x14ac:dyDescent="0.3">
      <c r="A1217" s="165" t="s">
        <v>1928</v>
      </c>
      <c r="B1217" s="165" t="s">
        <v>14</v>
      </c>
      <c r="C1217" s="165" t="s">
        <v>1888</v>
      </c>
      <c r="D1217" s="165" t="s">
        <v>15</v>
      </c>
      <c r="E1217" s="157">
        <v>41516</v>
      </c>
      <c r="F1217" s="165" t="s">
        <v>16</v>
      </c>
      <c r="G1217" s="165" t="s">
        <v>16</v>
      </c>
      <c r="H1217" s="165" t="s">
        <v>16</v>
      </c>
      <c r="I1217" s="165" t="s">
        <v>16</v>
      </c>
      <c r="J1217" s="165" t="s">
        <v>16</v>
      </c>
      <c r="K1217" s="165" t="s">
        <v>16</v>
      </c>
      <c r="L1217" s="165" t="s">
        <v>16</v>
      </c>
      <c r="M1217" s="165" t="s">
        <v>16</v>
      </c>
      <c r="N1217" s="165" t="s">
        <v>16</v>
      </c>
      <c r="O1217" s="165" t="s">
        <v>16</v>
      </c>
      <c r="P1217" s="165" t="s">
        <v>16</v>
      </c>
      <c r="Q1217" s="165" t="s">
        <v>16</v>
      </c>
      <c r="R1217" s="165" t="s">
        <v>16</v>
      </c>
      <c r="S1217" s="165" t="s">
        <v>16</v>
      </c>
      <c r="T1217" s="165" t="s">
        <v>16</v>
      </c>
      <c r="U1217" s="165" t="s">
        <v>16</v>
      </c>
      <c r="V1217" s="165" t="s">
        <v>16</v>
      </c>
      <c r="W1217" s="165" t="s">
        <v>16</v>
      </c>
      <c r="X1217" s="165" t="s">
        <v>16</v>
      </c>
      <c r="Y1217" s="165" t="s">
        <v>16</v>
      </c>
      <c r="Z1217" s="165" t="s">
        <v>16</v>
      </c>
      <c r="AA1217" s="165" t="s">
        <v>16</v>
      </c>
      <c r="AB1217" s="165" t="s">
        <v>148</v>
      </c>
      <c r="AC1217" s="165" t="s">
        <v>16</v>
      </c>
      <c r="AD1217" s="165" t="s">
        <v>16</v>
      </c>
      <c r="AE1217" s="165" t="s">
        <v>1895</v>
      </c>
      <c r="AF1217" s="165" t="s">
        <v>1929</v>
      </c>
    </row>
    <row r="1220" spans="1:33" x14ac:dyDescent="0.3">
      <c r="A1220" s="165"/>
      <c r="B1220" s="165"/>
      <c r="C1220" s="165"/>
      <c r="D1220" s="165"/>
      <c r="E1220" s="165"/>
      <c r="F1220" s="165" t="s">
        <v>124</v>
      </c>
      <c r="G1220" s="165" t="s">
        <v>125</v>
      </c>
      <c r="H1220" s="165" t="s">
        <v>126</v>
      </c>
      <c r="I1220" s="165" t="s">
        <v>127</v>
      </c>
      <c r="J1220" s="165" t="s">
        <v>214</v>
      </c>
      <c r="K1220" s="165" t="s">
        <v>128</v>
      </c>
      <c r="L1220" s="165" t="s">
        <v>129</v>
      </c>
      <c r="M1220" s="165" t="s">
        <v>130</v>
      </c>
      <c r="N1220" s="165" t="s">
        <v>131</v>
      </c>
      <c r="O1220" s="165" t="s">
        <v>132</v>
      </c>
      <c r="P1220" s="165" t="s">
        <v>133</v>
      </c>
      <c r="Q1220" s="165" t="s">
        <v>134</v>
      </c>
      <c r="R1220" s="165" t="s">
        <v>135</v>
      </c>
      <c r="S1220" s="165" t="s">
        <v>136</v>
      </c>
      <c r="T1220" s="165" t="s">
        <v>137</v>
      </c>
      <c r="U1220" s="165" t="s">
        <v>138</v>
      </c>
      <c r="V1220" s="165" t="s">
        <v>139</v>
      </c>
      <c r="W1220" s="165" t="s">
        <v>140</v>
      </c>
      <c r="X1220" s="165" t="s">
        <v>186</v>
      </c>
      <c r="Y1220" s="165" t="s">
        <v>209</v>
      </c>
      <c r="Z1220" s="165" t="s">
        <v>141</v>
      </c>
      <c r="AA1220" s="165" t="s">
        <v>142</v>
      </c>
      <c r="AB1220" s="165" t="s">
        <v>210</v>
      </c>
      <c r="AC1220" s="165" t="s">
        <v>1180</v>
      </c>
      <c r="AD1220" s="165" t="s">
        <v>144</v>
      </c>
      <c r="AE1220" s="165" t="s">
        <v>1930</v>
      </c>
      <c r="AF1220" s="165"/>
      <c r="AG1220" s="165" t="s">
        <v>190</v>
      </c>
    </row>
    <row r="1221" spans="1:33" x14ac:dyDescent="0.3">
      <c r="A1221" s="165" t="s">
        <v>1931</v>
      </c>
      <c r="B1221" s="165" t="s">
        <v>14</v>
      </c>
      <c r="C1221" s="165" t="s">
        <v>1932</v>
      </c>
      <c r="D1221" s="165" t="s">
        <v>15</v>
      </c>
      <c r="E1221" s="157">
        <v>41546</v>
      </c>
      <c r="F1221" s="165" t="s">
        <v>16</v>
      </c>
      <c r="G1221" s="165" t="s">
        <v>16</v>
      </c>
      <c r="H1221" s="165" t="s">
        <v>16</v>
      </c>
      <c r="I1221" s="165" t="s">
        <v>150</v>
      </c>
      <c r="J1221" s="165" t="s">
        <v>16</v>
      </c>
      <c r="K1221" s="165" t="s">
        <v>16</v>
      </c>
      <c r="L1221" s="165" t="s">
        <v>148</v>
      </c>
      <c r="M1221" s="165" t="s">
        <v>148</v>
      </c>
      <c r="N1221" s="165" t="s">
        <v>150</v>
      </c>
      <c r="O1221" s="165" t="s">
        <v>16</v>
      </c>
      <c r="P1221" s="165" t="s">
        <v>148</v>
      </c>
      <c r="Q1221" s="165" t="s">
        <v>16</v>
      </c>
      <c r="R1221" s="165" t="s">
        <v>16</v>
      </c>
      <c r="S1221" s="165" t="s">
        <v>16</v>
      </c>
      <c r="T1221" s="165" t="s">
        <v>16</v>
      </c>
      <c r="U1221" s="165" t="s">
        <v>148</v>
      </c>
      <c r="V1221" s="165" t="s">
        <v>16</v>
      </c>
      <c r="W1221" s="165" t="s">
        <v>16</v>
      </c>
      <c r="X1221" s="165" t="s">
        <v>16</v>
      </c>
      <c r="Y1221" s="165" t="s">
        <v>16</v>
      </c>
      <c r="Z1221" s="165" t="s">
        <v>16</v>
      </c>
      <c r="AA1221" s="165" t="s">
        <v>16</v>
      </c>
      <c r="AB1221" s="165" t="s">
        <v>16</v>
      </c>
      <c r="AC1221" s="165" t="s">
        <v>16</v>
      </c>
      <c r="AD1221" s="165" t="s">
        <v>150</v>
      </c>
      <c r="AE1221" s="165" t="s">
        <v>1933</v>
      </c>
      <c r="AF1221" s="165"/>
      <c r="AG1221" s="165"/>
    </row>
    <row r="1222" spans="1:33" x14ac:dyDescent="0.3">
      <c r="A1222" s="165" t="s">
        <v>1934</v>
      </c>
      <c r="B1222" s="165" t="s">
        <v>14</v>
      </c>
      <c r="C1222" s="165" t="s">
        <v>1932</v>
      </c>
      <c r="D1222" s="165" t="s">
        <v>15</v>
      </c>
      <c r="E1222" s="157">
        <v>41546</v>
      </c>
      <c r="F1222" s="165" t="s">
        <v>148</v>
      </c>
      <c r="G1222" s="165" t="s">
        <v>16</v>
      </c>
      <c r="H1222" s="165" t="s">
        <v>148</v>
      </c>
      <c r="I1222" s="165" t="s">
        <v>148</v>
      </c>
      <c r="J1222" s="165" t="s">
        <v>16</v>
      </c>
      <c r="K1222" s="165" t="s">
        <v>16</v>
      </c>
      <c r="L1222" s="165" t="s">
        <v>16</v>
      </c>
      <c r="M1222" s="165" t="s">
        <v>148</v>
      </c>
      <c r="N1222" s="165" t="s">
        <v>148</v>
      </c>
      <c r="O1222" s="165" t="s">
        <v>16</v>
      </c>
      <c r="P1222" s="165" t="s">
        <v>148</v>
      </c>
      <c r="Q1222" s="165" t="s">
        <v>16</v>
      </c>
      <c r="R1222" s="165" t="s">
        <v>16</v>
      </c>
      <c r="S1222" s="165" t="s">
        <v>148</v>
      </c>
      <c r="T1222" s="165" t="s">
        <v>16</v>
      </c>
      <c r="U1222" s="165" t="s">
        <v>16</v>
      </c>
      <c r="V1222" s="165" t="s">
        <v>16</v>
      </c>
      <c r="W1222" s="165" t="s">
        <v>148</v>
      </c>
      <c r="X1222" s="165" t="s">
        <v>16</v>
      </c>
      <c r="Y1222" s="165" t="s">
        <v>148</v>
      </c>
      <c r="Z1222" s="165" t="s">
        <v>148</v>
      </c>
      <c r="AA1222" s="165" t="s">
        <v>16</v>
      </c>
      <c r="AB1222" s="165" t="s">
        <v>16</v>
      </c>
      <c r="AC1222" s="165" t="s">
        <v>16</v>
      </c>
      <c r="AD1222" s="165" t="s">
        <v>16</v>
      </c>
      <c r="AE1222" s="165"/>
      <c r="AF1222" s="165"/>
      <c r="AG1222" s="165"/>
    </row>
    <row r="1223" spans="1:33" x14ac:dyDescent="0.3">
      <c r="A1223" s="165" t="s">
        <v>1935</v>
      </c>
      <c r="B1223" s="165" t="s">
        <v>14</v>
      </c>
      <c r="C1223" s="165" t="s">
        <v>1932</v>
      </c>
      <c r="D1223" s="165" t="s">
        <v>15</v>
      </c>
      <c r="E1223" s="157">
        <v>41546</v>
      </c>
      <c r="F1223" s="165" t="s">
        <v>16</v>
      </c>
      <c r="G1223" s="165" t="s">
        <v>16</v>
      </c>
      <c r="H1223" s="165" t="s">
        <v>148</v>
      </c>
      <c r="I1223" s="165" t="s">
        <v>148</v>
      </c>
      <c r="J1223" s="165" t="s">
        <v>16</v>
      </c>
      <c r="K1223" s="165" t="s">
        <v>148</v>
      </c>
      <c r="L1223" s="165" t="s">
        <v>16</v>
      </c>
      <c r="M1223" s="165" t="s">
        <v>148</v>
      </c>
      <c r="N1223" s="165" t="s">
        <v>148</v>
      </c>
      <c r="O1223" s="165" t="s">
        <v>16</v>
      </c>
      <c r="P1223" s="165" t="s">
        <v>16</v>
      </c>
      <c r="Q1223" s="165" t="s">
        <v>16</v>
      </c>
      <c r="R1223" s="165" t="s">
        <v>148</v>
      </c>
      <c r="S1223" s="165" t="s">
        <v>148</v>
      </c>
      <c r="T1223" s="165" t="s">
        <v>16</v>
      </c>
      <c r="U1223" s="165" t="s">
        <v>148</v>
      </c>
      <c r="V1223" s="165" t="s">
        <v>16</v>
      </c>
      <c r="W1223" s="165" t="s">
        <v>16</v>
      </c>
      <c r="X1223" s="165" t="s">
        <v>16</v>
      </c>
      <c r="Y1223" s="165" t="s">
        <v>16</v>
      </c>
      <c r="Z1223" s="165" t="s">
        <v>16</v>
      </c>
      <c r="AA1223" s="165" t="s">
        <v>16</v>
      </c>
      <c r="AB1223" s="165" t="s">
        <v>16</v>
      </c>
      <c r="AC1223" s="165" t="s">
        <v>150</v>
      </c>
      <c r="AD1223" s="165" t="s">
        <v>16</v>
      </c>
      <c r="AE1223" s="165" t="s">
        <v>1936</v>
      </c>
      <c r="AF1223" s="165"/>
      <c r="AG1223" s="165"/>
    </row>
    <row r="1224" spans="1:33" x14ac:dyDescent="0.3">
      <c r="A1224" s="165" t="s">
        <v>1937</v>
      </c>
      <c r="B1224" s="165" t="s">
        <v>14</v>
      </c>
      <c r="C1224" s="165" t="s">
        <v>1932</v>
      </c>
      <c r="D1224" s="165" t="s">
        <v>15</v>
      </c>
      <c r="E1224" s="157">
        <v>41546</v>
      </c>
      <c r="F1224" s="165" t="s">
        <v>151</v>
      </c>
      <c r="G1224" s="165" t="s">
        <v>151</v>
      </c>
      <c r="H1224" s="165" t="s">
        <v>151</v>
      </c>
      <c r="I1224" s="165" t="s">
        <v>151</v>
      </c>
      <c r="J1224" s="165" t="s">
        <v>151</v>
      </c>
      <c r="K1224" s="165" t="s">
        <v>151</v>
      </c>
      <c r="L1224" s="165" t="s">
        <v>151</v>
      </c>
      <c r="M1224" s="165" t="s">
        <v>151</v>
      </c>
      <c r="N1224" s="165" t="s">
        <v>148</v>
      </c>
      <c r="O1224" s="165" t="s">
        <v>151</v>
      </c>
      <c r="P1224" s="165" t="s">
        <v>151</v>
      </c>
      <c r="Q1224" s="165" t="s">
        <v>151</v>
      </c>
      <c r="R1224" s="165" t="s">
        <v>151</v>
      </c>
      <c r="S1224" s="165" t="s">
        <v>151</v>
      </c>
      <c r="T1224" s="165" t="s">
        <v>151</v>
      </c>
      <c r="U1224" s="165" t="s">
        <v>151</v>
      </c>
      <c r="V1224" s="165" t="s">
        <v>151</v>
      </c>
      <c r="W1224" s="165" t="s">
        <v>16</v>
      </c>
      <c r="X1224" s="165" t="s">
        <v>151</v>
      </c>
      <c r="Y1224" s="165" t="s">
        <v>16</v>
      </c>
      <c r="Z1224" s="165" t="s">
        <v>151</v>
      </c>
      <c r="AA1224" s="165" t="s">
        <v>151</v>
      </c>
      <c r="AB1224" s="165" t="s">
        <v>148</v>
      </c>
      <c r="AC1224" s="165" t="s">
        <v>16</v>
      </c>
      <c r="AD1224" s="165" t="s">
        <v>16</v>
      </c>
      <c r="AE1224" s="165" t="s">
        <v>1938</v>
      </c>
      <c r="AF1224" s="165"/>
      <c r="AG1224" s="165"/>
    </row>
    <row r="1225" spans="1:33" x14ac:dyDescent="0.3">
      <c r="A1225" s="165" t="s">
        <v>1939</v>
      </c>
      <c r="B1225" s="165" t="s">
        <v>14</v>
      </c>
      <c r="C1225" s="165" t="s">
        <v>1932</v>
      </c>
      <c r="D1225" s="165" t="s">
        <v>15</v>
      </c>
      <c r="E1225" s="157">
        <v>41546</v>
      </c>
      <c r="F1225" s="165" t="s">
        <v>16</v>
      </c>
      <c r="G1225" s="165" t="s">
        <v>16</v>
      </c>
      <c r="H1225" s="165" t="s">
        <v>16</v>
      </c>
      <c r="I1225" s="165" t="s">
        <v>16</v>
      </c>
      <c r="J1225" s="165" t="s">
        <v>16</v>
      </c>
      <c r="K1225" s="165" t="s">
        <v>16</v>
      </c>
      <c r="L1225" s="165" t="s">
        <v>16</v>
      </c>
      <c r="M1225" s="165" t="s">
        <v>16</v>
      </c>
      <c r="N1225" s="165" t="s">
        <v>148</v>
      </c>
      <c r="O1225" s="165" t="s">
        <v>16</v>
      </c>
      <c r="P1225" s="165" t="s">
        <v>16</v>
      </c>
      <c r="Q1225" s="165" t="s">
        <v>16</v>
      </c>
      <c r="R1225" s="165" t="s">
        <v>16</v>
      </c>
      <c r="S1225" s="165" t="s">
        <v>16</v>
      </c>
      <c r="T1225" s="165" t="s">
        <v>16</v>
      </c>
      <c r="U1225" s="165" t="s">
        <v>16</v>
      </c>
      <c r="V1225" s="165" t="s">
        <v>16</v>
      </c>
      <c r="W1225" s="165" t="s">
        <v>16</v>
      </c>
      <c r="X1225" s="165" t="s">
        <v>16</v>
      </c>
      <c r="Y1225" s="165" t="s">
        <v>16</v>
      </c>
      <c r="Z1225" s="165" t="s">
        <v>16</v>
      </c>
      <c r="AA1225" s="165" t="s">
        <v>16</v>
      </c>
      <c r="AB1225" s="165" t="s">
        <v>16</v>
      </c>
      <c r="AC1225" s="165" t="s">
        <v>16</v>
      </c>
      <c r="AD1225" s="165" t="s">
        <v>16</v>
      </c>
      <c r="AE1225" s="165" t="s">
        <v>1940</v>
      </c>
      <c r="AF1225" s="165" t="s">
        <v>1941</v>
      </c>
      <c r="AG1225" s="165"/>
    </row>
    <row r="1226" spans="1:33" x14ac:dyDescent="0.3">
      <c r="A1226" s="165" t="s">
        <v>1942</v>
      </c>
      <c r="B1226" s="165" t="s">
        <v>14</v>
      </c>
      <c r="C1226" s="165" t="s">
        <v>1932</v>
      </c>
      <c r="D1226" s="165" t="s">
        <v>15</v>
      </c>
      <c r="E1226" s="157">
        <v>41546</v>
      </c>
      <c r="F1226" s="165" t="s">
        <v>16</v>
      </c>
      <c r="G1226" s="165" t="s">
        <v>148</v>
      </c>
      <c r="H1226" s="165" t="s">
        <v>16</v>
      </c>
      <c r="I1226" s="165" t="s">
        <v>16</v>
      </c>
      <c r="J1226" s="165" t="s">
        <v>16</v>
      </c>
      <c r="K1226" s="165" t="s">
        <v>16</v>
      </c>
      <c r="L1226" s="165" t="s">
        <v>16</v>
      </c>
      <c r="M1226" s="165" t="s">
        <v>16</v>
      </c>
      <c r="N1226" s="165" t="s">
        <v>16</v>
      </c>
      <c r="O1226" s="165" t="s">
        <v>16</v>
      </c>
      <c r="P1226" s="165" t="s">
        <v>16</v>
      </c>
      <c r="Q1226" s="165" t="s">
        <v>16</v>
      </c>
      <c r="R1226" s="165" t="s">
        <v>16</v>
      </c>
      <c r="S1226" s="165" t="s">
        <v>16</v>
      </c>
      <c r="T1226" s="165" t="s">
        <v>16</v>
      </c>
      <c r="U1226" s="165" t="s">
        <v>16</v>
      </c>
      <c r="V1226" s="165" t="s">
        <v>16</v>
      </c>
      <c r="W1226" s="165" t="s">
        <v>16</v>
      </c>
      <c r="X1226" s="165" t="s">
        <v>16</v>
      </c>
      <c r="Y1226" s="165" t="s">
        <v>16</v>
      </c>
      <c r="Z1226" s="165" t="s">
        <v>16</v>
      </c>
      <c r="AA1226" s="165" t="s">
        <v>16</v>
      </c>
      <c r="AB1226" s="165" t="s">
        <v>16</v>
      </c>
      <c r="AC1226" s="165" t="s">
        <v>16</v>
      </c>
      <c r="AD1226" s="165" t="s">
        <v>16</v>
      </c>
      <c r="AE1226" s="165" t="s">
        <v>1933</v>
      </c>
      <c r="AF1226" s="165"/>
      <c r="AG1226" s="165"/>
    </row>
    <row r="1227" spans="1:33" x14ac:dyDescent="0.3">
      <c r="A1227" s="165" t="s">
        <v>1943</v>
      </c>
      <c r="B1227" s="165" t="s">
        <v>14</v>
      </c>
      <c r="C1227" s="165" t="s">
        <v>1932</v>
      </c>
      <c r="D1227" s="165" t="s">
        <v>15</v>
      </c>
      <c r="E1227" s="157">
        <v>41546</v>
      </c>
      <c r="F1227" s="165" t="s">
        <v>16</v>
      </c>
      <c r="G1227" s="165" t="s">
        <v>16</v>
      </c>
      <c r="H1227" s="165" t="s">
        <v>16</v>
      </c>
      <c r="I1227" s="165" t="s">
        <v>148</v>
      </c>
      <c r="J1227" s="165" t="s">
        <v>150</v>
      </c>
      <c r="K1227" s="165" t="s">
        <v>149</v>
      </c>
      <c r="L1227" s="165" t="s">
        <v>16</v>
      </c>
      <c r="M1227" s="165" t="s">
        <v>16</v>
      </c>
      <c r="N1227" s="165" t="s">
        <v>16</v>
      </c>
      <c r="O1227" s="165" t="s">
        <v>16</v>
      </c>
      <c r="P1227" s="165" t="s">
        <v>148</v>
      </c>
      <c r="Q1227" s="165" t="s">
        <v>16</v>
      </c>
      <c r="R1227" s="165" t="s">
        <v>16</v>
      </c>
      <c r="S1227" s="165" t="s">
        <v>16</v>
      </c>
      <c r="T1227" s="165" t="s">
        <v>150</v>
      </c>
      <c r="U1227" s="165" t="s">
        <v>16</v>
      </c>
      <c r="V1227" s="165" t="s">
        <v>16</v>
      </c>
      <c r="W1227" s="165" t="s">
        <v>16</v>
      </c>
      <c r="X1227" s="165" t="s">
        <v>148</v>
      </c>
      <c r="Y1227" s="165" t="s">
        <v>16</v>
      </c>
      <c r="Z1227" s="165" t="s">
        <v>16</v>
      </c>
      <c r="AA1227" s="165" t="s">
        <v>16</v>
      </c>
      <c r="AB1227" s="165" t="s">
        <v>148</v>
      </c>
      <c r="AC1227" s="165" t="s">
        <v>148</v>
      </c>
      <c r="AD1227" s="165" t="s">
        <v>148</v>
      </c>
      <c r="AE1227" s="165" t="s">
        <v>1933</v>
      </c>
      <c r="AF1227" s="165"/>
      <c r="AG1227" s="165"/>
    </row>
    <row r="1228" spans="1:33" x14ac:dyDescent="0.3">
      <c r="A1228" s="165" t="s">
        <v>1944</v>
      </c>
      <c r="B1228" s="165" t="s">
        <v>14</v>
      </c>
      <c r="C1228" s="165" t="s">
        <v>1932</v>
      </c>
      <c r="D1228" s="165" t="s">
        <v>15</v>
      </c>
      <c r="E1228" s="157">
        <v>41546</v>
      </c>
      <c r="F1228" s="165" t="s">
        <v>16</v>
      </c>
      <c r="G1228" s="165" t="s">
        <v>16</v>
      </c>
      <c r="H1228" s="165" t="s">
        <v>16</v>
      </c>
      <c r="I1228" s="165" t="s">
        <v>148</v>
      </c>
      <c r="J1228" s="165" t="s">
        <v>16</v>
      </c>
      <c r="K1228" s="165" t="s">
        <v>16</v>
      </c>
      <c r="L1228" s="165" t="s">
        <v>148</v>
      </c>
      <c r="M1228" s="165" t="s">
        <v>16</v>
      </c>
      <c r="N1228" s="165" t="s">
        <v>16</v>
      </c>
      <c r="O1228" s="165" t="s">
        <v>16</v>
      </c>
      <c r="P1228" s="165" t="s">
        <v>16</v>
      </c>
      <c r="Q1228" s="165" t="s">
        <v>16</v>
      </c>
      <c r="R1228" s="165" t="s">
        <v>16</v>
      </c>
      <c r="S1228" s="165" t="s">
        <v>16</v>
      </c>
      <c r="T1228" s="165" t="s">
        <v>16</v>
      </c>
      <c r="U1228" s="165" t="s">
        <v>16</v>
      </c>
      <c r="V1228" s="165" t="s">
        <v>16</v>
      </c>
      <c r="W1228" s="165" t="s">
        <v>16</v>
      </c>
      <c r="X1228" s="165" t="s">
        <v>16</v>
      </c>
      <c r="Y1228" s="165" t="s">
        <v>16</v>
      </c>
      <c r="Z1228" s="165" t="s">
        <v>16</v>
      </c>
      <c r="AA1228" s="165" t="s">
        <v>16</v>
      </c>
      <c r="AB1228" s="165" t="s">
        <v>16</v>
      </c>
      <c r="AC1228" s="165" t="s">
        <v>16</v>
      </c>
      <c r="AD1228" s="165" t="s">
        <v>16</v>
      </c>
      <c r="AE1228" s="165" t="s">
        <v>1933</v>
      </c>
      <c r="AF1228" s="165"/>
      <c r="AG1228" s="165"/>
    </row>
    <row r="1229" spans="1:33" x14ac:dyDescent="0.3">
      <c r="A1229" s="165" t="s">
        <v>1945</v>
      </c>
      <c r="B1229" s="165" t="s">
        <v>14</v>
      </c>
      <c r="C1229" s="165" t="s">
        <v>1932</v>
      </c>
      <c r="D1229" s="165" t="s">
        <v>15</v>
      </c>
      <c r="E1229" s="157">
        <v>41546</v>
      </c>
      <c r="F1229" s="165" t="s">
        <v>16</v>
      </c>
      <c r="G1229" s="165" t="s">
        <v>148</v>
      </c>
      <c r="H1229" s="165" t="s">
        <v>148</v>
      </c>
      <c r="I1229" s="165" t="s">
        <v>16</v>
      </c>
      <c r="J1229" s="165" t="s">
        <v>16</v>
      </c>
      <c r="K1229" s="165" t="s">
        <v>16</v>
      </c>
      <c r="L1229" s="165" t="s">
        <v>148</v>
      </c>
      <c r="M1229" s="165" t="s">
        <v>148</v>
      </c>
      <c r="N1229" s="165" t="s">
        <v>148</v>
      </c>
      <c r="O1229" s="165" t="s">
        <v>16</v>
      </c>
      <c r="P1229" s="165" t="s">
        <v>148</v>
      </c>
      <c r="Q1229" s="165" t="s">
        <v>16</v>
      </c>
      <c r="R1229" s="165" t="s">
        <v>16</v>
      </c>
      <c r="S1229" s="165" t="s">
        <v>148</v>
      </c>
      <c r="T1229" s="165" t="s">
        <v>16</v>
      </c>
      <c r="U1229" s="165" t="s">
        <v>16</v>
      </c>
      <c r="V1229" s="165" t="s">
        <v>148</v>
      </c>
      <c r="W1229" s="165" t="s">
        <v>16</v>
      </c>
      <c r="X1229" s="165" t="s">
        <v>16</v>
      </c>
      <c r="Y1229" s="165" t="s">
        <v>148</v>
      </c>
      <c r="Z1229" s="165" t="s">
        <v>16</v>
      </c>
      <c r="AA1229" s="165" t="s">
        <v>16</v>
      </c>
      <c r="AB1229" s="165" t="s">
        <v>148</v>
      </c>
      <c r="AC1229" s="165" t="s">
        <v>148</v>
      </c>
      <c r="AD1229" s="165" t="s">
        <v>150</v>
      </c>
      <c r="AE1229" s="165" t="s">
        <v>1933</v>
      </c>
      <c r="AF1229" s="165"/>
      <c r="AG1229" s="165"/>
    </row>
    <row r="1230" spans="1:33" x14ac:dyDescent="0.3">
      <c r="A1230" s="165" t="s">
        <v>1946</v>
      </c>
      <c r="B1230" s="165" t="s">
        <v>14</v>
      </c>
      <c r="C1230" s="165" t="s">
        <v>1932</v>
      </c>
      <c r="D1230" s="165" t="s">
        <v>15</v>
      </c>
      <c r="E1230" s="157">
        <v>41546</v>
      </c>
      <c r="F1230" s="165" t="s">
        <v>16</v>
      </c>
      <c r="G1230" s="165" t="s">
        <v>16</v>
      </c>
      <c r="H1230" s="165" t="s">
        <v>16</v>
      </c>
      <c r="I1230" s="165" t="s">
        <v>16</v>
      </c>
      <c r="J1230" s="165" t="s">
        <v>16</v>
      </c>
      <c r="K1230" s="165" t="s">
        <v>16</v>
      </c>
      <c r="L1230" s="165" t="s">
        <v>16</v>
      </c>
      <c r="M1230" s="165" t="s">
        <v>16</v>
      </c>
      <c r="N1230" s="165" t="s">
        <v>16</v>
      </c>
      <c r="O1230" s="165" t="s">
        <v>16</v>
      </c>
      <c r="P1230" s="165" t="s">
        <v>148</v>
      </c>
      <c r="Q1230" s="165" t="s">
        <v>16</v>
      </c>
      <c r="R1230" s="165" t="s">
        <v>16</v>
      </c>
      <c r="S1230" s="165" t="s">
        <v>16</v>
      </c>
      <c r="T1230" s="165" t="s">
        <v>16</v>
      </c>
      <c r="U1230" s="165" t="s">
        <v>16</v>
      </c>
      <c r="V1230" s="165" t="s">
        <v>16</v>
      </c>
      <c r="W1230" s="165" t="s">
        <v>16</v>
      </c>
      <c r="X1230" s="165" t="s">
        <v>16</v>
      </c>
      <c r="Y1230" s="165" t="s">
        <v>16</v>
      </c>
      <c r="Z1230" s="165" t="s">
        <v>16</v>
      </c>
      <c r="AA1230" s="165" t="s">
        <v>16</v>
      </c>
      <c r="AB1230" s="165" t="s">
        <v>16</v>
      </c>
      <c r="AC1230" s="165" t="s">
        <v>16</v>
      </c>
      <c r="AD1230" s="165" t="s">
        <v>16</v>
      </c>
      <c r="AE1230" s="165" t="s">
        <v>1936</v>
      </c>
      <c r="AF1230" s="165"/>
      <c r="AG1230" s="165"/>
    </row>
    <row r="1231" spans="1:33" x14ac:dyDescent="0.3">
      <c r="A1231" s="165" t="s">
        <v>1947</v>
      </c>
      <c r="B1231" s="165" t="s">
        <v>14</v>
      </c>
      <c r="C1231" s="165" t="s">
        <v>1932</v>
      </c>
      <c r="D1231" s="165" t="s">
        <v>15</v>
      </c>
      <c r="E1231" s="157">
        <v>41546</v>
      </c>
      <c r="F1231" s="165" t="s">
        <v>149</v>
      </c>
      <c r="G1231" s="165" t="s">
        <v>149</v>
      </c>
      <c r="H1231" s="165" t="s">
        <v>149</v>
      </c>
      <c r="I1231" s="165" t="s">
        <v>16</v>
      </c>
      <c r="J1231" s="165" t="s">
        <v>16</v>
      </c>
      <c r="K1231" s="165" t="s">
        <v>149</v>
      </c>
      <c r="L1231" s="165" t="s">
        <v>16</v>
      </c>
      <c r="M1231" s="165" t="s">
        <v>16</v>
      </c>
      <c r="N1231" s="165" t="s">
        <v>16</v>
      </c>
      <c r="O1231" s="165" t="s">
        <v>16</v>
      </c>
      <c r="P1231" s="165" t="s">
        <v>16</v>
      </c>
      <c r="Q1231" s="165" t="s">
        <v>16</v>
      </c>
      <c r="R1231" s="165" t="s">
        <v>16</v>
      </c>
      <c r="S1231" s="165" t="s">
        <v>16</v>
      </c>
      <c r="T1231" s="165" t="s">
        <v>16</v>
      </c>
      <c r="U1231" s="165" t="s">
        <v>16</v>
      </c>
      <c r="V1231" s="165" t="s">
        <v>16</v>
      </c>
      <c r="W1231" s="165" t="s">
        <v>16</v>
      </c>
      <c r="X1231" s="165" t="s">
        <v>16</v>
      </c>
      <c r="Y1231" s="165" t="s">
        <v>16</v>
      </c>
      <c r="Z1231" s="165" t="s">
        <v>16</v>
      </c>
      <c r="AA1231" s="165" t="s">
        <v>16</v>
      </c>
      <c r="AB1231" s="165" t="s">
        <v>16</v>
      </c>
      <c r="AC1231" s="165" t="s">
        <v>16</v>
      </c>
      <c r="AD1231" s="165" t="s">
        <v>16</v>
      </c>
      <c r="AE1231" s="165" t="s">
        <v>1948</v>
      </c>
      <c r="AF1231" s="165"/>
      <c r="AG1231" s="165"/>
    </row>
    <row r="1232" spans="1:33" x14ac:dyDescent="0.3">
      <c r="A1232" s="165" t="s">
        <v>1949</v>
      </c>
      <c r="B1232" s="165" t="s">
        <v>14</v>
      </c>
      <c r="C1232" s="165" t="s">
        <v>1932</v>
      </c>
      <c r="D1232" s="165" t="s">
        <v>15</v>
      </c>
      <c r="E1232" s="157">
        <v>41546</v>
      </c>
      <c r="F1232" s="165" t="s">
        <v>16</v>
      </c>
      <c r="G1232" s="165" t="s">
        <v>16</v>
      </c>
      <c r="H1232" s="165" t="s">
        <v>16</v>
      </c>
      <c r="I1232" s="165" t="s">
        <v>16</v>
      </c>
      <c r="J1232" s="165" t="s">
        <v>16</v>
      </c>
      <c r="K1232" s="165" t="s">
        <v>16</v>
      </c>
      <c r="L1232" s="165" t="s">
        <v>16</v>
      </c>
      <c r="M1232" s="165" t="s">
        <v>16</v>
      </c>
      <c r="N1232" s="165" t="s">
        <v>148</v>
      </c>
      <c r="O1232" s="165" t="s">
        <v>16</v>
      </c>
      <c r="P1232" s="165" t="s">
        <v>16</v>
      </c>
      <c r="Q1232" s="165" t="s">
        <v>16</v>
      </c>
      <c r="R1232" s="165" t="s">
        <v>16</v>
      </c>
      <c r="S1232" s="165" t="s">
        <v>16</v>
      </c>
      <c r="T1232" s="165" t="s">
        <v>16</v>
      </c>
      <c r="U1232" s="165" t="s">
        <v>16</v>
      </c>
      <c r="V1232" s="165" t="s">
        <v>16</v>
      </c>
      <c r="W1232" s="165" t="s">
        <v>16</v>
      </c>
      <c r="X1232" s="165" t="s">
        <v>16</v>
      </c>
      <c r="Y1232" s="165" t="s">
        <v>16</v>
      </c>
      <c r="Z1232" s="165" t="s">
        <v>16</v>
      </c>
      <c r="AA1232" s="165" t="s">
        <v>16</v>
      </c>
      <c r="AB1232" s="165" t="s">
        <v>16</v>
      </c>
      <c r="AC1232" s="165" t="s">
        <v>16</v>
      </c>
      <c r="AD1232" s="165" t="s">
        <v>148</v>
      </c>
      <c r="AE1232" s="165"/>
      <c r="AF1232" s="165"/>
      <c r="AG1232" s="165"/>
    </row>
    <row r="1233" spans="1:33" x14ac:dyDescent="0.3">
      <c r="A1233" s="165" t="s">
        <v>1950</v>
      </c>
      <c r="B1233" s="165" t="s">
        <v>14</v>
      </c>
      <c r="C1233" s="165" t="s">
        <v>1932</v>
      </c>
      <c r="D1233" s="165" t="s">
        <v>15</v>
      </c>
      <c r="E1233" s="157">
        <v>41546</v>
      </c>
      <c r="F1233" s="165" t="s">
        <v>16</v>
      </c>
      <c r="G1233" s="165" t="s">
        <v>16</v>
      </c>
      <c r="H1233" s="165" t="s">
        <v>16</v>
      </c>
      <c r="I1233" s="165" t="s">
        <v>16</v>
      </c>
      <c r="J1233" s="165" t="s">
        <v>16</v>
      </c>
      <c r="K1233" s="165" t="s">
        <v>16</v>
      </c>
      <c r="L1233" s="165" t="s">
        <v>16</v>
      </c>
      <c r="M1233" s="165" t="s">
        <v>16</v>
      </c>
      <c r="N1233" s="165" t="s">
        <v>16</v>
      </c>
      <c r="O1233" s="165" t="s">
        <v>16</v>
      </c>
      <c r="P1233" s="165" t="s">
        <v>16</v>
      </c>
      <c r="Q1233" s="165" t="s">
        <v>16</v>
      </c>
      <c r="R1233" s="165" t="s">
        <v>16</v>
      </c>
      <c r="S1233" s="165" t="s">
        <v>16</v>
      </c>
      <c r="T1233" s="165" t="s">
        <v>16</v>
      </c>
      <c r="U1233" s="165" t="s">
        <v>16</v>
      </c>
      <c r="V1233" s="165" t="s">
        <v>16</v>
      </c>
      <c r="W1233" s="165" t="s">
        <v>16</v>
      </c>
      <c r="X1233" s="165" t="s">
        <v>16</v>
      </c>
      <c r="Y1233" s="165" t="s">
        <v>16</v>
      </c>
      <c r="Z1233" s="165" t="s">
        <v>16</v>
      </c>
      <c r="AA1233" s="165" t="s">
        <v>16</v>
      </c>
      <c r="AB1233" s="165" t="s">
        <v>16</v>
      </c>
      <c r="AC1233" s="165" t="s">
        <v>16</v>
      </c>
      <c r="AD1233" s="165" t="s">
        <v>16</v>
      </c>
      <c r="AE1233" s="165" t="s">
        <v>1951</v>
      </c>
      <c r="AF1233" s="165"/>
      <c r="AG1233" s="165"/>
    </row>
    <row r="1234" spans="1:33" x14ac:dyDescent="0.3">
      <c r="A1234" s="165" t="s">
        <v>1952</v>
      </c>
      <c r="B1234" s="165" t="s">
        <v>14</v>
      </c>
      <c r="C1234" s="165" t="s">
        <v>1932</v>
      </c>
      <c r="D1234" s="165" t="s">
        <v>15</v>
      </c>
      <c r="E1234" s="157">
        <v>41546</v>
      </c>
      <c r="F1234" s="165" t="s">
        <v>149</v>
      </c>
      <c r="G1234" s="165" t="s">
        <v>149</v>
      </c>
      <c r="H1234" s="165" t="s">
        <v>148</v>
      </c>
      <c r="I1234" s="165" t="s">
        <v>148</v>
      </c>
      <c r="J1234" s="165" t="s">
        <v>148</v>
      </c>
      <c r="K1234" s="165" t="s">
        <v>16</v>
      </c>
      <c r="L1234" s="165" t="s">
        <v>16</v>
      </c>
      <c r="M1234" s="165" t="s">
        <v>16</v>
      </c>
      <c r="N1234" s="165" t="s">
        <v>148</v>
      </c>
      <c r="O1234" s="165" t="s">
        <v>151</v>
      </c>
      <c r="P1234" s="165" t="s">
        <v>16</v>
      </c>
      <c r="Q1234" s="165" t="s">
        <v>16</v>
      </c>
      <c r="R1234" s="165" t="s">
        <v>16</v>
      </c>
      <c r="S1234" s="165" t="s">
        <v>16</v>
      </c>
      <c r="T1234" s="165" t="s">
        <v>16</v>
      </c>
      <c r="U1234" s="165" t="s">
        <v>16</v>
      </c>
      <c r="V1234" s="165" t="s">
        <v>16</v>
      </c>
      <c r="W1234" s="165" t="s">
        <v>16</v>
      </c>
      <c r="X1234" s="165" t="s">
        <v>16</v>
      </c>
      <c r="Y1234" s="165" t="s">
        <v>16</v>
      </c>
      <c r="Z1234" s="165" t="s">
        <v>16</v>
      </c>
      <c r="AA1234" s="165" t="s">
        <v>16</v>
      </c>
      <c r="AB1234" s="165" t="s">
        <v>16</v>
      </c>
      <c r="AC1234" s="165" t="s">
        <v>16</v>
      </c>
      <c r="AD1234" s="165" t="s">
        <v>16</v>
      </c>
      <c r="AE1234" s="165" t="s">
        <v>1940</v>
      </c>
      <c r="AF1234" s="165"/>
      <c r="AG1234" s="165"/>
    </row>
    <row r="1235" spans="1:33" x14ac:dyDescent="0.3">
      <c r="A1235" s="165" t="s">
        <v>1953</v>
      </c>
      <c r="B1235" s="165" t="s">
        <v>14</v>
      </c>
      <c r="C1235" s="165" t="s">
        <v>1932</v>
      </c>
      <c r="D1235" s="165" t="s">
        <v>15</v>
      </c>
      <c r="E1235" s="157">
        <v>41546</v>
      </c>
      <c r="F1235" s="165" t="s">
        <v>16</v>
      </c>
      <c r="G1235" s="165" t="s">
        <v>16</v>
      </c>
      <c r="H1235" s="165" t="s">
        <v>16</v>
      </c>
      <c r="I1235" s="165" t="s">
        <v>149</v>
      </c>
      <c r="J1235" s="165" t="s">
        <v>16</v>
      </c>
      <c r="K1235" s="165" t="s">
        <v>16</v>
      </c>
      <c r="L1235" s="165" t="s">
        <v>149</v>
      </c>
      <c r="M1235" s="165" t="s">
        <v>16</v>
      </c>
      <c r="N1235" s="165" t="s">
        <v>149</v>
      </c>
      <c r="O1235" s="165" t="s">
        <v>16</v>
      </c>
      <c r="P1235" s="165" t="s">
        <v>149</v>
      </c>
      <c r="Q1235" s="165" t="s">
        <v>16</v>
      </c>
      <c r="R1235" s="165" t="s">
        <v>16</v>
      </c>
      <c r="S1235" s="165" t="s">
        <v>148</v>
      </c>
      <c r="T1235" s="165" t="s">
        <v>16</v>
      </c>
      <c r="U1235" s="165" t="s">
        <v>16</v>
      </c>
      <c r="V1235" s="165" t="s">
        <v>16</v>
      </c>
      <c r="W1235" s="165" t="s">
        <v>16</v>
      </c>
      <c r="X1235" s="165" t="s">
        <v>16</v>
      </c>
      <c r="Y1235" s="165" t="s">
        <v>16</v>
      </c>
      <c r="Z1235" s="165" t="s">
        <v>16</v>
      </c>
      <c r="AA1235" s="165" t="s">
        <v>16</v>
      </c>
      <c r="AB1235" s="165" t="s">
        <v>16</v>
      </c>
      <c r="AC1235" s="165" t="s">
        <v>16</v>
      </c>
      <c r="AD1235" s="165" t="s">
        <v>16</v>
      </c>
      <c r="AE1235" s="165" t="s">
        <v>1933</v>
      </c>
      <c r="AF1235" s="165"/>
      <c r="AG1235" s="165"/>
    </row>
    <row r="1236" spans="1:33" x14ac:dyDescent="0.3">
      <c r="A1236" s="165" t="s">
        <v>1954</v>
      </c>
      <c r="B1236" s="165" t="s">
        <v>14</v>
      </c>
      <c r="C1236" s="165" t="s">
        <v>1932</v>
      </c>
      <c r="D1236" s="165" t="s">
        <v>15</v>
      </c>
      <c r="E1236" s="157">
        <v>41546</v>
      </c>
      <c r="F1236" s="165" t="s">
        <v>16</v>
      </c>
      <c r="G1236" s="165" t="s">
        <v>16</v>
      </c>
      <c r="H1236" s="165" t="s">
        <v>16</v>
      </c>
      <c r="I1236" s="165" t="s">
        <v>16</v>
      </c>
      <c r="J1236" s="165" t="s">
        <v>148</v>
      </c>
      <c r="K1236" s="165" t="s">
        <v>149</v>
      </c>
      <c r="L1236" s="165" t="s">
        <v>149</v>
      </c>
      <c r="M1236" s="165" t="s">
        <v>149</v>
      </c>
      <c r="N1236" s="165" t="s">
        <v>16</v>
      </c>
      <c r="O1236" s="165" t="s">
        <v>16</v>
      </c>
      <c r="P1236" s="165" t="s">
        <v>16</v>
      </c>
      <c r="Q1236" s="165" t="s">
        <v>16</v>
      </c>
      <c r="R1236" s="165" t="s">
        <v>16</v>
      </c>
      <c r="S1236" s="165" t="s">
        <v>16</v>
      </c>
      <c r="T1236" s="165" t="s">
        <v>16</v>
      </c>
      <c r="U1236" s="165" t="s">
        <v>16</v>
      </c>
      <c r="V1236" s="165" t="s">
        <v>16</v>
      </c>
      <c r="W1236" s="165" t="s">
        <v>16</v>
      </c>
      <c r="X1236" s="165" t="s">
        <v>16</v>
      </c>
      <c r="Y1236" s="165" t="s">
        <v>16</v>
      </c>
      <c r="Z1236" s="165" t="s">
        <v>16</v>
      </c>
      <c r="AA1236" s="165" t="s">
        <v>16</v>
      </c>
      <c r="AB1236" s="165" t="s">
        <v>16</v>
      </c>
      <c r="AC1236" s="165" t="s">
        <v>16</v>
      </c>
      <c r="AD1236" s="165" t="s">
        <v>149</v>
      </c>
      <c r="AE1236" s="165" t="s">
        <v>1955</v>
      </c>
      <c r="AF1236" s="165"/>
      <c r="AG1236" s="165"/>
    </row>
    <row r="1237" spans="1:33" x14ac:dyDescent="0.3">
      <c r="A1237" s="165" t="s">
        <v>1956</v>
      </c>
      <c r="B1237" s="165" t="s">
        <v>14</v>
      </c>
      <c r="C1237" s="165" t="s">
        <v>1932</v>
      </c>
      <c r="D1237" s="165" t="s">
        <v>15</v>
      </c>
      <c r="E1237" s="157">
        <v>41546</v>
      </c>
      <c r="F1237" s="165" t="s">
        <v>16</v>
      </c>
      <c r="G1237" s="165" t="s">
        <v>16</v>
      </c>
      <c r="H1237" s="165" t="s">
        <v>16</v>
      </c>
      <c r="I1237" s="165" t="s">
        <v>148</v>
      </c>
      <c r="J1237" s="165" t="s">
        <v>148</v>
      </c>
      <c r="K1237" s="165" t="s">
        <v>16</v>
      </c>
      <c r="L1237" s="165" t="s">
        <v>148</v>
      </c>
      <c r="M1237" s="165" t="s">
        <v>148</v>
      </c>
      <c r="N1237" s="165" t="s">
        <v>148</v>
      </c>
      <c r="O1237" s="165" t="s">
        <v>148</v>
      </c>
      <c r="P1237" s="165" t="s">
        <v>148</v>
      </c>
      <c r="Q1237" s="165" t="s">
        <v>16</v>
      </c>
      <c r="R1237" s="165" t="s">
        <v>16</v>
      </c>
      <c r="S1237" s="165" t="s">
        <v>148</v>
      </c>
      <c r="T1237" s="165" t="s">
        <v>16</v>
      </c>
      <c r="U1237" s="165" t="s">
        <v>148</v>
      </c>
      <c r="V1237" s="165" t="s">
        <v>16</v>
      </c>
      <c r="W1237" s="165" t="s">
        <v>148</v>
      </c>
      <c r="X1237" s="165" t="s">
        <v>148</v>
      </c>
      <c r="Y1237" s="165" t="s">
        <v>16</v>
      </c>
      <c r="Z1237" s="165" t="s">
        <v>16</v>
      </c>
      <c r="AA1237" s="165" t="s">
        <v>148</v>
      </c>
      <c r="AB1237" s="165" t="s">
        <v>149</v>
      </c>
      <c r="AC1237" s="165" t="s">
        <v>148</v>
      </c>
      <c r="AD1237" s="165" t="s">
        <v>148</v>
      </c>
      <c r="AE1237" s="165" t="s">
        <v>1933</v>
      </c>
      <c r="AF1237" s="165"/>
      <c r="AG1237" s="165"/>
    </row>
    <row r="1238" spans="1:33" x14ac:dyDescent="0.3">
      <c r="A1238" s="165" t="s">
        <v>1957</v>
      </c>
      <c r="B1238" s="165" t="s">
        <v>14</v>
      </c>
      <c r="C1238" s="165" t="s">
        <v>1932</v>
      </c>
      <c r="D1238" s="165" t="s">
        <v>15</v>
      </c>
      <c r="E1238" s="157">
        <v>41546</v>
      </c>
      <c r="F1238" s="165" t="s">
        <v>16</v>
      </c>
      <c r="G1238" s="165" t="s">
        <v>16</v>
      </c>
      <c r="H1238" s="165" t="s">
        <v>16</v>
      </c>
      <c r="I1238" s="165" t="s">
        <v>16</v>
      </c>
      <c r="J1238" s="165" t="s">
        <v>16</v>
      </c>
      <c r="K1238" s="165" t="s">
        <v>16</v>
      </c>
      <c r="L1238" s="165" t="s">
        <v>16</v>
      </c>
      <c r="M1238" s="165" t="s">
        <v>16</v>
      </c>
      <c r="N1238" s="165" t="s">
        <v>16</v>
      </c>
      <c r="O1238" s="165" t="s">
        <v>16</v>
      </c>
      <c r="P1238" s="165" t="s">
        <v>16</v>
      </c>
      <c r="Q1238" s="165" t="s">
        <v>16</v>
      </c>
      <c r="R1238" s="165" t="s">
        <v>16</v>
      </c>
      <c r="S1238" s="165" t="s">
        <v>16</v>
      </c>
      <c r="T1238" s="165" t="s">
        <v>16</v>
      </c>
      <c r="U1238" s="165" t="s">
        <v>16</v>
      </c>
      <c r="V1238" s="165" t="s">
        <v>16</v>
      </c>
      <c r="W1238" s="165" t="s">
        <v>16</v>
      </c>
      <c r="X1238" s="165" t="s">
        <v>16</v>
      </c>
      <c r="Y1238" s="165" t="s">
        <v>16</v>
      </c>
      <c r="Z1238" s="165" t="s">
        <v>16</v>
      </c>
      <c r="AA1238" s="165" t="s">
        <v>16</v>
      </c>
      <c r="AB1238" s="165" t="s">
        <v>148</v>
      </c>
      <c r="AC1238" s="165" t="s">
        <v>16</v>
      </c>
      <c r="AD1238" s="165" t="s">
        <v>148</v>
      </c>
      <c r="AE1238" s="165" t="s">
        <v>1933</v>
      </c>
      <c r="AF1238" s="165"/>
      <c r="AG1238" s="165"/>
    </row>
    <row r="1241" spans="1:33" x14ac:dyDescent="0.3">
      <c r="A1241" s="165"/>
      <c r="B1241" s="165"/>
      <c r="C1241" s="165"/>
      <c r="D1241" s="165"/>
      <c r="E1241" s="165"/>
      <c r="F1241" s="165" t="s">
        <v>124</v>
      </c>
      <c r="G1241" s="165" t="s">
        <v>125</v>
      </c>
      <c r="H1241" s="165" t="s">
        <v>126</v>
      </c>
      <c r="I1241" s="165" t="s">
        <v>127</v>
      </c>
      <c r="J1241" s="165" t="s">
        <v>214</v>
      </c>
      <c r="K1241" s="165" t="s">
        <v>128</v>
      </c>
      <c r="L1241" s="165" t="s">
        <v>129</v>
      </c>
      <c r="M1241" s="165" t="s">
        <v>130</v>
      </c>
      <c r="N1241" s="165" t="s">
        <v>131</v>
      </c>
      <c r="O1241" s="165" t="s">
        <v>132</v>
      </c>
      <c r="P1241" s="165" t="s">
        <v>133</v>
      </c>
      <c r="Q1241" s="165" t="s">
        <v>134</v>
      </c>
      <c r="R1241" s="165" t="s">
        <v>135</v>
      </c>
      <c r="S1241" s="165" t="s">
        <v>136</v>
      </c>
      <c r="T1241" s="165" t="s">
        <v>137</v>
      </c>
      <c r="U1241" s="165" t="s">
        <v>138</v>
      </c>
      <c r="V1241" s="165" t="s">
        <v>139</v>
      </c>
      <c r="W1241" s="165" t="s">
        <v>140</v>
      </c>
      <c r="X1241" s="165" t="s">
        <v>186</v>
      </c>
      <c r="Y1241" s="165" t="s">
        <v>209</v>
      </c>
      <c r="Z1241" s="165" t="s">
        <v>141</v>
      </c>
      <c r="AA1241" s="165" t="s">
        <v>142</v>
      </c>
      <c r="AB1241" s="165" t="s">
        <v>210</v>
      </c>
      <c r="AC1241" s="165" t="s">
        <v>1180</v>
      </c>
      <c r="AD1241" s="165" t="s">
        <v>144</v>
      </c>
      <c r="AE1241" s="165" t="s">
        <v>1958</v>
      </c>
      <c r="AF1241" s="165" t="s">
        <v>190</v>
      </c>
    </row>
    <row r="1242" spans="1:33" x14ac:dyDescent="0.3">
      <c r="A1242" s="165" t="s">
        <v>1991</v>
      </c>
      <c r="B1242" s="165" t="s">
        <v>1140</v>
      </c>
      <c r="C1242" s="165" t="s">
        <v>1960</v>
      </c>
      <c r="D1242" s="165" t="s">
        <v>15</v>
      </c>
      <c r="E1242" s="157">
        <v>41577</v>
      </c>
      <c r="F1242" s="165" t="s">
        <v>16</v>
      </c>
      <c r="G1242" s="165" t="s">
        <v>16</v>
      </c>
      <c r="H1242" s="165" t="s">
        <v>16</v>
      </c>
      <c r="I1242" s="165" t="s">
        <v>16</v>
      </c>
      <c r="J1242" s="165" t="s">
        <v>16</v>
      </c>
      <c r="K1242" s="165" t="s">
        <v>16</v>
      </c>
      <c r="L1242" s="165" t="s">
        <v>16</v>
      </c>
      <c r="M1242" s="165" t="s">
        <v>16</v>
      </c>
      <c r="N1242" s="165" t="s">
        <v>16</v>
      </c>
      <c r="O1242" s="165" t="s">
        <v>16</v>
      </c>
      <c r="P1242" s="165" t="s">
        <v>16</v>
      </c>
      <c r="Q1242" s="165" t="s">
        <v>16</v>
      </c>
      <c r="R1242" s="165" t="s">
        <v>16</v>
      </c>
      <c r="S1242" s="165" t="s">
        <v>16</v>
      </c>
      <c r="T1242" s="165" t="s">
        <v>16</v>
      </c>
      <c r="U1242" s="165" t="s">
        <v>16</v>
      </c>
      <c r="V1242" s="165" t="s">
        <v>16</v>
      </c>
      <c r="W1242" s="165" t="s">
        <v>16</v>
      </c>
      <c r="X1242" s="165" t="s">
        <v>16</v>
      </c>
      <c r="Y1242" s="165" t="s">
        <v>16</v>
      </c>
      <c r="Z1242" s="165" t="s">
        <v>16</v>
      </c>
      <c r="AA1242" s="165" t="s">
        <v>16</v>
      </c>
      <c r="AB1242" s="165" t="s">
        <v>16</v>
      </c>
      <c r="AC1242" s="165" t="s">
        <v>16</v>
      </c>
      <c r="AD1242" s="165" t="s">
        <v>16</v>
      </c>
      <c r="AE1242" s="165" t="s">
        <v>1965</v>
      </c>
      <c r="AF1242" s="165"/>
    </row>
    <row r="1243" spans="1:33" x14ac:dyDescent="0.3">
      <c r="A1243" s="165" t="s">
        <v>1992</v>
      </c>
      <c r="B1243" s="165" t="s">
        <v>14</v>
      </c>
      <c r="C1243" s="165" t="s">
        <v>1960</v>
      </c>
      <c r="D1243" s="165" t="s">
        <v>15</v>
      </c>
      <c r="E1243" s="157">
        <v>41577</v>
      </c>
      <c r="F1243" s="165" t="s">
        <v>16</v>
      </c>
      <c r="G1243" s="165" t="s">
        <v>16</v>
      </c>
      <c r="H1243" s="165" t="s">
        <v>16</v>
      </c>
      <c r="I1243" s="165" t="s">
        <v>16</v>
      </c>
      <c r="J1243" s="165" t="s">
        <v>148</v>
      </c>
      <c r="K1243" s="165" t="s">
        <v>16</v>
      </c>
      <c r="L1243" s="165" t="s">
        <v>16</v>
      </c>
      <c r="M1243" s="165" t="s">
        <v>148</v>
      </c>
      <c r="N1243" s="165" t="s">
        <v>148</v>
      </c>
      <c r="O1243" s="165" t="s">
        <v>148</v>
      </c>
      <c r="P1243" s="165" t="s">
        <v>148</v>
      </c>
      <c r="Q1243" s="165" t="s">
        <v>16</v>
      </c>
      <c r="R1243" s="165" t="s">
        <v>148</v>
      </c>
      <c r="S1243" s="165" t="s">
        <v>16</v>
      </c>
      <c r="T1243" s="165" t="s">
        <v>148</v>
      </c>
      <c r="U1243" s="165" t="s">
        <v>148</v>
      </c>
      <c r="V1243" s="165" t="s">
        <v>16</v>
      </c>
      <c r="W1243" s="165" t="s">
        <v>16</v>
      </c>
      <c r="X1243" s="165" t="s">
        <v>16</v>
      </c>
      <c r="Y1243" s="165" t="s">
        <v>148</v>
      </c>
      <c r="Z1243" s="165" t="s">
        <v>16</v>
      </c>
      <c r="AA1243" s="165" t="s">
        <v>148</v>
      </c>
      <c r="AB1243" s="165" t="s">
        <v>16</v>
      </c>
      <c r="AC1243" s="165" t="s">
        <v>148</v>
      </c>
      <c r="AD1243" s="165" t="s">
        <v>16</v>
      </c>
      <c r="AE1243" s="165" t="s">
        <v>1965</v>
      </c>
      <c r="AF1243" s="165"/>
    </row>
    <row r="1244" spans="1:33" x14ac:dyDescent="0.3">
      <c r="A1244" s="165" t="s">
        <v>1993</v>
      </c>
      <c r="B1244" s="165" t="s">
        <v>14</v>
      </c>
      <c r="C1244" s="165" t="s">
        <v>1960</v>
      </c>
      <c r="D1244" s="165" t="s">
        <v>15</v>
      </c>
      <c r="E1244" s="157">
        <v>41577</v>
      </c>
      <c r="F1244" s="165" t="s">
        <v>16</v>
      </c>
      <c r="G1244" s="165" t="s">
        <v>16</v>
      </c>
      <c r="H1244" s="165" t="s">
        <v>16</v>
      </c>
      <c r="I1244" s="165" t="s">
        <v>148</v>
      </c>
      <c r="J1244" s="165" t="s">
        <v>16</v>
      </c>
      <c r="K1244" s="165" t="s">
        <v>16</v>
      </c>
      <c r="L1244" s="165" t="s">
        <v>16</v>
      </c>
      <c r="M1244" s="165" t="s">
        <v>148</v>
      </c>
      <c r="N1244" s="165" t="s">
        <v>16</v>
      </c>
      <c r="O1244" s="165" t="s">
        <v>16</v>
      </c>
      <c r="P1244" s="165" t="s">
        <v>16</v>
      </c>
      <c r="Q1244" s="165" t="s">
        <v>16</v>
      </c>
      <c r="R1244" s="165" t="s">
        <v>16</v>
      </c>
      <c r="S1244" s="165" t="s">
        <v>148</v>
      </c>
      <c r="T1244" s="165" t="s">
        <v>148</v>
      </c>
      <c r="U1244" s="165" t="s">
        <v>16</v>
      </c>
      <c r="V1244" s="165" t="s">
        <v>148</v>
      </c>
      <c r="W1244" s="165" t="s">
        <v>16</v>
      </c>
      <c r="X1244" s="165" t="s">
        <v>148</v>
      </c>
      <c r="Y1244" s="165" t="s">
        <v>148</v>
      </c>
      <c r="Z1244" s="165" t="s">
        <v>16</v>
      </c>
      <c r="AA1244" s="165" t="s">
        <v>148</v>
      </c>
      <c r="AB1244" s="165" t="s">
        <v>16</v>
      </c>
      <c r="AC1244" s="165" t="s">
        <v>16</v>
      </c>
      <c r="AD1244" s="165" t="s">
        <v>16</v>
      </c>
      <c r="AE1244" s="165" t="s">
        <v>1965</v>
      </c>
      <c r="AF1244" s="165"/>
    </row>
    <row r="1245" spans="1:33" x14ac:dyDescent="0.3">
      <c r="A1245" s="165" t="s">
        <v>1994</v>
      </c>
      <c r="B1245" s="165" t="s">
        <v>14</v>
      </c>
      <c r="C1245" s="165" t="s">
        <v>1960</v>
      </c>
      <c r="D1245" s="165" t="s">
        <v>15</v>
      </c>
      <c r="E1245" s="157">
        <v>41577</v>
      </c>
      <c r="F1245" s="165" t="s">
        <v>16</v>
      </c>
      <c r="G1245" s="165" t="s">
        <v>16</v>
      </c>
      <c r="H1245" s="165" t="s">
        <v>16</v>
      </c>
      <c r="I1245" s="165" t="s">
        <v>16</v>
      </c>
      <c r="J1245" s="165" t="s">
        <v>16</v>
      </c>
      <c r="K1245" s="165" t="s">
        <v>16</v>
      </c>
      <c r="L1245" s="165" t="s">
        <v>16</v>
      </c>
      <c r="M1245" s="165" t="s">
        <v>16</v>
      </c>
      <c r="N1245" s="165" t="s">
        <v>16</v>
      </c>
      <c r="O1245" s="165" t="s">
        <v>16</v>
      </c>
      <c r="P1245" s="165" t="s">
        <v>16</v>
      </c>
      <c r="Q1245" s="165" t="s">
        <v>16</v>
      </c>
      <c r="R1245" s="165" t="s">
        <v>16</v>
      </c>
      <c r="S1245" s="165" t="s">
        <v>16</v>
      </c>
      <c r="T1245" s="165" t="s">
        <v>16</v>
      </c>
      <c r="U1245" s="165" t="s">
        <v>16</v>
      </c>
      <c r="V1245" s="165" t="s">
        <v>16</v>
      </c>
      <c r="W1245" s="165" t="s">
        <v>16</v>
      </c>
      <c r="X1245" s="165" t="s">
        <v>16</v>
      </c>
      <c r="Y1245" s="165" t="s">
        <v>16</v>
      </c>
      <c r="Z1245" s="165" t="s">
        <v>16</v>
      </c>
      <c r="AA1245" s="165" t="s">
        <v>16</v>
      </c>
      <c r="AB1245" s="165" t="s">
        <v>16</v>
      </c>
      <c r="AC1245" s="165" t="s">
        <v>16</v>
      </c>
      <c r="AD1245" s="165" t="s">
        <v>16</v>
      </c>
      <c r="AE1245" s="165" t="s">
        <v>1985</v>
      </c>
      <c r="AF1245" s="165"/>
    </row>
    <row r="1246" spans="1:33" x14ac:dyDescent="0.3">
      <c r="A1246" s="165" t="s">
        <v>1995</v>
      </c>
      <c r="B1246" s="165" t="s">
        <v>14</v>
      </c>
      <c r="C1246" s="165" t="s">
        <v>1960</v>
      </c>
      <c r="D1246" s="165" t="s">
        <v>15</v>
      </c>
      <c r="E1246" s="157">
        <v>41577</v>
      </c>
      <c r="F1246" s="165" t="s">
        <v>16</v>
      </c>
      <c r="G1246" s="165" t="s">
        <v>16</v>
      </c>
      <c r="H1246" s="165" t="s">
        <v>16</v>
      </c>
      <c r="I1246" s="165" t="s">
        <v>148</v>
      </c>
      <c r="J1246" s="165" t="s">
        <v>16</v>
      </c>
      <c r="K1246" s="165" t="s">
        <v>16</v>
      </c>
      <c r="L1246" s="165" t="s">
        <v>148</v>
      </c>
      <c r="M1246" s="165" t="s">
        <v>148</v>
      </c>
      <c r="N1246" s="165" t="s">
        <v>16</v>
      </c>
      <c r="O1246" s="165" t="s">
        <v>16</v>
      </c>
      <c r="P1246" s="165" t="s">
        <v>16</v>
      </c>
      <c r="Q1246" s="165" t="s">
        <v>16</v>
      </c>
      <c r="R1246" s="165" t="s">
        <v>16</v>
      </c>
      <c r="S1246" s="165" t="s">
        <v>16</v>
      </c>
      <c r="T1246" s="165" t="s">
        <v>16</v>
      </c>
      <c r="U1246" s="165" t="s">
        <v>16</v>
      </c>
      <c r="V1246" s="165" t="s">
        <v>16</v>
      </c>
      <c r="W1246" s="165" t="s">
        <v>16</v>
      </c>
      <c r="X1246" s="165" t="s">
        <v>16</v>
      </c>
      <c r="Y1246" s="165" t="s">
        <v>16</v>
      </c>
      <c r="Z1246" s="165" t="s">
        <v>148</v>
      </c>
      <c r="AA1246" s="165" t="s">
        <v>148</v>
      </c>
      <c r="AB1246" s="165" t="s">
        <v>16</v>
      </c>
      <c r="AC1246" s="165" t="s">
        <v>16</v>
      </c>
      <c r="AD1246" s="165" t="s">
        <v>16</v>
      </c>
      <c r="AE1246" s="165" t="s">
        <v>1972</v>
      </c>
      <c r="AF1246" s="165"/>
    </row>
    <row r="1247" spans="1:33" x14ac:dyDescent="0.3">
      <c r="A1247" s="165" t="s">
        <v>1959</v>
      </c>
      <c r="B1247" s="165" t="s">
        <v>14</v>
      </c>
      <c r="C1247" s="165" t="s">
        <v>1960</v>
      </c>
      <c r="D1247" s="165" t="s">
        <v>15</v>
      </c>
      <c r="E1247" s="157">
        <v>41577</v>
      </c>
      <c r="F1247" s="165" t="s">
        <v>150</v>
      </c>
      <c r="G1247" s="165" t="s">
        <v>16</v>
      </c>
      <c r="H1247" s="165" t="s">
        <v>149</v>
      </c>
      <c r="I1247" s="165" t="s">
        <v>148</v>
      </c>
      <c r="J1247" s="165" t="s">
        <v>148</v>
      </c>
      <c r="K1247" s="165" t="s">
        <v>148</v>
      </c>
      <c r="L1247" s="165" t="s">
        <v>148</v>
      </c>
      <c r="M1247" s="165" t="s">
        <v>148</v>
      </c>
      <c r="N1247" s="165" t="s">
        <v>148</v>
      </c>
      <c r="O1247" s="165" t="s">
        <v>16</v>
      </c>
      <c r="P1247" s="165" t="s">
        <v>150</v>
      </c>
      <c r="Q1247" s="165" t="s">
        <v>149</v>
      </c>
      <c r="R1247" s="165" t="s">
        <v>149</v>
      </c>
      <c r="S1247" s="165" t="s">
        <v>150</v>
      </c>
      <c r="T1247" s="165" t="s">
        <v>150</v>
      </c>
      <c r="U1247" s="165" t="s">
        <v>148</v>
      </c>
      <c r="V1247" s="165" t="s">
        <v>148</v>
      </c>
      <c r="W1247" s="165" t="s">
        <v>150</v>
      </c>
      <c r="X1247" s="165" t="s">
        <v>150</v>
      </c>
      <c r="Y1247" s="165" t="s">
        <v>150</v>
      </c>
      <c r="Z1247" s="165" t="s">
        <v>16</v>
      </c>
      <c r="AA1247" s="165" t="s">
        <v>16</v>
      </c>
      <c r="AB1247" s="165" t="s">
        <v>148</v>
      </c>
      <c r="AC1247" s="165" t="s">
        <v>148</v>
      </c>
      <c r="AD1247" s="165" t="s">
        <v>148</v>
      </c>
      <c r="AE1247" s="165" t="s">
        <v>1961</v>
      </c>
      <c r="AF1247" s="165"/>
    </row>
    <row r="1248" spans="1:33" x14ac:dyDescent="0.3">
      <c r="A1248" s="165" t="s">
        <v>1962</v>
      </c>
      <c r="B1248" s="165" t="s">
        <v>14</v>
      </c>
      <c r="C1248" s="165" t="s">
        <v>1960</v>
      </c>
      <c r="D1248" s="165" t="s">
        <v>15</v>
      </c>
      <c r="E1248" s="157">
        <v>41577</v>
      </c>
      <c r="F1248" s="165" t="s">
        <v>151</v>
      </c>
      <c r="G1248" s="165" t="s">
        <v>151</v>
      </c>
      <c r="H1248" s="165" t="s">
        <v>151</v>
      </c>
      <c r="I1248" s="165" t="s">
        <v>151</v>
      </c>
      <c r="J1248" s="165" t="s">
        <v>16</v>
      </c>
      <c r="K1248" s="165" t="s">
        <v>151</v>
      </c>
      <c r="L1248" s="165" t="s">
        <v>151</v>
      </c>
      <c r="M1248" s="165" t="s">
        <v>151</v>
      </c>
      <c r="N1248" s="165" t="s">
        <v>148</v>
      </c>
      <c r="O1248" s="165" t="s">
        <v>16</v>
      </c>
      <c r="P1248" s="165" t="s">
        <v>151</v>
      </c>
      <c r="Q1248" s="165" t="s">
        <v>151</v>
      </c>
      <c r="R1248" s="165" t="s">
        <v>151</v>
      </c>
      <c r="S1248" s="165" t="s">
        <v>151</v>
      </c>
      <c r="T1248" s="165" t="s">
        <v>151</v>
      </c>
      <c r="U1248" s="165" t="s">
        <v>151</v>
      </c>
      <c r="V1248" s="165" t="s">
        <v>151</v>
      </c>
      <c r="W1248" s="165" t="s">
        <v>151</v>
      </c>
      <c r="X1248" s="165" t="s">
        <v>16</v>
      </c>
      <c r="Y1248" s="165" t="s">
        <v>149</v>
      </c>
      <c r="Z1248" s="165" t="s">
        <v>149</v>
      </c>
      <c r="AA1248" s="165" t="s">
        <v>149</v>
      </c>
      <c r="AB1248" s="165" t="s">
        <v>150</v>
      </c>
      <c r="AC1248" s="165" t="s">
        <v>16</v>
      </c>
      <c r="AD1248" s="165" t="s">
        <v>16</v>
      </c>
      <c r="AE1248" s="165" t="s">
        <v>1963</v>
      </c>
      <c r="AF1248" s="165"/>
    </row>
    <row r="1249" spans="1:32" x14ac:dyDescent="0.3">
      <c r="A1249" s="165" t="s">
        <v>1964</v>
      </c>
      <c r="B1249" s="165" t="s">
        <v>14</v>
      </c>
      <c r="C1249" s="165" t="s">
        <v>1960</v>
      </c>
      <c r="D1249" s="165" t="s">
        <v>15</v>
      </c>
      <c r="E1249" s="157">
        <v>41577</v>
      </c>
      <c r="F1249" s="165" t="s">
        <v>16</v>
      </c>
      <c r="G1249" s="165" t="s">
        <v>148</v>
      </c>
      <c r="H1249" s="165" t="s">
        <v>148</v>
      </c>
      <c r="I1249" s="165" t="s">
        <v>16</v>
      </c>
      <c r="J1249" s="165" t="s">
        <v>148</v>
      </c>
      <c r="K1249" s="165" t="s">
        <v>148</v>
      </c>
      <c r="L1249" s="165" t="s">
        <v>148</v>
      </c>
      <c r="M1249" s="165" t="s">
        <v>148</v>
      </c>
      <c r="N1249" s="165" t="s">
        <v>16</v>
      </c>
      <c r="O1249" s="165" t="s">
        <v>16</v>
      </c>
      <c r="P1249" s="165" t="s">
        <v>16</v>
      </c>
      <c r="Q1249" s="165" t="s">
        <v>16</v>
      </c>
      <c r="R1249" s="165" t="s">
        <v>148</v>
      </c>
      <c r="S1249" s="165" t="s">
        <v>148</v>
      </c>
      <c r="T1249" s="165" t="s">
        <v>148</v>
      </c>
      <c r="U1249" s="165" t="s">
        <v>16</v>
      </c>
      <c r="V1249" s="165" t="s">
        <v>150</v>
      </c>
      <c r="W1249" s="165" t="s">
        <v>148</v>
      </c>
      <c r="X1249" s="165" t="s">
        <v>148</v>
      </c>
      <c r="Y1249" s="165" t="s">
        <v>148</v>
      </c>
      <c r="Z1249" s="165" t="s">
        <v>16</v>
      </c>
      <c r="AA1249" s="165" t="s">
        <v>16</v>
      </c>
      <c r="AB1249" s="165" t="s">
        <v>148</v>
      </c>
      <c r="AC1249" s="165" t="s">
        <v>148</v>
      </c>
      <c r="AD1249" s="165" t="s">
        <v>148</v>
      </c>
      <c r="AE1249" s="165" t="s">
        <v>1965</v>
      </c>
      <c r="AF1249" s="165"/>
    </row>
    <row r="1250" spans="1:32" x14ac:dyDescent="0.3">
      <c r="A1250" s="165" t="s">
        <v>1966</v>
      </c>
      <c r="B1250" s="165" t="s">
        <v>14</v>
      </c>
      <c r="C1250" s="165" t="s">
        <v>1960</v>
      </c>
      <c r="D1250" s="165" t="s">
        <v>15</v>
      </c>
      <c r="E1250" s="157">
        <v>41577</v>
      </c>
      <c r="F1250" s="165" t="s">
        <v>148</v>
      </c>
      <c r="G1250" s="165" t="s">
        <v>148</v>
      </c>
      <c r="H1250" s="165" t="s">
        <v>16</v>
      </c>
      <c r="I1250" s="165" t="s">
        <v>16</v>
      </c>
      <c r="J1250" s="165" t="s">
        <v>148</v>
      </c>
      <c r="K1250" s="165" t="s">
        <v>16</v>
      </c>
      <c r="L1250" s="165" t="s">
        <v>148</v>
      </c>
      <c r="M1250" s="165" t="s">
        <v>148</v>
      </c>
      <c r="N1250" s="165" t="s">
        <v>16</v>
      </c>
      <c r="O1250" s="165" t="s">
        <v>148</v>
      </c>
      <c r="P1250" s="165" t="s">
        <v>148</v>
      </c>
      <c r="Q1250" s="165" t="s">
        <v>148</v>
      </c>
      <c r="R1250" s="165" t="s">
        <v>16</v>
      </c>
      <c r="S1250" s="165" t="s">
        <v>148</v>
      </c>
      <c r="T1250" s="165" t="s">
        <v>148</v>
      </c>
      <c r="U1250" s="165" t="s">
        <v>148</v>
      </c>
      <c r="V1250" s="165" t="s">
        <v>148</v>
      </c>
      <c r="W1250" s="165" t="s">
        <v>148</v>
      </c>
      <c r="X1250" s="165" t="s">
        <v>148</v>
      </c>
      <c r="Y1250" s="165" t="s">
        <v>16</v>
      </c>
      <c r="Z1250" s="165" t="s">
        <v>148</v>
      </c>
      <c r="AA1250" s="165" t="s">
        <v>148</v>
      </c>
      <c r="AB1250" s="165" t="s">
        <v>16</v>
      </c>
      <c r="AC1250" s="165" t="s">
        <v>148</v>
      </c>
      <c r="AD1250" s="165" t="s">
        <v>16</v>
      </c>
      <c r="AE1250" s="165" t="s">
        <v>1967</v>
      </c>
      <c r="AF1250" s="165"/>
    </row>
    <row r="1251" spans="1:32" x14ac:dyDescent="0.3">
      <c r="A1251" s="165" t="s">
        <v>1968</v>
      </c>
      <c r="B1251" s="165" t="s">
        <v>14</v>
      </c>
      <c r="C1251" s="165" t="s">
        <v>1960</v>
      </c>
      <c r="D1251" s="165" t="s">
        <v>15</v>
      </c>
      <c r="E1251" s="157">
        <v>41577</v>
      </c>
      <c r="F1251" s="165" t="s">
        <v>16</v>
      </c>
      <c r="G1251" s="165" t="s">
        <v>16</v>
      </c>
      <c r="H1251" s="165" t="s">
        <v>16</v>
      </c>
      <c r="I1251" s="165" t="s">
        <v>16</v>
      </c>
      <c r="J1251" s="165" t="s">
        <v>16</v>
      </c>
      <c r="K1251" s="165" t="s">
        <v>16</v>
      </c>
      <c r="L1251" s="165" t="s">
        <v>16</v>
      </c>
      <c r="M1251" s="165" t="s">
        <v>16</v>
      </c>
      <c r="N1251" s="165" t="s">
        <v>16</v>
      </c>
      <c r="O1251" s="165" t="s">
        <v>16</v>
      </c>
      <c r="P1251" s="165" t="s">
        <v>16</v>
      </c>
      <c r="Q1251" s="165" t="s">
        <v>16</v>
      </c>
      <c r="R1251" s="165" t="s">
        <v>16</v>
      </c>
      <c r="S1251" s="165" t="s">
        <v>150</v>
      </c>
      <c r="T1251" s="165" t="s">
        <v>16</v>
      </c>
      <c r="U1251" s="165" t="s">
        <v>16</v>
      </c>
      <c r="V1251" s="165" t="s">
        <v>16</v>
      </c>
      <c r="W1251" s="165" t="s">
        <v>16</v>
      </c>
      <c r="X1251" s="165" t="s">
        <v>16</v>
      </c>
      <c r="Y1251" s="165" t="s">
        <v>16</v>
      </c>
      <c r="Z1251" s="165" t="s">
        <v>16</v>
      </c>
      <c r="AA1251" s="165" t="s">
        <v>16</v>
      </c>
      <c r="AB1251" s="165" t="s">
        <v>16</v>
      </c>
      <c r="AC1251" s="165" t="s">
        <v>16</v>
      </c>
      <c r="AD1251" s="165" t="s">
        <v>16</v>
      </c>
      <c r="AE1251" s="165" t="s">
        <v>1965</v>
      </c>
      <c r="AF1251" s="165" t="s">
        <v>1969</v>
      </c>
    </row>
    <row r="1252" spans="1:32" x14ac:dyDescent="0.3">
      <c r="A1252" s="165" t="s">
        <v>1970</v>
      </c>
      <c r="B1252" s="165" t="s">
        <v>14</v>
      </c>
      <c r="C1252" s="165" t="s">
        <v>1960</v>
      </c>
      <c r="D1252" s="165" t="s">
        <v>15</v>
      </c>
      <c r="E1252" s="157">
        <v>41577</v>
      </c>
      <c r="F1252" s="165" t="s">
        <v>148</v>
      </c>
      <c r="G1252" s="165" t="s">
        <v>16</v>
      </c>
      <c r="H1252" s="165" t="s">
        <v>148</v>
      </c>
      <c r="I1252" s="165" t="s">
        <v>148</v>
      </c>
      <c r="J1252" s="165" t="s">
        <v>16</v>
      </c>
      <c r="K1252" s="165" t="s">
        <v>16</v>
      </c>
      <c r="L1252" s="165" t="s">
        <v>148</v>
      </c>
      <c r="M1252" s="165" t="s">
        <v>150</v>
      </c>
      <c r="N1252" s="165" t="s">
        <v>150</v>
      </c>
      <c r="O1252" s="165" t="s">
        <v>16</v>
      </c>
      <c r="P1252" s="165" t="s">
        <v>150</v>
      </c>
      <c r="Q1252" s="165" t="s">
        <v>16</v>
      </c>
      <c r="R1252" s="165" t="s">
        <v>148</v>
      </c>
      <c r="S1252" s="165" t="s">
        <v>148</v>
      </c>
      <c r="T1252" s="165" t="s">
        <v>148</v>
      </c>
      <c r="U1252" s="165" t="s">
        <v>150</v>
      </c>
      <c r="V1252" s="165" t="s">
        <v>148</v>
      </c>
      <c r="W1252" s="165" t="s">
        <v>16</v>
      </c>
      <c r="X1252" s="165" t="s">
        <v>148</v>
      </c>
      <c r="Y1252" s="165" t="s">
        <v>16</v>
      </c>
      <c r="Z1252" s="165" t="s">
        <v>148</v>
      </c>
      <c r="AA1252" s="165" t="s">
        <v>148</v>
      </c>
      <c r="AB1252" s="165" t="s">
        <v>148</v>
      </c>
      <c r="AC1252" s="165" t="s">
        <v>148</v>
      </c>
      <c r="AD1252" s="165" t="s">
        <v>148</v>
      </c>
      <c r="AE1252" s="165" t="s">
        <v>1965</v>
      </c>
      <c r="AF1252" s="165"/>
    </row>
    <row r="1253" spans="1:32" x14ac:dyDescent="0.3">
      <c r="A1253" s="165" t="s">
        <v>1971</v>
      </c>
      <c r="B1253" s="165" t="s">
        <v>14</v>
      </c>
      <c r="C1253" s="165" t="s">
        <v>1960</v>
      </c>
      <c r="D1253" s="165" t="s">
        <v>15</v>
      </c>
      <c r="E1253" s="157">
        <v>41577</v>
      </c>
      <c r="F1253" s="165" t="s">
        <v>16</v>
      </c>
      <c r="G1253" s="165" t="s">
        <v>16</v>
      </c>
      <c r="H1253" s="165" t="s">
        <v>16</v>
      </c>
      <c r="I1253" s="165" t="s">
        <v>148</v>
      </c>
      <c r="J1253" s="165" t="s">
        <v>16</v>
      </c>
      <c r="K1253" s="165" t="s">
        <v>16</v>
      </c>
      <c r="L1253" s="165" t="s">
        <v>16</v>
      </c>
      <c r="M1253" s="165" t="s">
        <v>16</v>
      </c>
      <c r="N1253" s="165" t="s">
        <v>16</v>
      </c>
      <c r="O1253" s="165" t="s">
        <v>16</v>
      </c>
      <c r="P1253" s="165" t="s">
        <v>16</v>
      </c>
      <c r="Q1253" s="165" t="s">
        <v>149</v>
      </c>
      <c r="R1253" s="165" t="s">
        <v>149</v>
      </c>
      <c r="S1253" s="165" t="s">
        <v>16</v>
      </c>
      <c r="T1253" s="165" t="s">
        <v>16</v>
      </c>
      <c r="U1253" s="165" t="s">
        <v>16</v>
      </c>
      <c r="V1253" s="165" t="s">
        <v>16</v>
      </c>
      <c r="W1253" s="165" t="s">
        <v>16</v>
      </c>
      <c r="X1253" s="165" t="s">
        <v>16</v>
      </c>
      <c r="Y1253" s="165" t="s">
        <v>16</v>
      </c>
      <c r="Z1253" s="165" t="s">
        <v>16</v>
      </c>
      <c r="AA1253" s="165" t="s">
        <v>16</v>
      </c>
      <c r="AB1253" s="165" t="s">
        <v>16</v>
      </c>
      <c r="AC1253" s="165" t="s">
        <v>16</v>
      </c>
      <c r="AD1253" s="165" t="s">
        <v>16</v>
      </c>
      <c r="AE1253" s="165" t="s">
        <v>1972</v>
      </c>
      <c r="AF1253" s="165"/>
    </row>
    <row r="1254" spans="1:32" x14ac:dyDescent="0.3">
      <c r="A1254" s="165" t="s">
        <v>1973</v>
      </c>
      <c r="B1254" s="165" t="s">
        <v>14</v>
      </c>
      <c r="C1254" s="165" t="s">
        <v>1960</v>
      </c>
      <c r="D1254" s="165" t="s">
        <v>15</v>
      </c>
      <c r="E1254" s="157">
        <v>41577</v>
      </c>
      <c r="F1254" s="165" t="s">
        <v>16</v>
      </c>
      <c r="G1254" s="165" t="s">
        <v>16</v>
      </c>
      <c r="H1254" s="165" t="s">
        <v>16</v>
      </c>
      <c r="I1254" s="165" t="s">
        <v>16</v>
      </c>
      <c r="J1254" s="165" t="s">
        <v>148</v>
      </c>
      <c r="K1254" s="165" t="s">
        <v>16</v>
      </c>
      <c r="L1254" s="165" t="s">
        <v>16</v>
      </c>
      <c r="M1254" s="165" t="s">
        <v>16</v>
      </c>
      <c r="N1254" s="165" t="s">
        <v>149</v>
      </c>
      <c r="O1254" s="165" t="s">
        <v>16</v>
      </c>
      <c r="P1254" s="165" t="s">
        <v>16</v>
      </c>
      <c r="Q1254" s="165" t="s">
        <v>16</v>
      </c>
      <c r="R1254" s="165" t="s">
        <v>16</v>
      </c>
      <c r="S1254" s="165" t="s">
        <v>149</v>
      </c>
      <c r="T1254" s="165" t="s">
        <v>149</v>
      </c>
      <c r="U1254" s="165" t="s">
        <v>149</v>
      </c>
      <c r="V1254" s="165" t="s">
        <v>149</v>
      </c>
      <c r="W1254" s="165" t="s">
        <v>148</v>
      </c>
      <c r="X1254" s="165" t="s">
        <v>16</v>
      </c>
      <c r="Y1254" s="165" t="s">
        <v>16</v>
      </c>
      <c r="Z1254" s="165" t="s">
        <v>16</v>
      </c>
      <c r="AA1254" s="165" t="s">
        <v>16</v>
      </c>
      <c r="AB1254" s="165" t="s">
        <v>16</v>
      </c>
      <c r="AC1254" s="165" t="s">
        <v>16</v>
      </c>
      <c r="AD1254" s="165" t="s">
        <v>16</v>
      </c>
      <c r="AE1254" s="165" t="s">
        <v>1965</v>
      </c>
      <c r="AF1254" s="165"/>
    </row>
    <row r="1255" spans="1:32" x14ac:dyDescent="0.3">
      <c r="A1255" s="165" t="s">
        <v>1974</v>
      </c>
      <c r="B1255" s="165" t="s">
        <v>14</v>
      </c>
      <c r="C1255" s="165" t="s">
        <v>1960</v>
      </c>
      <c r="D1255" s="165" t="s">
        <v>15</v>
      </c>
      <c r="E1255" s="157">
        <v>41577</v>
      </c>
      <c r="F1255" s="165" t="s">
        <v>16</v>
      </c>
      <c r="G1255" s="165" t="s">
        <v>16</v>
      </c>
      <c r="H1255" s="165" t="s">
        <v>16</v>
      </c>
      <c r="I1255" s="165" t="s">
        <v>16</v>
      </c>
      <c r="J1255" s="165" t="s">
        <v>16</v>
      </c>
      <c r="K1255" s="165" t="s">
        <v>16</v>
      </c>
      <c r="L1255" s="165" t="s">
        <v>149</v>
      </c>
      <c r="M1255" s="165" t="s">
        <v>16</v>
      </c>
      <c r="N1255" s="165" t="s">
        <v>16</v>
      </c>
      <c r="O1255" s="165" t="s">
        <v>16</v>
      </c>
      <c r="P1255" s="165" t="s">
        <v>16</v>
      </c>
      <c r="Q1255" s="165" t="s">
        <v>16</v>
      </c>
      <c r="R1255" s="165" t="s">
        <v>16</v>
      </c>
      <c r="S1255" s="165" t="s">
        <v>148</v>
      </c>
      <c r="T1255" s="165" t="s">
        <v>16</v>
      </c>
      <c r="U1255" s="165" t="s">
        <v>16</v>
      </c>
      <c r="V1255" s="165" t="s">
        <v>149</v>
      </c>
      <c r="W1255" s="165" t="s">
        <v>16</v>
      </c>
      <c r="X1255" s="165" t="s">
        <v>16</v>
      </c>
      <c r="Y1255" s="165" t="s">
        <v>16</v>
      </c>
      <c r="Z1255" s="165" t="s">
        <v>16</v>
      </c>
      <c r="AA1255" s="165" t="s">
        <v>16</v>
      </c>
      <c r="AB1255" s="165" t="s">
        <v>148</v>
      </c>
      <c r="AC1255" s="165" t="s">
        <v>148</v>
      </c>
      <c r="AD1255" s="165" t="s">
        <v>148</v>
      </c>
      <c r="AE1255" s="165" t="s">
        <v>1972</v>
      </c>
      <c r="AF1255" s="165" t="s">
        <v>1975</v>
      </c>
    </row>
    <row r="1256" spans="1:32" x14ac:dyDescent="0.3">
      <c r="A1256" s="165" t="s">
        <v>1976</v>
      </c>
      <c r="B1256" s="165" t="s">
        <v>14</v>
      </c>
      <c r="C1256" s="165" t="s">
        <v>1960</v>
      </c>
      <c r="D1256" s="165" t="s">
        <v>15</v>
      </c>
      <c r="E1256" s="157">
        <v>41577</v>
      </c>
      <c r="F1256" s="165" t="s">
        <v>16</v>
      </c>
      <c r="G1256" s="165" t="s">
        <v>16</v>
      </c>
      <c r="H1256" s="165" t="s">
        <v>16</v>
      </c>
      <c r="I1256" s="165" t="s">
        <v>148</v>
      </c>
      <c r="J1256" s="165" t="s">
        <v>16</v>
      </c>
      <c r="K1256" s="165" t="s">
        <v>16</v>
      </c>
      <c r="L1256" s="165" t="s">
        <v>16</v>
      </c>
      <c r="M1256" s="165" t="s">
        <v>16</v>
      </c>
      <c r="N1256" s="165" t="s">
        <v>16</v>
      </c>
      <c r="O1256" s="165" t="s">
        <v>148</v>
      </c>
      <c r="P1256" s="165" t="s">
        <v>148</v>
      </c>
      <c r="Q1256" s="165" t="s">
        <v>16</v>
      </c>
      <c r="R1256" s="165" t="s">
        <v>16</v>
      </c>
      <c r="S1256" s="165" t="s">
        <v>148</v>
      </c>
      <c r="T1256" s="165" t="s">
        <v>16</v>
      </c>
      <c r="U1256" s="165" t="s">
        <v>16</v>
      </c>
      <c r="V1256" s="165" t="s">
        <v>16</v>
      </c>
      <c r="W1256" s="165" t="s">
        <v>16</v>
      </c>
      <c r="X1256" s="165" t="s">
        <v>16</v>
      </c>
      <c r="Y1256" s="165" t="s">
        <v>16</v>
      </c>
      <c r="Z1256" s="165" t="s">
        <v>16</v>
      </c>
      <c r="AA1256" s="165" t="s">
        <v>16</v>
      </c>
      <c r="AB1256" s="165" t="s">
        <v>16</v>
      </c>
      <c r="AC1256" s="165" t="s">
        <v>16</v>
      </c>
      <c r="AD1256" s="165" t="s">
        <v>16</v>
      </c>
      <c r="AE1256" s="165"/>
      <c r="AF1256" s="165"/>
    </row>
    <row r="1257" spans="1:32" x14ac:dyDescent="0.3">
      <c r="A1257" s="165" t="s">
        <v>1977</v>
      </c>
      <c r="B1257" s="165" t="s">
        <v>14</v>
      </c>
      <c r="C1257" s="165" t="s">
        <v>1960</v>
      </c>
      <c r="D1257" s="165" t="s">
        <v>15</v>
      </c>
      <c r="E1257" s="157">
        <v>41577</v>
      </c>
      <c r="F1257" s="165" t="s">
        <v>16</v>
      </c>
      <c r="G1257" s="165" t="s">
        <v>16</v>
      </c>
      <c r="H1257" s="165" t="s">
        <v>16</v>
      </c>
      <c r="I1257" s="165" t="s">
        <v>148</v>
      </c>
      <c r="J1257" s="165" t="s">
        <v>16</v>
      </c>
      <c r="K1257" s="165" t="s">
        <v>16</v>
      </c>
      <c r="L1257" s="165" t="s">
        <v>16</v>
      </c>
      <c r="M1257" s="165" t="s">
        <v>16</v>
      </c>
      <c r="N1257" s="165" t="s">
        <v>16</v>
      </c>
      <c r="O1257" s="165" t="s">
        <v>16</v>
      </c>
      <c r="P1257" s="165" t="s">
        <v>148</v>
      </c>
      <c r="Q1257" s="165" t="s">
        <v>16</v>
      </c>
      <c r="R1257" s="165" t="s">
        <v>16</v>
      </c>
      <c r="S1257" s="165" t="s">
        <v>148</v>
      </c>
      <c r="T1257" s="165" t="s">
        <v>16</v>
      </c>
      <c r="U1257" s="165" t="s">
        <v>16</v>
      </c>
      <c r="V1257" s="165" t="s">
        <v>16</v>
      </c>
      <c r="W1257" s="165" t="s">
        <v>16</v>
      </c>
      <c r="X1257" s="165" t="s">
        <v>16</v>
      </c>
      <c r="Y1257" s="165" t="s">
        <v>16</v>
      </c>
      <c r="Z1257" s="165" t="s">
        <v>16</v>
      </c>
      <c r="AA1257" s="165" t="s">
        <v>16</v>
      </c>
      <c r="AB1257" s="165" t="s">
        <v>16</v>
      </c>
      <c r="AC1257" s="165" t="s">
        <v>16</v>
      </c>
      <c r="AD1257" s="165" t="s">
        <v>16</v>
      </c>
      <c r="AE1257" s="165" t="s">
        <v>1965</v>
      </c>
      <c r="AF1257" s="165"/>
    </row>
    <row r="1258" spans="1:32" x14ac:dyDescent="0.3">
      <c r="A1258" s="165" t="s">
        <v>1978</v>
      </c>
      <c r="B1258" s="165" t="s">
        <v>14</v>
      </c>
      <c r="C1258" s="165" t="s">
        <v>1960</v>
      </c>
      <c r="D1258" s="165" t="s">
        <v>15</v>
      </c>
      <c r="E1258" s="157">
        <v>41577</v>
      </c>
      <c r="F1258" s="165" t="s">
        <v>16</v>
      </c>
      <c r="G1258" s="165" t="s">
        <v>114</v>
      </c>
      <c r="H1258" s="165" t="s">
        <v>16</v>
      </c>
      <c r="I1258" s="165" t="s">
        <v>148</v>
      </c>
      <c r="J1258" s="165" t="s">
        <v>16</v>
      </c>
      <c r="K1258" s="165" t="s">
        <v>16</v>
      </c>
      <c r="L1258" s="165" t="s">
        <v>148</v>
      </c>
      <c r="M1258" s="165" t="s">
        <v>148</v>
      </c>
      <c r="N1258" s="165" t="s">
        <v>148</v>
      </c>
      <c r="O1258" s="165" t="s">
        <v>16</v>
      </c>
      <c r="P1258" s="165" t="s">
        <v>16</v>
      </c>
      <c r="Q1258" s="165" t="s">
        <v>16</v>
      </c>
      <c r="R1258" s="165" t="s">
        <v>16</v>
      </c>
      <c r="S1258" s="165" t="s">
        <v>148</v>
      </c>
      <c r="T1258" s="165" t="s">
        <v>148</v>
      </c>
      <c r="U1258" s="165" t="s">
        <v>16</v>
      </c>
      <c r="V1258" s="165" t="s">
        <v>16</v>
      </c>
      <c r="W1258" s="165" t="s">
        <v>16</v>
      </c>
      <c r="X1258" s="165" t="s">
        <v>16</v>
      </c>
      <c r="Y1258" s="165" t="s">
        <v>16</v>
      </c>
      <c r="Z1258" s="165" t="s">
        <v>16</v>
      </c>
      <c r="AA1258" s="165" t="s">
        <v>16</v>
      </c>
      <c r="AB1258" s="165" t="s">
        <v>149</v>
      </c>
      <c r="AC1258" s="165" t="s">
        <v>150</v>
      </c>
      <c r="AD1258" s="165" t="s">
        <v>16</v>
      </c>
      <c r="AE1258" s="165" t="s">
        <v>1967</v>
      </c>
      <c r="AF1258" s="165"/>
    </row>
    <row r="1259" spans="1:32" x14ac:dyDescent="0.3">
      <c r="A1259" s="165" t="s">
        <v>1979</v>
      </c>
      <c r="B1259" s="165" t="s">
        <v>14</v>
      </c>
      <c r="C1259" s="165" t="s">
        <v>1960</v>
      </c>
      <c r="D1259" s="165" t="s">
        <v>15</v>
      </c>
      <c r="E1259" s="157">
        <v>41577</v>
      </c>
      <c r="F1259" s="165" t="s">
        <v>16</v>
      </c>
      <c r="G1259" s="165" t="s">
        <v>16</v>
      </c>
      <c r="H1259" s="165" t="s">
        <v>16</v>
      </c>
      <c r="I1259" s="165" t="s">
        <v>16</v>
      </c>
      <c r="J1259" s="165" t="s">
        <v>148</v>
      </c>
      <c r="K1259" s="165" t="s">
        <v>16</v>
      </c>
      <c r="L1259" s="165" t="s">
        <v>16</v>
      </c>
      <c r="M1259" s="165" t="s">
        <v>16</v>
      </c>
      <c r="N1259" s="165" t="s">
        <v>16</v>
      </c>
      <c r="O1259" s="165" t="s">
        <v>16</v>
      </c>
      <c r="P1259" s="165" t="s">
        <v>16</v>
      </c>
      <c r="Q1259" s="165" t="s">
        <v>16</v>
      </c>
      <c r="R1259" s="165" t="s">
        <v>148</v>
      </c>
      <c r="S1259" s="165" t="s">
        <v>148</v>
      </c>
      <c r="T1259" s="165" t="s">
        <v>148</v>
      </c>
      <c r="U1259" s="165" t="s">
        <v>16</v>
      </c>
      <c r="V1259" s="165" t="s">
        <v>16</v>
      </c>
      <c r="W1259" s="165" t="s">
        <v>148</v>
      </c>
      <c r="X1259" s="165" t="s">
        <v>148</v>
      </c>
      <c r="Y1259" s="165" t="s">
        <v>16</v>
      </c>
      <c r="Z1259" s="165" t="s">
        <v>148</v>
      </c>
      <c r="AA1259" s="165" t="s">
        <v>148</v>
      </c>
      <c r="AB1259" s="165" t="s">
        <v>148</v>
      </c>
      <c r="AC1259" s="165" t="s">
        <v>16</v>
      </c>
      <c r="AD1259" s="165" t="s">
        <v>16</v>
      </c>
      <c r="AE1259" s="165" t="s">
        <v>1961</v>
      </c>
      <c r="AF1259" s="165"/>
    </row>
    <row r="1260" spans="1:32" x14ac:dyDescent="0.3">
      <c r="A1260" s="165" t="s">
        <v>1980</v>
      </c>
      <c r="B1260" s="165" t="s">
        <v>14</v>
      </c>
      <c r="C1260" s="165" t="s">
        <v>1960</v>
      </c>
      <c r="D1260" s="165" t="s">
        <v>15</v>
      </c>
      <c r="E1260" s="157">
        <v>41577</v>
      </c>
      <c r="F1260" s="165" t="s">
        <v>148</v>
      </c>
      <c r="G1260" s="165" t="s">
        <v>16</v>
      </c>
      <c r="H1260" s="165" t="s">
        <v>16</v>
      </c>
      <c r="I1260" s="165" t="s">
        <v>148</v>
      </c>
      <c r="J1260" s="165" t="s">
        <v>16</v>
      </c>
      <c r="K1260" s="165" t="s">
        <v>148</v>
      </c>
      <c r="L1260" s="165" t="s">
        <v>148</v>
      </c>
      <c r="M1260" s="165" t="s">
        <v>16</v>
      </c>
      <c r="N1260" s="165" t="s">
        <v>16</v>
      </c>
      <c r="O1260" s="165" t="s">
        <v>16</v>
      </c>
      <c r="P1260" s="165" t="s">
        <v>16</v>
      </c>
      <c r="Q1260" s="165" t="s">
        <v>16</v>
      </c>
      <c r="R1260" s="165" t="s">
        <v>16</v>
      </c>
      <c r="S1260" s="165" t="s">
        <v>16</v>
      </c>
      <c r="T1260" s="165" t="s">
        <v>16</v>
      </c>
      <c r="U1260" s="165" t="s">
        <v>16</v>
      </c>
      <c r="V1260" s="165" t="s">
        <v>16</v>
      </c>
      <c r="W1260" s="165" t="s">
        <v>16</v>
      </c>
      <c r="X1260" s="165" t="s">
        <v>16</v>
      </c>
      <c r="Y1260" s="165" t="s">
        <v>148</v>
      </c>
      <c r="Z1260" s="165" t="s">
        <v>149</v>
      </c>
      <c r="AA1260" s="165" t="s">
        <v>16</v>
      </c>
      <c r="AB1260" s="165" t="s">
        <v>16</v>
      </c>
      <c r="AC1260" s="165" t="s">
        <v>148</v>
      </c>
      <c r="AD1260" s="165" t="s">
        <v>16</v>
      </c>
      <c r="AE1260" s="165" t="s">
        <v>1961</v>
      </c>
      <c r="AF1260" s="165"/>
    </row>
    <row r="1261" spans="1:32" x14ac:dyDescent="0.3">
      <c r="A1261" s="165" t="s">
        <v>1981</v>
      </c>
      <c r="B1261" s="165" t="s">
        <v>14</v>
      </c>
      <c r="C1261" s="165" t="s">
        <v>1960</v>
      </c>
      <c r="D1261" s="165" t="s">
        <v>15</v>
      </c>
      <c r="E1261" s="157">
        <v>41577</v>
      </c>
      <c r="F1261" s="165" t="s">
        <v>16</v>
      </c>
      <c r="G1261" s="165" t="s">
        <v>16</v>
      </c>
      <c r="H1261" s="165" t="s">
        <v>16</v>
      </c>
      <c r="I1261" s="165" t="s">
        <v>16</v>
      </c>
      <c r="J1261" s="165" t="s">
        <v>16</v>
      </c>
      <c r="K1261" s="165" t="s">
        <v>16</v>
      </c>
      <c r="L1261" s="165" t="s">
        <v>16</v>
      </c>
      <c r="M1261" s="165" t="s">
        <v>16</v>
      </c>
      <c r="N1261" s="165" t="s">
        <v>16</v>
      </c>
      <c r="O1261" s="165" t="s">
        <v>16</v>
      </c>
      <c r="P1261" s="165" t="s">
        <v>16</v>
      </c>
      <c r="Q1261" s="165" t="s">
        <v>16</v>
      </c>
      <c r="R1261" s="165" t="s">
        <v>16</v>
      </c>
      <c r="S1261" s="165" t="s">
        <v>16</v>
      </c>
      <c r="T1261" s="165" t="s">
        <v>16</v>
      </c>
      <c r="U1261" s="165" t="s">
        <v>16</v>
      </c>
      <c r="V1261" s="165" t="s">
        <v>16</v>
      </c>
      <c r="W1261" s="165" t="s">
        <v>16</v>
      </c>
      <c r="X1261" s="165" t="s">
        <v>16</v>
      </c>
      <c r="Y1261" s="165" t="s">
        <v>16</v>
      </c>
      <c r="Z1261" s="165" t="s">
        <v>16</v>
      </c>
      <c r="AA1261" s="165" t="s">
        <v>16</v>
      </c>
      <c r="AB1261" s="165" t="s">
        <v>16</v>
      </c>
      <c r="AC1261" s="165" t="s">
        <v>16</v>
      </c>
      <c r="AD1261" s="165" t="s">
        <v>16</v>
      </c>
      <c r="AE1261" s="165" t="s">
        <v>1961</v>
      </c>
      <c r="AF1261" s="165"/>
    </row>
    <row r="1262" spans="1:32" x14ac:dyDescent="0.3">
      <c r="A1262" s="165" t="s">
        <v>1982</v>
      </c>
      <c r="B1262" s="165" t="s">
        <v>14</v>
      </c>
      <c r="C1262" s="165" t="s">
        <v>1960</v>
      </c>
      <c r="D1262" s="165" t="s">
        <v>15</v>
      </c>
      <c r="E1262" s="157">
        <v>41577</v>
      </c>
      <c r="F1262" s="165" t="s">
        <v>16</v>
      </c>
      <c r="G1262" s="165" t="s">
        <v>16</v>
      </c>
      <c r="H1262" s="165" t="s">
        <v>16</v>
      </c>
      <c r="I1262" s="165" t="s">
        <v>16</v>
      </c>
      <c r="J1262" s="165" t="s">
        <v>148</v>
      </c>
      <c r="K1262" s="165" t="s">
        <v>16</v>
      </c>
      <c r="L1262" s="165" t="s">
        <v>16</v>
      </c>
      <c r="M1262" s="165" t="s">
        <v>16</v>
      </c>
      <c r="N1262" s="165" t="s">
        <v>16</v>
      </c>
      <c r="O1262" s="165" t="s">
        <v>16</v>
      </c>
      <c r="P1262" s="165" t="s">
        <v>16</v>
      </c>
      <c r="Q1262" s="165" t="s">
        <v>16</v>
      </c>
      <c r="R1262" s="165" t="s">
        <v>16</v>
      </c>
      <c r="S1262" s="165" t="s">
        <v>148</v>
      </c>
      <c r="T1262" s="165" t="s">
        <v>16</v>
      </c>
      <c r="U1262" s="165" t="s">
        <v>16</v>
      </c>
      <c r="V1262" s="165" t="s">
        <v>148</v>
      </c>
      <c r="W1262" s="165" t="s">
        <v>148</v>
      </c>
      <c r="X1262" s="165" t="s">
        <v>16</v>
      </c>
      <c r="Y1262" s="165" t="s">
        <v>16</v>
      </c>
      <c r="Z1262" s="165" t="s">
        <v>16</v>
      </c>
      <c r="AA1262" s="165" t="s">
        <v>16</v>
      </c>
      <c r="AB1262" s="165" t="s">
        <v>16</v>
      </c>
      <c r="AC1262" s="165" t="s">
        <v>16</v>
      </c>
      <c r="AD1262" s="165" t="s">
        <v>16</v>
      </c>
      <c r="AE1262" s="165" t="s">
        <v>1972</v>
      </c>
      <c r="AF1262" s="165"/>
    </row>
    <row r="1263" spans="1:32" x14ac:dyDescent="0.3">
      <c r="A1263" s="165" t="s">
        <v>1983</v>
      </c>
      <c r="B1263" s="165" t="s">
        <v>14</v>
      </c>
      <c r="C1263" s="165" t="s">
        <v>1960</v>
      </c>
      <c r="D1263" s="165" t="s">
        <v>15</v>
      </c>
      <c r="E1263" s="157">
        <v>41577</v>
      </c>
      <c r="F1263" s="165" t="s">
        <v>16</v>
      </c>
      <c r="G1263" s="165" t="s">
        <v>16</v>
      </c>
      <c r="H1263" s="165" t="s">
        <v>16</v>
      </c>
      <c r="I1263" s="165" t="s">
        <v>16</v>
      </c>
      <c r="J1263" s="165" t="s">
        <v>16</v>
      </c>
      <c r="K1263" s="165" t="s">
        <v>16</v>
      </c>
      <c r="L1263" s="165" t="s">
        <v>16</v>
      </c>
      <c r="M1263" s="165" t="s">
        <v>16</v>
      </c>
      <c r="N1263" s="165" t="s">
        <v>148</v>
      </c>
      <c r="O1263" s="165" t="s">
        <v>16</v>
      </c>
      <c r="P1263" s="165" t="s">
        <v>148</v>
      </c>
      <c r="Q1263" s="165" t="s">
        <v>16</v>
      </c>
      <c r="R1263" s="165" t="s">
        <v>16</v>
      </c>
      <c r="S1263" s="165" t="s">
        <v>16</v>
      </c>
      <c r="T1263" s="165" t="s">
        <v>16</v>
      </c>
      <c r="U1263" s="165" t="s">
        <v>148</v>
      </c>
      <c r="V1263" s="165" t="s">
        <v>16</v>
      </c>
      <c r="W1263" s="165" t="s">
        <v>16</v>
      </c>
      <c r="X1263" s="165" t="s">
        <v>16</v>
      </c>
      <c r="Y1263" s="165" t="s">
        <v>16</v>
      </c>
      <c r="Z1263" s="165" t="s">
        <v>16</v>
      </c>
      <c r="AA1263" s="165" t="s">
        <v>16</v>
      </c>
      <c r="AB1263" s="165" t="s">
        <v>148</v>
      </c>
      <c r="AC1263" s="165" t="s">
        <v>16</v>
      </c>
      <c r="AD1263" s="165" t="s">
        <v>16</v>
      </c>
      <c r="AE1263" s="165" t="s">
        <v>1965</v>
      </c>
      <c r="AF1263" s="165"/>
    </row>
    <row r="1264" spans="1:32" x14ac:dyDescent="0.3">
      <c r="A1264" s="165" t="s">
        <v>1984</v>
      </c>
      <c r="B1264" s="165" t="s">
        <v>14</v>
      </c>
      <c r="C1264" s="165" t="s">
        <v>1960</v>
      </c>
      <c r="D1264" s="165" t="s">
        <v>15</v>
      </c>
      <c r="E1264" s="157">
        <v>41577</v>
      </c>
      <c r="F1264" s="165" t="s">
        <v>16</v>
      </c>
      <c r="G1264" s="165" t="s">
        <v>16</v>
      </c>
      <c r="H1264" s="165" t="s">
        <v>16</v>
      </c>
      <c r="I1264" s="165" t="s">
        <v>16</v>
      </c>
      <c r="J1264" s="165" t="s">
        <v>16</v>
      </c>
      <c r="K1264" s="165" t="s">
        <v>16</v>
      </c>
      <c r="L1264" s="165" t="s">
        <v>16</v>
      </c>
      <c r="M1264" s="165" t="s">
        <v>16</v>
      </c>
      <c r="N1264" s="165" t="s">
        <v>16</v>
      </c>
      <c r="O1264" s="165" t="s">
        <v>16</v>
      </c>
      <c r="P1264" s="165" t="s">
        <v>16</v>
      </c>
      <c r="Q1264" s="165" t="s">
        <v>16</v>
      </c>
      <c r="R1264" s="165" t="s">
        <v>16</v>
      </c>
      <c r="S1264" s="165" t="s">
        <v>16</v>
      </c>
      <c r="T1264" s="165" t="s">
        <v>16</v>
      </c>
      <c r="U1264" s="165" t="s">
        <v>16</v>
      </c>
      <c r="V1264" s="165" t="s">
        <v>16</v>
      </c>
      <c r="W1264" s="165" t="s">
        <v>16</v>
      </c>
      <c r="X1264" s="165" t="s">
        <v>16</v>
      </c>
      <c r="Y1264" s="165" t="s">
        <v>16</v>
      </c>
      <c r="Z1264" s="165" t="s">
        <v>16</v>
      </c>
      <c r="AA1264" s="165" t="s">
        <v>16</v>
      </c>
      <c r="AB1264" s="165" t="s">
        <v>16</v>
      </c>
      <c r="AC1264" s="165" t="s">
        <v>16</v>
      </c>
      <c r="AD1264" s="165" t="s">
        <v>16</v>
      </c>
      <c r="AE1264" s="165" t="s">
        <v>1985</v>
      </c>
      <c r="AF1264" s="165"/>
    </row>
    <row r="1265" spans="1:32" x14ac:dyDescent="0.3">
      <c r="A1265" s="165" t="s">
        <v>1986</v>
      </c>
      <c r="B1265" s="165" t="s">
        <v>14</v>
      </c>
      <c r="C1265" s="165" t="s">
        <v>1960</v>
      </c>
      <c r="D1265" s="165" t="s">
        <v>15</v>
      </c>
      <c r="E1265" s="157">
        <v>41577</v>
      </c>
      <c r="F1265" s="165" t="s">
        <v>16</v>
      </c>
      <c r="G1265" s="165" t="s">
        <v>16</v>
      </c>
      <c r="H1265" s="165" t="s">
        <v>16</v>
      </c>
      <c r="I1265" s="165" t="s">
        <v>16</v>
      </c>
      <c r="J1265" s="165" t="s">
        <v>16</v>
      </c>
      <c r="K1265" s="165" t="s">
        <v>16</v>
      </c>
      <c r="L1265" s="165" t="s">
        <v>16</v>
      </c>
      <c r="M1265" s="165" t="s">
        <v>16</v>
      </c>
      <c r="N1265" s="165" t="s">
        <v>16</v>
      </c>
      <c r="O1265" s="165" t="s">
        <v>16</v>
      </c>
      <c r="P1265" s="165" t="s">
        <v>16</v>
      </c>
      <c r="Q1265" s="165" t="s">
        <v>16</v>
      </c>
      <c r="R1265" s="165" t="s">
        <v>16</v>
      </c>
      <c r="S1265" s="165" t="s">
        <v>16</v>
      </c>
      <c r="T1265" s="165" t="s">
        <v>16</v>
      </c>
      <c r="U1265" s="165" t="s">
        <v>16</v>
      </c>
      <c r="V1265" s="165" t="s">
        <v>16</v>
      </c>
      <c r="W1265" s="165" t="s">
        <v>16</v>
      </c>
      <c r="X1265" s="165" t="s">
        <v>16</v>
      </c>
      <c r="Y1265" s="165" t="s">
        <v>16</v>
      </c>
      <c r="Z1265" s="165" t="s">
        <v>16</v>
      </c>
      <c r="AA1265" s="165" t="s">
        <v>16</v>
      </c>
      <c r="AB1265" s="165" t="s">
        <v>16</v>
      </c>
      <c r="AC1265" s="165" t="s">
        <v>16</v>
      </c>
      <c r="AD1265" s="165" t="s">
        <v>16</v>
      </c>
      <c r="AE1265" s="165" t="s">
        <v>1961</v>
      </c>
      <c r="AF1265" s="165"/>
    </row>
    <row r="1266" spans="1:32" x14ac:dyDescent="0.3">
      <c r="A1266" s="165" t="s">
        <v>1987</v>
      </c>
      <c r="B1266" s="165" t="s">
        <v>14</v>
      </c>
      <c r="C1266" s="165" t="s">
        <v>1960</v>
      </c>
      <c r="D1266" s="165" t="s">
        <v>15</v>
      </c>
      <c r="E1266" s="157">
        <v>41577</v>
      </c>
      <c r="F1266" s="165" t="s">
        <v>16</v>
      </c>
      <c r="G1266" s="165" t="s">
        <v>16</v>
      </c>
      <c r="H1266" s="165" t="s">
        <v>16</v>
      </c>
      <c r="I1266" s="165" t="s">
        <v>16</v>
      </c>
      <c r="J1266" s="165" t="s">
        <v>16</v>
      </c>
      <c r="K1266" s="165" t="s">
        <v>16</v>
      </c>
      <c r="L1266" s="165" t="s">
        <v>16</v>
      </c>
      <c r="M1266" s="165" t="s">
        <v>148</v>
      </c>
      <c r="N1266" s="165" t="s">
        <v>16</v>
      </c>
      <c r="O1266" s="165" t="s">
        <v>16</v>
      </c>
      <c r="P1266" s="165" t="s">
        <v>16</v>
      </c>
      <c r="Q1266" s="165" t="s">
        <v>16</v>
      </c>
      <c r="R1266" s="165" t="s">
        <v>16</v>
      </c>
      <c r="S1266" s="165" t="s">
        <v>16</v>
      </c>
      <c r="T1266" s="165" t="s">
        <v>16</v>
      </c>
      <c r="U1266" s="165" t="s">
        <v>148</v>
      </c>
      <c r="V1266" s="165" t="s">
        <v>16</v>
      </c>
      <c r="W1266" s="165" t="s">
        <v>16</v>
      </c>
      <c r="X1266" s="165" t="s">
        <v>16</v>
      </c>
      <c r="Y1266" s="165" t="s">
        <v>16</v>
      </c>
      <c r="Z1266" s="165" t="s">
        <v>16</v>
      </c>
      <c r="AA1266" s="165" t="s">
        <v>16</v>
      </c>
      <c r="AB1266" s="165" t="s">
        <v>16</v>
      </c>
      <c r="AC1266" s="165" t="s">
        <v>16</v>
      </c>
      <c r="AD1266" s="165" t="s">
        <v>16</v>
      </c>
      <c r="AE1266" s="165" t="s">
        <v>1965</v>
      </c>
      <c r="AF1266" s="165"/>
    </row>
    <row r="1267" spans="1:32" x14ac:dyDescent="0.3">
      <c r="A1267" s="165" t="s">
        <v>1988</v>
      </c>
      <c r="B1267" s="165" t="s">
        <v>14</v>
      </c>
      <c r="C1267" s="165" t="s">
        <v>1960</v>
      </c>
      <c r="D1267" s="165" t="s">
        <v>15</v>
      </c>
      <c r="E1267" s="157">
        <v>41577</v>
      </c>
      <c r="F1267" s="165" t="s">
        <v>16</v>
      </c>
      <c r="G1267" s="165" t="s">
        <v>16</v>
      </c>
      <c r="H1267" s="165" t="s">
        <v>16</v>
      </c>
      <c r="I1267" s="165" t="s">
        <v>16</v>
      </c>
      <c r="J1267" s="165" t="s">
        <v>16</v>
      </c>
      <c r="K1267" s="165" t="s">
        <v>16</v>
      </c>
      <c r="L1267" s="165" t="s">
        <v>16</v>
      </c>
      <c r="M1267" s="165" t="s">
        <v>16</v>
      </c>
      <c r="N1267" s="165" t="s">
        <v>16</v>
      </c>
      <c r="O1267" s="165" t="s">
        <v>16</v>
      </c>
      <c r="P1267" s="165" t="s">
        <v>16</v>
      </c>
      <c r="Q1267" s="165" t="s">
        <v>16</v>
      </c>
      <c r="R1267" s="165" t="s">
        <v>16</v>
      </c>
      <c r="S1267" s="165" t="s">
        <v>16</v>
      </c>
      <c r="T1267" s="165" t="s">
        <v>16</v>
      </c>
      <c r="U1267" s="165" t="s">
        <v>16</v>
      </c>
      <c r="V1267" s="165" t="s">
        <v>16</v>
      </c>
      <c r="W1267" s="165" t="s">
        <v>16</v>
      </c>
      <c r="X1267" s="165" t="s">
        <v>16</v>
      </c>
      <c r="Y1267" s="165" t="s">
        <v>16</v>
      </c>
      <c r="Z1267" s="165" t="s">
        <v>16</v>
      </c>
      <c r="AA1267" s="165" t="s">
        <v>16</v>
      </c>
      <c r="AB1267" s="165" t="s">
        <v>16</v>
      </c>
      <c r="AC1267" s="165" t="s">
        <v>16</v>
      </c>
      <c r="AD1267" s="165" t="s">
        <v>16</v>
      </c>
      <c r="AE1267" s="165" t="s">
        <v>1961</v>
      </c>
      <c r="AF1267" s="165"/>
    </row>
    <row r="1268" spans="1:32" x14ac:dyDescent="0.3">
      <c r="A1268" s="165" t="s">
        <v>1989</v>
      </c>
      <c r="B1268" s="165" t="s">
        <v>14</v>
      </c>
      <c r="C1268" s="165" t="s">
        <v>1960</v>
      </c>
      <c r="D1268" s="165" t="s">
        <v>15</v>
      </c>
      <c r="E1268" s="157">
        <v>41577</v>
      </c>
      <c r="F1268" s="165" t="s">
        <v>16</v>
      </c>
      <c r="G1268" s="165" t="s">
        <v>16</v>
      </c>
      <c r="H1268" s="165" t="s">
        <v>16</v>
      </c>
      <c r="I1268" s="165" t="s">
        <v>16</v>
      </c>
      <c r="J1268" s="165" t="s">
        <v>16</v>
      </c>
      <c r="K1268" s="165" t="s">
        <v>148</v>
      </c>
      <c r="L1268" s="165" t="s">
        <v>16</v>
      </c>
      <c r="M1268" s="165" t="s">
        <v>148</v>
      </c>
      <c r="N1268" s="165" t="s">
        <v>148</v>
      </c>
      <c r="O1268" s="165" t="s">
        <v>16</v>
      </c>
      <c r="P1268" s="165" t="s">
        <v>16</v>
      </c>
      <c r="Q1268" s="165" t="s">
        <v>16</v>
      </c>
      <c r="R1268" s="165" t="s">
        <v>16</v>
      </c>
      <c r="S1268" s="165" t="s">
        <v>16</v>
      </c>
      <c r="T1268" s="165" t="s">
        <v>16</v>
      </c>
      <c r="U1268" s="165" t="s">
        <v>16</v>
      </c>
      <c r="V1268" s="165" t="s">
        <v>16</v>
      </c>
      <c r="W1268" s="165" t="s">
        <v>16</v>
      </c>
      <c r="X1268" s="165" t="s">
        <v>16</v>
      </c>
      <c r="Y1268" s="165" t="s">
        <v>16</v>
      </c>
      <c r="Z1268" s="165" t="s">
        <v>16</v>
      </c>
      <c r="AA1268" s="165" t="s">
        <v>16</v>
      </c>
      <c r="AB1268" s="165" t="s">
        <v>16</v>
      </c>
      <c r="AC1268" s="165" t="s">
        <v>16</v>
      </c>
      <c r="AD1268" s="165" t="s">
        <v>150</v>
      </c>
      <c r="AE1268" s="165"/>
      <c r="AF1268" s="165"/>
    </row>
    <row r="1269" spans="1:32" x14ac:dyDescent="0.3">
      <c r="A1269" s="165" t="s">
        <v>1990</v>
      </c>
      <c r="B1269" s="165" t="s">
        <v>14</v>
      </c>
      <c r="C1269" s="165" t="s">
        <v>1960</v>
      </c>
      <c r="D1269" s="165" t="s">
        <v>15</v>
      </c>
      <c r="E1269" s="157">
        <v>41577</v>
      </c>
      <c r="F1269" s="165" t="s">
        <v>16</v>
      </c>
      <c r="G1269" s="165" t="s">
        <v>16</v>
      </c>
      <c r="H1269" s="165" t="s">
        <v>16</v>
      </c>
      <c r="I1269" s="165" t="s">
        <v>16</v>
      </c>
      <c r="J1269" s="165" t="s">
        <v>16</v>
      </c>
      <c r="K1269" s="165" t="s">
        <v>16</v>
      </c>
      <c r="L1269" s="165" t="s">
        <v>16</v>
      </c>
      <c r="M1269" s="165" t="s">
        <v>148</v>
      </c>
      <c r="N1269" s="165" t="s">
        <v>16</v>
      </c>
      <c r="O1269" s="165" t="s">
        <v>16</v>
      </c>
      <c r="P1269" s="165" t="s">
        <v>16</v>
      </c>
      <c r="Q1269" s="165" t="s">
        <v>16</v>
      </c>
      <c r="R1269" s="165" t="s">
        <v>16</v>
      </c>
      <c r="S1269" s="165" t="s">
        <v>16</v>
      </c>
      <c r="T1269" s="165" t="s">
        <v>16</v>
      </c>
      <c r="U1269" s="165" t="s">
        <v>16</v>
      </c>
      <c r="V1269" s="165" t="s">
        <v>16</v>
      </c>
      <c r="W1269" s="165" t="s">
        <v>148</v>
      </c>
      <c r="X1269" s="165" t="s">
        <v>16</v>
      </c>
      <c r="Y1269" s="165" t="s">
        <v>16</v>
      </c>
      <c r="Z1269" s="165" t="s">
        <v>148</v>
      </c>
      <c r="AA1269" s="165" t="s">
        <v>16</v>
      </c>
      <c r="AB1269" s="165" t="s">
        <v>16</v>
      </c>
      <c r="AC1269" s="165" t="s">
        <v>16</v>
      </c>
      <c r="AD1269" s="165" t="s">
        <v>150</v>
      </c>
      <c r="AE1269" s="165"/>
      <c r="AF1269" s="165"/>
    </row>
    <row r="1272" spans="1:32" x14ac:dyDescent="0.3">
      <c r="A1272" s="165"/>
      <c r="B1272" s="165"/>
      <c r="C1272" s="165"/>
      <c r="D1272" s="165"/>
      <c r="E1272" s="165"/>
      <c r="F1272" s="165" t="s">
        <v>124</v>
      </c>
      <c r="G1272" s="165" t="s">
        <v>125</v>
      </c>
      <c r="H1272" s="165" t="s">
        <v>126</v>
      </c>
      <c r="I1272" s="165" t="s">
        <v>127</v>
      </c>
      <c r="J1272" s="165" t="s">
        <v>214</v>
      </c>
      <c r="K1272" s="165" t="s">
        <v>128</v>
      </c>
      <c r="L1272" s="165" t="s">
        <v>129</v>
      </c>
      <c r="M1272" s="165" t="s">
        <v>130</v>
      </c>
      <c r="N1272" s="165" t="s">
        <v>131</v>
      </c>
      <c r="O1272" s="165" t="s">
        <v>132</v>
      </c>
      <c r="P1272" s="165" t="s">
        <v>133</v>
      </c>
      <c r="Q1272" s="165" t="s">
        <v>134</v>
      </c>
      <c r="R1272" s="165" t="s">
        <v>135</v>
      </c>
      <c r="S1272" s="165" t="s">
        <v>136</v>
      </c>
      <c r="T1272" s="165" t="s">
        <v>137</v>
      </c>
      <c r="U1272" s="165" t="s">
        <v>138</v>
      </c>
      <c r="V1272" s="165" t="s">
        <v>139</v>
      </c>
      <c r="W1272" s="165" t="s">
        <v>140</v>
      </c>
      <c r="X1272" s="165" t="s">
        <v>186</v>
      </c>
      <c r="Y1272" s="165" t="s">
        <v>209</v>
      </c>
      <c r="Z1272" s="165" t="s">
        <v>141</v>
      </c>
      <c r="AA1272" s="165" t="s">
        <v>142</v>
      </c>
      <c r="AB1272" s="165" t="s">
        <v>210</v>
      </c>
      <c r="AC1272" s="165" t="s">
        <v>1180</v>
      </c>
      <c r="AD1272" s="165" t="s">
        <v>144</v>
      </c>
      <c r="AE1272" s="165" t="s">
        <v>1996</v>
      </c>
      <c r="AF1272" s="165" t="s">
        <v>190</v>
      </c>
    </row>
    <row r="1273" spans="1:32" x14ac:dyDescent="0.3">
      <c r="A1273" s="165" t="s">
        <v>1997</v>
      </c>
      <c r="B1273" s="165" t="s">
        <v>14</v>
      </c>
      <c r="C1273" s="165" t="s">
        <v>1998</v>
      </c>
      <c r="D1273" s="165" t="s">
        <v>15</v>
      </c>
      <c r="E1273" s="157">
        <v>41607</v>
      </c>
      <c r="F1273" s="165" t="s">
        <v>16</v>
      </c>
      <c r="G1273" s="165" t="s">
        <v>16</v>
      </c>
      <c r="H1273" s="165" t="s">
        <v>16</v>
      </c>
      <c r="I1273" s="165" t="s">
        <v>16</v>
      </c>
      <c r="J1273" s="165" t="s">
        <v>16</v>
      </c>
      <c r="K1273" s="165" t="s">
        <v>16</v>
      </c>
      <c r="L1273" s="165" t="s">
        <v>16</v>
      </c>
      <c r="M1273" s="165" t="s">
        <v>16</v>
      </c>
      <c r="N1273" s="165" t="s">
        <v>16</v>
      </c>
      <c r="O1273" s="165" t="s">
        <v>16</v>
      </c>
      <c r="P1273" s="165" t="s">
        <v>16</v>
      </c>
      <c r="Q1273" s="165" t="s">
        <v>16</v>
      </c>
      <c r="R1273" s="165" t="s">
        <v>16</v>
      </c>
      <c r="S1273" s="165" t="s">
        <v>16</v>
      </c>
      <c r="T1273" s="165" t="s">
        <v>16</v>
      </c>
      <c r="U1273" s="165" t="s">
        <v>16</v>
      </c>
      <c r="V1273" s="165" t="s">
        <v>16</v>
      </c>
      <c r="W1273" s="165" t="s">
        <v>16</v>
      </c>
      <c r="X1273" s="165" t="s">
        <v>16</v>
      </c>
      <c r="Y1273" s="165" t="s">
        <v>16</v>
      </c>
      <c r="Z1273" s="165" t="s">
        <v>150</v>
      </c>
      <c r="AA1273" s="165" t="s">
        <v>148</v>
      </c>
      <c r="AB1273" s="165" t="s">
        <v>16</v>
      </c>
      <c r="AC1273" s="165" t="s">
        <v>148</v>
      </c>
      <c r="AD1273" s="165" t="s">
        <v>16</v>
      </c>
      <c r="AE1273" s="165" t="s">
        <v>1999</v>
      </c>
      <c r="AF1273" s="165"/>
    </row>
    <row r="1274" spans="1:32" x14ac:dyDescent="0.3">
      <c r="A1274" s="165" t="s">
        <v>2000</v>
      </c>
      <c r="B1274" s="165" t="s">
        <v>14</v>
      </c>
      <c r="C1274" s="165" t="s">
        <v>1998</v>
      </c>
      <c r="D1274" s="165" t="s">
        <v>15</v>
      </c>
      <c r="E1274" s="157">
        <v>41607</v>
      </c>
      <c r="F1274" s="165" t="s">
        <v>148</v>
      </c>
      <c r="G1274" s="165" t="s">
        <v>16</v>
      </c>
      <c r="H1274" s="165" t="s">
        <v>16</v>
      </c>
      <c r="I1274" s="165" t="s">
        <v>16</v>
      </c>
      <c r="J1274" s="165" t="s">
        <v>16</v>
      </c>
      <c r="K1274" s="165" t="s">
        <v>16</v>
      </c>
      <c r="L1274" s="165" t="s">
        <v>16</v>
      </c>
      <c r="M1274" s="165" t="s">
        <v>16</v>
      </c>
      <c r="N1274" s="165" t="s">
        <v>16</v>
      </c>
      <c r="O1274" s="165" t="s">
        <v>16</v>
      </c>
      <c r="P1274" s="165" t="s">
        <v>16</v>
      </c>
      <c r="Q1274" s="165" t="s">
        <v>16</v>
      </c>
      <c r="R1274" s="165" t="s">
        <v>16</v>
      </c>
      <c r="S1274" s="165" t="s">
        <v>149</v>
      </c>
      <c r="T1274" s="165" t="s">
        <v>16</v>
      </c>
      <c r="U1274" s="165" t="s">
        <v>16</v>
      </c>
      <c r="V1274" s="165" t="s">
        <v>16</v>
      </c>
      <c r="W1274" s="165" t="s">
        <v>16</v>
      </c>
      <c r="X1274" s="165" t="s">
        <v>16</v>
      </c>
      <c r="Y1274" s="165" t="s">
        <v>16</v>
      </c>
      <c r="Z1274" s="165" t="s">
        <v>149</v>
      </c>
      <c r="AA1274" s="165" t="s">
        <v>16</v>
      </c>
      <c r="AB1274" s="165" t="s">
        <v>16</v>
      </c>
      <c r="AC1274" s="165" t="s">
        <v>16</v>
      </c>
      <c r="AD1274" s="165" t="s">
        <v>16</v>
      </c>
      <c r="AE1274" s="165" t="s">
        <v>1999</v>
      </c>
      <c r="AF1274" s="165"/>
    </row>
    <row r="1275" spans="1:32" x14ac:dyDescent="0.3">
      <c r="A1275" s="165" t="s">
        <v>2001</v>
      </c>
      <c r="B1275" s="165" t="s">
        <v>14</v>
      </c>
      <c r="C1275" s="165" t="s">
        <v>1998</v>
      </c>
      <c r="D1275" s="165" t="s">
        <v>15</v>
      </c>
      <c r="E1275" s="157">
        <v>41607</v>
      </c>
      <c r="F1275" s="165" t="s">
        <v>16</v>
      </c>
      <c r="G1275" s="165" t="s">
        <v>16</v>
      </c>
      <c r="H1275" s="165" t="s">
        <v>16</v>
      </c>
      <c r="I1275" s="165" t="s">
        <v>148</v>
      </c>
      <c r="J1275" s="165" t="s">
        <v>16</v>
      </c>
      <c r="K1275" s="165" t="s">
        <v>16</v>
      </c>
      <c r="L1275" s="165" t="s">
        <v>16</v>
      </c>
      <c r="M1275" s="165" t="s">
        <v>16</v>
      </c>
      <c r="N1275" s="165" t="s">
        <v>16</v>
      </c>
      <c r="O1275" s="165" t="s">
        <v>148</v>
      </c>
      <c r="P1275" s="165" t="s">
        <v>148</v>
      </c>
      <c r="Q1275" s="165" t="s">
        <v>16</v>
      </c>
      <c r="R1275" s="165" t="s">
        <v>16</v>
      </c>
      <c r="S1275" s="165" t="s">
        <v>16</v>
      </c>
      <c r="T1275" s="165" t="s">
        <v>16</v>
      </c>
      <c r="U1275" s="165" t="s">
        <v>148</v>
      </c>
      <c r="V1275" s="165" t="s">
        <v>16</v>
      </c>
      <c r="W1275" s="165" t="s">
        <v>16</v>
      </c>
      <c r="X1275" s="165" t="s">
        <v>16</v>
      </c>
      <c r="Y1275" s="165" t="s">
        <v>16</v>
      </c>
      <c r="Z1275" s="165" t="s">
        <v>16</v>
      </c>
      <c r="AA1275" s="165" t="s">
        <v>16</v>
      </c>
      <c r="AB1275" s="165" t="s">
        <v>16</v>
      </c>
      <c r="AC1275" s="165" t="s">
        <v>16</v>
      </c>
      <c r="AD1275" s="165" t="s">
        <v>16</v>
      </c>
      <c r="AE1275" s="165" t="s">
        <v>2002</v>
      </c>
      <c r="AF1275" s="165"/>
    </row>
    <row r="1276" spans="1:32" x14ac:dyDescent="0.3">
      <c r="A1276" s="165" t="s">
        <v>2003</v>
      </c>
      <c r="B1276" s="165" t="s">
        <v>14</v>
      </c>
      <c r="C1276" s="165" t="s">
        <v>1998</v>
      </c>
      <c r="D1276" s="165" t="s">
        <v>15</v>
      </c>
      <c r="E1276" s="157">
        <v>41607</v>
      </c>
      <c r="F1276" s="165" t="s">
        <v>16</v>
      </c>
      <c r="G1276" s="165" t="s">
        <v>16</v>
      </c>
      <c r="H1276" s="165" t="s">
        <v>16</v>
      </c>
      <c r="I1276" s="165" t="s">
        <v>148</v>
      </c>
      <c r="J1276" s="165" t="s">
        <v>148</v>
      </c>
      <c r="K1276" s="165" t="s">
        <v>148</v>
      </c>
      <c r="L1276" s="165" t="s">
        <v>16</v>
      </c>
      <c r="M1276" s="165" t="s">
        <v>149</v>
      </c>
      <c r="N1276" s="165" t="s">
        <v>16</v>
      </c>
      <c r="O1276" s="165" t="s">
        <v>16</v>
      </c>
      <c r="P1276" s="165" t="s">
        <v>16</v>
      </c>
      <c r="Q1276" s="165" t="s">
        <v>16</v>
      </c>
      <c r="R1276" s="165" t="s">
        <v>148</v>
      </c>
      <c r="S1276" s="165" t="s">
        <v>16</v>
      </c>
      <c r="T1276" s="165" t="s">
        <v>16</v>
      </c>
      <c r="U1276" s="165" t="s">
        <v>148</v>
      </c>
      <c r="V1276" s="165" t="s">
        <v>16</v>
      </c>
      <c r="W1276" s="165" t="s">
        <v>16</v>
      </c>
      <c r="X1276" s="165" t="s">
        <v>148</v>
      </c>
      <c r="Y1276" s="165" t="s">
        <v>16</v>
      </c>
      <c r="Z1276" s="165" t="s">
        <v>16</v>
      </c>
      <c r="AA1276" s="165" t="s">
        <v>16</v>
      </c>
      <c r="AB1276" s="165" t="s">
        <v>16</v>
      </c>
      <c r="AC1276" s="165" t="s">
        <v>148</v>
      </c>
      <c r="AD1276" s="165" t="s">
        <v>148</v>
      </c>
      <c r="AE1276" s="165" t="s">
        <v>1999</v>
      </c>
      <c r="AF1276" s="165"/>
    </row>
    <row r="1277" spans="1:32" x14ac:dyDescent="0.3">
      <c r="A1277" s="165" t="s">
        <v>2004</v>
      </c>
      <c r="B1277" s="165" t="s">
        <v>14</v>
      </c>
      <c r="C1277" s="165" t="s">
        <v>1998</v>
      </c>
      <c r="D1277" s="165" t="s">
        <v>15</v>
      </c>
      <c r="E1277" s="157">
        <v>41607</v>
      </c>
      <c r="F1277" s="165" t="s">
        <v>16</v>
      </c>
      <c r="G1277" s="165" t="s">
        <v>16</v>
      </c>
      <c r="H1277" s="165" t="s">
        <v>16</v>
      </c>
      <c r="I1277" s="165" t="s">
        <v>150</v>
      </c>
      <c r="J1277" s="165" t="s">
        <v>148</v>
      </c>
      <c r="K1277" s="165" t="s">
        <v>16</v>
      </c>
      <c r="L1277" s="165" t="s">
        <v>148</v>
      </c>
      <c r="M1277" s="165" t="s">
        <v>150</v>
      </c>
      <c r="N1277" s="165" t="s">
        <v>150</v>
      </c>
      <c r="O1277" s="165" t="s">
        <v>16</v>
      </c>
      <c r="P1277" s="165" t="s">
        <v>150</v>
      </c>
      <c r="Q1277" s="165" t="s">
        <v>16</v>
      </c>
      <c r="R1277" s="165" t="s">
        <v>16</v>
      </c>
      <c r="S1277" s="165" t="s">
        <v>16</v>
      </c>
      <c r="T1277" s="165" t="s">
        <v>148</v>
      </c>
      <c r="U1277" s="165" t="s">
        <v>148</v>
      </c>
      <c r="V1277" s="165" t="s">
        <v>16</v>
      </c>
      <c r="W1277" s="165" t="s">
        <v>16</v>
      </c>
      <c r="X1277" s="165" t="s">
        <v>16</v>
      </c>
      <c r="Y1277" s="165" t="s">
        <v>16</v>
      </c>
      <c r="Z1277" s="165" t="s">
        <v>16</v>
      </c>
      <c r="AA1277" s="165" t="s">
        <v>148</v>
      </c>
      <c r="AB1277" s="165" t="s">
        <v>16</v>
      </c>
      <c r="AC1277" s="165" t="s">
        <v>16</v>
      </c>
      <c r="AD1277" s="165" t="s">
        <v>16</v>
      </c>
      <c r="AE1277" s="165" t="s">
        <v>2005</v>
      </c>
      <c r="AF1277" s="165"/>
    </row>
    <row r="1278" spans="1:32" x14ac:dyDescent="0.3">
      <c r="A1278" s="165" t="s">
        <v>2006</v>
      </c>
      <c r="B1278" s="165" t="s">
        <v>14</v>
      </c>
      <c r="C1278" s="165" t="s">
        <v>1998</v>
      </c>
      <c r="D1278" s="165" t="s">
        <v>15</v>
      </c>
      <c r="E1278" s="157">
        <v>41607</v>
      </c>
      <c r="F1278" s="165" t="s">
        <v>16</v>
      </c>
      <c r="G1278" s="165" t="s">
        <v>16</v>
      </c>
      <c r="H1278" s="165" t="s">
        <v>16</v>
      </c>
      <c r="I1278" s="165" t="s">
        <v>148</v>
      </c>
      <c r="J1278" s="165" t="s">
        <v>16</v>
      </c>
      <c r="K1278" s="165" t="s">
        <v>16</v>
      </c>
      <c r="L1278" s="165" t="s">
        <v>16</v>
      </c>
      <c r="M1278" s="165" t="s">
        <v>16</v>
      </c>
      <c r="N1278" s="165" t="s">
        <v>148</v>
      </c>
      <c r="O1278" s="165" t="s">
        <v>148</v>
      </c>
      <c r="P1278" s="165" t="s">
        <v>148</v>
      </c>
      <c r="Q1278" s="165" t="s">
        <v>16</v>
      </c>
      <c r="R1278" s="165" t="s">
        <v>16</v>
      </c>
      <c r="S1278" s="165" t="s">
        <v>148</v>
      </c>
      <c r="T1278" s="165" t="s">
        <v>16</v>
      </c>
      <c r="U1278" s="165" t="s">
        <v>16</v>
      </c>
      <c r="V1278" s="165" t="s">
        <v>148</v>
      </c>
      <c r="W1278" s="165" t="s">
        <v>16</v>
      </c>
      <c r="X1278" s="165" t="s">
        <v>16</v>
      </c>
      <c r="Y1278" s="165" t="s">
        <v>16</v>
      </c>
      <c r="Z1278" s="165" t="s">
        <v>16</v>
      </c>
      <c r="AA1278" s="165" t="s">
        <v>16</v>
      </c>
      <c r="AB1278" s="165" t="s">
        <v>16</v>
      </c>
      <c r="AC1278" s="165" t="s">
        <v>16</v>
      </c>
      <c r="AD1278" s="165" t="s">
        <v>16</v>
      </c>
      <c r="AE1278" s="165" t="s">
        <v>2007</v>
      </c>
      <c r="AF1278" s="165"/>
    </row>
    <row r="1279" spans="1:32" x14ac:dyDescent="0.3">
      <c r="A1279" s="165" t="s">
        <v>2008</v>
      </c>
      <c r="B1279" s="165" t="s">
        <v>14</v>
      </c>
      <c r="C1279" s="165" t="s">
        <v>1998</v>
      </c>
      <c r="D1279" s="165" t="s">
        <v>15</v>
      </c>
      <c r="E1279" s="157">
        <v>41607</v>
      </c>
      <c r="F1279" s="165" t="s">
        <v>16</v>
      </c>
      <c r="G1279" s="165" t="s">
        <v>16</v>
      </c>
      <c r="H1279" s="165" t="s">
        <v>148</v>
      </c>
      <c r="I1279" s="165" t="s">
        <v>148</v>
      </c>
      <c r="J1279" s="165" t="s">
        <v>16</v>
      </c>
      <c r="K1279" s="165" t="s">
        <v>16</v>
      </c>
      <c r="L1279" s="165" t="s">
        <v>16</v>
      </c>
      <c r="M1279" s="165" t="s">
        <v>16</v>
      </c>
      <c r="N1279" s="165" t="s">
        <v>16</v>
      </c>
      <c r="O1279" s="165" t="s">
        <v>16</v>
      </c>
      <c r="P1279" s="165" t="s">
        <v>148</v>
      </c>
      <c r="Q1279" s="165" t="s">
        <v>16</v>
      </c>
      <c r="R1279" s="165" t="s">
        <v>148</v>
      </c>
      <c r="S1279" s="165" t="s">
        <v>148</v>
      </c>
      <c r="T1279" s="165" t="s">
        <v>16</v>
      </c>
      <c r="U1279" s="165" t="s">
        <v>16</v>
      </c>
      <c r="V1279" s="165" t="s">
        <v>16</v>
      </c>
      <c r="W1279" s="165" t="s">
        <v>16</v>
      </c>
      <c r="X1279" s="165" t="s">
        <v>16</v>
      </c>
      <c r="Y1279" s="165" t="s">
        <v>16</v>
      </c>
      <c r="Z1279" s="165" t="s">
        <v>16</v>
      </c>
      <c r="AA1279" s="165" t="s">
        <v>16</v>
      </c>
      <c r="AB1279" s="165" t="s">
        <v>16</v>
      </c>
      <c r="AC1279" s="165" t="s">
        <v>16</v>
      </c>
      <c r="AD1279" s="165" t="s">
        <v>16</v>
      </c>
      <c r="AE1279" s="165" t="s">
        <v>1999</v>
      </c>
      <c r="AF1279" s="165"/>
    </row>
    <row r="1280" spans="1:32" x14ac:dyDescent="0.3">
      <c r="A1280" s="165" t="s">
        <v>2009</v>
      </c>
      <c r="B1280" s="165" t="s">
        <v>14</v>
      </c>
      <c r="C1280" s="165" t="s">
        <v>1998</v>
      </c>
      <c r="D1280" s="165" t="s">
        <v>15</v>
      </c>
      <c r="E1280" s="157">
        <v>41607</v>
      </c>
      <c r="F1280" s="165" t="s">
        <v>150</v>
      </c>
      <c r="G1280" s="165" t="s">
        <v>16</v>
      </c>
      <c r="H1280" s="165" t="s">
        <v>148</v>
      </c>
      <c r="I1280" s="165" t="s">
        <v>148</v>
      </c>
      <c r="J1280" s="165" t="s">
        <v>148</v>
      </c>
      <c r="K1280" s="165" t="s">
        <v>16</v>
      </c>
      <c r="L1280" s="165" t="s">
        <v>148</v>
      </c>
      <c r="M1280" s="165" t="s">
        <v>148</v>
      </c>
      <c r="N1280" s="165" t="s">
        <v>150</v>
      </c>
      <c r="O1280" s="165" t="s">
        <v>150</v>
      </c>
      <c r="P1280" s="165" t="s">
        <v>148</v>
      </c>
      <c r="Q1280" s="165" t="s">
        <v>148</v>
      </c>
      <c r="R1280" s="165" t="s">
        <v>16</v>
      </c>
      <c r="S1280" s="165" t="s">
        <v>150</v>
      </c>
      <c r="T1280" s="165" t="s">
        <v>148</v>
      </c>
      <c r="U1280" s="165" t="s">
        <v>148</v>
      </c>
      <c r="V1280" s="165" t="s">
        <v>148</v>
      </c>
      <c r="W1280" s="165" t="s">
        <v>16</v>
      </c>
      <c r="X1280" s="165" t="s">
        <v>150</v>
      </c>
      <c r="Y1280" s="165" t="s">
        <v>16</v>
      </c>
      <c r="Z1280" s="165" t="s">
        <v>16</v>
      </c>
      <c r="AA1280" s="165" t="s">
        <v>16</v>
      </c>
      <c r="AB1280" s="165" t="s">
        <v>148</v>
      </c>
      <c r="AC1280" s="165" t="s">
        <v>148</v>
      </c>
      <c r="AD1280" s="165" t="s">
        <v>16</v>
      </c>
      <c r="AE1280" s="165" t="s">
        <v>1999</v>
      </c>
      <c r="AF1280" s="165"/>
    </row>
    <row r="1281" spans="1:32" x14ac:dyDescent="0.3">
      <c r="A1281" s="165" t="s">
        <v>2010</v>
      </c>
      <c r="B1281" s="165" t="s">
        <v>14</v>
      </c>
      <c r="C1281" s="165" t="s">
        <v>1998</v>
      </c>
      <c r="D1281" s="165" t="s">
        <v>15</v>
      </c>
      <c r="E1281" s="157">
        <v>41607</v>
      </c>
      <c r="F1281" s="165" t="s">
        <v>16</v>
      </c>
      <c r="G1281" s="165" t="s">
        <v>16</v>
      </c>
      <c r="H1281" s="165" t="s">
        <v>16</v>
      </c>
      <c r="I1281" s="165" t="s">
        <v>16</v>
      </c>
      <c r="J1281" s="165" t="s">
        <v>16</v>
      </c>
      <c r="K1281" s="165" t="s">
        <v>16</v>
      </c>
      <c r="L1281" s="165" t="s">
        <v>16</v>
      </c>
      <c r="M1281" s="165" t="s">
        <v>16</v>
      </c>
      <c r="N1281" s="165" t="s">
        <v>16</v>
      </c>
      <c r="O1281" s="165" t="s">
        <v>16</v>
      </c>
      <c r="P1281" s="165" t="s">
        <v>16</v>
      </c>
      <c r="Q1281" s="165" t="s">
        <v>16</v>
      </c>
      <c r="R1281" s="165" t="s">
        <v>16</v>
      </c>
      <c r="S1281" s="165" t="s">
        <v>16</v>
      </c>
      <c r="T1281" s="165" t="s">
        <v>16</v>
      </c>
      <c r="U1281" s="165" t="s">
        <v>16</v>
      </c>
      <c r="V1281" s="165" t="s">
        <v>16</v>
      </c>
      <c r="W1281" s="165" t="s">
        <v>16</v>
      </c>
      <c r="X1281" s="165" t="s">
        <v>16</v>
      </c>
      <c r="Y1281" s="165" t="s">
        <v>16</v>
      </c>
      <c r="Z1281" s="165" t="s">
        <v>16</v>
      </c>
      <c r="AA1281" s="165" t="s">
        <v>16</v>
      </c>
      <c r="AB1281" s="165" t="s">
        <v>16</v>
      </c>
      <c r="AC1281" s="165" t="s">
        <v>16</v>
      </c>
      <c r="AD1281" s="165" t="s">
        <v>16</v>
      </c>
      <c r="AE1281" s="165" t="s">
        <v>1999</v>
      </c>
      <c r="AF1281" s="165"/>
    </row>
    <row r="1282" spans="1:32" x14ac:dyDescent="0.3">
      <c r="A1282" s="165" t="s">
        <v>2011</v>
      </c>
      <c r="B1282" s="165" t="s">
        <v>14</v>
      </c>
      <c r="C1282" s="165" t="s">
        <v>1998</v>
      </c>
      <c r="D1282" s="165" t="s">
        <v>15</v>
      </c>
      <c r="E1282" s="157">
        <v>41607</v>
      </c>
      <c r="F1282" s="165" t="s">
        <v>16</v>
      </c>
      <c r="G1282" s="165" t="s">
        <v>16</v>
      </c>
      <c r="H1282" s="165" t="s">
        <v>16</v>
      </c>
      <c r="I1282" s="165" t="s">
        <v>148</v>
      </c>
      <c r="J1282" s="165" t="s">
        <v>16</v>
      </c>
      <c r="K1282" s="165" t="s">
        <v>16</v>
      </c>
      <c r="L1282" s="165" t="s">
        <v>16</v>
      </c>
      <c r="M1282" s="165" t="s">
        <v>16</v>
      </c>
      <c r="N1282" s="165" t="s">
        <v>148</v>
      </c>
      <c r="O1282" s="165" t="s">
        <v>16</v>
      </c>
      <c r="P1282" s="165" t="s">
        <v>148</v>
      </c>
      <c r="Q1282" s="165" t="s">
        <v>16</v>
      </c>
      <c r="R1282" s="165" t="s">
        <v>16</v>
      </c>
      <c r="S1282" s="165" t="s">
        <v>16</v>
      </c>
      <c r="T1282" s="165" t="s">
        <v>148</v>
      </c>
      <c r="U1282" s="165" t="s">
        <v>16</v>
      </c>
      <c r="V1282" s="165" t="s">
        <v>16</v>
      </c>
      <c r="W1282" s="165" t="s">
        <v>16</v>
      </c>
      <c r="X1282" s="165" t="s">
        <v>16</v>
      </c>
      <c r="Y1282" s="165" t="s">
        <v>16</v>
      </c>
      <c r="Z1282" s="165" t="s">
        <v>16</v>
      </c>
      <c r="AA1282" s="165" t="s">
        <v>16</v>
      </c>
      <c r="AB1282" s="165" t="s">
        <v>16</v>
      </c>
      <c r="AC1282" s="165" t="s">
        <v>16</v>
      </c>
      <c r="AD1282" s="165" t="s">
        <v>16</v>
      </c>
      <c r="AE1282" s="165" t="s">
        <v>1999</v>
      </c>
      <c r="AF1282" s="165"/>
    </row>
    <row r="1283" spans="1:32" x14ac:dyDescent="0.3">
      <c r="A1283" s="165" t="s">
        <v>2012</v>
      </c>
      <c r="B1283" s="165" t="s">
        <v>14</v>
      </c>
      <c r="C1283" s="165" t="s">
        <v>1998</v>
      </c>
      <c r="D1283" s="165" t="s">
        <v>15</v>
      </c>
      <c r="E1283" s="157">
        <v>41607</v>
      </c>
      <c r="F1283" s="165" t="s">
        <v>148</v>
      </c>
      <c r="G1283" s="165" t="s">
        <v>16</v>
      </c>
      <c r="H1283" s="165" t="s">
        <v>16</v>
      </c>
      <c r="I1283" s="165" t="s">
        <v>150</v>
      </c>
      <c r="J1283" s="165" t="s">
        <v>114</v>
      </c>
      <c r="K1283" s="165" t="s">
        <v>150</v>
      </c>
      <c r="L1283" s="165" t="s">
        <v>16</v>
      </c>
      <c r="M1283" s="165" t="s">
        <v>150</v>
      </c>
      <c r="N1283" s="165" t="s">
        <v>148</v>
      </c>
      <c r="O1283" s="165" t="s">
        <v>150</v>
      </c>
      <c r="P1283" s="165" t="s">
        <v>148</v>
      </c>
      <c r="Q1283" s="165" t="s">
        <v>148</v>
      </c>
      <c r="R1283" s="165" t="s">
        <v>148</v>
      </c>
      <c r="S1283" s="165" t="s">
        <v>150</v>
      </c>
      <c r="T1283" s="165" t="s">
        <v>150</v>
      </c>
      <c r="U1283" s="165" t="s">
        <v>148</v>
      </c>
      <c r="V1283" s="165" t="s">
        <v>16</v>
      </c>
      <c r="W1283" s="165" t="s">
        <v>16</v>
      </c>
      <c r="X1283" s="165" t="s">
        <v>150</v>
      </c>
      <c r="Y1283" s="165" t="s">
        <v>16</v>
      </c>
      <c r="Z1283" s="165" t="s">
        <v>16</v>
      </c>
      <c r="AA1283" s="165" t="s">
        <v>16</v>
      </c>
      <c r="AB1283" s="165" t="s">
        <v>148</v>
      </c>
      <c r="AC1283" s="165" t="s">
        <v>150</v>
      </c>
      <c r="AD1283" s="165" t="s">
        <v>148</v>
      </c>
      <c r="AE1283" s="165" t="s">
        <v>1999</v>
      </c>
      <c r="AF1283" s="165"/>
    </row>
    <row r="1284" spans="1:32" x14ac:dyDescent="0.3">
      <c r="A1284" s="165" t="s">
        <v>2013</v>
      </c>
      <c r="B1284" s="165" t="s">
        <v>14</v>
      </c>
      <c r="C1284" s="165" t="s">
        <v>1998</v>
      </c>
      <c r="D1284" s="165" t="s">
        <v>15</v>
      </c>
      <c r="E1284" s="157">
        <v>41607</v>
      </c>
      <c r="F1284" s="165" t="s">
        <v>149</v>
      </c>
      <c r="G1284" s="165" t="s">
        <v>149</v>
      </c>
      <c r="H1284" s="165" t="s">
        <v>16</v>
      </c>
      <c r="I1284" s="165" t="s">
        <v>16</v>
      </c>
      <c r="J1284" s="165" t="s">
        <v>148</v>
      </c>
      <c r="K1284" s="165" t="s">
        <v>16</v>
      </c>
      <c r="L1284" s="165" t="s">
        <v>16</v>
      </c>
      <c r="M1284" s="165" t="s">
        <v>16</v>
      </c>
      <c r="N1284" s="165" t="s">
        <v>16</v>
      </c>
      <c r="O1284" s="165" t="s">
        <v>16</v>
      </c>
      <c r="P1284" s="165" t="s">
        <v>16</v>
      </c>
      <c r="Q1284" s="165" t="s">
        <v>16</v>
      </c>
      <c r="R1284" s="165" t="s">
        <v>16</v>
      </c>
      <c r="S1284" s="165" t="s">
        <v>16</v>
      </c>
      <c r="T1284" s="165" t="s">
        <v>16</v>
      </c>
      <c r="U1284" s="165" t="s">
        <v>16</v>
      </c>
      <c r="V1284" s="165" t="s">
        <v>16</v>
      </c>
      <c r="W1284" s="165" t="s">
        <v>16</v>
      </c>
      <c r="X1284" s="165" t="s">
        <v>16</v>
      </c>
      <c r="Y1284" s="165" t="s">
        <v>16</v>
      </c>
      <c r="Z1284" s="165" t="s">
        <v>16</v>
      </c>
      <c r="AA1284" s="165" t="s">
        <v>16</v>
      </c>
      <c r="AB1284" s="165" t="s">
        <v>16</v>
      </c>
      <c r="AC1284" s="165" t="s">
        <v>16</v>
      </c>
      <c r="AD1284" s="165" t="s">
        <v>16</v>
      </c>
      <c r="AE1284" s="165" t="s">
        <v>2007</v>
      </c>
      <c r="AF1284" s="165"/>
    </row>
    <row r="1285" spans="1:32" x14ac:dyDescent="0.3">
      <c r="A1285" s="165" t="s">
        <v>2014</v>
      </c>
      <c r="B1285" s="165" t="s">
        <v>14</v>
      </c>
      <c r="C1285" s="165" t="s">
        <v>1998</v>
      </c>
      <c r="D1285" s="165" t="s">
        <v>15</v>
      </c>
      <c r="E1285" s="157">
        <v>41607</v>
      </c>
      <c r="F1285" s="165" t="s">
        <v>16</v>
      </c>
      <c r="G1285" s="165" t="s">
        <v>16</v>
      </c>
      <c r="H1285" s="165" t="s">
        <v>16</v>
      </c>
      <c r="I1285" s="165" t="s">
        <v>16</v>
      </c>
      <c r="J1285" s="165" t="s">
        <v>16</v>
      </c>
      <c r="K1285" s="165" t="s">
        <v>16</v>
      </c>
      <c r="L1285" s="165" t="s">
        <v>16</v>
      </c>
      <c r="M1285" s="165" t="s">
        <v>16</v>
      </c>
      <c r="N1285" s="165" t="s">
        <v>16</v>
      </c>
      <c r="O1285" s="165" t="s">
        <v>16</v>
      </c>
      <c r="P1285" s="165" t="s">
        <v>16</v>
      </c>
      <c r="Q1285" s="165" t="s">
        <v>16</v>
      </c>
      <c r="R1285" s="165" t="s">
        <v>16</v>
      </c>
      <c r="S1285" s="165" t="s">
        <v>16</v>
      </c>
      <c r="T1285" s="165" t="s">
        <v>16</v>
      </c>
      <c r="U1285" s="165" t="s">
        <v>16</v>
      </c>
      <c r="V1285" s="165" t="s">
        <v>16</v>
      </c>
      <c r="W1285" s="165" t="s">
        <v>16</v>
      </c>
      <c r="X1285" s="165" t="s">
        <v>16</v>
      </c>
      <c r="Y1285" s="165" t="s">
        <v>16</v>
      </c>
      <c r="Z1285" s="165" t="s">
        <v>16</v>
      </c>
      <c r="AA1285" s="165" t="s">
        <v>16</v>
      </c>
      <c r="AB1285" s="165" t="s">
        <v>16</v>
      </c>
      <c r="AC1285" s="165" t="s">
        <v>16</v>
      </c>
      <c r="AD1285" s="165" t="s">
        <v>16</v>
      </c>
      <c r="AE1285" s="165" t="s">
        <v>2007</v>
      </c>
      <c r="AF1285" s="165"/>
    </row>
    <row r="1286" spans="1:32" x14ac:dyDescent="0.3">
      <c r="A1286" s="165" t="s">
        <v>2015</v>
      </c>
      <c r="B1286" s="165" t="s">
        <v>14</v>
      </c>
      <c r="C1286" s="165" t="s">
        <v>1998</v>
      </c>
      <c r="D1286" s="165" t="s">
        <v>15</v>
      </c>
      <c r="E1286" s="157">
        <v>41607</v>
      </c>
      <c r="F1286" s="165" t="s">
        <v>16</v>
      </c>
      <c r="G1286" s="165" t="s">
        <v>16</v>
      </c>
      <c r="H1286" s="165" t="s">
        <v>16</v>
      </c>
      <c r="I1286" s="165" t="s">
        <v>16</v>
      </c>
      <c r="J1286" s="165" t="s">
        <v>16</v>
      </c>
      <c r="K1286" s="165" t="s">
        <v>16</v>
      </c>
      <c r="L1286" s="165" t="s">
        <v>16</v>
      </c>
      <c r="M1286" s="165" t="s">
        <v>16</v>
      </c>
      <c r="N1286" s="165" t="s">
        <v>148</v>
      </c>
      <c r="O1286" s="165" t="s">
        <v>148</v>
      </c>
      <c r="P1286" s="165" t="s">
        <v>148</v>
      </c>
      <c r="Q1286" s="165" t="s">
        <v>16</v>
      </c>
      <c r="R1286" s="165" t="s">
        <v>16</v>
      </c>
      <c r="S1286" s="165" t="s">
        <v>16</v>
      </c>
      <c r="T1286" s="165" t="s">
        <v>16</v>
      </c>
      <c r="U1286" s="165" t="s">
        <v>16</v>
      </c>
      <c r="V1286" s="165" t="s">
        <v>16</v>
      </c>
      <c r="W1286" s="165" t="s">
        <v>16</v>
      </c>
      <c r="X1286" s="165" t="s">
        <v>148</v>
      </c>
      <c r="Y1286" s="165" t="s">
        <v>148</v>
      </c>
      <c r="Z1286" s="165" t="s">
        <v>16</v>
      </c>
      <c r="AA1286" s="165" t="s">
        <v>148</v>
      </c>
      <c r="AB1286" s="165" t="s">
        <v>16</v>
      </c>
      <c r="AC1286" s="165" t="s">
        <v>16</v>
      </c>
      <c r="AD1286" s="165" t="s">
        <v>16</v>
      </c>
      <c r="AE1286" s="165"/>
      <c r="AF1286" s="165"/>
    </row>
    <row r="1287" spans="1:32" x14ac:dyDescent="0.3">
      <c r="A1287" s="165" t="s">
        <v>2016</v>
      </c>
      <c r="B1287" s="165" t="s">
        <v>14</v>
      </c>
      <c r="C1287" s="165" t="s">
        <v>1998</v>
      </c>
      <c r="D1287" s="165" t="s">
        <v>15</v>
      </c>
      <c r="E1287" s="157">
        <v>41607</v>
      </c>
      <c r="F1287" s="165" t="s">
        <v>16</v>
      </c>
      <c r="G1287" s="165" t="s">
        <v>16</v>
      </c>
      <c r="H1287" s="165" t="s">
        <v>16</v>
      </c>
      <c r="I1287" s="165" t="s">
        <v>16</v>
      </c>
      <c r="J1287" s="165" t="s">
        <v>16</v>
      </c>
      <c r="K1287" s="165" t="s">
        <v>16</v>
      </c>
      <c r="L1287" s="165" t="s">
        <v>16</v>
      </c>
      <c r="M1287" s="165" t="s">
        <v>148</v>
      </c>
      <c r="N1287" s="165" t="s">
        <v>16</v>
      </c>
      <c r="O1287" s="165" t="s">
        <v>16</v>
      </c>
      <c r="P1287" s="165" t="s">
        <v>148</v>
      </c>
      <c r="Q1287" s="165" t="s">
        <v>16</v>
      </c>
      <c r="R1287" s="165" t="s">
        <v>16</v>
      </c>
      <c r="S1287" s="165" t="s">
        <v>16</v>
      </c>
      <c r="T1287" s="165" t="s">
        <v>16</v>
      </c>
      <c r="U1287" s="165" t="s">
        <v>16</v>
      </c>
      <c r="V1287" s="165" t="s">
        <v>148</v>
      </c>
      <c r="W1287" s="165" t="s">
        <v>148</v>
      </c>
      <c r="X1287" s="165" t="s">
        <v>16</v>
      </c>
      <c r="Y1287" s="165" t="s">
        <v>148</v>
      </c>
      <c r="Z1287" s="165" t="s">
        <v>16</v>
      </c>
      <c r="AA1287" s="165" t="s">
        <v>16</v>
      </c>
      <c r="AB1287" s="165" t="s">
        <v>16</v>
      </c>
      <c r="AC1287" s="165" t="s">
        <v>16</v>
      </c>
      <c r="AD1287" s="165" t="s">
        <v>148</v>
      </c>
      <c r="AE1287" s="165" t="s">
        <v>2002</v>
      </c>
      <c r="AF1287" s="165"/>
    </row>
    <row r="1288" spans="1:32" x14ac:dyDescent="0.3">
      <c r="A1288" s="165" t="s">
        <v>2017</v>
      </c>
      <c r="B1288" s="165" t="s">
        <v>14</v>
      </c>
      <c r="C1288" s="165" t="s">
        <v>1998</v>
      </c>
      <c r="D1288" s="165" t="s">
        <v>15</v>
      </c>
      <c r="E1288" s="157">
        <v>41607</v>
      </c>
      <c r="F1288" s="165" t="s">
        <v>16</v>
      </c>
      <c r="G1288" s="165" t="s">
        <v>16</v>
      </c>
      <c r="H1288" s="165" t="s">
        <v>16</v>
      </c>
      <c r="I1288" s="165" t="s">
        <v>16</v>
      </c>
      <c r="J1288" s="165" t="s">
        <v>16</v>
      </c>
      <c r="K1288" s="165" t="s">
        <v>16</v>
      </c>
      <c r="L1288" s="165" t="s">
        <v>16</v>
      </c>
      <c r="M1288" s="165" t="s">
        <v>16</v>
      </c>
      <c r="N1288" s="165" t="s">
        <v>16</v>
      </c>
      <c r="O1288" s="165" t="s">
        <v>16</v>
      </c>
      <c r="P1288" s="165" t="s">
        <v>16</v>
      </c>
      <c r="Q1288" s="165" t="s">
        <v>16</v>
      </c>
      <c r="R1288" s="165" t="s">
        <v>16</v>
      </c>
      <c r="S1288" s="165" t="s">
        <v>16</v>
      </c>
      <c r="T1288" s="165" t="s">
        <v>16</v>
      </c>
      <c r="U1288" s="165" t="s">
        <v>16</v>
      </c>
      <c r="V1288" s="165" t="s">
        <v>16</v>
      </c>
      <c r="W1288" s="165" t="s">
        <v>16</v>
      </c>
      <c r="X1288" s="165" t="s">
        <v>16</v>
      </c>
      <c r="Y1288" s="165" t="s">
        <v>16</v>
      </c>
      <c r="Z1288" s="165" t="s">
        <v>16</v>
      </c>
      <c r="AA1288" s="165" t="s">
        <v>148</v>
      </c>
      <c r="AB1288" s="165" t="s">
        <v>16</v>
      </c>
      <c r="AC1288" s="165" t="s">
        <v>16</v>
      </c>
      <c r="AD1288" s="165" t="s">
        <v>148</v>
      </c>
      <c r="AE1288" s="165" t="s">
        <v>1999</v>
      </c>
      <c r="AF1288" s="165"/>
    </row>
    <row r="1289" spans="1:32" x14ac:dyDescent="0.3">
      <c r="A1289" s="165" t="s">
        <v>2018</v>
      </c>
      <c r="B1289" s="165" t="s">
        <v>14</v>
      </c>
      <c r="C1289" s="165" t="s">
        <v>1998</v>
      </c>
      <c r="D1289" s="165" t="s">
        <v>15</v>
      </c>
      <c r="E1289" s="157">
        <v>41607</v>
      </c>
      <c r="F1289" s="165" t="s">
        <v>148</v>
      </c>
      <c r="G1289" s="165" t="s">
        <v>148</v>
      </c>
      <c r="H1289" s="165" t="s">
        <v>16</v>
      </c>
      <c r="I1289" s="165" t="s">
        <v>148</v>
      </c>
      <c r="J1289" s="165" t="s">
        <v>148</v>
      </c>
      <c r="K1289" s="165" t="s">
        <v>16</v>
      </c>
      <c r="L1289" s="165" t="s">
        <v>16</v>
      </c>
      <c r="M1289" s="165" t="s">
        <v>148</v>
      </c>
      <c r="N1289" s="165" t="s">
        <v>16</v>
      </c>
      <c r="O1289" s="165" t="s">
        <v>148</v>
      </c>
      <c r="P1289" s="165" t="s">
        <v>148</v>
      </c>
      <c r="Q1289" s="165" t="s">
        <v>148</v>
      </c>
      <c r="R1289" s="165" t="s">
        <v>16</v>
      </c>
      <c r="S1289" s="165" t="s">
        <v>148</v>
      </c>
      <c r="T1289" s="165" t="s">
        <v>148</v>
      </c>
      <c r="U1289" s="165" t="s">
        <v>148</v>
      </c>
      <c r="V1289" s="165" t="s">
        <v>148</v>
      </c>
      <c r="W1289" s="165" t="s">
        <v>148</v>
      </c>
      <c r="X1289" s="165" t="s">
        <v>148</v>
      </c>
      <c r="Y1289" s="165" t="s">
        <v>16</v>
      </c>
      <c r="Z1289" s="165" t="s">
        <v>148</v>
      </c>
      <c r="AA1289" s="165" t="s">
        <v>148</v>
      </c>
      <c r="AB1289" s="165" t="s">
        <v>16</v>
      </c>
      <c r="AC1289" s="165" t="s">
        <v>148</v>
      </c>
      <c r="AD1289" s="165" t="s">
        <v>16</v>
      </c>
      <c r="AE1289" s="165" t="s">
        <v>2019</v>
      </c>
      <c r="AF1289" s="165"/>
    </row>
    <row r="1290" spans="1:32" x14ac:dyDescent="0.3">
      <c r="A1290" s="165" t="s">
        <v>2020</v>
      </c>
      <c r="B1290" s="165" t="s">
        <v>14</v>
      </c>
      <c r="C1290" s="165" t="s">
        <v>1998</v>
      </c>
      <c r="D1290" s="165" t="s">
        <v>15</v>
      </c>
      <c r="E1290" s="157">
        <v>41607</v>
      </c>
      <c r="F1290" s="165" t="s">
        <v>16</v>
      </c>
      <c r="G1290" s="165" t="s">
        <v>16</v>
      </c>
      <c r="H1290" s="165" t="s">
        <v>16</v>
      </c>
      <c r="I1290" s="165" t="s">
        <v>16</v>
      </c>
      <c r="J1290" s="165" t="s">
        <v>16</v>
      </c>
      <c r="K1290" s="165" t="s">
        <v>16</v>
      </c>
      <c r="L1290" s="165" t="s">
        <v>16</v>
      </c>
      <c r="M1290" s="165" t="s">
        <v>16</v>
      </c>
      <c r="N1290" s="165" t="s">
        <v>148</v>
      </c>
      <c r="O1290" s="165" t="s">
        <v>16</v>
      </c>
      <c r="P1290" s="165" t="s">
        <v>16</v>
      </c>
      <c r="Q1290" s="165" t="s">
        <v>16</v>
      </c>
      <c r="R1290" s="165" t="s">
        <v>16</v>
      </c>
      <c r="S1290" s="165" t="s">
        <v>16</v>
      </c>
      <c r="T1290" s="165" t="s">
        <v>16</v>
      </c>
      <c r="U1290" s="165" t="s">
        <v>16</v>
      </c>
      <c r="V1290" s="165" t="s">
        <v>16</v>
      </c>
      <c r="W1290" s="165" t="s">
        <v>16</v>
      </c>
      <c r="X1290" s="165" t="s">
        <v>16</v>
      </c>
      <c r="Y1290" s="165" t="s">
        <v>16</v>
      </c>
      <c r="Z1290" s="165" t="s">
        <v>16</v>
      </c>
      <c r="AA1290" s="165" t="s">
        <v>16</v>
      </c>
      <c r="AB1290" s="165" t="s">
        <v>16</v>
      </c>
      <c r="AC1290" s="165" t="s">
        <v>16</v>
      </c>
      <c r="AD1290" s="165" t="s">
        <v>16</v>
      </c>
      <c r="AE1290" s="165" t="s">
        <v>1999</v>
      </c>
      <c r="AF1290" s="165"/>
    </row>
    <row r="1291" spans="1:32" x14ac:dyDescent="0.3">
      <c r="A1291" s="165" t="s">
        <v>2021</v>
      </c>
      <c r="B1291" s="165" t="s">
        <v>14</v>
      </c>
      <c r="C1291" s="165" t="s">
        <v>1998</v>
      </c>
      <c r="D1291" s="165" t="s">
        <v>15</v>
      </c>
      <c r="E1291" s="157">
        <v>41607</v>
      </c>
      <c r="F1291" s="165" t="s">
        <v>16</v>
      </c>
      <c r="G1291" s="165" t="s">
        <v>16</v>
      </c>
      <c r="H1291" s="165" t="s">
        <v>16</v>
      </c>
      <c r="I1291" s="165" t="s">
        <v>16</v>
      </c>
      <c r="J1291" s="165" t="s">
        <v>148</v>
      </c>
      <c r="K1291" s="165" t="s">
        <v>16</v>
      </c>
      <c r="L1291" s="165" t="s">
        <v>16</v>
      </c>
      <c r="M1291" s="165" t="s">
        <v>148</v>
      </c>
      <c r="N1291" s="165" t="s">
        <v>16</v>
      </c>
      <c r="O1291" s="165" t="s">
        <v>16</v>
      </c>
      <c r="P1291" s="165" t="s">
        <v>16</v>
      </c>
      <c r="Q1291" s="165" t="s">
        <v>16</v>
      </c>
      <c r="R1291" s="165" t="s">
        <v>16</v>
      </c>
      <c r="S1291" s="165" t="s">
        <v>16</v>
      </c>
      <c r="T1291" s="165" t="s">
        <v>16</v>
      </c>
      <c r="U1291" s="165" t="s">
        <v>16</v>
      </c>
      <c r="V1291" s="165" t="s">
        <v>16</v>
      </c>
      <c r="W1291" s="165" t="s">
        <v>148</v>
      </c>
      <c r="X1291" s="165" t="s">
        <v>16</v>
      </c>
      <c r="Y1291" s="165" t="s">
        <v>16</v>
      </c>
      <c r="Z1291" s="165" t="s">
        <v>16</v>
      </c>
      <c r="AA1291" s="165" t="s">
        <v>16</v>
      </c>
      <c r="AB1291" s="165" t="s">
        <v>16</v>
      </c>
      <c r="AC1291" s="165" t="s">
        <v>16</v>
      </c>
      <c r="AD1291" s="165" t="s">
        <v>16</v>
      </c>
      <c r="AE1291" s="165" t="s">
        <v>2019</v>
      </c>
      <c r="AF1291" s="165"/>
    </row>
    <row r="1292" spans="1:32" x14ac:dyDescent="0.3">
      <c r="A1292" s="165" t="s">
        <v>2022</v>
      </c>
      <c r="B1292" s="165" t="s">
        <v>14</v>
      </c>
      <c r="C1292" s="165" t="s">
        <v>1998</v>
      </c>
      <c r="D1292" s="165" t="s">
        <v>15</v>
      </c>
      <c r="E1292" s="157">
        <v>41607</v>
      </c>
      <c r="F1292" s="165" t="s">
        <v>149</v>
      </c>
      <c r="G1292" s="165" t="s">
        <v>149</v>
      </c>
      <c r="H1292" s="165" t="s">
        <v>149</v>
      </c>
      <c r="I1292" s="165" t="s">
        <v>149</v>
      </c>
      <c r="J1292" s="165" t="s">
        <v>149</v>
      </c>
      <c r="K1292" s="165" t="s">
        <v>149</v>
      </c>
      <c r="L1292" s="165" t="s">
        <v>149</v>
      </c>
      <c r="M1292" s="165" t="s">
        <v>149</v>
      </c>
      <c r="N1292" s="165" t="s">
        <v>149</v>
      </c>
      <c r="O1292" s="165" t="s">
        <v>149</v>
      </c>
      <c r="P1292" s="165" t="s">
        <v>16</v>
      </c>
      <c r="Q1292" s="165" t="s">
        <v>149</v>
      </c>
      <c r="R1292" s="165" t="s">
        <v>149</v>
      </c>
      <c r="S1292" s="165" t="s">
        <v>149</v>
      </c>
      <c r="T1292" s="165" t="s">
        <v>149</v>
      </c>
      <c r="U1292" s="165" t="s">
        <v>149</v>
      </c>
      <c r="V1292" s="165" t="s">
        <v>149</v>
      </c>
      <c r="W1292" s="165" t="s">
        <v>149</v>
      </c>
      <c r="X1292" s="165" t="s">
        <v>16</v>
      </c>
      <c r="Y1292" s="165" t="s">
        <v>151</v>
      </c>
      <c r="Z1292" s="165" t="s">
        <v>151</v>
      </c>
      <c r="AA1292" s="165" t="s">
        <v>151</v>
      </c>
      <c r="AB1292" s="165" t="s">
        <v>148</v>
      </c>
      <c r="AC1292" s="165" t="s">
        <v>150</v>
      </c>
      <c r="AD1292" s="165" t="s">
        <v>151</v>
      </c>
      <c r="AE1292" s="165" t="s">
        <v>1999</v>
      </c>
      <c r="AF1292" s="165"/>
    </row>
    <row r="1293" spans="1:32" x14ac:dyDescent="0.3">
      <c r="A1293" s="165" t="s">
        <v>2023</v>
      </c>
      <c r="B1293" s="165" t="s">
        <v>14</v>
      </c>
      <c r="C1293" s="165" t="s">
        <v>1998</v>
      </c>
      <c r="D1293" s="165" t="s">
        <v>15</v>
      </c>
      <c r="E1293" s="157">
        <v>41607</v>
      </c>
      <c r="F1293" s="165" t="s">
        <v>16</v>
      </c>
      <c r="G1293" s="165" t="s">
        <v>16</v>
      </c>
      <c r="H1293" s="165" t="s">
        <v>16</v>
      </c>
      <c r="I1293" s="165" t="s">
        <v>16</v>
      </c>
      <c r="J1293" s="165" t="s">
        <v>16</v>
      </c>
      <c r="K1293" s="165" t="s">
        <v>16</v>
      </c>
      <c r="L1293" s="165" t="s">
        <v>16</v>
      </c>
      <c r="M1293" s="165" t="s">
        <v>16</v>
      </c>
      <c r="N1293" s="165" t="s">
        <v>16</v>
      </c>
      <c r="O1293" s="165" t="s">
        <v>16</v>
      </c>
      <c r="P1293" s="165" t="s">
        <v>16</v>
      </c>
      <c r="Q1293" s="165" t="s">
        <v>16</v>
      </c>
      <c r="R1293" s="165" t="s">
        <v>16</v>
      </c>
      <c r="S1293" s="165" t="s">
        <v>16</v>
      </c>
      <c r="T1293" s="165" t="s">
        <v>16</v>
      </c>
      <c r="U1293" s="165" t="s">
        <v>16</v>
      </c>
      <c r="V1293" s="165" t="s">
        <v>16</v>
      </c>
      <c r="W1293" s="165" t="s">
        <v>16</v>
      </c>
      <c r="X1293" s="165" t="s">
        <v>16</v>
      </c>
      <c r="Y1293" s="165" t="s">
        <v>16</v>
      </c>
      <c r="Z1293" s="165" t="s">
        <v>16</v>
      </c>
      <c r="AA1293" s="165" t="s">
        <v>16</v>
      </c>
      <c r="AB1293" s="165" t="s">
        <v>16</v>
      </c>
      <c r="AC1293" s="165" t="s">
        <v>16</v>
      </c>
      <c r="AD1293" s="165" t="s">
        <v>16</v>
      </c>
      <c r="AE1293" s="165" t="s">
        <v>1999</v>
      </c>
      <c r="AF1293" s="165"/>
    </row>
    <row r="1294" spans="1:32" x14ac:dyDescent="0.3">
      <c r="A1294" s="165" t="s">
        <v>2024</v>
      </c>
      <c r="B1294" s="165" t="s">
        <v>14</v>
      </c>
      <c r="C1294" s="165" t="s">
        <v>1998</v>
      </c>
      <c r="D1294" s="165" t="s">
        <v>15</v>
      </c>
      <c r="E1294" s="157">
        <v>41607</v>
      </c>
      <c r="F1294" s="165" t="s">
        <v>16</v>
      </c>
      <c r="G1294" s="165" t="s">
        <v>16</v>
      </c>
      <c r="H1294" s="165" t="s">
        <v>148</v>
      </c>
      <c r="I1294" s="165" t="s">
        <v>148</v>
      </c>
      <c r="J1294" s="165" t="s">
        <v>148</v>
      </c>
      <c r="K1294" s="165" t="s">
        <v>16</v>
      </c>
      <c r="L1294" s="165" t="s">
        <v>148</v>
      </c>
      <c r="M1294" s="165" t="s">
        <v>16</v>
      </c>
      <c r="N1294" s="165" t="s">
        <v>148</v>
      </c>
      <c r="O1294" s="165" t="s">
        <v>16</v>
      </c>
      <c r="P1294" s="165" t="s">
        <v>148</v>
      </c>
      <c r="Q1294" s="165" t="s">
        <v>16</v>
      </c>
      <c r="R1294" s="165" t="s">
        <v>16</v>
      </c>
      <c r="S1294" s="165" t="s">
        <v>16</v>
      </c>
      <c r="T1294" s="165" t="s">
        <v>16</v>
      </c>
      <c r="U1294" s="165" t="s">
        <v>16</v>
      </c>
      <c r="V1294" s="165" t="s">
        <v>149</v>
      </c>
      <c r="W1294" s="165" t="s">
        <v>16</v>
      </c>
      <c r="X1294" s="165" t="s">
        <v>148</v>
      </c>
      <c r="Y1294" s="165" t="s">
        <v>16</v>
      </c>
      <c r="Z1294" s="165" t="s">
        <v>16</v>
      </c>
      <c r="AA1294" s="165" t="s">
        <v>16</v>
      </c>
      <c r="AB1294" s="165" t="s">
        <v>16</v>
      </c>
      <c r="AC1294" s="165" t="s">
        <v>148</v>
      </c>
      <c r="AD1294" s="165" t="s">
        <v>16</v>
      </c>
      <c r="AE1294" s="165" t="s">
        <v>2007</v>
      </c>
      <c r="AF1294" s="165"/>
    </row>
    <row r="1295" spans="1:32" x14ac:dyDescent="0.3">
      <c r="A1295" s="165" t="s">
        <v>2025</v>
      </c>
      <c r="B1295" s="165" t="s">
        <v>14</v>
      </c>
      <c r="C1295" s="165" t="s">
        <v>1998</v>
      </c>
      <c r="D1295" s="165" t="s">
        <v>15</v>
      </c>
      <c r="E1295" s="157">
        <v>41607</v>
      </c>
      <c r="F1295" s="165" t="s">
        <v>16</v>
      </c>
      <c r="G1295" s="165" t="s">
        <v>151</v>
      </c>
      <c r="H1295" s="165" t="s">
        <v>149</v>
      </c>
      <c r="I1295" s="165" t="s">
        <v>16</v>
      </c>
      <c r="J1295" s="165" t="s">
        <v>16</v>
      </c>
      <c r="K1295" s="165" t="s">
        <v>16</v>
      </c>
      <c r="L1295" s="165" t="s">
        <v>16</v>
      </c>
      <c r="M1295" s="165" t="s">
        <v>16</v>
      </c>
      <c r="N1295" s="165" t="s">
        <v>16</v>
      </c>
      <c r="O1295" s="165" t="s">
        <v>16</v>
      </c>
      <c r="P1295" s="165" t="s">
        <v>16</v>
      </c>
      <c r="Q1295" s="165" t="s">
        <v>16</v>
      </c>
      <c r="R1295" s="165" t="s">
        <v>16</v>
      </c>
      <c r="S1295" s="165" t="s">
        <v>16</v>
      </c>
      <c r="T1295" s="165" t="s">
        <v>114</v>
      </c>
      <c r="U1295" s="165" t="s">
        <v>16</v>
      </c>
      <c r="V1295" s="165" t="s">
        <v>16</v>
      </c>
      <c r="W1295" s="165" t="s">
        <v>16</v>
      </c>
      <c r="X1295" s="165" t="s">
        <v>16</v>
      </c>
      <c r="Y1295" s="165" t="s">
        <v>16</v>
      </c>
      <c r="Z1295" s="165" t="s">
        <v>16</v>
      </c>
      <c r="AA1295" s="165" t="s">
        <v>16</v>
      </c>
      <c r="AB1295" s="165" t="s">
        <v>16</v>
      </c>
      <c r="AC1295" s="165" t="s">
        <v>16</v>
      </c>
      <c r="AD1295" s="165" t="s">
        <v>16</v>
      </c>
      <c r="AE1295" s="165" t="s">
        <v>2007</v>
      </c>
      <c r="AF1295" s="165"/>
    </row>
    <row r="1296" spans="1:32" x14ac:dyDescent="0.3">
      <c r="A1296" s="165" t="s">
        <v>2026</v>
      </c>
      <c r="B1296" s="165" t="s">
        <v>14</v>
      </c>
      <c r="C1296" s="165" t="s">
        <v>1998</v>
      </c>
      <c r="D1296" s="165" t="s">
        <v>15</v>
      </c>
      <c r="E1296" s="157">
        <v>41607</v>
      </c>
      <c r="F1296" s="165" t="s">
        <v>16</v>
      </c>
      <c r="G1296" s="165" t="s">
        <v>16</v>
      </c>
      <c r="H1296" s="165" t="s">
        <v>16</v>
      </c>
      <c r="I1296" s="165" t="s">
        <v>16</v>
      </c>
      <c r="J1296" s="165" t="s">
        <v>16</v>
      </c>
      <c r="K1296" s="165" t="s">
        <v>16</v>
      </c>
      <c r="L1296" s="165" t="s">
        <v>16</v>
      </c>
      <c r="M1296" s="165" t="s">
        <v>16</v>
      </c>
      <c r="N1296" s="165" t="s">
        <v>16</v>
      </c>
      <c r="O1296" s="165" t="s">
        <v>16</v>
      </c>
      <c r="P1296" s="165" t="s">
        <v>16</v>
      </c>
      <c r="Q1296" s="165" t="s">
        <v>16</v>
      </c>
      <c r="R1296" s="165" t="s">
        <v>16</v>
      </c>
      <c r="S1296" s="165" t="s">
        <v>16</v>
      </c>
      <c r="T1296" s="165" t="s">
        <v>16</v>
      </c>
      <c r="U1296" s="165" t="s">
        <v>16</v>
      </c>
      <c r="V1296" s="165" t="s">
        <v>16</v>
      </c>
      <c r="W1296" s="165" t="s">
        <v>16</v>
      </c>
      <c r="X1296" s="165" t="s">
        <v>16</v>
      </c>
      <c r="Y1296" s="165" t="s">
        <v>16</v>
      </c>
      <c r="Z1296" s="165" t="s">
        <v>16</v>
      </c>
      <c r="AA1296" s="165" t="s">
        <v>16</v>
      </c>
      <c r="AB1296" s="165" t="s">
        <v>16</v>
      </c>
      <c r="AC1296" s="165" t="s">
        <v>16</v>
      </c>
      <c r="AD1296" s="165" t="s">
        <v>16</v>
      </c>
      <c r="AE1296" s="165" t="s">
        <v>1999</v>
      </c>
      <c r="AF1296" s="165"/>
    </row>
    <row r="1297" spans="1:32" x14ac:dyDescent="0.3">
      <c r="A1297" s="165" t="s">
        <v>2027</v>
      </c>
      <c r="B1297" s="165" t="s">
        <v>14</v>
      </c>
      <c r="C1297" s="165" t="s">
        <v>1998</v>
      </c>
      <c r="D1297" s="165" t="s">
        <v>15</v>
      </c>
      <c r="E1297" s="157">
        <v>41607</v>
      </c>
      <c r="F1297" s="165" t="s">
        <v>16</v>
      </c>
      <c r="G1297" s="165" t="s">
        <v>16</v>
      </c>
      <c r="H1297" s="165" t="s">
        <v>16</v>
      </c>
      <c r="I1297" s="165" t="s">
        <v>16</v>
      </c>
      <c r="J1297" s="165" t="s">
        <v>148</v>
      </c>
      <c r="K1297" s="165" t="s">
        <v>16</v>
      </c>
      <c r="L1297" s="165" t="s">
        <v>148</v>
      </c>
      <c r="M1297" s="165" t="s">
        <v>148</v>
      </c>
      <c r="N1297" s="165" t="s">
        <v>148</v>
      </c>
      <c r="O1297" s="165" t="s">
        <v>16</v>
      </c>
      <c r="P1297" s="165" t="s">
        <v>148</v>
      </c>
      <c r="Q1297" s="165" t="s">
        <v>16</v>
      </c>
      <c r="R1297" s="165" t="s">
        <v>16</v>
      </c>
      <c r="S1297" s="165" t="s">
        <v>148</v>
      </c>
      <c r="T1297" s="165" t="s">
        <v>148</v>
      </c>
      <c r="U1297" s="165" t="s">
        <v>148</v>
      </c>
      <c r="V1297" s="165" t="s">
        <v>148</v>
      </c>
      <c r="W1297" s="165" t="s">
        <v>148</v>
      </c>
      <c r="X1297" s="165" t="s">
        <v>148</v>
      </c>
      <c r="Y1297" s="165" t="s">
        <v>16</v>
      </c>
      <c r="Z1297" s="165" t="s">
        <v>148</v>
      </c>
      <c r="AA1297" s="165" t="s">
        <v>16</v>
      </c>
      <c r="AB1297" s="165" t="s">
        <v>16</v>
      </c>
      <c r="AC1297" s="165" t="s">
        <v>148</v>
      </c>
      <c r="AD1297" s="165" t="s">
        <v>148</v>
      </c>
      <c r="AE1297" s="165" t="s">
        <v>1999</v>
      </c>
      <c r="AF1297" s="165" t="s">
        <v>2028</v>
      </c>
    </row>
    <row r="1298" spans="1:32" x14ac:dyDescent="0.3">
      <c r="A1298" s="165" t="s">
        <v>2029</v>
      </c>
      <c r="B1298" s="165" t="s">
        <v>14</v>
      </c>
      <c r="C1298" s="165" t="s">
        <v>1998</v>
      </c>
      <c r="D1298" s="165" t="s">
        <v>15</v>
      </c>
      <c r="E1298" s="157">
        <v>41607</v>
      </c>
      <c r="F1298" s="165" t="s">
        <v>149</v>
      </c>
      <c r="G1298" s="165" t="s">
        <v>148</v>
      </c>
      <c r="H1298" s="165" t="s">
        <v>16</v>
      </c>
      <c r="I1298" s="165" t="s">
        <v>16</v>
      </c>
      <c r="J1298" s="165" t="s">
        <v>16</v>
      </c>
      <c r="K1298" s="165" t="s">
        <v>149</v>
      </c>
      <c r="L1298" s="165" t="s">
        <v>149</v>
      </c>
      <c r="M1298" s="165" t="s">
        <v>16</v>
      </c>
      <c r="N1298" s="165" t="s">
        <v>148</v>
      </c>
      <c r="O1298" s="165" t="s">
        <v>148</v>
      </c>
      <c r="P1298" s="165" t="s">
        <v>16</v>
      </c>
      <c r="Q1298" s="165" t="s">
        <v>16</v>
      </c>
      <c r="R1298" s="165" t="s">
        <v>16</v>
      </c>
      <c r="S1298" s="165" t="s">
        <v>16</v>
      </c>
      <c r="T1298" s="165" t="s">
        <v>16</v>
      </c>
      <c r="U1298" s="165" t="s">
        <v>16</v>
      </c>
      <c r="V1298" s="165" t="s">
        <v>16</v>
      </c>
      <c r="W1298" s="165" t="s">
        <v>16</v>
      </c>
      <c r="X1298" s="165" t="s">
        <v>16</v>
      </c>
      <c r="Y1298" s="165" t="s">
        <v>16</v>
      </c>
      <c r="Z1298" s="165" t="s">
        <v>16</v>
      </c>
      <c r="AA1298" s="165" t="s">
        <v>148</v>
      </c>
      <c r="AB1298" s="165" t="s">
        <v>16</v>
      </c>
      <c r="AC1298" s="165" t="s">
        <v>16</v>
      </c>
      <c r="AD1298" s="165" t="s">
        <v>16</v>
      </c>
      <c r="AE1298" s="165" t="s">
        <v>2007</v>
      </c>
      <c r="AF1298" s="165"/>
    </row>
    <row r="1299" spans="1:32" x14ac:dyDescent="0.3">
      <c r="A1299" s="165" t="s">
        <v>2030</v>
      </c>
      <c r="B1299" s="165" t="s">
        <v>14</v>
      </c>
      <c r="C1299" s="165" t="s">
        <v>1998</v>
      </c>
      <c r="D1299" s="165" t="s">
        <v>15</v>
      </c>
      <c r="E1299" s="157">
        <v>41607</v>
      </c>
      <c r="F1299" s="165" t="s">
        <v>16</v>
      </c>
      <c r="G1299" s="165" t="s">
        <v>16</v>
      </c>
      <c r="H1299" s="165" t="s">
        <v>16</v>
      </c>
      <c r="I1299" s="165" t="s">
        <v>16</v>
      </c>
      <c r="J1299" s="165" t="s">
        <v>16</v>
      </c>
      <c r="K1299" s="165" t="s">
        <v>16</v>
      </c>
      <c r="L1299" s="165" t="s">
        <v>16</v>
      </c>
      <c r="M1299" s="165" t="s">
        <v>16</v>
      </c>
      <c r="N1299" s="165" t="s">
        <v>16</v>
      </c>
      <c r="O1299" s="165" t="s">
        <v>16</v>
      </c>
      <c r="P1299" s="165" t="s">
        <v>16</v>
      </c>
      <c r="Q1299" s="165" t="s">
        <v>16</v>
      </c>
      <c r="R1299" s="165" t="s">
        <v>16</v>
      </c>
      <c r="S1299" s="165" t="s">
        <v>16</v>
      </c>
      <c r="T1299" s="165" t="s">
        <v>16</v>
      </c>
      <c r="U1299" s="165" t="s">
        <v>16</v>
      </c>
      <c r="V1299" s="165" t="s">
        <v>16</v>
      </c>
      <c r="W1299" s="165" t="s">
        <v>16</v>
      </c>
      <c r="X1299" s="165" t="s">
        <v>16</v>
      </c>
      <c r="Y1299" s="165" t="s">
        <v>16</v>
      </c>
      <c r="Z1299" s="165" t="s">
        <v>16</v>
      </c>
      <c r="AA1299" s="165" t="s">
        <v>16</v>
      </c>
      <c r="AB1299" s="165" t="s">
        <v>16</v>
      </c>
      <c r="AC1299" s="165" t="s">
        <v>16</v>
      </c>
      <c r="AD1299" s="165" t="s">
        <v>16</v>
      </c>
      <c r="AE1299" s="165" t="s">
        <v>2007</v>
      </c>
      <c r="AF1299" s="165"/>
    </row>
    <row r="1300" spans="1:32" x14ac:dyDescent="0.3">
      <c r="A1300" s="165" t="s">
        <v>2031</v>
      </c>
      <c r="B1300" s="165" t="s">
        <v>14</v>
      </c>
      <c r="C1300" s="165" t="s">
        <v>1998</v>
      </c>
      <c r="D1300" s="165" t="s">
        <v>15</v>
      </c>
      <c r="E1300" s="157">
        <v>41607</v>
      </c>
      <c r="F1300" s="165" t="s">
        <v>16</v>
      </c>
      <c r="G1300" s="165" t="s">
        <v>149</v>
      </c>
      <c r="H1300" s="165" t="s">
        <v>149</v>
      </c>
      <c r="I1300" s="165" t="s">
        <v>16</v>
      </c>
      <c r="J1300" s="165" t="s">
        <v>16</v>
      </c>
      <c r="K1300" s="165" t="s">
        <v>149</v>
      </c>
      <c r="L1300" s="165" t="s">
        <v>148</v>
      </c>
      <c r="M1300" s="165" t="s">
        <v>16</v>
      </c>
      <c r="N1300" s="165" t="s">
        <v>16</v>
      </c>
      <c r="O1300" s="165" t="s">
        <v>16</v>
      </c>
      <c r="P1300" s="165" t="s">
        <v>16</v>
      </c>
      <c r="Q1300" s="165" t="s">
        <v>16</v>
      </c>
      <c r="R1300" s="165" t="s">
        <v>16</v>
      </c>
      <c r="S1300" s="165" t="s">
        <v>16</v>
      </c>
      <c r="T1300" s="165" t="s">
        <v>16</v>
      </c>
      <c r="U1300" s="165" t="s">
        <v>16</v>
      </c>
      <c r="V1300" s="165" t="s">
        <v>149</v>
      </c>
      <c r="W1300" s="165" t="s">
        <v>16</v>
      </c>
      <c r="X1300" s="165" t="s">
        <v>148</v>
      </c>
      <c r="Y1300" s="165" t="s">
        <v>149</v>
      </c>
      <c r="Z1300" s="165" t="s">
        <v>149</v>
      </c>
      <c r="AA1300" s="165" t="s">
        <v>16</v>
      </c>
      <c r="AB1300" s="165" t="s">
        <v>16</v>
      </c>
      <c r="AC1300" s="165" t="s">
        <v>16</v>
      </c>
      <c r="AD1300" s="165" t="s">
        <v>149</v>
      </c>
      <c r="AE1300" s="165" t="s">
        <v>1999</v>
      </c>
      <c r="AF1300" s="165" t="s">
        <v>2032</v>
      </c>
    </row>
    <row r="1301" spans="1:32" x14ac:dyDescent="0.3">
      <c r="A1301" s="165" t="s">
        <v>2033</v>
      </c>
      <c r="B1301" s="165" t="s">
        <v>14</v>
      </c>
      <c r="C1301" s="165" t="s">
        <v>1998</v>
      </c>
      <c r="D1301" s="165" t="s">
        <v>15</v>
      </c>
      <c r="E1301" s="157">
        <v>41607</v>
      </c>
      <c r="F1301" s="165" t="s">
        <v>16</v>
      </c>
      <c r="G1301" s="165" t="s">
        <v>16</v>
      </c>
      <c r="H1301" s="165" t="s">
        <v>148</v>
      </c>
      <c r="I1301" s="165" t="s">
        <v>16</v>
      </c>
      <c r="J1301" s="165" t="s">
        <v>16</v>
      </c>
      <c r="K1301" s="165" t="s">
        <v>16</v>
      </c>
      <c r="L1301" s="165" t="s">
        <v>16</v>
      </c>
      <c r="M1301" s="165" t="s">
        <v>16</v>
      </c>
      <c r="N1301" s="165" t="s">
        <v>16</v>
      </c>
      <c r="O1301" s="165" t="s">
        <v>16</v>
      </c>
      <c r="P1301" s="165" t="s">
        <v>16</v>
      </c>
      <c r="Q1301" s="165" t="s">
        <v>16</v>
      </c>
      <c r="R1301" s="165" t="s">
        <v>148</v>
      </c>
      <c r="S1301" s="165" t="s">
        <v>16</v>
      </c>
      <c r="T1301" s="165" t="s">
        <v>16</v>
      </c>
      <c r="U1301" s="165" t="s">
        <v>16</v>
      </c>
      <c r="V1301" s="165" t="s">
        <v>16</v>
      </c>
      <c r="W1301" s="165" t="s">
        <v>16</v>
      </c>
      <c r="X1301" s="165" t="s">
        <v>16</v>
      </c>
      <c r="Y1301" s="165" t="s">
        <v>16</v>
      </c>
      <c r="Z1301" s="165" t="s">
        <v>16</v>
      </c>
      <c r="AA1301" s="165" t="s">
        <v>16</v>
      </c>
      <c r="AB1301" s="165" t="s">
        <v>16</v>
      </c>
      <c r="AC1301" s="165" t="s">
        <v>16</v>
      </c>
      <c r="AD1301" s="165" t="s">
        <v>148</v>
      </c>
      <c r="AE1301" s="165" t="s">
        <v>1999</v>
      </c>
      <c r="AF1301" s="165"/>
    </row>
    <row r="1305" spans="1:32" x14ac:dyDescent="0.3">
      <c r="A1305" s="165"/>
      <c r="B1305" s="165"/>
      <c r="C1305" s="165"/>
      <c r="D1305" s="165"/>
      <c r="E1305" s="165"/>
      <c r="F1305" s="165" t="s">
        <v>124</v>
      </c>
      <c r="G1305" s="165" t="s">
        <v>125</v>
      </c>
      <c r="H1305" s="165" t="s">
        <v>126</v>
      </c>
      <c r="I1305" s="165" t="s">
        <v>127</v>
      </c>
      <c r="J1305" s="165" t="s">
        <v>214</v>
      </c>
      <c r="K1305" s="165" t="s">
        <v>128</v>
      </c>
      <c r="L1305" s="165" t="s">
        <v>129</v>
      </c>
      <c r="M1305" s="165" t="s">
        <v>130</v>
      </c>
      <c r="N1305" s="165" t="s">
        <v>131</v>
      </c>
      <c r="O1305" s="165" t="s">
        <v>132</v>
      </c>
      <c r="P1305" s="165" t="s">
        <v>133</v>
      </c>
      <c r="Q1305" s="165" t="s">
        <v>134</v>
      </c>
      <c r="R1305" s="165" t="s">
        <v>135</v>
      </c>
      <c r="S1305" s="165" t="s">
        <v>136</v>
      </c>
      <c r="T1305" s="165" t="s">
        <v>137</v>
      </c>
      <c r="U1305" s="165" t="s">
        <v>138</v>
      </c>
      <c r="V1305" s="165" t="s">
        <v>139</v>
      </c>
      <c r="W1305" s="165" t="s">
        <v>140</v>
      </c>
      <c r="X1305" s="165" t="s">
        <v>186</v>
      </c>
      <c r="Y1305" s="165" t="s">
        <v>209</v>
      </c>
      <c r="Z1305" s="165" t="s">
        <v>141</v>
      </c>
      <c r="AA1305" s="165" t="s">
        <v>142</v>
      </c>
      <c r="AB1305" s="165" t="s">
        <v>210</v>
      </c>
      <c r="AC1305" s="165" t="s">
        <v>1180</v>
      </c>
      <c r="AD1305" s="165" t="s">
        <v>144</v>
      </c>
      <c r="AE1305" s="165" t="s">
        <v>2034</v>
      </c>
      <c r="AF1305" s="165" t="s">
        <v>190</v>
      </c>
    </row>
    <row r="1306" spans="1:32" x14ac:dyDescent="0.3">
      <c r="A1306" s="165" t="s">
        <v>2035</v>
      </c>
      <c r="B1306" s="165" t="s">
        <v>14</v>
      </c>
      <c r="C1306" s="165" t="s">
        <v>2036</v>
      </c>
      <c r="D1306" s="165" t="s">
        <v>15</v>
      </c>
      <c r="E1306" s="157">
        <v>41638</v>
      </c>
      <c r="F1306" s="165" t="s">
        <v>16</v>
      </c>
      <c r="G1306" s="165" t="s">
        <v>16</v>
      </c>
      <c r="H1306" s="165" t="s">
        <v>148</v>
      </c>
      <c r="I1306" s="165" t="s">
        <v>16</v>
      </c>
      <c r="J1306" s="165" t="s">
        <v>150</v>
      </c>
      <c r="K1306" s="165" t="s">
        <v>16</v>
      </c>
      <c r="L1306" s="165" t="s">
        <v>149</v>
      </c>
      <c r="M1306" s="165" t="s">
        <v>16</v>
      </c>
      <c r="N1306" s="165" t="s">
        <v>16</v>
      </c>
      <c r="O1306" s="165" t="s">
        <v>16</v>
      </c>
      <c r="P1306" s="165" t="s">
        <v>16</v>
      </c>
      <c r="Q1306" s="165" t="s">
        <v>148</v>
      </c>
      <c r="R1306" s="165" t="s">
        <v>149</v>
      </c>
      <c r="S1306" s="165" t="s">
        <v>16</v>
      </c>
      <c r="T1306" s="165" t="s">
        <v>148</v>
      </c>
      <c r="U1306" s="165" t="s">
        <v>16</v>
      </c>
      <c r="V1306" s="165" t="s">
        <v>16</v>
      </c>
      <c r="W1306" s="165" t="s">
        <v>148</v>
      </c>
      <c r="X1306" s="165" t="s">
        <v>16</v>
      </c>
      <c r="Y1306" s="165" t="s">
        <v>148</v>
      </c>
      <c r="Z1306" s="165" t="s">
        <v>16</v>
      </c>
      <c r="AA1306" s="165" t="s">
        <v>16</v>
      </c>
      <c r="AB1306" s="165" t="s">
        <v>114</v>
      </c>
      <c r="AC1306" s="165" t="s">
        <v>149</v>
      </c>
      <c r="AD1306" s="165" t="s">
        <v>16</v>
      </c>
      <c r="AE1306" s="165" t="s">
        <v>2037</v>
      </c>
      <c r="AF1306" s="165"/>
    </row>
    <row r="1307" spans="1:32" x14ac:dyDescent="0.3">
      <c r="A1307" s="165" t="s">
        <v>2038</v>
      </c>
      <c r="B1307" s="165" t="s">
        <v>14</v>
      </c>
      <c r="C1307" s="165" t="s">
        <v>2036</v>
      </c>
      <c r="D1307" s="165" t="s">
        <v>15</v>
      </c>
      <c r="E1307" s="157">
        <v>41638</v>
      </c>
      <c r="F1307" s="165" t="s">
        <v>16</v>
      </c>
      <c r="G1307" s="165" t="s">
        <v>16</v>
      </c>
      <c r="H1307" s="165" t="s">
        <v>16</v>
      </c>
      <c r="I1307" s="165" t="s">
        <v>16</v>
      </c>
      <c r="J1307" s="165" t="s">
        <v>16</v>
      </c>
      <c r="K1307" s="165" t="s">
        <v>16</v>
      </c>
      <c r="L1307" s="165" t="s">
        <v>16</v>
      </c>
      <c r="M1307" s="165" t="s">
        <v>16</v>
      </c>
      <c r="N1307" s="165" t="s">
        <v>16</v>
      </c>
      <c r="O1307" s="165" t="s">
        <v>16</v>
      </c>
      <c r="P1307" s="165" t="s">
        <v>16</v>
      </c>
      <c r="Q1307" s="165" t="s">
        <v>16</v>
      </c>
      <c r="R1307" s="165" t="s">
        <v>16</v>
      </c>
      <c r="S1307" s="165" t="s">
        <v>16</v>
      </c>
      <c r="T1307" s="165" t="s">
        <v>16</v>
      </c>
      <c r="U1307" s="165" t="s">
        <v>16</v>
      </c>
      <c r="V1307" s="165" t="s">
        <v>16</v>
      </c>
      <c r="W1307" s="165" t="s">
        <v>16</v>
      </c>
      <c r="X1307" s="165" t="s">
        <v>16</v>
      </c>
      <c r="Y1307" s="165" t="s">
        <v>16</v>
      </c>
      <c r="Z1307" s="165" t="s">
        <v>16</v>
      </c>
      <c r="AA1307" s="165" t="s">
        <v>16</v>
      </c>
      <c r="AB1307" s="165" t="s">
        <v>16</v>
      </c>
      <c r="AC1307" s="165" t="s">
        <v>16</v>
      </c>
      <c r="AD1307" s="165" t="s">
        <v>16</v>
      </c>
      <c r="AE1307" s="165" t="s">
        <v>2037</v>
      </c>
      <c r="AF1307" s="165"/>
    </row>
    <row r="1308" spans="1:32" x14ac:dyDescent="0.3">
      <c r="A1308" s="165" t="s">
        <v>2039</v>
      </c>
      <c r="B1308" s="165" t="s">
        <v>14</v>
      </c>
      <c r="C1308" s="165" t="s">
        <v>2036</v>
      </c>
      <c r="D1308" s="165" t="s">
        <v>15</v>
      </c>
      <c r="E1308" s="157">
        <v>41638</v>
      </c>
      <c r="F1308" s="165" t="s">
        <v>148</v>
      </c>
      <c r="G1308" s="165" t="s">
        <v>16</v>
      </c>
      <c r="H1308" s="165" t="s">
        <v>16</v>
      </c>
      <c r="I1308" s="165" t="s">
        <v>16</v>
      </c>
      <c r="J1308" s="165" t="s">
        <v>16</v>
      </c>
      <c r="K1308" s="165" t="s">
        <v>16</v>
      </c>
      <c r="L1308" s="165" t="s">
        <v>16</v>
      </c>
      <c r="M1308" s="165" t="s">
        <v>16</v>
      </c>
      <c r="N1308" s="165" t="s">
        <v>16</v>
      </c>
      <c r="O1308" s="165" t="s">
        <v>16</v>
      </c>
      <c r="P1308" s="165" t="s">
        <v>16</v>
      </c>
      <c r="Q1308" s="165" t="s">
        <v>16</v>
      </c>
      <c r="R1308" s="165" t="s">
        <v>16</v>
      </c>
      <c r="S1308" s="165" t="s">
        <v>16</v>
      </c>
      <c r="T1308" s="165" t="s">
        <v>16</v>
      </c>
      <c r="U1308" s="165" t="s">
        <v>16</v>
      </c>
      <c r="V1308" s="165" t="s">
        <v>16</v>
      </c>
      <c r="W1308" s="165" t="s">
        <v>16</v>
      </c>
      <c r="X1308" s="165" t="s">
        <v>16</v>
      </c>
      <c r="Y1308" s="165" t="s">
        <v>16</v>
      </c>
      <c r="Z1308" s="165" t="s">
        <v>16</v>
      </c>
      <c r="AA1308" s="165" t="s">
        <v>16</v>
      </c>
      <c r="AB1308" s="165" t="s">
        <v>16</v>
      </c>
      <c r="AC1308" s="165" t="s">
        <v>148</v>
      </c>
      <c r="AD1308" s="165" t="s">
        <v>16</v>
      </c>
      <c r="AE1308" s="165" t="s">
        <v>2040</v>
      </c>
      <c r="AF1308" s="165"/>
    </row>
    <row r="1309" spans="1:32" x14ac:dyDescent="0.3">
      <c r="A1309" s="165" t="s">
        <v>2041</v>
      </c>
      <c r="B1309" s="165" t="s">
        <v>14</v>
      </c>
      <c r="C1309" s="165" t="s">
        <v>2036</v>
      </c>
      <c r="D1309" s="165" t="s">
        <v>15</v>
      </c>
      <c r="E1309" s="157">
        <v>41638</v>
      </c>
      <c r="F1309" s="165" t="s">
        <v>16</v>
      </c>
      <c r="G1309" s="165" t="s">
        <v>16</v>
      </c>
      <c r="H1309" s="165" t="s">
        <v>148</v>
      </c>
      <c r="I1309" s="165" t="s">
        <v>148</v>
      </c>
      <c r="J1309" s="165" t="s">
        <v>16</v>
      </c>
      <c r="K1309" s="165" t="s">
        <v>148</v>
      </c>
      <c r="L1309" s="165" t="s">
        <v>16</v>
      </c>
      <c r="M1309" s="165" t="s">
        <v>148</v>
      </c>
      <c r="N1309" s="165" t="s">
        <v>148</v>
      </c>
      <c r="O1309" s="165" t="s">
        <v>16</v>
      </c>
      <c r="P1309" s="165" t="s">
        <v>148</v>
      </c>
      <c r="Q1309" s="165" t="s">
        <v>16</v>
      </c>
      <c r="R1309" s="165" t="s">
        <v>148</v>
      </c>
      <c r="S1309" s="165" t="s">
        <v>16</v>
      </c>
      <c r="T1309" s="165" t="s">
        <v>148</v>
      </c>
      <c r="U1309" s="165" t="s">
        <v>148</v>
      </c>
      <c r="V1309" s="165" t="s">
        <v>16</v>
      </c>
      <c r="W1309" s="165" t="s">
        <v>16</v>
      </c>
      <c r="X1309" s="165" t="s">
        <v>148</v>
      </c>
      <c r="Y1309" s="165" t="s">
        <v>16</v>
      </c>
      <c r="Z1309" s="165" t="s">
        <v>148</v>
      </c>
      <c r="AA1309" s="165" t="s">
        <v>16</v>
      </c>
      <c r="AB1309" s="165" t="s">
        <v>149</v>
      </c>
      <c r="AC1309" s="165" t="s">
        <v>148</v>
      </c>
      <c r="AD1309" s="165" t="s">
        <v>16</v>
      </c>
      <c r="AE1309" s="165" t="s">
        <v>2042</v>
      </c>
      <c r="AF1309" s="165" t="s">
        <v>2043</v>
      </c>
    </row>
    <row r="1310" spans="1:32" x14ac:dyDescent="0.3">
      <c r="A1310" s="165" t="s">
        <v>2044</v>
      </c>
      <c r="B1310" s="165" t="s">
        <v>14</v>
      </c>
      <c r="C1310" s="165" t="s">
        <v>2036</v>
      </c>
      <c r="D1310" s="165" t="s">
        <v>15</v>
      </c>
      <c r="E1310" s="157">
        <v>41638</v>
      </c>
      <c r="F1310" s="165" t="s">
        <v>16</v>
      </c>
      <c r="G1310" s="165" t="s">
        <v>16</v>
      </c>
      <c r="H1310" s="165" t="s">
        <v>16</v>
      </c>
      <c r="I1310" s="165" t="s">
        <v>16</v>
      </c>
      <c r="J1310" s="165" t="s">
        <v>16</v>
      </c>
      <c r="K1310" s="165" t="s">
        <v>16</v>
      </c>
      <c r="L1310" s="165" t="s">
        <v>16</v>
      </c>
      <c r="M1310" s="165" t="s">
        <v>16</v>
      </c>
      <c r="N1310" s="165" t="s">
        <v>16</v>
      </c>
      <c r="O1310" s="165" t="s">
        <v>16</v>
      </c>
      <c r="P1310" s="165" t="s">
        <v>16</v>
      </c>
      <c r="Q1310" s="165" t="s">
        <v>16</v>
      </c>
      <c r="R1310" s="165" t="s">
        <v>16</v>
      </c>
      <c r="S1310" s="165" t="s">
        <v>16</v>
      </c>
      <c r="T1310" s="165" t="s">
        <v>16</v>
      </c>
      <c r="U1310" s="165" t="s">
        <v>16</v>
      </c>
      <c r="V1310" s="165" t="s">
        <v>16</v>
      </c>
      <c r="W1310" s="165" t="s">
        <v>16</v>
      </c>
      <c r="X1310" s="165" t="s">
        <v>16</v>
      </c>
      <c r="Y1310" s="165" t="s">
        <v>16</v>
      </c>
      <c r="Z1310" s="165" t="s">
        <v>16</v>
      </c>
      <c r="AA1310" s="165" t="s">
        <v>16</v>
      </c>
      <c r="AB1310" s="165" t="s">
        <v>16</v>
      </c>
      <c r="AC1310" s="165" t="s">
        <v>16</v>
      </c>
      <c r="AD1310" s="165" t="s">
        <v>16</v>
      </c>
      <c r="AE1310" s="165" t="s">
        <v>2045</v>
      </c>
      <c r="AF1310" s="165"/>
    </row>
    <row r="1311" spans="1:32" x14ac:dyDescent="0.3">
      <c r="A1311" s="165" t="s">
        <v>2046</v>
      </c>
      <c r="B1311" s="165" t="s">
        <v>14</v>
      </c>
      <c r="C1311" s="165" t="s">
        <v>2036</v>
      </c>
      <c r="D1311" s="165" t="s">
        <v>15</v>
      </c>
      <c r="E1311" s="157">
        <v>41638</v>
      </c>
      <c r="F1311" s="165" t="s">
        <v>151</v>
      </c>
      <c r="G1311" s="165" t="s">
        <v>151</v>
      </c>
      <c r="H1311" s="165" t="s">
        <v>151</v>
      </c>
      <c r="I1311" s="165" t="s">
        <v>16</v>
      </c>
      <c r="J1311" s="165" t="s">
        <v>149</v>
      </c>
      <c r="K1311" s="165" t="s">
        <v>151</v>
      </c>
      <c r="L1311" s="165" t="s">
        <v>151</v>
      </c>
      <c r="M1311" s="165" t="s">
        <v>151</v>
      </c>
      <c r="N1311" s="165" t="s">
        <v>16</v>
      </c>
      <c r="O1311" s="165" t="s">
        <v>151</v>
      </c>
      <c r="P1311" s="165" t="s">
        <v>151</v>
      </c>
      <c r="Q1311" s="165" t="s">
        <v>151</v>
      </c>
      <c r="R1311" s="165" t="s">
        <v>151</v>
      </c>
      <c r="S1311" s="165" t="s">
        <v>16</v>
      </c>
      <c r="T1311" s="165" t="s">
        <v>149</v>
      </c>
      <c r="U1311" s="165" t="s">
        <v>151</v>
      </c>
      <c r="V1311" s="165" t="s">
        <v>151</v>
      </c>
      <c r="W1311" s="165" t="s">
        <v>149</v>
      </c>
      <c r="X1311" s="165" t="s">
        <v>16</v>
      </c>
      <c r="Y1311" s="165" t="s">
        <v>16</v>
      </c>
      <c r="Z1311" s="165" t="s">
        <v>149</v>
      </c>
      <c r="AA1311" s="165" t="s">
        <v>149</v>
      </c>
      <c r="AB1311" s="165" t="s">
        <v>148</v>
      </c>
      <c r="AC1311" s="165" t="s">
        <v>149</v>
      </c>
      <c r="AD1311" s="165" t="s">
        <v>149</v>
      </c>
      <c r="AE1311" s="165" t="s">
        <v>2040</v>
      </c>
      <c r="AF1311" s="165"/>
    </row>
    <row r="1312" spans="1:32" x14ac:dyDescent="0.3">
      <c r="A1312" s="165" t="s">
        <v>2047</v>
      </c>
      <c r="B1312" s="165" t="s">
        <v>14</v>
      </c>
      <c r="C1312" s="165" t="s">
        <v>2036</v>
      </c>
      <c r="D1312" s="165" t="s">
        <v>15</v>
      </c>
      <c r="E1312" s="157">
        <v>41638</v>
      </c>
      <c r="F1312" s="165" t="s">
        <v>16</v>
      </c>
      <c r="G1312" s="165" t="s">
        <v>16</v>
      </c>
      <c r="H1312" s="165" t="s">
        <v>16</v>
      </c>
      <c r="I1312" s="165" t="s">
        <v>148</v>
      </c>
      <c r="J1312" s="165" t="s">
        <v>16</v>
      </c>
      <c r="K1312" s="165" t="s">
        <v>16</v>
      </c>
      <c r="L1312" s="165" t="s">
        <v>16</v>
      </c>
      <c r="M1312" s="165" t="s">
        <v>16</v>
      </c>
      <c r="N1312" s="165" t="s">
        <v>148</v>
      </c>
      <c r="O1312" s="165" t="s">
        <v>16</v>
      </c>
      <c r="P1312" s="165" t="s">
        <v>16</v>
      </c>
      <c r="Q1312" s="165" t="s">
        <v>16</v>
      </c>
      <c r="R1312" s="165" t="s">
        <v>16</v>
      </c>
      <c r="S1312" s="165" t="s">
        <v>16</v>
      </c>
      <c r="T1312" s="165" t="s">
        <v>16</v>
      </c>
      <c r="U1312" s="165" t="s">
        <v>16</v>
      </c>
      <c r="V1312" s="165" t="s">
        <v>16</v>
      </c>
      <c r="W1312" s="165" t="s">
        <v>16</v>
      </c>
      <c r="X1312" s="165" t="s">
        <v>16</v>
      </c>
      <c r="Y1312" s="165" t="s">
        <v>16</v>
      </c>
      <c r="Z1312" s="165" t="s">
        <v>148</v>
      </c>
      <c r="AA1312" s="165" t="s">
        <v>16</v>
      </c>
      <c r="AB1312" s="165" t="s">
        <v>16</v>
      </c>
      <c r="AC1312" s="165" t="s">
        <v>16</v>
      </c>
      <c r="AD1312" s="165" t="s">
        <v>16</v>
      </c>
      <c r="AE1312" s="165" t="s">
        <v>2040</v>
      </c>
      <c r="AF1312" s="165"/>
    </row>
    <row r="1313" spans="1:32" x14ac:dyDescent="0.3">
      <c r="A1313" s="165" t="s">
        <v>2048</v>
      </c>
      <c r="B1313" s="165" t="s">
        <v>14</v>
      </c>
      <c r="C1313" s="165" t="s">
        <v>2036</v>
      </c>
      <c r="D1313" s="165" t="s">
        <v>15</v>
      </c>
      <c r="E1313" s="157">
        <v>41638</v>
      </c>
      <c r="F1313" s="165" t="s">
        <v>16</v>
      </c>
      <c r="G1313" s="165" t="s">
        <v>16</v>
      </c>
      <c r="H1313" s="165" t="s">
        <v>16</v>
      </c>
      <c r="I1313" s="165" t="s">
        <v>16</v>
      </c>
      <c r="J1313" s="165" t="s">
        <v>16</v>
      </c>
      <c r="K1313" s="165" t="s">
        <v>16</v>
      </c>
      <c r="L1313" s="165" t="s">
        <v>16</v>
      </c>
      <c r="M1313" s="165" t="s">
        <v>16</v>
      </c>
      <c r="N1313" s="165" t="s">
        <v>148</v>
      </c>
      <c r="O1313" s="165" t="s">
        <v>16</v>
      </c>
      <c r="P1313" s="165" t="s">
        <v>148</v>
      </c>
      <c r="Q1313" s="165" t="s">
        <v>16</v>
      </c>
      <c r="R1313" s="165" t="s">
        <v>16</v>
      </c>
      <c r="S1313" s="165" t="s">
        <v>16</v>
      </c>
      <c r="T1313" s="165" t="s">
        <v>148</v>
      </c>
      <c r="U1313" s="165" t="s">
        <v>16</v>
      </c>
      <c r="V1313" s="165" t="s">
        <v>148</v>
      </c>
      <c r="W1313" s="165" t="s">
        <v>16</v>
      </c>
      <c r="X1313" s="165" t="s">
        <v>16</v>
      </c>
      <c r="Y1313" s="165" t="s">
        <v>148</v>
      </c>
      <c r="Z1313" s="165" t="s">
        <v>16</v>
      </c>
      <c r="AA1313" s="165" t="s">
        <v>16</v>
      </c>
      <c r="AB1313" s="165" t="s">
        <v>16</v>
      </c>
      <c r="AC1313" s="165" t="s">
        <v>16</v>
      </c>
      <c r="AD1313" s="165" t="s">
        <v>16</v>
      </c>
      <c r="AE1313" s="165" t="s">
        <v>2049</v>
      </c>
      <c r="AF1313" s="165"/>
    </row>
    <row r="1314" spans="1:32" x14ac:dyDescent="0.3">
      <c r="A1314" s="165" t="s">
        <v>2050</v>
      </c>
      <c r="B1314" s="165" t="s">
        <v>14</v>
      </c>
      <c r="C1314" s="165" t="s">
        <v>2036</v>
      </c>
      <c r="D1314" s="165" t="s">
        <v>15</v>
      </c>
      <c r="E1314" s="157">
        <v>41638</v>
      </c>
      <c r="F1314" s="165" t="s">
        <v>16</v>
      </c>
      <c r="G1314" s="165" t="s">
        <v>16</v>
      </c>
      <c r="H1314" s="165" t="s">
        <v>148</v>
      </c>
      <c r="I1314" s="165" t="s">
        <v>148</v>
      </c>
      <c r="J1314" s="165" t="s">
        <v>148</v>
      </c>
      <c r="K1314" s="165" t="s">
        <v>16</v>
      </c>
      <c r="L1314" s="165" t="s">
        <v>149</v>
      </c>
      <c r="M1314" s="165" t="s">
        <v>148</v>
      </c>
      <c r="N1314" s="165" t="s">
        <v>16</v>
      </c>
      <c r="O1314" s="165" t="s">
        <v>16</v>
      </c>
      <c r="P1314" s="165" t="s">
        <v>148</v>
      </c>
      <c r="Q1314" s="165" t="s">
        <v>16</v>
      </c>
      <c r="R1314" s="165" t="s">
        <v>148</v>
      </c>
      <c r="S1314" s="165" t="s">
        <v>16</v>
      </c>
      <c r="T1314" s="165" t="s">
        <v>148</v>
      </c>
      <c r="U1314" s="165" t="s">
        <v>148</v>
      </c>
      <c r="V1314" s="165" t="s">
        <v>16</v>
      </c>
      <c r="W1314" s="165" t="s">
        <v>16</v>
      </c>
      <c r="X1314" s="165" t="s">
        <v>16</v>
      </c>
      <c r="Y1314" s="165" t="s">
        <v>148</v>
      </c>
      <c r="Z1314" s="165" t="s">
        <v>16</v>
      </c>
      <c r="AA1314" s="165" t="s">
        <v>16</v>
      </c>
      <c r="AB1314" s="165" t="s">
        <v>16</v>
      </c>
      <c r="AC1314" s="165" t="s">
        <v>148</v>
      </c>
      <c r="AD1314" s="165" t="s">
        <v>16</v>
      </c>
      <c r="AE1314" s="165" t="s">
        <v>2042</v>
      </c>
      <c r="AF1314" s="165"/>
    </row>
    <row r="1315" spans="1:32" x14ac:dyDescent="0.3">
      <c r="A1315" s="165" t="s">
        <v>2051</v>
      </c>
      <c r="B1315" s="165" t="s">
        <v>14</v>
      </c>
      <c r="C1315" s="165" t="s">
        <v>2036</v>
      </c>
      <c r="D1315" s="165" t="s">
        <v>15</v>
      </c>
      <c r="E1315" s="157">
        <v>41638</v>
      </c>
      <c r="F1315" s="165" t="s">
        <v>149</v>
      </c>
      <c r="G1315" s="165" t="s">
        <v>16</v>
      </c>
      <c r="H1315" s="165" t="s">
        <v>149</v>
      </c>
      <c r="I1315" s="165" t="s">
        <v>148</v>
      </c>
      <c r="J1315" s="165" t="s">
        <v>16</v>
      </c>
      <c r="K1315" s="165" t="s">
        <v>16</v>
      </c>
      <c r="L1315" s="165" t="s">
        <v>148</v>
      </c>
      <c r="M1315" s="165" t="s">
        <v>148</v>
      </c>
      <c r="N1315" s="165" t="s">
        <v>16</v>
      </c>
      <c r="O1315" s="165" t="s">
        <v>16</v>
      </c>
      <c r="P1315" s="165" t="s">
        <v>148</v>
      </c>
      <c r="Q1315" s="165" t="s">
        <v>16</v>
      </c>
      <c r="R1315" s="165" t="s">
        <v>149</v>
      </c>
      <c r="S1315" s="165" t="s">
        <v>16</v>
      </c>
      <c r="T1315" s="165" t="s">
        <v>150</v>
      </c>
      <c r="U1315" s="165" t="s">
        <v>148</v>
      </c>
      <c r="V1315" s="165" t="s">
        <v>16</v>
      </c>
      <c r="W1315" s="165" t="s">
        <v>148</v>
      </c>
      <c r="X1315" s="165" t="s">
        <v>16</v>
      </c>
      <c r="Y1315" s="165" t="s">
        <v>148</v>
      </c>
      <c r="Z1315" s="165" t="s">
        <v>148</v>
      </c>
      <c r="AA1315" s="165" t="s">
        <v>148</v>
      </c>
      <c r="AB1315" s="165" t="s">
        <v>16</v>
      </c>
      <c r="AC1315" s="165" t="s">
        <v>148</v>
      </c>
      <c r="AD1315" s="165" t="s">
        <v>16</v>
      </c>
      <c r="AE1315" s="165" t="s">
        <v>2037</v>
      </c>
      <c r="AF1315" s="165"/>
    </row>
    <row r="1316" spans="1:32" x14ac:dyDescent="0.3">
      <c r="A1316" s="165" t="s">
        <v>2052</v>
      </c>
      <c r="B1316" s="165" t="s">
        <v>14</v>
      </c>
      <c r="C1316" s="165" t="s">
        <v>2036</v>
      </c>
      <c r="D1316" s="165" t="s">
        <v>15</v>
      </c>
      <c r="E1316" s="157">
        <v>41638</v>
      </c>
      <c r="F1316" s="165" t="s">
        <v>16</v>
      </c>
      <c r="G1316" s="165" t="s">
        <v>16</v>
      </c>
      <c r="H1316" s="165" t="s">
        <v>16</v>
      </c>
      <c r="I1316" s="165" t="s">
        <v>148</v>
      </c>
      <c r="J1316" s="165" t="s">
        <v>16</v>
      </c>
      <c r="K1316" s="165" t="s">
        <v>16</v>
      </c>
      <c r="L1316" s="165" t="s">
        <v>16</v>
      </c>
      <c r="M1316" s="165" t="s">
        <v>16</v>
      </c>
      <c r="N1316" s="165" t="s">
        <v>16</v>
      </c>
      <c r="O1316" s="165" t="s">
        <v>148</v>
      </c>
      <c r="P1316" s="165" t="s">
        <v>148</v>
      </c>
      <c r="Q1316" s="165" t="s">
        <v>16</v>
      </c>
      <c r="R1316" s="165" t="s">
        <v>16</v>
      </c>
      <c r="S1316" s="165" t="s">
        <v>148</v>
      </c>
      <c r="T1316" s="165" t="s">
        <v>16</v>
      </c>
      <c r="U1316" s="165" t="s">
        <v>16</v>
      </c>
      <c r="V1316" s="165" t="s">
        <v>16</v>
      </c>
      <c r="W1316" s="165" t="s">
        <v>16</v>
      </c>
      <c r="X1316" s="165" t="s">
        <v>16</v>
      </c>
      <c r="Y1316" s="165" t="s">
        <v>16</v>
      </c>
      <c r="Z1316" s="165" t="s">
        <v>16</v>
      </c>
      <c r="AA1316" s="165" t="s">
        <v>16</v>
      </c>
      <c r="AB1316" s="165" t="s">
        <v>148</v>
      </c>
      <c r="AC1316" s="165" t="s">
        <v>148</v>
      </c>
      <c r="AD1316" s="165" t="s">
        <v>16</v>
      </c>
      <c r="AE1316" s="165" t="s">
        <v>2040</v>
      </c>
      <c r="AF1316" s="165"/>
    </row>
    <row r="1317" spans="1:32" x14ac:dyDescent="0.3">
      <c r="A1317" s="165" t="s">
        <v>2053</v>
      </c>
      <c r="B1317" s="165" t="s">
        <v>14</v>
      </c>
      <c r="C1317" s="165" t="s">
        <v>2036</v>
      </c>
      <c r="D1317" s="165" t="s">
        <v>15</v>
      </c>
      <c r="E1317" s="157">
        <v>41638</v>
      </c>
      <c r="F1317" s="165" t="s">
        <v>16</v>
      </c>
      <c r="G1317" s="165" t="s">
        <v>16</v>
      </c>
      <c r="H1317" s="165" t="s">
        <v>16</v>
      </c>
      <c r="I1317" s="165" t="s">
        <v>16</v>
      </c>
      <c r="J1317" s="165" t="s">
        <v>16</v>
      </c>
      <c r="K1317" s="165" t="s">
        <v>16</v>
      </c>
      <c r="L1317" s="165" t="s">
        <v>16</v>
      </c>
      <c r="M1317" s="165" t="s">
        <v>16</v>
      </c>
      <c r="N1317" s="165" t="s">
        <v>16</v>
      </c>
      <c r="O1317" s="165" t="s">
        <v>16</v>
      </c>
      <c r="P1317" s="165" t="s">
        <v>16</v>
      </c>
      <c r="Q1317" s="165" t="s">
        <v>16</v>
      </c>
      <c r="R1317" s="165" t="s">
        <v>16</v>
      </c>
      <c r="S1317" s="165" t="s">
        <v>16</v>
      </c>
      <c r="T1317" s="165" t="s">
        <v>148</v>
      </c>
      <c r="U1317" s="165" t="s">
        <v>148</v>
      </c>
      <c r="V1317" s="165" t="s">
        <v>148</v>
      </c>
      <c r="W1317" s="165" t="s">
        <v>148</v>
      </c>
      <c r="X1317" s="165" t="s">
        <v>148</v>
      </c>
      <c r="Y1317" s="165" t="s">
        <v>148</v>
      </c>
      <c r="Z1317" s="165" t="s">
        <v>16</v>
      </c>
      <c r="AA1317" s="165" t="s">
        <v>16</v>
      </c>
      <c r="AB1317" s="165" t="s">
        <v>16</v>
      </c>
      <c r="AC1317" s="165" t="s">
        <v>16</v>
      </c>
      <c r="AD1317" s="165" t="s">
        <v>16</v>
      </c>
      <c r="AE1317" s="165" t="s">
        <v>2040</v>
      </c>
      <c r="AF1317" s="165"/>
    </row>
    <row r="1318" spans="1:32" x14ac:dyDescent="0.3">
      <c r="A1318" s="165" t="s">
        <v>2054</v>
      </c>
      <c r="B1318" s="165" t="s">
        <v>14</v>
      </c>
      <c r="C1318" s="165" t="s">
        <v>2036</v>
      </c>
      <c r="D1318" s="165" t="s">
        <v>15</v>
      </c>
      <c r="E1318" s="157">
        <v>41638</v>
      </c>
      <c r="F1318" s="165" t="s">
        <v>148</v>
      </c>
      <c r="G1318" s="165" t="s">
        <v>16</v>
      </c>
      <c r="H1318" s="165" t="s">
        <v>16</v>
      </c>
      <c r="I1318" s="165" t="s">
        <v>16</v>
      </c>
      <c r="J1318" s="165" t="s">
        <v>148</v>
      </c>
      <c r="K1318" s="165" t="s">
        <v>16</v>
      </c>
      <c r="L1318" s="165" t="s">
        <v>148</v>
      </c>
      <c r="M1318" s="165" t="s">
        <v>148</v>
      </c>
      <c r="N1318" s="165" t="s">
        <v>16</v>
      </c>
      <c r="O1318" s="165" t="s">
        <v>16</v>
      </c>
      <c r="P1318" s="165" t="s">
        <v>148</v>
      </c>
      <c r="Q1318" s="165" t="s">
        <v>148</v>
      </c>
      <c r="R1318" s="165" t="s">
        <v>16</v>
      </c>
      <c r="S1318" s="165" t="s">
        <v>150</v>
      </c>
      <c r="T1318" s="165" t="s">
        <v>16</v>
      </c>
      <c r="U1318" s="165" t="s">
        <v>148</v>
      </c>
      <c r="V1318" s="165" t="s">
        <v>148</v>
      </c>
      <c r="W1318" s="165" t="s">
        <v>148</v>
      </c>
      <c r="X1318" s="165" t="s">
        <v>148</v>
      </c>
      <c r="Y1318" s="165" t="s">
        <v>16</v>
      </c>
      <c r="Z1318" s="165" t="s">
        <v>148</v>
      </c>
      <c r="AA1318" s="165" t="s">
        <v>148</v>
      </c>
      <c r="AB1318" s="165" t="s">
        <v>16</v>
      </c>
      <c r="AC1318" s="165" t="s">
        <v>148</v>
      </c>
      <c r="AD1318" s="165" t="s">
        <v>16</v>
      </c>
      <c r="AE1318" s="165" t="s">
        <v>2042</v>
      </c>
      <c r="AF1318" s="165"/>
    </row>
    <row r="1319" spans="1:32" x14ac:dyDescent="0.3">
      <c r="A1319" s="165" t="s">
        <v>2055</v>
      </c>
      <c r="B1319" s="165" t="s">
        <v>14</v>
      </c>
      <c r="C1319" s="165" t="s">
        <v>2036</v>
      </c>
      <c r="D1319" s="165" t="s">
        <v>15</v>
      </c>
      <c r="E1319" s="157">
        <v>41638</v>
      </c>
      <c r="F1319" s="165" t="s">
        <v>16</v>
      </c>
      <c r="G1319" s="165" t="s">
        <v>16</v>
      </c>
      <c r="H1319" s="165" t="s">
        <v>16</v>
      </c>
      <c r="I1319" s="165" t="s">
        <v>16</v>
      </c>
      <c r="J1319" s="165" t="s">
        <v>16</v>
      </c>
      <c r="K1319" s="165" t="s">
        <v>16</v>
      </c>
      <c r="L1319" s="165" t="s">
        <v>16</v>
      </c>
      <c r="M1319" s="165" t="s">
        <v>16</v>
      </c>
      <c r="N1319" s="165" t="s">
        <v>148</v>
      </c>
      <c r="O1319" s="165" t="s">
        <v>16</v>
      </c>
      <c r="P1319" s="165" t="s">
        <v>16</v>
      </c>
      <c r="Q1319" s="165" t="s">
        <v>16</v>
      </c>
      <c r="R1319" s="165" t="s">
        <v>16</v>
      </c>
      <c r="S1319" s="165" t="s">
        <v>16</v>
      </c>
      <c r="T1319" s="165" t="s">
        <v>148</v>
      </c>
      <c r="U1319" s="165" t="s">
        <v>16</v>
      </c>
      <c r="V1319" s="165" t="s">
        <v>149</v>
      </c>
      <c r="W1319" s="165" t="s">
        <v>16</v>
      </c>
      <c r="X1319" s="165" t="s">
        <v>16</v>
      </c>
      <c r="Y1319" s="165" t="s">
        <v>16</v>
      </c>
      <c r="Z1319" s="165" t="s">
        <v>16</v>
      </c>
      <c r="AA1319" s="165" t="s">
        <v>16</v>
      </c>
      <c r="AB1319" s="165" t="s">
        <v>16</v>
      </c>
      <c r="AC1319" s="165" t="s">
        <v>16</v>
      </c>
      <c r="AD1319" s="165" t="s">
        <v>16</v>
      </c>
      <c r="AE1319" s="165" t="s">
        <v>2040</v>
      </c>
      <c r="AF1319" s="165"/>
    </row>
    <row r="1320" spans="1:32" x14ac:dyDescent="0.3">
      <c r="A1320" s="165" t="s">
        <v>2056</v>
      </c>
      <c r="B1320" s="165" t="s">
        <v>14</v>
      </c>
      <c r="C1320" s="165" t="s">
        <v>2036</v>
      </c>
      <c r="D1320" s="165" t="s">
        <v>15</v>
      </c>
      <c r="E1320" s="157">
        <v>41638</v>
      </c>
      <c r="F1320" s="165" t="s">
        <v>16</v>
      </c>
      <c r="G1320" s="165" t="s">
        <v>16</v>
      </c>
      <c r="H1320" s="165" t="s">
        <v>16</v>
      </c>
      <c r="I1320" s="165" t="s">
        <v>16</v>
      </c>
      <c r="J1320" s="165" t="s">
        <v>16</v>
      </c>
      <c r="K1320" s="165" t="s">
        <v>16</v>
      </c>
      <c r="L1320" s="165" t="s">
        <v>16</v>
      </c>
      <c r="M1320" s="165" t="s">
        <v>16</v>
      </c>
      <c r="N1320" s="165" t="s">
        <v>16</v>
      </c>
      <c r="O1320" s="165" t="s">
        <v>150</v>
      </c>
      <c r="P1320" s="165" t="s">
        <v>150</v>
      </c>
      <c r="Q1320" s="165" t="s">
        <v>150</v>
      </c>
      <c r="R1320" s="165" t="s">
        <v>150</v>
      </c>
      <c r="S1320" s="165" t="s">
        <v>150</v>
      </c>
      <c r="T1320" s="165" t="s">
        <v>16</v>
      </c>
      <c r="U1320" s="165" t="s">
        <v>16</v>
      </c>
      <c r="V1320" s="165" t="s">
        <v>16</v>
      </c>
      <c r="W1320" s="165" t="s">
        <v>16</v>
      </c>
      <c r="X1320" s="165" t="s">
        <v>16</v>
      </c>
      <c r="Y1320" s="165" t="s">
        <v>16</v>
      </c>
      <c r="Z1320" s="165" t="s">
        <v>16</v>
      </c>
      <c r="AA1320" s="165" t="s">
        <v>16</v>
      </c>
      <c r="AB1320" s="165" t="s">
        <v>16</v>
      </c>
      <c r="AC1320" s="165" t="s">
        <v>150</v>
      </c>
      <c r="AD1320" s="165" t="s">
        <v>16</v>
      </c>
      <c r="AE1320" s="165" t="s">
        <v>2037</v>
      </c>
      <c r="AF1320" s="165"/>
    </row>
    <row r="1321" spans="1:32" x14ac:dyDescent="0.3">
      <c r="A1321" s="165" t="s">
        <v>2057</v>
      </c>
      <c r="B1321" s="165" t="s">
        <v>14</v>
      </c>
      <c r="C1321" s="165" t="s">
        <v>2036</v>
      </c>
      <c r="D1321" s="165" t="s">
        <v>15</v>
      </c>
      <c r="E1321" s="157">
        <v>41638</v>
      </c>
      <c r="F1321" s="165" t="s">
        <v>16</v>
      </c>
      <c r="G1321" s="165" t="s">
        <v>16</v>
      </c>
      <c r="H1321" s="165" t="s">
        <v>16</v>
      </c>
      <c r="I1321" s="165" t="s">
        <v>16</v>
      </c>
      <c r="J1321" s="165" t="s">
        <v>16</v>
      </c>
      <c r="K1321" s="165" t="s">
        <v>151</v>
      </c>
      <c r="L1321" s="165" t="s">
        <v>16</v>
      </c>
      <c r="M1321" s="165" t="s">
        <v>16</v>
      </c>
      <c r="N1321" s="165" t="s">
        <v>16</v>
      </c>
      <c r="O1321" s="165" t="s">
        <v>16</v>
      </c>
      <c r="P1321" s="165" t="s">
        <v>16</v>
      </c>
      <c r="Q1321" s="165" t="s">
        <v>16</v>
      </c>
      <c r="R1321" s="165" t="s">
        <v>16</v>
      </c>
      <c r="S1321" s="165" t="s">
        <v>16</v>
      </c>
      <c r="T1321" s="165" t="s">
        <v>16</v>
      </c>
      <c r="U1321" s="165" t="s">
        <v>16</v>
      </c>
      <c r="V1321" s="165" t="s">
        <v>16</v>
      </c>
      <c r="W1321" s="165" t="s">
        <v>16</v>
      </c>
      <c r="X1321" s="165" t="s">
        <v>16</v>
      </c>
      <c r="Y1321" s="165" t="s">
        <v>16</v>
      </c>
      <c r="Z1321" s="165" t="s">
        <v>16</v>
      </c>
      <c r="AA1321" s="165" t="s">
        <v>16</v>
      </c>
      <c r="AB1321" s="165" t="s">
        <v>16</v>
      </c>
      <c r="AC1321" s="165" t="s">
        <v>16</v>
      </c>
      <c r="AD1321" s="165" t="s">
        <v>16</v>
      </c>
      <c r="AE1321" s="165" t="s">
        <v>2042</v>
      </c>
      <c r="AF1321" s="165"/>
    </row>
    <row r="1322" spans="1:32" x14ac:dyDescent="0.3">
      <c r="A1322" s="165" t="s">
        <v>2058</v>
      </c>
      <c r="B1322" s="165" t="s">
        <v>14</v>
      </c>
      <c r="C1322" s="165" t="s">
        <v>2036</v>
      </c>
      <c r="D1322" s="165" t="s">
        <v>15</v>
      </c>
      <c r="E1322" s="157">
        <v>41638</v>
      </c>
      <c r="F1322" s="165" t="s">
        <v>16</v>
      </c>
      <c r="G1322" s="165" t="s">
        <v>16</v>
      </c>
      <c r="H1322" s="165" t="s">
        <v>16</v>
      </c>
      <c r="I1322" s="165" t="s">
        <v>16</v>
      </c>
      <c r="J1322" s="165" t="s">
        <v>16</v>
      </c>
      <c r="K1322" s="165" t="s">
        <v>16</v>
      </c>
      <c r="L1322" s="165" t="s">
        <v>16</v>
      </c>
      <c r="M1322" s="165" t="s">
        <v>16</v>
      </c>
      <c r="N1322" s="165" t="s">
        <v>16</v>
      </c>
      <c r="O1322" s="165" t="s">
        <v>16</v>
      </c>
      <c r="P1322" s="165" t="s">
        <v>16</v>
      </c>
      <c r="Q1322" s="165" t="s">
        <v>16</v>
      </c>
      <c r="R1322" s="165" t="s">
        <v>16</v>
      </c>
      <c r="S1322" s="165" t="s">
        <v>16</v>
      </c>
      <c r="T1322" s="165" t="s">
        <v>16</v>
      </c>
      <c r="U1322" s="165" t="s">
        <v>16</v>
      </c>
      <c r="V1322" s="165" t="s">
        <v>16</v>
      </c>
      <c r="W1322" s="165" t="s">
        <v>16</v>
      </c>
      <c r="X1322" s="165" t="s">
        <v>16</v>
      </c>
      <c r="Y1322" s="165" t="s">
        <v>16</v>
      </c>
      <c r="Z1322" s="165" t="s">
        <v>16</v>
      </c>
      <c r="AA1322" s="165" t="s">
        <v>16</v>
      </c>
      <c r="AB1322" s="165" t="s">
        <v>16</v>
      </c>
      <c r="AC1322" s="165" t="s">
        <v>16</v>
      </c>
      <c r="AD1322" s="165" t="s">
        <v>16</v>
      </c>
      <c r="AE1322" s="165" t="s">
        <v>2040</v>
      </c>
      <c r="AF1322" s="165"/>
    </row>
    <row r="1323" spans="1:32" x14ac:dyDescent="0.3">
      <c r="A1323" s="165" t="s">
        <v>2059</v>
      </c>
      <c r="B1323" s="165" t="s">
        <v>14</v>
      </c>
      <c r="C1323" s="165" t="s">
        <v>2036</v>
      </c>
      <c r="D1323" s="165" t="s">
        <v>15</v>
      </c>
      <c r="E1323" s="157">
        <v>41638</v>
      </c>
      <c r="F1323" s="165" t="s">
        <v>149</v>
      </c>
      <c r="G1323" s="165" t="s">
        <v>16</v>
      </c>
      <c r="H1323" s="165" t="s">
        <v>149</v>
      </c>
      <c r="I1323" s="165" t="s">
        <v>16</v>
      </c>
      <c r="J1323" s="165" t="s">
        <v>16</v>
      </c>
      <c r="K1323" s="165" t="s">
        <v>148</v>
      </c>
      <c r="L1323" s="165" t="s">
        <v>148</v>
      </c>
      <c r="M1323" s="165" t="s">
        <v>16</v>
      </c>
      <c r="N1323" s="165" t="s">
        <v>16</v>
      </c>
      <c r="O1323" s="165" t="s">
        <v>16</v>
      </c>
      <c r="P1323" s="165" t="s">
        <v>148</v>
      </c>
      <c r="Q1323" s="165" t="s">
        <v>16</v>
      </c>
      <c r="R1323" s="165" t="s">
        <v>16</v>
      </c>
      <c r="S1323" s="165" t="s">
        <v>148</v>
      </c>
      <c r="T1323" s="165" t="s">
        <v>16</v>
      </c>
      <c r="U1323" s="165" t="s">
        <v>16</v>
      </c>
      <c r="V1323" s="165" t="s">
        <v>149</v>
      </c>
      <c r="W1323" s="165" t="s">
        <v>16</v>
      </c>
      <c r="X1323" s="165" t="s">
        <v>16</v>
      </c>
      <c r="Y1323" s="165" t="s">
        <v>16</v>
      </c>
      <c r="Z1323" s="165" t="s">
        <v>149</v>
      </c>
      <c r="AA1323" s="165" t="s">
        <v>16</v>
      </c>
      <c r="AB1323" s="165" t="s">
        <v>16</v>
      </c>
      <c r="AC1323" s="165" t="s">
        <v>149</v>
      </c>
      <c r="AD1323" s="165" t="s">
        <v>149</v>
      </c>
      <c r="AE1323" s="165" t="s">
        <v>2049</v>
      </c>
      <c r="AF1323" s="165" t="s">
        <v>2060</v>
      </c>
    </row>
    <row r="1324" spans="1:32" x14ac:dyDescent="0.3">
      <c r="A1324" s="165" t="s">
        <v>2061</v>
      </c>
      <c r="B1324" s="165" t="s">
        <v>14</v>
      </c>
      <c r="C1324" s="165" t="s">
        <v>2036</v>
      </c>
      <c r="D1324" s="165" t="s">
        <v>15</v>
      </c>
      <c r="E1324" s="157">
        <v>41638</v>
      </c>
      <c r="F1324" s="165" t="s">
        <v>16</v>
      </c>
      <c r="G1324" s="165" t="s">
        <v>16</v>
      </c>
      <c r="H1324" s="165" t="s">
        <v>16</v>
      </c>
      <c r="I1324" s="165" t="s">
        <v>16</v>
      </c>
      <c r="J1324" s="165" t="s">
        <v>16</v>
      </c>
      <c r="K1324" s="165" t="s">
        <v>16</v>
      </c>
      <c r="L1324" s="165" t="s">
        <v>16</v>
      </c>
      <c r="M1324" s="165" t="s">
        <v>16</v>
      </c>
      <c r="N1324" s="165" t="s">
        <v>16</v>
      </c>
      <c r="O1324" s="165" t="s">
        <v>16</v>
      </c>
      <c r="P1324" s="165" t="s">
        <v>16</v>
      </c>
      <c r="Q1324" s="165" t="s">
        <v>16</v>
      </c>
      <c r="R1324" s="165" t="s">
        <v>16</v>
      </c>
      <c r="S1324" s="165" t="s">
        <v>16</v>
      </c>
      <c r="T1324" s="165" t="s">
        <v>16</v>
      </c>
      <c r="U1324" s="165" t="s">
        <v>16</v>
      </c>
      <c r="V1324" s="165" t="s">
        <v>16</v>
      </c>
      <c r="W1324" s="165" t="s">
        <v>16</v>
      </c>
      <c r="X1324" s="165" t="s">
        <v>16</v>
      </c>
      <c r="Y1324" s="165" t="s">
        <v>16</v>
      </c>
      <c r="Z1324" s="165" t="s">
        <v>16</v>
      </c>
      <c r="AA1324" s="165" t="s">
        <v>16</v>
      </c>
      <c r="AB1324" s="165" t="s">
        <v>16</v>
      </c>
      <c r="AC1324" s="165" t="s">
        <v>16</v>
      </c>
      <c r="AD1324" s="165" t="s">
        <v>16</v>
      </c>
      <c r="AE1324" s="165" t="s">
        <v>2037</v>
      </c>
      <c r="AF1324" s="165"/>
    </row>
    <row r="1325" spans="1:32" x14ac:dyDescent="0.3">
      <c r="A1325" s="165" t="s">
        <v>2062</v>
      </c>
      <c r="B1325" s="165" t="s">
        <v>14</v>
      </c>
      <c r="C1325" s="165" t="s">
        <v>2036</v>
      </c>
      <c r="D1325" s="165" t="s">
        <v>15</v>
      </c>
      <c r="E1325" s="157">
        <v>41638</v>
      </c>
      <c r="F1325" s="165" t="s">
        <v>149</v>
      </c>
      <c r="G1325" s="165" t="s">
        <v>16</v>
      </c>
      <c r="H1325" s="165" t="s">
        <v>149</v>
      </c>
      <c r="I1325" s="165" t="s">
        <v>16</v>
      </c>
      <c r="J1325" s="165" t="s">
        <v>149</v>
      </c>
      <c r="K1325" s="165" t="s">
        <v>16</v>
      </c>
      <c r="L1325" s="165" t="s">
        <v>16</v>
      </c>
      <c r="M1325" s="165" t="s">
        <v>16</v>
      </c>
      <c r="N1325" s="165" t="s">
        <v>149</v>
      </c>
      <c r="O1325" s="165" t="s">
        <v>149</v>
      </c>
      <c r="P1325" s="165" t="s">
        <v>149</v>
      </c>
      <c r="Q1325" s="165" t="s">
        <v>16</v>
      </c>
      <c r="R1325" s="165" t="s">
        <v>16</v>
      </c>
      <c r="S1325" s="165" t="s">
        <v>16</v>
      </c>
      <c r="T1325" s="165" t="s">
        <v>16</v>
      </c>
      <c r="U1325" s="165" t="s">
        <v>149</v>
      </c>
      <c r="V1325" s="165" t="s">
        <v>149</v>
      </c>
      <c r="W1325" s="165" t="s">
        <v>16</v>
      </c>
      <c r="X1325" s="165" t="s">
        <v>16</v>
      </c>
      <c r="Y1325" s="165" t="s">
        <v>16</v>
      </c>
      <c r="Z1325" s="165" t="s">
        <v>149</v>
      </c>
      <c r="AA1325" s="165" t="s">
        <v>16</v>
      </c>
      <c r="AB1325" s="165" t="s">
        <v>16</v>
      </c>
      <c r="AC1325" s="165" t="s">
        <v>149</v>
      </c>
      <c r="AD1325" s="165" t="s">
        <v>16</v>
      </c>
      <c r="AE1325" s="165" t="s">
        <v>2037</v>
      </c>
      <c r="AF1325" s="165" t="s">
        <v>2063</v>
      </c>
    </row>
    <row r="1326" spans="1:32" x14ac:dyDescent="0.3">
      <c r="A1326" s="165" t="s">
        <v>2064</v>
      </c>
      <c r="B1326" s="165" t="s">
        <v>14</v>
      </c>
      <c r="C1326" s="165" t="s">
        <v>2036</v>
      </c>
      <c r="D1326" s="165" t="s">
        <v>15</v>
      </c>
      <c r="E1326" s="157">
        <v>41638</v>
      </c>
      <c r="F1326" s="165" t="s">
        <v>16</v>
      </c>
      <c r="G1326" s="165" t="s">
        <v>16</v>
      </c>
      <c r="H1326" s="165" t="s">
        <v>16</v>
      </c>
      <c r="I1326" s="165" t="s">
        <v>16</v>
      </c>
      <c r="J1326" s="165" t="s">
        <v>16</v>
      </c>
      <c r="K1326" s="165" t="s">
        <v>16</v>
      </c>
      <c r="L1326" s="165" t="s">
        <v>16</v>
      </c>
      <c r="M1326" s="165" t="s">
        <v>16</v>
      </c>
      <c r="N1326" s="165" t="s">
        <v>16</v>
      </c>
      <c r="O1326" s="165" t="s">
        <v>16</v>
      </c>
      <c r="P1326" s="165" t="s">
        <v>16</v>
      </c>
      <c r="Q1326" s="165" t="s">
        <v>16</v>
      </c>
      <c r="R1326" s="165" t="s">
        <v>16</v>
      </c>
      <c r="S1326" s="165" t="s">
        <v>16</v>
      </c>
      <c r="T1326" s="165" t="s">
        <v>16</v>
      </c>
      <c r="U1326" s="165" t="s">
        <v>16</v>
      </c>
      <c r="V1326" s="165" t="s">
        <v>16</v>
      </c>
      <c r="W1326" s="165" t="s">
        <v>16</v>
      </c>
      <c r="X1326" s="165" t="s">
        <v>16</v>
      </c>
      <c r="Y1326" s="165" t="s">
        <v>16</v>
      </c>
      <c r="Z1326" s="165" t="s">
        <v>16</v>
      </c>
      <c r="AA1326" s="165" t="s">
        <v>16</v>
      </c>
      <c r="AB1326" s="165" t="s">
        <v>16</v>
      </c>
      <c r="AC1326" s="165" t="s">
        <v>16</v>
      </c>
      <c r="AD1326" s="165" t="s">
        <v>16</v>
      </c>
      <c r="AE1326" s="165" t="s">
        <v>2040</v>
      </c>
      <c r="AF1326" s="165"/>
    </row>
    <row r="1327" spans="1:32" x14ac:dyDescent="0.3">
      <c r="A1327" s="165" t="s">
        <v>2065</v>
      </c>
      <c r="B1327" s="165" t="s">
        <v>14</v>
      </c>
      <c r="C1327" s="165" t="s">
        <v>2036</v>
      </c>
      <c r="D1327" s="165" t="s">
        <v>15</v>
      </c>
      <c r="E1327" s="157">
        <v>41638</v>
      </c>
      <c r="F1327" s="165" t="s">
        <v>16</v>
      </c>
      <c r="G1327" s="165" t="s">
        <v>16</v>
      </c>
      <c r="H1327" s="165" t="s">
        <v>149</v>
      </c>
      <c r="I1327" s="165" t="s">
        <v>149</v>
      </c>
      <c r="J1327" s="165" t="s">
        <v>16</v>
      </c>
      <c r="K1327" s="165" t="s">
        <v>149</v>
      </c>
      <c r="L1327" s="165" t="s">
        <v>149</v>
      </c>
      <c r="M1327" s="165" t="s">
        <v>149</v>
      </c>
      <c r="N1327" s="165" t="s">
        <v>149</v>
      </c>
      <c r="O1327" s="165" t="s">
        <v>149</v>
      </c>
      <c r="P1327" s="165" t="s">
        <v>16</v>
      </c>
      <c r="Q1327" s="165" t="s">
        <v>16</v>
      </c>
      <c r="R1327" s="165" t="s">
        <v>16</v>
      </c>
      <c r="S1327" s="165" t="s">
        <v>16</v>
      </c>
      <c r="T1327" s="165" t="s">
        <v>114</v>
      </c>
      <c r="U1327" s="165" t="s">
        <v>16</v>
      </c>
      <c r="V1327" s="165" t="s">
        <v>16</v>
      </c>
      <c r="W1327" s="165" t="s">
        <v>16</v>
      </c>
      <c r="X1327" s="165" t="s">
        <v>16</v>
      </c>
      <c r="Y1327" s="165" t="s">
        <v>16</v>
      </c>
      <c r="Z1327" s="165" t="s">
        <v>149</v>
      </c>
      <c r="AA1327" s="165" t="s">
        <v>16</v>
      </c>
      <c r="AB1327" s="165" t="s">
        <v>148</v>
      </c>
      <c r="AC1327" s="165" t="s">
        <v>149</v>
      </c>
      <c r="AD1327" s="165" t="s">
        <v>149</v>
      </c>
      <c r="AE1327" s="165" t="s">
        <v>2066</v>
      </c>
      <c r="AF1327" s="165"/>
    </row>
    <row r="1328" spans="1:32" x14ac:dyDescent="0.3">
      <c r="A1328" s="165" t="s">
        <v>2067</v>
      </c>
      <c r="B1328" s="165" t="s">
        <v>14</v>
      </c>
      <c r="C1328" s="165" t="s">
        <v>2036</v>
      </c>
      <c r="D1328" s="165" t="s">
        <v>15</v>
      </c>
      <c r="E1328" s="157">
        <v>41638</v>
      </c>
      <c r="F1328" s="165" t="s">
        <v>16</v>
      </c>
      <c r="G1328" s="165" t="s">
        <v>16</v>
      </c>
      <c r="H1328" s="165" t="s">
        <v>16</v>
      </c>
      <c r="I1328" s="165" t="s">
        <v>16</v>
      </c>
      <c r="J1328" s="165" t="s">
        <v>16</v>
      </c>
      <c r="K1328" s="165" t="s">
        <v>16</v>
      </c>
      <c r="L1328" s="165" t="s">
        <v>16</v>
      </c>
      <c r="M1328" s="165" t="s">
        <v>16</v>
      </c>
      <c r="N1328" s="165" t="s">
        <v>16</v>
      </c>
      <c r="O1328" s="165" t="s">
        <v>16</v>
      </c>
      <c r="P1328" s="165" t="s">
        <v>16</v>
      </c>
      <c r="Q1328" s="165" t="s">
        <v>16</v>
      </c>
      <c r="R1328" s="165" t="s">
        <v>16</v>
      </c>
      <c r="S1328" s="165" t="s">
        <v>16</v>
      </c>
      <c r="T1328" s="165" t="s">
        <v>16</v>
      </c>
      <c r="U1328" s="165" t="s">
        <v>16</v>
      </c>
      <c r="V1328" s="165" t="s">
        <v>16</v>
      </c>
      <c r="W1328" s="165" t="s">
        <v>16</v>
      </c>
      <c r="X1328" s="165" t="s">
        <v>16</v>
      </c>
      <c r="Y1328" s="165" t="s">
        <v>16</v>
      </c>
      <c r="Z1328" s="165" t="s">
        <v>16</v>
      </c>
      <c r="AA1328" s="165" t="s">
        <v>16</v>
      </c>
      <c r="AB1328" s="165" t="s">
        <v>16</v>
      </c>
      <c r="AC1328" s="165" t="s">
        <v>16</v>
      </c>
      <c r="AD1328" s="165" t="s">
        <v>16</v>
      </c>
      <c r="AE1328" s="165" t="s">
        <v>2037</v>
      </c>
      <c r="AF1328" s="165"/>
    </row>
    <row r="1329" spans="1:33" x14ac:dyDescent="0.3">
      <c r="A1329" s="165" t="s">
        <v>2068</v>
      </c>
      <c r="B1329" s="165" t="s">
        <v>14</v>
      </c>
      <c r="C1329" s="165" t="s">
        <v>2036</v>
      </c>
      <c r="D1329" s="165" t="s">
        <v>15</v>
      </c>
      <c r="E1329" s="157">
        <v>41638</v>
      </c>
      <c r="F1329" s="165" t="s">
        <v>16</v>
      </c>
      <c r="G1329" s="165" t="s">
        <v>16</v>
      </c>
      <c r="H1329" s="165" t="s">
        <v>16</v>
      </c>
      <c r="I1329" s="165" t="s">
        <v>16</v>
      </c>
      <c r="J1329" s="165" t="s">
        <v>16</v>
      </c>
      <c r="K1329" s="165" t="s">
        <v>16</v>
      </c>
      <c r="L1329" s="165" t="s">
        <v>16</v>
      </c>
      <c r="M1329" s="165" t="s">
        <v>16</v>
      </c>
      <c r="N1329" s="165" t="s">
        <v>16</v>
      </c>
      <c r="O1329" s="165" t="s">
        <v>16</v>
      </c>
      <c r="P1329" s="165" t="s">
        <v>16</v>
      </c>
      <c r="Q1329" s="165" t="s">
        <v>16</v>
      </c>
      <c r="R1329" s="165" t="s">
        <v>16</v>
      </c>
      <c r="S1329" s="165" t="s">
        <v>16</v>
      </c>
      <c r="T1329" s="165" t="s">
        <v>16</v>
      </c>
      <c r="U1329" s="165" t="s">
        <v>16</v>
      </c>
      <c r="V1329" s="165" t="s">
        <v>16</v>
      </c>
      <c r="W1329" s="165" t="s">
        <v>16</v>
      </c>
      <c r="X1329" s="165" t="s">
        <v>16</v>
      </c>
      <c r="Y1329" s="165" t="s">
        <v>16</v>
      </c>
      <c r="Z1329" s="165" t="s">
        <v>16</v>
      </c>
      <c r="AA1329" s="165" t="s">
        <v>16</v>
      </c>
      <c r="AB1329" s="165" t="s">
        <v>16</v>
      </c>
      <c r="AC1329" s="165" t="s">
        <v>16</v>
      </c>
      <c r="AD1329" s="165" t="s">
        <v>16</v>
      </c>
      <c r="AE1329" s="165" t="s">
        <v>2040</v>
      </c>
      <c r="AF1329" s="165"/>
    </row>
    <row r="1330" spans="1:33" x14ac:dyDescent="0.3">
      <c r="A1330" s="165" t="s">
        <v>2069</v>
      </c>
      <c r="B1330" s="165" t="s">
        <v>14</v>
      </c>
      <c r="C1330" s="165" t="s">
        <v>2036</v>
      </c>
      <c r="D1330" s="165" t="s">
        <v>15</v>
      </c>
      <c r="E1330" s="157">
        <v>41638</v>
      </c>
      <c r="F1330" s="165" t="s">
        <v>16</v>
      </c>
      <c r="G1330" s="165" t="s">
        <v>16</v>
      </c>
      <c r="H1330" s="165" t="s">
        <v>16</v>
      </c>
      <c r="I1330" s="165" t="s">
        <v>16</v>
      </c>
      <c r="J1330" s="165" t="s">
        <v>16</v>
      </c>
      <c r="K1330" s="165" t="s">
        <v>16</v>
      </c>
      <c r="L1330" s="165" t="s">
        <v>16</v>
      </c>
      <c r="M1330" s="165" t="s">
        <v>16</v>
      </c>
      <c r="N1330" s="165" t="s">
        <v>16</v>
      </c>
      <c r="O1330" s="165" t="s">
        <v>16</v>
      </c>
      <c r="P1330" s="165" t="s">
        <v>16</v>
      </c>
      <c r="Q1330" s="165" t="s">
        <v>16</v>
      </c>
      <c r="R1330" s="165" t="s">
        <v>16</v>
      </c>
      <c r="S1330" s="165" t="s">
        <v>16</v>
      </c>
      <c r="T1330" s="165" t="s">
        <v>16</v>
      </c>
      <c r="U1330" s="165" t="s">
        <v>16</v>
      </c>
      <c r="V1330" s="165" t="s">
        <v>16</v>
      </c>
      <c r="W1330" s="165" t="s">
        <v>16</v>
      </c>
      <c r="X1330" s="165" t="s">
        <v>16</v>
      </c>
      <c r="Y1330" s="165" t="s">
        <v>16</v>
      </c>
      <c r="Z1330" s="165" t="s">
        <v>16</v>
      </c>
      <c r="AA1330" s="165" t="s">
        <v>16</v>
      </c>
      <c r="AB1330" s="165" t="s">
        <v>148</v>
      </c>
      <c r="AC1330" s="165" t="s">
        <v>16</v>
      </c>
      <c r="AD1330" s="165" t="s">
        <v>16</v>
      </c>
      <c r="AE1330" s="165" t="s">
        <v>2040</v>
      </c>
      <c r="AF1330" s="165"/>
    </row>
    <row r="1331" spans="1:33" x14ac:dyDescent="0.3">
      <c r="A1331" s="165" t="s">
        <v>2070</v>
      </c>
      <c r="B1331" s="165" t="s">
        <v>14</v>
      </c>
      <c r="C1331" s="165" t="s">
        <v>2036</v>
      </c>
      <c r="D1331" s="165" t="s">
        <v>15</v>
      </c>
      <c r="E1331" s="157">
        <v>41638</v>
      </c>
      <c r="F1331" s="165" t="s">
        <v>16</v>
      </c>
      <c r="G1331" s="165" t="s">
        <v>16</v>
      </c>
      <c r="H1331" s="165" t="s">
        <v>16</v>
      </c>
      <c r="I1331" s="165" t="s">
        <v>148</v>
      </c>
      <c r="J1331" s="165" t="s">
        <v>148</v>
      </c>
      <c r="K1331" s="165" t="s">
        <v>148</v>
      </c>
      <c r="L1331" s="165" t="s">
        <v>148</v>
      </c>
      <c r="M1331" s="165" t="s">
        <v>148</v>
      </c>
      <c r="N1331" s="165" t="s">
        <v>148</v>
      </c>
      <c r="O1331" s="165" t="s">
        <v>148</v>
      </c>
      <c r="P1331" s="165" t="s">
        <v>148</v>
      </c>
      <c r="Q1331" s="165" t="s">
        <v>16</v>
      </c>
      <c r="R1331" s="165" t="s">
        <v>16</v>
      </c>
      <c r="S1331" s="165" t="s">
        <v>148</v>
      </c>
      <c r="T1331" s="165" t="s">
        <v>148</v>
      </c>
      <c r="U1331" s="165" t="s">
        <v>148</v>
      </c>
      <c r="V1331" s="165" t="s">
        <v>16</v>
      </c>
      <c r="W1331" s="165" t="s">
        <v>16</v>
      </c>
      <c r="X1331" s="165" t="s">
        <v>16</v>
      </c>
      <c r="Y1331" s="165" t="s">
        <v>16</v>
      </c>
      <c r="Z1331" s="165" t="s">
        <v>16</v>
      </c>
      <c r="AA1331" s="165" t="s">
        <v>16</v>
      </c>
      <c r="AB1331" s="165" t="s">
        <v>16</v>
      </c>
      <c r="AC1331" s="165" t="s">
        <v>16</v>
      </c>
      <c r="AD1331" s="165" t="s">
        <v>148</v>
      </c>
      <c r="AE1331" s="165" t="s">
        <v>2037</v>
      </c>
      <c r="AF1331" s="165"/>
    </row>
    <row r="1335" spans="1:33" x14ac:dyDescent="0.3">
      <c r="A1335" s="165"/>
      <c r="B1335" s="165"/>
      <c r="C1335" s="165"/>
      <c r="D1335" s="165"/>
      <c r="E1335" s="165"/>
      <c r="F1335" s="165" t="s">
        <v>124</v>
      </c>
      <c r="G1335" s="165" t="s">
        <v>125</v>
      </c>
      <c r="H1335" s="165" t="s">
        <v>126</v>
      </c>
      <c r="I1335" s="165" t="s">
        <v>127</v>
      </c>
      <c r="J1335" s="165" t="s">
        <v>214</v>
      </c>
      <c r="K1335" s="165" t="s">
        <v>128</v>
      </c>
      <c r="L1335" s="165" t="s">
        <v>129</v>
      </c>
      <c r="M1335" s="165" t="s">
        <v>130</v>
      </c>
      <c r="N1335" s="165" t="s">
        <v>131</v>
      </c>
      <c r="O1335" s="165" t="s">
        <v>132</v>
      </c>
      <c r="P1335" s="165" t="s">
        <v>133</v>
      </c>
      <c r="Q1335" s="165" t="s">
        <v>134</v>
      </c>
      <c r="R1335" s="165" t="s">
        <v>135</v>
      </c>
      <c r="S1335" s="165" t="s">
        <v>136</v>
      </c>
      <c r="T1335" s="165" t="s">
        <v>137</v>
      </c>
      <c r="U1335" s="165" t="s">
        <v>138</v>
      </c>
      <c r="V1335" s="165" t="s">
        <v>139</v>
      </c>
      <c r="W1335" s="165" t="s">
        <v>140</v>
      </c>
      <c r="X1335" s="165" t="s">
        <v>186</v>
      </c>
      <c r="Y1335" s="165" t="s">
        <v>209</v>
      </c>
      <c r="Z1335" s="165" t="s">
        <v>141</v>
      </c>
      <c r="AA1335" s="165" t="s">
        <v>142</v>
      </c>
      <c r="AB1335" s="165" t="s">
        <v>210</v>
      </c>
      <c r="AC1335" s="165" t="s">
        <v>1180</v>
      </c>
      <c r="AD1335" s="165" t="s">
        <v>144</v>
      </c>
      <c r="AE1335" s="165" t="s">
        <v>2072</v>
      </c>
      <c r="AF1335" s="165" t="s">
        <v>190</v>
      </c>
      <c r="AG1335" s="165"/>
    </row>
    <row r="1336" spans="1:33" x14ac:dyDescent="0.3">
      <c r="A1336" s="165" t="s">
        <v>2109</v>
      </c>
      <c r="B1336" s="165" t="s">
        <v>14</v>
      </c>
      <c r="C1336" s="165" t="s">
        <v>2074</v>
      </c>
      <c r="D1336" s="165" t="s">
        <v>15</v>
      </c>
      <c r="E1336" s="157">
        <v>41669</v>
      </c>
      <c r="F1336" s="165" t="s">
        <v>16</v>
      </c>
      <c r="G1336" s="165" t="s">
        <v>16</v>
      </c>
      <c r="H1336" s="165" t="s">
        <v>16</v>
      </c>
      <c r="I1336" s="165" t="s">
        <v>148</v>
      </c>
      <c r="J1336" s="165" t="s">
        <v>16</v>
      </c>
      <c r="K1336" s="165" t="s">
        <v>16</v>
      </c>
      <c r="L1336" s="165" t="s">
        <v>148</v>
      </c>
      <c r="M1336" s="165" t="s">
        <v>16</v>
      </c>
      <c r="N1336" s="165" t="s">
        <v>148</v>
      </c>
      <c r="O1336" s="165" t="s">
        <v>16</v>
      </c>
      <c r="P1336" s="165" t="s">
        <v>148</v>
      </c>
      <c r="Q1336" s="165" t="s">
        <v>16</v>
      </c>
      <c r="R1336" s="165" t="s">
        <v>16</v>
      </c>
      <c r="S1336" s="165" t="s">
        <v>16</v>
      </c>
      <c r="T1336" s="165" t="s">
        <v>148</v>
      </c>
      <c r="U1336" s="165" t="s">
        <v>148</v>
      </c>
      <c r="V1336" s="165" t="s">
        <v>148</v>
      </c>
      <c r="W1336" s="165" t="s">
        <v>16</v>
      </c>
      <c r="X1336" s="165" t="s">
        <v>148</v>
      </c>
      <c r="Y1336" s="165" t="s">
        <v>16</v>
      </c>
      <c r="Z1336" s="165" t="s">
        <v>148</v>
      </c>
      <c r="AA1336" s="165" t="s">
        <v>16</v>
      </c>
      <c r="AB1336" s="165" t="s">
        <v>16</v>
      </c>
      <c r="AC1336" s="165" t="s">
        <v>16</v>
      </c>
      <c r="AD1336" s="165" t="s">
        <v>16</v>
      </c>
      <c r="AE1336" s="165" t="s">
        <v>2077</v>
      </c>
      <c r="AF1336" s="165" t="s">
        <v>2110</v>
      </c>
      <c r="AG1336" s="165"/>
    </row>
    <row r="1337" spans="1:33" x14ac:dyDescent="0.3">
      <c r="A1337" s="165" t="s">
        <v>2111</v>
      </c>
      <c r="B1337" s="165" t="s">
        <v>14</v>
      </c>
      <c r="C1337" s="165" t="s">
        <v>2074</v>
      </c>
      <c r="D1337" s="165" t="s">
        <v>15</v>
      </c>
      <c r="E1337" s="157">
        <v>41669</v>
      </c>
      <c r="F1337" s="165" t="s">
        <v>16</v>
      </c>
      <c r="G1337" s="165" t="s">
        <v>16</v>
      </c>
      <c r="H1337" s="165" t="s">
        <v>16</v>
      </c>
      <c r="I1337" s="165" t="s">
        <v>149</v>
      </c>
      <c r="J1337" s="165" t="s">
        <v>16</v>
      </c>
      <c r="K1337" s="165" t="s">
        <v>149</v>
      </c>
      <c r="L1337" s="165" t="s">
        <v>149</v>
      </c>
      <c r="M1337" s="165" t="s">
        <v>16</v>
      </c>
      <c r="N1337" s="165" t="s">
        <v>149</v>
      </c>
      <c r="O1337" s="165" t="s">
        <v>16</v>
      </c>
      <c r="P1337" s="165" t="s">
        <v>16</v>
      </c>
      <c r="Q1337" s="165" t="s">
        <v>16</v>
      </c>
      <c r="R1337" s="165" t="s">
        <v>16</v>
      </c>
      <c r="S1337" s="165" t="s">
        <v>148</v>
      </c>
      <c r="T1337" s="165" t="s">
        <v>16</v>
      </c>
      <c r="U1337" s="165" t="s">
        <v>16</v>
      </c>
      <c r="V1337" s="165" t="s">
        <v>16</v>
      </c>
      <c r="W1337" s="165" t="s">
        <v>16</v>
      </c>
      <c r="X1337" s="165" t="s">
        <v>16</v>
      </c>
      <c r="Y1337" s="165" t="s">
        <v>16</v>
      </c>
      <c r="Z1337" s="165" t="s">
        <v>16</v>
      </c>
      <c r="AA1337" s="165" t="s">
        <v>16</v>
      </c>
      <c r="AB1337" s="165" t="s">
        <v>16</v>
      </c>
      <c r="AC1337" s="165" t="s">
        <v>16</v>
      </c>
      <c r="AD1337" s="165" t="s">
        <v>16</v>
      </c>
      <c r="AE1337" s="165" t="s">
        <v>2075</v>
      </c>
      <c r="AF1337" s="165"/>
      <c r="AG1337" s="165"/>
    </row>
    <row r="1338" spans="1:33" x14ac:dyDescent="0.3">
      <c r="A1338" s="165" t="s">
        <v>2112</v>
      </c>
      <c r="B1338" s="165" t="s">
        <v>14</v>
      </c>
      <c r="C1338" s="165" t="s">
        <v>2074</v>
      </c>
      <c r="D1338" s="165" t="s">
        <v>15</v>
      </c>
      <c r="E1338" s="157">
        <v>41669</v>
      </c>
      <c r="F1338" s="165" t="s">
        <v>16</v>
      </c>
      <c r="G1338" s="165" t="s">
        <v>16</v>
      </c>
      <c r="H1338" s="165" t="s">
        <v>16</v>
      </c>
      <c r="I1338" s="165" t="s">
        <v>16</v>
      </c>
      <c r="J1338" s="165" t="s">
        <v>16</v>
      </c>
      <c r="K1338" s="165" t="s">
        <v>16</v>
      </c>
      <c r="L1338" s="165" t="s">
        <v>16</v>
      </c>
      <c r="M1338" s="165" t="s">
        <v>16</v>
      </c>
      <c r="N1338" s="165" t="s">
        <v>16</v>
      </c>
      <c r="O1338" s="165" t="s">
        <v>16</v>
      </c>
      <c r="P1338" s="165" t="s">
        <v>148</v>
      </c>
      <c r="Q1338" s="165" t="s">
        <v>16</v>
      </c>
      <c r="R1338" s="165" t="s">
        <v>148</v>
      </c>
      <c r="S1338" s="165" t="s">
        <v>16</v>
      </c>
      <c r="T1338" s="165" t="s">
        <v>16</v>
      </c>
      <c r="U1338" s="165" t="s">
        <v>16</v>
      </c>
      <c r="V1338" s="165" t="s">
        <v>148</v>
      </c>
      <c r="W1338" s="165" t="s">
        <v>16</v>
      </c>
      <c r="X1338" s="165" t="s">
        <v>148</v>
      </c>
      <c r="Y1338" s="165" t="s">
        <v>148</v>
      </c>
      <c r="Z1338" s="165" t="s">
        <v>148</v>
      </c>
      <c r="AA1338" s="165" t="s">
        <v>148</v>
      </c>
      <c r="AB1338" s="165" t="s">
        <v>16</v>
      </c>
      <c r="AC1338" s="165" t="s">
        <v>148</v>
      </c>
      <c r="AD1338" s="165" t="s">
        <v>148</v>
      </c>
      <c r="AE1338" s="165" t="s">
        <v>2075</v>
      </c>
      <c r="AF1338" s="165"/>
      <c r="AG1338" s="165"/>
    </row>
    <row r="1339" spans="1:33" x14ac:dyDescent="0.3">
      <c r="A1339" s="165" t="s">
        <v>2073</v>
      </c>
      <c r="B1339" s="165" t="s">
        <v>14</v>
      </c>
      <c r="C1339" s="165" t="s">
        <v>2074</v>
      </c>
      <c r="D1339" s="165" t="s">
        <v>15</v>
      </c>
      <c r="E1339" s="157">
        <v>41669</v>
      </c>
      <c r="F1339" s="165" t="s">
        <v>16</v>
      </c>
      <c r="G1339" s="165" t="s">
        <v>16</v>
      </c>
      <c r="H1339" s="165" t="s">
        <v>16</v>
      </c>
      <c r="I1339" s="165" t="s">
        <v>16</v>
      </c>
      <c r="J1339" s="165" t="s">
        <v>16</v>
      </c>
      <c r="K1339" s="165" t="s">
        <v>16</v>
      </c>
      <c r="L1339" s="165" t="s">
        <v>16</v>
      </c>
      <c r="M1339" s="165" t="s">
        <v>16</v>
      </c>
      <c r="N1339" s="165" t="s">
        <v>16</v>
      </c>
      <c r="O1339" s="165" t="s">
        <v>16</v>
      </c>
      <c r="P1339" s="165" t="s">
        <v>16</v>
      </c>
      <c r="Q1339" s="165" t="s">
        <v>16</v>
      </c>
      <c r="R1339" s="165" t="s">
        <v>16</v>
      </c>
      <c r="S1339" s="165" t="s">
        <v>16</v>
      </c>
      <c r="T1339" s="165" t="s">
        <v>16</v>
      </c>
      <c r="U1339" s="165" t="s">
        <v>16</v>
      </c>
      <c r="V1339" s="165" t="s">
        <v>16</v>
      </c>
      <c r="W1339" s="165" t="s">
        <v>16</v>
      </c>
      <c r="X1339" s="165" t="s">
        <v>16</v>
      </c>
      <c r="Y1339" s="165" t="s">
        <v>16</v>
      </c>
      <c r="Z1339" s="165" t="s">
        <v>16</v>
      </c>
      <c r="AA1339" s="165" t="s">
        <v>16</v>
      </c>
      <c r="AB1339" s="165" t="s">
        <v>16</v>
      </c>
      <c r="AC1339" s="165" t="s">
        <v>16</v>
      </c>
      <c r="AD1339" s="165" t="s">
        <v>16</v>
      </c>
      <c r="AE1339" s="165" t="s">
        <v>2075</v>
      </c>
      <c r="AF1339" s="165"/>
      <c r="AG1339" s="165"/>
    </row>
    <row r="1340" spans="1:33" x14ac:dyDescent="0.3">
      <c r="A1340" s="165" t="s">
        <v>2076</v>
      </c>
      <c r="B1340" s="165" t="s">
        <v>14</v>
      </c>
      <c r="C1340" s="165" t="s">
        <v>2074</v>
      </c>
      <c r="D1340" s="165" t="s">
        <v>15</v>
      </c>
      <c r="E1340" s="157">
        <v>41669</v>
      </c>
      <c r="F1340" s="165" t="s">
        <v>149</v>
      </c>
      <c r="G1340" s="165" t="s">
        <v>148</v>
      </c>
      <c r="H1340" s="165" t="s">
        <v>16</v>
      </c>
      <c r="I1340" s="165" t="s">
        <v>148</v>
      </c>
      <c r="J1340" s="165" t="s">
        <v>16</v>
      </c>
      <c r="K1340" s="165" t="s">
        <v>150</v>
      </c>
      <c r="L1340" s="165" t="s">
        <v>148</v>
      </c>
      <c r="M1340" s="165" t="s">
        <v>16</v>
      </c>
      <c r="N1340" s="165" t="s">
        <v>148</v>
      </c>
      <c r="O1340" s="165" t="s">
        <v>16</v>
      </c>
      <c r="P1340" s="165" t="s">
        <v>16</v>
      </c>
      <c r="Q1340" s="165" t="s">
        <v>148</v>
      </c>
      <c r="R1340" s="165" t="s">
        <v>16</v>
      </c>
      <c r="S1340" s="165" t="s">
        <v>148</v>
      </c>
      <c r="T1340" s="165" t="s">
        <v>148</v>
      </c>
      <c r="U1340" s="165" t="s">
        <v>16</v>
      </c>
      <c r="V1340" s="165" t="s">
        <v>16</v>
      </c>
      <c r="W1340" s="165" t="s">
        <v>150</v>
      </c>
      <c r="X1340" s="165" t="s">
        <v>16</v>
      </c>
      <c r="Y1340" s="165" t="s">
        <v>148</v>
      </c>
      <c r="Z1340" s="165" t="s">
        <v>148</v>
      </c>
      <c r="AA1340" s="165" t="s">
        <v>148</v>
      </c>
      <c r="AB1340" s="165" t="s">
        <v>16</v>
      </c>
      <c r="AC1340" s="165" t="s">
        <v>148</v>
      </c>
      <c r="AD1340" s="165" t="s">
        <v>16</v>
      </c>
      <c r="AE1340" s="165" t="s">
        <v>2077</v>
      </c>
      <c r="AF1340" s="165" t="s">
        <v>2078</v>
      </c>
      <c r="AG1340" s="165"/>
    </row>
    <row r="1341" spans="1:33" x14ac:dyDescent="0.3">
      <c r="A1341" s="165" t="s">
        <v>2079</v>
      </c>
      <c r="B1341" s="165" t="s">
        <v>14</v>
      </c>
      <c r="C1341" s="165" t="s">
        <v>2074</v>
      </c>
      <c r="D1341" s="165" t="s">
        <v>15</v>
      </c>
      <c r="E1341" s="157">
        <v>41669</v>
      </c>
      <c r="F1341" s="165" t="s">
        <v>16</v>
      </c>
      <c r="G1341" s="165" t="s">
        <v>16</v>
      </c>
      <c r="H1341" s="165" t="s">
        <v>16</v>
      </c>
      <c r="I1341" s="165" t="s">
        <v>16</v>
      </c>
      <c r="J1341" s="165" t="s">
        <v>16</v>
      </c>
      <c r="K1341" s="165" t="s">
        <v>16</v>
      </c>
      <c r="L1341" s="165" t="s">
        <v>16</v>
      </c>
      <c r="M1341" s="165" t="s">
        <v>16</v>
      </c>
      <c r="N1341" s="165" t="s">
        <v>16</v>
      </c>
      <c r="O1341" s="165" t="s">
        <v>16</v>
      </c>
      <c r="P1341" s="165" t="s">
        <v>16</v>
      </c>
      <c r="Q1341" s="165" t="s">
        <v>16</v>
      </c>
      <c r="R1341" s="165" t="s">
        <v>16</v>
      </c>
      <c r="S1341" s="165" t="s">
        <v>16</v>
      </c>
      <c r="T1341" s="165" t="s">
        <v>16</v>
      </c>
      <c r="U1341" s="165" t="s">
        <v>16</v>
      </c>
      <c r="V1341" s="165" t="s">
        <v>16</v>
      </c>
      <c r="W1341" s="165" t="s">
        <v>16</v>
      </c>
      <c r="X1341" s="165" t="s">
        <v>16</v>
      </c>
      <c r="Y1341" s="165" t="s">
        <v>16</v>
      </c>
      <c r="Z1341" s="165" t="s">
        <v>16</v>
      </c>
      <c r="AA1341" s="165" t="s">
        <v>16</v>
      </c>
      <c r="AB1341" s="165" t="s">
        <v>16</v>
      </c>
      <c r="AC1341" s="165" t="s">
        <v>16</v>
      </c>
      <c r="AD1341" s="165" t="s">
        <v>16</v>
      </c>
      <c r="AE1341" s="165" t="s">
        <v>2077</v>
      </c>
      <c r="AF1341" s="165"/>
      <c r="AG1341" s="165"/>
    </row>
    <row r="1342" spans="1:33" x14ac:dyDescent="0.3">
      <c r="A1342" s="165" t="s">
        <v>2080</v>
      </c>
      <c r="B1342" s="165" t="s">
        <v>14</v>
      </c>
      <c r="C1342" s="165" t="s">
        <v>2074</v>
      </c>
      <c r="D1342" s="165" t="s">
        <v>15</v>
      </c>
      <c r="E1342" s="157">
        <v>41669</v>
      </c>
      <c r="F1342" s="165" t="s">
        <v>16</v>
      </c>
      <c r="G1342" s="165" t="s">
        <v>148</v>
      </c>
      <c r="H1342" s="165" t="s">
        <v>16</v>
      </c>
      <c r="I1342" s="165" t="s">
        <v>16</v>
      </c>
      <c r="J1342" s="165" t="s">
        <v>148</v>
      </c>
      <c r="K1342" s="165" t="s">
        <v>16</v>
      </c>
      <c r="L1342" s="165" t="s">
        <v>16</v>
      </c>
      <c r="M1342" s="165" t="s">
        <v>16</v>
      </c>
      <c r="N1342" s="165" t="s">
        <v>16</v>
      </c>
      <c r="O1342" s="165" t="s">
        <v>16</v>
      </c>
      <c r="P1342" s="165" t="s">
        <v>148</v>
      </c>
      <c r="Q1342" s="165" t="s">
        <v>148</v>
      </c>
      <c r="R1342" s="165" t="s">
        <v>16</v>
      </c>
      <c r="S1342" s="165" t="s">
        <v>148</v>
      </c>
      <c r="T1342" s="165" t="s">
        <v>148</v>
      </c>
      <c r="U1342" s="165" t="s">
        <v>148</v>
      </c>
      <c r="V1342" s="165" t="s">
        <v>16</v>
      </c>
      <c r="W1342" s="165" t="s">
        <v>16</v>
      </c>
      <c r="X1342" s="165" t="s">
        <v>16</v>
      </c>
      <c r="Y1342" s="165" t="s">
        <v>16</v>
      </c>
      <c r="Z1342" s="165" t="s">
        <v>148</v>
      </c>
      <c r="AA1342" s="165" t="s">
        <v>148</v>
      </c>
      <c r="AB1342" s="165" t="s">
        <v>16</v>
      </c>
      <c r="AC1342" s="165" t="s">
        <v>16</v>
      </c>
      <c r="AD1342" s="165" t="s">
        <v>16</v>
      </c>
      <c r="AE1342" s="165" t="s">
        <v>2077</v>
      </c>
      <c r="AF1342" s="165"/>
      <c r="AG1342" s="165"/>
    </row>
    <row r="1343" spans="1:33" x14ac:dyDescent="0.3">
      <c r="A1343" s="165" t="s">
        <v>2081</v>
      </c>
      <c r="B1343" s="165" t="s">
        <v>14</v>
      </c>
      <c r="C1343" s="165" t="s">
        <v>2074</v>
      </c>
      <c r="D1343" s="165" t="s">
        <v>15</v>
      </c>
      <c r="E1343" s="157">
        <v>41669</v>
      </c>
      <c r="F1343" s="165" t="s">
        <v>151</v>
      </c>
      <c r="G1343" s="165" t="s">
        <v>151</v>
      </c>
      <c r="H1343" s="165" t="s">
        <v>151</v>
      </c>
      <c r="I1343" s="165" t="s">
        <v>151</v>
      </c>
      <c r="J1343" s="165" t="s">
        <v>149</v>
      </c>
      <c r="K1343" s="165" t="s">
        <v>149</v>
      </c>
      <c r="L1343" s="165" t="s">
        <v>16</v>
      </c>
      <c r="M1343" s="165" t="s">
        <v>16</v>
      </c>
      <c r="N1343" s="165" t="s">
        <v>148</v>
      </c>
      <c r="O1343" s="165" t="s">
        <v>16</v>
      </c>
      <c r="P1343" s="165" t="s">
        <v>151</v>
      </c>
      <c r="Q1343" s="165" t="s">
        <v>151</v>
      </c>
      <c r="R1343" s="165" t="s">
        <v>151</v>
      </c>
      <c r="S1343" s="165" t="s">
        <v>16</v>
      </c>
      <c r="T1343" s="165" t="s">
        <v>16</v>
      </c>
      <c r="U1343" s="165" t="s">
        <v>151</v>
      </c>
      <c r="V1343" s="165" t="s">
        <v>151</v>
      </c>
      <c r="W1343" s="165" t="s">
        <v>16</v>
      </c>
      <c r="X1343" s="165" t="s">
        <v>148</v>
      </c>
      <c r="Y1343" s="165" t="s">
        <v>149</v>
      </c>
      <c r="Z1343" s="165" t="s">
        <v>149</v>
      </c>
      <c r="AA1343" s="165" t="s">
        <v>149</v>
      </c>
      <c r="AB1343" s="165" t="s">
        <v>149</v>
      </c>
      <c r="AC1343" s="165" t="s">
        <v>150</v>
      </c>
      <c r="AD1343" s="165" t="s">
        <v>16</v>
      </c>
      <c r="AE1343" s="165" t="s">
        <v>2075</v>
      </c>
      <c r="AF1343" s="165"/>
      <c r="AG1343" s="165"/>
    </row>
    <row r="1344" spans="1:33" x14ac:dyDescent="0.3">
      <c r="A1344" s="165" t="s">
        <v>2082</v>
      </c>
      <c r="B1344" s="165" t="s">
        <v>14</v>
      </c>
      <c r="C1344" s="165" t="s">
        <v>2074</v>
      </c>
      <c r="D1344" s="165" t="s">
        <v>15</v>
      </c>
      <c r="E1344" s="157">
        <v>41669</v>
      </c>
      <c r="F1344" s="165" t="s">
        <v>16</v>
      </c>
      <c r="G1344" s="165" t="s">
        <v>16</v>
      </c>
      <c r="H1344" s="165" t="s">
        <v>16</v>
      </c>
      <c r="I1344" s="165" t="s">
        <v>16</v>
      </c>
      <c r="J1344" s="165" t="s">
        <v>16</v>
      </c>
      <c r="K1344" s="165" t="s">
        <v>16</v>
      </c>
      <c r="L1344" s="165" t="s">
        <v>16</v>
      </c>
      <c r="M1344" s="165" t="s">
        <v>16</v>
      </c>
      <c r="N1344" s="165" t="s">
        <v>16</v>
      </c>
      <c r="O1344" s="165" t="s">
        <v>16</v>
      </c>
      <c r="P1344" s="165" t="s">
        <v>16</v>
      </c>
      <c r="Q1344" s="165" t="s">
        <v>16</v>
      </c>
      <c r="R1344" s="165" t="s">
        <v>16</v>
      </c>
      <c r="S1344" s="165" t="s">
        <v>16</v>
      </c>
      <c r="T1344" s="165" t="s">
        <v>16</v>
      </c>
      <c r="U1344" s="165" t="s">
        <v>16</v>
      </c>
      <c r="V1344" s="165" t="s">
        <v>16</v>
      </c>
      <c r="W1344" s="165" t="s">
        <v>148</v>
      </c>
      <c r="X1344" s="165" t="s">
        <v>16</v>
      </c>
      <c r="Y1344" s="165" t="s">
        <v>16</v>
      </c>
      <c r="Z1344" s="165" t="s">
        <v>16</v>
      </c>
      <c r="AA1344" s="165" t="s">
        <v>148</v>
      </c>
      <c r="AB1344" s="165" t="s">
        <v>16</v>
      </c>
      <c r="AC1344" s="165" t="s">
        <v>16</v>
      </c>
      <c r="AD1344" s="165" t="s">
        <v>16</v>
      </c>
      <c r="AE1344" s="165" t="s">
        <v>2083</v>
      </c>
      <c r="AF1344" s="165"/>
      <c r="AG1344" s="165"/>
    </row>
    <row r="1345" spans="1:33" x14ac:dyDescent="0.3">
      <c r="A1345" s="165" t="s">
        <v>2084</v>
      </c>
      <c r="B1345" s="165" t="s">
        <v>14</v>
      </c>
      <c r="C1345" s="165" t="s">
        <v>2074</v>
      </c>
      <c r="D1345" s="165" t="s">
        <v>15</v>
      </c>
      <c r="E1345" s="157">
        <v>41669</v>
      </c>
      <c r="F1345" s="165" t="s">
        <v>16</v>
      </c>
      <c r="G1345" s="165" t="s">
        <v>149</v>
      </c>
      <c r="H1345" s="165" t="s">
        <v>149</v>
      </c>
      <c r="I1345" s="165" t="s">
        <v>148</v>
      </c>
      <c r="J1345" s="165" t="s">
        <v>148</v>
      </c>
      <c r="K1345" s="165" t="s">
        <v>148</v>
      </c>
      <c r="L1345" s="165" t="s">
        <v>16</v>
      </c>
      <c r="M1345" s="165" t="s">
        <v>148</v>
      </c>
      <c r="N1345" s="165" t="s">
        <v>16</v>
      </c>
      <c r="O1345" s="165" t="s">
        <v>16</v>
      </c>
      <c r="P1345" s="165" t="s">
        <v>148</v>
      </c>
      <c r="Q1345" s="165" t="s">
        <v>16</v>
      </c>
      <c r="R1345" s="165" t="s">
        <v>16</v>
      </c>
      <c r="S1345" s="165" t="s">
        <v>16</v>
      </c>
      <c r="T1345" s="165" t="s">
        <v>16</v>
      </c>
      <c r="U1345" s="165" t="s">
        <v>16</v>
      </c>
      <c r="V1345" s="165" t="s">
        <v>16</v>
      </c>
      <c r="W1345" s="165" t="s">
        <v>148</v>
      </c>
      <c r="X1345" s="165" t="s">
        <v>150</v>
      </c>
      <c r="Y1345" s="165" t="s">
        <v>148</v>
      </c>
      <c r="Z1345" s="165" t="s">
        <v>149</v>
      </c>
      <c r="AA1345" s="165" t="s">
        <v>149</v>
      </c>
      <c r="AB1345" s="165" t="s">
        <v>16</v>
      </c>
      <c r="AC1345" s="165" t="s">
        <v>16</v>
      </c>
      <c r="AD1345" s="165" t="s">
        <v>16</v>
      </c>
      <c r="AE1345" s="165" t="s">
        <v>2077</v>
      </c>
      <c r="AF1345" s="165" t="s">
        <v>2085</v>
      </c>
      <c r="AG1345" s="165"/>
    </row>
    <row r="1346" spans="1:33" x14ac:dyDescent="0.3">
      <c r="A1346" s="165" t="s">
        <v>2086</v>
      </c>
      <c r="B1346" s="165" t="s">
        <v>14</v>
      </c>
      <c r="C1346" s="165" t="s">
        <v>2074</v>
      </c>
      <c r="D1346" s="165" t="s">
        <v>15</v>
      </c>
      <c r="E1346" s="157">
        <v>41669</v>
      </c>
      <c r="F1346" s="165" t="s">
        <v>16</v>
      </c>
      <c r="G1346" s="165" t="s">
        <v>16</v>
      </c>
      <c r="H1346" s="165" t="s">
        <v>16</v>
      </c>
      <c r="I1346" s="165" t="s">
        <v>16</v>
      </c>
      <c r="J1346" s="165" t="s">
        <v>16</v>
      </c>
      <c r="K1346" s="165" t="s">
        <v>16</v>
      </c>
      <c r="L1346" s="165" t="s">
        <v>16</v>
      </c>
      <c r="M1346" s="165" t="s">
        <v>16</v>
      </c>
      <c r="N1346" s="165" t="s">
        <v>16</v>
      </c>
      <c r="O1346" s="165" t="s">
        <v>16</v>
      </c>
      <c r="P1346" s="165" t="s">
        <v>16</v>
      </c>
      <c r="Q1346" s="165" t="s">
        <v>16</v>
      </c>
      <c r="R1346" s="165" t="s">
        <v>16</v>
      </c>
      <c r="S1346" s="165" t="s">
        <v>16</v>
      </c>
      <c r="T1346" s="165" t="s">
        <v>16</v>
      </c>
      <c r="U1346" s="165" t="s">
        <v>16</v>
      </c>
      <c r="V1346" s="165" t="s">
        <v>16</v>
      </c>
      <c r="W1346" s="165" t="s">
        <v>16</v>
      </c>
      <c r="X1346" s="165" t="s">
        <v>16</v>
      </c>
      <c r="Y1346" s="165" t="s">
        <v>16</v>
      </c>
      <c r="Z1346" s="165" t="s">
        <v>16</v>
      </c>
      <c r="AA1346" s="165" t="s">
        <v>16</v>
      </c>
      <c r="AB1346" s="165" t="s">
        <v>16</v>
      </c>
      <c r="AC1346" s="165" t="s">
        <v>16</v>
      </c>
      <c r="AD1346" s="165" t="s">
        <v>16</v>
      </c>
      <c r="AE1346" s="165" t="s">
        <v>2077</v>
      </c>
      <c r="AF1346" s="165"/>
      <c r="AG1346" s="165"/>
    </row>
    <row r="1347" spans="1:33" x14ac:dyDescent="0.3">
      <c r="A1347" s="165" t="s">
        <v>2087</v>
      </c>
      <c r="B1347" s="165" t="s">
        <v>14</v>
      </c>
      <c r="C1347" s="165" t="s">
        <v>2074</v>
      </c>
      <c r="D1347" s="165" t="s">
        <v>15</v>
      </c>
      <c r="E1347" s="157">
        <v>41669</v>
      </c>
      <c r="F1347" s="165" t="s">
        <v>16</v>
      </c>
      <c r="G1347" s="165" t="s">
        <v>16</v>
      </c>
      <c r="H1347" s="165" t="s">
        <v>16</v>
      </c>
      <c r="I1347" s="165" t="s">
        <v>16</v>
      </c>
      <c r="J1347" s="165" t="s">
        <v>16</v>
      </c>
      <c r="K1347" s="165" t="s">
        <v>16</v>
      </c>
      <c r="L1347" s="165" t="s">
        <v>16</v>
      </c>
      <c r="M1347" s="165" t="s">
        <v>16</v>
      </c>
      <c r="N1347" s="165" t="s">
        <v>16</v>
      </c>
      <c r="O1347" s="165" t="s">
        <v>16</v>
      </c>
      <c r="P1347" s="165" t="s">
        <v>16</v>
      </c>
      <c r="Q1347" s="165" t="s">
        <v>16</v>
      </c>
      <c r="R1347" s="165" t="s">
        <v>16</v>
      </c>
      <c r="S1347" s="165" t="s">
        <v>16</v>
      </c>
      <c r="T1347" s="165" t="s">
        <v>16</v>
      </c>
      <c r="U1347" s="165" t="s">
        <v>16</v>
      </c>
      <c r="V1347" s="165" t="s">
        <v>16</v>
      </c>
      <c r="W1347" s="165" t="s">
        <v>16</v>
      </c>
      <c r="X1347" s="165" t="s">
        <v>16</v>
      </c>
      <c r="Y1347" s="165" t="s">
        <v>148</v>
      </c>
      <c r="Z1347" s="165" t="s">
        <v>149</v>
      </c>
      <c r="AA1347" s="165" t="s">
        <v>16</v>
      </c>
      <c r="AB1347" s="165" t="s">
        <v>114</v>
      </c>
      <c r="AC1347" s="165" t="s">
        <v>114</v>
      </c>
      <c r="AD1347" s="165" t="s">
        <v>16</v>
      </c>
      <c r="AE1347" s="165" t="s">
        <v>2077</v>
      </c>
      <c r="AF1347" s="165"/>
      <c r="AG1347" s="165"/>
    </row>
    <row r="1348" spans="1:33" x14ac:dyDescent="0.3">
      <c r="A1348" s="165" t="s">
        <v>2088</v>
      </c>
      <c r="B1348" s="165" t="s">
        <v>14</v>
      </c>
      <c r="C1348" s="165" t="s">
        <v>2074</v>
      </c>
      <c r="D1348" s="165" t="s">
        <v>15</v>
      </c>
      <c r="E1348" s="157">
        <v>41669</v>
      </c>
      <c r="F1348" s="165" t="s">
        <v>16</v>
      </c>
      <c r="G1348" s="165" t="s">
        <v>16</v>
      </c>
      <c r="H1348" s="165" t="s">
        <v>16</v>
      </c>
      <c r="I1348" s="165" t="s">
        <v>16</v>
      </c>
      <c r="J1348" s="165" t="s">
        <v>16</v>
      </c>
      <c r="K1348" s="165" t="s">
        <v>16</v>
      </c>
      <c r="L1348" s="165" t="s">
        <v>16</v>
      </c>
      <c r="M1348" s="165" t="s">
        <v>148</v>
      </c>
      <c r="N1348" s="165" t="s">
        <v>16</v>
      </c>
      <c r="O1348" s="165" t="s">
        <v>16</v>
      </c>
      <c r="P1348" s="165" t="s">
        <v>16</v>
      </c>
      <c r="Q1348" s="165" t="s">
        <v>16</v>
      </c>
      <c r="R1348" s="165" t="s">
        <v>16</v>
      </c>
      <c r="S1348" s="165" t="s">
        <v>148</v>
      </c>
      <c r="T1348" s="165" t="s">
        <v>148</v>
      </c>
      <c r="U1348" s="165" t="s">
        <v>16</v>
      </c>
      <c r="V1348" s="165" t="s">
        <v>148</v>
      </c>
      <c r="W1348" s="165" t="s">
        <v>148</v>
      </c>
      <c r="X1348" s="165" t="s">
        <v>16</v>
      </c>
      <c r="Y1348" s="165" t="s">
        <v>16</v>
      </c>
      <c r="Z1348" s="165" t="s">
        <v>149</v>
      </c>
      <c r="AA1348" s="165" t="s">
        <v>16</v>
      </c>
      <c r="AB1348" s="165" t="s">
        <v>16</v>
      </c>
      <c r="AC1348" s="165" t="s">
        <v>16</v>
      </c>
      <c r="AD1348" s="165" t="s">
        <v>148</v>
      </c>
      <c r="AE1348" s="165" t="s">
        <v>2075</v>
      </c>
      <c r="AF1348" s="165"/>
      <c r="AG1348" s="165"/>
    </row>
    <row r="1349" spans="1:33" x14ac:dyDescent="0.3">
      <c r="A1349" s="165" t="s">
        <v>2089</v>
      </c>
      <c r="B1349" s="165" t="s">
        <v>14</v>
      </c>
      <c r="C1349" s="165" t="s">
        <v>2074</v>
      </c>
      <c r="D1349" s="165" t="s">
        <v>15</v>
      </c>
      <c r="E1349" s="157">
        <v>41669</v>
      </c>
      <c r="F1349" s="165" t="s">
        <v>16</v>
      </c>
      <c r="G1349" s="165" t="s">
        <v>16</v>
      </c>
      <c r="H1349" s="165" t="s">
        <v>16</v>
      </c>
      <c r="I1349" s="165" t="s">
        <v>148</v>
      </c>
      <c r="J1349" s="165" t="s">
        <v>148</v>
      </c>
      <c r="K1349" s="165" t="s">
        <v>16</v>
      </c>
      <c r="L1349" s="165" t="s">
        <v>16</v>
      </c>
      <c r="M1349" s="165" t="s">
        <v>148</v>
      </c>
      <c r="N1349" s="165" t="s">
        <v>16</v>
      </c>
      <c r="O1349" s="165" t="s">
        <v>148</v>
      </c>
      <c r="P1349" s="165" t="s">
        <v>148</v>
      </c>
      <c r="Q1349" s="165" t="s">
        <v>16</v>
      </c>
      <c r="R1349" s="165" t="s">
        <v>16</v>
      </c>
      <c r="S1349" s="165" t="s">
        <v>16</v>
      </c>
      <c r="T1349" s="165" t="s">
        <v>148</v>
      </c>
      <c r="U1349" s="165" t="s">
        <v>148</v>
      </c>
      <c r="V1349" s="165" t="s">
        <v>16</v>
      </c>
      <c r="W1349" s="165" t="s">
        <v>148</v>
      </c>
      <c r="X1349" s="165" t="s">
        <v>16</v>
      </c>
      <c r="Y1349" s="165" t="s">
        <v>16</v>
      </c>
      <c r="Z1349" s="165" t="s">
        <v>16</v>
      </c>
      <c r="AA1349" s="165" t="s">
        <v>16</v>
      </c>
      <c r="AB1349" s="165" t="s">
        <v>16</v>
      </c>
      <c r="AC1349" s="165" t="s">
        <v>148</v>
      </c>
      <c r="AD1349" s="165" t="s">
        <v>16</v>
      </c>
      <c r="AE1349" s="165" t="s">
        <v>2075</v>
      </c>
      <c r="AF1349" s="165"/>
      <c r="AG1349" s="165"/>
    </row>
    <row r="1350" spans="1:33" x14ac:dyDescent="0.3">
      <c r="A1350" s="165" t="s">
        <v>2090</v>
      </c>
      <c r="B1350" s="165" t="s">
        <v>14</v>
      </c>
      <c r="C1350" s="165" t="s">
        <v>2074</v>
      </c>
      <c r="D1350" s="165" t="s">
        <v>15</v>
      </c>
      <c r="E1350" s="157">
        <v>41669</v>
      </c>
      <c r="F1350" s="165" t="s">
        <v>149</v>
      </c>
      <c r="G1350" s="165" t="s">
        <v>114</v>
      </c>
      <c r="H1350" s="165" t="s">
        <v>16</v>
      </c>
      <c r="I1350" s="165" t="s">
        <v>16</v>
      </c>
      <c r="J1350" s="165" t="s">
        <v>16</v>
      </c>
      <c r="K1350" s="165" t="s">
        <v>16</v>
      </c>
      <c r="L1350" s="165" t="s">
        <v>16</v>
      </c>
      <c r="M1350" s="165" t="s">
        <v>16</v>
      </c>
      <c r="N1350" s="165" t="s">
        <v>149</v>
      </c>
      <c r="O1350" s="165" t="s">
        <v>149</v>
      </c>
      <c r="P1350" s="165" t="s">
        <v>16</v>
      </c>
      <c r="Q1350" s="165" t="s">
        <v>149</v>
      </c>
      <c r="R1350" s="165" t="s">
        <v>16</v>
      </c>
      <c r="S1350" s="165" t="s">
        <v>16</v>
      </c>
      <c r="T1350" s="165" t="s">
        <v>16</v>
      </c>
      <c r="U1350" s="165" t="s">
        <v>149</v>
      </c>
      <c r="V1350" s="165" t="s">
        <v>16</v>
      </c>
      <c r="W1350" s="165" t="s">
        <v>16</v>
      </c>
      <c r="X1350" s="165" t="s">
        <v>16</v>
      </c>
      <c r="Y1350" s="165" t="s">
        <v>16</v>
      </c>
      <c r="Z1350" s="165" t="s">
        <v>149</v>
      </c>
      <c r="AA1350" s="165" t="s">
        <v>16</v>
      </c>
      <c r="AB1350" s="165" t="s">
        <v>148</v>
      </c>
      <c r="AC1350" s="165" t="s">
        <v>16</v>
      </c>
      <c r="AD1350" s="165" t="s">
        <v>148</v>
      </c>
      <c r="AE1350" s="165" t="s">
        <v>2075</v>
      </c>
      <c r="AF1350" s="165" t="s">
        <v>2091</v>
      </c>
      <c r="AG1350" s="165"/>
    </row>
    <row r="1351" spans="1:33" x14ac:dyDescent="0.3">
      <c r="A1351" s="165" t="s">
        <v>2092</v>
      </c>
      <c r="B1351" s="165" t="s">
        <v>14</v>
      </c>
      <c r="C1351" s="165" t="s">
        <v>2074</v>
      </c>
      <c r="D1351" s="165" t="s">
        <v>15</v>
      </c>
      <c r="E1351" s="157">
        <v>41669</v>
      </c>
      <c r="F1351" s="165" t="s">
        <v>16</v>
      </c>
      <c r="G1351" s="165" t="s">
        <v>16</v>
      </c>
      <c r="H1351" s="165" t="s">
        <v>149</v>
      </c>
      <c r="I1351" s="165" t="s">
        <v>16</v>
      </c>
      <c r="J1351" s="165" t="s">
        <v>149</v>
      </c>
      <c r="K1351" s="165" t="s">
        <v>149</v>
      </c>
      <c r="L1351" s="165" t="s">
        <v>149</v>
      </c>
      <c r="M1351" s="165" t="s">
        <v>16</v>
      </c>
      <c r="N1351" s="165" t="s">
        <v>148</v>
      </c>
      <c r="O1351" s="165" t="s">
        <v>16</v>
      </c>
      <c r="P1351" s="165" t="s">
        <v>16</v>
      </c>
      <c r="Q1351" s="165" t="s">
        <v>16</v>
      </c>
      <c r="R1351" s="165" t="s">
        <v>149</v>
      </c>
      <c r="S1351" s="165" t="s">
        <v>16</v>
      </c>
      <c r="T1351" s="165" t="s">
        <v>148</v>
      </c>
      <c r="U1351" s="165" t="s">
        <v>16</v>
      </c>
      <c r="V1351" s="165" t="s">
        <v>16</v>
      </c>
      <c r="W1351" s="165" t="s">
        <v>148</v>
      </c>
      <c r="X1351" s="165" t="s">
        <v>16</v>
      </c>
      <c r="Y1351" s="165" t="s">
        <v>148</v>
      </c>
      <c r="Z1351" s="165" t="s">
        <v>148</v>
      </c>
      <c r="AA1351" s="165" t="s">
        <v>16</v>
      </c>
      <c r="AB1351" s="165" t="s">
        <v>16</v>
      </c>
      <c r="AC1351" s="165" t="s">
        <v>16</v>
      </c>
      <c r="AD1351" s="165" t="s">
        <v>16</v>
      </c>
      <c r="AE1351" s="165" t="s">
        <v>2075</v>
      </c>
      <c r="AF1351" s="165"/>
      <c r="AG1351" s="165"/>
    </row>
    <row r="1352" spans="1:33" x14ac:dyDescent="0.3">
      <c r="A1352" s="165" t="s">
        <v>2093</v>
      </c>
      <c r="B1352" s="165" t="s">
        <v>14</v>
      </c>
      <c r="C1352" s="165" t="s">
        <v>2074</v>
      </c>
      <c r="D1352" s="165" t="s">
        <v>15</v>
      </c>
      <c r="E1352" s="157">
        <v>41669</v>
      </c>
      <c r="F1352" s="165" t="s">
        <v>16</v>
      </c>
      <c r="G1352" s="165" t="s">
        <v>16</v>
      </c>
      <c r="H1352" s="165" t="s">
        <v>16</v>
      </c>
      <c r="I1352" s="165" t="s">
        <v>16</v>
      </c>
      <c r="J1352" s="165" t="s">
        <v>16</v>
      </c>
      <c r="K1352" s="165" t="s">
        <v>16</v>
      </c>
      <c r="L1352" s="165" t="s">
        <v>16</v>
      </c>
      <c r="M1352" s="165" t="s">
        <v>148</v>
      </c>
      <c r="N1352" s="165" t="s">
        <v>16</v>
      </c>
      <c r="O1352" s="165" t="s">
        <v>16</v>
      </c>
      <c r="P1352" s="165" t="s">
        <v>148</v>
      </c>
      <c r="Q1352" s="165" t="s">
        <v>16</v>
      </c>
      <c r="R1352" s="165" t="s">
        <v>16</v>
      </c>
      <c r="S1352" s="165" t="s">
        <v>16</v>
      </c>
      <c r="T1352" s="165" t="s">
        <v>16</v>
      </c>
      <c r="U1352" s="165" t="s">
        <v>148</v>
      </c>
      <c r="V1352" s="165" t="s">
        <v>16</v>
      </c>
      <c r="W1352" s="165" t="s">
        <v>16</v>
      </c>
      <c r="X1352" s="165" t="s">
        <v>16</v>
      </c>
      <c r="Y1352" s="165" t="s">
        <v>148</v>
      </c>
      <c r="Z1352" s="165" t="s">
        <v>16</v>
      </c>
      <c r="AA1352" s="165" t="s">
        <v>16</v>
      </c>
      <c r="AB1352" s="165" t="s">
        <v>16</v>
      </c>
      <c r="AC1352" s="165" t="s">
        <v>16</v>
      </c>
      <c r="AD1352" s="165" t="s">
        <v>16</v>
      </c>
      <c r="AE1352" s="165" t="s">
        <v>2077</v>
      </c>
      <c r="AF1352" s="165"/>
      <c r="AG1352" s="165"/>
    </row>
    <row r="1353" spans="1:33" x14ac:dyDescent="0.3">
      <c r="A1353" s="165" t="s">
        <v>2094</v>
      </c>
      <c r="B1353" s="165" t="s">
        <v>14</v>
      </c>
      <c r="C1353" s="165" t="s">
        <v>2074</v>
      </c>
      <c r="D1353" s="165" t="s">
        <v>15</v>
      </c>
      <c r="E1353" s="157">
        <v>41669</v>
      </c>
      <c r="F1353" s="165" t="s">
        <v>16</v>
      </c>
      <c r="G1353" s="165" t="s">
        <v>16</v>
      </c>
      <c r="H1353" s="165" t="s">
        <v>16</v>
      </c>
      <c r="I1353" s="165" t="s">
        <v>16</v>
      </c>
      <c r="J1353" s="165" t="s">
        <v>16</v>
      </c>
      <c r="K1353" s="165" t="s">
        <v>16</v>
      </c>
      <c r="L1353" s="165" t="s">
        <v>16</v>
      </c>
      <c r="M1353" s="165" t="s">
        <v>16</v>
      </c>
      <c r="N1353" s="165" t="s">
        <v>16</v>
      </c>
      <c r="O1353" s="165" t="s">
        <v>16</v>
      </c>
      <c r="P1353" s="165" t="s">
        <v>16</v>
      </c>
      <c r="Q1353" s="165" t="s">
        <v>16</v>
      </c>
      <c r="R1353" s="165" t="s">
        <v>16</v>
      </c>
      <c r="S1353" s="165" t="s">
        <v>16</v>
      </c>
      <c r="T1353" s="165" t="s">
        <v>16</v>
      </c>
      <c r="U1353" s="165" t="s">
        <v>16</v>
      </c>
      <c r="V1353" s="165" t="s">
        <v>16</v>
      </c>
      <c r="W1353" s="165" t="s">
        <v>16</v>
      </c>
      <c r="X1353" s="165" t="s">
        <v>16</v>
      </c>
      <c r="Y1353" s="165" t="s">
        <v>16</v>
      </c>
      <c r="Z1353" s="165" t="s">
        <v>16</v>
      </c>
      <c r="AA1353" s="165" t="s">
        <v>16</v>
      </c>
      <c r="AB1353" s="165" t="s">
        <v>16</v>
      </c>
      <c r="AC1353" s="165" t="s">
        <v>16</v>
      </c>
      <c r="AD1353" s="165" t="s">
        <v>16</v>
      </c>
      <c r="AE1353" s="165" t="s">
        <v>2077</v>
      </c>
      <c r="AF1353" s="165"/>
      <c r="AG1353" s="165"/>
    </row>
    <row r="1354" spans="1:33" x14ac:dyDescent="0.3">
      <c r="A1354" s="165" t="s">
        <v>2095</v>
      </c>
      <c r="B1354" s="165" t="s">
        <v>14</v>
      </c>
      <c r="C1354" s="165" t="s">
        <v>2074</v>
      </c>
      <c r="D1354" s="165" t="s">
        <v>15</v>
      </c>
      <c r="E1354" s="157">
        <v>41669</v>
      </c>
      <c r="F1354" s="165" t="s">
        <v>16</v>
      </c>
      <c r="G1354" s="165" t="s">
        <v>16</v>
      </c>
      <c r="H1354" s="165" t="s">
        <v>16</v>
      </c>
      <c r="I1354" s="165" t="s">
        <v>16</v>
      </c>
      <c r="J1354" s="165" t="s">
        <v>16</v>
      </c>
      <c r="K1354" s="165" t="s">
        <v>16</v>
      </c>
      <c r="L1354" s="165" t="s">
        <v>16</v>
      </c>
      <c r="M1354" s="165" t="s">
        <v>16</v>
      </c>
      <c r="N1354" s="165" t="s">
        <v>148</v>
      </c>
      <c r="O1354" s="165" t="s">
        <v>16</v>
      </c>
      <c r="P1354" s="165" t="s">
        <v>16</v>
      </c>
      <c r="Q1354" s="165" t="s">
        <v>16</v>
      </c>
      <c r="R1354" s="165" t="s">
        <v>16</v>
      </c>
      <c r="S1354" s="165" t="s">
        <v>16</v>
      </c>
      <c r="T1354" s="165" t="s">
        <v>148</v>
      </c>
      <c r="U1354" s="165" t="s">
        <v>16</v>
      </c>
      <c r="V1354" s="165" t="s">
        <v>148</v>
      </c>
      <c r="W1354" s="165" t="s">
        <v>16</v>
      </c>
      <c r="X1354" s="165" t="s">
        <v>16</v>
      </c>
      <c r="Y1354" s="165" t="s">
        <v>16</v>
      </c>
      <c r="Z1354" s="165" t="s">
        <v>16</v>
      </c>
      <c r="AA1354" s="165" t="s">
        <v>16</v>
      </c>
      <c r="AB1354" s="165" t="s">
        <v>16</v>
      </c>
      <c r="AC1354" s="165" t="s">
        <v>16</v>
      </c>
      <c r="AD1354" s="165" t="s">
        <v>16</v>
      </c>
      <c r="AE1354" s="165"/>
      <c r="AF1354" s="165"/>
      <c r="AG1354" s="165"/>
    </row>
    <row r="1355" spans="1:33" x14ac:dyDescent="0.3">
      <c r="A1355" s="165" t="s">
        <v>2096</v>
      </c>
      <c r="B1355" s="165" t="s">
        <v>14</v>
      </c>
      <c r="C1355" s="165" t="s">
        <v>2074</v>
      </c>
      <c r="D1355" s="165" t="s">
        <v>15</v>
      </c>
      <c r="E1355" s="157">
        <v>41669</v>
      </c>
      <c r="F1355" s="165" t="s">
        <v>16</v>
      </c>
      <c r="G1355" s="165" t="s">
        <v>16</v>
      </c>
      <c r="H1355" s="165" t="s">
        <v>16</v>
      </c>
      <c r="I1355" s="165" t="s">
        <v>16</v>
      </c>
      <c r="J1355" s="165" t="s">
        <v>16</v>
      </c>
      <c r="K1355" s="165" t="s">
        <v>16</v>
      </c>
      <c r="L1355" s="165" t="s">
        <v>150</v>
      </c>
      <c r="M1355" s="165" t="s">
        <v>150</v>
      </c>
      <c r="N1355" s="165" t="s">
        <v>148</v>
      </c>
      <c r="O1355" s="165" t="s">
        <v>16</v>
      </c>
      <c r="P1355" s="165" t="s">
        <v>16</v>
      </c>
      <c r="Q1355" s="165" t="s">
        <v>16</v>
      </c>
      <c r="R1355" s="165" t="s">
        <v>16</v>
      </c>
      <c r="S1355" s="165" t="s">
        <v>16</v>
      </c>
      <c r="T1355" s="165" t="s">
        <v>148</v>
      </c>
      <c r="U1355" s="165" t="s">
        <v>150</v>
      </c>
      <c r="V1355" s="165" t="s">
        <v>150</v>
      </c>
      <c r="W1355" s="165" t="s">
        <v>16</v>
      </c>
      <c r="X1355" s="165" t="s">
        <v>148</v>
      </c>
      <c r="Y1355" s="165" t="s">
        <v>16</v>
      </c>
      <c r="Z1355" s="165" t="s">
        <v>16</v>
      </c>
      <c r="AA1355" s="165" t="s">
        <v>148</v>
      </c>
      <c r="AB1355" s="165" t="s">
        <v>148</v>
      </c>
      <c r="AC1355" s="165" t="s">
        <v>148</v>
      </c>
      <c r="AD1355" s="165" t="s">
        <v>16</v>
      </c>
      <c r="AE1355" s="165" t="s">
        <v>2083</v>
      </c>
      <c r="AF1355" s="165"/>
      <c r="AG1355" s="165"/>
    </row>
    <row r="1356" spans="1:33" x14ac:dyDescent="0.3">
      <c r="A1356" s="165" t="s">
        <v>2097</v>
      </c>
      <c r="B1356" s="165" t="s">
        <v>14</v>
      </c>
      <c r="C1356" s="165" t="s">
        <v>2074</v>
      </c>
      <c r="D1356" s="165" t="s">
        <v>15</v>
      </c>
      <c r="E1356" s="157">
        <v>41669</v>
      </c>
      <c r="F1356" s="165" t="s">
        <v>16</v>
      </c>
      <c r="G1356" s="165" t="s">
        <v>16</v>
      </c>
      <c r="H1356" s="165" t="s">
        <v>16</v>
      </c>
      <c r="I1356" s="165" t="s">
        <v>149</v>
      </c>
      <c r="J1356" s="165" t="s">
        <v>16</v>
      </c>
      <c r="K1356" s="165" t="s">
        <v>16</v>
      </c>
      <c r="L1356" s="165" t="s">
        <v>16</v>
      </c>
      <c r="M1356" s="165" t="s">
        <v>16</v>
      </c>
      <c r="N1356" s="165" t="s">
        <v>16</v>
      </c>
      <c r="O1356" s="165" t="s">
        <v>16</v>
      </c>
      <c r="P1356" s="165" t="s">
        <v>16</v>
      </c>
      <c r="Q1356" s="165" t="s">
        <v>16</v>
      </c>
      <c r="R1356" s="165" t="s">
        <v>16</v>
      </c>
      <c r="S1356" s="165" t="s">
        <v>16</v>
      </c>
      <c r="T1356" s="165" t="s">
        <v>16</v>
      </c>
      <c r="U1356" s="165" t="s">
        <v>16</v>
      </c>
      <c r="V1356" s="165" t="s">
        <v>16</v>
      </c>
      <c r="W1356" s="165" t="s">
        <v>16</v>
      </c>
      <c r="X1356" s="165" t="s">
        <v>16</v>
      </c>
      <c r="Y1356" s="165" t="s">
        <v>16</v>
      </c>
      <c r="Z1356" s="165" t="s">
        <v>148</v>
      </c>
      <c r="AA1356" s="165" t="s">
        <v>16</v>
      </c>
      <c r="AB1356" s="165" t="s">
        <v>16</v>
      </c>
      <c r="AC1356" s="165" t="s">
        <v>16</v>
      </c>
      <c r="AD1356" s="165" t="s">
        <v>16</v>
      </c>
      <c r="AE1356" s="165" t="s">
        <v>2098</v>
      </c>
      <c r="AF1356" s="165"/>
      <c r="AG1356" s="165"/>
    </row>
    <row r="1357" spans="1:33" x14ac:dyDescent="0.3">
      <c r="A1357" s="165" t="s">
        <v>2099</v>
      </c>
      <c r="B1357" s="165" t="s">
        <v>14</v>
      </c>
      <c r="C1357" s="165" t="s">
        <v>2074</v>
      </c>
      <c r="D1357" s="165" t="s">
        <v>15</v>
      </c>
      <c r="E1357" s="157">
        <v>41669</v>
      </c>
      <c r="F1357" s="165" t="s">
        <v>16</v>
      </c>
      <c r="G1357" s="165" t="s">
        <v>16</v>
      </c>
      <c r="H1357" s="165" t="s">
        <v>16</v>
      </c>
      <c r="I1357" s="165" t="s">
        <v>16</v>
      </c>
      <c r="J1357" s="165" t="s">
        <v>16</v>
      </c>
      <c r="K1357" s="165" t="s">
        <v>16</v>
      </c>
      <c r="L1357" s="165" t="s">
        <v>16</v>
      </c>
      <c r="M1357" s="165" t="s">
        <v>16</v>
      </c>
      <c r="N1357" s="165" t="s">
        <v>16</v>
      </c>
      <c r="O1357" s="165" t="s">
        <v>151</v>
      </c>
      <c r="P1357" s="165" t="s">
        <v>16</v>
      </c>
      <c r="Q1357" s="165" t="s">
        <v>16</v>
      </c>
      <c r="R1357" s="165" t="s">
        <v>16</v>
      </c>
      <c r="S1357" s="165" t="s">
        <v>16</v>
      </c>
      <c r="T1357" s="165" t="s">
        <v>16</v>
      </c>
      <c r="U1357" s="165" t="s">
        <v>16</v>
      </c>
      <c r="V1357" s="165" t="s">
        <v>16</v>
      </c>
      <c r="W1357" s="165" t="s">
        <v>16</v>
      </c>
      <c r="X1357" s="165" t="s">
        <v>16</v>
      </c>
      <c r="Y1357" s="165" t="s">
        <v>16</v>
      </c>
      <c r="Z1357" s="165" t="s">
        <v>16</v>
      </c>
      <c r="AA1357" s="165" t="s">
        <v>16</v>
      </c>
      <c r="AB1357" s="165" t="s">
        <v>16</v>
      </c>
      <c r="AC1357" s="165" t="s">
        <v>16</v>
      </c>
      <c r="AD1357" s="165" t="s">
        <v>16</v>
      </c>
      <c r="AE1357" s="165" t="s">
        <v>2075</v>
      </c>
      <c r="AF1357" s="165"/>
      <c r="AG1357" s="165"/>
    </row>
    <row r="1358" spans="1:33" x14ac:dyDescent="0.3">
      <c r="A1358" s="165" t="s">
        <v>2100</v>
      </c>
      <c r="B1358" s="165" t="s">
        <v>14</v>
      </c>
      <c r="C1358" s="165" t="s">
        <v>2074</v>
      </c>
      <c r="D1358" s="165" t="s">
        <v>15</v>
      </c>
      <c r="E1358" s="157">
        <v>41669</v>
      </c>
      <c r="F1358" s="165" t="s">
        <v>16</v>
      </c>
      <c r="G1358" s="165" t="s">
        <v>16</v>
      </c>
      <c r="H1358" s="165" t="s">
        <v>16</v>
      </c>
      <c r="I1358" s="165" t="s">
        <v>16</v>
      </c>
      <c r="J1358" s="165" t="s">
        <v>16</v>
      </c>
      <c r="K1358" s="165" t="s">
        <v>16</v>
      </c>
      <c r="L1358" s="165" t="s">
        <v>16</v>
      </c>
      <c r="M1358" s="165" t="s">
        <v>16</v>
      </c>
      <c r="N1358" s="165" t="s">
        <v>16</v>
      </c>
      <c r="O1358" s="165" t="s">
        <v>16</v>
      </c>
      <c r="P1358" s="165" t="s">
        <v>16</v>
      </c>
      <c r="Q1358" s="165" t="s">
        <v>16</v>
      </c>
      <c r="R1358" s="165" t="s">
        <v>16</v>
      </c>
      <c r="S1358" s="165" t="s">
        <v>16</v>
      </c>
      <c r="T1358" s="165" t="s">
        <v>16</v>
      </c>
      <c r="U1358" s="165" t="s">
        <v>16</v>
      </c>
      <c r="V1358" s="165" t="s">
        <v>16</v>
      </c>
      <c r="W1358" s="165" t="s">
        <v>16</v>
      </c>
      <c r="X1358" s="165" t="s">
        <v>16</v>
      </c>
      <c r="Y1358" s="165" t="s">
        <v>16</v>
      </c>
      <c r="Z1358" s="165" t="s">
        <v>16</v>
      </c>
      <c r="AA1358" s="165" t="s">
        <v>16</v>
      </c>
      <c r="AB1358" s="165" t="s">
        <v>16</v>
      </c>
      <c r="AC1358" s="165" t="s">
        <v>16</v>
      </c>
      <c r="AD1358" s="165" t="s">
        <v>16</v>
      </c>
      <c r="AE1358" s="165" t="s">
        <v>2075</v>
      </c>
      <c r="AF1358" s="165"/>
      <c r="AG1358" s="165"/>
    </row>
    <row r="1359" spans="1:33" x14ac:dyDescent="0.3">
      <c r="A1359" s="165" t="s">
        <v>2101</v>
      </c>
      <c r="B1359" s="165" t="s">
        <v>14</v>
      </c>
      <c r="C1359" s="165" t="s">
        <v>2074</v>
      </c>
      <c r="D1359" s="165" t="s">
        <v>15</v>
      </c>
      <c r="E1359" s="157">
        <v>41669</v>
      </c>
      <c r="F1359" s="165" t="s">
        <v>16</v>
      </c>
      <c r="G1359" s="165" t="s">
        <v>16</v>
      </c>
      <c r="H1359" s="165" t="s">
        <v>16</v>
      </c>
      <c r="I1359" s="165" t="s">
        <v>148</v>
      </c>
      <c r="J1359" s="165" t="s">
        <v>16</v>
      </c>
      <c r="K1359" s="165" t="s">
        <v>16</v>
      </c>
      <c r="L1359" s="165" t="s">
        <v>16</v>
      </c>
      <c r="M1359" s="165" t="s">
        <v>148</v>
      </c>
      <c r="N1359" s="165" t="s">
        <v>16</v>
      </c>
      <c r="O1359" s="165" t="s">
        <v>148</v>
      </c>
      <c r="P1359" s="165" t="s">
        <v>148</v>
      </c>
      <c r="Q1359" s="165" t="s">
        <v>16</v>
      </c>
      <c r="R1359" s="165" t="s">
        <v>16</v>
      </c>
      <c r="S1359" s="165" t="s">
        <v>16</v>
      </c>
      <c r="T1359" s="165" t="s">
        <v>16</v>
      </c>
      <c r="U1359" s="165" t="s">
        <v>16</v>
      </c>
      <c r="V1359" s="165" t="s">
        <v>16</v>
      </c>
      <c r="W1359" s="165" t="s">
        <v>16</v>
      </c>
      <c r="X1359" s="165" t="s">
        <v>16</v>
      </c>
      <c r="Y1359" s="165" t="s">
        <v>16</v>
      </c>
      <c r="Z1359" s="165" t="s">
        <v>16</v>
      </c>
      <c r="AA1359" s="165" t="s">
        <v>16</v>
      </c>
      <c r="AB1359" s="165" t="s">
        <v>16</v>
      </c>
      <c r="AC1359" s="165" t="s">
        <v>16</v>
      </c>
      <c r="AD1359" s="165" t="s">
        <v>16</v>
      </c>
      <c r="AE1359" s="165" t="s">
        <v>2102</v>
      </c>
      <c r="AF1359" s="165"/>
      <c r="AG1359" s="165"/>
    </row>
    <row r="1360" spans="1:33" x14ac:dyDescent="0.3">
      <c r="A1360" s="165" t="s">
        <v>2103</v>
      </c>
      <c r="B1360" s="165" t="s">
        <v>14</v>
      </c>
      <c r="C1360" s="165" t="s">
        <v>2074</v>
      </c>
      <c r="D1360" s="165" t="s">
        <v>15</v>
      </c>
      <c r="E1360" s="157">
        <v>41669</v>
      </c>
      <c r="F1360" s="165" t="s">
        <v>16</v>
      </c>
      <c r="G1360" s="165" t="s">
        <v>16</v>
      </c>
      <c r="H1360" s="165" t="s">
        <v>16</v>
      </c>
      <c r="I1360" s="165" t="s">
        <v>16</v>
      </c>
      <c r="J1360" s="165" t="s">
        <v>16</v>
      </c>
      <c r="K1360" s="165" t="s">
        <v>16</v>
      </c>
      <c r="L1360" s="165" t="s">
        <v>16</v>
      </c>
      <c r="M1360" s="165" t="s">
        <v>148</v>
      </c>
      <c r="N1360" s="165" t="s">
        <v>16</v>
      </c>
      <c r="O1360" s="165" t="s">
        <v>16</v>
      </c>
      <c r="P1360" s="165" t="s">
        <v>16</v>
      </c>
      <c r="Q1360" s="165" t="s">
        <v>16</v>
      </c>
      <c r="R1360" s="165" t="s">
        <v>16</v>
      </c>
      <c r="S1360" s="165" t="s">
        <v>16</v>
      </c>
      <c r="T1360" s="165" t="s">
        <v>16</v>
      </c>
      <c r="U1360" s="165" t="s">
        <v>16</v>
      </c>
      <c r="V1360" s="165" t="s">
        <v>16</v>
      </c>
      <c r="W1360" s="165" t="s">
        <v>16</v>
      </c>
      <c r="X1360" s="165" t="s">
        <v>16</v>
      </c>
      <c r="Y1360" s="165" t="s">
        <v>16</v>
      </c>
      <c r="Z1360" s="165" t="s">
        <v>16</v>
      </c>
      <c r="AA1360" s="165" t="s">
        <v>148</v>
      </c>
      <c r="AB1360" s="165" t="s">
        <v>16</v>
      </c>
      <c r="AC1360" s="165" t="s">
        <v>16</v>
      </c>
      <c r="AD1360" s="165" t="s">
        <v>16</v>
      </c>
      <c r="AE1360" s="165" t="s">
        <v>2077</v>
      </c>
      <c r="AF1360" s="165"/>
      <c r="AG1360" s="165"/>
    </row>
    <row r="1361" spans="1:32" x14ac:dyDescent="0.3">
      <c r="A1361" s="165" t="s">
        <v>2104</v>
      </c>
      <c r="B1361" s="165" t="s">
        <v>14</v>
      </c>
      <c r="C1361" s="165" t="s">
        <v>2074</v>
      </c>
      <c r="D1361" s="165" t="s">
        <v>15</v>
      </c>
      <c r="E1361" s="157">
        <v>41669</v>
      </c>
      <c r="F1361" s="165" t="s">
        <v>16</v>
      </c>
      <c r="G1361" s="165" t="s">
        <v>16</v>
      </c>
      <c r="H1361" s="165" t="s">
        <v>16</v>
      </c>
      <c r="I1361" s="165" t="s">
        <v>16</v>
      </c>
      <c r="J1361" s="165" t="s">
        <v>16</v>
      </c>
      <c r="K1361" s="165" t="s">
        <v>16</v>
      </c>
      <c r="L1361" s="165" t="s">
        <v>16</v>
      </c>
      <c r="M1361" s="165" t="s">
        <v>16</v>
      </c>
      <c r="N1361" s="165" t="s">
        <v>16</v>
      </c>
      <c r="O1361" s="165" t="s">
        <v>148</v>
      </c>
      <c r="P1361" s="165" t="s">
        <v>16</v>
      </c>
      <c r="Q1361" s="165" t="s">
        <v>16</v>
      </c>
      <c r="R1361" s="165" t="s">
        <v>16</v>
      </c>
      <c r="S1361" s="165" t="s">
        <v>16</v>
      </c>
      <c r="T1361" s="165" t="s">
        <v>16</v>
      </c>
      <c r="U1361" s="165" t="s">
        <v>16</v>
      </c>
      <c r="V1361" s="165" t="s">
        <v>16</v>
      </c>
      <c r="W1361" s="165" t="s">
        <v>16</v>
      </c>
      <c r="X1361" s="165" t="s">
        <v>16</v>
      </c>
      <c r="Y1361" s="165" t="s">
        <v>16</v>
      </c>
      <c r="Z1361" s="165" t="s">
        <v>16</v>
      </c>
      <c r="AA1361" s="165" t="s">
        <v>148</v>
      </c>
      <c r="AB1361" s="165" t="s">
        <v>16</v>
      </c>
      <c r="AC1361" s="165" t="s">
        <v>16</v>
      </c>
      <c r="AD1361" s="165" t="s">
        <v>16</v>
      </c>
      <c r="AE1361" s="165" t="s">
        <v>2077</v>
      </c>
      <c r="AF1361" s="165"/>
    </row>
    <row r="1362" spans="1:32" x14ac:dyDescent="0.3">
      <c r="A1362" s="165" t="s">
        <v>2105</v>
      </c>
      <c r="B1362" s="165" t="s">
        <v>14</v>
      </c>
      <c r="C1362" s="165" t="s">
        <v>2074</v>
      </c>
      <c r="D1362" s="165" t="s">
        <v>15</v>
      </c>
      <c r="E1362" s="157">
        <v>41669</v>
      </c>
      <c r="F1362" s="165" t="s">
        <v>16</v>
      </c>
      <c r="G1362" s="165" t="s">
        <v>16</v>
      </c>
      <c r="H1362" s="165" t="s">
        <v>16</v>
      </c>
      <c r="I1362" s="165" t="s">
        <v>16</v>
      </c>
      <c r="J1362" s="165" t="s">
        <v>16</v>
      </c>
      <c r="K1362" s="165" t="s">
        <v>16</v>
      </c>
      <c r="L1362" s="165" t="s">
        <v>16</v>
      </c>
      <c r="M1362" s="165" t="s">
        <v>16</v>
      </c>
      <c r="N1362" s="165" t="s">
        <v>16</v>
      </c>
      <c r="O1362" s="165" t="s">
        <v>16</v>
      </c>
      <c r="P1362" s="165" t="s">
        <v>16</v>
      </c>
      <c r="Q1362" s="165" t="s">
        <v>16</v>
      </c>
      <c r="R1362" s="165" t="s">
        <v>16</v>
      </c>
      <c r="S1362" s="165" t="s">
        <v>16</v>
      </c>
      <c r="T1362" s="165" t="s">
        <v>16</v>
      </c>
      <c r="U1362" s="165" t="s">
        <v>16</v>
      </c>
      <c r="V1362" s="165" t="s">
        <v>16</v>
      </c>
      <c r="W1362" s="165" t="s">
        <v>16</v>
      </c>
      <c r="X1362" s="165" t="s">
        <v>16</v>
      </c>
      <c r="Y1362" s="165" t="s">
        <v>16</v>
      </c>
      <c r="Z1362" s="165" t="s">
        <v>16</v>
      </c>
      <c r="AA1362" s="165" t="s">
        <v>16</v>
      </c>
      <c r="AB1362" s="165" t="s">
        <v>16</v>
      </c>
      <c r="AC1362" s="165" t="s">
        <v>16</v>
      </c>
      <c r="AD1362" s="165" t="s">
        <v>16</v>
      </c>
      <c r="AE1362" s="165" t="s">
        <v>2077</v>
      </c>
      <c r="AF1362" s="165" t="s">
        <v>2106</v>
      </c>
    </row>
    <row r="1363" spans="1:32" x14ac:dyDescent="0.3">
      <c r="A1363" s="165" t="s">
        <v>2107</v>
      </c>
      <c r="B1363" s="165" t="s">
        <v>14</v>
      </c>
      <c r="C1363" s="165" t="s">
        <v>2074</v>
      </c>
      <c r="D1363" s="165" t="s">
        <v>15</v>
      </c>
      <c r="E1363" s="157">
        <v>41669</v>
      </c>
      <c r="F1363" s="165" t="s">
        <v>148</v>
      </c>
      <c r="G1363" s="165" t="s">
        <v>148</v>
      </c>
      <c r="H1363" s="165" t="s">
        <v>148</v>
      </c>
      <c r="I1363" s="165" t="s">
        <v>148</v>
      </c>
      <c r="J1363" s="165" t="s">
        <v>16</v>
      </c>
      <c r="K1363" s="165" t="s">
        <v>148</v>
      </c>
      <c r="L1363" s="165" t="s">
        <v>16</v>
      </c>
      <c r="M1363" s="165" t="s">
        <v>150</v>
      </c>
      <c r="N1363" s="165" t="s">
        <v>16</v>
      </c>
      <c r="O1363" s="165" t="s">
        <v>16</v>
      </c>
      <c r="P1363" s="165" t="s">
        <v>150</v>
      </c>
      <c r="Q1363" s="165" t="s">
        <v>16</v>
      </c>
      <c r="R1363" s="165" t="s">
        <v>16</v>
      </c>
      <c r="S1363" s="165" t="s">
        <v>16</v>
      </c>
      <c r="T1363" s="165" t="s">
        <v>150</v>
      </c>
      <c r="U1363" s="165" t="s">
        <v>148</v>
      </c>
      <c r="V1363" s="165" t="s">
        <v>16</v>
      </c>
      <c r="W1363" s="165" t="s">
        <v>148</v>
      </c>
      <c r="X1363" s="165" t="s">
        <v>16</v>
      </c>
      <c r="Y1363" s="165" t="s">
        <v>148</v>
      </c>
      <c r="Z1363" s="165" t="s">
        <v>150</v>
      </c>
      <c r="AA1363" s="165" t="s">
        <v>16</v>
      </c>
      <c r="AB1363" s="165" t="s">
        <v>16</v>
      </c>
      <c r="AC1363" s="165" t="s">
        <v>16</v>
      </c>
      <c r="AD1363" s="165" t="s">
        <v>16</v>
      </c>
      <c r="AE1363" s="165" t="s">
        <v>2077</v>
      </c>
      <c r="AF1363" s="165"/>
    </row>
    <row r="1366" spans="1:32" x14ac:dyDescent="0.3">
      <c r="A1366" s="165"/>
      <c r="B1366" s="165"/>
      <c r="C1366" s="165"/>
      <c r="D1366" s="165"/>
      <c r="E1366" s="165"/>
      <c r="F1366" s="165" t="s">
        <v>124</v>
      </c>
      <c r="G1366" s="165" t="s">
        <v>125</v>
      </c>
      <c r="H1366" s="165" t="s">
        <v>126</v>
      </c>
      <c r="I1366" s="165" t="s">
        <v>127</v>
      </c>
      <c r="J1366" s="165" t="s">
        <v>214</v>
      </c>
      <c r="K1366" s="165" t="s">
        <v>128</v>
      </c>
      <c r="L1366" s="165" t="s">
        <v>129</v>
      </c>
      <c r="M1366" s="165" t="s">
        <v>130</v>
      </c>
      <c r="N1366" s="165" t="s">
        <v>131</v>
      </c>
      <c r="O1366" s="165" t="s">
        <v>132</v>
      </c>
      <c r="P1366" s="165" t="s">
        <v>133</v>
      </c>
      <c r="Q1366" s="165" t="s">
        <v>134</v>
      </c>
      <c r="R1366" s="165" t="s">
        <v>135</v>
      </c>
      <c r="S1366" s="165" t="s">
        <v>136</v>
      </c>
      <c r="T1366" s="165" t="s">
        <v>137</v>
      </c>
      <c r="U1366" s="165" t="s">
        <v>138</v>
      </c>
      <c r="V1366" s="165" t="s">
        <v>139</v>
      </c>
      <c r="W1366" s="165" t="s">
        <v>140</v>
      </c>
      <c r="X1366" s="165" t="s">
        <v>186</v>
      </c>
      <c r="Y1366" s="165" t="s">
        <v>209</v>
      </c>
      <c r="Z1366" s="165" t="s">
        <v>141</v>
      </c>
      <c r="AA1366" s="165" t="s">
        <v>142</v>
      </c>
      <c r="AB1366" s="165" t="s">
        <v>210</v>
      </c>
      <c r="AC1366" s="165" t="s">
        <v>1180</v>
      </c>
      <c r="AD1366" s="165" t="s">
        <v>144</v>
      </c>
      <c r="AE1366" s="165" t="s">
        <v>2117</v>
      </c>
      <c r="AF1366" s="165" t="s">
        <v>190</v>
      </c>
    </row>
    <row r="1367" spans="1:32" x14ac:dyDescent="0.3">
      <c r="A1367" s="165" t="s">
        <v>2118</v>
      </c>
      <c r="B1367" s="165" t="s">
        <v>14</v>
      </c>
      <c r="C1367" s="165" t="s">
        <v>2119</v>
      </c>
      <c r="D1367" s="165" t="s">
        <v>15</v>
      </c>
      <c r="E1367" s="157">
        <v>41697</v>
      </c>
      <c r="F1367" s="165" t="s">
        <v>16</v>
      </c>
      <c r="G1367" s="165" t="s">
        <v>16</v>
      </c>
      <c r="H1367" s="165" t="s">
        <v>16</v>
      </c>
      <c r="I1367" s="165" t="s">
        <v>16</v>
      </c>
      <c r="J1367" s="165" t="s">
        <v>16</v>
      </c>
      <c r="K1367" s="165" t="s">
        <v>16</v>
      </c>
      <c r="L1367" s="165" t="s">
        <v>16</v>
      </c>
      <c r="M1367" s="165" t="s">
        <v>16</v>
      </c>
      <c r="N1367" s="165" t="s">
        <v>16</v>
      </c>
      <c r="O1367" s="165" t="s">
        <v>16</v>
      </c>
      <c r="P1367" s="165" t="s">
        <v>16</v>
      </c>
      <c r="Q1367" s="165" t="s">
        <v>16</v>
      </c>
      <c r="R1367" s="165" t="s">
        <v>16</v>
      </c>
      <c r="S1367" s="165" t="s">
        <v>16</v>
      </c>
      <c r="T1367" s="165" t="s">
        <v>16</v>
      </c>
      <c r="U1367" s="165" t="s">
        <v>16</v>
      </c>
      <c r="V1367" s="165" t="s">
        <v>16</v>
      </c>
      <c r="W1367" s="165" t="s">
        <v>16</v>
      </c>
      <c r="X1367" s="165" t="s">
        <v>16</v>
      </c>
      <c r="Y1367" s="165" t="s">
        <v>16</v>
      </c>
      <c r="Z1367" s="165" t="s">
        <v>16</v>
      </c>
      <c r="AA1367" s="165" t="s">
        <v>16</v>
      </c>
      <c r="AB1367" s="165" t="s">
        <v>16</v>
      </c>
      <c r="AC1367" s="165" t="s">
        <v>16</v>
      </c>
      <c r="AD1367" s="165" t="s">
        <v>16</v>
      </c>
      <c r="AE1367" s="165" t="s">
        <v>2120</v>
      </c>
      <c r="AF1367" s="165" t="s">
        <v>2121</v>
      </c>
    </row>
    <row r="1368" spans="1:32" x14ac:dyDescent="0.3">
      <c r="A1368" s="165" t="s">
        <v>2122</v>
      </c>
      <c r="B1368" s="165" t="s">
        <v>14</v>
      </c>
      <c r="C1368" s="165" t="s">
        <v>2119</v>
      </c>
      <c r="D1368" s="165" t="s">
        <v>15</v>
      </c>
      <c r="E1368" s="157">
        <v>41697</v>
      </c>
      <c r="F1368" s="165" t="s">
        <v>16</v>
      </c>
      <c r="G1368" s="165" t="s">
        <v>16</v>
      </c>
      <c r="H1368" s="165" t="s">
        <v>149</v>
      </c>
      <c r="I1368" s="165" t="s">
        <v>149</v>
      </c>
      <c r="J1368" s="165" t="s">
        <v>150</v>
      </c>
      <c r="K1368" s="165" t="s">
        <v>16</v>
      </c>
      <c r="L1368" s="165" t="s">
        <v>16</v>
      </c>
      <c r="M1368" s="165" t="s">
        <v>148</v>
      </c>
      <c r="N1368" s="165" t="s">
        <v>16</v>
      </c>
      <c r="O1368" s="165" t="s">
        <v>16</v>
      </c>
      <c r="P1368" s="165" t="s">
        <v>16</v>
      </c>
      <c r="Q1368" s="165" t="s">
        <v>16</v>
      </c>
      <c r="R1368" s="165" t="s">
        <v>150</v>
      </c>
      <c r="S1368" s="165" t="s">
        <v>149</v>
      </c>
      <c r="T1368" s="165" t="s">
        <v>16</v>
      </c>
      <c r="U1368" s="165" t="s">
        <v>16</v>
      </c>
      <c r="V1368" s="165" t="s">
        <v>16</v>
      </c>
      <c r="W1368" s="165" t="s">
        <v>16</v>
      </c>
      <c r="X1368" s="165" t="s">
        <v>16</v>
      </c>
      <c r="Y1368" s="165" t="s">
        <v>16</v>
      </c>
      <c r="Z1368" s="165" t="s">
        <v>148</v>
      </c>
      <c r="AA1368" s="165" t="s">
        <v>148</v>
      </c>
      <c r="AB1368" s="165" t="s">
        <v>16</v>
      </c>
      <c r="AC1368" s="165" t="s">
        <v>148</v>
      </c>
      <c r="AD1368" s="165" t="s">
        <v>148</v>
      </c>
      <c r="AE1368" s="165" t="s">
        <v>2120</v>
      </c>
      <c r="AF1368" s="165"/>
    </row>
    <row r="1369" spans="1:32" x14ac:dyDescent="0.3">
      <c r="A1369" s="165" t="s">
        <v>2123</v>
      </c>
      <c r="B1369" s="165" t="s">
        <v>14</v>
      </c>
      <c r="C1369" s="165" t="s">
        <v>2119</v>
      </c>
      <c r="D1369" s="165" t="s">
        <v>15</v>
      </c>
      <c r="E1369" s="157">
        <v>41697</v>
      </c>
      <c r="F1369" s="165" t="s">
        <v>16</v>
      </c>
      <c r="G1369" s="165" t="s">
        <v>16</v>
      </c>
      <c r="H1369" s="165" t="s">
        <v>16</v>
      </c>
      <c r="I1369" s="165" t="s">
        <v>16</v>
      </c>
      <c r="J1369" s="165" t="s">
        <v>16</v>
      </c>
      <c r="K1369" s="165" t="s">
        <v>16</v>
      </c>
      <c r="L1369" s="165" t="s">
        <v>16</v>
      </c>
      <c r="M1369" s="165" t="s">
        <v>16</v>
      </c>
      <c r="N1369" s="165" t="s">
        <v>16</v>
      </c>
      <c r="O1369" s="165" t="s">
        <v>16</v>
      </c>
      <c r="P1369" s="165" t="s">
        <v>16</v>
      </c>
      <c r="Q1369" s="165" t="s">
        <v>16</v>
      </c>
      <c r="R1369" s="165" t="s">
        <v>16</v>
      </c>
      <c r="S1369" s="165" t="s">
        <v>16</v>
      </c>
      <c r="T1369" s="165" t="s">
        <v>16</v>
      </c>
      <c r="U1369" s="165" t="s">
        <v>16</v>
      </c>
      <c r="V1369" s="165" t="s">
        <v>16</v>
      </c>
      <c r="W1369" s="165" t="s">
        <v>16</v>
      </c>
      <c r="X1369" s="165" t="s">
        <v>16</v>
      </c>
      <c r="Y1369" s="165" t="s">
        <v>16</v>
      </c>
      <c r="Z1369" s="165" t="s">
        <v>16</v>
      </c>
      <c r="AA1369" s="165" t="s">
        <v>16</v>
      </c>
      <c r="AB1369" s="165" t="s">
        <v>16</v>
      </c>
      <c r="AC1369" s="165" t="s">
        <v>16</v>
      </c>
      <c r="AD1369" s="165" t="s">
        <v>16</v>
      </c>
      <c r="AE1369" s="165" t="s">
        <v>2120</v>
      </c>
      <c r="AF1369" s="165"/>
    </row>
    <row r="1370" spans="1:32" x14ac:dyDescent="0.3">
      <c r="A1370" s="165" t="s">
        <v>2124</v>
      </c>
      <c r="B1370" s="165" t="s">
        <v>14</v>
      </c>
      <c r="C1370" s="165" t="s">
        <v>2119</v>
      </c>
      <c r="D1370" s="165" t="s">
        <v>15</v>
      </c>
      <c r="E1370" s="157">
        <v>41697</v>
      </c>
      <c r="F1370" s="165" t="s">
        <v>149</v>
      </c>
      <c r="G1370" s="165" t="s">
        <v>149</v>
      </c>
      <c r="H1370" s="165" t="s">
        <v>149</v>
      </c>
      <c r="I1370" s="165" t="s">
        <v>149</v>
      </c>
      <c r="J1370" s="165" t="s">
        <v>149</v>
      </c>
      <c r="K1370" s="165" t="s">
        <v>149</v>
      </c>
      <c r="L1370" s="165" t="s">
        <v>149</v>
      </c>
      <c r="M1370" s="165" t="s">
        <v>149</v>
      </c>
      <c r="N1370" s="165" t="s">
        <v>150</v>
      </c>
      <c r="O1370" s="165" t="s">
        <v>150</v>
      </c>
      <c r="P1370" s="165" t="s">
        <v>148</v>
      </c>
      <c r="Q1370" s="165" t="s">
        <v>148</v>
      </c>
      <c r="R1370" s="165" t="s">
        <v>151</v>
      </c>
      <c r="S1370" s="165" t="s">
        <v>151</v>
      </c>
      <c r="T1370" s="165" t="s">
        <v>151</v>
      </c>
      <c r="U1370" s="165" t="s">
        <v>151</v>
      </c>
      <c r="V1370" s="165" t="s">
        <v>151</v>
      </c>
      <c r="W1370" s="165" t="s">
        <v>151</v>
      </c>
      <c r="X1370" s="165" t="s">
        <v>151</v>
      </c>
      <c r="Y1370" s="165" t="s">
        <v>151</v>
      </c>
      <c r="Z1370" s="165" t="s">
        <v>151</v>
      </c>
      <c r="AA1370" s="165" t="s">
        <v>151</v>
      </c>
      <c r="AB1370" s="165" t="s">
        <v>148</v>
      </c>
      <c r="AC1370" s="165" t="s">
        <v>150</v>
      </c>
      <c r="AD1370" s="165" t="s">
        <v>148</v>
      </c>
      <c r="AE1370" s="165" t="s">
        <v>2125</v>
      </c>
      <c r="AF1370" s="165"/>
    </row>
    <row r="1371" spans="1:32" x14ac:dyDescent="0.3">
      <c r="A1371" s="165" t="s">
        <v>2126</v>
      </c>
      <c r="B1371" s="165" t="s">
        <v>14</v>
      </c>
      <c r="C1371" s="165" t="s">
        <v>2119</v>
      </c>
      <c r="D1371" s="165" t="s">
        <v>15</v>
      </c>
      <c r="E1371" s="157">
        <v>41697</v>
      </c>
      <c r="F1371" s="165" t="s">
        <v>16</v>
      </c>
      <c r="G1371" s="165" t="s">
        <v>16</v>
      </c>
      <c r="H1371" s="165" t="s">
        <v>16</v>
      </c>
      <c r="I1371" s="165" t="s">
        <v>16</v>
      </c>
      <c r="J1371" s="165" t="s">
        <v>16</v>
      </c>
      <c r="K1371" s="165" t="s">
        <v>16</v>
      </c>
      <c r="L1371" s="165" t="s">
        <v>16</v>
      </c>
      <c r="M1371" s="165" t="s">
        <v>16</v>
      </c>
      <c r="N1371" s="165" t="s">
        <v>16</v>
      </c>
      <c r="O1371" s="165" t="s">
        <v>16</v>
      </c>
      <c r="P1371" s="165" t="s">
        <v>16</v>
      </c>
      <c r="Q1371" s="165" t="s">
        <v>16</v>
      </c>
      <c r="R1371" s="165" t="s">
        <v>16</v>
      </c>
      <c r="S1371" s="165" t="s">
        <v>149</v>
      </c>
      <c r="T1371" s="165" t="s">
        <v>148</v>
      </c>
      <c r="U1371" s="165" t="s">
        <v>16</v>
      </c>
      <c r="V1371" s="165" t="s">
        <v>16</v>
      </c>
      <c r="W1371" s="165" t="s">
        <v>16</v>
      </c>
      <c r="X1371" s="165" t="s">
        <v>16</v>
      </c>
      <c r="Y1371" s="165" t="s">
        <v>16</v>
      </c>
      <c r="Z1371" s="165" t="s">
        <v>16</v>
      </c>
      <c r="AA1371" s="165" t="s">
        <v>16</v>
      </c>
      <c r="AB1371" s="165" t="s">
        <v>148</v>
      </c>
      <c r="AC1371" s="165" t="s">
        <v>148</v>
      </c>
      <c r="AD1371" s="165" t="s">
        <v>149</v>
      </c>
      <c r="AE1371" s="165" t="s">
        <v>2120</v>
      </c>
      <c r="AF1371" s="165" t="s">
        <v>2127</v>
      </c>
    </row>
    <row r="1372" spans="1:32" x14ac:dyDescent="0.3">
      <c r="A1372" s="165" t="s">
        <v>2128</v>
      </c>
      <c r="B1372" s="165" t="s">
        <v>14</v>
      </c>
      <c r="C1372" s="165" t="s">
        <v>2119</v>
      </c>
      <c r="D1372" s="165" t="s">
        <v>15</v>
      </c>
      <c r="E1372" s="157">
        <v>41697</v>
      </c>
      <c r="F1372" s="165" t="s">
        <v>16</v>
      </c>
      <c r="G1372" s="165" t="s">
        <v>16</v>
      </c>
      <c r="H1372" s="165" t="s">
        <v>148</v>
      </c>
      <c r="I1372" s="165" t="s">
        <v>148</v>
      </c>
      <c r="J1372" s="165" t="s">
        <v>148</v>
      </c>
      <c r="K1372" s="165" t="s">
        <v>16</v>
      </c>
      <c r="L1372" s="165" t="s">
        <v>16</v>
      </c>
      <c r="M1372" s="165" t="s">
        <v>148</v>
      </c>
      <c r="N1372" s="165" t="s">
        <v>16</v>
      </c>
      <c r="O1372" s="165" t="s">
        <v>148</v>
      </c>
      <c r="P1372" s="165" t="s">
        <v>148</v>
      </c>
      <c r="Q1372" s="165" t="s">
        <v>148</v>
      </c>
      <c r="R1372" s="165" t="s">
        <v>148</v>
      </c>
      <c r="S1372" s="165" t="s">
        <v>148</v>
      </c>
      <c r="T1372" s="165" t="s">
        <v>16</v>
      </c>
      <c r="U1372" s="165" t="s">
        <v>148</v>
      </c>
      <c r="V1372" s="165" t="s">
        <v>148</v>
      </c>
      <c r="W1372" s="165" t="s">
        <v>148</v>
      </c>
      <c r="X1372" s="165" t="s">
        <v>148</v>
      </c>
      <c r="Y1372" s="165" t="s">
        <v>148</v>
      </c>
      <c r="Z1372" s="165" t="s">
        <v>148</v>
      </c>
      <c r="AA1372" s="165" t="s">
        <v>16</v>
      </c>
      <c r="AB1372" s="165" t="s">
        <v>16</v>
      </c>
      <c r="AC1372" s="165" t="s">
        <v>148</v>
      </c>
      <c r="AD1372" s="165" t="s">
        <v>16</v>
      </c>
      <c r="AE1372" s="165" t="s">
        <v>2120</v>
      </c>
      <c r="AF1372" s="165"/>
    </row>
    <row r="1373" spans="1:32" x14ac:dyDescent="0.3">
      <c r="A1373" s="165" t="s">
        <v>2129</v>
      </c>
      <c r="B1373" s="165" t="s">
        <v>14</v>
      </c>
      <c r="C1373" s="165" t="s">
        <v>2119</v>
      </c>
      <c r="D1373" s="165" t="s">
        <v>15</v>
      </c>
      <c r="E1373" s="157">
        <v>41697</v>
      </c>
      <c r="F1373" s="165" t="s">
        <v>16</v>
      </c>
      <c r="G1373" s="165" t="s">
        <v>16</v>
      </c>
      <c r="H1373" s="165" t="s">
        <v>16</v>
      </c>
      <c r="I1373" s="165" t="s">
        <v>16</v>
      </c>
      <c r="J1373" s="165" t="s">
        <v>16</v>
      </c>
      <c r="K1373" s="165" t="s">
        <v>16</v>
      </c>
      <c r="L1373" s="165" t="s">
        <v>16</v>
      </c>
      <c r="M1373" s="165" t="s">
        <v>16</v>
      </c>
      <c r="N1373" s="165" t="s">
        <v>16</v>
      </c>
      <c r="O1373" s="165" t="s">
        <v>16</v>
      </c>
      <c r="P1373" s="165" t="s">
        <v>16</v>
      </c>
      <c r="Q1373" s="165" t="s">
        <v>16</v>
      </c>
      <c r="R1373" s="165" t="s">
        <v>16</v>
      </c>
      <c r="S1373" s="165" t="s">
        <v>16</v>
      </c>
      <c r="T1373" s="165" t="s">
        <v>16</v>
      </c>
      <c r="U1373" s="165" t="s">
        <v>16</v>
      </c>
      <c r="V1373" s="165" t="s">
        <v>16</v>
      </c>
      <c r="W1373" s="165" t="s">
        <v>16</v>
      </c>
      <c r="X1373" s="165" t="s">
        <v>16</v>
      </c>
      <c r="Y1373" s="165" t="s">
        <v>16</v>
      </c>
      <c r="Z1373" s="165" t="s">
        <v>16</v>
      </c>
      <c r="AA1373" s="165" t="s">
        <v>16</v>
      </c>
      <c r="AB1373" s="165" t="s">
        <v>16</v>
      </c>
      <c r="AC1373" s="165" t="s">
        <v>16</v>
      </c>
      <c r="AD1373" s="165" t="s">
        <v>16</v>
      </c>
      <c r="AE1373" s="165" t="s">
        <v>2130</v>
      </c>
      <c r="AF1373" s="165"/>
    </row>
    <row r="1374" spans="1:32" x14ac:dyDescent="0.3">
      <c r="A1374" s="165" t="s">
        <v>2131</v>
      </c>
      <c r="B1374" s="165" t="s">
        <v>14</v>
      </c>
      <c r="C1374" s="165" t="s">
        <v>2119</v>
      </c>
      <c r="D1374" s="165" t="s">
        <v>15</v>
      </c>
      <c r="E1374" s="157">
        <v>41697</v>
      </c>
      <c r="F1374" s="165" t="s">
        <v>148</v>
      </c>
      <c r="G1374" s="165" t="s">
        <v>148</v>
      </c>
      <c r="H1374" s="165" t="s">
        <v>148</v>
      </c>
      <c r="I1374" s="165" t="s">
        <v>16</v>
      </c>
      <c r="J1374" s="165" t="s">
        <v>16</v>
      </c>
      <c r="K1374" s="165" t="s">
        <v>16</v>
      </c>
      <c r="L1374" s="165" t="s">
        <v>148</v>
      </c>
      <c r="M1374" s="165" t="s">
        <v>148</v>
      </c>
      <c r="N1374" s="165" t="s">
        <v>16</v>
      </c>
      <c r="O1374" s="165" t="s">
        <v>148</v>
      </c>
      <c r="P1374" s="165" t="s">
        <v>148</v>
      </c>
      <c r="Q1374" s="165" t="s">
        <v>16</v>
      </c>
      <c r="R1374" s="165" t="s">
        <v>16</v>
      </c>
      <c r="S1374" s="165" t="s">
        <v>148</v>
      </c>
      <c r="T1374" s="165" t="s">
        <v>16</v>
      </c>
      <c r="U1374" s="165" t="s">
        <v>148</v>
      </c>
      <c r="V1374" s="165" t="s">
        <v>16</v>
      </c>
      <c r="W1374" s="165" t="s">
        <v>16</v>
      </c>
      <c r="X1374" s="165" t="s">
        <v>16</v>
      </c>
      <c r="Y1374" s="165" t="s">
        <v>16</v>
      </c>
      <c r="Z1374" s="165" t="s">
        <v>16</v>
      </c>
      <c r="AA1374" s="165" t="s">
        <v>16</v>
      </c>
      <c r="AB1374" s="165" t="s">
        <v>16</v>
      </c>
      <c r="AC1374" s="165" t="s">
        <v>16</v>
      </c>
      <c r="AD1374" s="165" t="s">
        <v>16</v>
      </c>
      <c r="AE1374" s="165"/>
      <c r="AF1374" s="165"/>
    </row>
    <row r="1375" spans="1:32" x14ac:dyDescent="0.3">
      <c r="A1375" s="165" t="s">
        <v>2132</v>
      </c>
      <c r="B1375" s="165" t="s">
        <v>14</v>
      </c>
      <c r="C1375" s="165" t="s">
        <v>2119</v>
      </c>
      <c r="D1375" s="165" t="s">
        <v>15</v>
      </c>
      <c r="E1375" s="157">
        <v>41697</v>
      </c>
      <c r="F1375" s="165" t="s">
        <v>148</v>
      </c>
      <c r="G1375" s="165" t="s">
        <v>16</v>
      </c>
      <c r="H1375" s="165" t="s">
        <v>16</v>
      </c>
      <c r="I1375" s="165" t="s">
        <v>16</v>
      </c>
      <c r="J1375" s="165" t="s">
        <v>16</v>
      </c>
      <c r="K1375" s="165" t="s">
        <v>16</v>
      </c>
      <c r="L1375" s="165" t="s">
        <v>16</v>
      </c>
      <c r="M1375" s="165" t="s">
        <v>16</v>
      </c>
      <c r="N1375" s="165" t="s">
        <v>16</v>
      </c>
      <c r="O1375" s="165" t="s">
        <v>16</v>
      </c>
      <c r="P1375" s="165" t="s">
        <v>16</v>
      </c>
      <c r="Q1375" s="165" t="s">
        <v>16</v>
      </c>
      <c r="R1375" s="165" t="s">
        <v>16</v>
      </c>
      <c r="S1375" s="165" t="s">
        <v>16</v>
      </c>
      <c r="T1375" s="165" t="s">
        <v>16</v>
      </c>
      <c r="U1375" s="165" t="s">
        <v>16</v>
      </c>
      <c r="V1375" s="165" t="s">
        <v>16</v>
      </c>
      <c r="W1375" s="165" t="s">
        <v>16</v>
      </c>
      <c r="X1375" s="165" t="s">
        <v>16</v>
      </c>
      <c r="Y1375" s="165" t="s">
        <v>16</v>
      </c>
      <c r="Z1375" s="165" t="s">
        <v>16</v>
      </c>
      <c r="AA1375" s="165" t="s">
        <v>16</v>
      </c>
      <c r="AB1375" s="165" t="s">
        <v>16</v>
      </c>
      <c r="AC1375" s="165" t="s">
        <v>16</v>
      </c>
      <c r="AD1375" s="165" t="s">
        <v>16</v>
      </c>
      <c r="AE1375" s="165" t="s">
        <v>2120</v>
      </c>
      <c r="AF1375" s="165"/>
    </row>
    <row r="1376" spans="1:32" x14ac:dyDescent="0.3">
      <c r="A1376" s="165" t="s">
        <v>2133</v>
      </c>
      <c r="B1376" s="165" t="s">
        <v>14</v>
      </c>
      <c r="C1376" s="165" t="s">
        <v>2119</v>
      </c>
      <c r="D1376" s="165" t="s">
        <v>15</v>
      </c>
      <c r="E1376" s="157">
        <v>41697</v>
      </c>
      <c r="F1376" s="165" t="s">
        <v>149</v>
      </c>
      <c r="G1376" s="165" t="s">
        <v>150</v>
      </c>
      <c r="H1376" s="165" t="s">
        <v>149</v>
      </c>
      <c r="I1376" s="165" t="s">
        <v>150</v>
      </c>
      <c r="J1376" s="165" t="s">
        <v>16</v>
      </c>
      <c r="K1376" s="165" t="s">
        <v>150</v>
      </c>
      <c r="L1376" s="165" t="s">
        <v>16</v>
      </c>
      <c r="M1376" s="165" t="s">
        <v>16</v>
      </c>
      <c r="N1376" s="165" t="s">
        <v>150</v>
      </c>
      <c r="O1376" s="165" t="s">
        <v>150</v>
      </c>
      <c r="P1376" s="165" t="s">
        <v>16</v>
      </c>
      <c r="Q1376" s="165" t="s">
        <v>148</v>
      </c>
      <c r="R1376" s="165" t="s">
        <v>148</v>
      </c>
      <c r="S1376" s="165" t="s">
        <v>150</v>
      </c>
      <c r="T1376" s="165" t="s">
        <v>148</v>
      </c>
      <c r="U1376" s="165" t="s">
        <v>16</v>
      </c>
      <c r="V1376" s="165" t="s">
        <v>148</v>
      </c>
      <c r="W1376" s="165" t="s">
        <v>16</v>
      </c>
      <c r="X1376" s="165" t="s">
        <v>150</v>
      </c>
      <c r="Y1376" s="165" t="s">
        <v>16</v>
      </c>
      <c r="Z1376" s="165" t="s">
        <v>148</v>
      </c>
      <c r="AA1376" s="165" t="s">
        <v>148</v>
      </c>
      <c r="AB1376" s="165" t="s">
        <v>148</v>
      </c>
      <c r="AC1376" s="165" t="s">
        <v>148</v>
      </c>
      <c r="AD1376" s="165" t="s">
        <v>16</v>
      </c>
      <c r="AE1376" s="165" t="s">
        <v>2130</v>
      </c>
      <c r="AF1376" s="165" t="s">
        <v>2134</v>
      </c>
    </row>
    <row r="1377" spans="1:32" x14ac:dyDescent="0.3">
      <c r="A1377" s="165" t="s">
        <v>2135</v>
      </c>
      <c r="B1377" s="165" t="s">
        <v>14</v>
      </c>
      <c r="C1377" s="165" t="s">
        <v>2119</v>
      </c>
      <c r="D1377" s="165" t="s">
        <v>15</v>
      </c>
      <c r="E1377" s="157">
        <v>41697</v>
      </c>
      <c r="F1377" s="165" t="s">
        <v>16</v>
      </c>
      <c r="G1377" s="165" t="s">
        <v>16</v>
      </c>
      <c r="H1377" s="165" t="s">
        <v>16</v>
      </c>
      <c r="I1377" s="165" t="s">
        <v>16</v>
      </c>
      <c r="J1377" s="165" t="s">
        <v>114</v>
      </c>
      <c r="K1377" s="165" t="s">
        <v>148</v>
      </c>
      <c r="L1377" s="165" t="s">
        <v>16</v>
      </c>
      <c r="M1377" s="165" t="s">
        <v>16</v>
      </c>
      <c r="N1377" s="165" t="s">
        <v>16</v>
      </c>
      <c r="O1377" s="165" t="s">
        <v>16</v>
      </c>
      <c r="P1377" s="165" t="s">
        <v>148</v>
      </c>
      <c r="Q1377" s="165" t="s">
        <v>16</v>
      </c>
      <c r="R1377" s="165" t="s">
        <v>16</v>
      </c>
      <c r="S1377" s="165" t="s">
        <v>16</v>
      </c>
      <c r="T1377" s="165" t="s">
        <v>16</v>
      </c>
      <c r="U1377" s="165" t="s">
        <v>148</v>
      </c>
      <c r="V1377" s="165" t="s">
        <v>16</v>
      </c>
      <c r="W1377" s="165" t="s">
        <v>16</v>
      </c>
      <c r="X1377" s="165" t="s">
        <v>16</v>
      </c>
      <c r="Y1377" s="165" t="s">
        <v>16</v>
      </c>
      <c r="Z1377" s="165" t="s">
        <v>148</v>
      </c>
      <c r="AA1377" s="165" t="s">
        <v>16</v>
      </c>
      <c r="AB1377" s="165" t="s">
        <v>149</v>
      </c>
      <c r="AC1377" s="165" t="s">
        <v>148</v>
      </c>
      <c r="AD1377" s="165" t="s">
        <v>16</v>
      </c>
      <c r="AE1377" s="165" t="s">
        <v>2120</v>
      </c>
      <c r="AF1377" s="165"/>
    </row>
    <row r="1378" spans="1:32" x14ac:dyDescent="0.3">
      <c r="A1378" s="165" t="s">
        <v>2136</v>
      </c>
      <c r="B1378" s="165" t="s">
        <v>14</v>
      </c>
      <c r="C1378" s="165" t="s">
        <v>2119</v>
      </c>
      <c r="D1378" s="165" t="s">
        <v>15</v>
      </c>
      <c r="E1378" s="157">
        <v>41697</v>
      </c>
      <c r="F1378" s="165" t="s">
        <v>16</v>
      </c>
      <c r="G1378" s="165" t="s">
        <v>148</v>
      </c>
      <c r="H1378" s="165" t="s">
        <v>16</v>
      </c>
      <c r="I1378" s="165" t="s">
        <v>16</v>
      </c>
      <c r="J1378" s="165" t="s">
        <v>16</v>
      </c>
      <c r="K1378" s="165" t="s">
        <v>16</v>
      </c>
      <c r="L1378" s="165" t="s">
        <v>16</v>
      </c>
      <c r="M1378" s="165" t="s">
        <v>16</v>
      </c>
      <c r="N1378" s="165" t="s">
        <v>16</v>
      </c>
      <c r="O1378" s="165" t="s">
        <v>16</v>
      </c>
      <c r="P1378" s="165" t="s">
        <v>16</v>
      </c>
      <c r="Q1378" s="165" t="s">
        <v>16</v>
      </c>
      <c r="R1378" s="165" t="s">
        <v>16</v>
      </c>
      <c r="S1378" s="165" t="s">
        <v>16</v>
      </c>
      <c r="T1378" s="165" t="s">
        <v>16</v>
      </c>
      <c r="U1378" s="165" t="s">
        <v>16</v>
      </c>
      <c r="V1378" s="165" t="s">
        <v>16</v>
      </c>
      <c r="W1378" s="165" t="s">
        <v>16</v>
      </c>
      <c r="X1378" s="165" t="s">
        <v>16</v>
      </c>
      <c r="Y1378" s="165" t="s">
        <v>16</v>
      </c>
      <c r="Z1378" s="165" t="s">
        <v>16</v>
      </c>
      <c r="AA1378" s="165" t="s">
        <v>148</v>
      </c>
      <c r="AB1378" s="165" t="s">
        <v>16</v>
      </c>
      <c r="AC1378" s="165" t="s">
        <v>16</v>
      </c>
      <c r="AD1378" s="165" t="s">
        <v>16</v>
      </c>
      <c r="AE1378" s="165" t="s">
        <v>2120</v>
      </c>
      <c r="AF1378" s="165"/>
    </row>
    <row r="1379" spans="1:32" x14ac:dyDescent="0.3">
      <c r="A1379" s="165" t="s">
        <v>2137</v>
      </c>
      <c r="B1379" s="165" t="s">
        <v>14</v>
      </c>
      <c r="C1379" s="165" t="s">
        <v>2119</v>
      </c>
      <c r="D1379" s="165" t="s">
        <v>15</v>
      </c>
      <c r="E1379" s="157">
        <v>41697</v>
      </c>
      <c r="F1379" s="165" t="s">
        <v>16</v>
      </c>
      <c r="G1379" s="165" t="s">
        <v>16</v>
      </c>
      <c r="H1379" s="165" t="s">
        <v>16</v>
      </c>
      <c r="I1379" s="165" t="s">
        <v>16</v>
      </c>
      <c r="J1379" s="165" t="s">
        <v>16</v>
      </c>
      <c r="K1379" s="165" t="s">
        <v>16</v>
      </c>
      <c r="L1379" s="165" t="s">
        <v>16</v>
      </c>
      <c r="M1379" s="165" t="s">
        <v>16</v>
      </c>
      <c r="N1379" s="165" t="s">
        <v>16</v>
      </c>
      <c r="O1379" s="165" t="s">
        <v>16</v>
      </c>
      <c r="P1379" s="165" t="s">
        <v>16</v>
      </c>
      <c r="Q1379" s="165" t="s">
        <v>16</v>
      </c>
      <c r="R1379" s="165" t="s">
        <v>16</v>
      </c>
      <c r="S1379" s="165" t="s">
        <v>16</v>
      </c>
      <c r="T1379" s="165" t="s">
        <v>16</v>
      </c>
      <c r="U1379" s="165" t="s">
        <v>16</v>
      </c>
      <c r="V1379" s="165" t="s">
        <v>16</v>
      </c>
      <c r="W1379" s="165" t="s">
        <v>16</v>
      </c>
      <c r="X1379" s="165" t="s">
        <v>16</v>
      </c>
      <c r="Y1379" s="165" t="s">
        <v>16</v>
      </c>
      <c r="Z1379" s="165" t="s">
        <v>16</v>
      </c>
      <c r="AA1379" s="165" t="s">
        <v>16</v>
      </c>
      <c r="AB1379" s="165" t="s">
        <v>16</v>
      </c>
      <c r="AC1379" s="165" t="s">
        <v>16</v>
      </c>
      <c r="AD1379" s="165" t="s">
        <v>16</v>
      </c>
      <c r="AE1379" s="165" t="s">
        <v>2125</v>
      </c>
      <c r="AF1379" s="165" t="s">
        <v>2138</v>
      </c>
    </row>
    <row r="1380" spans="1:32" x14ac:dyDescent="0.3">
      <c r="A1380" s="165" t="s">
        <v>2139</v>
      </c>
      <c r="B1380" s="165" t="s">
        <v>14</v>
      </c>
      <c r="C1380" s="165" t="s">
        <v>2119</v>
      </c>
      <c r="D1380" s="165" t="s">
        <v>15</v>
      </c>
      <c r="E1380" s="157">
        <v>41697</v>
      </c>
      <c r="F1380" s="165" t="s">
        <v>16</v>
      </c>
      <c r="G1380" s="165" t="s">
        <v>16</v>
      </c>
      <c r="H1380" s="165" t="s">
        <v>16</v>
      </c>
      <c r="I1380" s="165" t="s">
        <v>16</v>
      </c>
      <c r="J1380" s="165" t="s">
        <v>16</v>
      </c>
      <c r="K1380" s="165" t="s">
        <v>16</v>
      </c>
      <c r="L1380" s="165" t="s">
        <v>16</v>
      </c>
      <c r="M1380" s="165" t="s">
        <v>16</v>
      </c>
      <c r="N1380" s="165" t="s">
        <v>16</v>
      </c>
      <c r="O1380" s="165" t="s">
        <v>16</v>
      </c>
      <c r="P1380" s="165" t="s">
        <v>16</v>
      </c>
      <c r="Q1380" s="165" t="s">
        <v>16</v>
      </c>
      <c r="R1380" s="165" t="s">
        <v>16</v>
      </c>
      <c r="S1380" s="165" t="s">
        <v>16</v>
      </c>
      <c r="T1380" s="165" t="s">
        <v>16</v>
      </c>
      <c r="U1380" s="165" t="s">
        <v>16</v>
      </c>
      <c r="V1380" s="165" t="s">
        <v>16</v>
      </c>
      <c r="W1380" s="165" t="s">
        <v>16</v>
      </c>
      <c r="X1380" s="165" t="s">
        <v>16</v>
      </c>
      <c r="Y1380" s="165" t="s">
        <v>16</v>
      </c>
      <c r="Z1380" s="165" t="s">
        <v>16</v>
      </c>
      <c r="AA1380" s="165" t="s">
        <v>16</v>
      </c>
      <c r="AB1380" s="165" t="s">
        <v>16</v>
      </c>
      <c r="AC1380" s="165" t="s">
        <v>16</v>
      </c>
      <c r="AD1380" s="165" t="s">
        <v>16</v>
      </c>
      <c r="AE1380" s="165" t="s">
        <v>2120</v>
      </c>
      <c r="AF1380" s="165"/>
    </row>
    <row r="1381" spans="1:32" x14ac:dyDescent="0.3">
      <c r="A1381" s="165" t="s">
        <v>2140</v>
      </c>
      <c r="B1381" s="165" t="s">
        <v>14</v>
      </c>
      <c r="C1381" s="165" t="s">
        <v>2119</v>
      </c>
      <c r="D1381" s="165" t="s">
        <v>15</v>
      </c>
      <c r="E1381" s="157">
        <v>41697</v>
      </c>
      <c r="F1381" s="165" t="s">
        <v>16</v>
      </c>
      <c r="G1381" s="165" t="s">
        <v>16</v>
      </c>
      <c r="H1381" s="165" t="s">
        <v>16</v>
      </c>
      <c r="I1381" s="165" t="s">
        <v>16</v>
      </c>
      <c r="J1381" s="165" t="s">
        <v>16</v>
      </c>
      <c r="K1381" s="165" t="s">
        <v>16</v>
      </c>
      <c r="L1381" s="165" t="s">
        <v>16</v>
      </c>
      <c r="M1381" s="165" t="s">
        <v>16</v>
      </c>
      <c r="N1381" s="165" t="s">
        <v>16</v>
      </c>
      <c r="O1381" s="165" t="s">
        <v>16</v>
      </c>
      <c r="P1381" s="165" t="s">
        <v>16</v>
      </c>
      <c r="Q1381" s="165" t="s">
        <v>16</v>
      </c>
      <c r="R1381" s="165" t="s">
        <v>16</v>
      </c>
      <c r="S1381" s="165" t="s">
        <v>16</v>
      </c>
      <c r="T1381" s="165" t="s">
        <v>16</v>
      </c>
      <c r="U1381" s="165" t="s">
        <v>16</v>
      </c>
      <c r="V1381" s="165" t="s">
        <v>16</v>
      </c>
      <c r="W1381" s="165" t="s">
        <v>16</v>
      </c>
      <c r="X1381" s="165" t="s">
        <v>16</v>
      </c>
      <c r="Y1381" s="165" t="s">
        <v>16</v>
      </c>
      <c r="Z1381" s="165" t="s">
        <v>16</v>
      </c>
      <c r="AA1381" s="165" t="s">
        <v>16</v>
      </c>
      <c r="AB1381" s="165" t="s">
        <v>16</v>
      </c>
      <c r="AC1381" s="165" t="s">
        <v>16</v>
      </c>
      <c r="AD1381" s="165" t="s">
        <v>16</v>
      </c>
      <c r="AE1381" s="165" t="s">
        <v>2130</v>
      </c>
      <c r="AF1381" s="165"/>
    </row>
    <row r="1382" spans="1:32" x14ac:dyDescent="0.3">
      <c r="A1382" s="165" t="s">
        <v>2141</v>
      </c>
      <c r="B1382" s="165" t="s">
        <v>14</v>
      </c>
      <c r="C1382" s="165" t="s">
        <v>2119</v>
      </c>
      <c r="D1382" s="165" t="s">
        <v>15</v>
      </c>
      <c r="E1382" s="157">
        <v>41697</v>
      </c>
      <c r="F1382" s="165" t="s">
        <v>16</v>
      </c>
      <c r="G1382" s="165" t="s">
        <v>16</v>
      </c>
      <c r="H1382" s="165" t="s">
        <v>16</v>
      </c>
      <c r="I1382" s="165" t="s">
        <v>16</v>
      </c>
      <c r="J1382" s="165" t="s">
        <v>16</v>
      </c>
      <c r="K1382" s="165" t="s">
        <v>16</v>
      </c>
      <c r="L1382" s="165" t="s">
        <v>16</v>
      </c>
      <c r="M1382" s="165" t="s">
        <v>16</v>
      </c>
      <c r="N1382" s="165" t="s">
        <v>16</v>
      </c>
      <c r="O1382" s="165" t="s">
        <v>16</v>
      </c>
      <c r="P1382" s="165" t="s">
        <v>16</v>
      </c>
      <c r="Q1382" s="165" t="s">
        <v>16</v>
      </c>
      <c r="R1382" s="165" t="s">
        <v>16</v>
      </c>
      <c r="S1382" s="165" t="s">
        <v>16</v>
      </c>
      <c r="T1382" s="165" t="s">
        <v>16</v>
      </c>
      <c r="U1382" s="165" t="s">
        <v>16</v>
      </c>
      <c r="V1382" s="165" t="s">
        <v>16</v>
      </c>
      <c r="W1382" s="165" t="s">
        <v>16</v>
      </c>
      <c r="X1382" s="165" t="s">
        <v>16</v>
      </c>
      <c r="Y1382" s="165" t="s">
        <v>16</v>
      </c>
      <c r="Z1382" s="165" t="s">
        <v>16</v>
      </c>
      <c r="AA1382" s="165" t="s">
        <v>16</v>
      </c>
      <c r="AB1382" s="165" t="s">
        <v>16</v>
      </c>
      <c r="AC1382" s="165" t="s">
        <v>148</v>
      </c>
      <c r="AD1382" s="165" t="s">
        <v>148</v>
      </c>
      <c r="AE1382" s="165"/>
      <c r="AF1382" s="165"/>
    </row>
    <row r="1383" spans="1:32" x14ac:dyDescent="0.3">
      <c r="A1383" s="165" t="s">
        <v>2142</v>
      </c>
      <c r="B1383" s="165" t="s">
        <v>14</v>
      </c>
      <c r="C1383" s="165" t="s">
        <v>2119</v>
      </c>
      <c r="D1383" s="165" t="s">
        <v>15</v>
      </c>
      <c r="E1383" s="157">
        <v>41697</v>
      </c>
      <c r="F1383" s="165" t="s">
        <v>148</v>
      </c>
      <c r="G1383" s="165" t="s">
        <v>16</v>
      </c>
      <c r="H1383" s="165" t="s">
        <v>16</v>
      </c>
      <c r="I1383" s="165" t="s">
        <v>148</v>
      </c>
      <c r="J1383" s="165" t="s">
        <v>148</v>
      </c>
      <c r="K1383" s="165" t="s">
        <v>16</v>
      </c>
      <c r="L1383" s="165" t="s">
        <v>16</v>
      </c>
      <c r="M1383" s="165" t="s">
        <v>148</v>
      </c>
      <c r="N1383" s="165" t="s">
        <v>148</v>
      </c>
      <c r="O1383" s="165" t="s">
        <v>16</v>
      </c>
      <c r="P1383" s="165" t="s">
        <v>148</v>
      </c>
      <c r="Q1383" s="165" t="s">
        <v>16</v>
      </c>
      <c r="R1383" s="165" t="s">
        <v>16</v>
      </c>
      <c r="S1383" s="165" t="s">
        <v>16</v>
      </c>
      <c r="T1383" s="165" t="s">
        <v>16</v>
      </c>
      <c r="U1383" s="165" t="s">
        <v>148</v>
      </c>
      <c r="V1383" s="165" t="s">
        <v>16</v>
      </c>
      <c r="W1383" s="165" t="s">
        <v>16</v>
      </c>
      <c r="X1383" s="165" t="s">
        <v>16</v>
      </c>
      <c r="Y1383" s="165" t="s">
        <v>148</v>
      </c>
      <c r="Z1383" s="165" t="s">
        <v>16</v>
      </c>
      <c r="AA1383" s="165" t="s">
        <v>16</v>
      </c>
      <c r="AB1383" s="165" t="s">
        <v>16</v>
      </c>
      <c r="AC1383" s="165" t="s">
        <v>148</v>
      </c>
      <c r="AD1383" s="165" t="s">
        <v>16</v>
      </c>
      <c r="AE1383" s="165" t="s">
        <v>2130</v>
      </c>
      <c r="AF1383" s="165"/>
    </row>
    <row r="1384" spans="1:32" x14ac:dyDescent="0.3">
      <c r="A1384" s="165" t="s">
        <v>2143</v>
      </c>
      <c r="B1384" s="165" t="s">
        <v>14</v>
      </c>
      <c r="C1384" s="165" t="s">
        <v>2119</v>
      </c>
      <c r="D1384" s="165" t="s">
        <v>15</v>
      </c>
      <c r="E1384" s="157">
        <v>41697</v>
      </c>
      <c r="F1384" s="165" t="s">
        <v>149</v>
      </c>
      <c r="G1384" s="165" t="s">
        <v>16</v>
      </c>
      <c r="H1384" s="165" t="s">
        <v>149</v>
      </c>
      <c r="I1384" s="165" t="s">
        <v>16</v>
      </c>
      <c r="J1384" s="165" t="s">
        <v>148</v>
      </c>
      <c r="K1384" s="165" t="s">
        <v>149</v>
      </c>
      <c r="L1384" s="165" t="s">
        <v>16</v>
      </c>
      <c r="M1384" s="165" t="s">
        <v>148</v>
      </c>
      <c r="N1384" s="165" t="s">
        <v>148</v>
      </c>
      <c r="O1384" s="165" t="s">
        <v>16</v>
      </c>
      <c r="P1384" s="165" t="s">
        <v>148</v>
      </c>
      <c r="Q1384" s="165" t="s">
        <v>16</v>
      </c>
      <c r="R1384" s="165" t="s">
        <v>16</v>
      </c>
      <c r="S1384" s="165" t="s">
        <v>16</v>
      </c>
      <c r="T1384" s="165" t="s">
        <v>16</v>
      </c>
      <c r="U1384" s="165" t="s">
        <v>16</v>
      </c>
      <c r="V1384" s="165" t="s">
        <v>16</v>
      </c>
      <c r="W1384" s="165" t="s">
        <v>16</v>
      </c>
      <c r="X1384" s="165" t="s">
        <v>16</v>
      </c>
      <c r="Y1384" s="165" t="s">
        <v>16</v>
      </c>
      <c r="Z1384" s="165" t="s">
        <v>149</v>
      </c>
      <c r="AA1384" s="165" t="s">
        <v>16</v>
      </c>
      <c r="AB1384" s="165" t="s">
        <v>16</v>
      </c>
      <c r="AC1384" s="165" t="s">
        <v>16</v>
      </c>
      <c r="AD1384" s="165" t="s">
        <v>16</v>
      </c>
      <c r="AE1384" s="165" t="s">
        <v>2130</v>
      </c>
      <c r="AF1384" s="165"/>
    </row>
    <row r="1385" spans="1:32" x14ac:dyDescent="0.3">
      <c r="A1385" s="165" t="s">
        <v>2144</v>
      </c>
      <c r="B1385" s="165" t="s">
        <v>14</v>
      </c>
      <c r="C1385" s="165" t="s">
        <v>2119</v>
      </c>
      <c r="D1385" s="165" t="s">
        <v>15</v>
      </c>
      <c r="E1385" s="157">
        <v>41697</v>
      </c>
      <c r="F1385" s="165" t="s">
        <v>16</v>
      </c>
      <c r="G1385" s="165" t="s">
        <v>16</v>
      </c>
      <c r="H1385" s="165" t="s">
        <v>16</v>
      </c>
      <c r="I1385" s="165" t="s">
        <v>16</v>
      </c>
      <c r="J1385" s="165" t="s">
        <v>16</v>
      </c>
      <c r="K1385" s="165" t="s">
        <v>16</v>
      </c>
      <c r="L1385" s="165" t="s">
        <v>16</v>
      </c>
      <c r="M1385" s="165" t="s">
        <v>16</v>
      </c>
      <c r="N1385" s="165" t="s">
        <v>16</v>
      </c>
      <c r="O1385" s="165" t="s">
        <v>16</v>
      </c>
      <c r="P1385" s="165" t="s">
        <v>16</v>
      </c>
      <c r="Q1385" s="165" t="s">
        <v>16</v>
      </c>
      <c r="R1385" s="165" t="s">
        <v>16</v>
      </c>
      <c r="S1385" s="165" t="s">
        <v>16</v>
      </c>
      <c r="T1385" s="165" t="s">
        <v>16</v>
      </c>
      <c r="U1385" s="165" t="s">
        <v>16</v>
      </c>
      <c r="V1385" s="165" t="s">
        <v>16</v>
      </c>
      <c r="W1385" s="165" t="s">
        <v>16</v>
      </c>
      <c r="X1385" s="165" t="s">
        <v>16</v>
      </c>
      <c r="Y1385" s="165" t="s">
        <v>16</v>
      </c>
      <c r="Z1385" s="165" t="s">
        <v>16</v>
      </c>
      <c r="AA1385" s="165" t="s">
        <v>16</v>
      </c>
      <c r="AB1385" s="165" t="s">
        <v>16</v>
      </c>
      <c r="AC1385" s="165" t="s">
        <v>16</v>
      </c>
      <c r="AD1385" s="165" t="s">
        <v>16</v>
      </c>
      <c r="AE1385" s="165" t="s">
        <v>2120</v>
      </c>
      <c r="AF1385" s="165"/>
    </row>
    <row r="1386" spans="1:32" x14ac:dyDescent="0.3">
      <c r="A1386" s="165" t="s">
        <v>2145</v>
      </c>
      <c r="B1386" s="165" t="s">
        <v>14</v>
      </c>
      <c r="C1386" s="165" t="s">
        <v>2119</v>
      </c>
      <c r="D1386" s="165" t="s">
        <v>15</v>
      </c>
      <c r="E1386" s="157">
        <v>41697</v>
      </c>
      <c r="F1386" s="165" t="s">
        <v>149</v>
      </c>
      <c r="G1386" s="165" t="s">
        <v>16</v>
      </c>
      <c r="H1386" s="165" t="s">
        <v>149</v>
      </c>
      <c r="I1386" s="165" t="s">
        <v>16</v>
      </c>
      <c r="J1386" s="165" t="s">
        <v>16</v>
      </c>
      <c r="K1386" s="165" t="s">
        <v>16</v>
      </c>
      <c r="L1386" s="165" t="s">
        <v>149</v>
      </c>
      <c r="M1386" s="165" t="s">
        <v>16</v>
      </c>
      <c r="N1386" s="165" t="s">
        <v>16</v>
      </c>
      <c r="O1386" s="165" t="s">
        <v>149</v>
      </c>
      <c r="P1386" s="165" t="s">
        <v>16</v>
      </c>
      <c r="Q1386" s="165" t="s">
        <v>149</v>
      </c>
      <c r="R1386" s="165" t="s">
        <v>149</v>
      </c>
      <c r="S1386" s="165" t="s">
        <v>16</v>
      </c>
      <c r="T1386" s="165" t="s">
        <v>16</v>
      </c>
      <c r="U1386" s="165" t="s">
        <v>149</v>
      </c>
      <c r="V1386" s="165" t="s">
        <v>149</v>
      </c>
      <c r="W1386" s="165" t="s">
        <v>16</v>
      </c>
      <c r="X1386" s="165" t="s">
        <v>16</v>
      </c>
      <c r="Y1386" s="165" t="s">
        <v>16</v>
      </c>
      <c r="Z1386" s="165" t="s">
        <v>16</v>
      </c>
      <c r="AA1386" s="165" t="s">
        <v>16</v>
      </c>
      <c r="AB1386" s="165" t="s">
        <v>148</v>
      </c>
      <c r="AC1386" s="165" t="s">
        <v>16</v>
      </c>
      <c r="AD1386" s="165" t="s">
        <v>16</v>
      </c>
      <c r="AE1386" s="165" t="s">
        <v>2146</v>
      </c>
      <c r="AF1386" s="165"/>
    </row>
    <row r="1387" spans="1:32" x14ac:dyDescent="0.3">
      <c r="A1387" s="165" t="s">
        <v>2147</v>
      </c>
      <c r="B1387" s="165" t="s">
        <v>14</v>
      </c>
      <c r="C1387" s="165" t="s">
        <v>2119</v>
      </c>
      <c r="D1387" s="165" t="s">
        <v>15</v>
      </c>
      <c r="E1387" s="157">
        <v>41697</v>
      </c>
      <c r="F1387" s="165" t="s">
        <v>16</v>
      </c>
      <c r="G1387" s="165" t="s">
        <v>16</v>
      </c>
      <c r="H1387" s="165" t="s">
        <v>16</v>
      </c>
      <c r="I1387" s="165" t="s">
        <v>149</v>
      </c>
      <c r="J1387" s="165" t="s">
        <v>16</v>
      </c>
      <c r="K1387" s="165" t="s">
        <v>16</v>
      </c>
      <c r="L1387" s="165" t="s">
        <v>16</v>
      </c>
      <c r="M1387" s="165" t="s">
        <v>16</v>
      </c>
      <c r="N1387" s="165" t="s">
        <v>16</v>
      </c>
      <c r="O1387" s="165" t="s">
        <v>16</v>
      </c>
      <c r="P1387" s="165" t="s">
        <v>16</v>
      </c>
      <c r="Q1387" s="165" t="s">
        <v>16</v>
      </c>
      <c r="R1387" s="165" t="s">
        <v>16</v>
      </c>
      <c r="S1387" s="165" t="s">
        <v>16</v>
      </c>
      <c r="T1387" s="165" t="s">
        <v>16</v>
      </c>
      <c r="U1387" s="165" t="s">
        <v>16</v>
      </c>
      <c r="V1387" s="165" t="s">
        <v>16</v>
      </c>
      <c r="W1387" s="165" t="s">
        <v>16</v>
      </c>
      <c r="X1387" s="165" t="s">
        <v>16</v>
      </c>
      <c r="Y1387" s="165" t="s">
        <v>16</v>
      </c>
      <c r="Z1387" s="165" t="s">
        <v>16</v>
      </c>
      <c r="AA1387" s="165" t="s">
        <v>16</v>
      </c>
      <c r="AB1387" s="165" t="s">
        <v>16</v>
      </c>
      <c r="AC1387" s="165" t="s">
        <v>16</v>
      </c>
      <c r="AD1387" s="165" t="s">
        <v>16</v>
      </c>
      <c r="AE1387" s="165" t="s">
        <v>2120</v>
      </c>
      <c r="AF1387" s="165"/>
    </row>
    <row r="1388" spans="1:32" x14ac:dyDescent="0.3">
      <c r="A1388" s="165" t="s">
        <v>2148</v>
      </c>
      <c r="B1388" s="165" t="s">
        <v>14</v>
      </c>
      <c r="C1388" s="165" t="s">
        <v>2119</v>
      </c>
      <c r="D1388" s="165" t="s">
        <v>15</v>
      </c>
      <c r="E1388" s="157">
        <v>41697</v>
      </c>
      <c r="F1388" s="165" t="s">
        <v>16</v>
      </c>
      <c r="G1388" s="165" t="s">
        <v>16</v>
      </c>
      <c r="H1388" s="165" t="s">
        <v>16</v>
      </c>
      <c r="I1388" s="165" t="s">
        <v>16</v>
      </c>
      <c r="J1388" s="165" t="s">
        <v>16</v>
      </c>
      <c r="K1388" s="165" t="s">
        <v>16</v>
      </c>
      <c r="L1388" s="165" t="s">
        <v>16</v>
      </c>
      <c r="M1388" s="165" t="s">
        <v>16</v>
      </c>
      <c r="N1388" s="165" t="s">
        <v>16</v>
      </c>
      <c r="O1388" s="165" t="s">
        <v>16</v>
      </c>
      <c r="P1388" s="165" t="s">
        <v>16</v>
      </c>
      <c r="Q1388" s="165" t="s">
        <v>16</v>
      </c>
      <c r="R1388" s="165" t="s">
        <v>16</v>
      </c>
      <c r="S1388" s="165" t="s">
        <v>16</v>
      </c>
      <c r="T1388" s="165" t="s">
        <v>16</v>
      </c>
      <c r="U1388" s="165" t="s">
        <v>16</v>
      </c>
      <c r="V1388" s="165" t="s">
        <v>16</v>
      </c>
      <c r="W1388" s="165" t="s">
        <v>16</v>
      </c>
      <c r="X1388" s="165" t="s">
        <v>16</v>
      </c>
      <c r="Y1388" s="165" t="s">
        <v>16</v>
      </c>
      <c r="Z1388" s="165" t="s">
        <v>16</v>
      </c>
      <c r="AA1388" s="165" t="s">
        <v>16</v>
      </c>
      <c r="AB1388" s="165" t="s">
        <v>16</v>
      </c>
      <c r="AC1388" s="165" t="s">
        <v>16</v>
      </c>
      <c r="AD1388" s="165" t="s">
        <v>16</v>
      </c>
      <c r="AE1388" s="165" t="s">
        <v>2120</v>
      </c>
      <c r="AF1388" s="165"/>
    </row>
    <row r="1389" spans="1:32" x14ac:dyDescent="0.3">
      <c r="A1389" s="165" t="s">
        <v>2149</v>
      </c>
      <c r="B1389" s="165" t="s">
        <v>14</v>
      </c>
      <c r="C1389" s="165" t="s">
        <v>2119</v>
      </c>
      <c r="D1389" s="165" t="s">
        <v>15</v>
      </c>
      <c r="E1389" s="157">
        <v>41697</v>
      </c>
      <c r="F1389" s="165" t="s">
        <v>16</v>
      </c>
      <c r="G1389" s="165" t="s">
        <v>16</v>
      </c>
      <c r="H1389" s="165" t="s">
        <v>16</v>
      </c>
      <c r="I1389" s="165" t="s">
        <v>16</v>
      </c>
      <c r="J1389" s="165" t="s">
        <v>16</v>
      </c>
      <c r="K1389" s="165" t="s">
        <v>16</v>
      </c>
      <c r="L1389" s="165" t="s">
        <v>16</v>
      </c>
      <c r="M1389" s="165" t="s">
        <v>16</v>
      </c>
      <c r="N1389" s="165" t="s">
        <v>16</v>
      </c>
      <c r="O1389" s="165" t="s">
        <v>16</v>
      </c>
      <c r="P1389" s="165" t="s">
        <v>16</v>
      </c>
      <c r="Q1389" s="165" t="s">
        <v>16</v>
      </c>
      <c r="R1389" s="165" t="s">
        <v>16</v>
      </c>
      <c r="S1389" s="165" t="s">
        <v>16</v>
      </c>
      <c r="T1389" s="165" t="s">
        <v>16</v>
      </c>
      <c r="U1389" s="165" t="s">
        <v>16</v>
      </c>
      <c r="V1389" s="165" t="s">
        <v>16</v>
      </c>
      <c r="W1389" s="165" t="s">
        <v>16</v>
      </c>
      <c r="X1389" s="165" t="s">
        <v>16</v>
      </c>
      <c r="Y1389" s="165" t="s">
        <v>16</v>
      </c>
      <c r="Z1389" s="165" t="s">
        <v>16</v>
      </c>
      <c r="AA1389" s="165" t="s">
        <v>16</v>
      </c>
      <c r="AB1389" s="165" t="s">
        <v>16</v>
      </c>
      <c r="AC1389" s="165" t="s">
        <v>16</v>
      </c>
      <c r="AD1389" s="165" t="s">
        <v>16</v>
      </c>
      <c r="AE1389" s="165" t="s">
        <v>2150</v>
      </c>
      <c r="AF1389" s="165"/>
    </row>
    <row r="1390" spans="1:32" x14ac:dyDescent="0.3">
      <c r="A1390" s="165" t="s">
        <v>2151</v>
      </c>
      <c r="B1390" s="165" t="s">
        <v>14</v>
      </c>
      <c r="C1390" s="165" t="s">
        <v>2119</v>
      </c>
      <c r="D1390" s="165" t="s">
        <v>15</v>
      </c>
      <c r="E1390" s="157">
        <v>41697</v>
      </c>
      <c r="F1390" s="165" t="s">
        <v>149</v>
      </c>
      <c r="G1390" s="165" t="s">
        <v>149</v>
      </c>
      <c r="H1390" s="165" t="s">
        <v>16</v>
      </c>
      <c r="I1390" s="165" t="s">
        <v>16</v>
      </c>
      <c r="J1390" s="165" t="s">
        <v>16</v>
      </c>
      <c r="K1390" s="165" t="s">
        <v>148</v>
      </c>
      <c r="L1390" s="165" t="s">
        <v>148</v>
      </c>
      <c r="M1390" s="165" t="s">
        <v>16</v>
      </c>
      <c r="N1390" s="165" t="s">
        <v>16</v>
      </c>
      <c r="O1390" s="165" t="s">
        <v>16</v>
      </c>
      <c r="P1390" s="165" t="s">
        <v>16</v>
      </c>
      <c r="Q1390" s="165" t="s">
        <v>16</v>
      </c>
      <c r="R1390" s="165" t="s">
        <v>16</v>
      </c>
      <c r="S1390" s="165" t="s">
        <v>148</v>
      </c>
      <c r="T1390" s="165" t="s">
        <v>148</v>
      </c>
      <c r="U1390" s="165" t="s">
        <v>16</v>
      </c>
      <c r="V1390" s="165" t="s">
        <v>16</v>
      </c>
      <c r="W1390" s="165" t="s">
        <v>16</v>
      </c>
      <c r="X1390" s="165" t="s">
        <v>148</v>
      </c>
      <c r="Y1390" s="165" t="s">
        <v>16</v>
      </c>
      <c r="Z1390" s="165" t="s">
        <v>149</v>
      </c>
      <c r="AA1390" s="165" t="s">
        <v>16</v>
      </c>
      <c r="AB1390" s="165" t="s">
        <v>16</v>
      </c>
      <c r="AC1390" s="165" t="s">
        <v>149</v>
      </c>
      <c r="AD1390" s="165" t="s">
        <v>16</v>
      </c>
      <c r="AE1390" s="165" t="s">
        <v>2120</v>
      </c>
      <c r="AF1390" s="165" t="s">
        <v>2152</v>
      </c>
    </row>
    <row r="1391" spans="1:32" x14ac:dyDescent="0.3">
      <c r="A1391" s="165" t="s">
        <v>2153</v>
      </c>
      <c r="B1391" s="165" t="s">
        <v>14</v>
      </c>
      <c r="C1391" s="165" t="s">
        <v>2119</v>
      </c>
      <c r="D1391" s="165" t="s">
        <v>15</v>
      </c>
      <c r="E1391" s="157">
        <v>41697</v>
      </c>
      <c r="F1391" s="165" t="s">
        <v>16</v>
      </c>
      <c r="G1391" s="165" t="s">
        <v>16</v>
      </c>
      <c r="H1391" s="165" t="s">
        <v>16</v>
      </c>
      <c r="I1391" s="165" t="s">
        <v>16</v>
      </c>
      <c r="J1391" s="165" t="s">
        <v>16</v>
      </c>
      <c r="K1391" s="165" t="s">
        <v>16</v>
      </c>
      <c r="L1391" s="165" t="s">
        <v>16</v>
      </c>
      <c r="M1391" s="165" t="s">
        <v>16</v>
      </c>
      <c r="N1391" s="165" t="s">
        <v>16</v>
      </c>
      <c r="O1391" s="165" t="s">
        <v>16</v>
      </c>
      <c r="P1391" s="165" t="s">
        <v>16</v>
      </c>
      <c r="Q1391" s="165" t="s">
        <v>16</v>
      </c>
      <c r="R1391" s="165" t="s">
        <v>16</v>
      </c>
      <c r="S1391" s="165" t="s">
        <v>16</v>
      </c>
      <c r="T1391" s="165" t="s">
        <v>16</v>
      </c>
      <c r="U1391" s="165" t="s">
        <v>16</v>
      </c>
      <c r="V1391" s="165" t="s">
        <v>16</v>
      </c>
      <c r="W1391" s="165" t="s">
        <v>16</v>
      </c>
      <c r="X1391" s="165" t="s">
        <v>16</v>
      </c>
      <c r="Y1391" s="165" t="s">
        <v>16</v>
      </c>
      <c r="Z1391" s="165" t="s">
        <v>16</v>
      </c>
      <c r="AA1391" s="165" t="s">
        <v>16</v>
      </c>
      <c r="AB1391" s="165" t="s">
        <v>16</v>
      </c>
      <c r="AC1391" s="165" t="s">
        <v>16</v>
      </c>
      <c r="AD1391" s="165" t="s">
        <v>16</v>
      </c>
      <c r="AE1391" s="165" t="s">
        <v>2120</v>
      </c>
      <c r="AF1391" s="165"/>
    </row>
    <row r="1394" spans="1:32" x14ac:dyDescent="0.3">
      <c r="A1394" s="165"/>
      <c r="B1394" s="165"/>
      <c r="C1394" s="165"/>
      <c r="D1394" s="165"/>
      <c r="E1394" s="165"/>
      <c r="F1394" s="165" t="s">
        <v>124</v>
      </c>
      <c r="G1394" s="165" t="s">
        <v>125</v>
      </c>
      <c r="H1394" s="165" t="s">
        <v>126</v>
      </c>
      <c r="I1394" s="165" t="s">
        <v>127</v>
      </c>
      <c r="J1394" s="165" t="s">
        <v>214</v>
      </c>
      <c r="K1394" s="165" t="s">
        <v>128</v>
      </c>
      <c r="L1394" s="165" t="s">
        <v>129</v>
      </c>
      <c r="M1394" s="165" t="s">
        <v>130</v>
      </c>
      <c r="N1394" s="165" t="s">
        <v>131</v>
      </c>
      <c r="O1394" s="165" t="s">
        <v>132</v>
      </c>
      <c r="P1394" s="165" t="s">
        <v>133</v>
      </c>
      <c r="Q1394" s="165" t="s">
        <v>134</v>
      </c>
      <c r="R1394" s="165" t="s">
        <v>135</v>
      </c>
      <c r="S1394" s="165" t="s">
        <v>136</v>
      </c>
      <c r="T1394" s="165" t="s">
        <v>137</v>
      </c>
      <c r="U1394" s="165" t="s">
        <v>138</v>
      </c>
      <c r="V1394" s="165" t="s">
        <v>139</v>
      </c>
      <c r="W1394" s="165" t="s">
        <v>140</v>
      </c>
      <c r="X1394" s="165" t="s">
        <v>186</v>
      </c>
      <c r="Y1394" s="165" t="s">
        <v>209</v>
      </c>
      <c r="Z1394" s="165" t="s">
        <v>141</v>
      </c>
      <c r="AA1394" s="165" t="s">
        <v>142</v>
      </c>
      <c r="AB1394" s="165" t="s">
        <v>210</v>
      </c>
      <c r="AC1394" s="165" t="s">
        <v>1180</v>
      </c>
      <c r="AD1394" s="165" t="s">
        <v>144</v>
      </c>
      <c r="AE1394" s="165" t="s">
        <v>2157</v>
      </c>
      <c r="AF1394" s="165" t="s">
        <v>190</v>
      </c>
    </row>
    <row r="1395" spans="1:32" x14ac:dyDescent="0.3">
      <c r="A1395" s="165" t="s">
        <v>2158</v>
      </c>
      <c r="B1395" s="165" t="s">
        <v>14</v>
      </c>
      <c r="C1395" s="165" t="s">
        <v>2159</v>
      </c>
      <c r="D1395" s="165" t="s">
        <v>15</v>
      </c>
      <c r="E1395" s="157">
        <v>41728</v>
      </c>
      <c r="F1395" s="165" t="s">
        <v>150</v>
      </c>
      <c r="G1395" s="165" t="s">
        <v>16</v>
      </c>
      <c r="H1395" s="165" t="s">
        <v>16</v>
      </c>
      <c r="I1395" s="165" t="s">
        <v>150</v>
      </c>
      <c r="J1395" s="165" t="s">
        <v>16</v>
      </c>
      <c r="K1395" s="165" t="s">
        <v>148</v>
      </c>
      <c r="L1395" s="165" t="s">
        <v>150</v>
      </c>
      <c r="M1395" s="165" t="s">
        <v>150</v>
      </c>
      <c r="N1395" s="165" t="s">
        <v>148</v>
      </c>
      <c r="O1395" s="165" t="s">
        <v>16</v>
      </c>
      <c r="P1395" s="165" t="s">
        <v>150</v>
      </c>
      <c r="Q1395" s="165" t="s">
        <v>148</v>
      </c>
      <c r="R1395" s="165" t="s">
        <v>16</v>
      </c>
      <c r="S1395" s="165" t="s">
        <v>148</v>
      </c>
      <c r="T1395" s="165" t="s">
        <v>150</v>
      </c>
      <c r="U1395" s="165" t="s">
        <v>150</v>
      </c>
      <c r="V1395" s="165" t="s">
        <v>16</v>
      </c>
      <c r="W1395" s="165" t="s">
        <v>148</v>
      </c>
      <c r="X1395" s="165" t="s">
        <v>16</v>
      </c>
      <c r="Y1395" s="165" t="s">
        <v>150</v>
      </c>
      <c r="Z1395" s="165" t="s">
        <v>148</v>
      </c>
      <c r="AA1395" s="165" t="s">
        <v>148</v>
      </c>
      <c r="AB1395" s="165" t="s">
        <v>16</v>
      </c>
      <c r="AC1395" s="165" t="s">
        <v>150</v>
      </c>
      <c r="AD1395" s="165" t="s">
        <v>148</v>
      </c>
      <c r="AE1395" s="165" t="s">
        <v>2160</v>
      </c>
      <c r="AF1395" s="165"/>
    </row>
    <row r="1396" spans="1:32" x14ac:dyDescent="0.3">
      <c r="A1396" s="165" t="s">
        <v>2161</v>
      </c>
      <c r="B1396" s="165" t="s">
        <v>14</v>
      </c>
      <c r="C1396" s="165" t="s">
        <v>2159</v>
      </c>
      <c r="D1396" s="165" t="s">
        <v>15</v>
      </c>
      <c r="E1396" s="157">
        <v>41728</v>
      </c>
      <c r="F1396" s="165" t="s">
        <v>148</v>
      </c>
      <c r="G1396" s="165" t="s">
        <v>16</v>
      </c>
      <c r="H1396" s="165" t="s">
        <v>148</v>
      </c>
      <c r="I1396" s="165" t="s">
        <v>16</v>
      </c>
      <c r="J1396" s="165" t="s">
        <v>16</v>
      </c>
      <c r="K1396" s="165" t="s">
        <v>16</v>
      </c>
      <c r="L1396" s="165" t="s">
        <v>148</v>
      </c>
      <c r="M1396" s="165" t="s">
        <v>148</v>
      </c>
      <c r="N1396" s="165" t="s">
        <v>148</v>
      </c>
      <c r="O1396" s="165" t="s">
        <v>16</v>
      </c>
      <c r="P1396" s="165" t="s">
        <v>148</v>
      </c>
      <c r="Q1396" s="165" t="s">
        <v>16</v>
      </c>
      <c r="R1396" s="165" t="s">
        <v>148</v>
      </c>
      <c r="S1396" s="165" t="s">
        <v>148</v>
      </c>
      <c r="T1396" s="165" t="s">
        <v>148</v>
      </c>
      <c r="U1396" s="165" t="s">
        <v>148</v>
      </c>
      <c r="V1396" s="165" t="s">
        <v>16</v>
      </c>
      <c r="W1396" s="165" t="s">
        <v>148</v>
      </c>
      <c r="X1396" s="165" t="s">
        <v>16</v>
      </c>
      <c r="Y1396" s="165" t="s">
        <v>16</v>
      </c>
      <c r="Z1396" s="165" t="s">
        <v>16</v>
      </c>
      <c r="AA1396" s="165" t="s">
        <v>16</v>
      </c>
      <c r="AB1396" s="165" t="s">
        <v>16</v>
      </c>
      <c r="AC1396" s="165" t="s">
        <v>148</v>
      </c>
      <c r="AD1396" s="165" t="s">
        <v>16</v>
      </c>
      <c r="AE1396" s="165" t="s">
        <v>2162</v>
      </c>
      <c r="AF1396" s="165"/>
    </row>
    <row r="1397" spans="1:32" x14ac:dyDescent="0.3">
      <c r="A1397" s="165" t="s">
        <v>2163</v>
      </c>
      <c r="B1397" s="165" t="s">
        <v>14</v>
      </c>
      <c r="C1397" s="165" t="s">
        <v>2159</v>
      </c>
      <c r="D1397" s="165" t="s">
        <v>15</v>
      </c>
      <c r="E1397" s="157">
        <v>41728</v>
      </c>
      <c r="F1397" s="165" t="s">
        <v>16</v>
      </c>
      <c r="G1397" s="165" t="s">
        <v>16</v>
      </c>
      <c r="H1397" s="165" t="s">
        <v>149</v>
      </c>
      <c r="I1397" s="165" t="s">
        <v>149</v>
      </c>
      <c r="J1397" s="165" t="s">
        <v>148</v>
      </c>
      <c r="K1397" s="165" t="s">
        <v>16</v>
      </c>
      <c r="L1397" s="165" t="s">
        <v>16</v>
      </c>
      <c r="M1397" s="165" t="s">
        <v>16</v>
      </c>
      <c r="N1397" s="165" t="s">
        <v>16</v>
      </c>
      <c r="O1397" s="165" t="s">
        <v>16</v>
      </c>
      <c r="P1397" s="165" t="s">
        <v>149</v>
      </c>
      <c r="Q1397" s="165" t="s">
        <v>149</v>
      </c>
      <c r="R1397" s="165" t="s">
        <v>148</v>
      </c>
      <c r="S1397" s="165" t="s">
        <v>16</v>
      </c>
      <c r="T1397" s="165" t="s">
        <v>148</v>
      </c>
      <c r="U1397" s="165" t="s">
        <v>16</v>
      </c>
      <c r="V1397" s="165" t="s">
        <v>149</v>
      </c>
      <c r="W1397" s="165" t="s">
        <v>148</v>
      </c>
      <c r="X1397" s="165" t="s">
        <v>16</v>
      </c>
      <c r="Y1397" s="165" t="s">
        <v>148</v>
      </c>
      <c r="Z1397" s="165" t="s">
        <v>16</v>
      </c>
      <c r="AA1397" s="165" t="s">
        <v>16</v>
      </c>
      <c r="AB1397" s="165" t="s">
        <v>16</v>
      </c>
      <c r="AC1397" s="165" t="s">
        <v>149</v>
      </c>
      <c r="AD1397" s="165" t="s">
        <v>16</v>
      </c>
      <c r="AE1397" s="165" t="s">
        <v>2164</v>
      </c>
      <c r="AF1397" s="165"/>
    </row>
    <row r="1398" spans="1:32" x14ac:dyDescent="0.3">
      <c r="A1398" s="165" t="s">
        <v>2165</v>
      </c>
      <c r="B1398" s="165" t="s">
        <v>14</v>
      </c>
      <c r="C1398" s="165" t="s">
        <v>2159</v>
      </c>
      <c r="D1398" s="165" t="s">
        <v>15</v>
      </c>
      <c r="E1398" s="157">
        <v>41728</v>
      </c>
      <c r="F1398" s="165" t="s">
        <v>16</v>
      </c>
      <c r="G1398" s="165" t="s">
        <v>16</v>
      </c>
      <c r="H1398" s="165" t="s">
        <v>16</v>
      </c>
      <c r="I1398" s="165" t="s">
        <v>16</v>
      </c>
      <c r="J1398" s="165" t="s">
        <v>16</v>
      </c>
      <c r="K1398" s="165" t="s">
        <v>16</v>
      </c>
      <c r="L1398" s="165" t="s">
        <v>16</v>
      </c>
      <c r="M1398" s="165" t="s">
        <v>16</v>
      </c>
      <c r="N1398" s="165" t="s">
        <v>16</v>
      </c>
      <c r="O1398" s="165" t="s">
        <v>16</v>
      </c>
      <c r="P1398" s="165" t="s">
        <v>16</v>
      </c>
      <c r="Q1398" s="165" t="s">
        <v>16</v>
      </c>
      <c r="R1398" s="165" t="s">
        <v>16</v>
      </c>
      <c r="S1398" s="165" t="s">
        <v>16</v>
      </c>
      <c r="T1398" s="165" t="s">
        <v>16</v>
      </c>
      <c r="U1398" s="165" t="s">
        <v>16</v>
      </c>
      <c r="V1398" s="165" t="s">
        <v>16</v>
      </c>
      <c r="W1398" s="165" t="s">
        <v>16</v>
      </c>
      <c r="X1398" s="165" t="s">
        <v>16</v>
      </c>
      <c r="Y1398" s="165" t="s">
        <v>16</v>
      </c>
      <c r="Z1398" s="165" t="s">
        <v>16</v>
      </c>
      <c r="AA1398" s="165" t="s">
        <v>16</v>
      </c>
      <c r="AB1398" s="165" t="s">
        <v>16</v>
      </c>
      <c r="AC1398" s="165" t="s">
        <v>16</v>
      </c>
      <c r="AD1398" s="165" t="s">
        <v>16</v>
      </c>
      <c r="AE1398" s="165" t="s">
        <v>2164</v>
      </c>
      <c r="AF1398" s="165"/>
    </row>
    <row r="1399" spans="1:32" x14ac:dyDescent="0.3">
      <c r="A1399" s="165" t="s">
        <v>2166</v>
      </c>
      <c r="B1399" s="165" t="s">
        <v>14</v>
      </c>
      <c r="C1399" s="165" t="s">
        <v>2159</v>
      </c>
      <c r="D1399" s="165" t="s">
        <v>15</v>
      </c>
      <c r="E1399" s="157">
        <v>41728</v>
      </c>
      <c r="F1399" s="165" t="s">
        <v>16</v>
      </c>
      <c r="G1399" s="165" t="s">
        <v>16</v>
      </c>
      <c r="H1399" s="165" t="s">
        <v>16</v>
      </c>
      <c r="I1399" s="165" t="s">
        <v>16</v>
      </c>
      <c r="J1399" s="165" t="s">
        <v>16</v>
      </c>
      <c r="K1399" s="165" t="s">
        <v>16</v>
      </c>
      <c r="L1399" s="165" t="s">
        <v>16</v>
      </c>
      <c r="M1399" s="165" t="s">
        <v>16</v>
      </c>
      <c r="N1399" s="165" t="s">
        <v>148</v>
      </c>
      <c r="O1399" s="165" t="s">
        <v>148</v>
      </c>
      <c r="P1399" s="165" t="s">
        <v>148</v>
      </c>
      <c r="Q1399" s="165" t="s">
        <v>16</v>
      </c>
      <c r="R1399" s="165" t="s">
        <v>16</v>
      </c>
      <c r="S1399" s="165" t="s">
        <v>16</v>
      </c>
      <c r="T1399" s="165" t="s">
        <v>148</v>
      </c>
      <c r="U1399" s="165" t="s">
        <v>16</v>
      </c>
      <c r="V1399" s="165" t="s">
        <v>16</v>
      </c>
      <c r="W1399" s="165" t="s">
        <v>16</v>
      </c>
      <c r="X1399" s="165" t="s">
        <v>16</v>
      </c>
      <c r="Y1399" s="165" t="s">
        <v>16</v>
      </c>
      <c r="Z1399" s="165" t="s">
        <v>16</v>
      </c>
      <c r="AA1399" s="165" t="s">
        <v>16</v>
      </c>
      <c r="AB1399" s="165" t="s">
        <v>16</v>
      </c>
      <c r="AC1399" s="165" t="s">
        <v>16</v>
      </c>
      <c r="AD1399" s="165" t="s">
        <v>16</v>
      </c>
      <c r="AE1399" s="165" t="s">
        <v>2162</v>
      </c>
      <c r="AF1399" s="165"/>
    </row>
    <row r="1400" spans="1:32" x14ac:dyDescent="0.3">
      <c r="A1400" s="165" t="s">
        <v>2167</v>
      </c>
      <c r="B1400" s="165" t="s">
        <v>14</v>
      </c>
      <c r="C1400" s="165" t="s">
        <v>2159</v>
      </c>
      <c r="D1400" s="165" t="s">
        <v>15</v>
      </c>
      <c r="E1400" s="157">
        <v>41728</v>
      </c>
      <c r="F1400" s="165" t="s">
        <v>151</v>
      </c>
      <c r="G1400" s="165" t="s">
        <v>151</v>
      </c>
      <c r="H1400" s="165" t="s">
        <v>151</v>
      </c>
      <c r="I1400" s="165" t="s">
        <v>151</v>
      </c>
      <c r="J1400" s="165" t="s">
        <v>16</v>
      </c>
      <c r="K1400" s="165" t="s">
        <v>151</v>
      </c>
      <c r="L1400" s="165" t="s">
        <v>151</v>
      </c>
      <c r="M1400" s="165" t="s">
        <v>151</v>
      </c>
      <c r="N1400" s="165" t="s">
        <v>151</v>
      </c>
      <c r="O1400" s="165" t="s">
        <v>151</v>
      </c>
      <c r="P1400" s="165" t="s">
        <v>149</v>
      </c>
      <c r="Q1400" s="165" t="s">
        <v>149</v>
      </c>
      <c r="R1400" s="165" t="s">
        <v>149</v>
      </c>
      <c r="S1400" s="165" t="s">
        <v>16</v>
      </c>
      <c r="T1400" s="165" t="s">
        <v>16</v>
      </c>
      <c r="U1400" s="165" t="s">
        <v>151</v>
      </c>
      <c r="V1400" s="165" t="s">
        <v>151</v>
      </c>
      <c r="W1400" s="165" t="s">
        <v>16</v>
      </c>
      <c r="X1400" s="165" t="s">
        <v>16</v>
      </c>
      <c r="Y1400" s="165" t="s">
        <v>148</v>
      </c>
      <c r="Z1400" s="165" t="s">
        <v>149</v>
      </c>
      <c r="AA1400" s="165" t="s">
        <v>149</v>
      </c>
      <c r="AB1400" s="165" t="s">
        <v>16</v>
      </c>
      <c r="AC1400" s="165" t="s">
        <v>150</v>
      </c>
      <c r="AD1400" s="165" t="s">
        <v>150</v>
      </c>
      <c r="AE1400" s="165" t="s">
        <v>2168</v>
      </c>
      <c r="AF1400" s="165"/>
    </row>
    <row r="1401" spans="1:32" x14ac:dyDescent="0.3">
      <c r="A1401" s="165" t="s">
        <v>2169</v>
      </c>
      <c r="B1401" s="165" t="s">
        <v>14</v>
      </c>
      <c r="C1401" s="165" t="s">
        <v>2159</v>
      </c>
      <c r="D1401" s="165" t="s">
        <v>15</v>
      </c>
      <c r="E1401" s="157">
        <v>41728</v>
      </c>
      <c r="F1401" s="165" t="s">
        <v>16</v>
      </c>
      <c r="G1401" s="165" t="s">
        <v>16</v>
      </c>
      <c r="H1401" s="165" t="s">
        <v>16</v>
      </c>
      <c r="I1401" s="165" t="s">
        <v>16</v>
      </c>
      <c r="J1401" s="165" t="s">
        <v>148</v>
      </c>
      <c r="K1401" s="165" t="s">
        <v>16</v>
      </c>
      <c r="L1401" s="165" t="s">
        <v>16</v>
      </c>
      <c r="M1401" s="165" t="s">
        <v>16</v>
      </c>
      <c r="N1401" s="165" t="s">
        <v>16</v>
      </c>
      <c r="O1401" s="165" t="s">
        <v>16</v>
      </c>
      <c r="P1401" s="165" t="s">
        <v>16</v>
      </c>
      <c r="Q1401" s="165" t="s">
        <v>16</v>
      </c>
      <c r="R1401" s="165" t="s">
        <v>16</v>
      </c>
      <c r="S1401" s="165" t="s">
        <v>16</v>
      </c>
      <c r="T1401" s="165" t="s">
        <v>16</v>
      </c>
      <c r="U1401" s="165" t="s">
        <v>16</v>
      </c>
      <c r="V1401" s="165" t="s">
        <v>16</v>
      </c>
      <c r="W1401" s="165" t="s">
        <v>16</v>
      </c>
      <c r="X1401" s="165" t="s">
        <v>16</v>
      </c>
      <c r="Y1401" s="165" t="s">
        <v>16</v>
      </c>
      <c r="Z1401" s="165" t="s">
        <v>16</v>
      </c>
      <c r="AA1401" s="165" t="s">
        <v>16</v>
      </c>
      <c r="AB1401" s="165" t="s">
        <v>16</v>
      </c>
      <c r="AC1401" s="165" t="s">
        <v>16</v>
      </c>
      <c r="AD1401" s="165" t="s">
        <v>16</v>
      </c>
      <c r="AE1401" s="165" t="s">
        <v>2164</v>
      </c>
      <c r="AF1401" s="165"/>
    </row>
    <row r="1402" spans="1:32" x14ac:dyDescent="0.3">
      <c r="A1402" s="165" t="s">
        <v>2170</v>
      </c>
      <c r="B1402" s="165" t="s">
        <v>14</v>
      </c>
      <c r="C1402" s="165" t="s">
        <v>2159</v>
      </c>
      <c r="D1402" s="165" t="s">
        <v>15</v>
      </c>
      <c r="E1402" s="157">
        <v>41728</v>
      </c>
      <c r="F1402" s="165" t="s">
        <v>16</v>
      </c>
      <c r="G1402" s="165" t="s">
        <v>16</v>
      </c>
      <c r="H1402" s="165" t="s">
        <v>150</v>
      </c>
      <c r="I1402" s="165" t="s">
        <v>148</v>
      </c>
      <c r="J1402" s="165" t="s">
        <v>16</v>
      </c>
      <c r="K1402" s="165" t="s">
        <v>16</v>
      </c>
      <c r="L1402" s="165" t="s">
        <v>16</v>
      </c>
      <c r="M1402" s="165" t="s">
        <v>16</v>
      </c>
      <c r="N1402" s="165" t="s">
        <v>150</v>
      </c>
      <c r="O1402" s="165" t="s">
        <v>150</v>
      </c>
      <c r="P1402" s="165" t="s">
        <v>150</v>
      </c>
      <c r="Q1402" s="165" t="s">
        <v>150</v>
      </c>
      <c r="R1402" s="165" t="s">
        <v>16</v>
      </c>
      <c r="S1402" s="165" t="s">
        <v>150</v>
      </c>
      <c r="T1402" s="165" t="s">
        <v>148</v>
      </c>
      <c r="U1402" s="165" t="s">
        <v>16</v>
      </c>
      <c r="V1402" s="165" t="s">
        <v>150</v>
      </c>
      <c r="W1402" s="165" t="s">
        <v>148</v>
      </c>
      <c r="X1402" s="165" t="s">
        <v>150</v>
      </c>
      <c r="Y1402" s="165" t="s">
        <v>16</v>
      </c>
      <c r="Z1402" s="165" t="s">
        <v>148</v>
      </c>
      <c r="AA1402" s="165" t="s">
        <v>148</v>
      </c>
      <c r="AB1402" s="165" t="s">
        <v>149</v>
      </c>
      <c r="AC1402" s="165" t="s">
        <v>148</v>
      </c>
      <c r="AD1402" s="165" t="s">
        <v>148</v>
      </c>
      <c r="AE1402" s="165" t="s">
        <v>2164</v>
      </c>
      <c r="AF1402" s="165" t="s">
        <v>2171</v>
      </c>
    </row>
    <row r="1403" spans="1:32" x14ac:dyDescent="0.3">
      <c r="A1403" s="165" t="s">
        <v>2172</v>
      </c>
      <c r="B1403" s="165" t="s">
        <v>14</v>
      </c>
      <c r="C1403" s="165" t="s">
        <v>2159</v>
      </c>
      <c r="D1403" s="165" t="s">
        <v>15</v>
      </c>
      <c r="E1403" s="157">
        <v>41728</v>
      </c>
      <c r="F1403" s="165" t="s">
        <v>16</v>
      </c>
      <c r="G1403" s="165" t="s">
        <v>16</v>
      </c>
      <c r="H1403" s="165" t="s">
        <v>16</v>
      </c>
      <c r="I1403" s="165" t="s">
        <v>148</v>
      </c>
      <c r="J1403" s="165" t="s">
        <v>148</v>
      </c>
      <c r="K1403" s="165" t="s">
        <v>16</v>
      </c>
      <c r="L1403" s="165" t="s">
        <v>148</v>
      </c>
      <c r="M1403" s="165" t="s">
        <v>148</v>
      </c>
      <c r="N1403" s="165" t="s">
        <v>148</v>
      </c>
      <c r="O1403" s="165" t="s">
        <v>16</v>
      </c>
      <c r="P1403" s="165" t="s">
        <v>148</v>
      </c>
      <c r="Q1403" s="165" t="s">
        <v>16</v>
      </c>
      <c r="R1403" s="165" t="s">
        <v>16</v>
      </c>
      <c r="S1403" s="165" t="s">
        <v>148</v>
      </c>
      <c r="T1403" s="165" t="s">
        <v>148</v>
      </c>
      <c r="U1403" s="165" t="s">
        <v>148</v>
      </c>
      <c r="V1403" s="165" t="s">
        <v>16</v>
      </c>
      <c r="W1403" s="165" t="s">
        <v>114</v>
      </c>
      <c r="X1403" s="165" t="s">
        <v>148</v>
      </c>
      <c r="Y1403" s="165" t="s">
        <v>16</v>
      </c>
      <c r="Z1403" s="165" t="s">
        <v>16</v>
      </c>
      <c r="AA1403" s="165" t="s">
        <v>16</v>
      </c>
      <c r="AB1403" s="165" t="s">
        <v>16</v>
      </c>
      <c r="AC1403" s="165" t="s">
        <v>16</v>
      </c>
      <c r="AD1403" s="165" t="s">
        <v>148</v>
      </c>
      <c r="AE1403" s="165" t="s">
        <v>2162</v>
      </c>
      <c r="AF1403" s="165"/>
    </row>
    <row r="1404" spans="1:32" x14ac:dyDescent="0.3">
      <c r="A1404" s="165" t="s">
        <v>2173</v>
      </c>
      <c r="B1404" s="165" t="s">
        <v>14</v>
      </c>
      <c r="C1404" s="165" t="s">
        <v>2159</v>
      </c>
      <c r="D1404" s="165" t="s">
        <v>15</v>
      </c>
      <c r="E1404" s="157">
        <v>41728</v>
      </c>
      <c r="F1404" s="165" t="s">
        <v>16</v>
      </c>
      <c r="G1404" s="165" t="s">
        <v>148</v>
      </c>
      <c r="H1404" s="165" t="s">
        <v>148</v>
      </c>
      <c r="I1404" s="165" t="s">
        <v>16</v>
      </c>
      <c r="J1404" s="165" t="s">
        <v>148</v>
      </c>
      <c r="K1404" s="165" t="s">
        <v>16</v>
      </c>
      <c r="L1404" s="165" t="s">
        <v>16</v>
      </c>
      <c r="M1404" s="165" t="s">
        <v>16</v>
      </c>
      <c r="N1404" s="165" t="s">
        <v>148</v>
      </c>
      <c r="O1404" s="165" t="s">
        <v>16</v>
      </c>
      <c r="P1404" s="165" t="s">
        <v>16</v>
      </c>
      <c r="Q1404" s="165" t="s">
        <v>16</v>
      </c>
      <c r="R1404" s="165" t="s">
        <v>148</v>
      </c>
      <c r="S1404" s="165" t="s">
        <v>16</v>
      </c>
      <c r="T1404" s="165" t="s">
        <v>16</v>
      </c>
      <c r="U1404" s="165" t="s">
        <v>16</v>
      </c>
      <c r="V1404" s="165" t="s">
        <v>148</v>
      </c>
      <c r="W1404" s="165" t="s">
        <v>148</v>
      </c>
      <c r="X1404" s="165" t="s">
        <v>16</v>
      </c>
      <c r="Y1404" s="165" t="s">
        <v>16</v>
      </c>
      <c r="Z1404" s="165" t="s">
        <v>16</v>
      </c>
      <c r="AA1404" s="165" t="s">
        <v>16</v>
      </c>
      <c r="AB1404" s="165" t="s">
        <v>16</v>
      </c>
      <c r="AC1404" s="165" t="s">
        <v>16</v>
      </c>
      <c r="AD1404" s="165" t="s">
        <v>16</v>
      </c>
      <c r="AE1404" s="165" t="s">
        <v>2162</v>
      </c>
      <c r="AF1404" s="165"/>
    </row>
    <row r="1405" spans="1:32" x14ac:dyDescent="0.3">
      <c r="A1405" s="165" t="s">
        <v>2174</v>
      </c>
      <c r="B1405" s="165" t="s">
        <v>14</v>
      </c>
      <c r="C1405" s="165" t="s">
        <v>2159</v>
      </c>
      <c r="D1405" s="165" t="s">
        <v>15</v>
      </c>
      <c r="E1405" s="157">
        <v>41728</v>
      </c>
      <c r="F1405" s="165" t="s">
        <v>16</v>
      </c>
      <c r="G1405" s="165" t="s">
        <v>16</v>
      </c>
      <c r="H1405" s="165" t="s">
        <v>16</v>
      </c>
      <c r="I1405" s="165" t="s">
        <v>16</v>
      </c>
      <c r="J1405" s="165" t="s">
        <v>16</v>
      </c>
      <c r="K1405" s="165" t="s">
        <v>16</v>
      </c>
      <c r="L1405" s="165" t="s">
        <v>16</v>
      </c>
      <c r="M1405" s="165" t="s">
        <v>16</v>
      </c>
      <c r="N1405" s="165" t="s">
        <v>16</v>
      </c>
      <c r="O1405" s="165" t="s">
        <v>16</v>
      </c>
      <c r="P1405" s="165" t="s">
        <v>16</v>
      </c>
      <c r="Q1405" s="165" t="s">
        <v>16</v>
      </c>
      <c r="R1405" s="165" t="s">
        <v>16</v>
      </c>
      <c r="S1405" s="165" t="s">
        <v>16</v>
      </c>
      <c r="T1405" s="165" t="s">
        <v>16</v>
      </c>
      <c r="U1405" s="165" t="s">
        <v>16</v>
      </c>
      <c r="V1405" s="165" t="s">
        <v>16</v>
      </c>
      <c r="W1405" s="165" t="s">
        <v>16</v>
      </c>
      <c r="X1405" s="165" t="s">
        <v>16</v>
      </c>
      <c r="Y1405" s="165" t="s">
        <v>16</v>
      </c>
      <c r="Z1405" s="165" t="s">
        <v>16</v>
      </c>
      <c r="AA1405" s="165" t="s">
        <v>16</v>
      </c>
      <c r="AB1405" s="165" t="s">
        <v>16</v>
      </c>
      <c r="AC1405" s="165" t="s">
        <v>16</v>
      </c>
      <c r="AD1405" s="165" t="s">
        <v>16</v>
      </c>
      <c r="AE1405" s="165" t="s">
        <v>2164</v>
      </c>
      <c r="AF1405" s="165"/>
    </row>
    <row r="1406" spans="1:32" x14ac:dyDescent="0.3">
      <c r="A1406" s="165" t="s">
        <v>2175</v>
      </c>
      <c r="B1406" s="165" t="s">
        <v>14</v>
      </c>
      <c r="C1406" s="165" t="s">
        <v>2159</v>
      </c>
      <c r="D1406" s="165" t="s">
        <v>15</v>
      </c>
      <c r="E1406" s="157">
        <v>41728</v>
      </c>
      <c r="F1406" s="165" t="s">
        <v>16</v>
      </c>
      <c r="G1406" s="165" t="s">
        <v>16</v>
      </c>
      <c r="H1406" s="165" t="s">
        <v>16</v>
      </c>
      <c r="I1406" s="165" t="s">
        <v>16</v>
      </c>
      <c r="J1406" s="165" t="s">
        <v>16</v>
      </c>
      <c r="K1406" s="165" t="s">
        <v>16</v>
      </c>
      <c r="L1406" s="165" t="s">
        <v>16</v>
      </c>
      <c r="M1406" s="165" t="s">
        <v>16</v>
      </c>
      <c r="N1406" s="165" t="s">
        <v>16</v>
      </c>
      <c r="O1406" s="165" t="s">
        <v>16</v>
      </c>
      <c r="P1406" s="165" t="s">
        <v>16</v>
      </c>
      <c r="Q1406" s="165" t="s">
        <v>16</v>
      </c>
      <c r="R1406" s="165" t="s">
        <v>16</v>
      </c>
      <c r="S1406" s="165" t="s">
        <v>16</v>
      </c>
      <c r="T1406" s="165" t="s">
        <v>16</v>
      </c>
      <c r="U1406" s="165" t="s">
        <v>16</v>
      </c>
      <c r="V1406" s="165" t="s">
        <v>16</v>
      </c>
      <c r="W1406" s="165" t="s">
        <v>16</v>
      </c>
      <c r="X1406" s="165" t="s">
        <v>16</v>
      </c>
      <c r="Y1406" s="165" t="s">
        <v>16</v>
      </c>
      <c r="Z1406" s="165" t="s">
        <v>16</v>
      </c>
      <c r="AA1406" s="165" t="s">
        <v>16</v>
      </c>
      <c r="AB1406" s="165" t="s">
        <v>16</v>
      </c>
      <c r="AC1406" s="165" t="s">
        <v>16</v>
      </c>
      <c r="AD1406" s="165" t="s">
        <v>16</v>
      </c>
      <c r="AE1406" s="165" t="s">
        <v>2164</v>
      </c>
      <c r="AF1406" s="165"/>
    </row>
    <row r="1407" spans="1:32" x14ac:dyDescent="0.3">
      <c r="A1407" s="165" t="s">
        <v>2176</v>
      </c>
      <c r="B1407" s="165" t="s">
        <v>14</v>
      </c>
      <c r="C1407" s="165" t="s">
        <v>2159</v>
      </c>
      <c r="D1407" s="165" t="s">
        <v>15</v>
      </c>
      <c r="E1407" s="157">
        <v>41728</v>
      </c>
      <c r="F1407" s="165" t="s">
        <v>149</v>
      </c>
      <c r="G1407" s="165" t="s">
        <v>16</v>
      </c>
      <c r="H1407" s="165" t="s">
        <v>16</v>
      </c>
      <c r="I1407" s="165" t="s">
        <v>16</v>
      </c>
      <c r="J1407" s="165" t="s">
        <v>148</v>
      </c>
      <c r="K1407" s="165" t="s">
        <v>16</v>
      </c>
      <c r="L1407" s="165" t="s">
        <v>16</v>
      </c>
      <c r="M1407" s="165" t="s">
        <v>16</v>
      </c>
      <c r="N1407" s="165" t="s">
        <v>148</v>
      </c>
      <c r="O1407" s="165" t="s">
        <v>148</v>
      </c>
      <c r="P1407" s="165" t="s">
        <v>148</v>
      </c>
      <c r="Q1407" s="165" t="s">
        <v>16</v>
      </c>
      <c r="R1407" s="165" t="s">
        <v>16</v>
      </c>
      <c r="S1407" s="165" t="s">
        <v>148</v>
      </c>
      <c r="T1407" s="165" t="s">
        <v>16</v>
      </c>
      <c r="U1407" s="165" t="s">
        <v>148</v>
      </c>
      <c r="V1407" s="165" t="s">
        <v>16</v>
      </c>
      <c r="W1407" s="165" t="s">
        <v>16</v>
      </c>
      <c r="X1407" s="165" t="s">
        <v>16</v>
      </c>
      <c r="Y1407" s="165" t="s">
        <v>16</v>
      </c>
      <c r="Z1407" s="165" t="s">
        <v>16</v>
      </c>
      <c r="AA1407" s="165" t="s">
        <v>148</v>
      </c>
      <c r="AB1407" s="165" t="s">
        <v>16</v>
      </c>
      <c r="AC1407" s="165" t="s">
        <v>148</v>
      </c>
      <c r="AD1407" s="165" t="s">
        <v>148</v>
      </c>
      <c r="AE1407" s="165" t="s">
        <v>2162</v>
      </c>
      <c r="AF1407" s="165"/>
    </row>
    <row r="1408" spans="1:32" x14ac:dyDescent="0.3">
      <c r="A1408" s="165" t="s">
        <v>2177</v>
      </c>
      <c r="B1408" s="165" t="s">
        <v>14</v>
      </c>
      <c r="C1408" s="165" t="s">
        <v>2159</v>
      </c>
      <c r="D1408" s="165" t="s">
        <v>15</v>
      </c>
      <c r="E1408" s="157">
        <v>41728</v>
      </c>
      <c r="F1408" s="165" t="s">
        <v>16</v>
      </c>
      <c r="G1408" s="165" t="s">
        <v>16</v>
      </c>
      <c r="H1408" s="165" t="s">
        <v>16</v>
      </c>
      <c r="I1408" s="165" t="s">
        <v>16</v>
      </c>
      <c r="J1408" s="165" t="s">
        <v>16</v>
      </c>
      <c r="K1408" s="165" t="s">
        <v>16</v>
      </c>
      <c r="L1408" s="165" t="s">
        <v>16</v>
      </c>
      <c r="M1408" s="165" t="s">
        <v>16</v>
      </c>
      <c r="N1408" s="165" t="s">
        <v>16</v>
      </c>
      <c r="O1408" s="165" t="s">
        <v>16</v>
      </c>
      <c r="P1408" s="165" t="s">
        <v>16</v>
      </c>
      <c r="Q1408" s="165" t="s">
        <v>16</v>
      </c>
      <c r="R1408" s="165" t="s">
        <v>16</v>
      </c>
      <c r="S1408" s="165" t="s">
        <v>16</v>
      </c>
      <c r="T1408" s="165" t="s">
        <v>16</v>
      </c>
      <c r="U1408" s="165" t="s">
        <v>16</v>
      </c>
      <c r="V1408" s="165" t="s">
        <v>16</v>
      </c>
      <c r="W1408" s="165" t="s">
        <v>16</v>
      </c>
      <c r="X1408" s="165" t="s">
        <v>16</v>
      </c>
      <c r="Y1408" s="165" t="s">
        <v>16</v>
      </c>
      <c r="Z1408" s="165" t="s">
        <v>16</v>
      </c>
      <c r="AA1408" s="165" t="s">
        <v>16</v>
      </c>
      <c r="AB1408" s="165" t="s">
        <v>16</v>
      </c>
      <c r="AC1408" s="165" t="s">
        <v>16</v>
      </c>
      <c r="AD1408" s="165" t="s">
        <v>16</v>
      </c>
      <c r="AE1408" s="165" t="s">
        <v>2168</v>
      </c>
      <c r="AF1408" s="165"/>
    </row>
    <row r="1409" spans="1:32" x14ac:dyDescent="0.3">
      <c r="A1409" s="165" t="s">
        <v>2178</v>
      </c>
      <c r="B1409" s="165" t="s">
        <v>14</v>
      </c>
      <c r="C1409" s="165" t="s">
        <v>2159</v>
      </c>
      <c r="D1409" s="165" t="s">
        <v>15</v>
      </c>
      <c r="E1409" s="157">
        <v>41728</v>
      </c>
      <c r="F1409" s="165" t="s">
        <v>16</v>
      </c>
      <c r="G1409" s="165" t="s">
        <v>16</v>
      </c>
      <c r="H1409" s="165" t="s">
        <v>16</v>
      </c>
      <c r="I1409" s="165" t="s">
        <v>148</v>
      </c>
      <c r="J1409" s="165" t="s">
        <v>16</v>
      </c>
      <c r="K1409" s="165" t="s">
        <v>148</v>
      </c>
      <c r="L1409" s="165" t="s">
        <v>16</v>
      </c>
      <c r="M1409" s="165" t="s">
        <v>16</v>
      </c>
      <c r="N1409" s="165" t="s">
        <v>148</v>
      </c>
      <c r="O1409" s="165" t="s">
        <v>16</v>
      </c>
      <c r="P1409" s="165" t="s">
        <v>148</v>
      </c>
      <c r="Q1409" s="165" t="s">
        <v>16</v>
      </c>
      <c r="R1409" s="165" t="s">
        <v>16</v>
      </c>
      <c r="S1409" s="165" t="s">
        <v>148</v>
      </c>
      <c r="T1409" s="165" t="s">
        <v>16</v>
      </c>
      <c r="U1409" s="165" t="s">
        <v>148</v>
      </c>
      <c r="V1409" s="165" t="s">
        <v>16</v>
      </c>
      <c r="W1409" s="165" t="s">
        <v>148</v>
      </c>
      <c r="X1409" s="165" t="s">
        <v>148</v>
      </c>
      <c r="Y1409" s="165" t="s">
        <v>16</v>
      </c>
      <c r="Z1409" s="165" t="s">
        <v>149</v>
      </c>
      <c r="AA1409" s="165" t="s">
        <v>16</v>
      </c>
      <c r="AB1409" s="165" t="s">
        <v>16</v>
      </c>
      <c r="AC1409" s="165" t="s">
        <v>16</v>
      </c>
      <c r="AD1409" s="165" t="s">
        <v>16</v>
      </c>
      <c r="AE1409" s="165" t="s">
        <v>2164</v>
      </c>
      <c r="AF1409" s="165"/>
    </row>
    <row r="1410" spans="1:32" x14ac:dyDescent="0.3">
      <c r="A1410" s="165" t="s">
        <v>2179</v>
      </c>
      <c r="B1410" s="165" t="s">
        <v>14</v>
      </c>
      <c r="C1410" s="165" t="s">
        <v>2159</v>
      </c>
      <c r="D1410" s="165" t="s">
        <v>15</v>
      </c>
      <c r="E1410" s="157">
        <v>41728</v>
      </c>
      <c r="F1410" s="165" t="s">
        <v>16</v>
      </c>
      <c r="G1410" s="165" t="s">
        <v>16</v>
      </c>
      <c r="H1410" s="165" t="s">
        <v>16</v>
      </c>
      <c r="I1410" s="165" t="s">
        <v>16</v>
      </c>
      <c r="J1410" s="165" t="s">
        <v>16</v>
      </c>
      <c r="K1410" s="165" t="s">
        <v>16</v>
      </c>
      <c r="L1410" s="165" t="s">
        <v>16</v>
      </c>
      <c r="M1410" s="165" t="s">
        <v>16</v>
      </c>
      <c r="N1410" s="165" t="s">
        <v>16</v>
      </c>
      <c r="O1410" s="165" t="s">
        <v>16</v>
      </c>
      <c r="P1410" s="165" t="s">
        <v>16</v>
      </c>
      <c r="Q1410" s="165" t="s">
        <v>16</v>
      </c>
      <c r="R1410" s="165" t="s">
        <v>16</v>
      </c>
      <c r="S1410" s="165" t="s">
        <v>16</v>
      </c>
      <c r="T1410" s="165" t="s">
        <v>16</v>
      </c>
      <c r="U1410" s="165" t="s">
        <v>16</v>
      </c>
      <c r="V1410" s="165" t="s">
        <v>16</v>
      </c>
      <c r="W1410" s="165" t="s">
        <v>16</v>
      </c>
      <c r="X1410" s="165" t="s">
        <v>16</v>
      </c>
      <c r="Y1410" s="165" t="s">
        <v>16</v>
      </c>
      <c r="Z1410" s="165" t="s">
        <v>16</v>
      </c>
      <c r="AA1410" s="165" t="s">
        <v>16</v>
      </c>
      <c r="AB1410" s="165" t="s">
        <v>16</v>
      </c>
      <c r="AC1410" s="165" t="s">
        <v>16</v>
      </c>
      <c r="AD1410" s="165" t="s">
        <v>16</v>
      </c>
      <c r="AE1410" s="165"/>
      <c r="AF1410" s="165"/>
    </row>
    <row r="1411" spans="1:32" x14ac:dyDescent="0.3">
      <c r="A1411" s="165" t="s">
        <v>2180</v>
      </c>
      <c r="B1411" s="165" t="s">
        <v>14</v>
      </c>
      <c r="C1411" s="165" t="s">
        <v>2159</v>
      </c>
      <c r="D1411" s="165" t="s">
        <v>15</v>
      </c>
      <c r="E1411" s="157">
        <v>41728</v>
      </c>
      <c r="F1411" s="165" t="s">
        <v>16</v>
      </c>
      <c r="G1411" s="165" t="s">
        <v>16</v>
      </c>
      <c r="H1411" s="165" t="s">
        <v>16</v>
      </c>
      <c r="I1411" s="165" t="s">
        <v>16</v>
      </c>
      <c r="J1411" s="165" t="s">
        <v>16</v>
      </c>
      <c r="K1411" s="165" t="s">
        <v>16</v>
      </c>
      <c r="L1411" s="165" t="s">
        <v>16</v>
      </c>
      <c r="M1411" s="165" t="s">
        <v>16</v>
      </c>
      <c r="N1411" s="165" t="s">
        <v>16</v>
      </c>
      <c r="O1411" s="165" t="s">
        <v>16</v>
      </c>
      <c r="P1411" s="165" t="s">
        <v>16</v>
      </c>
      <c r="Q1411" s="165" t="s">
        <v>16</v>
      </c>
      <c r="R1411" s="165" t="s">
        <v>16</v>
      </c>
      <c r="S1411" s="165" t="s">
        <v>16</v>
      </c>
      <c r="T1411" s="165" t="s">
        <v>16</v>
      </c>
      <c r="U1411" s="165" t="s">
        <v>16</v>
      </c>
      <c r="V1411" s="165" t="s">
        <v>16</v>
      </c>
      <c r="W1411" s="165" t="s">
        <v>16</v>
      </c>
      <c r="X1411" s="165" t="s">
        <v>16</v>
      </c>
      <c r="Y1411" s="165" t="s">
        <v>16</v>
      </c>
      <c r="Z1411" s="165" t="s">
        <v>16</v>
      </c>
      <c r="AA1411" s="165" t="s">
        <v>16</v>
      </c>
      <c r="AB1411" s="165" t="s">
        <v>16</v>
      </c>
      <c r="AC1411" s="165" t="s">
        <v>16</v>
      </c>
      <c r="AD1411" s="165" t="s">
        <v>16</v>
      </c>
      <c r="AE1411" s="165"/>
      <c r="AF1411" s="165"/>
    </row>
    <row r="1412" spans="1:32" x14ac:dyDescent="0.3">
      <c r="A1412" s="165" t="s">
        <v>2181</v>
      </c>
      <c r="B1412" s="165" t="s">
        <v>14</v>
      </c>
      <c r="C1412" s="165" t="s">
        <v>2159</v>
      </c>
      <c r="D1412" s="165" t="s">
        <v>15</v>
      </c>
      <c r="E1412" s="157">
        <v>41728</v>
      </c>
      <c r="F1412" s="165" t="s">
        <v>148</v>
      </c>
      <c r="G1412" s="165" t="s">
        <v>16</v>
      </c>
      <c r="H1412" s="165" t="s">
        <v>16</v>
      </c>
      <c r="I1412" s="165" t="s">
        <v>16</v>
      </c>
      <c r="J1412" s="165" t="s">
        <v>16</v>
      </c>
      <c r="K1412" s="165" t="s">
        <v>16</v>
      </c>
      <c r="L1412" s="165" t="s">
        <v>16</v>
      </c>
      <c r="M1412" s="165" t="s">
        <v>16</v>
      </c>
      <c r="N1412" s="165" t="s">
        <v>16</v>
      </c>
      <c r="O1412" s="165" t="s">
        <v>16</v>
      </c>
      <c r="P1412" s="165" t="s">
        <v>148</v>
      </c>
      <c r="Q1412" s="165" t="s">
        <v>16</v>
      </c>
      <c r="R1412" s="165" t="s">
        <v>16</v>
      </c>
      <c r="S1412" s="165" t="s">
        <v>16</v>
      </c>
      <c r="T1412" s="165" t="s">
        <v>16</v>
      </c>
      <c r="U1412" s="165" t="s">
        <v>16</v>
      </c>
      <c r="V1412" s="165" t="s">
        <v>16</v>
      </c>
      <c r="W1412" s="165" t="s">
        <v>16</v>
      </c>
      <c r="X1412" s="165" t="s">
        <v>16</v>
      </c>
      <c r="Y1412" s="165" t="s">
        <v>16</v>
      </c>
      <c r="Z1412" s="165" t="s">
        <v>16</v>
      </c>
      <c r="AA1412" s="165" t="s">
        <v>16</v>
      </c>
      <c r="AB1412" s="165" t="s">
        <v>16</v>
      </c>
      <c r="AC1412" s="165" t="s">
        <v>148</v>
      </c>
      <c r="AD1412" s="165" t="s">
        <v>16</v>
      </c>
      <c r="AE1412" s="165" t="s">
        <v>2164</v>
      </c>
      <c r="AF1412" s="165"/>
    </row>
    <row r="1413" spans="1:32" x14ac:dyDescent="0.3">
      <c r="A1413" s="165" t="s">
        <v>2182</v>
      </c>
      <c r="B1413" s="165" t="s">
        <v>14</v>
      </c>
      <c r="C1413" s="165" t="s">
        <v>2159</v>
      </c>
      <c r="D1413" s="165" t="s">
        <v>15</v>
      </c>
      <c r="E1413" s="157">
        <v>41728</v>
      </c>
      <c r="F1413" s="165" t="s">
        <v>148</v>
      </c>
      <c r="G1413" s="165" t="s">
        <v>16</v>
      </c>
      <c r="H1413" s="165" t="s">
        <v>16</v>
      </c>
      <c r="I1413" s="165" t="s">
        <v>148</v>
      </c>
      <c r="J1413" s="165" t="s">
        <v>148</v>
      </c>
      <c r="K1413" s="165" t="s">
        <v>16</v>
      </c>
      <c r="L1413" s="165" t="s">
        <v>148</v>
      </c>
      <c r="M1413" s="165" t="s">
        <v>148</v>
      </c>
      <c r="N1413" s="165" t="s">
        <v>16</v>
      </c>
      <c r="O1413" s="165" t="s">
        <v>148</v>
      </c>
      <c r="P1413" s="165" t="s">
        <v>148</v>
      </c>
      <c r="Q1413" s="165" t="s">
        <v>148</v>
      </c>
      <c r="R1413" s="165" t="s">
        <v>148</v>
      </c>
      <c r="S1413" s="165" t="s">
        <v>148</v>
      </c>
      <c r="T1413" s="165" t="s">
        <v>16</v>
      </c>
      <c r="U1413" s="165" t="s">
        <v>16</v>
      </c>
      <c r="V1413" s="165" t="s">
        <v>148</v>
      </c>
      <c r="W1413" s="165" t="s">
        <v>148</v>
      </c>
      <c r="X1413" s="165" t="s">
        <v>148</v>
      </c>
      <c r="Y1413" s="165" t="s">
        <v>148</v>
      </c>
      <c r="Z1413" s="165" t="s">
        <v>148</v>
      </c>
      <c r="AA1413" s="165" t="s">
        <v>148</v>
      </c>
      <c r="AB1413" s="165" t="s">
        <v>16</v>
      </c>
      <c r="AC1413" s="165" t="s">
        <v>148</v>
      </c>
      <c r="AD1413" s="165" t="s">
        <v>16</v>
      </c>
      <c r="AE1413" s="165" t="s">
        <v>2162</v>
      </c>
      <c r="AF1413" s="165"/>
    </row>
    <row r="1414" spans="1:32" x14ac:dyDescent="0.3">
      <c r="A1414" s="165" t="s">
        <v>2183</v>
      </c>
      <c r="B1414" s="165" t="s">
        <v>14</v>
      </c>
      <c r="C1414" s="165" t="s">
        <v>2159</v>
      </c>
      <c r="D1414" s="165" t="s">
        <v>15</v>
      </c>
      <c r="E1414" s="157">
        <v>41728</v>
      </c>
      <c r="F1414" s="165" t="s">
        <v>16</v>
      </c>
      <c r="G1414" s="165" t="s">
        <v>16</v>
      </c>
      <c r="H1414" s="165" t="s">
        <v>148</v>
      </c>
      <c r="I1414" s="165" t="s">
        <v>16</v>
      </c>
      <c r="J1414" s="165" t="s">
        <v>16</v>
      </c>
      <c r="K1414" s="165" t="s">
        <v>16</v>
      </c>
      <c r="L1414" s="165" t="s">
        <v>16</v>
      </c>
      <c r="M1414" s="165" t="s">
        <v>16</v>
      </c>
      <c r="N1414" s="165" t="s">
        <v>148</v>
      </c>
      <c r="O1414" s="165" t="s">
        <v>16</v>
      </c>
      <c r="P1414" s="165" t="s">
        <v>148</v>
      </c>
      <c r="Q1414" s="165" t="s">
        <v>16</v>
      </c>
      <c r="R1414" s="165" t="s">
        <v>16</v>
      </c>
      <c r="S1414" s="165" t="s">
        <v>16</v>
      </c>
      <c r="T1414" s="165" t="s">
        <v>16</v>
      </c>
      <c r="U1414" s="165" t="s">
        <v>148</v>
      </c>
      <c r="V1414" s="165" t="s">
        <v>148</v>
      </c>
      <c r="W1414" s="165" t="s">
        <v>16</v>
      </c>
      <c r="X1414" s="165" t="s">
        <v>16</v>
      </c>
      <c r="Y1414" s="165" t="s">
        <v>16</v>
      </c>
      <c r="Z1414" s="165" t="s">
        <v>16</v>
      </c>
      <c r="AA1414" s="165" t="s">
        <v>16</v>
      </c>
      <c r="AB1414" s="165" t="s">
        <v>148</v>
      </c>
      <c r="AC1414" s="165" t="s">
        <v>16</v>
      </c>
      <c r="AD1414" s="165" t="s">
        <v>16</v>
      </c>
      <c r="AE1414" s="165" t="s">
        <v>2162</v>
      </c>
      <c r="AF1414" s="165"/>
    </row>
    <row r="1415" spans="1:32" x14ac:dyDescent="0.3">
      <c r="A1415" s="165" t="s">
        <v>2184</v>
      </c>
      <c r="B1415" s="165" t="s">
        <v>14</v>
      </c>
      <c r="C1415" s="165" t="s">
        <v>2159</v>
      </c>
      <c r="D1415" s="165" t="s">
        <v>15</v>
      </c>
      <c r="E1415" s="157">
        <v>41728</v>
      </c>
      <c r="F1415" s="165" t="s">
        <v>148</v>
      </c>
      <c r="G1415" s="165" t="s">
        <v>148</v>
      </c>
      <c r="H1415" s="165" t="s">
        <v>148</v>
      </c>
      <c r="I1415" s="165" t="s">
        <v>16</v>
      </c>
      <c r="J1415" s="165" t="s">
        <v>148</v>
      </c>
      <c r="K1415" s="165" t="s">
        <v>148</v>
      </c>
      <c r="L1415" s="165" t="s">
        <v>148</v>
      </c>
      <c r="M1415" s="165" t="s">
        <v>16</v>
      </c>
      <c r="N1415" s="165" t="s">
        <v>148</v>
      </c>
      <c r="O1415" s="165" t="s">
        <v>150</v>
      </c>
      <c r="P1415" s="165" t="s">
        <v>148</v>
      </c>
      <c r="Q1415" s="165" t="s">
        <v>16</v>
      </c>
      <c r="R1415" s="165" t="s">
        <v>16</v>
      </c>
      <c r="S1415" s="165" t="s">
        <v>148</v>
      </c>
      <c r="T1415" s="165" t="s">
        <v>148</v>
      </c>
      <c r="U1415" s="165" t="s">
        <v>16</v>
      </c>
      <c r="V1415" s="165" t="s">
        <v>16</v>
      </c>
      <c r="W1415" s="165" t="s">
        <v>148</v>
      </c>
      <c r="X1415" s="165" t="s">
        <v>16</v>
      </c>
      <c r="Y1415" s="165" t="s">
        <v>16</v>
      </c>
      <c r="Z1415" s="165" t="s">
        <v>148</v>
      </c>
      <c r="AA1415" s="165" t="s">
        <v>16</v>
      </c>
      <c r="AB1415" s="165" t="s">
        <v>149</v>
      </c>
      <c r="AC1415" s="165" t="s">
        <v>149</v>
      </c>
      <c r="AD1415" s="165" t="s">
        <v>16</v>
      </c>
      <c r="AE1415" s="165" t="s">
        <v>2164</v>
      </c>
      <c r="AF1415" s="165"/>
    </row>
    <row r="1416" spans="1:32" x14ac:dyDescent="0.3">
      <c r="A1416" s="165" t="s">
        <v>2185</v>
      </c>
      <c r="B1416" s="165" t="s">
        <v>14</v>
      </c>
      <c r="C1416" s="165" t="s">
        <v>2159</v>
      </c>
      <c r="D1416" s="165" t="s">
        <v>15</v>
      </c>
      <c r="E1416" s="157">
        <v>41728</v>
      </c>
      <c r="F1416" s="165" t="s">
        <v>16</v>
      </c>
      <c r="G1416" s="165" t="s">
        <v>16</v>
      </c>
      <c r="H1416" s="165" t="s">
        <v>16</v>
      </c>
      <c r="I1416" s="165" t="s">
        <v>16</v>
      </c>
      <c r="J1416" s="165" t="s">
        <v>16</v>
      </c>
      <c r="K1416" s="165" t="s">
        <v>16</v>
      </c>
      <c r="L1416" s="165" t="s">
        <v>16</v>
      </c>
      <c r="M1416" s="165" t="s">
        <v>16</v>
      </c>
      <c r="N1416" s="165" t="s">
        <v>16</v>
      </c>
      <c r="O1416" s="165" t="s">
        <v>16</v>
      </c>
      <c r="P1416" s="165" t="s">
        <v>16</v>
      </c>
      <c r="Q1416" s="165" t="s">
        <v>16</v>
      </c>
      <c r="R1416" s="165" t="s">
        <v>16</v>
      </c>
      <c r="S1416" s="165" t="s">
        <v>16</v>
      </c>
      <c r="T1416" s="165" t="s">
        <v>16</v>
      </c>
      <c r="U1416" s="165" t="s">
        <v>16</v>
      </c>
      <c r="V1416" s="165" t="s">
        <v>16</v>
      </c>
      <c r="W1416" s="165" t="s">
        <v>16</v>
      </c>
      <c r="X1416" s="165" t="s">
        <v>16</v>
      </c>
      <c r="Y1416" s="165" t="s">
        <v>16</v>
      </c>
      <c r="Z1416" s="165" t="s">
        <v>16</v>
      </c>
      <c r="AA1416" s="165" t="s">
        <v>16</v>
      </c>
      <c r="AB1416" s="165" t="s">
        <v>16</v>
      </c>
      <c r="AC1416" s="165" t="s">
        <v>16</v>
      </c>
      <c r="AD1416" s="165" t="s">
        <v>16</v>
      </c>
      <c r="AE1416" s="165" t="s">
        <v>2164</v>
      </c>
      <c r="AF1416" s="165"/>
    </row>
    <row r="1417" spans="1:32" x14ac:dyDescent="0.3">
      <c r="A1417" s="165" t="s">
        <v>2186</v>
      </c>
      <c r="B1417" s="165" t="s">
        <v>14</v>
      </c>
      <c r="C1417" s="165" t="s">
        <v>2159</v>
      </c>
      <c r="D1417" s="165" t="s">
        <v>15</v>
      </c>
      <c r="E1417" s="157">
        <v>41728</v>
      </c>
      <c r="F1417" s="165" t="s">
        <v>148</v>
      </c>
      <c r="G1417" s="165" t="s">
        <v>148</v>
      </c>
      <c r="H1417" s="165" t="s">
        <v>16</v>
      </c>
      <c r="I1417" s="165" t="s">
        <v>16</v>
      </c>
      <c r="J1417" s="165" t="s">
        <v>16</v>
      </c>
      <c r="K1417" s="165" t="s">
        <v>16</v>
      </c>
      <c r="L1417" s="165" t="s">
        <v>16</v>
      </c>
      <c r="M1417" s="165" t="s">
        <v>148</v>
      </c>
      <c r="N1417" s="165" t="s">
        <v>148</v>
      </c>
      <c r="O1417" s="165" t="s">
        <v>148</v>
      </c>
      <c r="P1417" s="165" t="s">
        <v>16</v>
      </c>
      <c r="Q1417" s="165" t="s">
        <v>16</v>
      </c>
      <c r="R1417" s="165" t="s">
        <v>16</v>
      </c>
      <c r="S1417" s="165" t="s">
        <v>16</v>
      </c>
      <c r="T1417" s="165" t="s">
        <v>16</v>
      </c>
      <c r="U1417" s="165" t="s">
        <v>16</v>
      </c>
      <c r="V1417" s="165" t="s">
        <v>16</v>
      </c>
      <c r="W1417" s="165" t="s">
        <v>148</v>
      </c>
      <c r="X1417" s="165" t="s">
        <v>148</v>
      </c>
      <c r="Y1417" s="165" t="s">
        <v>16</v>
      </c>
      <c r="Z1417" s="165" t="s">
        <v>16</v>
      </c>
      <c r="AA1417" s="165" t="s">
        <v>16</v>
      </c>
      <c r="AB1417" s="165" t="s">
        <v>16</v>
      </c>
      <c r="AC1417" s="165" t="s">
        <v>148</v>
      </c>
      <c r="AD1417" s="165" t="s">
        <v>16</v>
      </c>
      <c r="AE1417" s="165"/>
      <c r="AF1417" s="165"/>
    </row>
    <row r="1418" spans="1:32" x14ac:dyDescent="0.3">
      <c r="A1418" s="165" t="s">
        <v>2187</v>
      </c>
      <c r="B1418" s="165" t="s">
        <v>14</v>
      </c>
      <c r="C1418" s="165" t="s">
        <v>2159</v>
      </c>
      <c r="D1418" s="165" t="s">
        <v>15</v>
      </c>
      <c r="E1418" s="157">
        <v>41728</v>
      </c>
      <c r="F1418" s="165" t="s">
        <v>148</v>
      </c>
      <c r="G1418" s="165" t="s">
        <v>16</v>
      </c>
      <c r="H1418" s="165" t="s">
        <v>16</v>
      </c>
      <c r="I1418" s="165" t="s">
        <v>16</v>
      </c>
      <c r="J1418" s="165" t="s">
        <v>16</v>
      </c>
      <c r="K1418" s="165" t="s">
        <v>16</v>
      </c>
      <c r="L1418" s="165" t="s">
        <v>16</v>
      </c>
      <c r="M1418" s="165" t="s">
        <v>16</v>
      </c>
      <c r="N1418" s="165" t="s">
        <v>16</v>
      </c>
      <c r="O1418" s="165" t="s">
        <v>16</v>
      </c>
      <c r="P1418" s="165" t="s">
        <v>16</v>
      </c>
      <c r="Q1418" s="165" t="s">
        <v>16</v>
      </c>
      <c r="R1418" s="165" t="s">
        <v>16</v>
      </c>
      <c r="S1418" s="165" t="s">
        <v>16</v>
      </c>
      <c r="T1418" s="165" t="s">
        <v>16</v>
      </c>
      <c r="U1418" s="165" t="s">
        <v>16</v>
      </c>
      <c r="V1418" s="165" t="s">
        <v>16</v>
      </c>
      <c r="W1418" s="165" t="s">
        <v>16</v>
      </c>
      <c r="X1418" s="165" t="s">
        <v>16</v>
      </c>
      <c r="Y1418" s="165" t="s">
        <v>16</v>
      </c>
      <c r="Z1418" s="165" t="s">
        <v>16</v>
      </c>
      <c r="AA1418" s="165" t="s">
        <v>16</v>
      </c>
      <c r="AB1418" s="165" t="s">
        <v>16</v>
      </c>
      <c r="AC1418" s="165" t="s">
        <v>16</v>
      </c>
      <c r="AD1418" s="165" t="s">
        <v>16</v>
      </c>
      <c r="AE1418" s="165" t="s">
        <v>2160</v>
      </c>
      <c r="AF1418" s="165"/>
    </row>
    <row r="1419" spans="1:32" x14ac:dyDescent="0.3">
      <c r="A1419" s="165" t="s">
        <v>2188</v>
      </c>
      <c r="B1419" s="165" t="s">
        <v>14</v>
      </c>
      <c r="C1419" s="165" t="s">
        <v>2159</v>
      </c>
      <c r="D1419" s="165" t="s">
        <v>15</v>
      </c>
      <c r="E1419" s="157">
        <v>41728</v>
      </c>
      <c r="F1419" s="165" t="s">
        <v>16</v>
      </c>
      <c r="G1419" s="165" t="s">
        <v>16</v>
      </c>
      <c r="H1419" s="165" t="s">
        <v>16</v>
      </c>
      <c r="I1419" s="165" t="s">
        <v>16</v>
      </c>
      <c r="J1419" s="165" t="s">
        <v>148</v>
      </c>
      <c r="K1419" s="165" t="s">
        <v>16</v>
      </c>
      <c r="L1419" s="165" t="s">
        <v>16</v>
      </c>
      <c r="M1419" s="165" t="s">
        <v>16</v>
      </c>
      <c r="N1419" s="165" t="s">
        <v>16</v>
      </c>
      <c r="O1419" s="165" t="s">
        <v>16</v>
      </c>
      <c r="P1419" s="165" t="s">
        <v>16</v>
      </c>
      <c r="Q1419" s="165" t="s">
        <v>16</v>
      </c>
      <c r="R1419" s="165" t="s">
        <v>16</v>
      </c>
      <c r="S1419" s="165" t="s">
        <v>16</v>
      </c>
      <c r="T1419" s="165" t="s">
        <v>16</v>
      </c>
      <c r="U1419" s="165" t="s">
        <v>16</v>
      </c>
      <c r="V1419" s="165" t="s">
        <v>16</v>
      </c>
      <c r="W1419" s="165" t="s">
        <v>16</v>
      </c>
      <c r="X1419" s="165" t="s">
        <v>16</v>
      </c>
      <c r="Y1419" s="165" t="s">
        <v>16</v>
      </c>
      <c r="Z1419" s="165" t="s">
        <v>16</v>
      </c>
      <c r="AA1419" s="165" t="s">
        <v>148</v>
      </c>
      <c r="AB1419" s="165" t="s">
        <v>16</v>
      </c>
      <c r="AC1419" s="165" t="s">
        <v>148</v>
      </c>
      <c r="AD1419" s="165" t="s">
        <v>148</v>
      </c>
      <c r="AE1419" s="165" t="s">
        <v>2162</v>
      </c>
      <c r="AF1419" s="165"/>
    </row>
    <row r="1420" spans="1:32" x14ac:dyDescent="0.3">
      <c r="A1420" s="165" t="s">
        <v>2189</v>
      </c>
      <c r="B1420" s="165" t="s">
        <v>14</v>
      </c>
      <c r="C1420" s="165" t="s">
        <v>2159</v>
      </c>
      <c r="D1420" s="165" t="s">
        <v>15</v>
      </c>
      <c r="E1420" s="157">
        <v>41728</v>
      </c>
      <c r="F1420" s="165" t="s">
        <v>16</v>
      </c>
      <c r="G1420" s="165" t="s">
        <v>16</v>
      </c>
      <c r="H1420" s="165" t="s">
        <v>16</v>
      </c>
      <c r="I1420" s="165" t="s">
        <v>16</v>
      </c>
      <c r="J1420" s="165" t="s">
        <v>16</v>
      </c>
      <c r="K1420" s="165" t="s">
        <v>16</v>
      </c>
      <c r="L1420" s="165" t="s">
        <v>148</v>
      </c>
      <c r="M1420" s="165" t="s">
        <v>16</v>
      </c>
      <c r="N1420" s="165" t="s">
        <v>148</v>
      </c>
      <c r="O1420" s="165" t="s">
        <v>16</v>
      </c>
      <c r="P1420" s="165" t="s">
        <v>16</v>
      </c>
      <c r="Q1420" s="165" t="s">
        <v>16</v>
      </c>
      <c r="R1420" s="165" t="s">
        <v>16</v>
      </c>
      <c r="S1420" s="165" t="s">
        <v>16</v>
      </c>
      <c r="T1420" s="165" t="s">
        <v>16</v>
      </c>
      <c r="U1420" s="165" t="s">
        <v>16</v>
      </c>
      <c r="V1420" s="165" t="s">
        <v>16</v>
      </c>
      <c r="W1420" s="165" t="s">
        <v>16</v>
      </c>
      <c r="X1420" s="165" t="s">
        <v>16</v>
      </c>
      <c r="Y1420" s="165" t="s">
        <v>16</v>
      </c>
      <c r="Z1420" s="165" t="s">
        <v>16</v>
      </c>
      <c r="AA1420" s="165" t="s">
        <v>16</v>
      </c>
      <c r="AB1420" s="165" t="s">
        <v>148</v>
      </c>
      <c r="AC1420" s="165" t="s">
        <v>16</v>
      </c>
      <c r="AD1420" s="165" t="s">
        <v>16</v>
      </c>
      <c r="AE1420" s="165" t="s">
        <v>2162</v>
      </c>
      <c r="AF1420" s="165"/>
    </row>
    <row r="1421" spans="1:32" x14ac:dyDescent="0.3">
      <c r="A1421" s="165" t="s">
        <v>2190</v>
      </c>
      <c r="B1421" s="165" t="s">
        <v>14</v>
      </c>
      <c r="C1421" s="165" t="s">
        <v>2159</v>
      </c>
      <c r="D1421" s="165" t="s">
        <v>15</v>
      </c>
      <c r="E1421" s="157">
        <v>41728</v>
      </c>
      <c r="F1421" s="165" t="s">
        <v>148</v>
      </c>
      <c r="G1421" s="165" t="s">
        <v>16</v>
      </c>
      <c r="H1421" s="165" t="s">
        <v>149</v>
      </c>
      <c r="I1421" s="165" t="s">
        <v>149</v>
      </c>
      <c r="J1421" s="165" t="s">
        <v>149</v>
      </c>
      <c r="K1421" s="165" t="s">
        <v>149</v>
      </c>
      <c r="L1421" s="165" t="s">
        <v>149</v>
      </c>
      <c r="M1421" s="165" t="s">
        <v>16</v>
      </c>
      <c r="N1421" s="165" t="s">
        <v>16</v>
      </c>
      <c r="O1421" s="165" t="s">
        <v>149</v>
      </c>
      <c r="P1421" s="165" t="s">
        <v>16</v>
      </c>
      <c r="Q1421" s="165" t="s">
        <v>149</v>
      </c>
      <c r="R1421" s="165" t="s">
        <v>149</v>
      </c>
      <c r="S1421" s="165" t="s">
        <v>16</v>
      </c>
      <c r="T1421" s="165" t="s">
        <v>16</v>
      </c>
      <c r="U1421" s="165" t="s">
        <v>16</v>
      </c>
      <c r="V1421" s="165" t="s">
        <v>16</v>
      </c>
      <c r="W1421" s="165" t="s">
        <v>16</v>
      </c>
      <c r="X1421" s="165" t="s">
        <v>16</v>
      </c>
      <c r="Y1421" s="165" t="s">
        <v>16</v>
      </c>
      <c r="Z1421" s="165" t="s">
        <v>16</v>
      </c>
      <c r="AA1421" s="165" t="s">
        <v>16</v>
      </c>
      <c r="AB1421" s="165" t="s">
        <v>16</v>
      </c>
      <c r="AC1421" s="165" t="s">
        <v>16</v>
      </c>
      <c r="AD1421" s="165" t="s">
        <v>16</v>
      </c>
      <c r="AE1421" s="165" t="s">
        <v>2168</v>
      </c>
      <c r="AF1421" s="165"/>
    </row>
    <row r="1424" spans="1:32" x14ac:dyDescent="0.3">
      <c r="A1424" s="165"/>
      <c r="B1424" s="165"/>
      <c r="C1424" s="165"/>
      <c r="D1424" s="165"/>
      <c r="E1424" s="165"/>
      <c r="F1424" s="165" t="s">
        <v>124</v>
      </c>
      <c r="G1424" s="165" t="s">
        <v>125</v>
      </c>
      <c r="H1424" s="165" t="s">
        <v>126</v>
      </c>
      <c r="I1424" s="165" t="s">
        <v>127</v>
      </c>
      <c r="J1424" s="165" t="s">
        <v>214</v>
      </c>
      <c r="K1424" s="165" t="s">
        <v>128</v>
      </c>
      <c r="L1424" s="165" t="s">
        <v>129</v>
      </c>
      <c r="M1424" s="165" t="s">
        <v>130</v>
      </c>
      <c r="N1424" s="165" t="s">
        <v>131</v>
      </c>
      <c r="O1424" s="165" t="s">
        <v>132</v>
      </c>
      <c r="P1424" s="165" t="s">
        <v>133</v>
      </c>
      <c r="Q1424" s="165" t="s">
        <v>134</v>
      </c>
      <c r="R1424" s="165" t="s">
        <v>135</v>
      </c>
      <c r="S1424" s="165" t="s">
        <v>136</v>
      </c>
      <c r="T1424" s="165" t="s">
        <v>137</v>
      </c>
      <c r="U1424" s="165" t="s">
        <v>138</v>
      </c>
      <c r="V1424" s="165" t="s">
        <v>139</v>
      </c>
      <c r="W1424" s="165" t="s">
        <v>140</v>
      </c>
      <c r="X1424" s="165" t="s">
        <v>186</v>
      </c>
      <c r="Y1424" s="165" t="s">
        <v>209</v>
      </c>
      <c r="Z1424" s="165" t="s">
        <v>141</v>
      </c>
      <c r="AA1424" s="165" t="s">
        <v>142</v>
      </c>
      <c r="AB1424" s="165" t="s">
        <v>210</v>
      </c>
      <c r="AC1424" s="165" t="s">
        <v>1180</v>
      </c>
      <c r="AD1424" s="165" t="s">
        <v>144</v>
      </c>
      <c r="AE1424" s="165" t="s">
        <v>2191</v>
      </c>
      <c r="AF1424" s="165" t="s">
        <v>190</v>
      </c>
    </row>
    <row r="1425" spans="1:32" x14ac:dyDescent="0.3">
      <c r="A1425" s="165" t="s">
        <v>2221</v>
      </c>
      <c r="B1425" s="165" t="s">
        <v>14</v>
      </c>
      <c r="C1425" s="165" t="s">
        <v>2193</v>
      </c>
      <c r="D1425" s="165" t="s">
        <v>15</v>
      </c>
      <c r="E1425" s="157">
        <v>41758</v>
      </c>
      <c r="F1425" s="165" t="s">
        <v>148</v>
      </c>
      <c r="G1425" s="165" t="s">
        <v>150</v>
      </c>
      <c r="H1425" s="165" t="s">
        <v>150</v>
      </c>
      <c r="I1425" s="165" t="s">
        <v>16</v>
      </c>
      <c r="J1425" s="165" t="s">
        <v>16</v>
      </c>
      <c r="K1425" s="165" t="s">
        <v>16</v>
      </c>
      <c r="L1425" s="165" t="s">
        <v>16</v>
      </c>
      <c r="M1425" s="165" t="s">
        <v>148</v>
      </c>
      <c r="N1425" s="165" t="s">
        <v>150</v>
      </c>
      <c r="O1425" s="165" t="s">
        <v>150</v>
      </c>
      <c r="P1425" s="165" t="s">
        <v>148</v>
      </c>
      <c r="Q1425" s="165" t="s">
        <v>16</v>
      </c>
      <c r="R1425" s="165" t="s">
        <v>148</v>
      </c>
      <c r="S1425" s="165" t="s">
        <v>16</v>
      </c>
      <c r="T1425" s="165" t="s">
        <v>16</v>
      </c>
      <c r="U1425" s="165" t="s">
        <v>150</v>
      </c>
      <c r="V1425" s="165" t="s">
        <v>150</v>
      </c>
      <c r="W1425" s="165" t="s">
        <v>16</v>
      </c>
      <c r="X1425" s="165" t="s">
        <v>16</v>
      </c>
      <c r="Y1425" s="165" t="s">
        <v>16</v>
      </c>
      <c r="Z1425" s="165" t="s">
        <v>150</v>
      </c>
      <c r="AA1425" s="165" t="s">
        <v>150</v>
      </c>
      <c r="AB1425" s="165" t="s">
        <v>16</v>
      </c>
      <c r="AC1425" s="165" t="s">
        <v>150</v>
      </c>
      <c r="AD1425" s="165" t="s">
        <v>16</v>
      </c>
      <c r="AE1425" s="165" t="s">
        <v>2204</v>
      </c>
      <c r="AF1425" s="165"/>
    </row>
    <row r="1426" spans="1:32" x14ac:dyDescent="0.3">
      <c r="A1426" s="165" t="s">
        <v>2222</v>
      </c>
      <c r="B1426" s="165" t="s">
        <v>14</v>
      </c>
      <c r="C1426" s="165" t="s">
        <v>2193</v>
      </c>
      <c r="D1426" s="165" t="s">
        <v>15</v>
      </c>
      <c r="E1426" s="157">
        <v>41758</v>
      </c>
      <c r="F1426" s="165" t="s">
        <v>16</v>
      </c>
      <c r="G1426" s="165" t="s">
        <v>16</v>
      </c>
      <c r="H1426" s="165" t="s">
        <v>16</v>
      </c>
      <c r="I1426" s="165" t="s">
        <v>16</v>
      </c>
      <c r="J1426" s="165" t="s">
        <v>16</v>
      </c>
      <c r="K1426" s="165" t="s">
        <v>16</v>
      </c>
      <c r="L1426" s="165" t="s">
        <v>16</v>
      </c>
      <c r="M1426" s="165" t="s">
        <v>16</v>
      </c>
      <c r="N1426" s="165" t="s">
        <v>16</v>
      </c>
      <c r="O1426" s="165" t="s">
        <v>16</v>
      </c>
      <c r="P1426" s="165" t="s">
        <v>16</v>
      </c>
      <c r="Q1426" s="165" t="s">
        <v>16</v>
      </c>
      <c r="R1426" s="165" t="s">
        <v>16</v>
      </c>
      <c r="S1426" s="165" t="s">
        <v>16</v>
      </c>
      <c r="T1426" s="165" t="s">
        <v>16</v>
      </c>
      <c r="U1426" s="165" t="s">
        <v>16</v>
      </c>
      <c r="V1426" s="165" t="s">
        <v>16</v>
      </c>
      <c r="W1426" s="165" t="s">
        <v>16</v>
      </c>
      <c r="X1426" s="165" t="s">
        <v>16</v>
      </c>
      <c r="Y1426" s="165" t="s">
        <v>16</v>
      </c>
      <c r="Z1426" s="165" t="s">
        <v>16</v>
      </c>
      <c r="AA1426" s="165" t="s">
        <v>16</v>
      </c>
      <c r="AB1426" s="165" t="s">
        <v>148</v>
      </c>
      <c r="AC1426" s="165" t="s">
        <v>16</v>
      </c>
      <c r="AD1426" s="165" t="s">
        <v>16</v>
      </c>
      <c r="AE1426" s="165" t="s">
        <v>2196</v>
      </c>
      <c r="AF1426" s="165" t="s">
        <v>2223</v>
      </c>
    </row>
    <row r="1427" spans="1:32" x14ac:dyDescent="0.3">
      <c r="A1427" s="165" t="s">
        <v>2224</v>
      </c>
      <c r="B1427" s="165" t="s">
        <v>14</v>
      </c>
      <c r="C1427" s="165" t="s">
        <v>2193</v>
      </c>
      <c r="D1427" s="165" t="s">
        <v>15</v>
      </c>
      <c r="E1427" s="157">
        <v>41758</v>
      </c>
      <c r="F1427" s="165" t="s">
        <v>149</v>
      </c>
      <c r="G1427" s="165" t="s">
        <v>149</v>
      </c>
      <c r="H1427" s="165" t="s">
        <v>149</v>
      </c>
      <c r="I1427" s="165" t="s">
        <v>148</v>
      </c>
      <c r="J1427" s="165" t="s">
        <v>16</v>
      </c>
      <c r="K1427" s="165" t="s">
        <v>148</v>
      </c>
      <c r="L1427" s="165" t="s">
        <v>148</v>
      </c>
      <c r="M1427" s="165" t="s">
        <v>16</v>
      </c>
      <c r="N1427" s="165" t="s">
        <v>16</v>
      </c>
      <c r="O1427" s="165" t="s">
        <v>16</v>
      </c>
      <c r="P1427" s="165" t="s">
        <v>16</v>
      </c>
      <c r="Q1427" s="165" t="s">
        <v>16</v>
      </c>
      <c r="R1427" s="165" t="s">
        <v>150</v>
      </c>
      <c r="S1427" s="165" t="s">
        <v>148</v>
      </c>
      <c r="T1427" s="165" t="s">
        <v>16</v>
      </c>
      <c r="U1427" s="165" t="s">
        <v>16</v>
      </c>
      <c r="V1427" s="165" t="s">
        <v>149</v>
      </c>
      <c r="W1427" s="165" t="s">
        <v>148</v>
      </c>
      <c r="X1427" s="165" t="s">
        <v>148</v>
      </c>
      <c r="Y1427" s="165" t="s">
        <v>16</v>
      </c>
      <c r="Z1427" s="165" t="s">
        <v>149</v>
      </c>
      <c r="AA1427" s="165" t="s">
        <v>16</v>
      </c>
      <c r="AB1427" s="165" t="s">
        <v>16</v>
      </c>
      <c r="AC1427" s="165" t="s">
        <v>148</v>
      </c>
      <c r="AD1427" s="165" t="s">
        <v>16</v>
      </c>
      <c r="AE1427" s="165" t="s">
        <v>2204</v>
      </c>
      <c r="AF1427" s="165" t="s">
        <v>2225</v>
      </c>
    </row>
    <row r="1428" spans="1:32" x14ac:dyDescent="0.3">
      <c r="A1428" s="165" t="s">
        <v>2192</v>
      </c>
      <c r="B1428" s="165" t="s">
        <v>14</v>
      </c>
      <c r="C1428" s="165" t="s">
        <v>2193</v>
      </c>
      <c r="D1428" s="165" t="s">
        <v>15</v>
      </c>
      <c r="E1428" s="157">
        <v>41758</v>
      </c>
      <c r="F1428" s="165" t="s">
        <v>16</v>
      </c>
      <c r="G1428" s="165" t="s">
        <v>16</v>
      </c>
      <c r="H1428" s="165" t="s">
        <v>16</v>
      </c>
      <c r="I1428" s="165" t="s">
        <v>16</v>
      </c>
      <c r="J1428" s="165" t="s">
        <v>16</v>
      </c>
      <c r="K1428" s="165" t="s">
        <v>16</v>
      </c>
      <c r="L1428" s="165" t="s">
        <v>16</v>
      </c>
      <c r="M1428" s="165" t="s">
        <v>16</v>
      </c>
      <c r="N1428" s="165" t="s">
        <v>148</v>
      </c>
      <c r="O1428" s="165" t="s">
        <v>16</v>
      </c>
      <c r="P1428" s="165" t="s">
        <v>16</v>
      </c>
      <c r="Q1428" s="165" t="s">
        <v>16</v>
      </c>
      <c r="R1428" s="165" t="s">
        <v>16</v>
      </c>
      <c r="S1428" s="165" t="s">
        <v>16</v>
      </c>
      <c r="T1428" s="165" t="s">
        <v>16</v>
      </c>
      <c r="U1428" s="165" t="s">
        <v>16</v>
      </c>
      <c r="V1428" s="165" t="s">
        <v>16</v>
      </c>
      <c r="W1428" s="165" t="s">
        <v>16</v>
      </c>
      <c r="X1428" s="165" t="s">
        <v>148</v>
      </c>
      <c r="Y1428" s="165" t="s">
        <v>16</v>
      </c>
      <c r="Z1428" s="165" t="s">
        <v>16</v>
      </c>
      <c r="AA1428" s="165" t="s">
        <v>16</v>
      </c>
      <c r="AB1428" s="165" t="s">
        <v>16</v>
      </c>
      <c r="AC1428" s="165" t="s">
        <v>16</v>
      </c>
      <c r="AD1428" s="165" t="s">
        <v>16</v>
      </c>
      <c r="AE1428" s="165" t="s">
        <v>2194</v>
      </c>
      <c r="AF1428" s="165"/>
    </row>
    <row r="1429" spans="1:32" x14ac:dyDescent="0.3">
      <c r="A1429" s="165" t="s">
        <v>2195</v>
      </c>
      <c r="B1429" s="165" t="s">
        <v>14</v>
      </c>
      <c r="C1429" s="165" t="s">
        <v>2193</v>
      </c>
      <c r="D1429" s="165" t="s">
        <v>15</v>
      </c>
      <c r="E1429" s="157">
        <v>41758</v>
      </c>
      <c r="F1429" s="165" t="s">
        <v>16</v>
      </c>
      <c r="G1429" s="165" t="s">
        <v>148</v>
      </c>
      <c r="H1429" s="165" t="s">
        <v>16</v>
      </c>
      <c r="I1429" s="165" t="s">
        <v>148</v>
      </c>
      <c r="J1429" s="165" t="s">
        <v>148</v>
      </c>
      <c r="K1429" s="165" t="s">
        <v>16</v>
      </c>
      <c r="L1429" s="165" t="s">
        <v>16</v>
      </c>
      <c r="M1429" s="165" t="s">
        <v>148</v>
      </c>
      <c r="N1429" s="165" t="s">
        <v>16</v>
      </c>
      <c r="O1429" s="165" t="s">
        <v>16</v>
      </c>
      <c r="P1429" s="165" t="s">
        <v>148</v>
      </c>
      <c r="Q1429" s="165" t="s">
        <v>16</v>
      </c>
      <c r="R1429" s="165" t="s">
        <v>16</v>
      </c>
      <c r="S1429" s="165" t="s">
        <v>148</v>
      </c>
      <c r="T1429" s="165" t="s">
        <v>148</v>
      </c>
      <c r="U1429" s="165" t="s">
        <v>16</v>
      </c>
      <c r="V1429" s="165" t="s">
        <v>16</v>
      </c>
      <c r="W1429" s="165" t="s">
        <v>148</v>
      </c>
      <c r="X1429" s="165" t="s">
        <v>148</v>
      </c>
      <c r="Y1429" s="165" t="s">
        <v>16</v>
      </c>
      <c r="Z1429" s="165" t="s">
        <v>148</v>
      </c>
      <c r="AA1429" s="165" t="s">
        <v>148</v>
      </c>
      <c r="AB1429" s="165" t="s">
        <v>16</v>
      </c>
      <c r="AC1429" s="165" t="s">
        <v>148</v>
      </c>
      <c r="AD1429" s="165" t="s">
        <v>16</v>
      </c>
      <c r="AE1429" s="165" t="s">
        <v>2196</v>
      </c>
      <c r="AF1429" s="165"/>
    </row>
    <row r="1430" spans="1:32" x14ac:dyDescent="0.3">
      <c r="A1430" s="165" t="s">
        <v>2197</v>
      </c>
      <c r="B1430" s="165" t="s">
        <v>14</v>
      </c>
      <c r="C1430" s="165" t="s">
        <v>2193</v>
      </c>
      <c r="D1430" s="165" t="s">
        <v>15</v>
      </c>
      <c r="E1430" s="157">
        <v>41758</v>
      </c>
      <c r="F1430" s="165" t="s">
        <v>16</v>
      </c>
      <c r="G1430" s="165" t="s">
        <v>16</v>
      </c>
      <c r="H1430" s="165" t="s">
        <v>16</v>
      </c>
      <c r="I1430" s="165" t="s">
        <v>148</v>
      </c>
      <c r="J1430" s="165" t="s">
        <v>16</v>
      </c>
      <c r="K1430" s="165" t="s">
        <v>16</v>
      </c>
      <c r="L1430" s="165" t="s">
        <v>16</v>
      </c>
      <c r="M1430" s="165" t="s">
        <v>16</v>
      </c>
      <c r="N1430" s="165" t="s">
        <v>148</v>
      </c>
      <c r="O1430" s="165" t="s">
        <v>16</v>
      </c>
      <c r="P1430" s="165" t="s">
        <v>16</v>
      </c>
      <c r="Q1430" s="165" t="s">
        <v>16</v>
      </c>
      <c r="R1430" s="165" t="s">
        <v>16</v>
      </c>
      <c r="S1430" s="165" t="s">
        <v>16</v>
      </c>
      <c r="T1430" s="165" t="s">
        <v>16</v>
      </c>
      <c r="U1430" s="165" t="s">
        <v>148</v>
      </c>
      <c r="V1430" s="165" t="s">
        <v>16</v>
      </c>
      <c r="W1430" s="165" t="s">
        <v>16</v>
      </c>
      <c r="X1430" s="165" t="s">
        <v>16</v>
      </c>
      <c r="Y1430" s="165" t="s">
        <v>16</v>
      </c>
      <c r="Z1430" s="165" t="s">
        <v>16</v>
      </c>
      <c r="AA1430" s="165" t="s">
        <v>16</v>
      </c>
      <c r="AB1430" s="165" t="s">
        <v>16</v>
      </c>
      <c r="AC1430" s="165" t="s">
        <v>16</v>
      </c>
      <c r="AD1430" s="165" t="s">
        <v>16</v>
      </c>
      <c r="AE1430" s="165" t="s">
        <v>2198</v>
      </c>
      <c r="AF1430" s="165"/>
    </row>
    <row r="1431" spans="1:32" x14ac:dyDescent="0.3">
      <c r="A1431" s="165" t="s">
        <v>2199</v>
      </c>
      <c r="B1431" s="165" t="s">
        <v>14</v>
      </c>
      <c r="C1431" s="165" t="s">
        <v>2193</v>
      </c>
      <c r="D1431" s="165" t="s">
        <v>15</v>
      </c>
      <c r="E1431" s="157">
        <v>41758</v>
      </c>
      <c r="F1431" s="165" t="s">
        <v>16</v>
      </c>
      <c r="G1431" s="165" t="s">
        <v>16</v>
      </c>
      <c r="H1431" s="165" t="s">
        <v>16</v>
      </c>
      <c r="I1431" s="165" t="s">
        <v>16</v>
      </c>
      <c r="J1431" s="165" t="s">
        <v>16</v>
      </c>
      <c r="K1431" s="165" t="s">
        <v>16</v>
      </c>
      <c r="L1431" s="165" t="s">
        <v>16</v>
      </c>
      <c r="M1431" s="165" t="s">
        <v>16</v>
      </c>
      <c r="N1431" s="165" t="s">
        <v>16</v>
      </c>
      <c r="O1431" s="165" t="s">
        <v>16</v>
      </c>
      <c r="P1431" s="165" t="s">
        <v>16</v>
      </c>
      <c r="Q1431" s="165" t="s">
        <v>16</v>
      </c>
      <c r="R1431" s="165" t="s">
        <v>16</v>
      </c>
      <c r="S1431" s="165" t="s">
        <v>16</v>
      </c>
      <c r="T1431" s="165" t="s">
        <v>16</v>
      </c>
      <c r="U1431" s="165" t="s">
        <v>16</v>
      </c>
      <c r="V1431" s="165" t="s">
        <v>16</v>
      </c>
      <c r="W1431" s="165" t="s">
        <v>16</v>
      </c>
      <c r="X1431" s="165" t="s">
        <v>16</v>
      </c>
      <c r="Y1431" s="165" t="s">
        <v>16</v>
      </c>
      <c r="Z1431" s="165" t="s">
        <v>16</v>
      </c>
      <c r="AA1431" s="165" t="s">
        <v>16</v>
      </c>
      <c r="AB1431" s="165" t="s">
        <v>16</v>
      </c>
      <c r="AC1431" s="165" t="s">
        <v>16</v>
      </c>
      <c r="AD1431" s="165" t="s">
        <v>16</v>
      </c>
      <c r="AE1431" s="165"/>
      <c r="AF1431" s="165"/>
    </row>
    <row r="1432" spans="1:32" x14ac:dyDescent="0.3">
      <c r="A1432" s="165" t="s">
        <v>2200</v>
      </c>
      <c r="B1432" s="165" t="s">
        <v>14</v>
      </c>
      <c r="C1432" s="165" t="s">
        <v>2193</v>
      </c>
      <c r="D1432" s="165" t="s">
        <v>15</v>
      </c>
      <c r="E1432" s="157">
        <v>41758</v>
      </c>
      <c r="F1432" s="165" t="s">
        <v>16</v>
      </c>
      <c r="G1432" s="165" t="s">
        <v>16</v>
      </c>
      <c r="H1432" s="165" t="s">
        <v>16</v>
      </c>
      <c r="I1432" s="165" t="s">
        <v>16</v>
      </c>
      <c r="J1432" s="165" t="s">
        <v>16</v>
      </c>
      <c r="K1432" s="165" t="s">
        <v>16</v>
      </c>
      <c r="L1432" s="165" t="s">
        <v>16</v>
      </c>
      <c r="M1432" s="165" t="s">
        <v>16</v>
      </c>
      <c r="N1432" s="165" t="s">
        <v>148</v>
      </c>
      <c r="O1432" s="165" t="s">
        <v>16</v>
      </c>
      <c r="P1432" s="165" t="s">
        <v>16</v>
      </c>
      <c r="Q1432" s="165" t="s">
        <v>16</v>
      </c>
      <c r="R1432" s="165" t="s">
        <v>16</v>
      </c>
      <c r="S1432" s="165" t="s">
        <v>16</v>
      </c>
      <c r="T1432" s="165" t="s">
        <v>16</v>
      </c>
      <c r="U1432" s="165" t="s">
        <v>16</v>
      </c>
      <c r="V1432" s="165" t="s">
        <v>16</v>
      </c>
      <c r="W1432" s="165" t="s">
        <v>148</v>
      </c>
      <c r="X1432" s="165" t="s">
        <v>16</v>
      </c>
      <c r="Y1432" s="165" t="s">
        <v>16</v>
      </c>
      <c r="Z1432" s="165" t="s">
        <v>16</v>
      </c>
      <c r="AA1432" s="165" t="s">
        <v>16</v>
      </c>
      <c r="AB1432" s="165" t="s">
        <v>16</v>
      </c>
      <c r="AC1432" s="165" t="s">
        <v>16</v>
      </c>
      <c r="AD1432" s="165" t="s">
        <v>148</v>
      </c>
      <c r="AE1432" s="165" t="s">
        <v>2201</v>
      </c>
      <c r="AF1432" s="165" t="s">
        <v>2202</v>
      </c>
    </row>
    <row r="1433" spans="1:32" x14ac:dyDescent="0.3">
      <c r="A1433" s="165" t="s">
        <v>2203</v>
      </c>
      <c r="B1433" s="165" t="s">
        <v>14</v>
      </c>
      <c r="C1433" s="165" t="s">
        <v>2193</v>
      </c>
      <c r="D1433" s="165" t="s">
        <v>15</v>
      </c>
      <c r="E1433" s="157">
        <v>41758</v>
      </c>
      <c r="F1433" s="165" t="s">
        <v>16</v>
      </c>
      <c r="G1433" s="165" t="s">
        <v>16</v>
      </c>
      <c r="H1433" s="165" t="s">
        <v>16</v>
      </c>
      <c r="I1433" s="165" t="s">
        <v>16</v>
      </c>
      <c r="J1433" s="165" t="s">
        <v>16</v>
      </c>
      <c r="K1433" s="165" t="s">
        <v>16</v>
      </c>
      <c r="L1433" s="165" t="s">
        <v>16</v>
      </c>
      <c r="M1433" s="165" t="s">
        <v>16</v>
      </c>
      <c r="N1433" s="165" t="s">
        <v>16</v>
      </c>
      <c r="O1433" s="165" t="s">
        <v>16</v>
      </c>
      <c r="P1433" s="165" t="s">
        <v>16</v>
      </c>
      <c r="Q1433" s="165" t="s">
        <v>16</v>
      </c>
      <c r="R1433" s="165" t="s">
        <v>16</v>
      </c>
      <c r="S1433" s="165" t="s">
        <v>16</v>
      </c>
      <c r="T1433" s="165" t="s">
        <v>16</v>
      </c>
      <c r="U1433" s="165" t="s">
        <v>16</v>
      </c>
      <c r="V1433" s="165" t="s">
        <v>16</v>
      </c>
      <c r="W1433" s="165" t="s">
        <v>16</v>
      </c>
      <c r="X1433" s="165" t="s">
        <v>16</v>
      </c>
      <c r="Y1433" s="165" t="s">
        <v>16</v>
      </c>
      <c r="Z1433" s="165" t="s">
        <v>16</v>
      </c>
      <c r="AA1433" s="165" t="s">
        <v>16</v>
      </c>
      <c r="AB1433" s="165" t="s">
        <v>16</v>
      </c>
      <c r="AC1433" s="165" t="s">
        <v>16</v>
      </c>
      <c r="AD1433" s="165" t="s">
        <v>16</v>
      </c>
      <c r="AE1433" s="165" t="s">
        <v>2204</v>
      </c>
      <c r="AF1433" s="165"/>
    </row>
    <row r="1434" spans="1:32" x14ac:dyDescent="0.3">
      <c r="A1434" s="165" t="s">
        <v>2205</v>
      </c>
      <c r="B1434" s="165" t="s">
        <v>14</v>
      </c>
      <c r="C1434" s="165" t="s">
        <v>2193</v>
      </c>
      <c r="D1434" s="165" t="s">
        <v>15</v>
      </c>
      <c r="E1434" s="157">
        <v>41758</v>
      </c>
      <c r="F1434" s="165" t="s">
        <v>148</v>
      </c>
      <c r="G1434" s="165" t="s">
        <v>16</v>
      </c>
      <c r="H1434" s="165" t="s">
        <v>16</v>
      </c>
      <c r="I1434" s="165" t="s">
        <v>148</v>
      </c>
      <c r="J1434" s="165" t="s">
        <v>148</v>
      </c>
      <c r="K1434" s="165" t="s">
        <v>16</v>
      </c>
      <c r="L1434" s="165" t="s">
        <v>16</v>
      </c>
      <c r="M1434" s="165" t="s">
        <v>148</v>
      </c>
      <c r="N1434" s="165" t="s">
        <v>148</v>
      </c>
      <c r="O1434" s="165" t="s">
        <v>16</v>
      </c>
      <c r="P1434" s="165" t="s">
        <v>148</v>
      </c>
      <c r="Q1434" s="165" t="s">
        <v>16</v>
      </c>
      <c r="R1434" s="165" t="s">
        <v>148</v>
      </c>
      <c r="S1434" s="165" t="s">
        <v>148</v>
      </c>
      <c r="T1434" s="165" t="s">
        <v>148</v>
      </c>
      <c r="U1434" s="165" t="s">
        <v>148</v>
      </c>
      <c r="V1434" s="165" t="s">
        <v>148</v>
      </c>
      <c r="W1434" s="165" t="s">
        <v>150</v>
      </c>
      <c r="X1434" s="165" t="s">
        <v>150</v>
      </c>
      <c r="Y1434" s="165" t="s">
        <v>114</v>
      </c>
      <c r="Z1434" s="165" t="s">
        <v>148</v>
      </c>
      <c r="AA1434" s="165" t="s">
        <v>148</v>
      </c>
      <c r="AB1434" s="165" t="s">
        <v>16</v>
      </c>
      <c r="AC1434" s="165" t="s">
        <v>148</v>
      </c>
      <c r="AD1434" s="165" t="s">
        <v>16</v>
      </c>
      <c r="AE1434" s="165" t="s">
        <v>2204</v>
      </c>
      <c r="AF1434" s="165" t="s">
        <v>2206</v>
      </c>
    </row>
    <row r="1435" spans="1:32" x14ac:dyDescent="0.3">
      <c r="A1435" s="165" t="s">
        <v>2207</v>
      </c>
      <c r="B1435" s="165" t="s">
        <v>14</v>
      </c>
      <c r="C1435" s="165" t="s">
        <v>2193</v>
      </c>
      <c r="D1435" s="165" t="s">
        <v>15</v>
      </c>
      <c r="E1435" s="157">
        <v>41758</v>
      </c>
      <c r="F1435" s="165" t="s">
        <v>149</v>
      </c>
      <c r="G1435" s="165" t="s">
        <v>149</v>
      </c>
      <c r="H1435" s="165" t="s">
        <v>149</v>
      </c>
      <c r="I1435" s="165" t="s">
        <v>149</v>
      </c>
      <c r="J1435" s="165" t="s">
        <v>149</v>
      </c>
      <c r="K1435" s="165" t="s">
        <v>151</v>
      </c>
      <c r="L1435" s="165" t="s">
        <v>151</v>
      </c>
      <c r="M1435" s="165" t="s">
        <v>151</v>
      </c>
      <c r="N1435" s="165" t="s">
        <v>150</v>
      </c>
      <c r="O1435" s="165" t="s">
        <v>148</v>
      </c>
      <c r="P1435" s="165" t="s">
        <v>149</v>
      </c>
      <c r="Q1435" s="165" t="s">
        <v>149</v>
      </c>
      <c r="R1435" s="165" t="s">
        <v>149</v>
      </c>
      <c r="S1435" s="165" t="s">
        <v>149</v>
      </c>
      <c r="T1435" s="165" t="s">
        <v>149</v>
      </c>
      <c r="U1435" s="165" t="s">
        <v>149</v>
      </c>
      <c r="V1435" s="165" t="s">
        <v>149</v>
      </c>
      <c r="W1435" s="165" t="s">
        <v>149</v>
      </c>
      <c r="X1435" s="165" t="s">
        <v>149</v>
      </c>
      <c r="Y1435" s="165" t="s">
        <v>149</v>
      </c>
      <c r="Z1435" s="165" t="s">
        <v>151</v>
      </c>
      <c r="AA1435" s="165" t="s">
        <v>149</v>
      </c>
      <c r="AB1435" s="165" t="s">
        <v>151</v>
      </c>
      <c r="AC1435" s="165" t="s">
        <v>148</v>
      </c>
      <c r="AD1435" s="165" t="s">
        <v>148</v>
      </c>
      <c r="AE1435" s="165" t="s">
        <v>2196</v>
      </c>
      <c r="AF1435" s="165"/>
    </row>
    <row r="1436" spans="1:32" x14ac:dyDescent="0.3">
      <c r="A1436" s="165" t="s">
        <v>2208</v>
      </c>
      <c r="B1436" s="165" t="s">
        <v>14</v>
      </c>
      <c r="C1436" s="165" t="s">
        <v>2193</v>
      </c>
      <c r="D1436" s="165" t="s">
        <v>15</v>
      </c>
      <c r="E1436" s="157">
        <v>41758</v>
      </c>
      <c r="F1436" s="165" t="s">
        <v>16</v>
      </c>
      <c r="G1436" s="165" t="s">
        <v>16</v>
      </c>
      <c r="H1436" s="165" t="s">
        <v>16</v>
      </c>
      <c r="I1436" s="165" t="s">
        <v>16</v>
      </c>
      <c r="J1436" s="165" t="s">
        <v>16</v>
      </c>
      <c r="K1436" s="165" t="s">
        <v>16</v>
      </c>
      <c r="L1436" s="165" t="s">
        <v>16</v>
      </c>
      <c r="M1436" s="165" t="s">
        <v>16</v>
      </c>
      <c r="N1436" s="165" t="s">
        <v>16</v>
      </c>
      <c r="O1436" s="165" t="s">
        <v>16</v>
      </c>
      <c r="P1436" s="165" t="s">
        <v>16</v>
      </c>
      <c r="Q1436" s="165" t="s">
        <v>16</v>
      </c>
      <c r="R1436" s="165" t="s">
        <v>16</v>
      </c>
      <c r="S1436" s="165" t="s">
        <v>16</v>
      </c>
      <c r="T1436" s="165" t="s">
        <v>16</v>
      </c>
      <c r="U1436" s="165" t="s">
        <v>16</v>
      </c>
      <c r="V1436" s="165" t="s">
        <v>16</v>
      </c>
      <c r="W1436" s="165" t="s">
        <v>16</v>
      </c>
      <c r="X1436" s="165" t="s">
        <v>16</v>
      </c>
      <c r="Y1436" s="165" t="s">
        <v>16</v>
      </c>
      <c r="Z1436" s="165" t="s">
        <v>16</v>
      </c>
      <c r="AA1436" s="165" t="s">
        <v>16</v>
      </c>
      <c r="AB1436" s="165" t="s">
        <v>16</v>
      </c>
      <c r="AC1436" s="165" t="s">
        <v>16</v>
      </c>
      <c r="AD1436" s="165" t="s">
        <v>16</v>
      </c>
      <c r="AE1436" s="165" t="s">
        <v>2209</v>
      </c>
      <c r="AF1436" s="165"/>
    </row>
    <row r="1437" spans="1:32" x14ac:dyDescent="0.3">
      <c r="A1437" s="165" t="s">
        <v>2210</v>
      </c>
      <c r="B1437" s="165" t="s">
        <v>14</v>
      </c>
      <c r="C1437" s="165" t="s">
        <v>2193</v>
      </c>
      <c r="D1437" s="165" t="s">
        <v>15</v>
      </c>
      <c r="E1437" s="157">
        <v>41758</v>
      </c>
      <c r="F1437" s="165" t="s">
        <v>148</v>
      </c>
      <c r="G1437" s="165" t="s">
        <v>16</v>
      </c>
      <c r="H1437" s="165" t="s">
        <v>16</v>
      </c>
      <c r="I1437" s="165" t="s">
        <v>148</v>
      </c>
      <c r="J1437" s="165" t="s">
        <v>16</v>
      </c>
      <c r="K1437" s="165" t="s">
        <v>16</v>
      </c>
      <c r="L1437" s="165" t="s">
        <v>16</v>
      </c>
      <c r="M1437" s="165" t="s">
        <v>148</v>
      </c>
      <c r="N1437" s="165" t="s">
        <v>148</v>
      </c>
      <c r="O1437" s="165" t="s">
        <v>16</v>
      </c>
      <c r="P1437" s="165" t="s">
        <v>148</v>
      </c>
      <c r="Q1437" s="165" t="s">
        <v>16</v>
      </c>
      <c r="R1437" s="165" t="s">
        <v>16</v>
      </c>
      <c r="S1437" s="165" t="s">
        <v>16</v>
      </c>
      <c r="T1437" s="165" t="s">
        <v>16</v>
      </c>
      <c r="U1437" s="165" t="s">
        <v>148</v>
      </c>
      <c r="V1437" s="165" t="s">
        <v>16</v>
      </c>
      <c r="W1437" s="165" t="s">
        <v>16</v>
      </c>
      <c r="X1437" s="165" t="s">
        <v>148</v>
      </c>
      <c r="Y1437" s="165" t="s">
        <v>16</v>
      </c>
      <c r="Z1437" s="165" t="s">
        <v>16</v>
      </c>
      <c r="AA1437" s="165" t="s">
        <v>16</v>
      </c>
      <c r="AB1437" s="165" t="s">
        <v>16</v>
      </c>
      <c r="AC1437" s="165" t="s">
        <v>16</v>
      </c>
      <c r="AD1437" s="165" t="s">
        <v>16</v>
      </c>
      <c r="AE1437" s="165" t="s">
        <v>2209</v>
      </c>
      <c r="AF1437" s="165"/>
    </row>
    <row r="1438" spans="1:32" x14ac:dyDescent="0.3">
      <c r="A1438" s="165" t="s">
        <v>2211</v>
      </c>
      <c r="B1438" s="165" t="s">
        <v>14</v>
      </c>
      <c r="C1438" s="165" t="s">
        <v>2193</v>
      </c>
      <c r="D1438" s="165" t="s">
        <v>15</v>
      </c>
      <c r="E1438" s="157">
        <v>41758</v>
      </c>
      <c r="F1438" s="165" t="s">
        <v>16</v>
      </c>
      <c r="G1438" s="165" t="s">
        <v>16</v>
      </c>
      <c r="H1438" s="165" t="s">
        <v>16</v>
      </c>
      <c r="I1438" s="165" t="s">
        <v>16</v>
      </c>
      <c r="J1438" s="165" t="s">
        <v>16</v>
      </c>
      <c r="K1438" s="165" t="s">
        <v>16</v>
      </c>
      <c r="L1438" s="165" t="s">
        <v>16</v>
      </c>
      <c r="M1438" s="165" t="s">
        <v>16</v>
      </c>
      <c r="N1438" s="165" t="s">
        <v>16</v>
      </c>
      <c r="O1438" s="165" t="s">
        <v>16</v>
      </c>
      <c r="P1438" s="165" t="s">
        <v>16</v>
      </c>
      <c r="Q1438" s="165" t="s">
        <v>16</v>
      </c>
      <c r="R1438" s="165" t="s">
        <v>16</v>
      </c>
      <c r="S1438" s="165" t="s">
        <v>16</v>
      </c>
      <c r="T1438" s="165" t="s">
        <v>16</v>
      </c>
      <c r="U1438" s="165" t="s">
        <v>16</v>
      </c>
      <c r="V1438" s="165" t="s">
        <v>16</v>
      </c>
      <c r="W1438" s="165" t="s">
        <v>16</v>
      </c>
      <c r="X1438" s="165" t="s">
        <v>16</v>
      </c>
      <c r="Y1438" s="165" t="s">
        <v>16</v>
      </c>
      <c r="Z1438" s="165" t="s">
        <v>16</v>
      </c>
      <c r="AA1438" s="165" t="s">
        <v>16</v>
      </c>
      <c r="AB1438" s="165" t="s">
        <v>16</v>
      </c>
      <c r="AC1438" s="165" t="s">
        <v>16</v>
      </c>
      <c r="AD1438" s="165" t="s">
        <v>16</v>
      </c>
      <c r="AE1438" s="165" t="s">
        <v>2204</v>
      </c>
      <c r="AF1438" s="165"/>
    </row>
    <row r="1439" spans="1:32" x14ac:dyDescent="0.3">
      <c r="A1439" s="165" t="s">
        <v>2212</v>
      </c>
      <c r="B1439" s="165" t="s">
        <v>14</v>
      </c>
      <c r="C1439" s="165" t="s">
        <v>2193</v>
      </c>
      <c r="D1439" s="165" t="s">
        <v>15</v>
      </c>
      <c r="E1439" s="157">
        <v>41758</v>
      </c>
      <c r="F1439" s="165" t="s">
        <v>16</v>
      </c>
      <c r="G1439" s="165" t="s">
        <v>16</v>
      </c>
      <c r="H1439" s="165" t="s">
        <v>16</v>
      </c>
      <c r="I1439" s="165" t="s">
        <v>16</v>
      </c>
      <c r="J1439" s="165" t="s">
        <v>16</v>
      </c>
      <c r="K1439" s="165" t="s">
        <v>16</v>
      </c>
      <c r="L1439" s="165" t="s">
        <v>16</v>
      </c>
      <c r="M1439" s="165" t="s">
        <v>148</v>
      </c>
      <c r="N1439" s="165" t="s">
        <v>148</v>
      </c>
      <c r="O1439" s="165" t="s">
        <v>148</v>
      </c>
      <c r="P1439" s="165" t="s">
        <v>148</v>
      </c>
      <c r="Q1439" s="165" t="s">
        <v>16</v>
      </c>
      <c r="R1439" s="165" t="s">
        <v>16</v>
      </c>
      <c r="S1439" s="165" t="s">
        <v>148</v>
      </c>
      <c r="T1439" s="165" t="s">
        <v>148</v>
      </c>
      <c r="U1439" s="165" t="s">
        <v>16</v>
      </c>
      <c r="V1439" s="165" t="s">
        <v>148</v>
      </c>
      <c r="W1439" s="165" t="s">
        <v>16</v>
      </c>
      <c r="X1439" s="165" t="s">
        <v>16</v>
      </c>
      <c r="Y1439" s="165" t="s">
        <v>16</v>
      </c>
      <c r="Z1439" s="165" t="s">
        <v>148</v>
      </c>
      <c r="AA1439" s="165" t="s">
        <v>16</v>
      </c>
      <c r="AB1439" s="165" t="s">
        <v>16</v>
      </c>
      <c r="AC1439" s="165" t="s">
        <v>16</v>
      </c>
      <c r="AD1439" s="165" t="s">
        <v>148</v>
      </c>
      <c r="AE1439" s="165" t="s">
        <v>2198</v>
      </c>
      <c r="AF1439" s="165"/>
    </row>
    <row r="1440" spans="1:32" x14ac:dyDescent="0.3">
      <c r="A1440" s="165" t="s">
        <v>2213</v>
      </c>
      <c r="B1440" s="165" t="s">
        <v>14</v>
      </c>
      <c r="C1440" s="165" t="s">
        <v>2193</v>
      </c>
      <c r="D1440" s="165" t="s">
        <v>15</v>
      </c>
      <c r="E1440" s="157">
        <v>41758</v>
      </c>
      <c r="F1440" s="165" t="s">
        <v>16</v>
      </c>
      <c r="G1440" s="165" t="s">
        <v>16</v>
      </c>
      <c r="H1440" s="165" t="s">
        <v>16</v>
      </c>
      <c r="I1440" s="165" t="s">
        <v>16</v>
      </c>
      <c r="J1440" s="165" t="s">
        <v>16</v>
      </c>
      <c r="K1440" s="165" t="s">
        <v>16</v>
      </c>
      <c r="L1440" s="165" t="s">
        <v>16</v>
      </c>
      <c r="M1440" s="165" t="s">
        <v>16</v>
      </c>
      <c r="N1440" s="165" t="s">
        <v>16</v>
      </c>
      <c r="O1440" s="165" t="s">
        <v>16</v>
      </c>
      <c r="P1440" s="165" t="s">
        <v>16</v>
      </c>
      <c r="Q1440" s="165" t="s">
        <v>16</v>
      </c>
      <c r="R1440" s="165" t="s">
        <v>16</v>
      </c>
      <c r="S1440" s="165" t="s">
        <v>16</v>
      </c>
      <c r="T1440" s="165" t="s">
        <v>16</v>
      </c>
      <c r="U1440" s="165" t="s">
        <v>16</v>
      </c>
      <c r="V1440" s="165" t="s">
        <v>16</v>
      </c>
      <c r="W1440" s="165" t="s">
        <v>16</v>
      </c>
      <c r="X1440" s="165" t="s">
        <v>16</v>
      </c>
      <c r="Y1440" s="165" t="s">
        <v>16</v>
      </c>
      <c r="Z1440" s="165" t="s">
        <v>16</v>
      </c>
      <c r="AA1440" s="165" t="s">
        <v>16</v>
      </c>
      <c r="AB1440" s="165" t="s">
        <v>16</v>
      </c>
      <c r="AC1440" s="165" t="s">
        <v>16</v>
      </c>
      <c r="AD1440" s="165" t="s">
        <v>16</v>
      </c>
      <c r="AE1440" s="165"/>
      <c r="AF1440" s="165"/>
    </row>
    <row r="1441" spans="1:39" x14ac:dyDescent="0.3">
      <c r="A1441" s="165" t="s">
        <v>2214</v>
      </c>
      <c r="B1441" s="165" t="s">
        <v>14</v>
      </c>
      <c r="C1441" s="165" t="s">
        <v>2193</v>
      </c>
      <c r="D1441" s="165" t="s">
        <v>15</v>
      </c>
      <c r="E1441" s="157">
        <v>41758</v>
      </c>
      <c r="F1441" s="165" t="s">
        <v>16</v>
      </c>
      <c r="G1441" s="165" t="s">
        <v>16</v>
      </c>
      <c r="H1441" s="165" t="s">
        <v>16</v>
      </c>
      <c r="I1441" s="165" t="s">
        <v>16</v>
      </c>
      <c r="J1441" s="165" t="s">
        <v>16</v>
      </c>
      <c r="K1441" s="165" t="s">
        <v>16</v>
      </c>
      <c r="L1441" s="165" t="s">
        <v>16</v>
      </c>
      <c r="M1441" s="165" t="s">
        <v>16</v>
      </c>
      <c r="N1441" s="165" t="s">
        <v>16</v>
      </c>
      <c r="O1441" s="165" t="s">
        <v>16</v>
      </c>
      <c r="P1441" s="165" t="s">
        <v>16</v>
      </c>
      <c r="Q1441" s="165" t="s">
        <v>16</v>
      </c>
      <c r="R1441" s="165" t="s">
        <v>16</v>
      </c>
      <c r="S1441" s="165" t="s">
        <v>16</v>
      </c>
      <c r="T1441" s="165" t="s">
        <v>16</v>
      </c>
      <c r="U1441" s="165" t="s">
        <v>16</v>
      </c>
      <c r="V1441" s="165" t="s">
        <v>16</v>
      </c>
      <c r="W1441" s="165" t="s">
        <v>16</v>
      </c>
      <c r="X1441" s="165" t="s">
        <v>16</v>
      </c>
      <c r="Y1441" s="165" t="s">
        <v>16</v>
      </c>
      <c r="Z1441" s="165" t="s">
        <v>16</v>
      </c>
      <c r="AA1441" s="165" t="s">
        <v>16</v>
      </c>
      <c r="AB1441" s="165" t="s">
        <v>16</v>
      </c>
      <c r="AC1441" s="165" t="s">
        <v>16</v>
      </c>
      <c r="AD1441" s="165" t="s">
        <v>16</v>
      </c>
      <c r="AE1441" s="165"/>
      <c r="AF1441" s="165"/>
    </row>
    <row r="1442" spans="1:39" x14ac:dyDescent="0.3">
      <c r="A1442" s="165" t="s">
        <v>2215</v>
      </c>
      <c r="B1442" s="165" t="s">
        <v>14</v>
      </c>
      <c r="C1442" s="165" t="s">
        <v>2193</v>
      </c>
      <c r="D1442" s="165" t="s">
        <v>15</v>
      </c>
      <c r="E1442" s="157">
        <v>41758</v>
      </c>
      <c r="F1442" s="165" t="s">
        <v>16</v>
      </c>
      <c r="G1442" s="165" t="s">
        <v>16</v>
      </c>
      <c r="H1442" s="165" t="s">
        <v>16</v>
      </c>
      <c r="I1442" s="165" t="s">
        <v>16</v>
      </c>
      <c r="J1442" s="165" t="s">
        <v>16</v>
      </c>
      <c r="K1442" s="165" t="s">
        <v>16</v>
      </c>
      <c r="L1442" s="165" t="s">
        <v>16</v>
      </c>
      <c r="M1442" s="165" t="s">
        <v>16</v>
      </c>
      <c r="N1442" s="165" t="s">
        <v>16</v>
      </c>
      <c r="O1442" s="165" t="s">
        <v>16</v>
      </c>
      <c r="P1442" s="165" t="s">
        <v>16</v>
      </c>
      <c r="Q1442" s="165" t="s">
        <v>16</v>
      </c>
      <c r="R1442" s="165" t="s">
        <v>16</v>
      </c>
      <c r="S1442" s="165" t="s">
        <v>16</v>
      </c>
      <c r="T1442" s="165" t="s">
        <v>16</v>
      </c>
      <c r="U1442" s="165" t="s">
        <v>16</v>
      </c>
      <c r="V1442" s="165" t="s">
        <v>16</v>
      </c>
      <c r="W1442" s="165" t="s">
        <v>16</v>
      </c>
      <c r="X1442" s="165" t="s">
        <v>16</v>
      </c>
      <c r="Y1442" s="165" t="s">
        <v>16</v>
      </c>
      <c r="Z1442" s="165" t="s">
        <v>16</v>
      </c>
      <c r="AA1442" s="165" t="s">
        <v>16</v>
      </c>
      <c r="AB1442" s="165" t="s">
        <v>16</v>
      </c>
      <c r="AC1442" s="165" t="s">
        <v>16</v>
      </c>
      <c r="AD1442" s="165" t="s">
        <v>16</v>
      </c>
      <c r="AE1442" s="165" t="s">
        <v>2196</v>
      </c>
      <c r="AF1442" s="165" t="s">
        <v>2216</v>
      </c>
    </row>
    <row r="1443" spans="1:39" x14ac:dyDescent="0.3">
      <c r="A1443" s="165" t="s">
        <v>2217</v>
      </c>
      <c r="B1443" s="165" t="s">
        <v>14</v>
      </c>
      <c r="C1443" s="165" t="s">
        <v>2193</v>
      </c>
      <c r="D1443" s="165" t="s">
        <v>15</v>
      </c>
      <c r="E1443" s="157">
        <v>41758</v>
      </c>
      <c r="F1443" s="165" t="s">
        <v>16</v>
      </c>
      <c r="G1443" s="165" t="s">
        <v>16</v>
      </c>
      <c r="H1443" s="165" t="s">
        <v>16</v>
      </c>
      <c r="I1443" s="165" t="s">
        <v>16</v>
      </c>
      <c r="J1443" s="165" t="s">
        <v>16</v>
      </c>
      <c r="K1443" s="165" t="s">
        <v>16</v>
      </c>
      <c r="L1443" s="165" t="s">
        <v>16</v>
      </c>
      <c r="M1443" s="165" t="s">
        <v>16</v>
      </c>
      <c r="N1443" s="165" t="s">
        <v>16</v>
      </c>
      <c r="O1443" s="165" t="s">
        <v>16</v>
      </c>
      <c r="P1443" s="165" t="s">
        <v>16</v>
      </c>
      <c r="Q1443" s="165" t="s">
        <v>16</v>
      </c>
      <c r="R1443" s="165" t="s">
        <v>16</v>
      </c>
      <c r="S1443" s="165" t="s">
        <v>16</v>
      </c>
      <c r="T1443" s="165" t="s">
        <v>16</v>
      </c>
      <c r="U1443" s="165" t="s">
        <v>16</v>
      </c>
      <c r="V1443" s="165" t="s">
        <v>16</v>
      </c>
      <c r="W1443" s="165" t="s">
        <v>16</v>
      </c>
      <c r="X1443" s="165" t="s">
        <v>16</v>
      </c>
      <c r="Y1443" s="165" t="s">
        <v>16</v>
      </c>
      <c r="Z1443" s="165" t="s">
        <v>16</v>
      </c>
      <c r="AA1443" s="165" t="s">
        <v>16</v>
      </c>
      <c r="AB1443" s="165" t="s">
        <v>16</v>
      </c>
      <c r="AC1443" s="165" t="s">
        <v>16</v>
      </c>
      <c r="AD1443" s="165" t="s">
        <v>16</v>
      </c>
      <c r="AE1443" s="165" t="s">
        <v>2204</v>
      </c>
      <c r="AF1443" s="165"/>
    </row>
    <row r="1444" spans="1:39" x14ac:dyDescent="0.3">
      <c r="A1444" s="165" t="s">
        <v>2218</v>
      </c>
      <c r="B1444" s="165" t="s">
        <v>14</v>
      </c>
      <c r="C1444" s="165" t="s">
        <v>2193</v>
      </c>
      <c r="D1444" s="165" t="s">
        <v>15</v>
      </c>
      <c r="E1444" s="157">
        <v>41758</v>
      </c>
      <c r="F1444" s="165" t="s">
        <v>16</v>
      </c>
      <c r="G1444" s="165" t="s">
        <v>16</v>
      </c>
      <c r="H1444" s="165" t="s">
        <v>16</v>
      </c>
      <c r="I1444" s="165" t="s">
        <v>16</v>
      </c>
      <c r="J1444" s="165" t="s">
        <v>16</v>
      </c>
      <c r="K1444" s="165" t="s">
        <v>16</v>
      </c>
      <c r="L1444" s="165" t="s">
        <v>16</v>
      </c>
      <c r="M1444" s="165" t="s">
        <v>16</v>
      </c>
      <c r="N1444" s="165" t="s">
        <v>16</v>
      </c>
      <c r="O1444" s="165" t="s">
        <v>16</v>
      </c>
      <c r="P1444" s="165" t="s">
        <v>16</v>
      </c>
      <c r="Q1444" s="165" t="s">
        <v>16</v>
      </c>
      <c r="R1444" s="165" t="s">
        <v>16</v>
      </c>
      <c r="S1444" s="165" t="s">
        <v>16</v>
      </c>
      <c r="T1444" s="165" t="s">
        <v>16</v>
      </c>
      <c r="U1444" s="165" t="s">
        <v>16</v>
      </c>
      <c r="V1444" s="165" t="s">
        <v>16</v>
      </c>
      <c r="W1444" s="165" t="s">
        <v>16</v>
      </c>
      <c r="X1444" s="165" t="s">
        <v>16</v>
      </c>
      <c r="Y1444" s="165" t="s">
        <v>16</v>
      </c>
      <c r="Z1444" s="165" t="s">
        <v>16</v>
      </c>
      <c r="AA1444" s="165" t="s">
        <v>16</v>
      </c>
      <c r="AB1444" s="165" t="s">
        <v>16</v>
      </c>
      <c r="AC1444" s="165" t="s">
        <v>16</v>
      </c>
      <c r="AD1444" s="165" t="s">
        <v>16</v>
      </c>
      <c r="AE1444" s="165" t="s">
        <v>2209</v>
      </c>
      <c r="AF1444" s="165"/>
    </row>
    <row r="1445" spans="1:39" x14ac:dyDescent="0.3">
      <c r="A1445" s="165" t="s">
        <v>2219</v>
      </c>
      <c r="B1445" s="165" t="s">
        <v>14</v>
      </c>
      <c r="C1445" s="165" t="s">
        <v>2193</v>
      </c>
      <c r="D1445" s="165" t="s">
        <v>15</v>
      </c>
      <c r="E1445" s="157">
        <v>41758</v>
      </c>
      <c r="F1445" s="165" t="s">
        <v>16</v>
      </c>
      <c r="G1445" s="165" t="s">
        <v>16</v>
      </c>
      <c r="H1445" s="165" t="s">
        <v>16</v>
      </c>
      <c r="I1445" s="165" t="s">
        <v>16</v>
      </c>
      <c r="J1445" s="165" t="s">
        <v>16</v>
      </c>
      <c r="K1445" s="165" t="s">
        <v>16</v>
      </c>
      <c r="L1445" s="165" t="s">
        <v>16</v>
      </c>
      <c r="M1445" s="165" t="s">
        <v>16</v>
      </c>
      <c r="N1445" s="165" t="s">
        <v>16</v>
      </c>
      <c r="O1445" s="165" t="s">
        <v>16</v>
      </c>
      <c r="P1445" s="165" t="s">
        <v>16</v>
      </c>
      <c r="Q1445" s="165" t="s">
        <v>16</v>
      </c>
      <c r="R1445" s="165" t="s">
        <v>16</v>
      </c>
      <c r="S1445" s="165" t="s">
        <v>16</v>
      </c>
      <c r="T1445" s="165" t="s">
        <v>16</v>
      </c>
      <c r="U1445" s="165" t="s">
        <v>16</v>
      </c>
      <c r="V1445" s="165" t="s">
        <v>16</v>
      </c>
      <c r="W1445" s="165" t="s">
        <v>16</v>
      </c>
      <c r="X1445" s="165" t="s">
        <v>16</v>
      </c>
      <c r="Y1445" s="165" t="s">
        <v>16</v>
      </c>
      <c r="Z1445" s="165" t="s">
        <v>16</v>
      </c>
      <c r="AA1445" s="165" t="s">
        <v>16</v>
      </c>
      <c r="AB1445" s="165" t="s">
        <v>16</v>
      </c>
      <c r="AC1445" s="165" t="s">
        <v>16</v>
      </c>
      <c r="AD1445" s="165" t="s">
        <v>16</v>
      </c>
      <c r="AE1445" s="165" t="s">
        <v>2204</v>
      </c>
      <c r="AF1445" s="165"/>
    </row>
    <row r="1446" spans="1:39" x14ac:dyDescent="0.3">
      <c r="A1446" s="165" t="s">
        <v>2220</v>
      </c>
      <c r="B1446" s="165" t="s">
        <v>14</v>
      </c>
      <c r="C1446" s="165" t="s">
        <v>2193</v>
      </c>
      <c r="D1446" s="165" t="s">
        <v>15</v>
      </c>
      <c r="E1446" s="157">
        <v>41758</v>
      </c>
      <c r="F1446" s="165" t="s">
        <v>148</v>
      </c>
      <c r="G1446" s="165" t="s">
        <v>148</v>
      </c>
      <c r="H1446" s="165" t="s">
        <v>16</v>
      </c>
      <c r="I1446" s="165" t="s">
        <v>16</v>
      </c>
      <c r="J1446" s="165" t="s">
        <v>150</v>
      </c>
      <c r="K1446" s="165" t="s">
        <v>16</v>
      </c>
      <c r="L1446" s="165" t="s">
        <v>16</v>
      </c>
      <c r="M1446" s="165" t="s">
        <v>150</v>
      </c>
      <c r="N1446" s="165" t="s">
        <v>150</v>
      </c>
      <c r="O1446" s="165" t="s">
        <v>150</v>
      </c>
      <c r="P1446" s="165" t="s">
        <v>150</v>
      </c>
      <c r="Q1446" s="165" t="s">
        <v>150</v>
      </c>
      <c r="R1446" s="165" t="s">
        <v>150</v>
      </c>
      <c r="S1446" s="165" t="s">
        <v>150</v>
      </c>
      <c r="T1446" s="165" t="s">
        <v>150</v>
      </c>
      <c r="U1446" s="165" t="s">
        <v>148</v>
      </c>
      <c r="V1446" s="165" t="s">
        <v>16</v>
      </c>
      <c r="W1446" s="165" t="s">
        <v>16</v>
      </c>
      <c r="X1446" s="165" t="s">
        <v>16</v>
      </c>
      <c r="Y1446" s="165" t="s">
        <v>16</v>
      </c>
      <c r="Z1446" s="165" t="s">
        <v>148</v>
      </c>
      <c r="AA1446" s="165" t="s">
        <v>148</v>
      </c>
      <c r="AB1446" s="165" t="s">
        <v>16</v>
      </c>
      <c r="AC1446" s="165" t="s">
        <v>16</v>
      </c>
      <c r="AD1446" s="165" t="s">
        <v>148</v>
      </c>
      <c r="AE1446" s="165" t="s">
        <v>2204</v>
      </c>
      <c r="AF1446" s="165"/>
    </row>
    <row r="1450" spans="1:39" x14ac:dyDescent="0.3">
      <c r="A1450" s="165"/>
      <c r="B1450" s="165"/>
      <c r="C1450" s="165"/>
      <c r="D1450" s="165"/>
      <c r="E1450" s="165"/>
      <c r="F1450" s="165" t="s">
        <v>124</v>
      </c>
      <c r="G1450" s="165" t="s">
        <v>125</v>
      </c>
      <c r="H1450" s="165" t="s">
        <v>126</v>
      </c>
      <c r="I1450" s="165" t="s">
        <v>127</v>
      </c>
      <c r="J1450" s="165" t="s">
        <v>214</v>
      </c>
      <c r="K1450" s="165" t="s">
        <v>128</v>
      </c>
      <c r="L1450" s="165" t="s">
        <v>129</v>
      </c>
      <c r="M1450" s="165" t="s">
        <v>130</v>
      </c>
      <c r="N1450" s="165" t="s">
        <v>131</v>
      </c>
      <c r="O1450" s="165" t="s">
        <v>132</v>
      </c>
      <c r="P1450" s="165" t="s">
        <v>133</v>
      </c>
      <c r="Q1450" s="165" t="s">
        <v>134</v>
      </c>
      <c r="R1450" s="165" t="s">
        <v>135</v>
      </c>
      <c r="S1450" s="165" t="s">
        <v>136</v>
      </c>
      <c r="T1450" s="165" t="s">
        <v>137</v>
      </c>
      <c r="U1450" s="165" t="s">
        <v>138</v>
      </c>
      <c r="V1450" s="165" t="s">
        <v>139</v>
      </c>
      <c r="W1450" s="165" t="s">
        <v>140</v>
      </c>
      <c r="X1450" s="165" t="s">
        <v>186</v>
      </c>
      <c r="Y1450" s="165" t="s">
        <v>209</v>
      </c>
      <c r="Z1450" s="165" t="s">
        <v>141</v>
      </c>
      <c r="AA1450" s="165" t="s">
        <v>142</v>
      </c>
      <c r="AB1450" s="165" t="s">
        <v>210</v>
      </c>
      <c r="AC1450" s="165" t="s">
        <v>1180</v>
      </c>
      <c r="AD1450" s="165" t="s">
        <v>144</v>
      </c>
      <c r="AE1450" s="165" t="s">
        <v>1429</v>
      </c>
      <c r="AF1450" s="165" t="s">
        <v>1430</v>
      </c>
      <c r="AG1450" s="165" t="s">
        <v>1431</v>
      </c>
      <c r="AH1450" s="165" t="s">
        <v>1432</v>
      </c>
      <c r="AI1450" s="165" t="s">
        <v>1433</v>
      </c>
      <c r="AJ1450" s="165" t="s">
        <v>1434</v>
      </c>
      <c r="AK1450" s="165" t="s">
        <v>1435</v>
      </c>
      <c r="AL1450" s="165" t="s">
        <v>1436</v>
      </c>
      <c r="AM1450" s="165" t="s">
        <v>190</v>
      </c>
    </row>
    <row r="1451" spans="1:39" x14ac:dyDescent="0.3">
      <c r="A1451" s="165" t="s">
        <v>2226</v>
      </c>
      <c r="B1451" s="165" t="s">
        <v>14</v>
      </c>
      <c r="C1451" s="165" t="s">
        <v>2227</v>
      </c>
      <c r="D1451" s="165" t="s">
        <v>15</v>
      </c>
      <c r="E1451" s="157">
        <v>41789</v>
      </c>
      <c r="F1451" s="165" t="s">
        <v>16</v>
      </c>
      <c r="G1451" s="165" t="s">
        <v>16</v>
      </c>
      <c r="H1451" s="165" t="s">
        <v>148</v>
      </c>
      <c r="I1451" s="165" t="s">
        <v>148</v>
      </c>
      <c r="J1451" s="165" t="s">
        <v>148</v>
      </c>
      <c r="K1451" s="165" t="s">
        <v>148</v>
      </c>
      <c r="L1451" s="165" t="s">
        <v>16</v>
      </c>
      <c r="M1451" s="165" t="s">
        <v>148</v>
      </c>
      <c r="N1451" s="165" t="s">
        <v>148</v>
      </c>
      <c r="O1451" s="165" t="s">
        <v>148</v>
      </c>
      <c r="P1451" s="165" t="s">
        <v>148</v>
      </c>
      <c r="Q1451" s="165" t="s">
        <v>16</v>
      </c>
      <c r="R1451" s="165" t="s">
        <v>16</v>
      </c>
      <c r="S1451" s="165" t="s">
        <v>148</v>
      </c>
      <c r="T1451" s="165" t="s">
        <v>148</v>
      </c>
      <c r="U1451" s="165" t="s">
        <v>148</v>
      </c>
      <c r="V1451" s="165" t="s">
        <v>148</v>
      </c>
      <c r="W1451" s="165" t="s">
        <v>16</v>
      </c>
      <c r="X1451" s="165" t="s">
        <v>148</v>
      </c>
      <c r="Y1451" s="165" t="s">
        <v>148</v>
      </c>
      <c r="Z1451" s="165" t="s">
        <v>148</v>
      </c>
      <c r="AA1451" s="165" t="s">
        <v>148</v>
      </c>
      <c r="AB1451" s="165" t="s">
        <v>149</v>
      </c>
      <c r="AC1451" s="165" t="s">
        <v>148</v>
      </c>
      <c r="AD1451" s="165" t="s">
        <v>16</v>
      </c>
      <c r="AE1451" s="165"/>
      <c r="AF1451" s="165"/>
      <c r="AG1451" s="165"/>
      <c r="AH1451" s="165"/>
      <c r="AI1451" s="165"/>
      <c r="AJ1451" s="165"/>
      <c r="AK1451" s="165"/>
      <c r="AL1451" s="165"/>
      <c r="AM1451" s="165" t="s">
        <v>2228</v>
      </c>
    </row>
    <row r="1452" spans="1:39" x14ac:dyDescent="0.3">
      <c r="A1452" s="165" t="s">
        <v>2229</v>
      </c>
      <c r="B1452" s="165" t="s">
        <v>14</v>
      </c>
      <c r="C1452" s="165" t="s">
        <v>2227</v>
      </c>
      <c r="D1452" s="165" t="s">
        <v>15</v>
      </c>
      <c r="E1452" s="157">
        <v>41789</v>
      </c>
      <c r="F1452" s="165" t="s">
        <v>16</v>
      </c>
      <c r="G1452" s="165" t="s">
        <v>16</v>
      </c>
      <c r="H1452" s="165" t="s">
        <v>16</v>
      </c>
      <c r="I1452" s="165" t="s">
        <v>148</v>
      </c>
      <c r="J1452" s="165" t="s">
        <v>148</v>
      </c>
      <c r="K1452" s="165" t="s">
        <v>16</v>
      </c>
      <c r="L1452" s="165" t="s">
        <v>16</v>
      </c>
      <c r="M1452" s="165" t="s">
        <v>149</v>
      </c>
      <c r="N1452" s="165" t="s">
        <v>150</v>
      </c>
      <c r="O1452" s="165" t="s">
        <v>148</v>
      </c>
      <c r="P1452" s="165" t="s">
        <v>16</v>
      </c>
      <c r="Q1452" s="165" t="s">
        <v>149</v>
      </c>
      <c r="R1452" s="165" t="s">
        <v>148</v>
      </c>
      <c r="S1452" s="165" t="s">
        <v>148</v>
      </c>
      <c r="T1452" s="165" t="s">
        <v>148</v>
      </c>
      <c r="U1452" s="165" t="s">
        <v>16</v>
      </c>
      <c r="V1452" s="165" t="s">
        <v>148</v>
      </c>
      <c r="W1452" s="165" t="s">
        <v>148</v>
      </c>
      <c r="X1452" s="165" t="s">
        <v>148</v>
      </c>
      <c r="Y1452" s="165" t="s">
        <v>148</v>
      </c>
      <c r="Z1452" s="165" t="s">
        <v>148</v>
      </c>
      <c r="AA1452" s="165" t="s">
        <v>150</v>
      </c>
      <c r="AB1452" s="165" t="s">
        <v>148</v>
      </c>
      <c r="AC1452" s="165" t="s">
        <v>16</v>
      </c>
      <c r="AD1452" s="165" t="s">
        <v>148</v>
      </c>
      <c r="AE1452" s="165" t="s">
        <v>1439</v>
      </c>
      <c r="AF1452" s="165" t="s">
        <v>1440</v>
      </c>
      <c r="AG1452" s="165" t="s">
        <v>1440</v>
      </c>
      <c r="AH1452" s="165" t="s">
        <v>1445</v>
      </c>
      <c r="AI1452" s="165" t="s">
        <v>1439</v>
      </c>
      <c r="AJ1452" s="165" t="s">
        <v>1440</v>
      </c>
      <c r="AK1452" s="165" t="s">
        <v>1439</v>
      </c>
      <c r="AL1452" s="165" t="s">
        <v>1440</v>
      </c>
      <c r="AM1452" s="165"/>
    </row>
    <row r="1453" spans="1:39" x14ac:dyDescent="0.3">
      <c r="A1453" s="165" t="s">
        <v>2230</v>
      </c>
      <c r="B1453" s="165" t="s">
        <v>14</v>
      </c>
      <c r="C1453" s="165" t="s">
        <v>2227</v>
      </c>
      <c r="D1453" s="165" t="s">
        <v>15</v>
      </c>
      <c r="E1453" s="157">
        <v>41789</v>
      </c>
      <c r="F1453" s="165" t="s">
        <v>16</v>
      </c>
      <c r="G1453" s="165" t="s">
        <v>150</v>
      </c>
      <c r="H1453" s="165" t="s">
        <v>148</v>
      </c>
      <c r="I1453" s="165" t="s">
        <v>148</v>
      </c>
      <c r="J1453" s="165" t="s">
        <v>148</v>
      </c>
      <c r="K1453" s="165" t="s">
        <v>149</v>
      </c>
      <c r="L1453" s="165" t="s">
        <v>150</v>
      </c>
      <c r="M1453" s="165" t="s">
        <v>148</v>
      </c>
      <c r="N1453" s="165" t="s">
        <v>150</v>
      </c>
      <c r="O1453" s="165" t="s">
        <v>148</v>
      </c>
      <c r="P1453" s="165" t="s">
        <v>150</v>
      </c>
      <c r="Q1453" s="165" t="s">
        <v>148</v>
      </c>
      <c r="R1453" s="165" t="s">
        <v>149</v>
      </c>
      <c r="S1453" s="165" t="s">
        <v>150</v>
      </c>
      <c r="T1453" s="165" t="s">
        <v>150</v>
      </c>
      <c r="U1453" s="165" t="s">
        <v>16</v>
      </c>
      <c r="V1453" s="165" t="s">
        <v>148</v>
      </c>
      <c r="W1453" s="165" t="s">
        <v>148</v>
      </c>
      <c r="X1453" s="165" t="s">
        <v>16</v>
      </c>
      <c r="Y1453" s="165" t="s">
        <v>150</v>
      </c>
      <c r="Z1453" s="165" t="s">
        <v>148</v>
      </c>
      <c r="AA1453" s="165" t="s">
        <v>150</v>
      </c>
      <c r="AB1453" s="165" t="s">
        <v>16</v>
      </c>
      <c r="AC1453" s="165" t="s">
        <v>148</v>
      </c>
      <c r="AD1453" s="165" t="s">
        <v>148</v>
      </c>
      <c r="AE1453" s="165" t="s">
        <v>1439</v>
      </c>
      <c r="AF1453" s="165" t="s">
        <v>1440</v>
      </c>
      <c r="AG1453" s="165" t="s">
        <v>1440</v>
      </c>
      <c r="AH1453" s="165" t="s">
        <v>1444</v>
      </c>
      <c r="AI1453" s="165" t="s">
        <v>1444</v>
      </c>
      <c r="AJ1453" s="165" t="s">
        <v>1439</v>
      </c>
      <c r="AK1453" s="165" t="s">
        <v>1439</v>
      </c>
      <c r="AL1453" s="165" t="s">
        <v>1445</v>
      </c>
      <c r="AM1453" s="165"/>
    </row>
    <row r="1454" spans="1:39" x14ac:dyDescent="0.3">
      <c r="A1454" s="165" t="s">
        <v>2231</v>
      </c>
      <c r="B1454" s="165" t="s">
        <v>14</v>
      </c>
      <c r="C1454" s="165" t="s">
        <v>2227</v>
      </c>
      <c r="D1454" s="165" t="s">
        <v>15</v>
      </c>
      <c r="E1454" s="157">
        <v>41789</v>
      </c>
      <c r="F1454" s="165" t="s">
        <v>16</v>
      </c>
      <c r="G1454" s="165" t="s">
        <v>16</v>
      </c>
      <c r="H1454" s="165" t="s">
        <v>16</v>
      </c>
      <c r="I1454" s="165" t="s">
        <v>148</v>
      </c>
      <c r="J1454" s="165" t="s">
        <v>16</v>
      </c>
      <c r="K1454" s="165" t="s">
        <v>16</v>
      </c>
      <c r="L1454" s="165" t="s">
        <v>16</v>
      </c>
      <c r="M1454" s="165" t="s">
        <v>16</v>
      </c>
      <c r="N1454" s="165" t="s">
        <v>148</v>
      </c>
      <c r="O1454" s="165" t="s">
        <v>148</v>
      </c>
      <c r="P1454" s="165" t="s">
        <v>16</v>
      </c>
      <c r="Q1454" s="165" t="s">
        <v>16</v>
      </c>
      <c r="R1454" s="165" t="s">
        <v>16</v>
      </c>
      <c r="S1454" s="165" t="s">
        <v>16</v>
      </c>
      <c r="T1454" s="165" t="s">
        <v>16</v>
      </c>
      <c r="U1454" s="165" t="s">
        <v>16</v>
      </c>
      <c r="V1454" s="165" t="s">
        <v>16</v>
      </c>
      <c r="W1454" s="165" t="s">
        <v>16</v>
      </c>
      <c r="X1454" s="165" t="s">
        <v>16</v>
      </c>
      <c r="Y1454" s="165" t="s">
        <v>16</v>
      </c>
      <c r="Z1454" s="165" t="s">
        <v>16</v>
      </c>
      <c r="AA1454" s="165" t="s">
        <v>16</v>
      </c>
      <c r="AB1454" s="165" t="s">
        <v>16</v>
      </c>
      <c r="AC1454" s="165" t="s">
        <v>16</v>
      </c>
      <c r="AD1454" s="165" t="s">
        <v>16</v>
      </c>
      <c r="AE1454" s="165" t="s">
        <v>1439</v>
      </c>
      <c r="AF1454" s="165" t="s">
        <v>1440</v>
      </c>
      <c r="AG1454" s="165" t="s">
        <v>1439</v>
      </c>
      <c r="AH1454" s="165" t="s">
        <v>1440</v>
      </c>
      <c r="AI1454" s="165" t="s">
        <v>1440</v>
      </c>
      <c r="AJ1454" s="165" t="s">
        <v>1439</v>
      </c>
      <c r="AK1454" s="165" t="s">
        <v>1440</v>
      </c>
      <c r="AL1454" s="165" t="s">
        <v>1445</v>
      </c>
      <c r="AM1454" s="165"/>
    </row>
    <row r="1455" spans="1:39" x14ac:dyDescent="0.3">
      <c r="A1455" s="165" t="s">
        <v>2232</v>
      </c>
      <c r="B1455" s="165" t="s">
        <v>14</v>
      </c>
      <c r="C1455" s="165" t="s">
        <v>2227</v>
      </c>
      <c r="D1455" s="165" t="s">
        <v>15</v>
      </c>
      <c r="E1455" s="157">
        <v>41789</v>
      </c>
      <c r="F1455" s="165" t="s">
        <v>150</v>
      </c>
      <c r="G1455" s="165" t="s">
        <v>148</v>
      </c>
      <c r="H1455" s="165" t="s">
        <v>148</v>
      </c>
      <c r="I1455" s="165" t="s">
        <v>16</v>
      </c>
      <c r="J1455" s="165" t="s">
        <v>16</v>
      </c>
      <c r="K1455" s="165" t="s">
        <v>16</v>
      </c>
      <c r="L1455" s="165" t="s">
        <v>16</v>
      </c>
      <c r="M1455" s="165" t="s">
        <v>16</v>
      </c>
      <c r="N1455" s="165" t="s">
        <v>148</v>
      </c>
      <c r="O1455" s="165" t="s">
        <v>148</v>
      </c>
      <c r="P1455" s="165" t="s">
        <v>150</v>
      </c>
      <c r="Q1455" s="165" t="s">
        <v>148</v>
      </c>
      <c r="R1455" s="165" t="s">
        <v>150</v>
      </c>
      <c r="S1455" s="165" t="s">
        <v>148</v>
      </c>
      <c r="T1455" s="165" t="s">
        <v>16</v>
      </c>
      <c r="U1455" s="165" t="s">
        <v>16</v>
      </c>
      <c r="V1455" s="165" t="s">
        <v>16</v>
      </c>
      <c r="W1455" s="165" t="s">
        <v>16</v>
      </c>
      <c r="X1455" s="165" t="s">
        <v>150</v>
      </c>
      <c r="Y1455" s="165" t="s">
        <v>16</v>
      </c>
      <c r="Z1455" s="165" t="s">
        <v>148</v>
      </c>
      <c r="AA1455" s="165" t="s">
        <v>148</v>
      </c>
      <c r="AB1455" s="165" t="s">
        <v>16</v>
      </c>
      <c r="AC1455" s="165" t="s">
        <v>148</v>
      </c>
      <c r="AD1455" s="165" t="s">
        <v>16</v>
      </c>
      <c r="AE1455" s="165" t="s">
        <v>1444</v>
      </c>
      <c r="AF1455" s="165" t="s">
        <v>1439</v>
      </c>
      <c r="AG1455" s="165" t="s">
        <v>1439</v>
      </c>
      <c r="AH1455" s="165" t="s">
        <v>1440</v>
      </c>
      <c r="AI1455" s="165" t="s">
        <v>1439</v>
      </c>
      <c r="AJ1455" s="165" t="s">
        <v>1439</v>
      </c>
      <c r="AK1455" s="165" t="s">
        <v>1439</v>
      </c>
      <c r="AL1455" s="165" t="s">
        <v>1445</v>
      </c>
      <c r="AM1455" s="165"/>
    </row>
    <row r="1456" spans="1:39" x14ac:dyDescent="0.3">
      <c r="A1456" s="165" t="s">
        <v>2233</v>
      </c>
      <c r="B1456" s="165" t="s">
        <v>14</v>
      </c>
      <c r="C1456" s="165" t="s">
        <v>2227</v>
      </c>
      <c r="D1456" s="165" t="s">
        <v>15</v>
      </c>
      <c r="E1456" s="157">
        <v>41789</v>
      </c>
      <c r="F1456" s="165" t="s">
        <v>16</v>
      </c>
      <c r="G1456" s="165" t="s">
        <v>16</v>
      </c>
      <c r="H1456" s="165" t="s">
        <v>16</v>
      </c>
      <c r="I1456" s="165" t="s">
        <v>16</v>
      </c>
      <c r="J1456" s="165" t="s">
        <v>16</v>
      </c>
      <c r="K1456" s="165" t="s">
        <v>16</v>
      </c>
      <c r="L1456" s="165" t="s">
        <v>16</v>
      </c>
      <c r="M1456" s="165" t="s">
        <v>16</v>
      </c>
      <c r="N1456" s="165" t="s">
        <v>16</v>
      </c>
      <c r="O1456" s="165" t="s">
        <v>16</v>
      </c>
      <c r="P1456" s="165" t="s">
        <v>16</v>
      </c>
      <c r="Q1456" s="165" t="s">
        <v>16</v>
      </c>
      <c r="R1456" s="165" t="s">
        <v>16</v>
      </c>
      <c r="S1456" s="165" t="s">
        <v>16</v>
      </c>
      <c r="T1456" s="165" t="s">
        <v>16</v>
      </c>
      <c r="U1456" s="165" t="s">
        <v>16</v>
      </c>
      <c r="V1456" s="165" t="s">
        <v>16</v>
      </c>
      <c r="W1456" s="165" t="s">
        <v>16</v>
      </c>
      <c r="X1456" s="165" t="s">
        <v>16</v>
      </c>
      <c r="Y1456" s="165" t="s">
        <v>16</v>
      </c>
      <c r="Z1456" s="165" t="s">
        <v>16</v>
      </c>
      <c r="AA1456" s="165" t="s">
        <v>16</v>
      </c>
      <c r="AB1456" s="165" t="s">
        <v>16</v>
      </c>
      <c r="AC1456" s="165" t="s">
        <v>16</v>
      </c>
      <c r="AD1456" s="165" t="s">
        <v>16</v>
      </c>
      <c r="AE1456" s="165" t="s">
        <v>1439</v>
      </c>
      <c r="AF1456" s="165" t="s">
        <v>1445</v>
      </c>
      <c r="AG1456" s="165" t="s">
        <v>1439</v>
      </c>
      <c r="AH1456" s="165" t="s">
        <v>1445</v>
      </c>
      <c r="AI1456" s="165" t="s">
        <v>1439</v>
      </c>
      <c r="AJ1456" s="165" t="s">
        <v>1439</v>
      </c>
      <c r="AK1456" s="165" t="s">
        <v>1439</v>
      </c>
      <c r="AL1456" s="165" t="s">
        <v>1445</v>
      </c>
      <c r="AM1456" s="165"/>
    </row>
    <row r="1457" spans="1:39" x14ac:dyDescent="0.3">
      <c r="A1457" s="165" t="s">
        <v>2234</v>
      </c>
      <c r="B1457" s="165" t="s">
        <v>14</v>
      </c>
      <c r="C1457" s="165" t="s">
        <v>2227</v>
      </c>
      <c r="D1457" s="165" t="s">
        <v>15</v>
      </c>
      <c r="E1457" s="157">
        <v>41789</v>
      </c>
      <c r="F1457" s="165" t="s">
        <v>16</v>
      </c>
      <c r="G1457" s="165" t="s">
        <v>16</v>
      </c>
      <c r="H1457" s="165" t="s">
        <v>148</v>
      </c>
      <c r="I1457" s="165" t="s">
        <v>148</v>
      </c>
      <c r="J1457" s="165" t="s">
        <v>148</v>
      </c>
      <c r="K1457" s="165" t="s">
        <v>16</v>
      </c>
      <c r="L1457" s="165" t="s">
        <v>148</v>
      </c>
      <c r="M1457" s="165" t="s">
        <v>148</v>
      </c>
      <c r="N1457" s="165" t="s">
        <v>150</v>
      </c>
      <c r="O1457" s="165" t="s">
        <v>16</v>
      </c>
      <c r="P1457" s="165" t="s">
        <v>148</v>
      </c>
      <c r="Q1457" s="165" t="s">
        <v>16</v>
      </c>
      <c r="R1457" s="165" t="s">
        <v>148</v>
      </c>
      <c r="S1457" s="165" t="s">
        <v>16</v>
      </c>
      <c r="T1457" s="165" t="s">
        <v>148</v>
      </c>
      <c r="U1457" s="165" t="s">
        <v>148</v>
      </c>
      <c r="V1457" s="165" t="s">
        <v>148</v>
      </c>
      <c r="W1457" s="165" t="s">
        <v>16</v>
      </c>
      <c r="X1457" s="165" t="s">
        <v>16</v>
      </c>
      <c r="Y1457" s="165" t="s">
        <v>148</v>
      </c>
      <c r="Z1457" s="165" t="s">
        <v>148</v>
      </c>
      <c r="AA1457" s="165" t="s">
        <v>16</v>
      </c>
      <c r="AB1457" s="165" t="s">
        <v>148</v>
      </c>
      <c r="AC1457" s="165" t="s">
        <v>16</v>
      </c>
      <c r="AD1457" s="165" t="s">
        <v>16</v>
      </c>
      <c r="AE1457" s="165" t="s">
        <v>1439</v>
      </c>
      <c r="AF1457" s="165" t="s">
        <v>1439</v>
      </c>
      <c r="AG1457" s="165" t="s">
        <v>1456</v>
      </c>
      <c r="AH1457" s="165" t="s">
        <v>1444</v>
      </c>
      <c r="AI1457" s="165" t="s">
        <v>1444</v>
      </c>
      <c r="AJ1457" s="165" t="s">
        <v>1439</v>
      </c>
      <c r="AK1457" s="165" t="s">
        <v>1440</v>
      </c>
      <c r="AL1457" s="165" t="s">
        <v>1440</v>
      </c>
      <c r="AM1457" s="165"/>
    </row>
    <row r="1458" spans="1:39" x14ac:dyDescent="0.3">
      <c r="A1458" s="165" t="s">
        <v>2235</v>
      </c>
      <c r="B1458" s="165" t="s">
        <v>14</v>
      </c>
      <c r="C1458" s="165" t="s">
        <v>2227</v>
      </c>
      <c r="D1458" s="165" t="s">
        <v>15</v>
      </c>
      <c r="E1458" s="157">
        <v>41789</v>
      </c>
      <c r="F1458" s="165" t="s">
        <v>16</v>
      </c>
      <c r="G1458" s="165" t="s">
        <v>16</v>
      </c>
      <c r="H1458" s="165" t="s">
        <v>16</v>
      </c>
      <c r="I1458" s="165" t="s">
        <v>16</v>
      </c>
      <c r="J1458" s="165" t="s">
        <v>16</v>
      </c>
      <c r="K1458" s="165" t="s">
        <v>16</v>
      </c>
      <c r="L1458" s="165" t="s">
        <v>16</v>
      </c>
      <c r="M1458" s="165" t="s">
        <v>16</v>
      </c>
      <c r="N1458" s="165" t="s">
        <v>16</v>
      </c>
      <c r="O1458" s="165" t="s">
        <v>16</v>
      </c>
      <c r="P1458" s="165" t="s">
        <v>16</v>
      </c>
      <c r="Q1458" s="165" t="s">
        <v>16</v>
      </c>
      <c r="R1458" s="165" t="s">
        <v>16</v>
      </c>
      <c r="S1458" s="165" t="s">
        <v>16</v>
      </c>
      <c r="T1458" s="165" t="s">
        <v>16</v>
      </c>
      <c r="U1458" s="165" t="s">
        <v>16</v>
      </c>
      <c r="V1458" s="165" t="s">
        <v>16</v>
      </c>
      <c r="W1458" s="165" t="s">
        <v>16</v>
      </c>
      <c r="X1458" s="165" t="s">
        <v>16</v>
      </c>
      <c r="Y1458" s="165" t="s">
        <v>16</v>
      </c>
      <c r="Z1458" s="165" t="s">
        <v>16</v>
      </c>
      <c r="AA1458" s="165" t="s">
        <v>16</v>
      </c>
      <c r="AB1458" s="165" t="s">
        <v>16</v>
      </c>
      <c r="AC1458" s="165" t="s">
        <v>16</v>
      </c>
      <c r="AD1458" s="165" t="s">
        <v>16</v>
      </c>
      <c r="AE1458" s="165" t="s">
        <v>1439</v>
      </c>
      <c r="AF1458" s="165" t="s">
        <v>1440</v>
      </c>
      <c r="AG1458" s="165" t="s">
        <v>1444</v>
      </c>
      <c r="AH1458" s="165" t="s">
        <v>1440</v>
      </c>
      <c r="AI1458" s="165" t="s">
        <v>1444</v>
      </c>
      <c r="AJ1458" s="165" t="s">
        <v>1445</v>
      </c>
      <c r="AK1458" s="165" t="s">
        <v>1444</v>
      </c>
      <c r="AL1458" s="165" t="s">
        <v>1439</v>
      </c>
      <c r="AM1458" s="165"/>
    </row>
    <row r="1459" spans="1:39" x14ac:dyDescent="0.3">
      <c r="A1459" s="165" t="s">
        <v>2236</v>
      </c>
      <c r="B1459" s="165" t="s">
        <v>14</v>
      </c>
      <c r="C1459" s="165" t="s">
        <v>2227</v>
      </c>
      <c r="D1459" s="165" t="s">
        <v>15</v>
      </c>
      <c r="E1459" s="157">
        <v>41789</v>
      </c>
      <c r="F1459" s="165" t="s">
        <v>16</v>
      </c>
      <c r="G1459" s="165" t="s">
        <v>16</v>
      </c>
      <c r="H1459" s="165" t="s">
        <v>16</v>
      </c>
      <c r="I1459" s="165" t="s">
        <v>16</v>
      </c>
      <c r="J1459" s="165" t="s">
        <v>16</v>
      </c>
      <c r="K1459" s="165" t="s">
        <v>16</v>
      </c>
      <c r="L1459" s="165" t="s">
        <v>16</v>
      </c>
      <c r="M1459" s="165" t="s">
        <v>16</v>
      </c>
      <c r="N1459" s="165" t="s">
        <v>16</v>
      </c>
      <c r="O1459" s="165" t="s">
        <v>16</v>
      </c>
      <c r="P1459" s="165" t="s">
        <v>16</v>
      </c>
      <c r="Q1459" s="165" t="s">
        <v>16</v>
      </c>
      <c r="R1459" s="165" t="s">
        <v>16</v>
      </c>
      <c r="S1459" s="165" t="s">
        <v>16</v>
      </c>
      <c r="T1459" s="165" t="s">
        <v>16</v>
      </c>
      <c r="U1459" s="165" t="s">
        <v>16</v>
      </c>
      <c r="V1459" s="165" t="s">
        <v>16</v>
      </c>
      <c r="W1459" s="165" t="s">
        <v>16</v>
      </c>
      <c r="X1459" s="165" t="s">
        <v>16</v>
      </c>
      <c r="Y1459" s="165" t="s">
        <v>16</v>
      </c>
      <c r="Z1459" s="165" t="s">
        <v>16</v>
      </c>
      <c r="AA1459" s="165" t="s">
        <v>16</v>
      </c>
      <c r="AB1459" s="165" t="s">
        <v>16</v>
      </c>
      <c r="AC1459" s="165" t="s">
        <v>16</v>
      </c>
      <c r="AD1459" s="165" t="s">
        <v>16</v>
      </c>
      <c r="AE1459" s="165" t="s">
        <v>1439</v>
      </c>
      <c r="AF1459" s="165" t="s">
        <v>1440</v>
      </c>
      <c r="AG1459" s="165" t="s">
        <v>1444</v>
      </c>
      <c r="AH1459" s="165" t="s">
        <v>1440</v>
      </c>
      <c r="AI1459" s="165" t="s">
        <v>1444</v>
      </c>
      <c r="AJ1459" s="165" t="s">
        <v>1439</v>
      </c>
      <c r="AK1459" s="165" t="s">
        <v>1439</v>
      </c>
      <c r="AL1459" s="165" t="s">
        <v>1440</v>
      </c>
      <c r="AM1459" s="165"/>
    </row>
    <row r="1460" spans="1:39" x14ac:dyDescent="0.3">
      <c r="A1460" s="165" t="s">
        <v>2237</v>
      </c>
      <c r="B1460" s="165" t="s">
        <v>14</v>
      </c>
      <c r="C1460" s="165" t="s">
        <v>2227</v>
      </c>
      <c r="D1460" s="165" t="s">
        <v>15</v>
      </c>
      <c r="E1460" s="157">
        <v>41789</v>
      </c>
      <c r="F1460" s="165" t="s">
        <v>148</v>
      </c>
      <c r="G1460" s="165" t="s">
        <v>148</v>
      </c>
      <c r="H1460" s="165" t="s">
        <v>148</v>
      </c>
      <c r="I1460" s="165" t="s">
        <v>148</v>
      </c>
      <c r="J1460" s="165" t="s">
        <v>150</v>
      </c>
      <c r="K1460" s="165" t="s">
        <v>148</v>
      </c>
      <c r="L1460" s="165" t="s">
        <v>148</v>
      </c>
      <c r="M1460" s="165" t="s">
        <v>150</v>
      </c>
      <c r="N1460" s="165" t="s">
        <v>148</v>
      </c>
      <c r="O1460" s="165" t="s">
        <v>148</v>
      </c>
      <c r="P1460" s="165" t="s">
        <v>150</v>
      </c>
      <c r="Q1460" s="165" t="s">
        <v>148</v>
      </c>
      <c r="R1460" s="165" t="s">
        <v>150</v>
      </c>
      <c r="S1460" s="165" t="s">
        <v>148</v>
      </c>
      <c r="T1460" s="165" t="s">
        <v>150</v>
      </c>
      <c r="U1460" s="165" t="s">
        <v>148</v>
      </c>
      <c r="V1460" s="165" t="s">
        <v>148</v>
      </c>
      <c r="W1460" s="165" t="s">
        <v>150</v>
      </c>
      <c r="X1460" s="165" t="s">
        <v>148</v>
      </c>
      <c r="Y1460" s="165" t="s">
        <v>148</v>
      </c>
      <c r="Z1460" s="165" t="s">
        <v>150</v>
      </c>
      <c r="AA1460" s="165" t="s">
        <v>148</v>
      </c>
      <c r="AB1460" s="165" t="s">
        <v>148</v>
      </c>
      <c r="AC1460" s="165" t="s">
        <v>148</v>
      </c>
      <c r="AD1460" s="165" t="s">
        <v>16</v>
      </c>
      <c r="AE1460" s="165" t="s">
        <v>1444</v>
      </c>
      <c r="AF1460" s="165" t="s">
        <v>1439</v>
      </c>
      <c r="AG1460" s="165" t="s">
        <v>1444</v>
      </c>
      <c r="AH1460" s="165" t="s">
        <v>1439</v>
      </c>
      <c r="AI1460" s="165" t="s">
        <v>1439</v>
      </c>
      <c r="AJ1460" s="165" t="s">
        <v>1440</v>
      </c>
      <c r="AK1460" s="165" t="s">
        <v>1439</v>
      </c>
      <c r="AL1460" s="165" t="s">
        <v>1445</v>
      </c>
      <c r="AM1460" s="165"/>
    </row>
    <row r="1461" spans="1:39" x14ac:dyDescent="0.3">
      <c r="A1461" s="165" t="s">
        <v>2238</v>
      </c>
      <c r="B1461" s="165" t="s">
        <v>14</v>
      </c>
      <c r="C1461" s="165" t="s">
        <v>2227</v>
      </c>
      <c r="D1461" s="165" t="s">
        <v>15</v>
      </c>
      <c r="E1461" s="157">
        <v>41789</v>
      </c>
      <c r="F1461" s="165" t="s">
        <v>16</v>
      </c>
      <c r="G1461" s="165" t="s">
        <v>148</v>
      </c>
      <c r="H1461" s="165" t="s">
        <v>148</v>
      </c>
      <c r="I1461" s="165" t="s">
        <v>16</v>
      </c>
      <c r="J1461" s="165" t="s">
        <v>148</v>
      </c>
      <c r="K1461" s="165" t="s">
        <v>16</v>
      </c>
      <c r="L1461" s="165" t="s">
        <v>16</v>
      </c>
      <c r="M1461" s="165" t="s">
        <v>148</v>
      </c>
      <c r="N1461" s="165" t="s">
        <v>148</v>
      </c>
      <c r="O1461" s="165" t="s">
        <v>148</v>
      </c>
      <c r="P1461" s="165" t="s">
        <v>16</v>
      </c>
      <c r="Q1461" s="165" t="s">
        <v>16</v>
      </c>
      <c r="R1461" s="165" t="s">
        <v>148</v>
      </c>
      <c r="S1461" s="165" t="s">
        <v>148</v>
      </c>
      <c r="T1461" s="165" t="s">
        <v>148</v>
      </c>
      <c r="U1461" s="165" t="s">
        <v>16</v>
      </c>
      <c r="V1461" s="165" t="s">
        <v>148</v>
      </c>
      <c r="W1461" s="165" t="s">
        <v>148</v>
      </c>
      <c r="X1461" s="165" t="s">
        <v>16</v>
      </c>
      <c r="Y1461" s="165" t="s">
        <v>148</v>
      </c>
      <c r="Z1461" s="165" t="s">
        <v>16</v>
      </c>
      <c r="AA1461" s="165" t="s">
        <v>148</v>
      </c>
      <c r="AB1461" s="165" t="s">
        <v>148</v>
      </c>
      <c r="AC1461" s="165" t="s">
        <v>16</v>
      </c>
      <c r="AD1461" s="165" t="s">
        <v>148</v>
      </c>
      <c r="AE1461" s="165" t="s">
        <v>1445</v>
      </c>
      <c r="AF1461" s="165" t="s">
        <v>1440</v>
      </c>
      <c r="AG1461" s="165" t="s">
        <v>1439</v>
      </c>
      <c r="AH1461" s="165" t="s">
        <v>1445</v>
      </c>
      <c r="AI1461" s="165" t="s">
        <v>1439</v>
      </c>
      <c r="AJ1461" s="165" t="s">
        <v>1440</v>
      </c>
      <c r="AK1461" s="165" t="s">
        <v>1439</v>
      </c>
      <c r="AL1461" s="165" t="s">
        <v>1445</v>
      </c>
      <c r="AM1461" s="165" t="s">
        <v>2239</v>
      </c>
    </row>
    <row r="1462" spans="1:39" x14ac:dyDescent="0.3">
      <c r="A1462" s="165" t="s">
        <v>2240</v>
      </c>
      <c r="B1462" s="165" t="s">
        <v>14</v>
      </c>
      <c r="C1462" s="165" t="s">
        <v>2227</v>
      </c>
      <c r="D1462" s="165" t="s">
        <v>15</v>
      </c>
      <c r="E1462" s="157">
        <v>41789</v>
      </c>
      <c r="F1462" s="165" t="s">
        <v>149</v>
      </c>
      <c r="G1462" s="165" t="s">
        <v>149</v>
      </c>
      <c r="H1462" s="165" t="s">
        <v>151</v>
      </c>
      <c r="I1462" s="165" t="s">
        <v>149</v>
      </c>
      <c r="J1462" s="165" t="s">
        <v>151</v>
      </c>
      <c r="K1462" s="165" t="s">
        <v>151</v>
      </c>
      <c r="L1462" s="165" t="s">
        <v>151</v>
      </c>
      <c r="M1462" s="165" t="s">
        <v>151</v>
      </c>
      <c r="N1462" s="165" t="s">
        <v>150</v>
      </c>
      <c r="O1462" s="165" t="s">
        <v>148</v>
      </c>
      <c r="P1462" s="165" t="s">
        <v>149</v>
      </c>
      <c r="Q1462" s="165" t="s">
        <v>149</v>
      </c>
      <c r="R1462" s="165" t="s">
        <v>149</v>
      </c>
      <c r="S1462" s="165" t="s">
        <v>16</v>
      </c>
      <c r="T1462" s="165" t="s">
        <v>149</v>
      </c>
      <c r="U1462" s="165" t="s">
        <v>151</v>
      </c>
      <c r="V1462" s="165" t="s">
        <v>151</v>
      </c>
      <c r="W1462" s="165" t="s">
        <v>16</v>
      </c>
      <c r="X1462" s="165" t="s">
        <v>16</v>
      </c>
      <c r="Y1462" s="165" t="s">
        <v>16</v>
      </c>
      <c r="Z1462" s="165" t="s">
        <v>151</v>
      </c>
      <c r="AA1462" s="165" t="s">
        <v>149</v>
      </c>
      <c r="AB1462" s="165" t="s">
        <v>149</v>
      </c>
      <c r="AC1462" s="165" t="s">
        <v>150</v>
      </c>
      <c r="AD1462" s="165" t="s">
        <v>148</v>
      </c>
      <c r="AE1462" s="165" t="s">
        <v>1439</v>
      </c>
      <c r="AF1462" s="165" t="s">
        <v>1440</v>
      </c>
      <c r="AG1462" s="165" t="s">
        <v>1439</v>
      </c>
      <c r="AH1462" s="165" t="s">
        <v>1440</v>
      </c>
      <c r="AI1462" s="165" t="s">
        <v>1439</v>
      </c>
      <c r="AJ1462" s="165" t="s">
        <v>1444</v>
      </c>
      <c r="AK1462" s="165" t="s">
        <v>1440</v>
      </c>
      <c r="AL1462" s="165" t="s">
        <v>1440</v>
      </c>
      <c r="AM1462" s="165"/>
    </row>
    <row r="1463" spans="1:39" x14ac:dyDescent="0.3">
      <c r="A1463" s="165" t="s">
        <v>2241</v>
      </c>
      <c r="B1463" s="165" t="s">
        <v>14</v>
      </c>
      <c r="C1463" s="165" t="s">
        <v>2227</v>
      </c>
      <c r="D1463" s="165" t="s">
        <v>15</v>
      </c>
      <c r="E1463" s="157">
        <v>41789</v>
      </c>
      <c r="F1463" s="165" t="s">
        <v>16</v>
      </c>
      <c r="G1463" s="165" t="s">
        <v>16</v>
      </c>
      <c r="H1463" s="165" t="s">
        <v>149</v>
      </c>
      <c r="I1463" s="165" t="s">
        <v>149</v>
      </c>
      <c r="J1463" s="165" t="s">
        <v>148</v>
      </c>
      <c r="K1463" s="165" t="s">
        <v>16</v>
      </c>
      <c r="L1463" s="165" t="s">
        <v>16</v>
      </c>
      <c r="M1463" s="165" t="s">
        <v>16</v>
      </c>
      <c r="N1463" s="165" t="s">
        <v>16</v>
      </c>
      <c r="O1463" s="165" t="s">
        <v>16</v>
      </c>
      <c r="P1463" s="165" t="s">
        <v>149</v>
      </c>
      <c r="Q1463" s="165" t="s">
        <v>149</v>
      </c>
      <c r="R1463" s="165" t="s">
        <v>148</v>
      </c>
      <c r="S1463" s="165" t="s">
        <v>16</v>
      </c>
      <c r="T1463" s="165" t="s">
        <v>16</v>
      </c>
      <c r="U1463" s="165" t="s">
        <v>16</v>
      </c>
      <c r="V1463" s="165" t="s">
        <v>16</v>
      </c>
      <c r="W1463" s="165" t="s">
        <v>16</v>
      </c>
      <c r="X1463" s="165" t="s">
        <v>16</v>
      </c>
      <c r="Y1463" s="165" t="s">
        <v>148</v>
      </c>
      <c r="Z1463" s="165" t="s">
        <v>16</v>
      </c>
      <c r="AA1463" s="165" t="s">
        <v>148</v>
      </c>
      <c r="AB1463" s="165" t="s">
        <v>16</v>
      </c>
      <c r="AC1463" s="165" t="s">
        <v>16</v>
      </c>
      <c r="AD1463" s="165" t="s">
        <v>16</v>
      </c>
      <c r="AE1463" s="165" t="s">
        <v>1440</v>
      </c>
      <c r="AF1463" s="165" t="s">
        <v>1440</v>
      </c>
      <c r="AG1463" s="165" t="s">
        <v>1440</v>
      </c>
      <c r="AH1463" s="165" t="s">
        <v>1440</v>
      </c>
      <c r="AI1463" s="165" t="s">
        <v>1440</v>
      </c>
      <c r="AJ1463" s="165" t="s">
        <v>1440</v>
      </c>
      <c r="AK1463" s="165" t="s">
        <v>1440</v>
      </c>
      <c r="AL1463" s="165" t="s">
        <v>1445</v>
      </c>
      <c r="AM1463" s="165"/>
    </row>
    <row r="1464" spans="1:39" x14ac:dyDescent="0.3">
      <c r="A1464" s="165" t="s">
        <v>2242</v>
      </c>
      <c r="B1464" s="165" t="s">
        <v>14</v>
      </c>
      <c r="C1464" s="165" t="s">
        <v>2227</v>
      </c>
      <c r="D1464" s="165" t="s">
        <v>15</v>
      </c>
      <c r="E1464" s="157">
        <v>41789</v>
      </c>
      <c r="F1464" s="165" t="s">
        <v>16</v>
      </c>
      <c r="G1464" s="165" t="s">
        <v>16</v>
      </c>
      <c r="H1464" s="165" t="s">
        <v>16</v>
      </c>
      <c r="I1464" s="165" t="s">
        <v>16</v>
      </c>
      <c r="J1464" s="165" t="s">
        <v>16</v>
      </c>
      <c r="K1464" s="165" t="s">
        <v>16</v>
      </c>
      <c r="L1464" s="165" t="s">
        <v>16</v>
      </c>
      <c r="M1464" s="165" t="s">
        <v>16</v>
      </c>
      <c r="N1464" s="165" t="s">
        <v>16</v>
      </c>
      <c r="O1464" s="165" t="s">
        <v>16</v>
      </c>
      <c r="P1464" s="165" t="s">
        <v>16</v>
      </c>
      <c r="Q1464" s="165" t="s">
        <v>16</v>
      </c>
      <c r="R1464" s="165" t="s">
        <v>16</v>
      </c>
      <c r="S1464" s="165" t="s">
        <v>16</v>
      </c>
      <c r="T1464" s="165" t="s">
        <v>16</v>
      </c>
      <c r="U1464" s="165" t="s">
        <v>16</v>
      </c>
      <c r="V1464" s="165" t="s">
        <v>16</v>
      </c>
      <c r="W1464" s="165" t="s">
        <v>16</v>
      </c>
      <c r="X1464" s="165" t="s">
        <v>16</v>
      </c>
      <c r="Y1464" s="165" t="s">
        <v>16</v>
      </c>
      <c r="Z1464" s="165" t="s">
        <v>16</v>
      </c>
      <c r="AA1464" s="165" t="s">
        <v>16</v>
      </c>
      <c r="AB1464" s="165" t="s">
        <v>16</v>
      </c>
      <c r="AC1464" s="165" t="s">
        <v>16</v>
      </c>
      <c r="AD1464" s="165" t="s">
        <v>16</v>
      </c>
      <c r="AE1464" s="165" t="s">
        <v>1439</v>
      </c>
      <c r="AF1464" s="165" t="s">
        <v>1440</v>
      </c>
      <c r="AG1464" s="165" t="s">
        <v>1439</v>
      </c>
      <c r="AH1464" s="165" t="s">
        <v>1440</v>
      </c>
      <c r="AI1464" s="165" t="s">
        <v>1444</v>
      </c>
      <c r="AJ1464" s="165" t="s">
        <v>1439</v>
      </c>
      <c r="AK1464" s="165" t="s">
        <v>1456</v>
      </c>
      <c r="AL1464" s="165" t="s">
        <v>1439</v>
      </c>
      <c r="AM1464" s="165"/>
    </row>
    <row r="1465" spans="1:39" x14ac:dyDescent="0.3">
      <c r="A1465" s="165" t="s">
        <v>2243</v>
      </c>
      <c r="B1465" s="165" t="s">
        <v>14</v>
      </c>
      <c r="C1465" s="165" t="s">
        <v>2227</v>
      </c>
      <c r="D1465" s="165" t="s">
        <v>15</v>
      </c>
      <c r="E1465" s="157">
        <v>41789</v>
      </c>
      <c r="F1465" s="165" t="s">
        <v>16</v>
      </c>
      <c r="G1465" s="165" t="s">
        <v>16</v>
      </c>
      <c r="H1465" s="165" t="s">
        <v>16</v>
      </c>
      <c r="I1465" s="165" t="s">
        <v>16</v>
      </c>
      <c r="J1465" s="165" t="s">
        <v>16</v>
      </c>
      <c r="K1465" s="165" t="s">
        <v>16</v>
      </c>
      <c r="L1465" s="165" t="s">
        <v>16</v>
      </c>
      <c r="M1465" s="165" t="s">
        <v>16</v>
      </c>
      <c r="N1465" s="165" t="s">
        <v>16</v>
      </c>
      <c r="O1465" s="165" t="s">
        <v>16</v>
      </c>
      <c r="P1465" s="165" t="s">
        <v>16</v>
      </c>
      <c r="Q1465" s="165" t="s">
        <v>149</v>
      </c>
      <c r="R1465" s="165" t="s">
        <v>16</v>
      </c>
      <c r="S1465" s="165" t="s">
        <v>16</v>
      </c>
      <c r="T1465" s="165" t="s">
        <v>16</v>
      </c>
      <c r="U1465" s="165" t="s">
        <v>16</v>
      </c>
      <c r="V1465" s="165" t="s">
        <v>16</v>
      </c>
      <c r="W1465" s="165" t="s">
        <v>16</v>
      </c>
      <c r="X1465" s="165" t="s">
        <v>16</v>
      </c>
      <c r="Y1465" s="165" t="s">
        <v>16</v>
      </c>
      <c r="Z1465" s="165" t="s">
        <v>149</v>
      </c>
      <c r="AA1465" s="165" t="s">
        <v>148</v>
      </c>
      <c r="AB1465" s="165" t="s">
        <v>16</v>
      </c>
      <c r="AC1465" s="165" t="s">
        <v>16</v>
      </c>
      <c r="AD1465" s="165" t="s">
        <v>16</v>
      </c>
      <c r="AE1465" s="165"/>
      <c r="AF1465" s="165"/>
      <c r="AG1465" s="165"/>
      <c r="AH1465" s="165"/>
      <c r="AI1465" s="165"/>
      <c r="AJ1465" s="165"/>
      <c r="AK1465" s="165"/>
      <c r="AL1465" s="165"/>
      <c r="AM1465" s="165" t="s">
        <v>2244</v>
      </c>
    </row>
    <row r="1466" spans="1:39" x14ac:dyDescent="0.3">
      <c r="A1466" s="165" t="s">
        <v>2245</v>
      </c>
      <c r="B1466" s="165" t="s">
        <v>14</v>
      </c>
      <c r="C1466" s="165" t="s">
        <v>2227</v>
      </c>
      <c r="D1466" s="165" t="s">
        <v>15</v>
      </c>
      <c r="E1466" s="157">
        <v>41789</v>
      </c>
      <c r="F1466" s="165" t="s">
        <v>148</v>
      </c>
      <c r="G1466" s="165" t="s">
        <v>16</v>
      </c>
      <c r="H1466" s="165" t="s">
        <v>16</v>
      </c>
      <c r="I1466" s="165" t="s">
        <v>16</v>
      </c>
      <c r="J1466" s="165" t="s">
        <v>16</v>
      </c>
      <c r="K1466" s="165" t="s">
        <v>16</v>
      </c>
      <c r="L1466" s="165" t="s">
        <v>16</v>
      </c>
      <c r="M1466" s="165" t="s">
        <v>16</v>
      </c>
      <c r="N1466" s="165" t="s">
        <v>148</v>
      </c>
      <c r="O1466" s="165" t="s">
        <v>16</v>
      </c>
      <c r="P1466" s="165" t="s">
        <v>16</v>
      </c>
      <c r="Q1466" s="165" t="s">
        <v>16</v>
      </c>
      <c r="R1466" s="165" t="s">
        <v>16</v>
      </c>
      <c r="S1466" s="165" t="s">
        <v>16</v>
      </c>
      <c r="T1466" s="165" t="s">
        <v>16</v>
      </c>
      <c r="U1466" s="165" t="s">
        <v>148</v>
      </c>
      <c r="V1466" s="165" t="s">
        <v>16</v>
      </c>
      <c r="W1466" s="165" t="s">
        <v>16</v>
      </c>
      <c r="X1466" s="165" t="s">
        <v>148</v>
      </c>
      <c r="Y1466" s="165" t="s">
        <v>148</v>
      </c>
      <c r="Z1466" s="165" t="s">
        <v>16</v>
      </c>
      <c r="AA1466" s="165" t="s">
        <v>16</v>
      </c>
      <c r="AB1466" s="165" t="s">
        <v>16</v>
      </c>
      <c r="AC1466" s="165" t="s">
        <v>16</v>
      </c>
      <c r="AD1466" s="165" t="s">
        <v>16</v>
      </c>
      <c r="AE1466" s="165" t="s">
        <v>1440</v>
      </c>
      <c r="AF1466" s="165" t="s">
        <v>1440</v>
      </c>
      <c r="AG1466" s="165" t="s">
        <v>1440</v>
      </c>
      <c r="AH1466" s="165" t="s">
        <v>1440</v>
      </c>
      <c r="AI1466" s="165" t="s">
        <v>1440</v>
      </c>
      <c r="AJ1466" s="165" t="s">
        <v>1440</v>
      </c>
      <c r="AK1466" s="165" t="s">
        <v>1440</v>
      </c>
      <c r="AL1466" s="165" t="s">
        <v>1440</v>
      </c>
      <c r="AM1466" s="165"/>
    </row>
    <row r="1467" spans="1:39" x14ac:dyDescent="0.3">
      <c r="A1467" s="165" t="s">
        <v>2246</v>
      </c>
      <c r="B1467" s="165" t="s">
        <v>14</v>
      </c>
      <c r="C1467" s="165" t="s">
        <v>2227</v>
      </c>
      <c r="D1467" s="165" t="s">
        <v>15</v>
      </c>
      <c r="E1467" s="157">
        <v>41789</v>
      </c>
      <c r="F1467" s="165" t="s">
        <v>16</v>
      </c>
      <c r="G1467" s="165" t="s">
        <v>16</v>
      </c>
      <c r="H1467" s="165" t="s">
        <v>16</v>
      </c>
      <c r="I1467" s="165" t="s">
        <v>148</v>
      </c>
      <c r="J1467" s="165" t="s">
        <v>16</v>
      </c>
      <c r="K1467" s="165" t="s">
        <v>16</v>
      </c>
      <c r="L1467" s="165" t="s">
        <v>16</v>
      </c>
      <c r="M1467" s="165" t="s">
        <v>16</v>
      </c>
      <c r="N1467" s="165" t="s">
        <v>16</v>
      </c>
      <c r="O1467" s="165" t="s">
        <v>16</v>
      </c>
      <c r="P1467" s="165" t="s">
        <v>16</v>
      </c>
      <c r="Q1467" s="165" t="s">
        <v>16</v>
      </c>
      <c r="R1467" s="165" t="s">
        <v>16</v>
      </c>
      <c r="S1467" s="165" t="s">
        <v>16</v>
      </c>
      <c r="T1467" s="165" t="s">
        <v>16</v>
      </c>
      <c r="U1467" s="165" t="s">
        <v>148</v>
      </c>
      <c r="V1467" s="165" t="s">
        <v>16</v>
      </c>
      <c r="W1467" s="165" t="s">
        <v>16</v>
      </c>
      <c r="X1467" s="165" t="s">
        <v>16</v>
      </c>
      <c r="Y1467" s="165" t="s">
        <v>16</v>
      </c>
      <c r="Z1467" s="165" t="s">
        <v>16</v>
      </c>
      <c r="AA1467" s="165" t="s">
        <v>16</v>
      </c>
      <c r="AB1467" s="165" t="s">
        <v>16</v>
      </c>
      <c r="AC1467" s="165" t="s">
        <v>16</v>
      </c>
      <c r="AD1467" s="165" t="s">
        <v>16</v>
      </c>
      <c r="AE1467" s="165" t="s">
        <v>1440</v>
      </c>
      <c r="AF1467" s="165" t="s">
        <v>1440</v>
      </c>
      <c r="AG1467" s="165" t="s">
        <v>1440</v>
      </c>
      <c r="AH1467" s="165" t="s">
        <v>1439</v>
      </c>
      <c r="AI1467" s="165" t="s">
        <v>1439</v>
      </c>
      <c r="AJ1467" s="165" t="s">
        <v>1439</v>
      </c>
      <c r="AK1467" s="165" t="s">
        <v>1439</v>
      </c>
      <c r="AL1467" s="165" t="s">
        <v>1440</v>
      </c>
      <c r="AM1467" s="165"/>
    </row>
    <row r="1468" spans="1:39" x14ac:dyDescent="0.3">
      <c r="A1468" s="165" t="s">
        <v>2247</v>
      </c>
      <c r="B1468" s="165" t="s">
        <v>14</v>
      </c>
      <c r="C1468" s="165" t="s">
        <v>2227</v>
      </c>
      <c r="D1468" s="165" t="s">
        <v>15</v>
      </c>
      <c r="E1468" s="157">
        <v>41789</v>
      </c>
      <c r="F1468" s="165" t="s">
        <v>16</v>
      </c>
      <c r="G1468" s="165" t="s">
        <v>16</v>
      </c>
      <c r="H1468" s="165" t="s">
        <v>16</v>
      </c>
      <c r="I1468" s="165" t="s">
        <v>148</v>
      </c>
      <c r="J1468" s="165" t="s">
        <v>16</v>
      </c>
      <c r="K1468" s="165" t="s">
        <v>16</v>
      </c>
      <c r="L1468" s="165" t="s">
        <v>16</v>
      </c>
      <c r="M1468" s="165" t="s">
        <v>16</v>
      </c>
      <c r="N1468" s="165" t="s">
        <v>16</v>
      </c>
      <c r="O1468" s="165" t="s">
        <v>16</v>
      </c>
      <c r="P1468" s="165" t="s">
        <v>16</v>
      </c>
      <c r="Q1468" s="165" t="s">
        <v>16</v>
      </c>
      <c r="R1468" s="165" t="s">
        <v>16</v>
      </c>
      <c r="S1468" s="165" t="s">
        <v>16</v>
      </c>
      <c r="T1468" s="165" t="s">
        <v>16</v>
      </c>
      <c r="U1468" s="165" t="s">
        <v>16</v>
      </c>
      <c r="V1468" s="165" t="s">
        <v>16</v>
      </c>
      <c r="W1468" s="165" t="s">
        <v>16</v>
      </c>
      <c r="X1468" s="165" t="s">
        <v>16</v>
      </c>
      <c r="Y1468" s="165" t="s">
        <v>16</v>
      </c>
      <c r="Z1468" s="165" t="s">
        <v>16</v>
      </c>
      <c r="AA1468" s="165" t="s">
        <v>16</v>
      </c>
      <c r="AB1468" s="165" t="s">
        <v>16</v>
      </c>
      <c r="AC1468" s="165" t="s">
        <v>16</v>
      </c>
      <c r="AD1468" s="165" t="s">
        <v>16</v>
      </c>
      <c r="AE1468" s="165" t="s">
        <v>1440</v>
      </c>
      <c r="AF1468" s="165" t="s">
        <v>1440</v>
      </c>
      <c r="AG1468" s="165" t="s">
        <v>1440</v>
      </c>
      <c r="AH1468" s="165" t="s">
        <v>1440</v>
      </c>
      <c r="AI1468" s="165" t="s">
        <v>1440</v>
      </c>
      <c r="AJ1468" s="165" t="s">
        <v>1445</v>
      </c>
      <c r="AK1468" s="165" t="s">
        <v>1440</v>
      </c>
      <c r="AL1468" s="165" t="s">
        <v>1440</v>
      </c>
      <c r="AM1468" s="165"/>
    </row>
    <row r="1469" spans="1:39" x14ac:dyDescent="0.3">
      <c r="A1469" s="165" t="s">
        <v>2248</v>
      </c>
      <c r="B1469" s="165" t="s">
        <v>14</v>
      </c>
      <c r="C1469" s="165" t="s">
        <v>2227</v>
      </c>
      <c r="D1469" s="165" t="s">
        <v>15</v>
      </c>
      <c r="E1469" s="157">
        <v>41789</v>
      </c>
      <c r="F1469" s="165" t="s">
        <v>16</v>
      </c>
      <c r="G1469" s="165" t="s">
        <v>16</v>
      </c>
      <c r="H1469" s="165" t="s">
        <v>16</v>
      </c>
      <c r="I1469" s="165" t="s">
        <v>16</v>
      </c>
      <c r="J1469" s="165" t="s">
        <v>16</v>
      </c>
      <c r="K1469" s="165" t="s">
        <v>16</v>
      </c>
      <c r="L1469" s="165" t="s">
        <v>16</v>
      </c>
      <c r="M1469" s="165" t="s">
        <v>16</v>
      </c>
      <c r="N1469" s="165" t="s">
        <v>16</v>
      </c>
      <c r="O1469" s="165" t="s">
        <v>16</v>
      </c>
      <c r="P1469" s="165" t="s">
        <v>16</v>
      </c>
      <c r="Q1469" s="165" t="s">
        <v>16</v>
      </c>
      <c r="R1469" s="165" t="s">
        <v>16</v>
      </c>
      <c r="S1469" s="165" t="s">
        <v>16</v>
      </c>
      <c r="T1469" s="165" t="s">
        <v>16</v>
      </c>
      <c r="U1469" s="165" t="s">
        <v>16</v>
      </c>
      <c r="V1469" s="165" t="s">
        <v>16</v>
      </c>
      <c r="W1469" s="165" t="s">
        <v>16</v>
      </c>
      <c r="X1469" s="165" t="s">
        <v>16</v>
      </c>
      <c r="Y1469" s="165" t="s">
        <v>16</v>
      </c>
      <c r="Z1469" s="165" t="s">
        <v>16</v>
      </c>
      <c r="AA1469" s="165" t="s">
        <v>16</v>
      </c>
      <c r="AB1469" s="165" t="s">
        <v>16</v>
      </c>
      <c r="AC1469" s="165" t="s">
        <v>16</v>
      </c>
      <c r="AD1469" s="165" t="s">
        <v>16</v>
      </c>
      <c r="AE1469" s="165"/>
      <c r="AF1469" s="165"/>
      <c r="AG1469" s="165"/>
      <c r="AH1469" s="165"/>
      <c r="AI1469" s="165"/>
      <c r="AJ1469" s="165"/>
      <c r="AK1469" s="165"/>
      <c r="AL1469" s="165"/>
      <c r="AM1469" s="165"/>
    </row>
    <row r="1470" spans="1:39" x14ac:dyDescent="0.3">
      <c r="A1470" s="165" t="s">
        <v>2249</v>
      </c>
      <c r="B1470" s="165" t="s">
        <v>14</v>
      </c>
      <c r="C1470" s="165" t="s">
        <v>2227</v>
      </c>
      <c r="D1470" s="165" t="s">
        <v>15</v>
      </c>
      <c r="E1470" s="157">
        <v>41789</v>
      </c>
      <c r="F1470" s="165" t="s">
        <v>16</v>
      </c>
      <c r="G1470" s="165" t="s">
        <v>16</v>
      </c>
      <c r="H1470" s="165" t="s">
        <v>16</v>
      </c>
      <c r="I1470" s="165" t="s">
        <v>16</v>
      </c>
      <c r="J1470" s="165" t="s">
        <v>16</v>
      </c>
      <c r="K1470" s="165" t="s">
        <v>16</v>
      </c>
      <c r="L1470" s="165" t="s">
        <v>16</v>
      </c>
      <c r="M1470" s="165" t="s">
        <v>16</v>
      </c>
      <c r="N1470" s="165" t="s">
        <v>16</v>
      </c>
      <c r="O1470" s="165" t="s">
        <v>16</v>
      </c>
      <c r="P1470" s="165" t="s">
        <v>16</v>
      </c>
      <c r="Q1470" s="165" t="s">
        <v>16</v>
      </c>
      <c r="R1470" s="165" t="s">
        <v>16</v>
      </c>
      <c r="S1470" s="165" t="s">
        <v>16</v>
      </c>
      <c r="T1470" s="165" t="s">
        <v>16</v>
      </c>
      <c r="U1470" s="165" t="s">
        <v>16</v>
      </c>
      <c r="V1470" s="165" t="s">
        <v>16</v>
      </c>
      <c r="W1470" s="165" t="s">
        <v>16</v>
      </c>
      <c r="X1470" s="165" t="s">
        <v>16</v>
      </c>
      <c r="Y1470" s="165" t="s">
        <v>16</v>
      </c>
      <c r="Z1470" s="165" t="s">
        <v>16</v>
      </c>
      <c r="AA1470" s="165" t="s">
        <v>16</v>
      </c>
      <c r="AB1470" s="165" t="s">
        <v>16</v>
      </c>
      <c r="AC1470" s="165" t="s">
        <v>16</v>
      </c>
      <c r="AD1470" s="165" t="s">
        <v>16</v>
      </c>
      <c r="AE1470" s="165" t="s">
        <v>1440</v>
      </c>
      <c r="AF1470" s="165" t="s">
        <v>1439</v>
      </c>
      <c r="AG1470" s="165" t="s">
        <v>1439</v>
      </c>
      <c r="AH1470" s="165" t="s">
        <v>1440</v>
      </c>
      <c r="AI1470" s="165" t="s">
        <v>1439</v>
      </c>
      <c r="AJ1470" s="165" t="s">
        <v>1439</v>
      </c>
      <c r="AK1470" s="165" t="s">
        <v>1444</v>
      </c>
      <c r="AL1470" s="165" t="s">
        <v>1439</v>
      </c>
      <c r="AM1470" s="165"/>
    </row>
    <row r="1471" spans="1:39" x14ac:dyDescent="0.3">
      <c r="A1471" s="165" t="s">
        <v>2250</v>
      </c>
      <c r="B1471" s="165" t="s">
        <v>14</v>
      </c>
      <c r="C1471" s="165" t="s">
        <v>2227</v>
      </c>
      <c r="D1471" s="165" t="s">
        <v>15</v>
      </c>
      <c r="E1471" s="157">
        <v>41789</v>
      </c>
      <c r="F1471" s="165" t="s">
        <v>149</v>
      </c>
      <c r="G1471" s="165" t="s">
        <v>148</v>
      </c>
      <c r="H1471" s="165" t="s">
        <v>16</v>
      </c>
      <c r="I1471" s="165" t="s">
        <v>16</v>
      </c>
      <c r="J1471" s="165" t="s">
        <v>148</v>
      </c>
      <c r="K1471" s="165" t="s">
        <v>16</v>
      </c>
      <c r="L1471" s="165" t="s">
        <v>16</v>
      </c>
      <c r="M1471" s="165" t="s">
        <v>16</v>
      </c>
      <c r="N1471" s="165" t="s">
        <v>16</v>
      </c>
      <c r="O1471" s="165" t="s">
        <v>148</v>
      </c>
      <c r="P1471" s="165" t="s">
        <v>16</v>
      </c>
      <c r="Q1471" s="165" t="s">
        <v>16</v>
      </c>
      <c r="R1471" s="165" t="s">
        <v>16</v>
      </c>
      <c r="S1471" s="165" t="s">
        <v>16</v>
      </c>
      <c r="T1471" s="165" t="s">
        <v>16</v>
      </c>
      <c r="U1471" s="165" t="s">
        <v>16</v>
      </c>
      <c r="V1471" s="165" t="s">
        <v>16</v>
      </c>
      <c r="W1471" s="165" t="s">
        <v>16</v>
      </c>
      <c r="X1471" s="165" t="s">
        <v>148</v>
      </c>
      <c r="Y1471" s="165" t="s">
        <v>16</v>
      </c>
      <c r="Z1471" s="165" t="s">
        <v>16</v>
      </c>
      <c r="AA1471" s="165" t="s">
        <v>16</v>
      </c>
      <c r="AB1471" s="165" t="s">
        <v>16</v>
      </c>
      <c r="AC1471" s="165" t="s">
        <v>16</v>
      </c>
      <c r="AD1471" s="165" t="s">
        <v>16</v>
      </c>
      <c r="AE1471" s="165" t="s">
        <v>1440</v>
      </c>
      <c r="AF1471" s="165" t="s">
        <v>1440</v>
      </c>
      <c r="AG1471" s="165" t="s">
        <v>1439</v>
      </c>
      <c r="AH1471" s="165" t="s">
        <v>1440</v>
      </c>
      <c r="AI1471" s="165" t="s">
        <v>1439</v>
      </c>
      <c r="AJ1471" s="165" t="s">
        <v>1440</v>
      </c>
      <c r="AK1471" s="165" t="s">
        <v>1440</v>
      </c>
      <c r="AL1471" s="165" t="s">
        <v>1440</v>
      </c>
      <c r="AM1471" s="165"/>
    </row>
    <row r="1472" spans="1:39" x14ac:dyDescent="0.3">
      <c r="A1472" s="165" t="s">
        <v>2251</v>
      </c>
      <c r="B1472" s="165" t="s">
        <v>14</v>
      </c>
      <c r="C1472" s="165" t="s">
        <v>2227</v>
      </c>
      <c r="D1472" s="165" t="s">
        <v>15</v>
      </c>
      <c r="E1472" s="157">
        <v>41789</v>
      </c>
      <c r="F1472" s="165" t="s">
        <v>16</v>
      </c>
      <c r="G1472" s="165" t="s">
        <v>148</v>
      </c>
      <c r="H1472" s="165" t="s">
        <v>16</v>
      </c>
      <c r="I1472" s="165" t="s">
        <v>16</v>
      </c>
      <c r="J1472" s="165" t="s">
        <v>148</v>
      </c>
      <c r="K1472" s="165" t="s">
        <v>16</v>
      </c>
      <c r="L1472" s="165" t="s">
        <v>16</v>
      </c>
      <c r="M1472" s="165" t="s">
        <v>16</v>
      </c>
      <c r="N1472" s="165" t="s">
        <v>16</v>
      </c>
      <c r="O1472" s="165" t="s">
        <v>16</v>
      </c>
      <c r="P1472" s="165" t="s">
        <v>16</v>
      </c>
      <c r="Q1472" s="165" t="s">
        <v>16</v>
      </c>
      <c r="R1472" s="165" t="s">
        <v>16</v>
      </c>
      <c r="S1472" s="165" t="s">
        <v>16</v>
      </c>
      <c r="T1472" s="165" t="s">
        <v>16</v>
      </c>
      <c r="U1472" s="165" t="s">
        <v>16</v>
      </c>
      <c r="V1472" s="165" t="s">
        <v>16</v>
      </c>
      <c r="W1472" s="165" t="s">
        <v>16</v>
      </c>
      <c r="X1472" s="165" t="s">
        <v>16</v>
      </c>
      <c r="Y1472" s="165" t="s">
        <v>16</v>
      </c>
      <c r="Z1472" s="165" t="s">
        <v>16</v>
      </c>
      <c r="AA1472" s="165" t="s">
        <v>16</v>
      </c>
      <c r="AB1472" s="165" t="s">
        <v>16</v>
      </c>
      <c r="AC1472" s="165" t="s">
        <v>16</v>
      </c>
      <c r="AD1472" s="165" t="s">
        <v>16</v>
      </c>
      <c r="AE1472" s="165" t="s">
        <v>1440</v>
      </c>
      <c r="AF1472" s="165" t="s">
        <v>1440</v>
      </c>
      <c r="AG1472" s="165" t="s">
        <v>1440</v>
      </c>
      <c r="AH1472" s="165" t="s">
        <v>1440</v>
      </c>
      <c r="AI1472" s="165" t="s">
        <v>1439</v>
      </c>
      <c r="AJ1472" s="165" t="s">
        <v>1445</v>
      </c>
      <c r="AK1472" s="165" t="s">
        <v>1439</v>
      </c>
      <c r="AL1472" s="165" t="s">
        <v>1439</v>
      </c>
      <c r="AM1472" s="165"/>
    </row>
    <row r="1473" spans="1:39" x14ac:dyDescent="0.3">
      <c r="A1473" s="165" t="s">
        <v>2252</v>
      </c>
      <c r="B1473" s="165" t="s">
        <v>14</v>
      </c>
      <c r="C1473" s="165" t="s">
        <v>2227</v>
      </c>
      <c r="D1473" s="165" t="s">
        <v>15</v>
      </c>
      <c r="E1473" s="157">
        <v>41789</v>
      </c>
      <c r="F1473" s="165" t="s">
        <v>16</v>
      </c>
      <c r="G1473" s="165" t="s">
        <v>16</v>
      </c>
      <c r="H1473" s="165" t="s">
        <v>16</v>
      </c>
      <c r="I1473" s="165" t="s">
        <v>16</v>
      </c>
      <c r="J1473" s="165" t="s">
        <v>16</v>
      </c>
      <c r="K1473" s="165" t="s">
        <v>16</v>
      </c>
      <c r="L1473" s="165" t="s">
        <v>16</v>
      </c>
      <c r="M1473" s="165" t="s">
        <v>16</v>
      </c>
      <c r="N1473" s="165" t="s">
        <v>16</v>
      </c>
      <c r="O1473" s="165" t="s">
        <v>16</v>
      </c>
      <c r="P1473" s="165" t="s">
        <v>16</v>
      </c>
      <c r="Q1473" s="165" t="s">
        <v>16</v>
      </c>
      <c r="R1473" s="165" t="s">
        <v>16</v>
      </c>
      <c r="S1473" s="165" t="s">
        <v>16</v>
      </c>
      <c r="T1473" s="165" t="s">
        <v>16</v>
      </c>
      <c r="U1473" s="165" t="s">
        <v>16</v>
      </c>
      <c r="V1473" s="165" t="s">
        <v>16</v>
      </c>
      <c r="W1473" s="165" t="s">
        <v>16</v>
      </c>
      <c r="X1473" s="165" t="s">
        <v>16</v>
      </c>
      <c r="Y1473" s="165" t="s">
        <v>16</v>
      </c>
      <c r="Z1473" s="165" t="s">
        <v>16</v>
      </c>
      <c r="AA1473" s="165" t="s">
        <v>16</v>
      </c>
      <c r="AB1473" s="165" t="s">
        <v>16</v>
      </c>
      <c r="AC1473" s="165" t="s">
        <v>16</v>
      </c>
      <c r="AD1473" s="165" t="s">
        <v>16</v>
      </c>
      <c r="AE1473" s="165" t="s">
        <v>1439</v>
      </c>
      <c r="AF1473" s="165" t="s">
        <v>1439</v>
      </c>
      <c r="AG1473" s="165" t="s">
        <v>1439</v>
      </c>
      <c r="AH1473" s="165" t="s">
        <v>1439</v>
      </c>
      <c r="AI1473" s="165" t="s">
        <v>1440</v>
      </c>
      <c r="AJ1473" s="165" t="s">
        <v>1439</v>
      </c>
      <c r="AK1473" s="165" t="s">
        <v>1439</v>
      </c>
      <c r="AL1473" s="165" t="s">
        <v>1440</v>
      </c>
      <c r="AM1473" s="165"/>
    </row>
    <row r="1474" spans="1:39" x14ac:dyDescent="0.3">
      <c r="A1474" s="165" t="s">
        <v>2253</v>
      </c>
      <c r="B1474" s="165" t="s">
        <v>14</v>
      </c>
      <c r="C1474" s="165" t="s">
        <v>2227</v>
      </c>
      <c r="D1474" s="165" t="s">
        <v>15</v>
      </c>
      <c r="E1474" s="157">
        <v>41789</v>
      </c>
      <c r="F1474" s="165" t="s">
        <v>148</v>
      </c>
      <c r="G1474" s="165" t="s">
        <v>16</v>
      </c>
      <c r="H1474" s="165" t="s">
        <v>148</v>
      </c>
      <c r="I1474" s="165" t="s">
        <v>16</v>
      </c>
      <c r="J1474" s="165" t="s">
        <v>148</v>
      </c>
      <c r="K1474" s="165" t="s">
        <v>16</v>
      </c>
      <c r="L1474" s="165" t="s">
        <v>16</v>
      </c>
      <c r="M1474" s="165" t="s">
        <v>16</v>
      </c>
      <c r="N1474" s="165" t="s">
        <v>16</v>
      </c>
      <c r="O1474" s="165" t="s">
        <v>16</v>
      </c>
      <c r="P1474" s="165" t="s">
        <v>16</v>
      </c>
      <c r="Q1474" s="165" t="s">
        <v>16</v>
      </c>
      <c r="R1474" s="165" t="s">
        <v>148</v>
      </c>
      <c r="S1474" s="165" t="s">
        <v>16</v>
      </c>
      <c r="T1474" s="165" t="s">
        <v>16</v>
      </c>
      <c r="U1474" s="165" t="s">
        <v>16</v>
      </c>
      <c r="V1474" s="165" t="s">
        <v>16</v>
      </c>
      <c r="W1474" s="165" t="s">
        <v>16</v>
      </c>
      <c r="X1474" s="165" t="s">
        <v>16</v>
      </c>
      <c r="Y1474" s="165" t="s">
        <v>16</v>
      </c>
      <c r="Z1474" s="165" t="s">
        <v>16</v>
      </c>
      <c r="AA1474" s="165" t="s">
        <v>16</v>
      </c>
      <c r="AB1474" s="165" t="s">
        <v>16</v>
      </c>
      <c r="AC1474" s="165" t="s">
        <v>16</v>
      </c>
      <c r="AD1474" s="165" t="s">
        <v>16</v>
      </c>
      <c r="AE1474" s="165" t="s">
        <v>1440</v>
      </c>
      <c r="AF1474" s="165" t="s">
        <v>1440</v>
      </c>
      <c r="AG1474" s="165" t="s">
        <v>1440</v>
      </c>
      <c r="AH1474" s="165" t="s">
        <v>1445</v>
      </c>
      <c r="AI1474" s="165" t="s">
        <v>1439</v>
      </c>
      <c r="AJ1474" s="165" t="s">
        <v>1439</v>
      </c>
      <c r="AK1474" s="165" t="s">
        <v>1439</v>
      </c>
      <c r="AL1474" s="165" t="s">
        <v>1440</v>
      </c>
      <c r="AM1474" s="165"/>
    </row>
    <row r="1475" spans="1:39" x14ac:dyDescent="0.3">
      <c r="A1475" s="165" t="s">
        <v>2254</v>
      </c>
      <c r="B1475" s="165" t="s">
        <v>14</v>
      </c>
      <c r="C1475" s="165" t="s">
        <v>2227</v>
      </c>
      <c r="D1475" s="165" t="s">
        <v>15</v>
      </c>
      <c r="E1475" s="157">
        <v>41789</v>
      </c>
      <c r="F1475" s="165" t="s">
        <v>16</v>
      </c>
      <c r="G1475" s="165" t="s">
        <v>16</v>
      </c>
      <c r="H1475" s="165" t="s">
        <v>16</v>
      </c>
      <c r="I1475" s="165" t="s">
        <v>16</v>
      </c>
      <c r="J1475" s="165" t="s">
        <v>16</v>
      </c>
      <c r="K1475" s="165" t="s">
        <v>16</v>
      </c>
      <c r="L1475" s="165" t="s">
        <v>16</v>
      </c>
      <c r="M1475" s="165" t="s">
        <v>148</v>
      </c>
      <c r="N1475" s="165" t="s">
        <v>16</v>
      </c>
      <c r="O1475" s="165" t="s">
        <v>16</v>
      </c>
      <c r="P1475" s="165" t="s">
        <v>16</v>
      </c>
      <c r="Q1475" s="165" t="s">
        <v>16</v>
      </c>
      <c r="R1475" s="165" t="s">
        <v>16</v>
      </c>
      <c r="S1475" s="165" t="s">
        <v>16</v>
      </c>
      <c r="T1475" s="165" t="s">
        <v>16</v>
      </c>
      <c r="U1475" s="165" t="s">
        <v>16</v>
      </c>
      <c r="V1475" s="165" t="s">
        <v>16</v>
      </c>
      <c r="W1475" s="165" t="s">
        <v>16</v>
      </c>
      <c r="X1475" s="165" t="s">
        <v>16</v>
      </c>
      <c r="Y1475" s="165" t="s">
        <v>16</v>
      </c>
      <c r="Z1475" s="165" t="s">
        <v>16</v>
      </c>
      <c r="AA1475" s="165" t="s">
        <v>16</v>
      </c>
      <c r="AB1475" s="165" t="s">
        <v>16</v>
      </c>
      <c r="AC1475" s="165" t="s">
        <v>16</v>
      </c>
      <c r="AD1475" s="165" t="s">
        <v>16</v>
      </c>
      <c r="AE1475" s="165"/>
      <c r="AF1475" s="165"/>
      <c r="AG1475" s="165"/>
      <c r="AH1475" s="165"/>
      <c r="AI1475" s="165"/>
      <c r="AJ1475" s="165"/>
      <c r="AK1475" s="165"/>
      <c r="AL1475" s="165"/>
      <c r="AM1475" s="165"/>
    </row>
    <row r="1476" spans="1:39" x14ac:dyDescent="0.3">
      <c r="A1476" s="165" t="s">
        <v>2255</v>
      </c>
      <c r="B1476" s="165" t="s">
        <v>14</v>
      </c>
      <c r="C1476" s="165" t="s">
        <v>2227</v>
      </c>
      <c r="D1476" s="165" t="s">
        <v>15</v>
      </c>
      <c r="E1476" s="157">
        <v>41789</v>
      </c>
      <c r="F1476" s="165" t="s">
        <v>16</v>
      </c>
      <c r="G1476" s="165" t="s">
        <v>16</v>
      </c>
      <c r="H1476" s="165" t="s">
        <v>16</v>
      </c>
      <c r="I1476" s="165" t="s">
        <v>16</v>
      </c>
      <c r="J1476" s="165" t="s">
        <v>16</v>
      </c>
      <c r="K1476" s="165" t="s">
        <v>16</v>
      </c>
      <c r="L1476" s="165" t="s">
        <v>16</v>
      </c>
      <c r="M1476" s="165" t="s">
        <v>16</v>
      </c>
      <c r="N1476" s="165" t="s">
        <v>16</v>
      </c>
      <c r="O1476" s="165" t="s">
        <v>16</v>
      </c>
      <c r="P1476" s="165" t="s">
        <v>16</v>
      </c>
      <c r="Q1476" s="165" t="s">
        <v>16</v>
      </c>
      <c r="R1476" s="165" t="s">
        <v>16</v>
      </c>
      <c r="S1476" s="165" t="s">
        <v>16</v>
      </c>
      <c r="T1476" s="165" t="s">
        <v>16</v>
      </c>
      <c r="U1476" s="165" t="s">
        <v>16</v>
      </c>
      <c r="V1476" s="165" t="s">
        <v>16</v>
      </c>
      <c r="W1476" s="165" t="s">
        <v>16</v>
      </c>
      <c r="X1476" s="165" t="s">
        <v>16</v>
      </c>
      <c r="Y1476" s="165" t="s">
        <v>16</v>
      </c>
      <c r="Z1476" s="165" t="s">
        <v>16</v>
      </c>
      <c r="AA1476" s="165" t="s">
        <v>16</v>
      </c>
      <c r="AB1476" s="165" t="s">
        <v>16</v>
      </c>
      <c r="AC1476" s="165" t="s">
        <v>16</v>
      </c>
      <c r="AD1476" s="165" t="s">
        <v>16</v>
      </c>
      <c r="AE1476" s="165"/>
      <c r="AF1476" s="165"/>
      <c r="AG1476" s="165"/>
      <c r="AH1476" s="165"/>
      <c r="AI1476" s="165"/>
      <c r="AJ1476" s="165"/>
      <c r="AK1476" s="165"/>
      <c r="AL1476" s="165"/>
      <c r="AM1476" s="165"/>
    </row>
    <row r="1477" spans="1:39" x14ac:dyDescent="0.3">
      <c r="A1477" s="165" t="s">
        <v>2256</v>
      </c>
      <c r="B1477" s="165" t="s">
        <v>14</v>
      </c>
      <c r="C1477" s="165" t="s">
        <v>2227</v>
      </c>
      <c r="D1477" s="165" t="s">
        <v>15</v>
      </c>
      <c r="E1477" s="157">
        <v>41789</v>
      </c>
      <c r="F1477" s="165" t="s">
        <v>16</v>
      </c>
      <c r="G1477" s="165" t="s">
        <v>16</v>
      </c>
      <c r="H1477" s="165" t="s">
        <v>16</v>
      </c>
      <c r="I1477" s="165" t="s">
        <v>16</v>
      </c>
      <c r="J1477" s="165" t="s">
        <v>16</v>
      </c>
      <c r="K1477" s="165" t="s">
        <v>148</v>
      </c>
      <c r="L1477" s="165" t="s">
        <v>16</v>
      </c>
      <c r="M1477" s="165" t="s">
        <v>16</v>
      </c>
      <c r="N1477" s="165" t="s">
        <v>16</v>
      </c>
      <c r="O1477" s="165" t="s">
        <v>16</v>
      </c>
      <c r="P1477" s="165" t="s">
        <v>148</v>
      </c>
      <c r="Q1477" s="165" t="s">
        <v>16</v>
      </c>
      <c r="R1477" s="165" t="s">
        <v>148</v>
      </c>
      <c r="S1477" s="165" t="s">
        <v>148</v>
      </c>
      <c r="T1477" s="165" t="s">
        <v>16</v>
      </c>
      <c r="U1477" s="165" t="s">
        <v>16</v>
      </c>
      <c r="V1477" s="165" t="s">
        <v>16</v>
      </c>
      <c r="W1477" s="165" t="s">
        <v>16</v>
      </c>
      <c r="X1477" s="165" t="s">
        <v>16</v>
      </c>
      <c r="Y1477" s="165" t="s">
        <v>16</v>
      </c>
      <c r="Z1477" s="165" t="s">
        <v>149</v>
      </c>
      <c r="AA1477" s="165" t="s">
        <v>16</v>
      </c>
      <c r="AB1477" s="165" t="s">
        <v>16</v>
      </c>
      <c r="AC1477" s="165" t="s">
        <v>16</v>
      </c>
      <c r="AD1477" s="165" t="s">
        <v>149</v>
      </c>
      <c r="AE1477" s="165" t="s">
        <v>1439</v>
      </c>
      <c r="AF1477" s="165" t="s">
        <v>1440</v>
      </c>
      <c r="AG1477" s="165" t="s">
        <v>1439</v>
      </c>
      <c r="AH1477" s="165" t="s">
        <v>1439</v>
      </c>
      <c r="AI1477" s="165" t="s">
        <v>1439</v>
      </c>
      <c r="AJ1477" s="165" t="s">
        <v>1440</v>
      </c>
      <c r="AK1477" s="165" t="s">
        <v>1445</v>
      </c>
      <c r="AL1477" s="165" t="s">
        <v>1445</v>
      </c>
      <c r="AM1477" s="165" t="s">
        <v>2257</v>
      </c>
    </row>
    <row r="1478" spans="1:39" x14ac:dyDescent="0.3">
      <c r="A1478" s="165" t="s">
        <v>2258</v>
      </c>
      <c r="B1478" s="165" t="s">
        <v>14</v>
      </c>
      <c r="C1478" s="165" t="s">
        <v>2227</v>
      </c>
      <c r="D1478" s="165" t="s">
        <v>15</v>
      </c>
      <c r="E1478" s="157">
        <v>41789</v>
      </c>
      <c r="F1478" s="165" t="s">
        <v>148</v>
      </c>
      <c r="G1478" s="165" t="s">
        <v>148</v>
      </c>
      <c r="H1478" s="165" t="s">
        <v>16</v>
      </c>
      <c r="I1478" s="165" t="s">
        <v>148</v>
      </c>
      <c r="J1478" s="165" t="s">
        <v>150</v>
      </c>
      <c r="K1478" s="165" t="s">
        <v>16</v>
      </c>
      <c r="L1478" s="165" t="s">
        <v>149</v>
      </c>
      <c r="M1478" s="165" t="s">
        <v>148</v>
      </c>
      <c r="N1478" s="165" t="s">
        <v>150</v>
      </c>
      <c r="O1478" s="165" t="s">
        <v>150</v>
      </c>
      <c r="P1478" s="165" t="s">
        <v>148</v>
      </c>
      <c r="Q1478" s="165" t="s">
        <v>148</v>
      </c>
      <c r="R1478" s="165" t="s">
        <v>16</v>
      </c>
      <c r="S1478" s="165" t="s">
        <v>148</v>
      </c>
      <c r="T1478" s="165" t="s">
        <v>148</v>
      </c>
      <c r="U1478" s="165" t="s">
        <v>148</v>
      </c>
      <c r="V1478" s="165" t="s">
        <v>148</v>
      </c>
      <c r="W1478" s="165" t="s">
        <v>148</v>
      </c>
      <c r="X1478" s="165" t="s">
        <v>148</v>
      </c>
      <c r="Y1478" s="165" t="s">
        <v>148</v>
      </c>
      <c r="Z1478" s="165" t="s">
        <v>16</v>
      </c>
      <c r="AA1478" s="165" t="s">
        <v>148</v>
      </c>
      <c r="AB1478" s="165" t="s">
        <v>148</v>
      </c>
      <c r="AC1478" s="165" t="s">
        <v>148</v>
      </c>
      <c r="AD1478" s="165" t="s">
        <v>148</v>
      </c>
      <c r="AE1478" s="165" t="s">
        <v>1440</v>
      </c>
      <c r="AF1478" s="165" t="s">
        <v>1440</v>
      </c>
      <c r="AG1478" s="165" t="s">
        <v>1439</v>
      </c>
      <c r="AH1478" s="165" t="s">
        <v>1445</v>
      </c>
      <c r="AI1478" s="165" t="s">
        <v>1456</v>
      </c>
      <c r="AJ1478" s="165" t="s">
        <v>1444</v>
      </c>
      <c r="AK1478" s="165" t="s">
        <v>1444</v>
      </c>
      <c r="AL1478" s="165" t="s">
        <v>1439</v>
      </c>
      <c r="AM1478" s="165" t="s">
        <v>2259</v>
      </c>
    </row>
    <row r="1479" spans="1:39" x14ac:dyDescent="0.3">
      <c r="A1479" s="165" t="s">
        <v>2260</v>
      </c>
      <c r="B1479" s="165" t="s">
        <v>14</v>
      </c>
      <c r="C1479" s="165" t="s">
        <v>2227</v>
      </c>
      <c r="D1479" s="165" t="s">
        <v>15</v>
      </c>
      <c r="E1479" s="157">
        <v>41789</v>
      </c>
      <c r="F1479" s="165" t="s">
        <v>149</v>
      </c>
      <c r="G1479" s="165" t="s">
        <v>149</v>
      </c>
      <c r="H1479" s="165" t="s">
        <v>149</v>
      </c>
      <c r="I1479" s="165" t="s">
        <v>16</v>
      </c>
      <c r="J1479" s="165" t="s">
        <v>16</v>
      </c>
      <c r="K1479" s="165" t="s">
        <v>149</v>
      </c>
      <c r="L1479" s="165" t="s">
        <v>16</v>
      </c>
      <c r="M1479" s="165" t="s">
        <v>149</v>
      </c>
      <c r="N1479" s="165" t="s">
        <v>16</v>
      </c>
      <c r="O1479" s="165" t="s">
        <v>16</v>
      </c>
      <c r="P1479" s="165" t="s">
        <v>16</v>
      </c>
      <c r="Q1479" s="165" t="s">
        <v>149</v>
      </c>
      <c r="R1479" s="165" t="s">
        <v>149</v>
      </c>
      <c r="S1479" s="165" t="s">
        <v>16</v>
      </c>
      <c r="T1479" s="165" t="s">
        <v>16</v>
      </c>
      <c r="U1479" s="165" t="s">
        <v>16</v>
      </c>
      <c r="V1479" s="165" t="s">
        <v>149</v>
      </c>
      <c r="W1479" s="165" t="s">
        <v>149</v>
      </c>
      <c r="X1479" s="165" t="s">
        <v>149</v>
      </c>
      <c r="Y1479" s="165" t="s">
        <v>149</v>
      </c>
      <c r="Z1479" s="165" t="s">
        <v>149</v>
      </c>
      <c r="AA1479" s="165" t="s">
        <v>16</v>
      </c>
      <c r="AB1479" s="165" t="s">
        <v>16</v>
      </c>
      <c r="AC1479" s="165" t="s">
        <v>16</v>
      </c>
      <c r="AD1479" s="165" t="s">
        <v>16</v>
      </c>
      <c r="AE1479" s="165" t="s">
        <v>1445</v>
      </c>
      <c r="AF1479" s="165" t="s">
        <v>1445</v>
      </c>
      <c r="AG1479" s="165" t="s">
        <v>1440</v>
      </c>
      <c r="AH1479" s="165" t="s">
        <v>1440</v>
      </c>
      <c r="AI1479" s="165" t="s">
        <v>1440</v>
      </c>
      <c r="AJ1479" s="165" t="s">
        <v>1445</v>
      </c>
      <c r="AK1479" s="165" t="s">
        <v>1445</v>
      </c>
      <c r="AL1479" s="165" t="s">
        <v>1445</v>
      </c>
      <c r="AM1479" s="165"/>
    </row>
    <row r="1482" spans="1:39" x14ac:dyDescent="0.3">
      <c r="A1482" s="165"/>
      <c r="B1482" s="165"/>
      <c r="C1482" s="165"/>
      <c r="D1482" s="165"/>
      <c r="E1482" s="165"/>
      <c r="F1482" s="165" t="s">
        <v>124</v>
      </c>
      <c r="G1482" s="165" t="s">
        <v>125</v>
      </c>
      <c r="H1482" s="165" t="s">
        <v>126</v>
      </c>
      <c r="I1482" s="165" t="s">
        <v>127</v>
      </c>
      <c r="J1482" s="165" t="s">
        <v>214</v>
      </c>
      <c r="K1482" s="165" t="s">
        <v>128</v>
      </c>
      <c r="L1482" s="165" t="s">
        <v>129</v>
      </c>
      <c r="M1482" s="165" t="s">
        <v>130</v>
      </c>
      <c r="N1482" s="165" t="s">
        <v>131</v>
      </c>
      <c r="O1482" s="165" t="s">
        <v>132</v>
      </c>
      <c r="P1482" s="165" t="s">
        <v>133</v>
      </c>
      <c r="Q1482" s="165" t="s">
        <v>134</v>
      </c>
      <c r="R1482" s="165" t="s">
        <v>135</v>
      </c>
      <c r="S1482" s="165" t="s">
        <v>136</v>
      </c>
      <c r="T1482" s="165" t="s">
        <v>137</v>
      </c>
      <c r="U1482" s="165" t="s">
        <v>138</v>
      </c>
      <c r="V1482" s="165" t="s">
        <v>139</v>
      </c>
      <c r="W1482" s="165" t="s">
        <v>140</v>
      </c>
      <c r="X1482" s="165" t="s">
        <v>186</v>
      </c>
      <c r="Y1482" s="165" t="s">
        <v>209</v>
      </c>
      <c r="Z1482" s="165" t="s">
        <v>141</v>
      </c>
      <c r="AA1482" s="165" t="s">
        <v>142</v>
      </c>
      <c r="AB1482" s="165" t="s">
        <v>210</v>
      </c>
      <c r="AC1482" s="165" t="s">
        <v>1180</v>
      </c>
      <c r="AD1482" s="165" t="s">
        <v>144</v>
      </c>
      <c r="AE1482" s="165" t="s">
        <v>2272</v>
      </c>
      <c r="AF1482" s="165" t="s">
        <v>190</v>
      </c>
    </row>
    <row r="1483" spans="1:39" x14ac:dyDescent="0.3">
      <c r="A1483" s="165" t="s">
        <v>2273</v>
      </c>
      <c r="B1483" s="165" t="s">
        <v>14</v>
      </c>
      <c r="C1483" s="165" t="s">
        <v>2274</v>
      </c>
      <c r="D1483" s="165" t="s">
        <v>15</v>
      </c>
      <c r="E1483" s="157">
        <v>41819</v>
      </c>
      <c r="F1483" s="165" t="s">
        <v>16</v>
      </c>
      <c r="G1483" s="165" t="s">
        <v>16</v>
      </c>
      <c r="H1483" s="165" t="s">
        <v>16</v>
      </c>
      <c r="I1483" s="165" t="s">
        <v>148</v>
      </c>
      <c r="J1483" s="165" t="s">
        <v>16</v>
      </c>
      <c r="K1483" s="165" t="s">
        <v>148</v>
      </c>
      <c r="L1483" s="165" t="s">
        <v>148</v>
      </c>
      <c r="M1483" s="165" t="s">
        <v>148</v>
      </c>
      <c r="N1483" s="165" t="s">
        <v>148</v>
      </c>
      <c r="O1483" s="165" t="s">
        <v>16</v>
      </c>
      <c r="P1483" s="165" t="s">
        <v>148</v>
      </c>
      <c r="Q1483" s="165" t="s">
        <v>16</v>
      </c>
      <c r="R1483" s="165" t="s">
        <v>148</v>
      </c>
      <c r="S1483" s="165" t="s">
        <v>149</v>
      </c>
      <c r="T1483" s="165" t="s">
        <v>149</v>
      </c>
      <c r="U1483" s="165" t="s">
        <v>16</v>
      </c>
      <c r="V1483" s="165" t="s">
        <v>148</v>
      </c>
      <c r="W1483" s="165" t="s">
        <v>16</v>
      </c>
      <c r="X1483" s="165" t="s">
        <v>16</v>
      </c>
      <c r="Y1483" s="165" t="s">
        <v>16</v>
      </c>
      <c r="Z1483" s="165" t="s">
        <v>148</v>
      </c>
      <c r="AA1483" s="165" t="s">
        <v>16</v>
      </c>
      <c r="AB1483" s="165" t="s">
        <v>16</v>
      </c>
      <c r="AC1483" s="165" t="s">
        <v>16</v>
      </c>
      <c r="AD1483" s="165" t="s">
        <v>16</v>
      </c>
      <c r="AE1483" s="165" t="s">
        <v>2275</v>
      </c>
      <c r="AF1483" s="165"/>
    </row>
    <row r="1484" spans="1:39" x14ac:dyDescent="0.3">
      <c r="A1484" s="165" t="s">
        <v>2276</v>
      </c>
      <c r="B1484" s="165" t="s">
        <v>14</v>
      </c>
      <c r="C1484" s="165" t="s">
        <v>2274</v>
      </c>
      <c r="D1484" s="165" t="s">
        <v>15</v>
      </c>
      <c r="E1484" s="157">
        <v>41819</v>
      </c>
      <c r="F1484" s="165" t="s">
        <v>149</v>
      </c>
      <c r="G1484" s="165" t="s">
        <v>149</v>
      </c>
      <c r="H1484" s="165" t="s">
        <v>149</v>
      </c>
      <c r="I1484" s="165" t="s">
        <v>16</v>
      </c>
      <c r="J1484" s="165" t="s">
        <v>16</v>
      </c>
      <c r="K1484" s="165" t="s">
        <v>149</v>
      </c>
      <c r="L1484" s="165" t="s">
        <v>149</v>
      </c>
      <c r="M1484" s="165" t="s">
        <v>149</v>
      </c>
      <c r="N1484" s="165" t="s">
        <v>148</v>
      </c>
      <c r="O1484" s="165" t="s">
        <v>148</v>
      </c>
      <c r="P1484" s="165" t="s">
        <v>150</v>
      </c>
      <c r="Q1484" s="165" t="s">
        <v>16</v>
      </c>
      <c r="R1484" s="165" t="s">
        <v>149</v>
      </c>
      <c r="S1484" s="165" t="s">
        <v>148</v>
      </c>
      <c r="T1484" s="165" t="s">
        <v>16</v>
      </c>
      <c r="U1484" s="165" t="s">
        <v>151</v>
      </c>
      <c r="V1484" s="165" t="s">
        <v>151</v>
      </c>
      <c r="W1484" s="165" t="s">
        <v>149</v>
      </c>
      <c r="X1484" s="165" t="s">
        <v>16</v>
      </c>
      <c r="Y1484" s="165" t="s">
        <v>149</v>
      </c>
      <c r="Z1484" s="165" t="s">
        <v>151</v>
      </c>
      <c r="AA1484" s="165" t="s">
        <v>151</v>
      </c>
      <c r="AB1484" s="165" t="s">
        <v>149</v>
      </c>
      <c r="AC1484" s="165" t="s">
        <v>150</v>
      </c>
      <c r="AD1484" s="165" t="s">
        <v>150</v>
      </c>
      <c r="AE1484" s="165" t="s">
        <v>2277</v>
      </c>
      <c r="AF1484" s="165"/>
    </row>
    <row r="1485" spans="1:39" x14ac:dyDescent="0.3">
      <c r="A1485" s="165" t="s">
        <v>2278</v>
      </c>
      <c r="B1485" s="165" t="s">
        <v>14</v>
      </c>
      <c r="C1485" s="165" t="s">
        <v>2274</v>
      </c>
      <c r="D1485" s="165" t="s">
        <v>15</v>
      </c>
      <c r="E1485" s="157">
        <v>41819</v>
      </c>
      <c r="F1485" s="165" t="s">
        <v>148</v>
      </c>
      <c r="G1485" s="165" t="s">
        <v>148</v>
      </c>
      <c r="H1485" s="165" t="s">
        <v>16</v>
      </c>
      <c r="I1485" s="165" t="s">
        <v>16</v>
      </c>
      <c r="J1485" s="165" t="s">
        <v>16</v>
      </c>
      <c r="K1485" s="165" t="s">
        <v>16</v>
      </c>
      <c r="L1485" s="165" t="s">
        <v>148</v>
      </c>
      <c r="M1485" s="165" t="s">
        <v>16</v>
      </c>
      <c r="N1485" s="165" t="s">
        <v>148</v>
      </c>
      <c r="O1485" s="165" t="s">
        <v>148</v>
      </c>
      <c r="P1485" s="165" t="s">
        <v>16</v>
      </c>
      <c r="Q1485" s="165" t="s">
        <v>16</v>
      </c>
      <c r="R1485" s="165" t="s">
        <v>16</v>
      </c>
      <c r="S1485" s="165" t="s">
        <v>16</v>
      </c>
      <c r="T1485" s="165" t="s">
        <v>16</v>
      </c>
      <c r="U1485" s="165" t="s">
        <v>148</v>
      </c>
      <c r="V1485" s="165" t="s">
        <v>16</v>
      </c>
      <c r="W1485" s="165" t="s">
        <v>148</v>
      </c>
      <c r="X1485" s="165" t="s">
        <v>148</v>
      </c>
      <c r="Y1485" s="165" t="s">
        <v>16</v>
      </c>
      <c r="Z1485" s="165" t="s">
        <v>16</v>
      </c>
      <c r="AA1485" s="165" t="s">
        <v>16</v>
      </c>
      <c r="AB1485" s="165" t="s">
        <v>16</v>
      </c>
      <c r="AC1485" s="165" t="s">
        <v>148</v>
      </c>
      <c r="AD1485" s="165" t="s">
        <v>16</v>
      </c>
      <c r="AE1485" s="165" t="s">
        <v>2279</v>
      </c>
      <c r="AF1485" s="165"/>
    </row>
    <row r="1486" spans="1:39" x14ac:dyDescent="0.3">
      <c r="A1486" s="165" t="s">
        <v>2280</v>
      </c>
      <c r="B1486" s="165" t="s">
        <v>14</v>
      </c>
      <c r="C1486" s="165" t="s">
        <v>2274</v>
      </c>
      <c r="D1486" s="165" t="s">
        <v>15</v>
      </c>
      <c r="E1486" s="157">
        <v>41819</v>
      </c>
      <c r="F1486" s="165" t="s">
        <v>149</v>
      </c>
      <c r="G1486" s="165" t="s">
        <v>16</v>
      </c>
      <c r="H1486" s="165" t="s">
        <v>16</v>
      </c>
      <c r="I1486" s="165" t="s">
        <v>16</v>
      </c>
      <c r="J1486" s="165" t="s">
        <v>16</v>
      </c>
      <c r="K1486" s="165" t="s">
        <v>16</v>
      </c>
      <c r="L1486" s="165" t="s">
        <v>149</v>
      </c>
      <c r="M1486" s="165" t="s">
        <v>16</v>
      </c>
      <c r="N1486" s="165" t="s">
        <v>149</v>
      </c>
      <c r="O1486" s="165" t="s">
        <v>16</v>
      </c>
      <c r="P1486" s="165" t="s">
        <v>149</v>
      </c>
      <c r="Q1486" s="165" t="s">
        <v>16</v>
      </c>
      <c r="R1486" s="165" t="s">
        <v>16</v>
      </c>
      <c r="S1486" s="165" t="s">
        <v>16</v>
      </c>
      <c r="T1486" s="165" t="s">
        <v>16</v>
      </c>
      <c r="U1486" s="165" t="s">
        <v>149</v>
      </c>
      <c r="V1486" s="165" t="s">
        <v>149</v>
      </c>
      <c r="W1486" s="165" t="s">
        <v>16</v>
      </c>
      <c r="X1486" s="165" t="s">
        <v>16</v>
      </c>
      <c r="Y1486" s="165" t="s">
        <v>16</v>
      </c>
      <c r="Z1486" s="165" t="s">
        <v>149</v>
      </c>
      <c r="AA1486" s="165" t="s">
        <v>16</v>
      </c>
      <c r="AB1486" s="165" t="s">
        <v>148</v>
      </c>
      <c r="AC1486" s="165" t="s">
        <v>149</v>
      </c>
      <c r="AD1486" s="165" t="s">
        <v>148</v>
      </c>
      <c r="AE1486" s="165" t="s">
        <v>2281</v>
      </c>
      <c r="AF1486" s="165" t="s">
        <v>2282</v>
      </c>
    </row>
    <row r="1487" spans="1:39" x14ac:dyDescent="0.3">
      <c r="A1487" s="165" t="s">
        <v>2283</v>
      </c>
      <c r="B1487" s="165" t="s">
        <v>14</v>
      </c>
      <c r="C1487" s="165" t="s">
        <v>2274</v>
      </c>
      <c r="D1487" s="165" t="s">
        <v>15</v>
      </c>
      <c r="E1487" s="157">
        <v>41819</v>
      </c>
      <c r="F1487" s="165" t="s">
        <v>148</v>
      </c>
      <c r="G1487" s="165" t="s">
        <v>16</v>
      </c>
      <c r="H1487" s="165" t="s">
        <v>16</v>
      </c>
      <c r="I1487" s="165" t="s">
        <v>148</v>
      </c>
      <c r="J1487" s="165" t="s">
        <v>16</v>
      </c>
      <c r="K1487" s="165" t="s">
        <v>16</v>
      </c>
      <c r="L1487" s="165" t="s">
        <v>16</v>
      </c>
      <c r="M1487" s="165" t="s">
        <v>16</v>
      </c>
      <c r="N1487" s="165" t="s">
        <v>16</v>
      </c>
      <c r="O1487" s="165" t="s">
        <v>16</v>
      </c>
      <c r="P1487" s="165" t="s">
        <v>148</v>
      </c>
      <c r="Q1487" s="165" t="s">
        <v>16</v>
      </c>
      <c r="R1487" s="165" t="s">
        <v>148</v>
      </c>
      <c r="S1487" s="165" t="s">
        <v>16</v>
      </c>
      <c r="T1487" s="165" t="s">
        <v>148</v>
      </c>
      <c r="U1487" s="165" t="s">
        <v>148</v>
      </c>
      <c r="V1487" s="165" t="s">
        <v>16</v>
      </c>
      <c r="W1487" s="165" t="s">
        <v>16</v>
      </c>
      <c r="X1487" s="165" t="s">
        <v>148</v>
      </c>
      <c r="Y1487" s="165" t="s">
        <v>16</v>
      </c>
      <c r="Z1487" s="165" t="s">
        <v>16</v>
      </c>
      <c r="AA1487" s="165" t="s">
        <v>16</v>
      </c>
      <c r="AB1487" s="165" t="s">
        <v>16</v>
      </c>
      <c r="AC1487" s="165" t="s">
        <v>150</v>
      </c>
      <c r="AD1487" s="165" t="s">
        <v>16</v>
      </c>
      <c r="AE1487" s="165" t="s">
        <v>2284</v>
      </c>
      <c r="AF1487" s="165"/>
    </row>
    <row r="1488" spans="1:39" x14ac:dyDescent="0.3">
      <c r="A1488" s="165" t="s">
        <v>2285</v>
      </c>
      <c r="B1488" s="165" t="s">
        <v>14</v>
      </c>
      <c r="C1488" s="165" t="s">
        <v>2274</v>
      </c>
      <c r="D1488" s="165" t="s">
        <v>15</v>
      </c>
      <c r="E1488" s="157">
        <v>41819</v>
      </c>
      <c r="F1488" s="165" t="s">
        <v>16</v>
      </c>
      <c r="G1488" s="165" t="s">
        <v>16</v>
      </c>
      <c r="H1488" s="165" t="s">
        <v>148</v>
      </c>
      <c r="I1488" s="165" t="s">
        <v>16</v>
      </c>
      <c r="J1488" s="165" t="s">
        <v>148</v>
      </c>
      <c r="K1488" s="165" t="s">
        <v>16</v>
      </c>
      <c r="L1488" s="165" t="s">
        <v>16</v>
      </c>
      <c r="M1488" s="165" t="s">
        <v>16</v>
      </c>
      <c r="N1488" s="165" t="s">
        <v>150</v>
      </c>
      <c r="O1488" s="165" t="s">
        <v>148</v>
      </c>
      <c r="P1488" s="165" t="s">
        <v>148</v>
      </c>
      <c r="Q1488" s="165" t="s">
        <v>16</v>
      </c>
      <c r="R1488" s="165" t="s">
        <v>16</v>
      </c>
      <c r="S1488" s="165" t="s">
        <v>16</v>
      </c>
      <c r="T1488" s="165" t="s">
        <v>16</v>
      </c>
      <c r="U1488" s="165" t="s">
        <v>16</v>
      </c>
      <c r="V1488" s="165" t="s">
        <v>16</v>
      </c>
      <c r="W1488" s="165" t="s">
        <v>16</v>
      </c>
      <c r="X1488" s="165" t="s">
        <v>16</v>
      </c>
      <c r="Y1488" s="165" t="s">
        <v>16</v>
      </c>
      <c r="Z1488" s="165" t="s">
        <v>16</v>
      </c>
      <c r="AA1488" s="165" t="s">
        <v>16</v>
      </c>
      <c r="AB1488" s="165" t="s">
        <v>16</v>
      </c>
      <c r="AC1488" s="165" t="s">
        <v>16</v>
      </c>
      <c r="AD1488" s="165" t="s">
        <v>16</v>
      </c>
      <c r="AE1488" s="165" t="s">
        <v>2286</v>
      </c>
      <c r="AF1488" s="165"/>
    </row>
    <row r="1489" spans="1:32" x14ac:dyDescent="0.3">
      <c r="A1489" s="165" t="s">
        <v>2287</v>
      </c>
      <c r="B1489" s="165" t="s">
        <v>14</v>
      </c>
      <c r="C1489" s="165" t="s">
        <v>2274</v>
      </c>
      <c r="D1489" s="165" t="s">
        <v>15</v>
      </c>
      <c r="E1489" s="157">
        <v>41819</v>
      </c>
      <c r="F1489" s="165" t="s">
        <v>16</v>
      </c>
      <c r="G1489" s="165" t="s">
        <v>148</v>
      </c>
      <c r="H1489" s="165" t="s">
        <v>16</v>
      </c>
      <c r="I1489" s="165" t="s">
        <v>148</v>
      </c>
      <c r="J1489" s="165" t="s">
        <v>148</v>
      </c>
      <c r="K1489" s="165" t="s">
        <v>16</v>
      </c>
      <c r="L1489" s="165" t="s">
        <v>16</v>
      </c>
      <c r="M1489" s="165" t="s">
        <v>16</v>
      </c>
      <c r="N1489" s="165" t="s">
        <v>148</v>
      </c>
      <c r="O1489" s="165" t="s">
        <v>148</v>
      </c>
      <c r="P1489" s="165" t="s">
        <v>148</v>
      </c>
      <c r="Q1489" s="165" t="s">
        <v>148</v>
      </c>
      <c r="R1489" s="165" t="s">
        <v>16</v>
      </c>
      <c r="S1489" s="165" t="s">
        <v>16</v>
      </c>
      <c r="T1489" s="165" t="s">
        <v>16</v>
      </c>
      <c r="U1489" s="165" t="s">
        <v>149</v>
      </c>
      <c r="V1489" s="165" t="s">
        <v>148</v>
      </c>
      <c r="W1489" s="165" t="s">
        <v>148</v>
      </c>
      <c r="X1489" s="165" t="s">
        <v>148</v>
      </c>
      <c r="Y1489" s="165" t="s">
        <v>16</v>
      </c>
      <c r="Z1489" s="165" t="s">
        <v>16</v>
      </c>
      <c r="AA1489" s="165" t="s">
        <v>16</v>
      </c>
      <c r="AB1489" s="165" t="s">
        <v>148</v>
      </c>
      <c r="AC1489" s="165" t="s">
        <v>148</v>
      </c>
      <c r="AD1489" s="165" t="s">
        <v>16</v>
      </c>
      <c r="AE1489" s="165" t="s">
        <v>2288</v>
      </c>
      <c r="AF1489" s="165"/>
    </row>
    <row r="1490" spans="1:32" x14ac:dyDescent="0.3">
      <c r="A1490" s="165" t="s">
        <v>2289</v>
      </c>
      <c r="B1490" s="165" t="s">
        <v>14</v>
      </c>
      <c r="C1490" s="165" t="s">
        <v>2274</v>
      </c>
      <c r="D1490" s="165" t="s">
        <v>15</v>
      </c>
      <c r="E1490" s="157">
        <v>41819</v>
      </c>
      <c r="F1490" s="165" t="s">
        <v>16</v>
      </c>
      <c r="G1490" s="165" t="s">
        <v>149</v>
      </c>
      <c r="H1490" s="165" t="s">
        <v>149</v>
      </c>
      <c r="I1490" s="165" t="s">
        <v>148</v>
      </c>
      <c r="J1490" s="165" t="s">
        <v>148</v>
      </c>
      <c r="K1490" s="165" t="s">
        <v>16</v>
      </c>
      <c r="L1490" s="165" t="s">
        <v>16</v>
      </c>
      <c r="M1490" s="165" t="s">
        <v>16</v>
      </c>
      <c r="N1490" s="165" t="s">
        <v>16</v>
      </c>
      <c r="O1490" s="165" t="s">
        <v>16</v>
      </c>
      <c r="P1490" s="165" t="s">
        <v>16</v>
      </c>
      <c r="Q1490" s="165" t="s">
        <v>16</v>
      </c>
      <c r="R1490" s="165" t="s">
        <v>16</v>
      </c>
      <c r="S1490" s="165" t="s">
        <v>148</v>
      </c>
      <c r="T1490" s="165" t="s">
        <v>148</v>
      </c>
      <c r="U1490" s="165" t="s">
        <v>16</v>
      </c>
      <c r="V1490" s="165" t="s">
        <v>16</v>
      </c>
      <c r="W1490" s="165" t="s">
        <v>16</v>
      </c>
      <c r="X1490" s="165" t="s">
        <v>148</v>
      </c>
      <c r="Y1490" s="165" t="s">
        <v>148</v>
      </c>
      <c r="Z1490" s="165" t="s">
        <v>16</v>
      </c>
      <c r="AA1490" s="165" t="s">
        <v>16</v>
      </c>
      <c r="AB1490" s="165" t="s">
        <v>16</v>
      </c>
      <c r="AC1490" s="165" t="s">
        <v>148</v>
      </c>
      <c r="AD1490" s="165" t="s">
        <v>148</v>
      </c>
      <c r="AE1490" s="165" t="s">
        <v>2290</v>
      </c>
      <c r="AF1490" s="165"/>
    </row>
    <row r="1491" spans="1:32" x14ac:dyDescent="0.3">
      <c r="A1491" s="165" t="s">
        <v>2291</v>
      </c>
      <c r="B1491" s="165" t="s">
        <v>14</v>
      </c>
      <c r="C1491" s="165" t="s">
        <v>2274</v>
      </c>
      <c r="D1491" s="165" t="s">
        <v>15</v>
      </c>
      <c r="E1491" s="157">
        <v>41819</v>
      </c>
      <c r="F1491" s="165" t="s">
        <v>16</v>
      </c>
      <c r="G1491" s="165" t="s">
        <v>16</v>
      </c>
      <c r="H1491" s="165" t="s">
        <v>16</v>
      </c>
      <c r="I1491" s="165" t="s">
        <v>16</v>
      </c>
      <c r="J1491" s="165" t="s">
        <v>16</v>
      </c>
      <c r="K1491" s="165" t="s">
        <v>16</v>
      </c>
      <c r="L1491" s="165" t="s">
        <v>16</v>
      </c>
      <c r="M1491" s="165" t="s">
        <v>16</v>
      </c>
      <c r="N1491" s="165" t="s">
        <v>16</v>
      </c>
      <c r="O1491" s="165" t="s">
        <v>16</v>
      </c>
      <c r="P1491" s="165" t="s">
        <v>16</v>
      </c>
      <c r="Q1491" s="165" t="s">
        <v>16</v>
      </c>
      <c r="R1491" s="165" t="s">
        <v>16</v>
      </c>
      <c r="S1491" s="165" t="s">
        <v>16</v>
      </c>
      <c r="T1491" s="165" t="s">
        <v>16</v>
      </c>
      <c r="U1491" s="165" t="s">
        <v>16</v>
      </c>
      <c r="V1491" s="165" t="s">
        <v>16</v>
      </c>
      <c r="W1491" s="165" t="s">
        <v>16</v>
      </c>
      <c r="X1491" s="165" t="s">
        <v>16</v>
      </c>
      <c r="Y1491" s="165" t="s">
        <v>16</v>
      </c>
      <c r="Z1491" s="165" t="s">
        <v>16</v>
      </c>
      <c r="AA1491" s="165" t="s">
        <v>16</v>
      </c>
      <c r="AB1491" s="165" t="s">
        <v>16</v>
      </c>
      <c r="AC1491" s="165" t="s">
        <v>16</v>
      </c>
      <c r="AD1491" s="165" t="s">
        <v>16</v>
      </c>
      <c r="AE1491" s="165" t="s">
        <v>2292</v>
      </c>
      <c r="AF1491" s="165"/>
    </row>
    <row r="1492" spans="1:32" x14ac:dyDescent="0.3">
      <c r="A1492" s="165" t="s">
        <v>2293</v>
      </c>
      <c r="B1492" s="165" t="s">
        <v>14</v>
      </c>
      <c r="C1492" s="165" t="s">
        <v>2274</v>
      </c>
      <c r="D1492" s="165" t="s">
        <v>15</v>
      </c>
      <c r="E1492" s="157">
        <v>41819</v>
      </c>
      <c r="F1492" s="165" t="s">
        <v>148</v>
      </c>
      <c r="G1492" s="165" t="s">
        <v>148</v>
      </c>
      <c r="H1492" s="165" t="s">
        <v>148</v>
      </c>
      <c r="I1492" s="165" t="s">
        <v>148</v>
      </c>
      <c r="J1492" s="165" t="s">
        <v>148</v>
      </c>
      <c r="K1492" s="165" t="s">
        <v>16</v>
      </c>
      <c r="L1492" s="165" t="s">
        <v>16</v>
      </c>
      <c r="M1492" s="165" t="s">
        <v>148</v>
      </c>
      <c r="N1492" s="165" t="s">
        <v>16</v>
      </c>
      <c r="O1492" s="165" t="s">
        <v>148</v>
      </c>
      <c r="P1492" s="165" t="s">
        <v>148</v>
      </c>
      <c r="Q1492" s="165" t="s">
        <v>148</v>
      </c>
      <c r="R1492" s="165" t="s">
        <v>16</v>
      </c>
      <c r="S1492" s="165" t="s">
        <v>148</v>
      </c>
      <c r="T1492" s="165" t="s">
        <v>148</v>
      </c>
      <c r="U1492" s="165" t="s">
        <v>148</v>
      </c>
      <c r="V1492" s="165" t="s">
        <v>148</v>
      </c>
      <c r="W1492" s="165" t="s">
        <v>148</v>
      </c>
      <c r="X1492" s="165" t="s">
        <v>148</v>
      </c>
      <c r="Y1492" s="165" t="s">
        <v>148</v>
      </c>
      <c r="Z1492" s="165" t="s">
        <v>148</v>
      </c>
      <c r="AA1492" s="165" t="s">
        <v>148</v>
      </c>
      <c r="AB1492" s="165" t="s">
        <v>16</v>
      </c>
      <c r="AC1492" s="165" t="s">
        <v>148</v>
      </c>
      <c r="AD1492" s="165" t="s">
        <v>16</v>
      </c>
      <c r="AE1492" s="165" t="s">
        <v>2294</v>
      </c>
      <c r="AF1492" s="165"/>
    </row>
    <row r="1493" spans="1:32" x14ac:dyDescent="0.3">
      <c r="A1493" s="165" t="s">
        <v>2295</v>
      </c>
      <c r="B1493" s="165" t="s">
        <v>14</v>
      </c>
      <c r="C1493" s="165" t="s">
        <v>2274</v>
      </c>
      <c r="D1493" s="165" t="s">
        <v>15</v>
      </c>
      <c r="E1493" s="157">
        <v>41819</v>
      </c>
      <c r="F1493" s="165" t="s">
        <v>16</v>
      </c>
      <c r="G1493" s="165" t="s">
        <v>16</v>
      </c>
      <c r="H1493" s="165" t="s">
        <v>16</v>
      </c>
      <c r="I1493" s="165" t="s">
        <v>16</v>
      </c>
      <c r="J1493" s="165" t="s">
        <v>16</v>
      </c>
      <c r="K1493" s="165" t="s">
        <v>16</v>
      </c>
      <c r="L1493" s="165" t="s">
        <v>16</v>
      </c>
      <c r="M1493" s="165" t="s">
        <v>16</v>
      </c>
      <c r="N1493" s="165" t="s">
        <v>16</v>
      </c>
      <c r="O1493" s="165" t="s">
        <v>16</v>
      </c>
      <c r="P1493" s="165" t="s">
        <v>16</v>
      </c>
      <c r="Q1493" s="165" t="s">
        <v>16</v>
      </c>
      <c r="R1493" s="165" t="s">
        <v>16</v>
      </c>
      <c r="S1493" s="165" t="s">
        <v>16</v>
      </c>
      <c r="T1493" s="165" t="s">
        <v>16</v>
      </c>
      <c r="U1493" s="165" t="s">
        <v>16</v>
      </c>
      <c r="V1493" s="165" t="s">
        <v>16</v>
      </c>
      <c r="W1493" s="165" t="s">
        <v>16</v>
      </c>
      <c r="X1493" s="165" t="s">
        <v>16</v>
      </c>
      <c r="Y1493" s="165" t="s">
        <v>16</v>
      </c>
      <c r="Z1493" s="165" t="s">
        <v>16</v>
      </c>
      <c r="AA1493" s="165" t="s">
        <v>16</v>
      </c>
      <c r="AB1493" s="165" t="s">
        <v>16</v>
      </c>
      <c r="AC1493" s="165" t="s">
        <v>16</v>
      </c>
      <c r="AD1493" s="165" t="s">
        <v>16</v>
      </c>
      <c r="AE1493" s="165" t="s">
        <v>2296</v>
      </c>
      <c r="AF1493" s="165"/>
    </row>
    <row r="1494" spans="1:32" x14ac:dyDescent="0.3">
      <c r="A1494" s="165" t="s">
        <v>2297</v>
      </c>
      <c r="B1494" s="165" t="s">
        <v>14</v>
      </c>
      <c r="C1494" s="165" t="s">
        <v>2274</v>
      </c>
      <c r="D1494" s="165" t="s">
        <v>15</v>
      </c>
      <c r="E1494" s="157">
        <v>41819</v>
      </c>
      <c r="F1494" s="165" t="s">
        <v>148</v>
      </c>
      <c r="G1494" s="165" t="s">
        <v>148</v>
      </c>
      <c r="H1494" s="165" t="s">
        <v>148</v>
      </c>
      <c r="I1494" s="165" t="s">
        <v>148</v>
      </c>
      <c r="J1494" s="165" t="s">
        <v>150</v>
      </c>
      <c r="K1494" s="165" t="s">
        <v>16</v>
      </c>
      <c r="L1494" s="165" t="s">
        <v>16</v>
      </c>
      <c r="M1494" s="165" t="s">
        <v>148</v>
      </c>
      <c r="N1494" s="165" t="s">
        <v>16</v>
      </c>
      <c r="O1494" s="165" t="s">
        <v>148</v>
      </c>
      <c r="P1494" s="165" t="s">
        <v>16</v>
      </c>
      <c r="Q1494" s="165" t="s">
        <v>16</v>
      </c>
      <c r="R1494" s="165" t="s">
        <v>148</v>
      </c>
      <c r="S1494" s="165" t="s">
        <v>148</v>
      </c>
      <c r="T1494" s="165" t="s">
        <v>148</v>
      </c>
      <c r="U1494" s="165" t="s">
        <v>16</v>
      </c>
      <c r="V1494" s="165" t="s">
        <v>16</v>
      </c>
      <c r="W1494" s="165" t="s">
        <v>16</v>
      </c>
      <c r="X1494" s="165" t="s">
        <v>148</v>
      </c>
      <c r="Y1494" s="165" t="s">
        <v>16</v>
      </c>
      <c r="Z1494" s="165" t="s">
        <v>16</v>
      </c>
      <c r="AA1494" s="165" t="s">
        <v>16</v>
      </c>
      <c r="AB1494" s="165" t="s">
        <v>148</v>
      </c>
      <c r="AC1494" s="165" t="s">
        <v>16</v>
      </c>
      <c r="AD1494" s="165" t="s">
        <v>16</v>
      </c>
      <c r="AE1494" s="165" t="s">
        <v>2298</v>
      </c>
      <c r="AF1494" s="165"/>
    </row>
    <row r="1495" spans="1:32" x14ac:dyDescent="0.3">
      <c r="A1495" s="165" t="s">
        <v>2299</v>
      </c>
      <c r="B1495" s="165" t="s">
        <v>14</v>
      </c>
      <c r="C1495" s="165" t="s">
        <v>2274</v>
      </c>
      <c r="D1495" s="165" t="s">
        <v>15</v>
      </c>
      <c r="E1495" s="157">
        <v>41819</v>
      </c>
      <c r="F1495" s="165" t="s">
        <v>16</v>
      </c>
      <c r="G1495" s="165" t="s">
        <v>16</v>
      </c>
      <c r="H1495" s="165" t="s">
        <v>16</v>
      </c>
      <c r="I1495" s="165" t="s">
        <v>16</v>
      </c>
      <c r="J1495" s="165" t="s">
        <v>16</v>
      </c>
      <c r="K1495" s="165" t="s">
        <v>16</v>
      </c>
      <c r="L1495" s="165" t="s">
        <v>16</v>
      </c>
      <c r="M1495" s="165" t="s">
        <v>16</v>
      </c>
      <c r="N1495" s="165" t="s">
        <v>16</v>
      </c>
      <c r="O1495" s="165" t="s">
        <v>16</v>
      </c>
      <c r="P1495" s="165" t="s">
        <v>16</v>
      </c>
      <c r="Q1495" s="165" t="s">
        <v>16</v>
      </c>
      <c r="R1495" s="165" t="s">
        <v>16</v>
      </c>
      <c r="S1495" s="165" t="s">
        <v>16</v>
      </c>
      <c r="T1495" s="165" t="s">
        <v>16</v>
      </c>
      <c r="U1495" s="165" t="s">
        <v>16</v>
      </c>
      <c r="V1495" s="165" t="s">
        <v>16</v>
      </c>
      <c r="W1495" s="165" t="s">
        <v>16</v>
      </c>
      <c r="X1495" s="165" t="s">
        <v>16</v>
      </c>
      <c r="Y1495" s="165" t="s">
        <v>16</v>
      </c>
      <c r="Z1495" s="165" t="s">
        <v>16</v>
      </c>
      <c r="AA1495" s="165" t="s">
        <v>16</v>
      </c>
      <c r="AB1495" s="165" t="s">
        <v>16</v>
      </c>
      <c r="AC1495" s="165" t="s">
        <v>16</v>
      </c>
      <c r="AD1495" s="165" t="s">
        <v>16</v>
      </c>
      <c r="AE1495" s="165" t="s">
        <v>2300</v>
      </c>
      <c r="AF1495" s="165"/>
    </row>
    <row r="1496" spans="1:32" x14ac:dyDescent="0.3">
      <c r="A1496" s="165" t="s">
        <v>2301</v>
      </c>
      <c r="B1496" s="165" t="s">
        <v>14</v>
      </c>
      <c r="C1496" s="165" t="s">
        <v>2274</v>
      </c>
      <c r="D1496" s="165" t="s">
        <v>15</v>
      </c>
      <c r="E1496" s="157">
        <v>41819</v>
      </c>
      <c r="F1496" s="165" t="s">
        <v>16</v>
      </c>
      <c r="G1496" s="165" t="s">
        <v>16</v>
      </c>
      <c r="H1496" s="165" t="s">
        <v>16</v>
      </c>
      <c r="I1496" s="165" t="s">
        <v>16</v>
      </c>
      <c r="J1496" s="165" t="s">
        <v>16</v>
      </c>
      <c r="K1496" s="165" t="s">
        <v>148</v>
      </c>
      <c r="L1496" s="165" t="s">
        <v>16</v>
      </c>
      <c r="M1496" s="165" t="s">
        <v>148</v>
      </c>
      <c r="N1496" s="165" t="s">
        <v>148</v>
      </c>
      <c r="O1496" s="165" t="s">
        <v>148</v>
      </c>
      <c r="P1496" s="165" t="s">
        <v>148</v>
      </c>
      <c r="Q1496" s="165" t="s">
        <v>16</v>
      </c>
      <c r="R1496" s="165" t="s">
        <v>148</v>
      </c>
      <c r="S1496" s="165" t="s">
        <v>16</v>
      </c>
      <c r="T1496" s="165" t="s">
        <v>16</v>
      </c>
      <c r="U1496" s="165" t="s">
        <v>16</v>
      </c>
      <c r="V1496" s="165" t="s">
        <v>16</v>
      </c>
      <c r="W1496" s="165" t="s">
        <v>16</v>
      </c>
      <c r="X1496" s="165" t="s">
        <v>16</v>
      </c>
      <c r="Y1496" s="165" t="s">
        <v>16</v>
      </c>
      <c r="Z1496" s="165" t="s">
        <v>148</v>
      </c>
      <c r="AA1496" s="165" t="s">
        <v>148</v>
      </c>
      <c r="AB1496" s="165" t="s">
        <v>16</v>
      </c>
      <c r="AC1496" s="165" t="s">
        <v>148</v>
      </c>
      <c r="AD1496" s="165" t="s">
        <v>16</v>
      </c>
      <c r="AE1496" s="165" t="s">
        <v>2302</v>
      </c>
      <c r="AF1496" s="165"/>
    </row>
    <row r="1497" spans="1:32" x14ac:dyDescent="0.3">
      <c r="A1497" s="165" t="s">
        <v>2303</v>
      </c>
      <c r="B1497" s="165" t="s">
        <v>14</v>
      </c>
      <c r="C1497" s="165" t="s">
        <v>2274</v>
      </c>
      <c r="D1497" s="165" t="s">
        <v>15</v>
      </c>
      <c r="E1497" s="157">
        <v>41819</v>
      </c>
      <c r="F1497" s="165" t="s">
        <v>149</v>
      </c>
      <c r="G1497" s="165" t="s">
        <v>148</v>
      </c>
      <c r="H1497" s="165" t="s">
        <v>149</v>
      </c>
      <c r="I1497" s="165" t="s">
        <v>149</v>
      </c>
      <c r="J1497" s="165" t="s">
        <v>16</v>
      </c>
      <c r="K1497" s="165" t="s">
        <v>16</v>
      </c>
      <c r="L1497" s="165" t="s">
        <v>16</v>
      </c>
      <c r="M1497" s="165" t="s">
        <v>16</v>
      </c>
      <c r="N1497" s="165" t="s">
        <v>148</v>
      </c>
      <c r="O1497" s="165" t="s">
        <v>148</v>
      </c>
      <c r="P1497" s="165" t="s">
        <v>148</v>
      </c>
      <c r="Q1497" s="165" t="s">
        <v>16</v>
      </c>
      <c r="R1497" s="165" t="s">
        <v>16</v>
      </c>
      <c r="S1497" s="165" t="s">
        <v>148</v>
      </c>
      <c r="T1497" s="165" t="s">
        <v>16</v>
      </c>
      <c r="U1497" s="165" t="s">
        <v>148</v>
      </c>
      <c r="V1497" s="165" t="s">
        <v>16</v>
      </c>
      <c r="W1497" s="165" t="s">
        <v>16</v>
      </c>
      <c r="X1497" s="165" t="s">
        <v>16</v>
      </c>
      <c r="Y1497" s="165" t="s">
        <v>16</v>
      </c>
      <c r="Z1497" s="165" t="s">
        <v>16</v>
      </c>
      <c r="AA1497" s="165" t="s">
        <v>16</v>
      </c>
      <c r="AB1497" s="165" t="s">
        <v>148</v>
      </c>
      <c r="AC1497" s="165" t="s">
        <v>16</v>
      </c>
      <c r="AD1497" s="165" t="s">
        <v>16</v>
      </c>
      <c r="AE1497" s="165" t="s">
        <v>2304</v>
      </c>
      <c r="AF1497" s="165"/>
    </row>
    <row r="1498" spans="1:32" x14ac:dyDescent="0.3">
      <c r="A1498" s="165" t="s">
        <v>2305</v>
      </c>
      <c r="B1498" s="165" t="s">
        <v>14</v>
      </c>
      <c r="C1498" s="165" t="s">
        <v>2274</v>
      </c>
      <c r="D1498" s="165" t="s">
        <v>15</v>
      </c>
      <c r="E1498" s="157">
        <v>41819</v>
      </c>
      <c r="F1498" s="165" t="s">
        <v>149</v>
      </c>
      <c r="G1498" s="165" t="s">
        <v>149</v>
      </c>
      <c r="H1498" s="165" t="s">
        <v>149</v>
      </c>
      <c r="I1498" s="165" t="s">
        <v>148</v>
      </c>
      <c r="J1498" s="165" t="s">
        <v>149</v>
      </c>
      <c r="K1498" s="165" t="s">
        <v>149</v>
      </c>
      <c r="L1498" s="165" t="s">
        <v>149</v>
      </c>
      <c r="M1498" s="165" t="s">
        <v>149</v>
      </c>
      <c r="N1498" s="165" t="s">
        <v>148</v>
      </c>
      <c r="O1498" s="165" t="s">
        <v>149</v>
      </c>
      <c r="P1498" s="165" t="s">
        <v>148</v>
      </c>
      <c r="Q1498" s="165" t="s">
        <v>148</v>
      </c>
      <c r="R1498" s="165" t="s">
        <v>149</v>
      </c>
      <c r="S1498" s="165" t="s">
        <v>148</v>
      </c>
      <c r="T1498" s="165" t="s">
        <v>114</v>
      </c>
      <c r="U1498" s="165" t="s">
        <v>149</v>
      </c>
      <c r="V1498" s="165" t="s">
        <v>149</v>
      </c>
      <c r="W1498" s="165" t="s">
        <v>149</v>
      </c>
      <c r="X1498" s="165" t="s">
        <v>149</v>
      </c>
      <c r="Y1498" s="165" t="s">
        <v>149</v>
      </c>
      <c r="Z1498" s="165" t="s">
        <v>149</v>
      </c>
      <c r="AA1498" s="165" t="s">
        <v>149</v>
      </c>
      <c r="AB1498" s="165" t="s">
        <v>148</v>
      </c>
      <c r="AC1498" s="165" t="s">
        <v>149</v>
      </c>
      <c r="AD1498" s="165" t="s">
        <v>151</v>
      </c>
      <c r="AE1498" s="165" t="s">
        <v>2306</v>
      </c>
      <c r="AF1498" s="165"/>
    </row>
    <row r="1499" spans="1:32" x14ac:dyDescent="0.3">
      <c r="A1499" s="165" t="s">
        <v>2307</v>
      </c>
      <c r="B1499" s="165" t="s">
        <v>14</v>
      </c>
      <c r="C1499" s="165" t="s">
        <v>2274</v>
      </c>
      <c r="D1499" s="165" t="s">
        <v>15</v>
      </c>
      <c r="E1499" s="157">
        <v>41819</v>
      </c>
      <c r="F1499" s="165" t="s">
        <v>16</v>
      </c>
      <c r="G1499" s="165" t="s">
        <v>16</v>
      </c>
      <c r="H1499" s="165" t="s">
        <v>16</v>
      </c>
      <c r="I1499" s="165" t="s">
        <v>16</v>
      </c>
      <c r="J1499" s="165" t="s">
        <v>16</v>
      </c>
      <c r="K1499" s="165" t="s">
        <v>16</v>
      </c>
      <c r="L1499" s="165" t="s">
        <v>16</v>
      </c>
      <c r="M1499" s="165" t="s">
        <v>16</v>
      </c>
      <c r="N1499" s="165" t="s">
        <v>16</v>
      </c>
      <c r="O1499" s="165" t="s">
        <v>16</v>
      </c>
      <c r="P1499" s="165" t="s">
        <v>16</v>
      </c>
      <c r="Q1499" s="165" t="s">
        <v>16</v>
      </c>
      <c r="R1499" s="165" t="s">
        <v>16</v>
      </c>
      <c r="S1499" s="165" t="s">
        <v>16</v>
      </c>
      <c r="T1499" s="165" t="s">
        <v>16</v>
      </c>
      <c r="U1499" s="165" t="s">
        <v>16</v>
      </c>
      <c r="V1499" s="165" t="s">
        <v>16</v>
      </c>
      <c r="W1499" s="165" t="s">
        <v>16</v>
      </c>
      <c r="X1499" s="165" t="s">
        <v>16</v>
      </c>
      <c r="Y1499" s="165" t="s">
        <v>16</v>
      </c>
      <c r="Z1499" s="165" t="s">
        <v>16</v>
      </c>
      <c r="AA1499" s="165" t="s">
        <v>16</v>
      </c>
      <c r="AB1499" s="165" t="s">
        <v>16</v>
      </c>
      <c r="AC1499" s="165" t="s">
        <v>16</v>
      </c>
      <c r="AD1499" s="165" t="s">
        <v>16</v>
      </c>
      <c r="AE1499" s="165" t="s">
        <v>2308</v>
      </c>
      <c r="AF1499" s="165"/>
    </row>
    <row r="1500" spans="1:32" x14ac:dyDescent="0.3">
      <c r="A1500" s="165" t="s">
        <v>2309</v>
      </c>
      <c r="B1500" s="165" t="s">
        <v>14</v>
      </c>
      <c r="C1500" s="165" t="s">
        <v>2274</v>
      </c>
      <c r="D1500" s="165" t="s">
        <v>15</v>
      </c>
      <c r="E1500" s="157">
        <v>41819</v>
      </c>
      <c r="F1500" s="165" t="s">
        <v>16</v>
      </c>
      <c r="G1500" s="165" t="s">
        <v>16</v>
      </c>
      <c r="H1500" s="165" t="s">
        <v>16</v>
      </c>
      <c r="I1500" s="165" t="s">
        <v>16</v>
      </c>
      <c r="J1500" s="165" t="s">
        <v>16</v>
      </c>
      <c r="K1500" s="165" t="s">
        <v>16</v>
      </c>
      <c r="L1500" s="165" t="s">
        <v>16</v>
      </c>
      <c r="M1500" s="165" t="s">
        <v>16</v>
      </c>
      <c r="N1500" s="165" t="s">
        <v>16</v>
      </c>
      <c r="O1500" s="165" t="s">
        <v>16</v>
      </c>
      <c r="P1500" s="165" t="s">
        <v>16</v>
      </c>
      <c r="Q1500" s="165" t="s">
        <v>16</v>
      </c>
      <c r="R1500" s="165" t="s">
        <v>16</v>
      </c>
      <c r="S1500" s="165" t="s">
        <v>16</v>
      </c>
      <c r="T1500" s="165" t="s">
        <v>16</v>
      </c>
      <c r="U1500" s="165" t="s">
        <v>16</v>
      </c>
      <c r="V1500" s="165" t="s">
        <v>16</v>
      </c>
      <c r="W1500" s="165" t="s">
        <v>16</v>
      </c>
      <c r="X1500" s="165" t="s">
        <v>16</v>
      </c>
      <c r="Y1500" s="165" t="s">
        <v>16</v>
      </c>
      <c r="Z1500" s="165" t="s">
        <v>16</v>
      </c>
      <c r="AA1500" s="165" t="s">
        <v>16</v>
      </c>
      <c r="AB1500" s="165" t="s">
        <v>16</v>
      </c>
      <c r="AC1500" s="165" t="s">
        <v>16</v>
      </c>
      <c r="AD1500" s="165" t="s">
        <v>16</v>
      </c>
      <c r="AE1500" s="165"/>
      <c r="AF1500" s="165"/>
    </row>
    <row r="1501" spans="1:32" x14ac:dyDescent="0.3">
      <c r="A1501" s="165" t="s">
        <v>2310</v>
      </c>
      <c r="B1501" s="165" t="s">
        <v>14</v>
      </c>
      <c r="C1501" s="165" t="s">
        <v>2274</v>
      </c>
      <c r="D1501" s="165" t="s">
        <v>15</v>
      </c>
      <c r="E1501" s="157">
        <v>41819</v>
      </c>
      <c r="F1501" s="165" t="s">
        <v>148</v>
      </c>
      <c r="G1501" s="165" t="s">
        <v>16</v>
      </c>
      <c r="H1501" s="165" t="s">
        <v>16</v>
      </c>
      <c r="I1501" s="165" t="s">
        <v>16</v>
      </c>
      <c r="J1501" s="165" t="s">
        <v>16</v>
      </c>
      <c r="K1501" s="165" t="s">
        <v>149</v>
      </c>
      <c r="L1501" s="165" t="s">
        <v>16</v>
      </c>
      <c r="M1501" s="165" t="s">
        <v>16</v>
      </c>
      <c r="N1501" s="165" t="s">
        <v>148</v>
      </c>
      <c r="O1501" s="165" t="s">
        <v>148</v>
      </c>
      <c r="P1501" s="165" t="s">
        <v>16</v>
      </c>
      <c r="Q1501" s="165" t="s">
        <v>16</v>
      </c>
      <c r="R1501" s="165" t="s">
        <v>16</v>
      </c>
      <c r="S1501" s="165" t="s">
        <v>16</v>
      </c>
      <c r="T1501" s="165" t="s">
        <v>16</v>
      </c>
      <c r="U1501" s="165" t="s">
        <v>148</v>
      </c>
      <c r="V1501" s="165" t="s">
        <v>148</v>
      </c>
      <c r="W1501" s="165" t="s">
        <v>16</v>
      </c>
      <c r="X1501" s="165" t="s">
        <v>148</v>
      </c>
      <c r="Y1501" s="165" t="s">
        <v>16</v>
      </c>
      <c r="Z1501" s="165" t="s">
        <v>149</v>
      </c>
      <c r="AA1501" s="165" t="s">
        <v>148</v>
      </c>
      <c r="AB1501" s="165" t="s">
        <v>148</v>
      </c>
      <c r="AC1501" s="165" t="s">
        <v>148</v>
      </c>
      <c r="AD1501" s="165" t="s">
        <v>16</v>
      </c>
      <c r="AE1501" s="165" t="s">
        <v>2311</v>
      </c>
      <c r="AF1501" s="165"/>
    </row>
    <row r="1502" spans="1:32" x14ac:dyDescent="0.3">
      <c r="A1502" s="165" t="s">
        <v>2312</v>
      </c>
      <c r="B1502" s="165" t="s">
        <v>14</v>
      </c>
      <c r="C1502" s="165" t="s">
        <v>2274</v>
      </c>
      <c r="D1502" s="165" t="s">
        <v>15</v>
      </c>
      <c r="E1502" s="157">
        <v>41819</v>
      </c>
      <c r="F1502" s="165" t="s">
        <v>16</v>
      </c>
      <c r="G1502" s="165" t="s">
        <v>16</v>
      </c>
      <c r="H1502" s="165" t="s">
        <v>16</v>
      </c>
      <c r="I1502" s="165" t="s">
        <v>16</v>
      </c>
      <c r="J1502" s="165" t="s">
        <v>16</v>
      </c>
      <c r="K1502" s="165" t="s">
        <v>16</v>
      </c>
      <c r="L1502" s="165" t="s">
        <v>16</v>
      </c>
      <c r="M1502" s="165" t="s">
        <v>16</v>
      </c>
      <c r="N1502" s="165" t="s">
        <v>16</v>
      </c>
      <c r="O1502" s="165" t="s">
        <v>16</v>
      </c>
      <c r="P1502" s="165" t="s">
        <v>16</v>
      </c>
      <c r="Q1502" s="165" t="s">
        <v>16</v>
      </c>
      <c r="R1502" s="165" t="s">
        <v>16</v>
      </c>
      <c r="S1502" s="165" t="s">
        <v>16</v>
      </c>
      <c r="T1502" s="165" t="s">
        <v>16</v>
      </c>
      <c r="U1502" s="165" t="s">
        <v>16</v>
      </c>
      <c r="V1502" s="165" t="s">
        <v>16</v>
      </c>
      <c r="W1502" s="165" t="s">
        <v>16</v>
      </c>
      <c r="X1502" s="165" t="s">
        <v>16</v>
      </c>
      <c r="Y1502" s="165" t="s">
        <v>16</v>
      </c>
      <c r="Z1502" s="165" t="s">
        <v>16</v>
      </c>
      <c r="AA1502" s="165" t="s">
        <v>16</v>
      </c>
      <c r="AB1502" s="165" t="s">
        <v>16</v>
      </c>
      <c r="AC1502" s="165" t="s">
        <v>16</v>
      </c>
      <c r="AD1502" s="165" t="s">
        <v>16</v>
      </c>
      <c r="AE1502" s="165" t="s">
        <v>2313</v>
      </c>
      <c r="AF1502" s="165"/>
    </row>
    <row r="1503" spans="1:32" x14ac:dyDescent="0.3">
      <c r="A1503" s="165" t="s">
        <v>2314</v>
      </c>
      <c r="B1503" s="165" t="s">
        <v>14</v>
      </c>
      <c r="C1503" s="165" t="s">
        <v>2274</v>
      </c>
      <c r="D1503" s="165" t="s">
        <v>15</v>
      </c>
      <c r="E1503" s="157">
        <v>41819</v>
      </c>
      <c r="F1503" s="165" t="s">
        <v>16</v>
      </c>
      <c r="G1503" s="165" t="s">
        <v>16</v>
      </c>
      <c r="H1503" s="165" t="s">
        <v>16</v>
      </c>
      <c r="I1503" s="165" t="s">
        <v>16</v>
      </c>
      <c r="J1503" s="165" t="s">
        <v>16</v>
      </c>
      <c r="K1503" s="165" t="s">
        <v>16</v>
      </c>
      <c r="L1503" s="165" t="s">
        <v>16</v>
      </c>
      <c r="M1503" s="165" t="s">
        <v>16</v>
      </c>
      <c r="N1503" s="165" t="s">
        <v>16</v>
      </c>
      <c r="O1503" s="165" t="s">
        <v>16</v>
      </c>
      <c r="P1503" s="165" t="s">
        <v>16</v>
      </c>
      <c r="Q1503" s="165" t="s">
        <v>16</v>
      </c>
      <c r="R1503" s="165" t="s">
        <v>16</v>
      </c>
      <c r="S1503" s="165" t="s">
        <v>16</v>
      </c>
      <c r="T1503" s="165" t="s">
        <v>16</v>
      </c>
      <c r="U1503" s="165" t="s">
        <v>16</v>
      </c>
      <c r="V1503" s="165" t="s">
        <v>16</v>
      </c>
      <c r="W1503" s="165" t="s">
        <v>16</v>
      </c>
      <c r="X1503" s="165" t="s">
        <v>148</v>
      </c>
      <c r="Y1503" s="165" t="s">
        <v>16</v>
      </c>
      <c r="Z1503" s="165" t="s">
        <v>16</v>
      </c>
      <c r="AA1503" s="165" t="s">
        <v>16</v>
      </c>
      <c r="AB1503" s="165" t="s">
        <v>16</v>
      </c>
      <c r="AC1503" s="165" t="s">
        <v>16</v>
      </c>
      <c r="AD1503" s="165" t="s">
        <v>16</v>
      </c>
      <c r="AE1503" s="165" t="s">
        <v>2294</v>
      </c>
      <c r="AF1503" s="165" t="s">
        <v>2315</v>
      </c>
    </row>
    <row r="1504" spans="1:32" x14ac:dyDescent="0.3">
      <c r="A1504" s="165" t="s">
        <v>2316</v>
      </c>
      <c r="B1504" s="165" t="s">
        <v>14</v>
      </c>
      <c r="C1504" s="165" t="s">
        <v>2274</v>
      </c>
      <c r="D1504" s="165" t="s">
        <v>15</v>
      </c>
      <c r="E1504" s="157">
        <v>41819</v>
      </c>
      <c r="F1504" s="165" t="s">
        <v>16</v>
      </c>
      <c r="G1504" s="165" t="s">
        <v>16</v>
      </c>
      <c r="H1504" s="165" t="s">
        <v>16</v>
      </c>
      <c r="I1504" s="165" t="s">
        <v>16</v>
      </c>
      <c r="J1504" s="165" t="s">
        <v>16</v>
      </c>
      <c r="K1504" s="165" t="s">
        <v>16</v>
      </c>
      <c r="L1504" s="165" t="s">
        <v>16</v>
      </c>
      <c r="M1504" s="165" t="s">
        <v>16</v>
      </c>
      <c r="N1504" s="165" t="s">
        <v>16</v>
      </c>
      <c r="O1504" s="165" t="s">
        <v>16</v>
      </c>
      <c r="P1504" s="165" t="s">
        <v>16</v>
      </c>
      <c r="Q1504" s="165" t="s">
        <v>16</v>
      </c>
      <c r="R1504" s="165" t="s">
        <v>16</v>
      </c>
      <c r="S1504" s="165" t="s">
        <v>16</v>
      </c>
      <c r="T1504" s="165" t="s">
        <v>16</v>
      </c>
      <c r="U1504" s="165" t="s">
        <v>16</v>
      </c>
      <c r="V1504" s="165" t="s">
        <v>16</v>
      </c>
      <c r="W1504" s="165" t="s">
        <v>16</v>
      </c>
      <c r="X1504" s="165" t="s">
        <v>16</v>
      </c>
      <c r="Y1504" s="165" t="s">
        <v>16</v>
      </c>
      <c r="Z1504" s="165" t="s">
        <v>16</v>
      </c>
      <c r="AA1504" s="165" t="s">
        <v>16</v>
      </c>
      <c r="AB1504" s="165" t="s">
        <v>16</v>
      </c>
      <c r="AC1504" s="165" t="s">
        <v>16</v>
      </c>
      <c r="AD1504" s="165" t="s">
        <v>16</v>
      </c>
      <c r="AE1504" s="165" t="s">
        <v>2317</v>
      </c>
      <c r="AF1504" s="165"/>
    </row>
    <row r="1505" spans="1:32" x14ac:dyDescent="0.3">
      <c r="A1505" s="165" t="s">
        <v>2318</v>
      </c>
      <c r="B1505" s="165" t="s">
        <v>14</v>
      </c>
      <c r="C1505" s="165" t="s">
        <v>2274</v>
      </c>
      <c r="D1505" s="165" t="s">
        <v>15</v>
      </c>
      <c r="E1505" s="157">
        <v>41819</v>
      </c>
      <c r="F1505" s="165" t="s">
        <v>16</v>
      </c>
      <c r="G1505" s="165" t="s">
        <v>16</v>
      </c>
      <c r="H1505" s="165" t="s">
        <v>16</v>
      </c>
      <c r="I1505" s="165" t="s">
        <v>16</v>
      </c>
      <c r="J1505" s="165" t="s">
        <v>16</v>
      </c>
      <c r="K1505" s="165" t="s">
        <v>16</v>
      </c>
      <c r="L1505" s="165" t="s">
        <v>16</v>
      </c>
      <c r="M1505" s="165" t="s">
        <v>16</v>
      </c>
      <c r="N1505" s="165" t="s">
        <v>16</v>
      </c>
      <c r="O1505" s="165" t="s">
        <v>16</v>
      </c>
      <c r="P1505" s="165" t="s">
        <v>16</v>
      </c>
      <c r="Q1505" s="165" t="s">
        <v>16</v>
      </c>
      <c r="R1505" s="165" t="s">
        <v>16</v>
      </c>
      <c r="S1505" s="165" t="s">
        <v>16</v>
      </c>
      <c r="T1505" s="165" t="s">
        <v>16</v>
      </c>
      <c r="U1505" s="165" t="s">
        <v>16</v>
      </c>
      <c r="V1505" s="165" t="s">
        <v>16</v>
      </c>
      <c r="W1505" s="165" t="s">
        <v>16</v>
      </c>
      <c r="X1505" s="165" t="s">
        <v>16</v>
      </c>
      <c r="Y1505" s="165" t="s">
        <v>16</v>
      </c>
      <c r="Z1505" s="165" t="s">
        <v>16</v>
      </c>
      <c r="AA1505" s="165" t="s">
        <v>16</v>
      </c>
      <c r="AB1505" s="165" t="s">
        <v>16</v>
      </c>
      <c r="AC1505" s="165" t="s">
        <v>16</v>
      </c>
      <c r="AD1505" s="165" t="s">
        <v>16</v>
      </c>
      <c r="AE1505" s="165" t="s">
        <v>2294</v>
      </c>
      <c r="AF1505" s="165"/>
    </row>
    <row r="1506" spans="1:32" x14ac:dyDescent="0.3">
      <c r="A1506" s="165" t="s">
        <v>2319</v>
      </c>
      <c r="B1506" s="165" t="s">
        <v>14</v>
      </c>
      <c r="C1506" s="165" t="s">
        <v>2274</v>
      </c>
      <c r="D1506" s="165" t="s">
        <v>15</v>
      </c>
      <c r="E1506" s="157">
        <v>41819</v>
      </c>
      <c r="F1506" s="165" t="s">
        <v>16</v>
      </c>
      <c r="G1506" s="165" t="s">
        <v>16</v>
      </c>
      <c r="H1506" s="165" t="s">
        <v>16</v>
      </c>
      <c r="I1506" s="165" t="s">
        <v>16</v>
      </c>
      <c r="J1506" s="165" t="s">
        <v>16</v>
      </c>
      <c r="K1506" s="165" t="s">
        <v>16</v>
      </c>
      <c r="L1506" s="165" t="s">
        <v>16</v>
      </c>
      <c r="M1506" s="165" t="s">
        <v>16</v>
      </c>
      <c r="N1506" s="165" t="s">
        <v>16</v>
      </c>
      <c r="O1506" s="165" t="s">
        <v>16</v>
      </c>
      <c r="P1506" s="165" t="s">
        <v>16</v>
      </c>
      <c r="Q1506" s="165" t="s">
        <v>16</v>
      </c>
      <c r="R1506" s="165" t="s">
        <v>16</v>
      </c>
      <c r="S1506" s="165" t="s">
        <v>16</v>
      </c>
      <c r="T1506" s="165" t="s">
        <v>16</v>
      </c>
      <c r="U1506" s="165" t="s">
        <v>16</v>
      </c>
      <c r="V1506" s="165" t="s">
        <v>16</v>
      </c>
      <c r="W1506" s="165" t="s">
        <v>16</v>
      </c>
      <c r="X1506" s="165" t="s">
        <v>16</v>
      </c>
      <c r="Y1506" s="165" t="s">
        <v>16</v>
      </c>
      <c r="Z1506" s="165" t="s">
        <v>16</v>
      </c>
      <c r="AA1506" s="165" t="s">
        <v>16</v>
      </c>
      <c r="AB1506" s="165" t="s">
        <v>16</v>
      </c>
      <c r="AC1506" s="165" t="s">
        <v>16</v>
      </c>
      <c r="AD1506" s="165" t="s">
        <v>16</v>
      </c>
      <c r="AE1506" s="165" t="s">
        <v>2292</v>
      </c>
      <c r="AF1506" s="165"/>
    </row>
    <row r="1509" spans="1:32" x14ac:dyDescent="0.3">
      <c r="A1509" s="165"/>
      <c r="B1509" s="165"/>
      <c r="C1509" s="165"/>
      <c r="D1509" s="165"/>
      <c r="E1509" s="165"/>
      <c r="F1509" s="165" t="s">
        <v>124</v>
      </c>
      <c r="G1509" s="165" t="s">
        <v>125</v>
      </c>
      <c r="H1509" s="165" t="s">
        <v>126</v>
      </c>
      <c r="I1509" s="165" t="s">
        <v>127</v>
      </c>
      <c r="J1509" s="165" t="s">
        <v>214</v>
      </c>
      <c r="K1509" s="165" t="s">
        <v>128</v>
      </c>
      <c r="L1509" s="165" t="s">
        <v>129</v>
      </c>
      <c r="M1509" s="165" t="s">
        <v>130</v>
      </c>
      <c r="N1509" s="165" t="s">
        <v>131</v>
      </c>
      <c r="O1509" s="165" t="s">
        <v>132</v>
      </c>
      <c r="P1509" s="165" t="s">
        <v>133</v>
      </c>
      <c r="Q1509" s="165" t="s">
        <v>134</v>
      </c>
      <c r="R1509" s="165" t="s">
        <v>135</v>
      </c>
      <c r="S1509" s="165" t="s">
        <v>136</v>
      </c>
      <c r="T1509" s="165" t="s">
        <v>137</v>
      </c>
      <c r="U1509" s="165" t="s">
        <v>138</v>
      </c>
      <c r="V1509" s="165" t="s">
        <v>139</v>
      </c>
      <c r="W1509" s="165" t="s">
        <v>140</v>
      </c>
      <c r="X1509" s="165" t="s">
        <v>186</v>
      </c>
      <c r="Y1509" s="165" t="s">
        <v>209</v>
      </c>
      <c r="Z1509" s="165" t="s">
        <v>141</v>
      </c>
      <c r="AA1509" s="165" t="s">
        <v>142</v>
      </c>
      <c r="AB1509" s="165" t="s">
        <v>210</v>
      </c>
      <c r="AC1509" s="165" t="s">
        <v>1180</v>
      </c>
      <c r="AD1509" s="165" t="s">
        <v>144</v>
      </c>
      <c r="AE1509" s="165" t="s">
        <v>2320</v>
      </c>
      <c r="AF1509" s="165" t="s">
        <v>190</v>
      </c>
    </row>
    <row r="1510" spans="1:32" x14ac:dyDescent="0.3">
      <c r="A1510" s="165" t="s">
        <v>2359</v>
      </c>
      <c r="B1510" s="165" t="s">
        <v>14</v>
      </c>
      <c r="C1510" s="165" t="s">
        <v>2322</v>
      </c>
      <c r="D1510" s="165" t="s">
        <v>15</v>
      </c>
      <c r="E1510" s="157">
        <v>41850</v>
      </c>
      <c r="F1510" s="165" t="s">
        <v>148</v>
      </c>
      <c r="G1510" s="165" t="s">
        <v>150</v>
      </c>
      <c r="H1510" s="165" t="s">
        <v>16</v>
      </c>
      <c r="I1510" s="165" t="s">
        <v>150</v>
      </c>
      <c r="J1510" s="165" t="s">
        <v>150</v>
      </c>
      <c r="K1510" s="165" t="s">
        <v>16</v>
      </c>
      <c r="L1510" s="165" t="s">
        <v>16</v>
      </c>
      <c r="M1510" s="165" t="s">
        <v>150</v>
      </c>
      <c r="N1510" s="165" t="s">
        <v>150</v>
      </c>
      <c r="O1510" s="165" t="s">
        <v>150</v>
      </c>
      <c r="P1510" s="165" t="s">
        <v>148</v>
      </c>
      <c r="Q1510" s="165" t="s">
        <v>148</v>
      </c>
      <c r="R1510" s="165" t="s">
        <v>16</v>
      </c>
      <c r="S1510" s="165" t="s">
        <v>148</v>
      </c>
      <c r="T1510" s="165" t="s">
        <v>148</v>
      </c>
      <c r="U1510" s="165" t="s">
        <v>148</v>
      </c>
      <c r="V1510" s="165" t="s">
        <v>148</v>
      </c>
      <c r="W1510" s="165" t="s">
        <v>148</v>
      </c>
      <c r="X1510" s="165" t="s">
        <v>148</v>
      </c>
      <c r="Y1510" s="165" t="s">
        <v>148</v>
      </c>
      <c r="Z1510" s="165" t="s">
        <v>148</v>
      </c>
      <c r="AA1510" s="165" t="s">
        <v>148</v>
      </c>
      <c r="AB1510" s="165" t="s">
        <v>16</v>
      </c>
      <c r="AC1510" s="165" t="s">
        <v>148</v>
      </c>
      <c r="AD1510" s="165" t="s">
        <v>148</v>
      </c>
      <c r="AE1510" s="165" t="s">
        <v>2360</v>
      </c>
      <c r="AF1510" s="165"/>
    </row>
    <row r="1511" spans="1:32" x14ac:dyDescent="0.3">
      <c r="A1511" s="165" t="s">
        <v>2361</v>
      </c>
      <c r="B1511" s="165" t="s">
        <v>14</v>
      </c>
      <c r="C1511" s="165" t="s">
        <v>2322</v>
      </c>
      <c r="D1511" s="165" t="s">
        <v>15</v>
      </c>
      <c r="E1511" s="157">
        <v>41850</v>
      </c>
      <c r="F1511" s="165" t="s">
        <v>16</v>
      </c>
      <c r="G1511" s="165" t="s">
        <v>16</v>
      </c>
      <c r="H1511" s="165" t="s">
        <v>16</v>
      </c>
      <c r="I1511" s="165" t="s">
        <v>148</v>
      </c>
      <c r="J1511" s="165" t="s">
        <v>16</v>
      </c>
      <c r="K1511" s="165" t="s">
        <v>16</v>
      </c>
      <c r="L1511" s="165" t="s">
        <v>16</v>
      </c>
      <c r="M1511" s="165" t="s">
        <v>16</v>
      </c>
      <c r="N1511" s="165" t="s">
        <v>148</v>
      </c>
      <c r="O1511" s="165" t="s">
        <v>16</v>
      </c>
      <c r="P1511" s="165" t="s">
        <v>16</v>
      </c>
      <c r="Q1511" s="165" t="s">
        <v>16</v>
      </c>
      <c r="R1511" s="165" t="s">
        <v>16</v>
      </c>
      <c r="S1511" s="165" t="s">
        <v>16</v>
      </c>
      <c r="T1511" s="165" t="s">
        <v>16</v>
      </c>
      <c r="U1511" s="165" t="s">
        <v>16</v>
      </c>
      <c r="V1511" s="165" t="s">
        <v>16</v>
      </c>
      <c r="W1511" s="165" t="s">
        <v>16</v>
      </c>
      <c r="X1511" s="165" t="s">
        <v>16</v>
      </c>
      <c r="Y1511" s="165" t="s">
        <v>16</v>
      </c>
      <c r="Z1511" s="165" t="s">
        <v>16</v>
      </c>
      <c r="AA1511" s="165" t="s">
        <v>16</v>
      </c>
      <c r="AB1511" s="165" t="s">
        <v>148</v>
      </c>
      <c r="AC1511" s="165" t="s">
        <v>16</v>
      </c>
      <c r="AD1511" s="165" t="s">
        <v>16</v>
      </c>
      <c r="AE1511" s="165" t="s">
        <v>2362</v>
      </c>
      <c r="AF1511" s="165"/>
    </row>
    <row r="1512" spans="1:32" x14ac:dyDescent="0.3">
      <c r="A1512" s="165" t="s">
        <v>2321</v>
      </c>
      <c r="B1512" s="165" t="s">
        <v>14</v>
      </c>
      <c r="C1512" s="165" t="s">
        <v>2322</v>
      </c>
      <c r="D1512" s="165" t="s">
        <v>15</v>
      </c>
      <c r="E1512" s="157">
        <v>41850</v>
      </c>
      <c r="F1512" s="165" t="s">
        <v>16</v>
      </c>
      <c r="G1512" s="165" t="s">
        <v>16</v>
      </c>
      <c r="H1512" s="165" t="s">
        <v>16</v>
      </c>
      <c r="I1512" s="165" t="s">
        <v>16</v>
      </c>
      <c r="J1512" s="165" t="s">
        <v>16</v>
      </c>
      <c r="K1512" s="165" t="s">
        <v>16</v>
      </c>
      <c r="L1512" s="165" t="s">
        <v>16</v>
      </c>
      <c r="M1512" s="165" t="s">
        <v>16</v>
      </c>
      <c r="N1512" s="165" t="s">
        <v>16</v>
      </c>
      <c r="O1512" s="165" t="s">
        <v>16</v>
      </c>
      <c r="P1512" s="165" t="s">
        <v>16</v>
      </c>
      <c r="Q1512" s="165" t="s">
        <v>16</v>
      </c>
      <c r="R1512" s="165" t="s">
        <v>16</v>
      </c>
      <c r="S1512" s="165" t="s">
        <v>16</v>
      </c>
      <c r="T1512" s="165" t="s">
        <v>16</v>
      </c>
      <c r="U1512" s="165" t="s">
        <v>16</v>
      </c>
      <c r="V1512" s="165" t="s">
        <v>16</v>
      </c>
      <c r="W1512" s="165" t="s">
        <v>16</v>
      </c>
      <c r="X1512" s="165" t="s">
        <v>16</v>
      </c>
      <c r="Y1512" s="165" t="s">
        <v>16</v>
      </c>
      <c r="Z1512" s="165" t="s">
        <v>16</v>
      </c>
      <c r="AA1512" s="165" t="s">
        <v>16</v>
      </c>
      <c r="AB1512" s="165" t="s">
        <v>16</v>
      </c>
      <c r="AC1512" s="165" t="s">
        <v>16</v>
      </c>
      <c r="AD1512" s="165" t="s">
        <v>16</v>
      </c>
      <c r="AE1512" s="165" t="s">
        <v>2323</v>
      </c>
      <c r="AF1512" s="165"/>
    </row>
    <row r="1513" spans="1:32" x14ac:dyDescent="0.3">
      <c r="A1513" s="165" t="s">
        <v>2324</v>
      </c>
      <c r="B1513" s="165" t="s">
        <v>14</v>
      </c>
      <c r="C1513" s="165" t="s">
        <v>2322</v>
      </c>
      <c r="D1513" s="165" t="s">
        <v>15</v>
      </c>
      <c r="E1513" s="157">
        <v>41850</v>
      </c>
      <c r="F1513" s="165" t="s">
        <v>16</v>
      </c>
      <c r="G1513" s="165" t="s">
        <v>16</v>
      </c>
      <c r="H1513" s="165" t="s">
        <v>16</v>
      </c>
      <c r="I1513" s="165" t="s">
        <v>16</v>
      </c>
      <c r="J1513" s="165" t="s">
        <v>16</v>
      </c>
      <c r="K1513" s="165" t="s">
        <v>16</v>
      </c>
      <c r="L1513" s="165" t="s">
        <v>16</v>
      </c>
      <c r="M1513" s="165" t="s">
        <v>16</v>
      </c>
      <c r="N1513" s="165" t="s">
        <v>148</v>
      </c>
      <c r="O1513" s="165" t="s">
        <v>148</v>
      </c>
      <c r="P1513" s="165" t="s">
        <v>148</v>
      </c>
      <c r="Q1513" s="165" t="s">
        <v>16</v>
      </c>
      <c r="R1513" s="165" t="s">
        <v>148</v>
      </c>
      <c r="S1513" s="165" t="s">
        <v>16</v>
      </c>
      <c r="T1513" s="165" t="s">
        <v>148</v>
      </c>
      <c r="U1513" s="165" t="s">
        <v>16</v>
      </c>
      <c r="V1513" s="165" t="s">
        <v>148</v>
      </c>
      <c r="W1513" s="165" t="s">
        <v>148</v>
      </c>
      <c r="X1513" s="165" t="s">
        <v>148</v>
      </c>
      <c r="Y1513" s="165" t="s">
        <v>148</v>
      </c>
      <c r="Z1513" s="165" t="s">
        <v>16</v>
      </c>
      <c r="AA1513" s="165" t="s">
        <v>16</v>
      </c>
      <c r="AB1513" s="165" t="s">
        <v>16</v>
      </c>
      <c r="AC1513" s="165" t="s">
        <v>148</v>
      </c>
      <c r="AD1513" s="165" t="s">
        <v>148</v>
      </c>
      <c r="AE1513" s="165" t="s">
        <v>2325</v>
      </c>
      <c r="AF1513" s="165"/>
    </row>
    <row r="1514" spans="1:32" x14ac:dyDescent="0.3">
      <c r="A1514" s="165" t="s">
        <v>2326</v>
      </c>
      <c r="B1514" s="165" t="s">
        <v>14</v>
      </c>
      <c r="C1514" s="165" t="s">
        <v>2322</v>
      </c>
      <c r="D1514" s="165" t="s">
        <v>15</v>
      </c>
      <c r="E1514" s="157">
        <v>41850</v>
      </c>
      <c r="F1514" s="165" t="s">
        <v>149</v>
      </c>
      <c r="G1514" s="165" t="s">
        <v>149</v>
      </c>
      <c r="H1514" s="165" t="s">
        <v>149</v>
      </c>
      <c r="I1514" s="165" t="s">
        <v>149</v>
      </c>
      <c r="J1514" s="165" t="s">
        <v>149</v>
      </c>
      <c r="K1514" s="165" t="s">
        <v>151</v>
      </c>
      <c r="L1514" s="165" t="s">
        <v>151</v>
      </c>
      <c r="M1514" s="165" t="s">
        <v>151</v>
      </c>
      <c r="N1514" s="165" t="s">
        <v>16</v>
      </c>
      <c r="O1514" s="165" t="s">
        <v>149</v>
      </c>
      <c r="P1514" s="165" t="s">
        <v>148</v>
      </c>
      <c r="Q1514" s="165" t="s">
        <v>151</v>
      </c>
      <c r="R1514" s="165" t="s">
        <v>149</v>
      </c>
      <c r="S1514" s="165" t="s">
        <v>148</v>
      </c>
      <c r="T1514" s="165" t="s">
        <v>16</v>
      </c>
      <c r="U1514" s="165" t="s">
        <v>151</v>
      </c>
      <c r="V1514" s="165" t="s">
        <v>149</v>
      </c>
      <c r="W1514" s="165" t="s">
        <v>149</v>
      </c>
      <c r="X1514" s="165" t="s">
        <v>149</v>
      </c>
      <c r="Y1514" s="165" t="s">
        <v>149</v>
      </c>
      <c r="Z1514" s="165" t="s">
        <v>151</v>
      </c>
      <c r="AA1514" s="165" t="s">
        <v>151</v>
      </c>
      <c r="AB1514" s="165" t="s">
        <v>148</v>
      </c>
      <c r="AC1514" s="165" t="s">
        <v>150</v>
      </c>
      <c r="AD1514" s="165" t="s">
        <v>149</v>
      </c>
      <c r="AE1514" s="165" t="s">
        <v>2327</v>
      </c>
      <c r="AF1514" s="165"/>
    </row>
    <row r="1515" spans="1:32" x14ac:dyDescent="0.3">
      <c r="A1515" s="165" t="s">
        <v>2328</v>
      </c>
      <c r="B1515" s="165" t="s">
        <v>14</v>
      </c>
      <c r="C1515" s="165" t="s">
        <v>2322</v>
      </c>
      <c r="D1515" s="165" t="s">
        <v>15</v>
      </c>
      <c r="E1515" s="157">
        <v>41850</v>
      </c>
      <c r="F1515" s="165" t="s">
        <v>148</v>
      </c>
      <c r="G1515" s="165" t="s">
        <v>16</v>
      </c>
      <c r="H1515" s="165" t="s">
        <v>16</v>
      </c>
      <c r="I1515" s="165" t="s">
        <v>16</v>
      </c>
      <c r="J1515" s="165" t="s">
        <v>16</v>
      </c>
      <c r="K1515" s="165" t="s">
        <v>16</v>
      </c>
      <c r="L1515" s="165" t="s">
        <v>148</v>
      </c>
      <c r="M1515" s="165" t="s">
        <v>148</v>
      </c>
      <c r="N1515" s="165" t="s">
        <v>148</v>
      </c>
      <c r="O1515" s="165" t="s">
        <v>16</v>
      </c>
      <c r="P1515" s="165" t="s">
        <v>148</v>
      </c>
      <c r="Q1515" s="165" t="s">
        <v>16</v>
      </c>
      <c r="R1515" s="165" t="s">
        <v>148</v>
      </c>
      <c r="S1515" s="165" t="s">
        <v>16</v>
      </c>
      <c r="T1515" s="165" t="s">
        <v>148</v>
      </c>
      <c r="U1515" s="165" t="s">
        <v>148</v>
      </c>
      <c r="V1515" s="165" t="s">
        <v>148</v>
      </c>
      <c r="W1515" s="165" t="s">
        <v>16</v>
      </c>
      <c r="X1515" s="165" t="s">
        <v>16</v>
      </c>
      <c r="Y1515" s="165" t="s">
        <v>16</v>
      </c>
      <c r="Z1515" s="165" t="s">
        <v>148</v>
      </c>
      <c r="AA1515" s="165" t="s">
        <v>148</v>
      </c>
      <c r="AB1515" s="165" t="s">
        <v>16</v>
      </c>
      <c r="AC1515" s="165" t="s">
        <v>16</v>
      </c>
      <c r="AD1515" s="165" t="s">
        <v>16</v>
      </c>
      <c r="AE1515" s="165" t="s">
        <v>2329</v>
      </c>
      <c r="AF1515" s="165"/>
    </row>
    <row r="1516" spans="1:32" x14ac:dyDescent="0.3">
      <c r="A1516" s="165" t="s">
        <v>2330</v>
      </c>
      <c r="B1516" s="165" t="s">
        <v>14</v>
      </c>
      <c r="C1516" s="165" t="s">
        <v>2322</v>
      </c>
      <c r="D1516" s="165" t="s">
        <v>15</v>
      </c>
      <c r="E1516" s="157">
        <v>41850</v>
      </c>
      <c r="F1516" s="165" t="s">
        <v>149</v>
      </c>
      <c r="G1516" s="165" t="s">
        <v>16</v>
      </c>
      <c r="H1516" s="165" t="s">
        <v>148</v>
      </c>
      <c r="I1516" s="165" t="s">
        <v>150</v>
      </c>
      <c r="J1516" s="165" t="s">
        <v>148</v>
      </c>
      <c r="K1516" s="165" t="s">
        <v>16</v>
      </c>
      <c r="L1516" s="165" t="s">
        <v>150</v>
      </c>
      <c r="M1516" s="165" t="s">
        <v>148</v>
      </c>
      <c r="N1516" s="165" t="s">
        <v>148</v>
      </c>
      <c r="O1516" s="165" t="s">
        <v>151</v>
      </c>
      <c r="P1516" s="165" t="s">
        <v>150</v>
      </c>
      <c r="Q1516" s="165" t="s">
        <v>16</v>
      </c>
      <c r="R1516" s="165" t="s">
        <v>149</v>
      </c>
      <c r="S1516" s="165" t="s">
        <v>148</v>
      </c>
      <c r="T1516" s="165" t="s">
        <v>148</v>
      </c>
      <c r="U1516" s="165" t="s">
        <v>150</v>
      </c>
      <c r="V1516" s="165" t="s">
        <v>16</v>
      </c>
      <c r="W1516" s="165" t="s">
        <v>16</v>
      </c>
      <c r="X1516" s="165" t="s">
        <v>149</v>
      </c>
      <c r="Y1516" s="165" t="s">
        <v>148</v>
      </c>
      <c r="Z1516" s="165" t="s">
        <v>16</v>
      </c>
      <c r="AA1516" s="165" t="s">
        <v>150</v>
      </c>
      <c r="AB1516" s="165" t="s">
        <v>16</v>
      </c>
      <c r="AC1516" s="165" t="s">
        <v>148</v>
      </c>
      <c r="AD1516" s="165" t="s">
        <v>148</v>
      </c>
      <c r="AE1516" s="165" t="s">
        <v>2331</v>
      </c>
      <c r="AF1516" s="165" t="s">
        <v>2332</v>
      </c>
    </row>
    <row r="1517" spans="1:32" x14ac:dyDescent="0.3">
      <c r="A1517" s="165" t="s">
        <v>2333</v>
      </c>
      <c r="B1517" s="165" t="s">
        <v>14</v>
      </c>
      <c r="C1517" s="165" t="s">
        <v>2322</v>
      </c>
      <c r="D1517" s="165" t="s">
        <v>15</v>
      </c>
      <c r="E1517" s="157">
        <v>41850</v>
      </c>
      <c r="F1517" s="165" t="s">
        <v>148</v>
      </c>
      <c r="G1517" s="165" t="s">
        <v>150</v>
      </c>
      <c r="H1517" s="165" t="s">
        <v>148</v>
      </c>
      <c r="I1517" s="165" t="s">
        <v>148</v>
      </c>
      <c r="J1517" s="165" t="s">
        <v>148</v>
      </c>
      <c r="K1517" s="165" t="s">
        <v>148</v>
      </c>
      <c r="L1517" s="165" t="s">
        <v>16</v>
      </c>
      <c r="M1517" s="165" t="s">
        <v>148</v>
      </c>
      <c r="N1517" s="165" t="s">
        <v>148</v>
      </c>
      <c r="O1517" s="165" t="s">
        <v>148</v>
      </c>
      <c r="P1517" s="165" t="s">
        <v>148</v>
      </c>
      <c r="Q1517" s="165" t="s">
        <v>148</v>
      </c>
      <c r="R1517" s="165" t="s">
        <v>150</v>
      </c>
      <c r="S1517" s="165" t="s">
        <v>16</v>
      </c>
      <c r="T1517" s="165" t="s">
        <v>16</v>
      </c>
      <c r="U1517" s="165" t="s">
        <v>16</v>
      </c>
      <c r="V1517" s="165" t="s">
        <v>148</v>
      </c>
      <c r="W1517" s="165" t="s">
        <v>148</v>
      </c>
      <c r="X1517" s="165" t="s">
        <v>16</v>
      </c>
      <c r="Y1517" s="165" t="s">
        <v>16</v>
      </c>
      <c r="Z1517" s="165" t="s">
        <v>148</v>
      </c>
      <c r="AA1517" s="165" t="s">
        <v>148</v>
      </c>
      <c r="AB1517" s="165" t="s">
        <v>16</v>
      </c>
      <c r="AC1517" s="165" t="s">
        <v>150</v>
      </c>
      <c r="AD1517" s="165" t="s">
        <v>16</v>
      </c>
      <c r="AE1517" s="165" t="s">
        <v>2323</v>
      </c>
      <c r="AF1517" s="165"/>
    </row>
    <row r="1518" spans="1:32" x14ac:dyDescent="0.3">
      <c r="A1518" s="165" t="s">
        <v>2334</v>
      </c>
      <c r="B1518" s="165" t="s">
        <v>14</v>
      </c>
      <c r="C1518" s="165" t="s">
        <v>2322</v>
      </c>
      <c r="D1518" s="165" t="s">
        <v>15</v>
      </c>
      <c r="E1518" s="157">
        <v>41850</v>
      </c>
      <c r="F1518" s="165" t="s">
        <v>149</v>
      </c>
      <c r="G1518" s="165" t="s">
        <v>16</v>
      </c>
      <c r="H1518" s="165" t="s">
        <v>149</v>
      </c>
      <c r="I1518" s="165" t="s">
        <v>16</v>
      </c>
      <c r="J1518" s="165" t="s">
        <v>16</v>
      </c>
      <c r="K1518" s="165" t="s">
        <v>149</v>
      </c>
      <c r="L1518" s="165" t="s">
        <v>149</v>
      </c>
      <c r="M1518" s="165" t="s">
        <v>16</v>
      </c>
      <c r="N1518" s="165" t="s">
        <v>16</v>
      </c>
      <c r="O1518" s="165" t="s">
        <v>16</v>
      </c>
      <c r="P1518" s="165" t="s">
        <v>16</v>
      </c>
      <c r="Q1518" s="165" t="s">
        <v>16</v>
      </c>
      <c r="R1518" s="165" t="s">
        <v>149</v>
      </c>
      <c r="S1518" s="165" t="s">
        <v>149</v>
      </c>
      <c r="T1518" s="165" t="s">
        <v>149</v>
      </c>
      <c r="U1518" s="165" t="s">
        <v>149</v>
      </c>
      <c r="V1518" s="165" t="s">
        <v>16</v>
      </c>
      <c r="W1518" s="165" t="s">
        <v>16</v>
      </c>
      <c r="X1518" s="165" t="s">
        <v>148</v>
      </c>
      <c r="Y1518" s="165" t="s">
        <v>114</v>
      </c>
      <c r="Z1518" s="165" t="s">
        <v>149</v>
      </c>
      <c r="AA1518" s="165" t="s">
        <v>16</v>
      </c>
      <c r="AB1518" s="165" t="s">
        <v>16</v>
      </c>
      <c r="AC1518" s="165" t="s">
        <v>149</v>
      </c>
      <c r="AD1518" s="165" t="s">
        <v>16</v>
      </c>
      <c r="AE1518" s="165" t="s">
        <v>2335</v>
      </c>
      <c r="AF1518" s="165" t="s">
        <v>2336</v>
      </c>
    </row>
    <row r="1519" spans="1:32" x14ac:dyDescent="0.3">
      <c r="A1519" s="165" t="s">
        <v>2337</v>
      </c>
      <c r="B1519" s="165" t="s">
        <v>14</v>
      </c>
      <c r="C1519" s="165" t="s">
        <v>2322</v>
      </c>
      <c r="D1519" s="165" t="s">
        <v>15</v>
      </c>
      <c r="E1519" s="157">
        <v>41850</v>
      </c>
      <c r="F1519" s="165" t="s">
        <v>16</v>
      </c>
      <c r="G1519" s="165" t="s">
        <v>16</v>
      </c>
      <c r="H1519" s="165" t="s">
        <v>16</v>
      </c>
      <c r="I1519" s="165" t="s">
        <v>16</v>
      </c>
      <c r="J1519" s="165" t="s">
        <v>16</v>
      </c>
      <c r="K1519" s="165" t="s">
        <v>16</v>
      </c>
      <c r="L1519" s="165" t="s">
        <v>16</v>
      </c>
      <c r="M1519" s="165" t="s">
        <v>16</v>
      </c>
      <c r="N1519" s="165" t="s">
        <v>16</v>
      </c>
      <c r="O1519" s="165" t="s">
        <v>16</v>
      </c>
      <c r="P1519" s="165" t="s">
        <v>16</v>
      </c>
      <c r="Q1519" s="165" t="s">
        <v>16</v>
      </c>
      <c r="R1519" s="165" t="s">
        <v>16</v>
      </c>
      <c r="S1519" s="165" t="s">
        <v>16</v>
      </c>
      <c r="T1519" s="165" t="s">
        <v>16</v>
      </c>
      <c r="U1519" s="165" t="s">
        <v>16</v>
      </c>
      <c r="V1519" s="165" t="s">
        <v>16</v>
      </c>
      <c r="W1519" s="165" t="s">
        <v>16</v>
      </c>
      <c r="X1519" s="165" t="s">
        <v>16</v>
      </c>
      <c r="Y1519" s="165" t="s">
        <v>16</v>
      </c>
      <c r="Z1519" s="165" t="s">
        <v>16</v>
      </c>
      <c r="AA1519" s="165" t="s">
        <v>16</v>
      </c>
      <c r="AB1519" s="165" t="s">
        <v>16</v>
      </c>
      <c r="AC1519" s="165" t="s">
        <v>16</v>
      </c>
      <c r="AD1519" s="165" t="s">
        <v>16</v>
      </c>
      <c r="AE1519" s="165" t="s">
        <v>2338</v>
      </c>
      <c r="AF1519" s="165"/>
    </row>
    <row r="1520" spans="1:32" x14ac:dyDescent="0.3">
      <c r="A1520" s="165" t="s">
        <v>2339</v>
      </c>
      <c r="B1520" s="165" t="s">
        <v>14</v>
      </c>
      <c r="C1520" s="165" t="s">
        <v>2322</v>
      </c>
      <c r="D1520" s="165" t="s">
        <v>15</v>
      </c>
      <c r="E1520" s="157">
        <v>41850</v>
      </c>
      <c r="F1520" s="165" t="s">
        <v>16</v>
      </c>
      <c r="G1520" s="165" t="s">
        <v>16</v>
      </c>
      <c r="H1520" s="165" t="s">
        <v>16</v>
      </c>
      <c r="I1520" s="165" t="s">
        <v>148</v>
      </c>
      <c r="J1520" s="165" t="s">
        <v>148</v>
      </c>
      <c r="K1520" s="165" t="s">
        <v>16</v>
      </c>
      <c r="L1520" s="165" t="s">
        <v>16</v>
      </c>
      <c r="M1520" s="165" t="s">
        <v>16</v>
      </c>
      <c r="N1520" s="165" t="s">
        <v>148</v>
      </c>
      <c r="O1520" s="165" t="s">
        <v>16</v>
      </c>
      <c r="P1520" s="165" t="s">
        <v>148</v>
      </c>
      <c r="Q1520" s="165" t="s">
        <v>16</v>
      </c>
      <c r="R1520" s="165" t="s">
        <v>16</v>
      </c>
      <c r="S1520" s="165" t="s">
        <v>148</v>
      </c>
      <c r="T1520" s="165" t="s">
        <v>16</v>
      </c>
      <c r="U1520" s="165" t="s">
        <v>148</v>
      </c>
      <c r="V1520" s="165" t="s">
        <v>16</v>
      </c>
      <c r="W1520" s="165" t="s">
        <v>16</v>
      </c>
      <c r="X1520" s="165" t="s">
        <v>16</v>
      </c>
      <c r="Y1520" s="165" t="s">
        <v>16</v>
      </c>
      <c r="Z1520" s="165" t="s">
        <v>148</v>
      </c>
      <c r="AA1520" s="165" t="s">
        <v>16</v>
      </c>
      <c r="AB1520" s="165" t="s">
        <v>149</v>
      </c>
      <c r="AC1520" s="165" t="s">
        <v>16</v>
      </c>
      <c r="AD1520" s="165" t="s">
        <v>148</v>
      </c>
      <c r="AE1520" s="165" t="s">
        <v>2338</v>
      </c>
      <c r="AF1520" s="165"/>
    </row>
    <row r="1521" spans="1:32" x14ac:dyDescent="0.3">
      <c r="A1521" s="165" t="s">
        <v>2340</v>
      </c>
      <c r="B1521" s="165" t="s">
        <v>14</v>
      </c>
      <c r="C1521" s="165" t="s">
        <v>2322</v>
      </c>
      <c r="D1521" s="165" t="s">
        <v>15</v>
      </c>
      <c r="E1521" s="157">
        <v>41850</v>
      </c>
      <c r="F1521" s="165" t="s">
        <v>148</v>
      </c>
      <c r="G1521" s="165" t="s">
        <v>16</v>
      </c>
      <c r="H1521" s="165" t="s">
        <v>16</v>
      </c>
      <c r="I1521" s="165" t="s">
        <v>148</v>
      </c>
      <c r="J1521" s="165" t="s">
        <v>148</v>
      </c>
      <c r="K1521" s="165" t="s">
        <v>16</v>
      </c>
      <c r="L1521" s="165" t="s">
        <v>16</v>
      </c>
      <c r="M1521" s="165" t="s">
        <v>148</v>
      </c>
      <c r="N1521" s="165" t="s">
        <v>148</v>
      </c>
      <c r="O1521" s="165" t="s">
        <v>148</v>
      </c>
      <c r="P1521" s="165" t="s">
        <v>148</v>
      </c>
      <c r="Q1521" s="165" t="s">
        <v>16</v>
      </c>
      <c r="R1521" s="165" t="s">
        <v>16</v>
      </c>
      <c r="S1521" s="165" t="s">
        <v>148</v>
      </c>
      <c r="T1521" s="165" t="s">
        <v>148</v>
      </c>
      <c r="U1521" s="165" t="s">
        <v>148</v>
      </c>
      <c r="V1521" s="165" t="s">
        <v>148</v>
      </c>
      <c r="W1521" s="165" t="s">
        <v>16</v>
      </c>
      <c r="X1521" s="165" t="s">
        <v>148</v>
      </c>
      <c r="Y1521" s="165" t="s">
        <v>16</v>
      </c>
      <c r="Z1521" s="165" t="s">
        <v>148</v>
      </c>
      <c r="AA1521" s="165" t="s">
        <v>148</v>
      </c>
      <c r="AB1521" s="165" t="s">
        <v>16</v>
      </c>
      <c r="AC1521" s="165" t="s">
        <v>148</v>
      </c>
      <c r="AD1521" s="165" t="s">
        <v>16</v>
      </c>
      <c r="AE1521" s="165" t="s">
        <v>2327</v>
      </c>
      <c r="AF1521" s="165"/>
    </row>
    <row r="1522" spans="1:32" x14ac:dyDescent="0.3">
      <c r="A1522" s="165" t="s">
        <v>2341</v>
      </c>
      <c r="B1522" s="165" t="s">
        <v>14</v>
      </c>
      <c r="C1522" s="165" t="s">
        <v>2322</v>
      </c>
      <c r="D1522" s="165" t="s">
        <v>15</v>
      </c>
      <c r="E1522" s="157">
        <v>41850</v>
      </c>
      <c r="F1522" s="165" t="s">
        <v>16</v>
      </c>
      <c r="G1522" s="165" t="s">
        <v>149</v>
      </c>
      <c r="H1522" s="165" t="s">
        <v>16</v>
      </c>
      <c r="I1522" s="165" t="s">
        <v>16</v>
      </c>
      <c r="J1522" s="165" t="s">
        <v>16</v>
      </c>
      <c r="K1522" s="165" t="s">
        <v>16</v>
      </c>
      <c r="L1522" s="165" t="s">
        <v>16</v>
      </c>
      <c r="M1522" s="165" t="s">
        <v>16</v>
      </c>
      <c r="N1522" s="165" t="s">
        <v>16</v>
      </c>
      <c r="O1522" s="165" t="s">
        <v>149</v>
      </c>
      <c r="P1522" s="165" t="s">
        <v>149</v>
      </c>
      <c r="Q1522" s="165" t="s">
        <v>16</v>
      </c>
      <c r="R1522" s="165" t="s">
        <v>16</v>
      </c>
      <c r="S1522" s="165" t="s">
        <v>16</v>
      </c>
      <c r="T1522" s="165" t="s">
        <v>16</v>
      </c>
      <c r="U1522" s="165" t="s">
        <v>149</v>
      </c>
      <c r="V1522" s="165" t="s">
        <v>149</v>
      </c>
      <c r="W1522" s="165" t="s">
        <v>16</v>
      </c>
      <c r="X1522" s="165" t="s">
        <v>16</v>
      </c>
      <c r="Y1522" s="165" t="s">
        <v>16</v>
      </c>
      <c r="Z1522" s="165" t="s">
        <v>16</v>
      </c>
      <c r="AA1522" s="165" t="s">
        <v>16</v>
      </c>
      <c r="AB1522" s="165" t="s">
        <v>148</v>
      </c>
      <c r="AC1522" s="165" t="s">
        <v>16</v>
      </c>
      <c r="AD1522" s="165" t="s">
        <v>16</v>
      </c>
      <c r="AE1522" s="165" t="s">
        <v>2323</v>
      </c>
      <c r="AF1522" s="165"/>
    </row>
    <row r="1523" spans="1:32" x14ac:dyDescent="0.3">
      <c r="A1523" s="165" t="s">
        <v>2342</v>
      </c>
      <c r="B1523" s="165" t="s">
        <v>14</v>
      </c>
      <c r="C1523" s="165" t="s">
        <v>2322</v>
      </c>
      <c r="D1523" s="165" t="s">
        <v>15</v>
      </c>
      <c r="E1523" s="157">
        <v>41850</v>
      </c>
      <c r="F1523" s="165" t="s">
        <v>16</v>
      </c>
      <c r="G1523" s="165" t="s">
        <v>16</v>
      </c>
      <c r="H1523" s="165" t="s">
        <v>16</v>
      </c>
      <c r="I1523" s="165" t="s">
        <v>16</v>
      </c>
      <c r="J1523" s="165" t="s">
        <v>16</v>
      </c>
      <c r="K1523" s="165" t="s">
        <v>16</v>
      </c>
      <c r="L1523" s="165" t="s">
        <v>16</v>
      </c>
      <c r="M1523" s="165" t="s">
        <v>16</v>
      </c>
      <c r="N1523" s="165" t="s">
        <v>16</v>
      </c>
      <c r="O1523" s="165" t="s">
        <v>16</v>
      </c>
      <c r="P1523" s="165" t="s">
        <v>16</v>
      </c>
      <c r="Q1523" s="165" t="s">
        <v>16</v>
      </c>
      <c r="R1523" s="165" t="s">
        <v>16</v>
      </c>
      <c r="S1523" s="165" t="s">
        <v>16</v>
      </c>
      <c r="T1523" s="165" t="s">
        <v>16</v>
      </c>
      <c r="U1523" s="165" t="s">
        <v>16</v>
      </c>
      <c r="V1523" s="165" t="s">
        <v>16</v>
      </c>
      <c r="W1523" s="165" t="s">
        <v>16</v>
      </c>
      <c r="X1523" s="165" t="s">
        <v>16</v>
      </c>
      <c r="Y1523" s="165" t="s">
        <v>16</v>
      </c>
      <c r="Z1523" s="165" t="s">
        <v>16</v>
      </c>
      <c r="AA1523" s="165" t="s">
        <v>16</v>
      </c>
      <c r="AB1523" s="165" t="s">
        <v>16</v>
      </c>
      <c r="AC1523" s="165" t="s">
        <v>16</v>
      </c>
      <c r="AD1523" s="165" t="s">
        <v>16</v>
      </c>
      <c r="AE1523" s="165" t="s">
        <v>2338</v>
      </c>
      <c r="AF1523" s="165"/>
    </row>
    <row r="1524" spans="1:32" x14ac:dyDescent="0.3">
      <c r="A1524" s="165" t="s">
        <v>2343</v>
      </c>
      <c r="B1524" s="165" t="s">
        <v>14</v>
      </c>
      <c r="C1524" s="165" t="s">
        <v>2322</v>
      </c>
      <c r="D1524" s="165" t="s">
        <v>15</v>
      </c>
      <c r="E1524" s="157">
        <v>41850</v>
      </c>
      <c r="F1524" s="165" t="s">
        <v>16</v>
      </c>
      <c r="G1524" s="165" t="s">
        <v>16</v>
      </c>
      <c r="H1524" s="165" t="s">
        <v>16</v>
      </c>
      <c r="I1524" s="165" t="s">
        <v>16</v>
      </c>
      <c r="J1524" s="165" t="s">
        <v>16</v>
      </c>
      <c r="K1524" s="165" t="s">
        <v>16</v>
      </c>
      <c r="L1524" s="165" t="s">
        <v>16</v>
      </c>
      <c r="M1524" s="165" t="s">
        <v>16</v>
      </c>
      <c r="N1524" s="165" t="s">
        <v>16</v>
      </c>
      <c r="O1524" s="165" t="s">
        <v>16</v>
      </c>
      <c r="P1524" s="165" t="s">
        <v>16</v>
      </c>
      <c r="Q1524" s="165" t="s">
        <v>16</v>
      </c>
      <c r="R1524" s="165" t="s">
        <v>16</v>
      </c>
      <c r="S1524" s="165" t="s">
        <v>16</v>
      </c>
      <c r="T1524" s="165" t="s">
        <v>16</v>
      </c>
      <c r="U1524" s="165" t="s">
        <v>16</v>
      </c>
      <c r="V1524" s="165" t="s">
        <v>16</v>
      </c>
      <c r="W1524" s="165" t="s">
        <v>16</v>
      </c>
      <c r="X1524" s="165" t="s">
        <v>16</v>
      </c>
      <c r="Y1524" s="165" t="s">
        <v>16</v>
      </c>
      <c r="Z1524" s="165" t="s">
        <v>16</v>
      </c>
      <c r="AA1524" s="165" t="s">
        <v>16</v>
      </c>
      <c r="AB1524" s="165" t="s">
        <v>16</v>
      </c>
      <c r="AC1524" s="165" t="s">
        <v>16</v>
      </c>
      <c r="AD1524" s="165" t="s">
        <v>16</v>
      </c>
      <c r="AE1524" s="165" t="s">
        <v>2338</v>
      </c>
      <c r="AF1524" s="165"/>
    </row>
    <row r="1525" spans="1:32" x14ac:dyDescent="0.3">
      <c r="A1525" s="165" t="s">
        <v>2344</v>
      </c>
      <c r="B1525" s="165" t="s">
        <v>14</v>
      </c>
      <c r="C1525" s="165" t="s">
        <v>2322</v>
      </c>
      <c r="D1525" s="165" t="s">
        <v>15</v>
      </c>
      <c r="E1525" s="157">
        <v>41850</v>
      </c>
      <c r="F1525" s="165" t="s">
        <v>16</v>
      </c>
      <c r="G1525" s="165" t="s">
        <v>16</v>
      </c>
      <c r="H1525" s="165" t="s">
        <v>16</v>
      </c>
      <c r="I1525" s="165" t="s">
        <v>16</v>
      </c>
      <c r="J1525" s="165" t="s">
        <v>16</v>
      </c>
      <c r="K1525" s="165" t="s">
        <v>149</v>
      </c>
      <c r="L1525" s="165" t="s">
        <v>149</v>
      </c>
      <c r="M1525" s="165" t="s">
        <v>16</v>
      </c>
      <c r="N1525" s="165" t="s">
        <v>16</v>
      </c>
      <c r="O1525" s="165" t="s">
        <v>148</v>
      </c>
      <c r="P1525" s="165" t="s">
        <v>148</v>
      </c>
      <c r="Q1525" s="165" t="s">
        <v>16</v>
      </c>
      <c r="R1525" s="165" t="s">
        <v>16</v>
      </c>
      <c r="S1525" s="165" t="s">
        <v>148</v>
      </c>
      <c r="T1525" s="165" t="s">
        <v>16</v>
      </c>
      <c r="U1525" s="165" t="s">
        <v>148</v>
      </c>
      <c r="V1525" s="165" t="s">
        <v>16</v>
      </c>
      <c r="W1525" s="165" t="s">
        <v>148</v>
      </c>
      <c r="X1525" s="165" t="s">
        <v>148</v>
      </c>
      <c r="Y1525" s="165" t="s">
        <v>16</v>
      </c>
      <c r="Z1525" s="165" t="s">
        <v>16</v>
      </c>
      <c r="AA1525" s="165" t="s">
        <v>16</v>
      </c>
      <c r="AB1525" s="165" t="s">
        <v>16</v>
      </c>
      <c r="AC1525" s="165" t="s">
        <v>149</v>
      </c>
      <c r="AD1525" s="165" t="s">
        <v>16</v>
      </c>
      <c r="AE1525" s="165" t="s">
        <v>2323</v>
      </c>
      <c r="AF1525" s="165"/>
    </row>
    <row r="1526" spans="1:32" x14ac:dyDescent="0.3">
      <c r="A1526" s="165" t="s">
        <v>2345</v>
      </c>
      <c r="B1526" s="165" t="s">
        <v>14</v>
      </c>
      <c r="C1526" s="165" t="s">
        <v>2322</v>
      </c>
      <c r="D1526" s="165" t="s">
        <v>15</v>
      </c>
      <c r="E1526" s="157">
        <v>41850</v>
      </c>
      <c r="F1526" s="165" t="s">
        <v>16</v>
      </c>
      <c r="G1526" s="165" t="s">
        <v>16</v>
      </c>
      <c r="H1526" s="165" t="s">
        <v>16</v>
      </c>
      <c r="I1526" s="165" t="s">
        <v>16</v>
      </c>
      <c r="J1526" s="165" t="s">
        <v>148</v>
      </c>
      <c r="K1526" s="165" t="s">
        <v>16</v>
      </c>
      <c r="L1526" s="165" t="s">
        <v>16</v>
      </c>
      <c r="M1526" s="165" t="s">
        <v>16</v>
      </c>
      <c r="N1526" s="165" t="s">
        <v>16</v>
      </c>
      <c r="O1526" s="165" t="s">
        <v>16</v>
      </c>
      <c r="P1526" s="165" t="s">
        <v>148</v>
      </c>
      <c r="Q1526" s="165" t="s">
        <v>16</v>
      </c>
      <c r="R1526" s="165" t="s">
        <v>16</v>
      </c>
      <c r="S1526" s="165" t="s">
        <v>16</v>
      </c>
      <c r="T1526" s="165" t="s">
        <v>148</v>
      </c>
      <c r="U1526" s="165" t="s">
        <v>16</v>
      </c>
      <c r="V1526" s="165" t="s">
        <v>16</v>
      </c>
      <c r="W1526" s="165" t="s">
        <v>16</v>
      </c>
      <c r="X1526" s="165" t="s">
        <v>16</v>
      </c>
      <c r="Y1526" s="165" t="s">
        <v>16</v>
      </c>
      <c r="Z1526" s="165" t="s">
        <v>16</v>
      </c>
      <c r="AA1526" s="165" t="s">
        <v>16</v>
      </c>
      <c r="AB1526" s="165" t="s">
        <v>16</v>
      </c>
      <c r="AC1526" s="165" t="s">
        <v>16</v>
      </c>
      <c r="AD1526" s="165" t="s">
        <v>16</v>
      </c>
      <c r="AE1526" s="165" t="s">
        <v>2335</v>
      </c>
      <c r="AF1526" s="165"/>
    </row>
    <row r="1527" spans="1:32" x14ac:dyDescent="0.3">
      <c r="A1527" s="165" t="s">
        <v>2346</v>
      </c>
      <c r="B1527" s="165" t="s">
        <v>14</v>
      </c>
      <c r="C1527" s="165" t="s">
        <v>2322</v>
      </c>
      <c r="D1527" s="165" t="s">
        <v>15</v>
      </c>
      <c r="E1527" s="157">
        <v>41850</v>
      </c>
      <c r="F1527" s="165" t="s">
        <v>16</v>
      </c>
      <c r="G1527" s="165" t="s">
        <v>16</v>
      </c>
      <c r="H1527" s="165" t="s">
        <v>16</v>
      </c>
      <c r="I1527" s="165" t="s">
        <v>16</v>
      </c>
      <c r="J1527" s="165" t="s">
        <v>16</v>
      </c>
      <c r="K1527" s="165" t="s">
        <v>149</v>
      </c>
      <c r="L1527" s="165" t="s">
        <v>16</v>
      </c>
      <c r="M1527" s="165" t="s">
        <v>16</v>
      </c>
      <c r="N1527" s="165" t="s">
        <v>149</v>
      </c>
      <c r="O1527" s="165" t="s">
        <v>149</v>
      </c>
      <c r="P1527" s="165" t="s">
        <v>16</v>
      </c>
      <c r="Q1527" s="165" t="s">
        <v>16</v>
      </c>
      <c r="R1527" s="165" t="s">
        <v>16</v>
      </c>
      <c r="S1527" s="165" t="s">
        <v>16</v>
      </c>
      <c r="T1527" s="165" t="s">
        <v>16</v>
      </c>
      <c r="U1527" s="165" t="s">
        <v>16</v>
      </c>
      <c r="V1527" s="165" t="s">
        <v>16</v>
      </c>
      <c r="W1527" s="165" t="s">
        <v>16</v>
      </c>
      <c r="X1527" s="165" t="s">
        <v>16</v>
      </c>
      <c r="Y1527" s="165" t="s">
        <v>16</v>
      </c>
      <c r="Z1527" s="165" t="s">
        <v>16</v>
      </c>
      <c r="AA1527" s="165" t="s">
        <v>16</v>
      </c>
      <c r="AB1527" s="165" t="s">
        <v>148</v>
      </c>
      <c r="AC1527" s="165" t="s">
        <v>16</v>
      </c>
      <c r="AD1527" s="165" t="s">
        <v>149</v>
      </c>
      <c r="AE1527" s="165" t="s">
        <v>2338</v>
      </c>
      <c r="AF1527" s="165"/>
    </row>
    <row r="1528" spans="1:32" x14ac:dyDescent="0.3">
      <c r="A1528" s="165" t="s">
        <v>2347</v>
      </c>
      <c r="B1528" s="165" t="s">
        <v>14</v>
      </c>
      <c r="C1528" s="165" t="s">
        <v>2322</v>
      </c>
      <c r="D1528" s="165" t="s">
        <v>15</v>
      </c>
      <c r="E1528" s="157">
        <v>41850</v>
      </c>
      <c r="F1528" s="165" t="s">
        <v>16</v>
      </c>
      <c r="G1528" s="165" t="s">
        <v>16</v>
      </c>
      <c r="H1528" s="165" t="s">
        <v>16</v>
      </c>
      <c r="I1528" s="165" t="s">
        <v>16</v>
      </c>
      <c r="J1528" s="165" t="s">
        <v>16</v>
      </c>
      <c r="K1528" s="165" t="s">
        <v>16</v>
      </c>
      <c r="L1528" s="165" t="s">
        <v>16</v>
      </c>
      <c r="M1528" s="165" t="s">
        <v>16</v>
      </c>
      <c r="N1528" s="165" t="s">
        <v>148</v>
      </c>
      <c r="O1528" s="165" t="s">
        <v>16</v>
      </c>
      <c r="P1528" s="165" t="s">
        <v>16</v>
      </c>
      <c r="Q1528" s="165" t="s">
        <v>16</v>
      </c>
      <c r="R1528" s="165" t="s">
        <v>16</v>
      </c>
      <c r="S1528" s="165" t="s">
        <v>16</v>
      </c>
      <c r="T1528" s="165" t="s">
        <v>16</v>
      </c>
      <c r="U1528" s="165" t="s">
        <v>16</v>
      </c>
      <c r="V1528" s="165" t="s">
        <v>16</v>
      </c>
      <c r="W1528" s="165" t="s">
        <v>16</v>
      </c>
      <c r="X1528" s="165" t="s">
        <v>16</v>
      </c>
      <c r="Y1528" s="165" t="s">
        <v>16</v>
      </c>
      <c r="Z1528" s="165" t="s">
        <v>16</v>
      </c>
      <c r="AA1528" s="165" t="s">
        <v>16</v>
      </c>
      <c r="AB1528" s="165" t="s">
        <v>16</v>
      </c>
      <c r="AC1528" s="165" t="s">
        <v>148</v>
      </c>
      <c r="AD1528" s="165" t="s">
        <v>16</v>
      </c>
      <c r="AE1528" s="165" t="s">
        <v>2348</v>
      </c>
      <c r="AF1528" s="165" t="s">
        <v>2349</v>
      </c>
    </row>
    <row r="1529" spans="1:32" x14ac:dyDescent="0.3">
      <c r="A1529" s="165" t="s">
        <v>2350</v>
      </c>
      <c r="B1529" s="165" t="s">
        <v>14</v>
      </c>
      <c r="C1529" s="165" t="s">
        <v>2322</v>
      </c>
      <c r="D1529" s="165" t="s">
        <v>15</v>
      </c>
      <c r="E1529" s="157">
        <v>41850</v>
      </c>
      <c r="F1529" s="165" t="s">
        <v>16</v>
      </c>
      <c r="G1529" s="165" t="s">
        <v>16</v>
      </c>
      <c r="H1529" s="165" t="s">
        <v>16</v>
      </c>
      <c r="I1529" s="165" t="s">
        <v>16</v>
      </c>
      <c r="J1529" s="165" t="s">
        <v>16</v>
      </c>
      <c r="K1529" s="165" t="s">
        <v>16</v>
      </c>
      <c r="L1529" s="165" t="s">
        <v>16</v>
      </c>
      <c r="M1529" s="165" t="s">
        <v>16</v>
      </c>
      <c r="N1529" s="165" t="s">
        <v>16</v>
      </c>
      <c r="O1529" s="165" t="s">
        <v>16</v>
      </c>
      <c r="P1529" s="165" t="s">
        <v>16</v>
      </c>
      <c r="Q1529" s="165" t="s">
        <v>16</v>
      </c>
      <c r="R1529" s="165" t="s">
        <v>16</v>
      </c>
      <c r="S1529" s="165" t="s">
        <v>16</v>
      </c>
      <c r="T1529" s="165" t="s">
        <v>16</v>
      </c>
      <c r="U1529" s="165" t="s">
        <v>16</v>
      </c>
      <c r="V1529" s="165" t="s">
        <v>16</v>
      </c>
      <c r="W1529" s="165" t="s">
        <v>16</v>
      </c>
      <c r="X1529" s="165" t="s">
        <v>16</v>
      </c>
      <c r="Y1529" s="165" t="s">
        <v>16</v>
      </c>
      <c r="Z1529" s="165" t="s">
        <v>16</v>
      </c>
      <c r="AA1529" s="165" t="s">
        <v>16</v>
      </c>
      <c r="AB1529" s="165" t="s">
        <v>16</v>
      </c>
      <c r="AC1529" s="165" t="s">
        <v>16</v>
      </c>
      <c r="AD1529" s="165" t="s">
        <v>16</v>
      </c>
      <c r="AE1529" s="165"/>
      <c r="AF1529" s="165"/>
    </row>
    <row r="1530" spans="1:32" x14ac:dyDescent="0.3">
      <c r="A1530" s="165" t="s">
        <v>2351</v>
      </c>
      <c r="B1530" s="165" t="s">
        <v>14</v>
      </c>
      <c r="C1530" s="165" t="s">
        <v>2322</v>
      </c>
      <c r="D1530" s="165" t="s">
        <v>15</v>
      </c>
      <c r="E1530" s="157">
        <v>41850</v>
      </c>
      <c r="F1530" s="165" t="s">
        <v>16</v>
      </c>
      <c r="G1530" s="165" t="s">
        <v>16</v>
      </c>
      <c r="H1530" s="165" t="s">
        <v>16</v>
      </c>
      <c r="I1530" s="165" t="s">
        <v>16</v>
      </c>
      <c r="J1530" s="165" t="s">
        <v>16</v>
      </c>
      <c r="K1530" s="165" t="s">
        <v>16</v>
      </c>
      <c r="L1530" s="165" t="s">
        <v>16</v>
      </c>
      <c r="M1530" s="165" t="s">
        <v>16</v>
      </c>
      <c r="N1530" s="165" t="s">
        <v>16</v>
      </c>
      <c r="O1530" s="165" t="s">
        <v>16</v>
      </c>
      <c r="P1530" s="165" t="s">
        <v>16</v>
      </c>
      <c r="Q1530" s="165" t="s">
        <v>16</v>
      </c>
      <c r="R1530" s="165" t="s">
        <v>16</v>
      </c>
      <c r="S1530" s="165" t="s">
        <v>16</v>
      </c>
      <c r="T1530" s="165" t="s">
        <v>16</v>
      </c>
      <c r="U1530" s="165" t="s">
        <v>16</v>
      </c>
      <c r="V1530" s="165" t="s">
        <v>16</v>
      </c>
      <c r="W1530" s="165" t="s">
        <v>16</v>
      </c>
      <c r="X1530" s="165" t="s">
        <v>16</v>
      </c>
      <c r="Y1530" s="165" t="s">
        <v>16</v>
      </c>
      <c r="Z1530" s="165" t="s">
        <v>148</v>
      </c>
      <c r="AA1530" s="165" t="s">
        <v>16</v>
      </c>
      <c r="AB1530" s="165" t="s">
        <v>16</v>
      </c>
      <c r="AC1530" s="165" t="s">
        <v>16</v>
      </c>
      <c r="AD1530" s="165" t="s">
        <v>16</v>
      </c>
      <c r="AE1530" s="165" t="s">
        <v>2327</v>
      </c>
      <c r="AF1530" s="165" t="s">
        <v>2352</v>
      </c>
    </row>
    <row r="1531" spans="1:32" x14ac:dyDescent="0.3">
      <c r="A1531" s="165" t="s">
        <v>2353</v>
      </c>
      <c r="B1531" s="165" t="s">
        <v>14</v>
      </c>
      <c r="C1531" s="165" t="s">
        <v>2322</v>
      </c>
      <c r="D1531" s="165" t="s">
        <v>15</v>
      </c>
      <c r="E1531" s="157">
        <v>41850</v>
      </c>
      <c r="F1531" s="165" t="s">
        <v>150</v>
      </c>
      <c r="G1531" s="165" t="s">
        <v>16</v>
      </c>
      <c r="H1531" s="165" t="s">
        <v>16</v>
      </c>
      <c r="I1531" s="165" t="s">
        <v>16</v>
      </c>
      <c r="J1531" s="165" t="s">
        <v>16</v>
      </c>
      <c r="K1531" s="165" t="s">
        <v>16</v>
      </c>
      <c r="L1531" s="165" t="s">
        <v>16</v>
      </c>
      <c r="M1531" s="165" t="s">
        <v>16</v>
      </c>
      <c r="N1531" s="165" t="s">
        <v>148</v>
      </c>
      <c r="O1531" s="165" t="s">
        <v>148</v>
      </c>
      <c r="P1531" s="165" t="s">
        <v>148</v>
      </c>
      <c r="Q1531" s="165" t="s">
        <v>16</v>
      </c>
      <c r="R1531" s="165" t="s">
        <v>16</v>
      </c>
      <c r="S1531" s="165" t="s">
        <v>16</v>
      </c>
      <c r="T1531" s="165" t="s">
        <v>148</v>
      </c>
      <c r="U1531" s="165" t="s">
        <v>148</v>
      </c>
      <c r="V1531" s="165" t="s">
        <v>16</v>
      </c>
      <c r="W1531" s="165" t="s">
        <v>16</v>
      </c>
      <c r="X1531" s="165" t="s">
        <v>16</v>
      </c>
      <c r="Y1531" s="165" t="s">
        <v>16</v>
      </c>
      <c r="Z1531" s="165" t="s">
        <v>16</v>
      </c>
      <c r="AA1531" s="165" t="s">
        <v>16</v>
      </c>
      <c r="AB1531" s="165" t="s">
        <v>16</v>
      </c>
      <c r="AC1531" s="165" t="s">
        <v>16</v>
      </c>
      <c r="AD1531" s="165" t="s">
        <v>16</v>
      </c>
      <c r="AE1531" s="165" t="s">
        <v>2354</v>
      </c>
      <c r="AF1531" s="165"/>
    </row>
    <row r="1532" spans="1:32" x14ac:dyDescent="0.3">
      <c r="A1532" s="165" t="s">
        <v>2355</v>
      </c>
      <c r="B1532" s="165" t="s">
        <v>14</v>
      </c>
      <c r="C1532" s="165" t="s">
        <v>2322</v>
      </c>
      <c r="D1532" s="165" t="s">
        <v>15</v>
      </c>
      <c r="E1532" s="157">
        <v>41850</v>
      </c>
      <c r="F1532" s="165" t="s">
        <v>16</v>
      </c>
      <c r="G1532" s="165" t="s">
        <v>16</v>
      </c>
      <c r="H1532" s="165" t="s">
        <v>16</v>
      </c>
      <c r="I1532" s="165" t="s">
        <v>16</v>
      </c>
      <c r="J1532" s="165" t="s">
        <v>148</v>
      </c>
      <c r="K1532" s="165" t="s">
        <v>16</v>
      </c>
      <c r="L1532" s="165" t="s">
        <v>16</v>
      </c>
      <c r="M1532" s="165" t="s">
        <v>16</v>
      </c>
      <c r="N1532" s="165" t="s">
        <v>16</v>
      </c>
      <c r="O1532" s="165" t="s">
        <v>16</v>
      </c>
      <c r="P1532" s="165" t="s">
        <v>16</v>
      </c>
      <c r="Q1532" s="165" t="s">
        <v>16</v>
      </c>
      <c r="R1532" s="165" t="s">
        <v>16</v>
      </c>
      <c r="S1532" s="165" t="s">
        <v>16</v>
      </c>
      <c r="T1532" s="165" t="s">
        <v>16</v>
      </c>
      <c r="U1532" s="165" t="s">
        <v>16</v>
      </c>
      <c r="V1532" s="165" t="s">
        <v>16</v>
      </c>
      <c r="W1532" s="165" t="s">
        <v>16</v>
      </c>
      <c r="X1532" s="165" t="s">
        <v>16</v>
      </c>
      <c r="Y1532" s="165" t="s">
        <v>16</v>
      </c>
      <c r="Z1532" s="165" t="s">
        <v>16</v>
      </c>
      <c r="AA1532" s="165" t="s">
        <v>16</v>
      </c>
      <c r="AB1532" s="165" t="s">
        <v>16</v>
      </c>
      <c r="AC1532" s="165" t="s">
        <v>16</v>
      </c>
      <c r="AD1532" s="165" t="s">
        <v>16</v>
      </c>
      <c r="AE1532" s="165" t="s">
        <v>2327</v>
      </c>
      <c r="AF1532" s="165"/>
    </row>
    <row r="1533" spans="1:32" x14ac:dyDescent="0.3">
      <c r="A1533" s="165" t="s">
        <v>2356</v>
      </c>
      <c r="B1533" s="165" t="s">
        <v>14</v>
      </c>
      <c r="C1533" s="165" t="s">
        <v>2322</v>
      </c>
      <c r="D1533" s="165" t="s">
        <v>15</v>
      </c>
      <c r="E1533" s="157">
        <v>41850</v>
      </c>
      <c r="F1533" s="165" t="s">
        <v>16</v>
      </c>
      <c r="G1533" s="165" t="s">
        <v>16</v>
      </c>
      <c r="H1533" s="165" t="s">
        <v>16</v>
      </c>
      <c r="I1533" s="165" t="s">
        <v>16</v>
      </c>
      <c r="J1533" s="165" t="s">
        <v>148</v>
      </c>
      <c r="K1533" s="165" t="s">
        <v>16</v>
      </c>
      <c r="L1533" s="165" t="s">
        <v>16</v>
      </c>
      <c r="M1533" s="165" t="s">
        <v>16</v>
      </c>
      <c r="N1533" s="165" t="s">
        <v>148</v>
      </c>
      <c r="O1533" s="165" t="s">
        <v>16</v>
      </c>
      <c r="P1533" s="165" t="s">
        <v>16</v>
      </c>
      <c r="Q1533" s="165" t="s">
        <v>16</v>
      </c>
      <c r="R1533" s="165" t="s">
        <v>16</v>
      </c>
      <c r="S1533" s="165" t="s">
        <v>16</v>
      </c>
      <c r="T1533" s="165" t="s">
        <v>16</v>
      </c>
      <c r="U1533" s="165" t="s">
        <v>16</v>
      </c>
      <c r="V1533" s="165" t="s">
        <v>16</v>
      </c>
      <c r="W1533" s="165" t="s">
        <v>16</v>
      </c>
      <c r="X1533" s="165" t="s">
        <v>16</v>
      </c>
      <c r="Y1533" s="165" t="s">
        <v>16</v>
      </c>
      <c r="Z1533" s="165" t="s">
        <v>148</v>
      </c>
      <c r="AA1533" s="165" t="s">
        <v>148</v>
      </c>
      <c r="AB1533" s="165" t="s">
        <v>16</v>
      </c>
      <c r="AC1533" s="165" t="s">
        <v>16</v>
      </c>
      <c r="AD1533" s="165" t="s">
        <v>16</v>
      </c>
      <c r="AE1533" s="165" t="s">
        <v>2357</v>
      </c>
      <c r="AF1533" s="165"/>
    </row>
    <row r="1534" spans="1:32" x14ac:dyDescent="0.3">
      <c r="A1534" s="165" t="s">
        <v>2358</v>
      </c>
      <c r="B1534" s="165" t="s">
        <v>14</v>
      </c>
      <c r="C1534" s="165" t="s">
        <v>2322</v>
      </c>
      <c r="D1534" s="165" t="s">
        <v>15</v>
      </c>
      <c r="E1534" s="157">
        <v>41850</v>
      </c>
      <c r="F1534" s="165" t="s">
        <v>16</v>
      </c>
      <c r="G1534" s="165" t="s">
        <v>148</v>
      </c>
      <c r="H1534" s="165" t="s">
        <v>149</v>
      </c>
      <c r="I1534" s="165" t="s">
        <v>16</v>
      </c>
      <c r="J1534" s="165" t="s">
        <v>149</v>
      </c>
      <c r="K1534" s="165" t="s">
        <v>16</v>
      </c>
      <c r="L1534" s="165" t="s">
        <v>16</v>
      </c>
      <c r="M1534" s="165" t="s">
        <v>16</v>
      </c>
      <c r="N1534" s="165" t="s">
        <v>148</v>
      </c>
      <c r="O1534" s="165" t="s">
        <v>16</v>
      </c>
      <c r="P1534" s="165" t="s">
        <v>148</v>
      </c>
      <c r="Q1534" s="165" t="s">
        <v>148</v>
      </c>
      <c r="R1534" s="165" t="s">
        <v>16</v>
      </c>
      <c r="S1534" s="165" t="s">
        <v>16</v>
      </c>
      <c r="T1534" s="165" t="s">
        <v>16</v>
      </c>
      <c r="U1534" s="165" t="s">
        <v>16</v>
      </c>
      <c r="V1534" s="165" t="s">
        <v>16</v>
      </c>
      <c r="W1534" s="165" t="s">
        <v>16</v>
      </c>
      <c r="X1534" s="165" t="s">
        <v>16</v>
      </c>
      <c r="Y1534" s="165" t="s">
        <v>16</v>
      </c>
      <c r="Z1534" s="165" t="s">
        <v>16</v>
      </c>
      <c r="AA1534" s="165" t="s">
        <v>16</v>
      </c>
      <c r="AB1534" s="165" t="s">
        <v>16</v>
      </c>
      <c r="AC1534" s="165" t="s">
        <v>16</v>
      </c>
      <c r="AD1534" s="165" t="s">
        <v>16</v>
      </c>
      <c r="AE1534" s="165" t="s">
        <v>2338</v>
      </c>
      <c r="AF1534" s="165"/>
    </row>
    <row r="1537" spans="1:32" x14ac:dyDescent="0.3">
      <c r="A1537" s="165"/>
      <c r="B1537" s="165"/>
      <c r="C1537" s="165"/>
      <c r="D1537" s="165"/>
      <c r="E1537" s="165"/>
      <c r="F1537" s="165" t="s">
        <v>124</v>
      </c>
      <c r="G1537" s="165" t="s">
        <v>125</v>
      </c>
      <c r="H1537" s="165" t="s">
        <v>126</v>
      </c>
      <c r="I1537" s="165" t="s">
        <v>127</v>
      </c>
      <c r="J1537" s="165" t="s">
        <v>214</v>
      </c>
      <c r="K1537" s="165" t="s">
        <v>128</v>
      </c>
      <c r="L1537" s="165" t="s">
        <v>129</v>
      </c>
      <c r="M1537" s="165" t="s">
        <v>130</v>
      </c>
      <c r="N1537" s="165" t="s">
        <v>131</v>
      </c>
      <c r="O1537" s="165" t="s">
        <v>132</v>
      </c>
      <c r="P1537" s="165" t="s">
        <v>133</v>
      </c>
      <c r="Q1537" s="165" t="s">
        <v>134</v>
      </c>
      <c r="R1537" s="165" t="s">
        <v>135</v>
      </c>
      <c r="S1537" s="165" t="s">
        <v>136</v>
      </c>
      <c r="T1537" s="165" t="s">
        <v>137</v>
      </c>
      <c r="U1537" s="165" t="s">
        <v>138</v>
      </c>
      <c r="V1537" s="165" t="s">
        <v>139</v>
      </c>
      <c r="W1537" s="165" t="s">
        <v>140</v>
      </c>
      <c r="X1537" s="165" t="s">
        <v>186</v>
      </c>
      <c r="Y1537" s="165" t="s">
        <v>209</v>
      </c>
      <c r="Z1537" s="165" t="s">
        <v>141</v>
      </c>
      <c r="AA1537" s="165" t="s">
        <v>142</v>
      </c>
      <c r="AB1537" s="165" t="s">
        <v>210</v>
      </c>
      <c r="AC1537" s="165" t="s">
        <v>1180</v>
      </c>
      <c r="AD1537" s="165" t="s">
        <v>144</v>
      </c>
      <c r="AE1537" s="165" t="s">
        <v>2364</v>
      </c>
      <c r="AF1537" s="165" t="s">
        <v>190</v>
      </c>
    </row>
    <row r="1538" spans="1:32" x14ac:dyDescent="0.3">
      <c r="A1538" s="165" t="s">
        <v>2365</v>
      </c>
      <c r="B1538" s="165" t="s">
        <v>14</v>
      </c>
      <c r="C1538" s="165" t="s">
        <v>2366</v>
      </c>
      <c r="D1538" s="165" t="s">
        <v>15</v>
      </c>
      <c r="E1538" s="157">
        <v>41881</v>
      </c>
      <c r="F1538" s="165" t="s">
        <v>149</v>
      </c>
      <c r="G1538" s="165" t="s">
        <v>149</v>
      </c>
      <c r="H1538" s="165" t="s">
        <v>149</v>
      </c>
      <c r="I1538" s="165" t="s">
        <v>148</v>
      </c>
      <c r="J1538" s="165" t="s">
        <v>149</v>
      </c>
      <c r="K1538" s="165" t="s">
        <v>16</v>
      </c>
      <c r="L1538" s="165" t="s">
        <v>148</v>
      </c>
      <c r="M1538" s="165" t="s">
        <v>149</v>
      </c>
      <c r="N1538" s="165" t="s">
        <v>16</v>
      </c>
      <c r="O1538" s="165" t="s">
        <v>149</v>
      </c>
      <c r="P1538" s="165" t="s">
        <v>16</v>
      </c>
      <c r="Q1538" s="165" t="s">
        <v>16</v>
      </c>
      <c r="R1538" s="165" t="s">
        <v>151</v>
      </c>
      <c r="S1538" s="165" t="s">
        <v>148</v>
      </c>
      <c r="T1538" s="165" t="s">
        <v>16</v>
      </c>
      <c r="U1538" s="165" t="s">
        <v>16</v>
      </c>
      <c r="V1538" s="165" t="s">
        <v>149</v>
      </c>
      <c r="W1538" s="165" t="s">
        <v>149</v>
      </c>
      <c r="X1538" s="165" t="s">
        <v>149</v>
      </c>
      <c r="Y1538" s="165" t="s">
        <v>16</v>
      </c>
      <c r="Z1538" s="165" t="s">
        <v>149</v>
      </c>
      <c r="AA1538" s="165" t="s">
        <v>148</v>
      </c>
      <c r="AB1538" s="165" t="s">
        <v>16</v>
      </c>
      <c r="AC1538" s="165" t="s">
        <v>16</v>
      </c>
      <c r="AD1538" s="165" t="s">
        <v>16</v>
      </c>
      <c r="AE1538" s="165" t="s">
        <v>2367</v>
      </c>
      <c r="AF1538" s="165"/>
    </row>
    <row r="1539" spans="1:32" x14ac:dyDescent="0.3">
      <c r="A1539" s="165" t="s">
        <v>2368</v>
      </c>
      <c r="B1539" s="165" t="s">
        <v>14</v>
      </c>
      <c r="C1539" s="165" t="s">
        <v>2366</v>
      </c>
      <c r="D1539" s="165" t="s">
        <v>15</v>
      </c>
      <c r="E1539" s="157">
        <v>41881</v>
      </c>
      <c r="F1539" s="165" t="s">
        <v>16</v>
      </c>
      <c r="G1539" s="165" t="s">
        <v>16</v>
      </c>
      <c r="H1539" s="165" t="s">
        <v>16</v>
      </c>
      <c r="I1539" s="165" t="s">
        <v>148</v>
      </c>
      <c r="J1539" s="165" t="s">
        <v>16</v>
      </c>
      <c r="K1539" s="165" t="s">
        <v>148</v>
      </c>
      <c r="L1539" s="165" t="s">
        <v>16</v>
      </c>
      <c r="M1539" s="165" t="s">
        <v>16</v>
      </c>
      <c r="N1539" s="165" t="s">
        <v>148</v>
      </c>
      <c r="O1539" s="165" t="s">
        <v>148</v>
      </c>
      <c r="P1539" s="165" t="s">
        <v>148</v>
      </c>
      <c r="Q1539" s="165" t="s">
        <v>16</v>
      </c>
      <c r="R1539" s="165" t="s">
        <v>149</v>
      </c>
      <c r="S1539" s="165" t="s">
        <v>16</v>
      </c>
      <c r="T1539" s="165" t="s">
        <v>16</v>
      </c>
      <c r="U1539" s="165" t="s">
        <v>148</v>
      </c>
      <c r="V1539" s="165" t="s">
        <v>148</v>
      </c>
      <c r="W1539" s="165" t="s">
        <v>148</v>
      </c>
      <c r="X1539" s="165" t="s">
        <v>16</v>
      </c>
      <c r="Y1539" s="165" t="s">
        <v>148</v>
      </c>
      <c r="Z1539" s="165" t="s">
        <v>16</v>
      </c>
      <c r="AA1539" s="165" t="s">
        <v>148</v>
      </c>
      <c r="AB1539" s="165" t="s">
        <v>16</v>
      </c>
      <c r="AC1539" s="165" t="s">
        <v>16</v>
      </c>
      <c r="AD1539" s="165" t="s">
        <v>16</v>
      </c>
      <c r="AE1539" s="165" t="s">
        <v>2369</v>
      </c>
      <c r="AF1539" s="165" t="s">
        <v>2370</v>
      </c>
    </row>
    <row r="1540" spans="1:32" x14ac:dyDescent="0.3">
      <c r="A1540" s="165" t="s">
        <v>2371</v>
      </c>
      <c r="B1540" s="165" t="s">
        <v>14</v>
      </c>
      <c r="C1540" s="165" t="s">
        <v>2366</v>
      </c>
      <c r="D1540" s="165" t="s">
        <v>15</v>
      </c>
      <c r="E1540" s="157">
        <v>41881</v>
      </c>
      <c r="F1540" s="165" t="s">
        <v>16</v>
      </c>
      <c r="G1540" s="165" t="s">
        <v>16</v>
      </c>
      <c r="H1540" s="165" t="s">
        <v>148</v>
      </c>
      <c r="I1540" s="165" t="s">
        <v>148</v>
      </c>
      <c r="J1540" s="165" t="s">
        <v>16</v>
      </c>
      <c r="K1540" s="165" t="s">
        <v>16</v>
      </c>
      <c r="L1540" s="165" t="s">
        <v>149</v>
      </c>
      <c r="M1540" s="165" t="s">
        <v>16</v>
      </c>
      <c r="N1540" s="165" t="s">
        <v>16</v>
      </c>
      <c r="O1540" s="165" t="s">
        <v>148</v>
      </c>
      <c r="P1540" s="165" t="s">
        <v>148</v>
      </c>
      <c r="Q1540" s="165" t="s">
        <v>16</v>
      </c>
      <c r="R1540" s="165" t="s">
        <v>16</v>
      </c>
      <c r="S1540" s="165" t="s">
        <v>16</v>
      </c>
      <c r="T1540" s="165" t="s">
        <v>16</v>
      </c>
      <c r="U1540" s="165" t="s">
        <v>149</v>
      </c>
      <c r="V1540" s="165" t="s">
        <v>16</v>
      </c>
      <c r="W1540" s="165" t="s">
        <v>148</v>
      </c>
      <c r="X1540" s="165" t="s">
        <v>148</v>
      </c>
      <c r="Y1540" s="165" t="s">
        <v>16</v>
      </c>
      <c r="Z1540" s="165" t="s">
        <v>16</v>
      </c>
      <c r="AA1540" s="165" t="s">
        <v>149</v>
      </c>
      <c r="AB1540" s="165" t="s">
        <v>16</v>
      </c>
      <c r="AC1540" s="165" t="s">
        <v>148</v>
      </c>
      <c r="AD1540" s="165" t="s">
        <v>16</v>
      </c>
      <c r="AE1540" s="165" t="s">
        <v>2372</v>
      </c>
      <c r="AF1540" s="165"/>
    </row>
    <row r="1541" spans="1:32" x14ac:dyDescent="0.3">
      <c r="A1541" s="165" t="s">
        <v>2373</v>
      </c>
      <c r="B1541" s="165" t="s">
        <v>14</v>
      </c>
      <c r="C1541" s="165" t="s">
        <v>2366</v>
      </c>
      <c r="D1541" s="165" t="s">
        <v>15</v>
      </c>
      <c r="E1541" s="157">
        <v>41881</v>
      </c>
      <c r="F1541" s="165" t="s">
        <v>16</v>
      </c>
      <c r="G1541" s="165" t="s">
        <v>148</v>
      </c>
      <c r="H1541" s="165" t="s">
        <v>148</v>
      </c>
      <c r="I1541" s="165" t="s">
        <v>148</v>
      </c>
      <c r="J1541" s="165" t="s">
        <v>148</v>
      </c>
      <c r="K1541" s="165" t="s">
        <v>16</v>
      </c>
      <c r="L1541" s="165" t="s">
        <v>16</v>
      </c>
      <c r="M1541" s="165" t="s">
        <v>16</v>
      </c>
      <c r="N1541" s="165" t="s">
        <v>148</v>
      </c>
      <c r="O1541" s="165" t="s">
        <v>148</v>
      </c>
      <c r="P1541" s="165" t="s">
        <v>16</v>
      </c>
      <c r="Q1541" s="165" t="s">
        <v>16</v>
      </c>
      <c r="R1541" s="165" t="s">
        <v>148</v>
      </c>
      <c r="S1541" s="165" t="s">
        <v>16</v>
      </c>
      <c r="T1541" s="165" t="s">
        <v>16</v>
      </c>
      <c r="U1541" s="165" t="s">
        <v>16</v>
      </c>
      <c r="V1541" s="165" t="s">
        <v>16</v>
      </c>
      <c r="W1541" s="165" t="s">
        <v>16</v>
      </c>
      <c r="X1541" s="165" t="s">
        <v>16</v>
      </c>
      <c r="Y1541" s="165" t="s">
        <v>148</v>
      </c>
      <c r="Z1541" s="165" t="s">
        <v>16</v>
      </c>
      <c r="AA1541" s="165" t="s">
        <v>16</v>
      </c>
      <c r="AB1541" s="165" t="s">
        <v>16</v>
      </c>
      <c r="AC1541" s="165" t="s">
        <v>16</v>
      </c>
      <c r="AD1541" s="165" t="s">
        <v>148</v>
      </c>
      <c r="AE1541" s="165" t="s">
        <v>2374</v>
      </c>
      <c r="AF1541" s="165"/>
    </row>
    <row r="1542" spans="1:32" x14ac:dyDescent="0.3">
      <c r="A1542" s="165" t="s">
        <v>2375</v>
      </c>
      <c r="B1542" s="165" t="s">
        <v>14</v>
      </c>
      <c r="C1542" s="165" t="s">
        <v>2366</v>
      </c>
      <c r="D1542" s="165" t="s">
        <v>15</v>
      </c>
      <c r="E1542" s="157">
        <v>41881</v>
      </c>
      <c r="F1542" s="165" t="s">
        <v>16</v>
      </c>
      <c r="G1542" s="165" t="s">
        <v>16</v>
      </c>
      <c r="H1542" s="165" t="s">
        <v>16</v>
      </c>
      <c r="I1542" s="165" t="s">
        <v>16</v>
      </c>
      <c r="J1542" s="165" t="s">
        <v>16</v>
      </c>
      <c r="K1542" s="165" t="s">
        <v>16</v>
      </c>
      <c r="L1542" s="165" t="s">
        <v>16</v>
      </c>
      <c r="M1542" s="165" t="s">
        <v>16</v>
      </c>
      <c r="N1542" s="165" t="s">
        <v>16</v>
      </c>
      <c r="O1542" s="165" t="s">
        <v>16</v>
      </c>
      <c r="P1542" s="165" t="s">
        <v>16</v>
      </c>
      <c r="Q1542" s="165" t="s">
        <v>16</v>
      </c>
      <c r="R1542" s="165" t="s">
        <v>16</v>
      </c>
      <c r="S1542" s="165" t="s">
        <v>16</v>
      </c>
      <c r="T1542" s="165" t="s">
        <v>16</v>
      </c>
      <c r="U1542" s="165" t="s">
        <v>16</v>
      </c>
      <c r="V1542" s="165" t="s">
        <v>16</v>
      </c>
      <c r="W1542" s="165" t="s">
        <v>16</v>
      </c>
      <c r="X1542" s="165" t="s">
        <v>16</v>
      </c>
      <c r="Y1542" s="165" t="s">
        <v>16</v>
      </c>
      <c r="Z1542" s="165" t="s">
        <v>16</v>
      </c>
      <c r="AA1542" s="165" t="s">
        <v>16</v>
      </c>
      <c r="AB1542" s="165" t="s">
        <v>16</v>
      </c>
      <c r="AC1542" s="165" t="s">
        <v>148</v>
      </c>
      <c r="AD1542" s="165" t="s">
        <v>16</v>
      </c>
      <c r="AE1542" s="165" t="s">
        <v>2376</v>
      </c>
      <c r="AF1542" s="165" t="s">
        <v>2377</v>
      </c>
    </row>
    <row r="1543" spans="1:32" x14ac:dyDescent="0.3">
      <c r="A1543" s="165" t="s">
        <v>2378</v>
      </c>
      <c r="B1543" s="165" t="s">
        <v>14</v>
      </c>
      <c r="C1543" s="165" t="s">
        <v>2366</v>
      </c>
      <c r="D1543" s="165" t="s">
        <v>15</v>
      </c>
      <c r="E1543" s="157">
        <v>41881</v>
      </c>
      <c r="F1543" s="165" t="s">
        <v>16</v>
      </c>
      <c r="G1543" s="165" t="s">
        <v>16</v>
      </c>
      <c r="H1543" s="165" t="s">
        <v>16</v>
      </c>
      <c r="I1543" s="165" t="s">
        <v>16</v>
      </c>
      <c r="J1543" s="165" t="s">
        <v>16</v>
      </c>
      <c r="K1543" s="165" t="s">
        <v>16</v>
      </c>
      <c r="L1543" s="165" t="s">
        <v>16</v>
      </c>
      <c r="M1543" s="165" t="s">
        <v>16</v>
      </c>
      <c r="N1543" s="165" t="s">
        <v>16</v>
      </c>
      <c r="O1543" s="165" t="s">
        <v>16</v>
      </c>
      <c r="P1543" s="165" t="s">
        <v>16</v>
      </c>
      <c r="Q1543" s="165" t="s">
        <v>16</v>
      </c>
      <c r="R1543" s="165" t="s">
        <v>16</v>
      </c>
      <c r="S1543" s="165" t="s">
        <v>16</v>
      </c>
      <c r="T1543" s="165" t="s">
        <v>16</v>
      </c>
      <c r="U1543" s="165" t="s">
        <v>16</v>
      </c>
      <c r="V1543" s="165" t="s">
        <v>148</v>
      </c>
      <c r="W1543" s="165" t="s">
        <v>148</v>
      </c>
      <c r="X1543" s="165" t="s">
        <v>16</v>
      </c>
      <c r="Y1543" s="165" t="s">
        <v>16</v>
      </c>
      <c r="Z1543" s="165" t="s">
        <v>149</v>
      </c>
      <c r="AA1543" s="165" t="s">
        <v>16</v>
      </c>
      <c r="AB1543" s="165" t="s">
        <v>16</v>
      </c>
      <c r="AC1543" s="165" t="s">
        <v>16</v>
      </c>
      <c r="AD1543" s="165" t="s">
        <v>16</v>
      </c>
      <c r="AE1543" s="165"/>
      <c r="AF1543" s="165"/>
    </row>
    <row r="1544" spans="1:32" x14ac:dyDescent="0.3">
      <c r="A1544" s="165" t="s">
        <v>2379</v>
      </c>
      <c r="B1544" s="165" t="s">
        <v>14</v>
      </c>
      <c r="C1544" s="165" t="s">
        <v>2366</v>
      </c>
      <c r="D1544" s="165" t="s">
        <v>15</v>
      </c>
      <c r="E1544" s="157">
        <v>41881</v>
      </c>
      <c r="F1544" s="165" t="s">
        <v>148</v>
      </c>
      <c r="G1544" s="165" t="s">
        <v>16</v>
      </c>
      <c r="H1544" s="165" t="s">
        <v>148</v>
      </c>
      <c r="I1544" s="165" t="s">
        <v>148</v>
      </c>
      <c r="J1544" s="165" t="s">
        <v>16</v>
      </c>
      <c r="K1544" s="165" t="s">
        <v>148</v>
      </c>
      <c r="L1544" s="165" t="s">
        <v>16</v>
      </c>
      <c r="M1544" s="165" t="s">
        <v>16</v>
      </c>
      <c r="N1544" s="165" t="s">
        <v>148</v>
      </c>
      <c r="O1544" s="165" t="s">
        <v>148</v>
      </c>
      <c r="P1544" s="165" t="s">
        <v>148</v>
      </c>
      <c r="Q1544" s="165" t="s">
        <v>16</v>
      </c>
      <c r="R1544" s="165" t="s">
        <v>16</v>
      </c>
      <c r="S1544" s="165" t="s">
        <v>16</v>
      </c>
      <c r="T1544" s="165" t="s">
        <v>16</v>
      </c>
      <c r="U1544" s="165" t="s">
        <v>148</v>
      </c>
      <c r="V1544" s="165" t="s">
        <v>16</v>
      </c>
      <c r="W1544" s="165" t="s">
        <v>16</v>
      </c>
      <c r="X1544" s="165" t="s">
        <v>148</v>
      </c>
      <c r="Y1544" s="165" t="s">
        <v>16</v>
      </c>
      <c r="Z1544" s="165" t="s">
        <v>16</v>
      </c>
      <c r="AA1544" s="165" t="s">
        <v>148</v>
      </c>
      <c r="AB1544" s="165" t="s">
        <v>16</v>
      </c>
      <c r="AC1544" s="165" t="s">
        <v>148</v>
      </c>
      <c r="AD1544" s="165" t="s">
        <v>148</v>
      </c>
      <c r="AE1544" s="165" t="s">
        <v>2380</v>
      </c>
      <c r="AF1544" s="165"/>
    </row>
    <row r="1545" spans="1:32" x14ac:dyDescent="0.3">
      <c r="A1545" s="165" t="s">
        <v>2381</v>
      </c>
      <c r="B1545" s="165" t="s">
        <v>14</v>
      </c>
      <c r="C1545" s="165" t="s">
        <v>2366</v>
      </c>
      <c r="D1545" s="165" t="s">
        <v>15</v>
      </c>
      <c r="E1545" s="157">
        <v>41881</v>
      </c>
      <c r="F1545" s="165" t="s">
        <v>16</v>
      </c>
      <c r="G1545" s="165" t="s">
        <v>16</v>
      </c>
      <c r="H1545" s="165" t="s">
        <v>16</v>
      </c>
      <c r="I1545" s="165" t="s">
        <v>16</v>
      </c>
      <c r="J1545" s="165" t="s">
        <v>16</v>
      </c>
      <c r="K1545" s="165" t="s">
        <v>16</v>
      </c>
      <c r="L1545" s="165" t="s">
        <v>16</v>
      </c>
      <c r="M1545" s="165" t="s">
        <v>16</v>
      </c>
      <c r="N1545" s="165" t="s">
        <v>16</v>
      </c>
      <c r="O1545" s="165" t="s">
        <v>16</v>
      </c>
      <c r="P1545" s="165" t="s">
        <v>16</v>
      </c>
      <c r="Q1545" s="165" t="s">
        <v>16</v>
      </c>
      <c r="R1545" s="165" t="s">
        <v>16</v>
      </c>
      <c r="S1545" s="165" t="s">
        <v>16</v>
      </c>
      <c r="T1545" s="165" t="s">
        <v>16</v>
      </c>
      <c r="U1545" s="165" t="s">
        <v>16</v>
      </c>
      <c r="V1545" s="165" t="s">
        <v>16</v>
      </c>
      <c r="W1545" s="165" t="s">
        <v>16</v>
      </c>
      <c r="X1545" s="165" t="s">
        <v>16</v>
      </c>
      <c r="Y1545" s="165" t="s">
        <v>16</v>
      </c>
      <c r="Z1545" s="165" t="s">
        <v>16</v>
      </c>
      <c r="AA1545" s="165" t="s">
        <v>16</v>
      </c>
      <c r="AB1545" s="165" t="s">
        <v>16</v>
      </c>
      <c r="AC1545" s="165" t="s">
        <v>16</v>
      </c>
      <c r="AD1545" s="165" t="s">
        <v>16</v>
      </c>
      <c r="AE1545" s="165" t="s">
        <v>2382</v>
      </c>
      <c r="AF1545" s="165"/>
    </row>
    <row r="1546" spans="1:32" x14ac:dyDescent="0.3">
      <c r="A1546" s="165" t="s">
        <v>2383</v>
      </c>
      <c r="B1546" s="165" t="s">
        <v>14</v>
      </c>
      <c r="C1546" s="165" t="s">
        <v>2366</v>
      </c>
      <c r="D1546" s="165" t="s">
        <v>15</v>
      </c>
      <c r="E1546" s="157">
        <v>41881</v>
      </c>
      <c r="F1546" s="165" t="s">
        <v>16</v>
      </c>
      <c r="G1546" s="165" t="s">
        <v>16</v>
      </c>
      <c r="H1546" s="165" t="s">
        <v>16</v>
      </c>
      <c r="I1546" s="165" t="s">
        <v>16</v>
      </c>
      <c r="J1546" s="165" t="s">
        <v>16</v>
      </c>
      <c r="K1546" s="165" t="s">
        <v>16</v>
      </c>
      <c r="L1546" s="165" t="s">
        <v>16</v>
      </c>
      <c r="M1546" s="165" t="s">
        <v>16</v>
      </c>
      <c r="N1546" s="165" t="s">
        <v>16</v>
      </c>
      <c r="O1546" s="165" t="s">
        <v>16</v>
      </c>
      <c r="P1546" s="165" t="s">
        <v>16</v>
      </c>
      <c r="Q1546" s="165" t="s">
        <v>16</v>
      </c>
      <c r="R1546" s="165" t="s">
        <v>16</v>
      </c>
      <c r="S1546" s="165" t="s">
        <v>16</v>
      </c>
      <c r="T1546" s="165" t="s">
        <v>16</v>
      </c>
      <c r="U1546" s="165" t="s">
        <v>16</v>
      </c>
      <c r="V1546" s="165" t="s">
        <v>16</v>
      </c>
      <c r="W1546" s="165" t="s">
        <v>16</v>
      </c>
      <c r="X1546" s="165" t="s">
        <v>16</v>
      </c>
      <c r="Y1546" s="165" t="s">
        <v>16</v>
      </c>
      <c r="Z1546" s="165" t="s">
        <v>16</v>
      </c>
      <c r="AA1546" s="165" t="s">
        <v>16</v>
      </c>
      <c r="AB1546" s="165" t="s">
        <v>16</v>
      </c>
      <c r="AC1546" s="165" t="s">
        <v>16</v>
      </c>
      <c r="AD1546" s="165" t="s">
        <v>16</v>
      </c>
      <c r="AE1546" s="165" t="s">
        <v>2384</v>
      </c>
      <c r="AF1546" s="165"/>
    </row>
    <row r="1547" spans="1:32" x14ac:dyDescent="0.3">
      <c r="A1547" s="165" t="s">
        <v>2385</v>
      </c>
      <c r="B1547" s="165" t="s">
        <v>14</v>
      </c>
      <c r="C1547" s="165" t="s">
        <v>2366</v>
      </c>
      <c r="D1547" s="165" t="s">
        <v>15</v>
      </c>
      <c r="E1547" s="157">
        <v>41881</v>
      </c>
      <c r="F1547" s="165" t="s">
        <v>148</v>
      </c>
      <c r="G1547" s="165" t="s">
        <v>16</v>
      </c>
      <c r="H1547" s="165" t="s">
        <v>148</v>
      </c>
      <c r="I1547" s="165" t="s">
        <v>16</v>
      </c>
      <c r="J1547" s="165" t="s">
        <v>148</v>
      </c>
      <c r="K1547" s="165" t="s">
        <v>16</v>
      </c>
      <c r="L1547" s="165" t="s">
        <v>148</v>
      </c>
      <c r="M1547" s="165" t="s">
        <v>148</v>
      </c>
      <c r="N1547" s="165" t="s">
        <v>16</v>
      </c>
      <c r="O1547" s="165" t="s">
        <v>148</v>
      </c>
      <c r="P1547" s="165" t="s">
        <v>148</v>
      </c>
      <c r="Q1547" s="165" t="s">
        <v>148</v>
      </c>
      <c r="R1547" s="165" t="s">
        <v>16</v>
      </c>
      <c r="S1547" s="165" t="s">
        <v>148</v>
      </c>
      <c r="T1547" s="165" t="s">
        <v>16</v>
      </c>
      <c r="U1547" s="165" t="s">
        <v>148</v>
      </c>
      <c r="V1547" s="165" t="s">
        <v>16</v>
      </c>
      <c r="W1547" s="165" t="s">
        <v>148</v>
      </c>
      <c r="X1547" s="165" t="s">
        <v>148</v>
      </c>
      <c r="Y1547" s="165" t="s">
        <v>148</v>
      </c>
      <c r="Z1547" s="165" t="s">
        <v>148</v>
      </c>
      <c r="AA1547" s="165" t="s">
        <v>148</v>
      </c>
      <c r="AB1547" s="165" t="s">
        <v>16</v>
      </c>
      <c r="AC1547" s="165" t="s">
        <v>148</v>
      </c>
      <c r="AD1547" s="165" t="s">
        <v>16</v>
      </c>
      <c r="AE1547" s="165"/>
      <c r="AF1547" s="165"/>
    </row>
    <row r="1548" spans="1:32" x14ac:dyDescent="0.3">
      <c r="A1548" s="165" t="s">
        <v>2386</v>
      </c>
      <c r="B1548" s="165" t="s">
        <v>14</v>
      </c>
      <c r="C1548" s="165" t="s">
        <v>2366</v>
      </c>
      <c r="D1548" s="165" t="s">
        <v>15</v>
      </c>
      <c r="E1548" s="157">
        <v>41881</v>
      </c>
      <c r="F1548" s="165" t="s">
        <v>150</v>
      </c>
      <c r="G1548" s="165" t="s">
        <v>16</v>
      </c>
      <c r="H1548" s="165" t="s">
        <v>148</v>
      </c>
      <c r="I1548" s="165" t="s">
        <v>16</v>
      </c>
      <c r="J1548" s="165" t="s">
        <v>16</v>
      </c>
      <c r="K1548" s="165" t="s">
        <v>16</v>
      </c>
      <c r="L1548" s="165" t="s">
        <v>148</v>
      </c>
      <c r="M1548" s="165" t="s">
        <v>148</v>
      </c>
      <c r="N1548" s="165" t="s">
        <v>150</v>
      </c>
      <c r="O1548" s="165" t="s">
        <v>148</v>
      </c>
      <c r="P1548" s="165" t="s">
        <v>150</v>
      </c>
      <c r="Q1548" s="165" t="s">
        <v>150</v>
      </c>
      <c r="R1548" s="165" t="s">
        <v>16</v>
      </c>
      <c r="S1548" s="165" t="s">
        <v>16</v>
      </c>
      <c r="T1548" s="165" t="s">
        <v>16</v>
      </c>
      <c r="U1548" s="165" t="s">
        <v>16</v>
      </c>
      <c r="V1548" s="165" t="s">
        <v>150</v>
      </c>
      <c r="W1548" s="165" t="s">
        <v>16</v>
      </c>
      <c r="X1548" s="165" t="s">
        <v>150</v>
      </c>
      <c r="Y1548" s="165" t="s">
        <v>16</v>
      </c>
      <c r="Z1548" s="165" t="s">
        <v>16</v>
      </c>
      <c r="AA1548" s="165" t="s">
        <v>16</v>
      </c>
      <c r="AB1548" s="165" t="s">
        <v>16</v>
      </c>
      <c r="AC1548" s="165" t="s">
        <v>16</v>
      </c>
      <c r="AD1548" s="165" t="s">
        <v>16</v>
      </c>
      <c r="AE1548" s="165" t="s">
        <v>2387</v>
      </c>
      <c r="AF1548" s="165"/>
    </row>
    <row r="1549" spans="1:32" x14ac:dyDescent="0.3">
      <c r="A1549" s="165" t="s">
        <v>2388</v>
      </c>
      <c r="B1549" s="165" t="s">
        <v>14</v>
      </c>
      <c r="C1549" s="165" t="s">
        <v>2366</v>
      </c>
      <c r="D1549" s="165" t="s">
        <v>15</v>
      </c>
      <c r="E1549" s="157">
        <v>41881</v>
      </c>
      <c r="F1549" s="165" t="s">
        <v>150</v>
      </c>
      <c r="G1549" s="165" t="s">
        <v>148</v>
      </c>
      <c r="H1549" s="165" t="s">
        <v>151</v>
      </c>
      <c r="I1549" s="165" t="s">
        <v>149</v>
      </c>
      <c r="J1549" s="165" t="s">
        <v>149</v>
      </c>
      <c r="K1549" s="165" t="s">
        <v>151</v>
      </c>
      <c r="L1549" s="165" t="s">
        <v>149</v>
      </c>
      <c r="M1549" s="165" t="s">
        <v>151</v>
      </c>
      <c r="N1549" s="165" t="s">
        <v>149</v>
      </c>
      <c r="O1549" s="165" t="s">
        <v>151</v>
      </c>
      <c r="P1549" s="165" t="s">
        <v>148</v>
      </c>
      <c r="Q1549" s="165" t="s">
        <v>151</v>
      </c>
      <c r="R1549" s="165" t="s">
        <v>149</v>
      </c>
      <c r="S1549" s="165" t="s">
        <v>148</v>
      </c>
      <c r="T1549" s="165" t="s">
        <v>16</v>
      </c>
      <c r="U1549" s="165" t="s">
        <v>151</v>
      </c>
      <c r="V1549" s="165" t="s">
        <v>151</v>
      </c>
      <c r="W1549" s="165" t="s">
        <v>148</v>
      </c>
      <c r="X1549" s="165" t="s">
        <v>150</v>
      </c>
      <c r="Y1549" s="165" t="s">
        <v>149</v>
      </c>
      <c r="Z1549" s="165" t="s">
        <v>151</v>
      </c>
      <c r="AA1549" s="165" t="s">
        <v>151</v>
      </c>
      <c r="AB1549" s="165" t="s">
        <v>148</v>
      </c>
      <c r="AC1549" s="165" t="s">
        <v>150</v>
      </c>
      <c r="AD1549" s="165" t="s">
        <v>150</v>
      </c>
      <c r="AE1549" s="165" t="s">
        <v>2389</v>
      </c>
      <c r="AF1549" s="165"/>
    </row>
    <row r="1550" spans="1:32" x14ac:dyDescent="0.3">
      <c r="A1550" s="165" t="s">
        <v>2390</v>
      </c>
      <c r="B1550" s="165" t="s">
        <v>14</v>
      </c>
      <c r="C1550" s="165" t="s">
        <v>2366</v>
      </c>
      <c r="D1550" s="165" t="s">
        <v>15</v>
      </c>
      <c r="E1550" s="157">
        <v>41881</v>
      </c>
      <c r="F1550" s="165" t="s">
        <v>16</v>
      </c>
      <c r="G1550" s="165" t="s">
        <v>16</v>
      </c>
      <c r="H1550" s="165" t="s">
        <v>151</v>
      </c>
      <c r="I1550" s="165" t="s">
        <v>16</v>
      </c>
      <c r="J1550" s="165" t="s">
        <v>148</v>
      </c>
      <c r="K1550" s="165" t="s">
        <v>16</v>
      </c>
      <c r="L1550" s="165" t="s">
        <v>16</v>
      </c>
      <c r="M1550" s="165" t="s">
        <v>148</v>
      </c>
      <c r="N1550" s="165" t="s">
        <v>16</v>
      </c>
      <c r="O1550" s="165" t="s">
        <v>16</v>
      </c>
      <c r="P1550" s="165" t="s">
        <v>16</v>
      </c>
      <c r="Q1550" s="165" t="s">
        <v>16</v>
      </c>
      <c r="R1550" s="165" t="s">
        <v>16</v>
      </c>
      <c r="S1550" s="165" t="s">
        <v>148</v>
      </c>
      <c r="T1550" s="165" t="s">
        <v>16</v>
      </c>
      <c r="U1550" s="165" t="s">
        <v>16</v>
      </c>
      <c r="V1550" s="165" t="s">
        <v>16</v>
      </c>
      <c r="W1550" s="165" t="s">
        <v>148</v>
      </c>
      <c r="X1550" s="165" t="s">
        <v>16</v>
      </c>
      <c r="Y1550" s="165" t="s">
        <v>16</v>
      </c>
      <c r="Z1550" s="165" t="s">
        <v>148</v>
      </c>
      <c r="AA1550" s="165" t="s">
        <v>16</v>
      </c>
      <c r="AB1550" s="165" t="s">
        <v>16</v>
      </c>
      <c r="AC1550" s="165" t="s">
        <v>16</v>
      </c>
      <c r="AD1550" s="165" t="s">
        <v>16</v>
      </c>
      <c r="AE1550" s="165" t="s">
        <v>2391</v>
      </c>
      <c r="AF1550" s="165"/>
    </row>
    <row r="1551" spans="1:32" x14ac:dyDescent="0.3">
      <c r="A1551" s="165" t="s">
        <v>2392</v>
      </c>
      <c r="B1551" s="165" t="s">
        <v>14</v>
      </c>
      <c r="C1551" s="165" t="s">
        <v>2366</v>
      </c>
      <c r="D1551" s="165" t="s">
        <v>15</v>
      </c>
      <c r="E1551" s="157">
        <v>41881</v>
      </c>
      <c r="F1551" s="165" t="s">
        <v>16</v>
      </c>
      <c r="G1551" s="165" t="s">
        <v>16</v>
      </c>
      <c r="H1551" s="165" t="s">
        <v>16</v>
      </c>
      <c r="I1551" s="165" t="s">
        <v>16</v>
      </c>
      <c r="J1551" s="165" t="s">
        <v>16</v>
      </c>
      <c r="K1551" s="165" t="s">
        <v>16</v>
      </c>
      <c r="L1551" s="165" t="s">
        <v>16</v>
      </c>
      <c r="M1551" s="165" t="s">
        <v>16</v>
      </c>
      <c r="N1551" s="165" t="s">
        <v>16</v>
      </c>
      <c r="O1551" s="165" t="s">
        <v>16</v>
      </c>
      <c r="P1551" s="165" t="s">
        <v>16</v>
      </c>
      <c r="Q1551" s="165" t="s">
        <v>16</v>
      </c>
      <c r="R1551" s="165" t="s">
        <v>16</v>
      </c>
      <c r="S1551" s="165" t="s">
        <v>16</v>
      </c>
      <c r="T1551" s="165" t="s">
        <v>16</v>
      </c>
      <c r="U1551" s="165" t="s">
        <v>16</v>
      </c>
      <c r="V1551" s="165" t="s">
        <v>16</v>
      </c>
      <c r="W1551" s="165" t="s">
        <v>16</v>
      </c>
      <c r="X1551" s="165" t="s">
        <v>16</v>
      </c>
      <c r="Y1551" s="165" t="s">
        <v>16</v>
      </c>
      <c r="Z1551" s="165" t="s">
        <v>16</v>
      </c>
      <c r="AA1551" s="165" t="s">
        <v>16</v>
      </c>
      <c r="AB1551" s="165" t="s">
        <v>16</v>
      </c>
      <c r="AC1551" s="165" t="s">
        <v>16</v>
      </c>
      <c r="AD1551" s="165" t="s">
        <v>16</v>
      </c>
      <c r="AE1551" s="165" t="s">
        <v>2367</v>
      </c>
      <c r="AF1551" s="165"/>
    </row>
    <row r="1552" spans="1:32" x14ac:dyDescent="0.3">
      <c r="A1552" s="165" t="s">
        <v>2393</v>
      </c>
      <c r="B1552" s="165" t="s">
        <v>14</v>
      </c>
      <c r="C1552" s="165" t="s">
        <v>2366</v>
      </c>
      <c r="D1552" s="165" t="s">
        <v>15</v>
      </c>
      <c r="E1552" s="157">
        <v>41881</v>
      </c>
      <c r="F1552" s="165" t="s">
        <v>148</v>
      </c>
      <c r="G1552" s="165" t="s">
        <v>148</v>
      </c>
      <c r="H1552" s="165" t="s">
        <v>149</v>
      </c>
      <c r="I1552" s="165" t="s">
        <v>16</v>
      </c>
      <c r="J1552" s="165" t="s">
        <v>16</v>
      </c>
      <c r="K1552" s="165" t="s">
        <v>16</v>
      </c>
      <c r="L1552" s="165" t="s">
        <v>16</v>
      </c>
      <c r="M1552" s="165" t="s">
        <v>148</v>
      </c>
      <c r="N1552" s="165" t="s">
        <v>148</v>
      </c>
      <c r="O1552" s="165" t="s">
        <v>16</v>
      </c>
      <c r="P1552" s="165" t="s">
        <v>148</v>
      </c>
      <c r="Q1552" s="165" t="s">
        <v>16</v>
      </c>
      <c r="R1552" s="165" t="s">
        <v>16</v>
      </c>
      <c r="S1552" s="165" t="s">
        <v>148</v>
      </c>
      <c r="T1552" s="165" t="s">
        <v>148</v>
      </c>
      <c r="U1552" s="165" t="s">
        <v>149</v>
      </c>
      <c r="V1552" s="165" t="s">
        <v>16</v>
      </c>
      <c r="W1552" s="165" t="s">
        <v>148</v>
      </c>
      <c r="X1552" s="165" t="s">
        <v>148</v>
      </c>
      <c r="Y1552" s="165" t="s">
        <v>149</v>
      </c>
      <c r="Z1552" s="165" t="s">
        <v>16</v>
      </c>
      <c r="AA1552" s="165" t="s">
        <v>16</v>
      </c>
      <c r="AB1552" s="165" t="s">
        <v>16</v>
      </c>
      <c r="AC1552" s="165" t="s">
        <v>148</v>
      </c>
      <c r="AD1552" s="165" t="s">
        <v>16</v>
      </c>
      <c r="AE1552" s="165" t="s">
        <v>2367</v>
      </c>
      <c r="AF1552" s="165"/>
    </row>
    <row r="1553" spans="1:32" x14ac:dyDescent="0.3">
      <c r="A1553" s="165" t="s">
        <v>2394</v>
      </c>
      <c r="B1553" s="165" t="s">
        <v>14</v>
      </c>
      <c r="C1553" s="165" t="s">
        <v>2366</v>
      </c>
      <c r="D1553" s="165" t="s">
        <v>15</v>
      </c>
      <c r="E1553" s="157">
        <v>41881</v>
      </c>
      <c r="F1553" s="165" t="s">
        <v>16</v>
      </c>
      <c r="G1553" s="165" t="s">
        <v>16</v>
      </c>
      <c r="H1553" s="165" t="s">
        <v>16</v>
      </c>
      <c r="I1553" s="165" t="s">
        <v>148</v>
      </c>
      <c r="J1553" s="165" t="s">
        <v>16</v>
      </c>
      <c r="K1553" s="165" t="s">
        <v>149</v>
      </c>
      <c r="L1553" s="165" t="s">
        <v>149</v>
      </c>
      <c r="M1553" s="165" t="s">
        <v>16</v>
      </c>
      <c r="N1553" s="165" t="s">
        <v>148</v>
      </c>
      <c r="O1553" s="165" t="s">
        <v>148</v>
      </c>
      <c r="P1553" s="165" t="s">
        <v>148</v>
      </c>
      <c r="Q1553" s="165" t="s">
        <v>16</v>
      </c>
      <c r="R1553" s="165" t="s">
        <v>16</v>
      </c>
      <c r="S1553" s="165" t="s">
        <v>16</v>
      </c>
      <c r="T1553" s="165" t="s">
        <v>16</v>
      </c>
      <c r="U1553" s="165" t="s">
        <v>148</v>
      </c>
      <c r="V1553" s="165" t="s">
        <v>16</v>
      </c>
      <c r="W1553" s="165" t="s">
        <v>16</v>
      </c>
      <c r="X1553" s="165" t="s">
        <v>16</v>
      </c>
      <c r="Y1553" s="165" t="s">
        <v>16</v>
      </c>
      <c r="Z1553" s="165" t="s">
        <v>16</v>
      </c>
      <c r="AA1553" s="165" t="s">
        <v>16</v>
      </c>
      <c r="AB1553" s="165" t="s">
        <v>16</v>
      </c>
      <c r="AC1553" s="165" t="s">
        <v>16</v>
      </c>
      <c r="AD1553" s="165" t="s">
        <v>16</v>
      </c>
      <c r="AE1553" s="165" t="s">
        <v>2395</v>
      </c>
      <c r="AF1553" s="165"/>
    </row>
    <row r="1554" spans="1:32" x14ac:dyDescent="0.3">
      <c r="A1554" s="165" t="s">
        <v>2396</v>
      </c>
      <c r="B1554" s="165" t="s">
        <v>14</v>
      </c>
      <c r="C1554" s="165" t="s">
        <v>2366</v>
      </c>
      <c r="D1554" s="165" t="s">
        <v>15</v>
      </c>
      <c r="E1554" s="157">
        <v>41881</v>
      </c>
      <c r="F1554" s="165" t="s">
        <v>16</v>
      </c>
      <c r="G1554" s="165" t="s">
        <v>148</v>
      </c>
      <c r="H1554" s="165" t="s">
        <v>148</v>
      </c>
      <c r="I1554" s="165" t="s">
        <v>16</v>
      </c>
      <c r="J1554" s="165" t="s">
        <v>148</v>
      </c>
      <c r="K1554" s="165" t="s">
        <v>16</v>
      </c>
      <c r="L1554" s="165" t="s">
        <v>16</v>
      </c>
      <c r="M1554" s="165" t="s">
        <v>148</v>
      </c>
      <c r="N1554" s="165" t="s">
        <v>148</v>
      </c>
      <c r="O1554" s="165" t="s">
        <v>148</v>
      </c>
      <c r="P1554" s="165" t="s">
        <v>148</v>
      </c>
      <c r="Q1554" s="165" t="s">
        <v>16</v>
      </c>
      <c r="R1554" s="165" t="s">
        <v>16</v>
      </c>
      <c r="S1554" s="165" t="s">
        <v>148</v>
      </c>
      <c r="T1554" s="165" t="s">
        <v>16</v>
      </c>
      <c r="U1554" s="165" t="s">
        <v>148</v>
      </c>
      <c r="V1554" s="165" t="s">
        <v>148</v>
      </c>
      <c r="W1554" s="165" t="s">
        <v>16</v>
      </c>
      <c r="X1554" s="165" t="s">
        <v>148</v>
      </c>
      <c r="Y1554" s="165" t="s">
        <v>16</v>
      </c>
      <c r="Z1554" s="165" t="s">
        <v>16</v>
      </c>
      <c r="AA1554" s="165" t="s">
        <v>16</v>
      </c>
      <c r="AB1554" s="165" t="s">
        <v>16</v>
      </c>
      <c r="AC1554" s="165" t="s">
        <v>16</v>
      </c>
      <c r="AD1554" s="165" t="s">
        <v>16</v>
      </c>
      <c r="AE1554" s="165" t="s">
        <v>2395</v>
      </c>
      <c r="AF1554" s="165"/>
    </row>
    <row r="1555" spans="1:32" x14ac:dyDescent="0.3">
      <c r="A1555" s="165" t="s">
        <v>2397</v>
      </c>
      <c r="B1555" s="165" t="s">
        <v>14</v>
      </c>
      <c r="C1555" s="165" t="s">
        <v>2366</v>
      </c>
      <c r="D1555" s="165" t="s">
        <v>15</v>
      </c>
      <c r="E1555" s="157">
        <v>41881</v>
      </c>
      <c r="F1555" s="165" t="s">
        <v>16</v>
      </c>
      <c r="G1555" s="165" t="s">
        <v>16</v>
      </c>
      <c r="H1555" s="165" t="s">
        <v>16</v>
      </c>
      <c r="I1555" s="165" t="s">
        <v>148</v>
      </c>
      <c r="J1555" s="165" t="s">
        <v>16</v>
      </c>
      <c r="K1555" s="165" t="s">
        <v>16</v>
      </c>
      <c r="L1555" s="165" t="s">
        <v>16</v>
      </c>
      <c r="M1555" s="165" t="s">
        <v>16</v>
      </c>
      <c r="N1555" s="165" t="s">
        <v>148</v>
      </c>
      <c r="O1555" s="165" t="s">
        <v>148</v>
      </c>
      <c r="P1555" s="165" t="s">
        <v>16</v>
      </c>
      <c r="Q1555" s="165" t="s">
        <v>16</v>
      </c>
      <c r="R1555" s="165" t="s">
        <v>16</v>
      </c>
      <c r="S1555" s="165" t="s">
        <v>16</v>
      </c>
      <c r="T1555" s="165" t="s">
        <v>16</v>
      </c>
      <c r="U1555" s="165" t="s">
        <v>16</v>
      </c>
      <c r="V1555" s="165" t="s">
        <v>16</v>
      </c>
      <c r="W1555" s="165" t="s">
        <v>16</v>
      </c>
      <c r="X1555" s="165" t="s">
        <v>16</v>
      </c>
      <c r="Y1555" s="165" t="s">
        <v>16</v>
      </c>
      <c r="Z1555" s="165" t="s">
        <v>16</v>
      </c>
      <c r="AA1555" s="165" t="s">
        <v>16</v>
      </c>
      <c r="AB1555" s="165" t="s">
        <v>16</v>
      </c>
      <c r="AC1555" s="165" t="s">
        <v>16</v>
      </c>
      <c r="AD1555" s="165" t="s">
        <v>16</v>
      </c>
      <c r="AE1555" s="165" t="s">
        <v>2398</v>
      </c>
      <c r="AF1555" s="165" t="s">
        <v>2399</v>
      </c>
    </row>
    <row r="1556" spans="1:32" x14ac:dyDescent="0.3">
      <c r="A1556" s="165" t="s">
        <v>2400</v>
      </c>
      <c r="B1556" s="165" t="s">
        <v>14</v>
      </c>
      <c r="C1556" s="165" t="s">
        <v>2366</v>
      </c>
      <c r="D1556" s="165" t="s">
        <v>15</v>
      </c>
      <c r="E1556" s="157">
        <v>41881</v>
      </c>
      <c r="F1556" s="165" t="s">
        <v>16</v>
      </c>
      <c r="G1556" s="165" t="s">
        <v>16</v>
      </c>
      <c r="H1556" s="165" t="s">
        <v>16</v>
      </c>
      <c r="I1556" s="165" t="s">
        <v>16</v>
      </c>
      <c r="J1556" s="165" t="s">
        <v>16</v>
      </c>
      <c r="K1556" s="165" t="s">
        <v>16</v>
      </c>
      <c r="L1556" s="165" t="s">
        <v>16</v>
      </c>
      <c r="M1556" s="165" t="s">
        <v>16</v>
      </c>
      <c r="N1556" s="165" t="s">
        <v>16</v>
      </c>
      <c r="O1556" s="165" t="s">
        <v>16</v>
      </c>
      <c r="P1556" s="165" t="s">
        <v>16</v>
      </c>
      <c r="Q1556" s="165" t="s">
        <v>16</v>
      </c>
      <c r="R1556" s="165" t="s">
        <v>16</v>
      </c>
      <c r="S1556" s="165" t="s">
        <v>16</v>
      </c>
      <c r="T1556" s="165" t="s">
        <v>16</v>
      </c>
      <c r="U1556" s="165" t="s">
        <v>16</v>
      </c>
      <c r="V1556" s="165" t="s">
        <v>16</v>
      </c>
      <c r="W1556" s="165" t="s">
        <v>16</v>
      </c>
      <c r="X1556" s="165" t="s">
        <v>16</v>
      </c>
      <c r="Y1556" s="165" t="s">
        <v>16</v>
      </c>
      <c r="Z1556" s="165" t="s">
        <v>16</v>
      </c>
      <c r="AA1556" s="165" t="s">
        <v>16</v>
      </c>
      <c r="AB1556" s="165" t="s">
        <v>16</v>
      </c>
      <c r="AC1556" s="165" t="s">
        <v>16</v>
      </c>
      <c r="AD1556" s="165" t="s">
        <v>16</v>
      </c>
      <c r="AE1556" s="165" t="s">
        <v>2367</v>
      </c>
      <c r="AF1556" s="165"/>
    </row>
    <row r="1557" spans="1:32" x14ac:dyDescent="0.3">
      <c r="A1557" s="165" t="s">
        <v>2401</v>
      </c>
      <c r="B1557" s="165" t="s">
        <v>14</v>
      </c>
      <c r="C1557" s="165" t="s">
        <v>2366</v>
      </c>
      <c r="D1557" s="165" t="s">
        <v>15</v>
      </c>
      <c r="E1557" s="157">
        <v>41881</v>
      </c>
      <c r="F1557" s="165" t="s">
        <v>16</v>
      </c>
      <c r="G1557" s="165" t="s">
        <v>16</v>
      </c>
      <c r="H1557" s="165" t="s">
        <v>16</v>
      </c>
      <c r="I1557" s="165" t="s">
        <v>148</v>
      </c>
      <c r="J1557" s="165" t="s">
        <v>148</v>
      </c>
      <c r="K1557" s="165" t="s">
        <v>16</v>
      </c>
      <c r="L1557" s="165" t="s">
        <v>16</v>
      </c>
      <c r="M1557" s="165" t="s">
        <v>148</v>
      </c>
      <c r="N1557" s="165" t="s">
        <v>16</v>
      </c>
      <c r="O1557" s="165" t="s">
        <v>16</v>
      </c>
      <c r="P1557" s="165" t="s">
        <v>16</v>
      </c>
      <c r="Q1557" s="165" t="s">
        <v>16</v>
      </c>
      <c r="R1557" s="165" t="s">
        <v>16</v>
      </c>
      <c r="S1557" s="165" t="s">
        <v>16</v>
      </c>
      <c r="T1557" s="165" t="s">
        <v>148</v>
      </c>
      <c r="U1557" s="165" t="s">
        <v>16</v>
      </c>
      <c r="V1557" s="165" t="s">
        <v>16</v>
      </c>
      <c r="W1557" s="165" t="s">
        <v>16</v>
      </c>
      <c r="X1557" s="165" t="s">
        <v>16</v>
      </c>
      <c r="Y1557" s="165" t="s">
        <v>16</v>
      </c>
      <c r="Z1557" s="165" t="s">
        <v>148</v>
      </c>
      <c r="AA1557" s="165" t="s">
        <v>16</v>
      </c>
      <c r="AB1557" s="165" t="s">
        <v>16</v>
      </c>
      <c r="AC1557" s="165" t="s">
        <v>148</v>
      </c>
      <c r="AD1557" s="165" t="s">
        <v>16</v>
      </c>
      <c r="AE1557" s="165" t="s">
        <v>2402</v>
      </c>
      <c r="AF1557" s="165"/>
    </row>
    <row r="1558" spans="1:32" x14ac:dyDescent="0.3">
      <c r="A1558" s="165" t="s">
        <v>2403</v>
      </c>
      <c r="B1558" s="165" t="s">
        <v>14</v>
      </c>
      <c r="C1558" s="165" t="s">
        <v>2366</v>
      </c>
      <c r="D1558" s="165" t="s">
        <v>15</v>
      </c>
      <c r="E1558" s="157">
        <v>41881</v>
      </c>
      <c r="F1558" s="165" t="s">
        <v>148</v>
      </c>
      <c r="G1558" s="165" t="s">
        <v>16</v>
      </c>
      <c r="H1558" s="165" t="s">
        <v>149</v>
      </c>
      <c r="I1558" s="165" t="s">
        <v>16</v>
      </c>
      <c r="J1558" s="165" t="s">
        <v>149</v>
      </c>
      <c r="K1558" s="165" t="s">
        <v>16</v>
      </c>
      <c r="L1558" s="165" t="s">
        <v>16</v>
      </c>
      <c r="M1558" s="165" t="s">
        <v>16</v>
      </c>
      <c r="N1558" s="165" t="s">
        <v>16</v>
      </c>
      <c r="O1558" s="165" t="s">
        <v>148</v>
      </c>
      <c r="P1558" s="165" t="s">
        <v>16</v>
      </c>
      <c r="Q1558" s="165" t="s">
        <v>16</v>
      </c>
      <c r="R1558" s="165" t="s">
        <v>16</v>
      </c>
      <c r="S1558" s="165" t="s">
        <v>16</v>
      </c>
      <c r="T1558" s="165" t="s">
        <v>16</v>
      </c>
      <c r="U1558" s="165" t="s">
        <v>16</v>
      </c>
      <c r="V1558" s="165" t="s">
        <v>16</v>
      </c>
      <c r="W1558" s="165" t="s">
        <v>148</v>
      </c>
      <c r="X1558" s="165" t="s">
        <v>16</v>
      </c>
      <c r="Y1558" s="165" t="s">
        <v>16</v>
      </c>
      <c r="Z1558" s="165" t="s">
        <v>16</v>
      </c>
      <c r="AA1558" s="165" t="s">
        <v>16</v>
      </c>
      <c r="AB1558" s="165" t="s">
        <v>16</v>
      </c>
      <c r="AC1558" s="165" t="s">
        <v>16</v>
      </c>
      <c r="AD1558" s="165" t="s">
        <v>16</v>
      </c>
      <c r="AE1558" s="165" t="s">
        <v>2404</v>
      </c>
      <c r="AF1558" s="165"/>
    </row>
    <row r="1559" spans="1:32" x14ac:dyDescent="0.3">
      <c r="A1559" s="165" t="s">
        <v>2405</v>
      </c>
      <c r="B1559" s="165" t="s">
        <v>14</v>
      </c>
      <c r="C1559" s="165" t="s">
        <v>2366</v>
      </c>
      <c r="D1559" s="165" t="s">
        <v>15</v>
      </c>
      <c r="E1559" s="157">
        <v>41881</v>
      </c>
      <c r="F1559" s="165" t="s">
        <v>16</v>
      </c>
      <c r="G1559" s="165" t="s">
        <v>148</v>
      </c>
      <c r="H1559" s="165" t="s">
        <v>16</v>
      </c>
      <c r="I1559" s="165" t="s">
        <v>16</v>
      </c>
      <c r="J1559" s="165" t="s">
        <v>148</v>
      </c>
      <c r="K1559" s="165" t="s">
        <v>148</v>
      </c>
      <c r="L1559" s="165" t="s">
        <v>16</v>
      </c>
      <c r="M1559" s="165" t="s">
        <v>16</v>
      </c>
      <c r="N1559" s="165" t="s">
        <v>148</v>
      </c>
      <c r="O1559" s="165" t="s">
        <v>16</v>
      </c>
      <c r="P1559" s="165" t="s">
        <v>148</v>
      </c>
      <c r="Q1559" s="165" t="s">
        <v>16</v>
      </c>
      <c r="R1559" s="165" t="s">
        <v>148</v>
      </c>
      <c r="S1559" s="165" t="s">
        <v>148</v>
      </c>
      <c r="T1559" s="165" t="s">
        <v>16</v>
      </c>
      <c r="U1559" s="165" t="s">
        <v>16</v>
      </c>
      <c r="V1559" s="165" t="s">
        <v>16</v>
      </c>
      <c r="W1559" s="165" t="s">
        <v>16</v>
      </c>
      <c r="X1559" s="165" t="s">
        <v>16</v>
      </c>
      <c r="Y1559" s="165" t="s">
        <v>148</v>
      </c>
      <c r="Z1559" s="165" t="s">
        <v>16</v>
      </c>
      <c r="AA1559" s="165" t="s">
        <v>16</v>
      </c>
      <c r="AB1559" s="165" t="s">
        <v>148</v>
      </c>
      <c r="AC1559" s="165" t="s">
        <v>148</v>
      </c>
      <c r="AD1559" s="165" t="s">
        <v>148</v>
      </c>
      <c r="AE1559" s="165" t="s">
        <v>2402</v>
      </c>
      <c r="AF1559" s="165"/>
    </row>
    <row r="1560" spans="1:32" x14ac:dyDescent="0.3">
      <c r="A1560" s="165" t="s">
        <v>2406</v>
      </c>
      <c r="B1560" s="165" t="s">
        <v>14</v>
      </c>
      <c r="C1560" s="165" t="s">
        <v>2366</v>
      </c>
      <c r="D1560" s="165" t="s">
        <v>15</v>
      </c>
      <c r="E1560" s="157">
        <v>41881</v>
      </c>
      <c r="F1560" s="165" t="s">
        <v>16</v>
      </c>
      <c r="G1560" s="165" t="s">
        <v>16</v>
      </c>
      <c r="H1560" s="165" t="s">
        <v>16</v>
      </c>
      <c r="I1560" s="165" t="s">
        <v>148</v>
      </c>
      <c r="J1560" s="165" t="s">
        <v>149</v>
      </c>
      <c r="K1560" s="165" t="s">
        <v>16</v>
      </c>
      <c r="L1560" s="165" t="s">
        <v>16</v>
      </c>
      <c r="M1560" s="165" t="s">
        <v>16</v>
      </c>
      <c r="N1560" s="165" t="s">
        <v>148</v>
      </c>
      <c r="O1560" s="165" t="s">
        <v>148</v>
      </c>
      <c r="P1560" s="165" t="s">
        <v>148</v>
      </c>
      <c r="Q1560" s="165" t="s">
        <v>16</v>
      </c>
      <c r="R1560" s="165" t="s">
        <v>16</v>
      </c>
      <c r="S1560" s="165" t="s">
        <v>148</v>
      </c>
      <c r="T1560" s="165" t="s">
        <v>16</v>
      </c>
      <c r="U1560" s="165" t="s">
        <v>148</v>
      </c>
      <c r="V1560" s="165" t="s">
        <v>16</v>
      </c>
      <c r="W1560" s="165" t="s">
        <v>16</v>
      </c>
      <c r="X1560" s="165" t="s">
        <v>148</v>
      </c>
      <c r="Y1560" s="165" t="s">
        <v>16</v>
      </c>
      <c r="Z1560" s="165" t="s">
        <v>16</v>
      </c>
      <c r="AA1560" s="165" t="s">
        <v>16</v>
      </c>
      <c r="AB1560" s="165" t="s">
        <v>16</v>
      </c>
      <c r="AC1560" s="165" t="s">
        <v>148</v>
      </c>
      <c r="AD1560" s="165" t="s">
        <v>16</v>
      </c>
      <c r="AE1560" s="165" t="s">
        <v>2402</v>
      </c>
      <c r="AF1560" s="165"/>
    </row>
    <row r="1561" spans="1:32" x14ac:dyDescent="0.3">
      <c r="A1561" s="165" t="s">
        <v>2407</v>
      </c>
      <c r="B1561" s="165" t="s">
        <v>14</v>
      </c>
      <c r="C1561" s="165" t="s">
        <v>2366</v>
      </c>
      <c r="D1561" s="165" t="s">
        <v>15</v>
      </c>
      <c r="E1561" s="157">
        <v>41881</v>
      </c>
      <c r="F1561" s="165" t="s">
        <v>16</v>
      </c>
      <c r="G1561" s="165" t="s">
        <v>16</v>
      </c>
      <c r="H1561" s="165" t="s">
        <v>16</v>
      </c>
      <c r="I1561" s="165" t="s">
        <v>16</v>
      </c>
      <c r="J1561" s="165" t="s">
        <v>148</v>
      </c>
      <c r="K1561" s="165" t="s">
        <v>16</v>
      </c>
      <c r="L1561" s="165" t="s">
        <v>16</v>
      </c>
      <c r="M1561" s="165" t="s">
        <v>16</v>
      </c>
      <c r="N1561" s="165" t="s">
        <v>16</v>
      </c>
      <c r="O1561" s="165" t="s">
        <v>16</v>
      </c>
      <c r="P1561" s="165" t="s">
        <v>16</v>
      </c>
      <c r="Q1561" s="165" t="s">
        <v>16</v>
      </c>
      <c r="R1561" s="165" t="s">
        <v>148</v>
      </c>
      <c r="S1561" s="165" t="s">
        <v>16</v>
      </c>
      <c r="T1561" s="165" t="s">
        <v>16</v>
      </c>
      <c r="U1561" s="165" t="s">
        <v>16</v>
      </c>
      <c r="V1561" s="165" t="s">
        <v>16</v>
      </c>
      <c r="W1561" s="165" t="s">
        <v>16</v>
      </c>
      <c r="X1561" s="165" t="s">
        <v>148</v>
      </c>
      <c r="Y1561" s="165" t="s">
        <v>16</v>
      </c>
      <c r="Z1561" s="165" t="s">
        <v>16</v>
      </c>
      <c r="AA1561" s="165" t="s">
        <v>16</v>
      </c>
      <c r="AB1561" s="165" t="s">
        <v>16</v>
      </c>
      <c r="AC1561" s="165" t="s">
        <v>16</v>
      </c>
      <c r="AD1561" s="165" t="s">
        <v>16</v>
      </c>
      <c r="AE1561" s="165" t="s">
        <v>2408</v>
      </c>
      <c r="AF1561" s="165" t="s">
        <v>2409</v>
      </c>
    </row>
    <row r="1562" spans="1:32" x14ac:dyDescent="0.3">
      <c r="A1562" s="165" t="s">
        <v>2410</v>
      </c>
      <c r="B1562" s="165" t="s">
        <v>14</v>
      </c>
      <c r="C1562" s="165" t="s">
        <v>2366</v>
      </c>
      <c r="D1562" s="165" t="s">
        <v>15</v>
      </c>
      <c r="E1562" s="157">
        <v>41881</v>
      </c>
      <c r="F1562" s="165" t="s">
        <v>16</v>
      </c>
      <c r="G1562" s="165" t="s">
        <v>16</v>
      </c>
      <c r="H1562" s="165" t="s">
        <v>16</v>
      </c>
      <c r="I1562" s="165" t="s">
        <v>16</v>
      </c>
      <c r="J1562" s="165" t="s">
        <v>16</v>
      </c>
      <c r="K1562" s="165" t="s">
        <v>16</v>
      </c>
      <c r="L1562" s="165" t="s">
        <v>16</v>
      </c>
      <c r="M1562" s="165" t="s">
        <v>16</v>
      </c>
      <c r="N1562" s="165" t="s">
        <v>16</v>
      </c>
      <c r="O1562" s="165" t="s">
        <v>16</v>
      </c>
      <c r="P1562" s="165" t="s">
        <v>16</v>
      </c>
      <c r="Q1562" s="165" t="s">
        <v>16</v>
      </c>
      <c r="R1562" s="165" t="s">
        <v>16</v>
      </c>
      <c r="S1562" s="165" t="s">
        <v>16</v>
      </c>
      <c r="T1562" s="165" t="s">
        <v>16</v>
      </c>
      <c r="U1562" s="165" t="s">
        <v>16</v>
      </c>
      <c r="V1562" s="165" t="s">
        <v>16</v>
      </c>
      <c r="W1562" s="165" t="s">
        <v>16</v>
      </c>
      <c r="X1562" s="165" t="s">
        <v>16</v>
      </c>
      <c r="Y1562" s="165" t="s">
        <v>16</v>
      </c>
      <c r="Z1562" s="165" t="s">
        <v>16</v>
      </c>
      <c r="AA1562" s="165" t="s">
        <v>16</v>
      </c>
      <c r="AB1562" s="165" t="s">
        <v>16</v>
      </c>
      <c r="AC1562" s="165" t="s">
        <v>16</v>
      </c>
      <c r="AD1562" s="165" t="s">
        <v>16</v>
      </c>
      <c r="AE1562" s="165" t="s">
        <v>2411</v>
      </c>
      <c r="AF1562" s="165"/>
    </row>
    <row r="1563" spans="1:32" x14ac:dyDescent="0.3">
      <c r="A1563" s="165" t="s">
        <v>2412</v>
      </c>
      <c r="B1563" s="165" t="s">
        <v>14</v>
      </c>
      <c r="C1563" s="165" t="s">
        <v>2366</v>
      </c>
      <c r="D1563" s="165" t="s">
        <v>15</v>
      </c>
      <c r="E1563" s="157">
        <v>41881</v>
      </c>
      <c r="F1563" s="165" t="s">
        <v>16</v>
      </c>
      <c r="G1563" s="165" t="s">
        <v>16</v>
      </c>
      <c r="H1563" s="165" t="s">
        <v>16</v>
      </c>
      <c r="I1563" s="165" t="s">
        <v>16</v>
      </c>
      <c r="J1563" s="165" t="s">
        <v>16</v>
      </c>
      <c r="K1563" s="165" t="s">
        <v>16</v>
      </c>
      <c r="L1563" s="165" t="s">
        <v>16</v>
      </c>
      <c r="M1563" s="165" t="s">
        <v>16</v>
      </c>
      <c r="N1563" s="165" t="s">
        <v>16</v>
      </c>
      <c r="O1563" s="165" t="s">
        <v>16</v>
      </c>
      <c r="P1563" s="165" t="s">
        <v>16</v>
      </c>
      <c r="Q1563" s="165" t="s">
        <v>16</v>
      </c>
      <c r="R1563" s="165" t="s">
        <v>16</v>
      </c>
      <c r="S1563" s="165" t="s">
        <v>16</v>
      </c>
      <c r="T1563" s="165" t="s">
        <v>16</v>
      </c>
      <c r="U1563" s="165" t="s">
        <v>16</v>
      </c>
      <c r="V1563" s="165" t="s">
        <v>16</v>
      </c>
      <c r="W1563" s="165" t="s">
        <v>16</v>
      </c>
      <c r="X1563" s="165" t="s">
        <v>16</v>
      </c>
      <c r="Y1563" s="165" t="s">
        <v>16</v>
      </c>
      <c r="Z1563" s="165" t="s">
        <v>16</v>
      </c>
      <c r="AA1563" s="165" t="s">
        <v>16</v>
      </c>
      <c r="AB1563" s="165" t="s">
        <v>16</v>
      </c>
      <c r="AC1563" s="165" t="s">
        <v>16</v>
      </c>
      <c r="AD1563" s="165" t="s">
        <v>16</v>
      </c>
      <c r="AE1563" s="165" t="s">
        <v>2413</v>
      </c>
      <c r="AF1563" s="165"/>
    </row>
    <row r="1566" spans="1:32" x14ac:dyDescent="0.3">
      <c r="A1566" s="165"/>
      <c r="B1566" s="165"/>
      <c r="C1566" s="165"/>
      <c r="D1566" s="165"/>
      <c r="E1566" s="165"/>
      <c r="F1566" s="165" t="s">
        <v>124</v>
      </c>
      <c r="G1566" s="165" t="s">
        <v>125</v>
      </c>
      <c r="H1566" s="165" t="s">
        <v>126</v>
      </c>
      <c r="I1566" s="165" t="s">
        <v>127</v>
      </c>
      <c r="J1566" s="165" t="s">
        <v>214</v>
      </c>
      <c r="K1566" s="165" t="s">
        <v>128</v>
      </c>
      <c r="L1566" s="165" t="s">
        <v>129</v>
      </c>
      <c r="M1566" s="165" t="s">
        <v>130</v>
      </c>
      <c r="N1566" s="165" t="s">
        <v>131</v>
      </c>
      <c r="O1566" s="165" t="s">
        <v>132</v>
      </c>
      <c r="P1566" s="165" t="s">
        <v>133</v>
      </c>
      <c r="Q1566" s="165" t="s">
        <v>134</v>
      </c>
      <c r="R1566" s="165" t="s">
        <v>135</v>
      </c>
      <c r="S1566" s="165" t="s">
        <v>136</v>
      </c>
      <c r="T1566" s="165" t="s">
        <v>137</v>
      </c>
      <c r="U1566" s="165" t="s">
        <v>138</v>
      </c>
      <c r="V1566" s="165" t="s">
        <v>139</v>
      </c>
      <c r="W1566" s="165" t="s">
        <v>140</v>
      </c>
      <c r="X1566" s="165" t="s">
        <v>186</v>
      </c>
      <c r="Y1566" s="165" t="s">
        <v>209</v>
      </c>
      <c r="Z1566" s="165" t="s">
        <v>141</v>
      </c>
      <c r="AA1566" s="165" t="s">
        <v>142</v>
      </c>
      <c r="AB1566" s="165" t="s">
        <v>210</v>
      </c>
      <c r="AC1566" s="165" t="s">
        <v>1180</v>
      </c>
      <c r="AD1566" s="165" t="s">
        <v>144</v>
      </c>
      <c r="AE1566" s="165" t="s">
        <v>2414</v>
      </c>
      <c r="AF1566" s="165" t="s">
        <v>190</v>
      </c>
    </row>
    <row r="1567" spans="1:32" x14ac:dyDescent="0.3">
      <c r="A1567" s="165" t="s">
        <v>2415</v>
      </c>
      <c r="B1567" s="165" t="s">
        <v>14</v>
      </c>
      <c r="C1567" s="165" t="s">
        <v>2416</v>
      </c>
      <c r="D1567" s="165" t="s">
        <v>15</v>
      </c>
      <c r="E1567" s="157">
        <v>41911</v>
      </c>
      <c r="F1567" s="165" t="s">
        <v>16</v>
      </c>
      <c r="G1567" s="165" t="s">
        <v>16</v>
      </c>
      <c r="H1567" s="165" t="s">
        <v>16</v>
      </c>
      <c r="I1567" s="165" t="s">
        <v>16</v>
      </c>
      <c r="J1567" s="165" t="s">
        <v>16</v>
      </c>
      <c r="K1567" s="165" t="s">
        <v>16</v>
      </c>
      <c r="L1567" s="165" t="s">
        <v>16</v>
      </c>
      <c r="M1567" s="165" t="s">
        <v>16</v>
      </c>
      <c r="N1567" s="165" t="s">
        <v>16</v>
      </c>
      <c r="O1567" s="165" t="s">
        <v>16</v>
      </c>
      <c r="P1567" s="165" t="s">
        <v>16</v>
      </c>
      <c r="Q1567" s="165" t="s">
        <v>16</v>
      </c>
      <c r="R1567" s="165" t="s">
        <v>16</v>
      </c>
      <c r="S1567" s="165" t="s">
        <v>16</v>
      </c>
      <c r="T1567" s="165" t="s">
        <v>16</v>
      </c>
      <c r="U1567" s="165" t="s">
        <v>16</v>
      </c>
      <c r="V1567" s="165" t="s">
        <v>16</v>
      </c>
      <c r="W1567" s="165" t="s">
        <v>16</v>
      </c>
      <c r="X1567" s="165" t="s">
        <v>16</v>
      </c>
      <c r="Y1567" s="165" t="s">
        <v>16</v>
      </c>
      <c r="Z1567" s="165" t="s">
        <v>16</v>
      </c>
      <c r="AA1567" s="165" t="s">
        <v>16</v>
      </c>
      <c r="AB1567" s="165" t="s">
        <v>16</v>
      </c>
      <c r="AC1567" s="165" t="s">
        <v>16</v>
      </c>
      <c r="AD1567" s="165" t="s">
        <v>16</v>
      </c>
      <c r="AE1567" s="165" t="s">
        <v>2417</v>
      </c>
      <c r="AF1567" s="165"/>
    </row>
    <row r="1568" spans="1:32" x14ac:dyDescent="0.3">
      <c r="A1568" s="165" t="s">
        <v>2418</v>
      </c>
      <c r="B1568" s="165" t="s">
        <v>14</v>
      </c>
      <c r="C1568" s="165" t="s">
        <v>2416</v>
      </c>
      <c r="D1568" s="165" t="s">
        <v>15</v>
      </c>
      <c r="E1568" s="157">
        <v>41911</v>
      </c>
      <c r="F1568" s="165" t="s">
        <v>16</v>
      </c>
      <c r="G1568" s="165" t="s">
        <v>148</v>
      </c>
      <c r="H1568" s="165" t="s">
        <v>148</v>
      </c>
      <c r="I1568" s="165" t="s">
        <v>16</v>
      </c>
      <c r="J1568" s="165" t="s">
        <v>148</v>
      </c>
      <c r="K1568" s="165" t="s">
        <v>16</v>
      </c>
      <c r="L1568" s="165" t="s">
        <v>16</v>
      </c>
      <c r="M1568" s="165" t="s">
        <v>148</v>
      </c>
      <c r="N1568" s="165" t="s">
        <v>16</v>
      </c>
      <c r="O1568" s="165" t="s">
        <v>16</v>
      </c>
      <c r="P1568" s="165" t="s">
        <v>16</v>
      </c>
      <c r="Q1568" s="165" t="s">
        <v>16</v>
      </c>
      <c r="R1568" s="165" t="s">
        <v>16</v>
      </c>
      <c r="S1568" s="165" t="s">
        <v>16</v>
      </c>
      <c r="T1568" s="165" t="s">
        <v>16</v>
      </c>
      <c r="U1568" s="165" t="s">
        <v>16</v>
      </c>
      <c r="V1568" s="165" t="s">
        <v>148</v>
      </c>
      <c r="W1568" s="165" t="s">
        <v>148</v>
      </c>
      <c r="X1568" s="165" t="s">
        <v>16</v>
      </c>
      <c r="Y1568" s="165" t="s">
        <v>148</v>
      </c>
      <c r="Z1568" s="165" t="s">
        <v>16</v>
      </c>
      <c r="AA1568" s="165" t="s">
        <v>16</v>
      </c>
      <c r="AB1568" s="165" t="s">
        <v>16</v>
      </c>
      <c r="AC1568" s="165" t="s">
        <v>16</v>
      </c>
      <c r="AD1568" s="165" t="s">
        <v>16</v>
      </c>
      <c r="AE1568" s="165" t="s">
        <v>2419</v>
      </c>
      <c r="AF1568" s="165"/>
    </row>
    <row r="1569" spans="1:32" x14ac:dyDescent="0.3">
      <c r="A1569" s="165" t="s">
        <v>2420</v>
      </c>
      <c r="B1569" s="165" t="s">
        <v>14</v>
      </c>
      <c r="C1569" s="165" t="s">
        <v>2416</v>
      </c>
      <c r="D1569" s="165" t="s">
        <v>15</v>
      </c>
      <c r="E1569" s="157">
        <v>41911</v>
      </c>
      <c r="F1569" s="165" t="s">
        <v>16</v>
      </c>
      <c r="G1569" s="165" t="s">
        <v>16</v>
      </c>
      <c r="H1569" s="165" t="s">
        <v>16</v>
      </c>
      <c r="I1569" s="165" t="s">
        <v>148</v>
      </c>
      <c r="J1569" s="165" t="s">
        <v>16</v>
      </c>
      <c r="K1569" s="165" t="s">
        <v>16</v>
      </c>
      <c r="L1569" s="165" t="s">
        <v>16</v>
      </c>
      <c r="M1569" s="165" t="s">
        <v>16</v>
      </c>
      <c r="N1569" s="165" t="s">
        <v>148</v>
      </c>
      <c r="O1569" s="165" t="s">
        <v>16</v>
      </c>
      <c r="P1569" s="165" t="s">
        <v>16</v>
      </c>
      <c r="Q1569" s="165" t="s">
        <v>16</v>
      </c>
      <c r="R1569" s="165" t="s">
        <v>16</v>
      </c>
      <c r="S1569" s="165" t="s">
        <v>16</v>
      </c>
      <c r="T1569" s="165" t="s">
        <v>16</v>
      </c>
      <c r="U1569" s="165" t="s">
        <v>16</v>
      </c>
      <c r="V1569" s="165" t="s">
        <v>16</v>
      </c>
      <c r="W1569" s="165" t="s">
        <v>16</v>
      </c>
      <c r="X1569" s="165" t="s">
        <v>16</v>
      </c>
      <c r="Y1569" s="165" t="s">
        <v>16</v>
      </c>
      <c r="Z1569" s="165" t="s">
        <v>16</v>
      </c>
      <c r="AA1569" s="165" t="s">
        <v>16</v>
      </c>
      <c r="AB1569" s="165" t="s">
        <v>16</v>
      </c>
      <c r="AC1569" s="165" t="s">
        <v>16</v>
      </c>
      <c r="AD1569" s="165" t="s">
        <v>16</v>
      </c>
      <c r="AE1569" s="165" t="s">
        <v>2421</v>
      </c>
      <c r="AF1569" s="165"/>
    </row>
    <row r="1570" spans="1:32" x14ac:dyDescent="0.3">
      <c r="A1570" s="165" t="s">
        <v>2422</v>
      </c>
      <c r="B1570" s="165" t="s">
        <v>14</v>
      </c>
      <c r="C1570" s="165" t="s">
        <v>2416</v>
      </c>
      <c r="D1570" s="165" t="s">
        <v>15</v>
      </c>
      <c r="E1570" s="157">
        <v>41911</v>
      </c>
      <c r="F1570" s="165" t="s">
        <v>16</v>
      </c>
      <c r="G1570" s="165" t="s">
        <v>16</v>
      </c>
      <c r="H1570" s="165" t="s">
        <v>16</v>
      </c>
      <c r="I1570" s="165" t="s">
        <v>16</v>
      </c>
      <c r="J1570" s="165" t="s">
        <v>16</v>
      </c>
      <c r="K1570" s="165" t="s">
        <v>16</v>
      </c>
      <c r="L1570" s="165" t="s">
        <v>16</v>
      </c>
      <c r="M1570" s="165" t="s">
        <v>16</v>
      </c>
      <c r="N1570" s="165" t="s">
        <v>16</v>
      </c>
      <c r="O1570" s="165" t="s">
        <v>16</v>
      </c>
      <c r="P1570" s="165" t="s">
        <v>16</v>
      </c>
      <c r="Q1570" s="165" t="s">
        <v>16</v>
      </c>
      <c r="R1570" s="165" t="s">
        <v>16</v>
      </c>
      <c r="S1570" s="165" t="s">
        <v>16</v>
      </c>
      <c r="T1570" s="165" t="s">
        <v>16</v>
      </c>
      <c r="U1570" s="165" t="s">
        <v>16</v>
      </c>
      <c r="V1570" s="165" t="s">
        <v>16</v>
      </c>
      <c r="W1570" s="165" t="s">
        <v>16</v>
      </c>
      <c r="X1570" s="165" t="s">
        <v>16</v>
      </c>
      <c r="Y1570" s="165" t="s">
        <v>16</v>
      </c>
      <c r="Z1570" s="165" t="s">
        <v>16</v>
      </c>
      <c r="AA1570" s="165" t="s">
        <v>16</v>
      </c>
      <c r="AB1570" s="165" t="s">
        <v>16</v>
      </c>
      <c r="AC1570" s="165" t="s">
        <v>16</v>
      </c>
      <c r="AD1570" s="165" t="s">
        <v>16</v>
      </c>
      <c r="AE1570" s="165" t="s">
        <v>2423</v>
      </c>
      <c r="AF1570" s="165"/>
    </row>
    <row r="1571" spans="1:32" x14ac:dyDescent="0.3">
      <c r="A1571" s="165" t="s">
        <v>2424</v>
      </c>
      <c r="B1571" s="165" t="s">
        <v>14</v>
      </c>
      <c r="C1571" s="165" t="s">
        <v>2416</v>
      </c>
      <c r="D1571" s="165" t="s">
        <v>15</v>
      </c>
      <c r="E1571" s="157">
        <v>41911</v>
      </c>
      <c r="F1571" s="165" t="s">
        <v>16</v>
      </c>
      <c r="G1571" s="165" t="s">
        <v>16</v>
      </c>
      <c r="H1571" s="165" t="s">
        <v>16</v>
      </c>
      <c r="I1571" s="165" t="s">
        <v>148</v>
      </c>
      <c r="J1571" s="165" t="s">
        <v>148</v>
      </c>
      <c r="K1571" s="165" t="s">
        <v>16</v>
      </c>
      <c r="L1571" s="165" t="s">
        <v>16</v>
      </c>
      <c r="M1571" s="165" t="s">
        <v>148</v>
      </c>
      <c r="N1571" s="165" t="s">
        <v>150</v>
      </c>
      <c r="O1571" s="165" t="s">
        <v>148</v>
      </c>
      <c r="P1571" s="165" t="s">
        <v>16</v>
      </c>
      <c r="Q1571" s="165" t="s">
        <v>16</v>
      </c>
      <c r="R1571" s="165" t="s">
        <v>16</v>
      </c>
      <c r="S1571" s="165" t="s">
        <v>16</v>
      </c>
      <c r="T1571" s="165" t="s">
        <v>16</v>
      </c>
      <c r="U1571" s="165" t="s">
        <v>16</v>
      </c>
      <c r="V1571" s="165" t="s">
        <v>148</v>
      </c>
      <c r="W1571" s="165" t="s">
        <v>148</v>
      </c>
      <c r="X1571" s="165" t="s">
        <v>148</v>
      </c>
      <c r="Y1571" s="165" t="s">
        <v>16</v>
      </c>
      <c r="Z1571" s="165" t="s">
        <v>16</v>
      </c>
      <c r="AA1571" s="165" t="s">
        <v>16</v>
      </c>
      <c r="AB1571" s="165" t="s">
        <v>148</v>
      </c>
      <c r="AC1571" s="165" t="s">
        <v>16</v>
      </c>
      <c r="AD1571" s="165" t="s">
        <v>148</v>
      </c>
      <c r="AE1571" s="165" t="s">
        <v>2421</v>
      </c>
      <c r="AF1571" s="165" t="s">
        <v>2425</v>
      </c>
    </row>
    <row r="1572" spans="1:32" x14ac:dyDescent="0.3">
      <c r="A1572" s="165" t="s">
        <v>2426</v>
      </c>
      <c r="B1572" s="165" t="s">
        <v>14</v>
      </c>
      <c r="C1572" s="165" t="s">
        <v>2416</v>
      </c>
      <c r="D1572" s="165" t="s">
        <v>15</v>
      </c>
      <c r="E1572" s="157">
        <v>41911</v>
      </c>
      <c r="F1572" s="165" t="s">
        <v>16</v>
      </c>
      <c r="G1572" s="165" t="s">
        <v>16</v>
      </c>
      <c r="H1572" s="165" t="s">
        <v>16</v>
      </c>
      <c r="I1572" s="165" t="s">
        <v>148</v>
      </c>
      <c r="J1572" s="165" t="s">
        <v>148</v>
      </c>
      <c r="K1572" s="165" t="s">
        <v>149</v>
      </c>
      <c r="L1572" s="165" t="s">
        <v>16</v>
      </c>
      <c r="M1572" s="165" t="s">
        <v>16</v>
      </c>
      <c r="N1572" s="165" t="s">
        <v>148</v>
      </c>
      <c r="O1572" s="165" t="s">
        <v>148</v>
      </c>
      <c r="P1572" s="165" t="s">
        <v>148</v>
      </c>
      <c r="Q1572" s="165" t="s">
        <v>16</v>
      </c>
      <c r="R1572" s="165" t="s">
        <v>16</v>
      </c>
      <c r="S1572" s="165" t="s">
        <v>16</v>
      </c>
      <c r="T1572" s="165" t="s">
        <v>16</v>
      </c>
      <c r="U1572" s="165" t="s">
        <v>148</v>
      </c>
      <c r="V1572" s="165" t="s">
        <v>16</v>
      </c>
      <c r="W1572" s="165" t="s">
        <v>16</v>
      </c>
      <c r="X1572" s="165" t="s">
        <v>16</v>
      </c>
      <c r="Y1572" s="165" t="s">
        <v>16</v>
      </c>
      <c r="Z1572" s="165" t="s">
        <v>148</v>
      </c>
      <c r="AA1572" s="165" t="s">
        <v>148</v>
      </c>
      <c r="AB1572" s="165" t="s">
        <v>16</v>
      </c>
      <c r="AC1572" s="165" t="s">
        <v>16</v>
      </c>
      <c r="AD1572" s="165" t="s">
        <v>16</v>
      </c>
      <c r="AE1572" s="165" t="s">
        <v>2423</v>
      </c>
      <c r="AF1572" s="165"/>
    </row>
    <row r="1573" spans="1:32" x14ac:dyDescent="0.3">
      <c r="A1573" s="165" t="s">
        <v>2427</v>
      </c>
      <c r="B1573" s="165" t="s">
        <v>14</v>
      </c>
      <c r="C1573" s="165" t="s">
        <v>2416</v>
      </c>
      <c r="D1573" s="165" t="s">
        <v>15</v>
      </c>
      <c r="E1573" s="157">
        <v>41911</v>
      </c>
      <c r="F1573" s="165" t="s">
        <v>16</v>
      </c>
      <c r="G1573" s="165" t="s">
        <v>16</v>
      </c>
      <c r="H1573" s="165" t="s">
        <v>16</v>
      </c>
      <c r="I1573" s="165" t="s">
        <v>16</v>
      </c>
      <c r="J1573" s="165" t="s">
        <v>16</v>
      </c>
      <c r="K1573" s="165" t="s">
        <v>16</v>
      </c>
      <c r="L1573" s="165" t="s">
        <v>16</v>
      </c>
      <c r="M1573" s="165" t="s">
        <v>16</v>
      </c>
      <c r="N1573" s="165" t="s">
        <v>16</v>
      </c>
      <c r="O1573" s="165" t="s">
        <v>16</v>
      </c>
      <c r="P1573" s="165" t="s">
        <v>16</v>
      </c>
      <c r="Q1573" s="165" t="s">
        <v>16</v>
      </c>
      <c r="R1573" s="165" t="s">
        <v>16</v>
      </c>
      <c r="S1573" s="165" t="s">
        <v>16</v>
      </c>
      <c r="T1573" s="165" t="s">
        <v>16</v>
      </c>
      <c r="U1573" s="165" t="s">
        <v>16</v>
      </c>
      <c r="V1573" s="165" t="s">
        <v>16</v>
      </c>
      <c r="W1573" s="165" t="s">
        <v>16</v>
      </c>
      <c r="X1573" s="165" t="s">
        <v>16</v>
      </c>
      <c r="Y1573" s="165" t="s">
        <v>16</v>
      </c>
      <c r="Z1573" s="165" t="s">
        <v>16</v>
      </c>
      <c r="AA1573" s="165" t="s">
        <v>16</v>
      </c>
      <c r="AB1573" s="165" t="s">
        <v>16</v>
      </c>
      <c r="AC1573" s="165" t="s">
        <v>16</v>
      </c>
      <c r="AD1573" s="165" t="s">
        <v>16</v>
      </c>
      <c r="AE1573" s="165" t="s">
        <v>2421</v>
      </c>
      <c r="AF1573" s="165"/>
    </row>
    <row r="1574" spans="1:32" x14ac:dyDescent="0.3">
      <c r="A1574" s="165" t="s">
        <v>2428</v>
      </c>
      <c r="B1574" s="165" t="s">
        <v>14</v>
      </c>
      <c r="C1574" s="165" t="s">
        <v>2416</v>
      </c>
      <c r="D1574" s="165" t="s">
        <v>15</v>
      </c>
      <c r="E1574" s="157">
        <v>41911</v>
      </c>
      <c r="F1574" s="165" t="s">
        <v>148</v>
      </c>
      <c r="G1574" s="165" t="s">
        <v>148</v>
      </c>
      <c r="H1574" s="165" t="s">
        <v>148</v>
      </c>
      <c r="I1574" s="165" t="s">
        <v>148</v>
      </c>
      <c r="J1574" s="165" t="s">
        <v>148</v>
      </c>
      <c r="K1574" s="165" t="s">
        <v>16</v>
      </c>
      <c r="L1574" s="165" t="s">
        <v>16</v>
      </c>
      <c r="M1574" s="165" t="s">
        <v>148</v>
      </c>
      <c r="N1574" s="165" t="s">
        <v>148</v>
      </c>
      <c r="O1574" s="165" t="s">
        <v>148</v>
      </c>
      <c r="P1574" s="165" t="s">
        <v>148</v>
      </c>
      <c r="Q1574" s="165" t="s">
        <v>16</v>
      </c>
      <c r="R1574" s="165" t="s">
        <v>148</v>
      </c>
      <c r="S1574" s="165" t="s">
        <v>16</v>
      </c>
      <c r="T1574" s="165" t="s">
        <v>16</v>
      </c>
      <c r="U1574" s="165" t="s">
        <v>148</v>
      </c>
      <c r="V1574" s="165" t="s">
        <v>148</v>
      </c>
      <c r="W1574" s="165" t="s">
        <v>148</v>
      </c>
      <c r="X1574" s="165" t="s">
        <v>148</v>
      </c>
      <c r="Y1574" s="165" t="s">
        <v>16</v>
      </c>
      <c r="Z1574" s="165" t="s">
        <v>148</v>
      </c>
      <c r="AA1574" s="165" t="s">
        <v>148</v>
      </c>
      <c r="AB1574" s="165" t="s">
        <v>16</v>
      </c>
      <c r="AC1574" s="165" t="s">
        <v>148</v>
      </c>
      <c r="AD1574" s="165" t="s">
        <v>16</v>
      </c>
      <c r="AE1574" s="165" t="s">
        <v>2429</v>
      </c>
      <c r="AF1574" s="165"/>
    </row>
    <row r="1575" spans="1:32" x14ac:dyDescent="0.3">
      <c r="A1575" s="165" t="s">
        <v>2430</v>
      </c>
      <c r="B1575" s="165" t="s">
        <v>14</v>
      </c>
      <c r="C1575" s="165" t="s">
        <v>2416</v>
      </c>
      <c r="D1575" s="165" t="s">
        <v>15</v>
      </c>
      <c r="E1575" s="157">
        <v>41911</v>
      </c>
      <c r="F1575" s="165" t="s">
        <v>148</v>
      </c>
      <c r="G1575" s="165" t="s">
        <v>16</v>
      </c>
      <c r="H1575" s="165" t="s">
        <v>148</v>
      </c>
      <c r="I1575" s="165" t="s">
        <v>16</v>
      </c>
      <c r="J1575" s="165" t="s">
        <v>150</v>
      </c>
      <c r="K1575" s="165" t="s">
        <v>16</v>
      </c>
      <c r="L1575" s="165" t="s">
        <v>16</v>
      </c>
      <c r="M1575" s="165" t="s">
        <v>148</v>
      </c>
      <c r="N1575" s="165" t="s">
        <v>16</v>
      </c>
      <c r="O1575" s="165" t="s">
        <v>148</v>
      </c>
      <c r="P1575" s="165" t="s">
        <v>148</v>
      </c>
      <c r="Q1575" s="165" t="s">
        <v>148</v>
      </c>
      <c r="R1575" s="165" t="s">
        <v>148</v>
      </c>
      <c r="S1575" s="165" t="s">
        <v>148</v>
      </c>
      <c r="T1575" s="165" t="s">
        <v>148</v>
      </c>
      <c r="U1575" s="165" t="s">
        <v>16</v>
      </c>
      <c r="V1575" s="165" t="s">
        <v>16</v>
      </c>
      <c r="W1575" s="165" t="s">
        <v>16</v>
      </c>
      <c r="X1575" s="165" t="s">
        <v>16</v>
      </c>
      <c r="Y1575" s="165" t="s">
        <v>16</v>
      </c>
      <c r="Z1575" s="165" t="s">
        <v>16</v>
      </c>
      <c r="AA1575" s="165" t="s">
        <v>16</v>
      </c>
      <c r="AB1575" s="165" t="s">
        <v>16</v>
      </c>
      <c r="AC1575" s="165" t="s">
        <v>148</v>
      </c>
      <c r="AD1575" s="165" t="s">
        <v>148</v>
      </c>
      <c r="AE1575" s="165"/>
      <c r="AF1575" s="165"/>
    </row>
    <row r="1576" spans="1:32" x14ac:dyDescent="0.3">
      <c r="A1576" s="165" t="s">
        <v>2431</v>
      </c>
      <c r="B1576" s="165" t="s">
        <v>14</v>
      </c>
      <c r="C1576" s="165" t="s">
        <v>2416</v>
      </c>
      <c r="D1576" s="165" t="s">
        <v>15</v>
      </c>
      <c r="E1576" s="157">
        <v>41911</v>
      </c>
      <c r="F1576" s="165" t="s">
        <v>150</v>
      </c>
      <c r="G1576" s="165" t="s">
        <v>16</v>
      </c>
      <c r="H1576" s="165" t="s">
        <v>16</v>
      </c>
      <c r="I1576" s="165" t="s">
        <v>16</v>
      </c>
      <c r="J1576" s="165" t="s">
        <v>150</v>
      </c>
      <c r="K1576" s="165" t="s">
        <v>16</v>
      </c>
      <c r="L1576" s="165" t="s">
        <v>148</v>
      </c>
      <c r="M1576" s="165" t="s">
        <v>148</v>
      </c>
      <c r="N1576" s="165" t="s">
        <v>150</v>
      </c>
      <c r="O1576" s="165" t="s">
        <v>150</v>
      </c>
      <c r="P1576" s="165" t="s">
        <v>150</v>
      </c>
      <c r="Q1576" s="165" t="s">
        <v>150</v>
      </c>
      <c r="R1576" s="165" t="s">
        <v>16</v>
      </c>
      <c r="S1576" s="165" t="s">
        <v>16</v>
      </c>
      <c r="T1576" s="165" t="s">
        <v>16</v>
      </c>
      <c r="U1576" s="165" t="s">
        <v>16</v>
      </c>
      <c r="V1576" s="165" t="s">
        <v>148</v>
      </c>
      <c r="W1576" s="165" t="s">
        <v>150</v>
      </c>
      <c r="X1576" s="165" t="s">
        <v>150</v>
      </c>
      <c r="Y1576" s="165" t="s">
        <v>149</v>
      </c>
      <c r="Z1576" s="165" t="s">
        <v>16</v>
      </c>
      <c r="AA1576" s="165" t="s">
        <v>16</v>
      </c>
      <c r="AB1576" s="165" t="s">
        <v>16</v>
      </c>
      <c r="AC1576" s="165" t="s">
        <v>150</v>
      </c>
      <c r="AD1576" s="165" t="s">
        <v>16</v>
      </c>
      <c r="AE1576" s="165" t="s">
        <v>2419</v>
      </c>
      <c r="AF1576" s="165"/>
    </row>
    <row r="1577" spans="1:32" x14ac:dyDescent="0.3">
      <c r="A1577" s="165" t="s">
        <v>2432</v>
      </c>
      <c r="B1577" s="165" t="s">
        <v>14</v>
      </c>
      <c r="C1577" s="165" t="s">
        <v>2416</v>
      </c>
      <c r="D1577" s="165" t="s">
        <v>15</v>
      </c>
      <c r="E1577" s="157">
        <v>41911</v>
      </c>
      <c r="F1577" s="165" t="s">
        <v>16</v>
      </c>
      <c r="G1577" s="165" t="s">
        <v>16</v>
      </c>
      <c r="H1577" s="165" t="s">
        <v>16</v>
      </c>
      <c r="I1577" s="165" t="s">
        <v>16</v>
      </c>
      <c r="J1577" s="165" t="s">
        <v>16</v>
      </c>
      <c r="K1577" s="165" t="s">
        <v>16</v>
      </c>
      <c r="L1577" s="165" t="s">
        <v>16</v>
      </c>
      <c r="M1577" s="165" t="s">
        <v>16</v>
      </c>
      <c r="N1577" s="165" t="s">
        <v>16</v>
      </c>
      <c r="O1577" s="165" t="s">
        <v>16</v>
      </c>
      <c r="P1577" s="165" t="s">
        <v>16</v>
      </c>
      <c r="Q1577" s="165" t="s">
        <v>16</v>
      </c>
      <c r="R1577" s="165" t="s">
        <v>16</v>
      </c>
      <c r="S1577" s="165" t="s">
        <v>16</v>
      </c>
      <c r="T1577" s="165" t="s">
        <v>16</v>
      </c>
      <c r="U1577" s="165" t="s">
        <v>16</v>
      </c>
      <c r="V1577" s="165" t="s">
        <v>16</v>
      </c>
      <c r="W1577" s="165" t="s">
        <v>16</v>
      </c>
      <c r="X1577" s="165" t="s">
        <v>16</v>
      </c>
      <c r="Y1577" s="165" t="s">
        <v>16</v>
      </c>
      <c r="Z1577" s="165" t="s">
        <v>16</v>
      </c>
      <c r="AA1577" s="165" t="s">
        <v>16</v>
      </c>
      <c r="AB1577" s="165" t="s">
        <v>16</v>
      </c>
      <c r="AC1577" s="165" t="s">
        <v>16</v>
      </c>
      <c r="AD1577" s="165" t="s">
        <v>16</v>
      </c>
      <c r="AE1577" s="165"/>
      <c r="AF1577" s="165"/>
    </row>
    <row r="1578" spans="1:32" x14ac:dyDescent="0.3">
      <c r="A1578" s="165" t="s">
        <v>2433</v>
      </c>
      <c r="B1578" s="165" t="s">
        <v>14</v>
      </c>
      <c r="C1578" s="165" t="s">
        <v>2416</v>
      </c>
      <c r="D1578" s="165" t="s">
        <v>15</v>
      </c>
      <c r="E1578" s="157">
        <v>41911</v>
      </c>
      <c r="F1578" s="165" t="s">
        <v>150</v>
      </c>
      <c r="G1578" s="165" t="s">
        <v>148</v>
      </c>
      <c r="H1578" s="165" t="s">
        <v>149</v>
      </c>
      <c r="I1578" s="165" t="s">
        <v>148</v>
      </c>
      <c r="J1578" s="165" t="s">
        <v>148</v>
      </c>
      <c r="K1578" s="165" t="s">
        <v>16</v>
      </c>
      <c r="L1578" s="165" t="s">
        <v>148</v>
      </c>
      <c r="M1578" s="165" t="s">
        <v>148</v>
      </c>
      <c r="N1578" s="165" t="s">
        <v>150</v>
      </c>
      <c r="O1578" s="165" t="s">
        <v>150</v>
      </c>
      <c r="P1578" s="165" t="s">
        <v>150</v>
      </c>
      <c r="Q1578" s="165" t="s">
        <v>16</v>
      </c>
      <c r="R1578" s="165" t="s">
        <v>148</v>
      </c>
      <c r="S1578" s="165" t="s">
        <v>16</v>
      </c>
      <c r="T1578" s="165" t="s">
        <v>148</v>
      </c>
      <c r="U1578" s="165" t="s">
        <v>148</v>
      </c>
      <c r="V1578" s="165" t="s">
        <v>150</v>
      </c>
      <c r="W1578" s="165" t="s">
        <v>16</v>
      </c>
      <c r="X1578" s="165" t="s">
        <v>150</v>
      </c>
      <c r="Y1578" s="165" t="s">
        <v>148</v>
      </c>
      <c r="Z1578" s="165" t="s">
        <v>148</v>
      </c>
      <c r="AA1578" s="165" t="s">
        <v>16</v>
      </c>
      <c r="AB1578" s="165" t="s">
        <v>148</v>
      </c>
      <c r="AC1578" s="165" t="s">
        <v>150</v>
      </c>
      <c r="AD1578" s="165" t="s">
        <v>16</v>
      </c>
      <c r="AE1578" s="165" t="s">
        <v>2434</v>
      </c>
      <c r="AF1578" s="165"/>
    </row>
    <row r="1579" spans="1:32" x14ac:dyDescent="0.3">
      <c r="A1579" s="165" t="s">
        <v>2435</v>
      </c>
      <c r="B1579" s="165" t="s">
        <v>14</v>
      </c>
      <c r="C1579" s="165" t="s">
        <v>2416</v>
      </c>
      <c r="D1579" s="165" t="s">
        <v>15</v>
      </c>
      <c r="E1579" s="157">
        <v>41911</v>
      </c>
      <c r="F1579" s="165" t="s">
        <v>149</v>
      </c>
      <c r="G1579" s="165" t="s">
        <v>16</v>
      </c>
      <c r="H1579" s="165" t="s">
        <v>16</v>
      </c>
      <c r="I1579" s="165" t="s">
        <v>148</v>
      </c>
      <c r="J1579" s="165" t="s">
        <v>148</v>
      </c>
      <c r="K1579" s="165" t="s">
        <v>16</v>
      </c>
      <c r="L1579" s="165" t="s">
        <v>148</v>
      </c>
      <c r="M1579" s="165" t="s">
        <v>148</v>
      </c>
      <c r="N1579" s="165" t="s">
        <v>148</v>
      </c>
      <c r="O1579" s="165" t="s">
        <v>16</v>
      </c>
      <c r="P1579" s="165" t="s">
        <v>148</v>
      </c>
      <c r="Q1579" s="165" t="s">
        <v>16</v>
      </c>
      <c r="R1579" s="165" t="s">
        <v>16</v>
      </c>
      <c r="S1579" s="165" t="s">
        <v>16</v>
      </c>
      <c r="T1579" s="165" t="s">
        <v>16</v>
      </c>
      <c r="U1579" s="165" t="s">
        <v>148</v>
      </c>
      <c r="V1579" s="165" t="s">
        <v>148</v>
      </c>
      <c r="W1579" s="165" t="s">
        <v>148</v>
      </c>
      <c r="X1579" s="165" t="s">
        <v>16</v>
      </c>
      <c r="Y1579" s="165" t="s">
        <v>16</v>
      </c>
      <c r="Z1579" s="165" t="s">
        <v>16</v>
      </c>
      <c r="AA1579" s="165" t="s">
        <v>148</v>
      </c>
      <c r="AB1579" s="165" t="s">
        <v>16</v>
      </c>
      <c r="AC1579" s="165" t="s">
        <v>16</v>
      </c>
      <c r="AD1579" s="165" t="s">
        <v>148</v>
      </c>
      <c r="AE1579" s="165" t="s">
        <v>2423</v>
      </c>
      <c r="AF1579" s="165" t="s">
        <v>2436</v>
      </c>
    </row>
    <row r="1580" spans="1:32" x14ac:dyDescent="0.3">
      <c r="A1580" s="165" t="s">
        <v>2437</v>
      </c>
      <c r="B1580" s="165" t="s">
        <v>14</v>
      </c>
      <c r="C1580" s="165" t="s">
        <v>2416</v>
      </c>
      <c r="D1580" s="165" t="s">
        <v>15</v>
      </c>
      <c r="E1580" s="157">
        <v>41911</v>
      </c>
      <c r="F1580" s="165" t="s">
        <v>16</v>
      </c>
      <c r="G1580" s="165" t="s">
        <v>16</v>
      </c>
      <c r="H1580" s="165" t="s">
        <v>16</v>
      </c>
      <c r="I1580" s="165" t="s">
        <v>16</v>
      </c>
      <c r="J1580" s="165" t="s">
        <v>16</v>
      </c>
      <c r="K1580" s="165" t="s">
        <v>16</v>
      </c>
      <c r="L1580" s="165" t="s">
        <v>16</v>
      </c>
      <c r="M1580" s="165" t="s">
        <v>16</v>
      </c>
      <c r="N1580" s="165" t="s">
        <v>16</v>
      </c>
      <c r="O1580" s="165" t="s">
        <v>16</v>
      </c>
      <c r="P1580" s="165" t="s">
        <v>16</v>
      </c>
      <c r="Q1580" s="165" t="s">
        <v>16</v>
      </c>
      <c r="R1580" s="165" t="s">
        <v>16</v>
      </c>
      <c r="S1580" s="165" t="s">
        <v>16</v>
      </c>
      <c r="T1580" s="165" t="s">
        <v>16</v>
      </c>
      <c r="U1580" s="165" t="s">
        <v>16</v>
      </c>
      <c r="V1580" s="165" t="s">
        <v>16</v>
      </c>
      <c r="W1580" s="165" t="s">
        <v>16</v>
      </c>
      <c r="X1580" s="165" t="s">
        <v>16</v>
      </c>
      <c r="Y1580" s="165" t="s">
        <v>16</v>
      </c>
      <c r="Z1580" s="165" t="s">
        <v>16</v>
      </c>
      <c r="AA1580" s="165" t="s">
        <v>16</v>
      </c>
      <c r="AB1580" s="165" t="s">
        <v>16</v>
      </c>
      <c r="AC1580" s="165" t="s">
        <v>16</v>
      </c>
      <c r="AD1580" s="165" t="s">
        <v>16</v>
      </c>
      <c r="AE1580" s="165" t="s">
        <v>2438</v>
      </c>
      <c r="AF1580" s="165"/>
    </row>
    <row r="1581" spans="1:32" x14ac:dyDescent="0.3">
      <c r="A1581" s="165" t="s">
        <v>2439</v>
      </c>
      <c r="B1581" s="165" t="s">
        <v>14</v>
      </c>
      <c r="C1581" s="165" t="s">
        <v>2416</v>
      </c>
      <c r="D1581" s="165" t="s">
        <v>15</v>
      </c>
      <c r="E1581" s="157">
        <v>41911</v>
      </c>
      <c r="F1581" s="165" t="s">
        <v>16</v>
      </c>
      <c r="G1581" s="165" t="s">
        <v>16</v>
      </c>
      <c r="H1581" s="165" t="s">
        <v>16</v>
      </c>
      <c r="I1581" s="165" t="s">
        <v>16</v>
      </c>
      <c r="J1581" s="165" t="s">
        <v>16</v>
      </c>
      <c r="K1581" s="165" t="s">
        <v>149</v>
      </c>
      <c r="L1581" s="165" t="s">
        <v>149</v>
      </c>
      <c r="M1581" s="165" t="s">
        <v>16</v>
      </c>
      <c r="N1581" s="165" t="s">
        <v>148</v>
      </c>
      <c r="O1581" s="165" t="s">
        <v>150</v>
      </c>
      <c r="P1581" s="165" t="s">
        <v>148</v>
      </c>
      <c r="Q1581" s="165" t="s">
        <v>16</v>
      </c>
      <c r="R1581" s="165" t="s">
        <v>148</v>
      </c>
      <c r="S1581" s="165" t="s">
        <v>16</v>
      </c>
      <c r="T1581" s="165" t="s">
        <v>16</v>
      </c>
      <c r="U1581" s="165" t="s">
        <v>148</v>
      </c>
      <c r="V1581" s="165" t="s">
        <v>16</v>
      </c>
      <c r="W1581" s="165" t="s">
        <v>16</v>
      </c>
      <c r="X1581" s="165" t="s">
        <v>148</v>
      </c>
      <c r="Y1581" s="165" t="s">
        <v>16</v>
      </c>
      <c r="Z1581" s="165" t="s">
        <v>16</v>
      </c>
      <c r="AA1581" s="165" t="s">
        <v>16</v>
      </c>
      <c r="AB1581" s="165" t="s">
        <v>149</v>
      </c>
      <c r="AC1581" s="165" t="s">
        <v>16</v>
      </c>
      <c r="AD1581" s="165" t="s">
        <v>149</v>
      </c>
      <c r="AE1581" s="165" t="s">
        <v>2419</v>
      </c>
      <c r="AF1581" s="165"/>
    </row>
    <row r="1582" spans="1:32" x14ac:dyDescent="0.3">
      <c r="A1582" s="165" t="s">
        <v>2440</v>
      </c>
      <c r="B1582" s="165" t="s">
        <v>14</v>
      </c>
      <c r="C1582" s="165" t="s">
        <v>2416</v>
      </c>
      <c r="D1582" s="165" t="s">
        <v>15</v>
      </c>
      <c r="E1582" s="157">
        <v>41911</v>
      </c>
      <c r="F1582" s="165" t="s">
        <v>16</v>
      </c>
      <c r="G1582" s="165" t="s">
        <v>16</v>
      </c>
      <c r="H1582" s="165" t="s">
        <v>16</v>
      </c>
      <c r="I1582" s="165" t="s">
        <v>16</v>
      </c>
      <c r="J1582" s="165" t="s">
        <v>16</v>
      </c>
      <c r="K1582" s="165" t="s">
        <v>16</v>
      </c>
      <c r="L1582" s="165" t="s">
        <v>16</v>
      </c>
      <c r="M1582" s="165" t="s">
        <v>16</v>
      </c>
      <c r="N1582" s="165" t="s">
        <v>16</v>
      </c>
      <c r="O1582" s="165" t="s">
        <v>16</v>
      </c>
      <c r="P1582" s="165" t="s">
        <v>16</v>
      </c>
      <c r="Q1582" s="165" t="s">
        <v>16</v>
      </c>
      <c r="R1582" s="165" t="s">
        <v>16</v>
      </c>
      <c r="S1582" s="165" t="s">
        <v>16</v>
      </c>
      <c r="T1582" s="165" t="s">
        <v>16</v>
      </c>
      <c r="U1582" s="165" t="s">
        <v>16</v>
      </c>
      <c r="V1582" s="165" t="s">
        <v>16</v>
      </c>
      <c r="W1582" s="165" t="s">
        <v>16</v>
      </c>
      <c r="X1582" s="165" t="s">
        <v>16</v>
      </c>
      <c r="Y1582" s="165" t="s">
        <v>16</v>
      </c>
      <c r="Z1582" s="165" t="s">
        <v>16</v>
      </c>
      <c r="AA1582" s="165" t="s">
        <v>16</v>
      </c>
      <c r="AB1582" s="165" t="s">
        <v>16</v>
      </c>
      <c r="AC1582" s="165" t="s">
        <v>16</v>
      </c>
      <c r="AD1582" s="165" t="s">
        <v>16</v>
      </c>
      <c r="AE1582" s="165" t="s">
        <v>2441</v>
      </c>
      <c r="AF1582" s="165"/>
    </row>
    <row r="1583" spans="1:32" x14ac:dyDescent="0.3">
      <c r="A1583" s="165" t="s">
        <v>2442</v>
      </c>
      <c r="B1583" s="165" t="s">
        <v>14</v>
      </c>
      <c r="C1583" s="165" t="s">
        <v>2416</v>
      </c>
      <c r="D1583" s="165" t="s">
        <v>15</v>
      </c>
      <c r="E1583" s="157">
        <v>41911</v>
      </c>
      <c r="F1583" s="165" t="s">
        <v>16</v>
      </c>
      <c r="G1583" s="165" t="s">
        <v>16</v>
      </c>
      <c r="H1583" s="165" t="s">
        <v>16</v>
      </c>
      <c r="I1583" s="165" t="s">
        <v>16</v>
      </c>
      <c r="J1583" s="165" t="s">
        <v>16</v>
      </c>
      <c r="K1583" s="165" t="s">
        <v>16</v>
      </c>
      <c r="L1583" s="165" t="s">
        <v>16</v>
      </c>
      <c r="M1583" s="165" t="s">
        <v>16</v>
      </c>
      <c r="N1583" s="165" t="s">
        <v>16</v>
      </c>
      <c r="O1583" s="165" t="s">
        <v>16</v>
      </c>
      <c r="P1583" s="165" t="s">
        <v>16</v>
      </c>
      <c r="Q1583" s="165" t="s">
        <v>16</v>
      </c>
      <c r="R1583" s="165" t="s">
        <v>16</v>
      </c>
      <c r="S1583" s="165" t="s">
        <v>16</v>
      </c>
      <c r="T1583" s="165" t="s">
        <v>16</v>
      </c>
      <c r="U1583" s="165" t="s">
        <v>16</v>
      </c>
      <c r="V1583" s="165" t="s">
        <v>16</v>
      </c>
      <c r="W1583" s="165" t="s">
        <v>16</v>
      </c>
      <c r="X1583" s="165" t="s">
        <v>16</v>
      </c>
      <c r="Y1583" s="165" t="s">
        <v>16</v>
      </c>
      <c r="Z1583" s="165" t="s">
        <v>16</v>
      </c>
      <c r="AA1583" s="165" t="s">
        <v>16</v>
      </c>
      <c r="AB1583" s="165" t="s">
        <v>16</v>
      </c>
      <c r="AC1583" s="165" t="s">
        <v>16</v>
      </c>
      <c r="AD1583" s="165" t="s">
        <v>16</v>
      </c>
      <c r="AE1583" s="165" t="s">
        <v>2421</v>
      </c>
      <c r="AF1583" s="165"/>
    </row>
    <row r="1584" spans="1:32" x14ac:dyDescent="0.3">
      <c r="A1584" s="165" t="s">
        <v>2443</v>
      </c>
      <c r="B1584" s="165" t="s">
        <v>14</v>
      </c>
      <c r="C1584" s="165" t="s">
        <v>2416</v>
      </c>
      <c r="D1584" s="165" t="s">
        <v>15</v>
      </c>
      <c r="E1584" s="157">
        <v>41911</v>
      </c>
      <c r="F1584" s="165" t="s">
        <v>16</v>
      </c>
      <c r="G1584" s="165" t="s">
        <v>16</v>
      </c>
      <c r="H1584" s="165" t="s">
        <v>16</v>
      </c>
      <c r="I1584" s="165" t="s">
        <v>16</v>
      </c>
      <c r="J1584" s="165" t="s">
        <v>16</v>
      </c>
      <c r="K1584" s="165" t="s">
        <v>16</v>
      </c>
      <c r="L1584" s="165" t="s">
        <v>16</v>
      </c>
      <c r="M1584" s="165" t="s">
        <v>16</v>
      </c>
      <c r="N1584" s="165" t="s">
        <v>148</v>
      </c>
      <c r="O1584" s="165" t="s">
        <v>16</v>
      </c>
      <c r="P1584" s="165" t="s">
        <v>16</v>
      </c>
      <c r="Q1584" s="165" t="s">
        <v>16</v>
      </c>
      <c r="R1584" s="165" t="s">
        <v>16</v>
      </c>
      <c r="S1584" s="165" t="s">
        <v>16</v>
      </c>
      <c r="T1584" s="165" t="s">
        <v>16</v>
      </c>
      <c r="U1584" s="165" t="s">
        <v>16</v>
      </c>
      <c r="V1584" s="165" t="s">
        <v>16</v>
      </c>
      <c r="W1584" s="165" t="s">
        <v>16</v>
      </c>
      <c r="X1584" s="165" t="s">
        <v>16</v>
      </c>
      <c r="Y1584" s="165" t="s">
        <v>16</v>
      </c>
      <c r="Z1584" s="165" t="s">
        <v>16</v>
      </c>
      <c r="AA1584" s="165" t="s">
        <v>16</v>
      </c>
      <c r="AB1584" s="165" t="s">
        <v>16</v>
      </c>
      <c r="AC1584" s="165" t="s">
        <v>16</v>
      </c>
      <c r="AD1584" s="165" t="s">
        <v>16</v>
      </c>
      <c r="AE1584" s="165" t="s">
        <v>2421</v>
      </c>
      <c r="AF1584" s="165"/>
    </row>
    <row r="1585" spans="1:32" x14ac:dyDescent="0.3">
      <c r="A1585" s="165" t="s">
        <v>2444</v>
      </c>
      <c r="B1585" s="165" t="s">
        <v>14</v>
      </c>
      <c r="C1585" s="165" t="s">
        <v>2416</v>
      </c>
      <c r="D1585" s="165" t="s">
        <v>15</v>
      </c>
      <c r="E1585" s="157">
        <v>41911</v>
      </c>
      <c r="F1585" s="165" t="s">
        <v>16</v>
      </c>
      <c r="G1585" s="165" t="s">
        <v>16</v>
      </c>
      <c r="H1585" s="165" t="s">
        <v>16</v>
      </c>
      <c r="I1585" s="165" t="s">
        <v>16</v>
      </c>
      <c r="J1585" s="165" t="s">
        <v>148</v>
      </c>
      <c r="K1585" s="165" t="s">
        <v>16</v>
      </c>
      <c r="L1585" s="165" t="s">
        <v>148</v>
      </c>
      <c r="M1585" s="165" t="s">
        <v>148</v>
      </c>
      <c r="N1585" s="165" t="s">
        <v>16</v>
      </c>
      <c r="O1585" s="165" t="s">
        <v>16</v>
      </c>
      <c r="P1585" s="165" t="s">
        <v>16</v>
      </c>
      <c r="Q1585" s="165" t="s">
        <v>16</v>
      </c>
      <c r="R1585" s="165" t="s">
        <v>148</v>
      </c>
      <c r="S1585" s="165" t="s">
        <v>16</v>
      </c>
      <c r="T1585" s="165" t="s">
        <v>148</v>
      </c>
      <c r="U1585" s="165" t="s">
        <v>16</v>
      </c>
      <c r="V1585" s="165" t="s">
        <v>16</v>
      </c>
      <c r="W1585" s="165" t="s">
        <v>148</v>
      </c>
      <c r="X1585" s="165" t="s">
        <v>16</v>
      </c>
      <c r="Y1585" s="165" t="s">
        <v>148</v>
      </c>
      <c r="Z1585" s="165" t="s">
        <v>148</v>
      </c>
      <c r="AA1585" s="165" t="s">
        <v>148</v>
      </c>
      <c r="AB1585" s="165" t="s">
        <v>16</v>
      </c>
      <c r="AC1585" s="165" t="s">
        <v>16</v>
      </c>
      <c r="AD1585" s="165" t="s">
        <v>16</v>
      </c>
      <c r="AE1585" s="165" t="s">
        <v>2419</v>
      </c>
      <c r="AF1585" s="165"/>
    </row>
    <row r="1586" spans="1:32" x14ac:dyDescent="0.3">
      <c r="A1586" s="165" t="s">
        <v>2445</v>
      </c>
      <c r="B1586" s="165" t="s">
        <v>14</v>
      </c>
      <c r="C1586" s="165" t="s">
        <v>2416</v>
      </c>
      <c r="D1586" s="165" t="s">
        <v>15</v>
      </c>
      <c r="E1586" s="157">
        <v>41911</v>
      </c>
      <c r="F1586" s="165" t="s">
        <v>16</v>
      </c>
      <c r="G1586" s="165" t="s">
        <v>16</v>
      </c>
      <c r="H1586" s="165" t="s">
        <v>16</v>
      </c>
      <c r="I1586" s="165" t="s">
        <v>16</v>
      </c>
      <c r="J1586" s="165" t="s">
        <v>16</v>
      </c>
      <c r="K1586" s="165" t="s">
        <v>16</v>
      </c>
      <c r="L1586" s="165" t="s">
        <v>16</v>
      </c>
      <c r="M1586" s="165" t="s">
        <v>16</v>
      </c>
      <c r="N1586" s="165" t="s">
        <v>148</v>
      </c>
      <c r="O1586" s="165" t="s">
        <v>16</v>
      </c>
      <c r="P1586" s="165" t="s">
        <v>16</v>
      </c>
      <c r="Q1586" s="165" t="s">
        <v>16</v>
      </c>
      <c r="R1586" s="165" t="s">
        <v>16</v>
      </c>
      <c r="S1586" s="165" t="s">
        <v>148</v>
      </c>
      <c r="T1586" s="165" t="s">
        <v>16</v>
      </c>
      <c r="U1586" s="165" t="s">
        <v>16</v>
      </c>
      <c r="V1586" s="165" t="s">
        <v>16</v>
      </c>
      <c r="W1586" s="165" t="s">
        <v>16</v>
      </c>
      <c r="X1586" s="165" t="s">
        <v>16</v>
      </c>
      <c r="Y1586" s="165" t="s">
        <v>16</v>
      </c>
      <c r="Z1586" s="165" t="s">
        <v>16</v>
      </c>
      <c r="AA1586" s="165" t="s">
        <v>16</v>
      </c>
      <c r="AB1586" s="165" t="s">
        <v>16</v>
      </c>
      <c r="AC1586" s="165" t="s">
        <v>16</v>
      </c>
      <c r="AD1586" s="165" t="s">
        <v>16</v>
      </c>
      <c r="AE1586" s="165" t="s">
        <v>2421</v>
      </c>
      <c r="AF1586" s="165"/>
    </row>
    <row r="1587" spans="1:32" x14ac:dyDescent="0.3">
      <c r="A1587" s="165" t="s">
        <v>2446</v>
      </c>
      <c r="B1587" s="165" t="s">
        <v>14</v>
      </c>
      <c r="C1587" s="165" t="s">
        <v>2416</v>
      </c>
      <c r="D1587" s="165" t="s">
        <v>15</v>
      </c>
      <c r="E1587" s="157">
        <v>41911</v>
      </c>
      <c r="F1587" s="165" t="s">
        <v>148</v>
      </c>
      <c r="G1587" s="165" t="s">
        <v>16</v>
      </c>
      <c r="H1587" s="165" t="s">
        <v>16</v>
      </c>
      <c r="I1587" s="165" t="s">
        <v>148</v>
      </c>
      <c r="J1587" s="165" t="s">
        <v>148</v>
      </c>
      <c r="K1587" s="165" t="s">
        <v>16</v>
      </c>
      <c r="L1587" s="165" t="s">
        <v>16</v>
      </c>
      <c r="M1587" s="165" t="s">
        <v>148</v>
      </c>
      <c r="N1587" s="165" t="s">
        <v>16</v>
      </c>
      <c r="O1587" s="165" t="s">
        <v>148</v>
      </c>
      <c r="P1587" s="165" t="s">
        <v>148</v>
      </c>
      <c r="Q1587" s="165" t="s">
        <v>16</v>
      </c>
      <c r="R1587" s="165" t="s">
        <v>16</v>
      </c>
      <c r="S1587" s="165" t="s">
        <v>148</v>
      </c>
      <c r="T1587" s="165" t="s">
        <v>148</v>
      </c>
      <c r="U1587" s="165" t="s">
        <v>148</v>
      </c>
      <c r="V1587" s="165" t="s">
        <v>148</v>
      </c>
      <c r="W1587" s="165" t="s">
        <v>16</v>
      </c>
      <c r="X1587" s="165" t="s">
        <v>148</v>
      </c>
      <c r="Y1587" s="165" t="s">
        <v>16</v>
      </c>
      <c r="Z1587" s="165" t="s">
        <v>148</v>
      </c>
      <c r="AA1587" s="165" t="s">
        <v>148</v>
      </c>
      <c r="AB1587" s="165" t="s">
        <v>148</v>
      </c>
      <c r="AC1587" s="165" t="s">
        <v>148</v>
      </c>
      <c r="AD1587" s="165" t="s">
        <v>16</v>
      </c>
      <c r="AE1587" s="165" t="s">
        <v>2423</v>
      </c>
      <c r="AF1587" s="165"/>
    </row>
    <row r="1588" spans="1:32" x14ac:dyDescent="0.3">
      <c r="A1588" s="165" t="s">
        <v>2447</v>
      </c>
      <c r="B1588" s="165" t="s">
        <v>14</v>
      </c>
      <c r="C1588" s="165" t="s">
        <v>2416</v>
      </c>
      <c r="D1588" s="165" t="s">
        <v>15</v>
      </c>
      <c r="E1588" s="157">
        <v>41911</v>
      </c>
      <c r="F1588" s="165" t="s">
        <v>16</v>
      </c>
      <c r="G1588" s="165" t="s">
        <v>16</v>
      </c>
      <c r="H1588" s="165" t="s">
        <v>16</v>
      </c>
      <c r="I1588" s="165" t="s">
        <v>16</v>
      </c>
      <c r="J1588" s="165" t="s">
        <v>16</v>
      </c>
      <c r="K1588" s="165" t="s">
        <v>16</v>
      </c>
      <c r="L1588" s="165" t="s">
        <v>16</v>
      </c>
      <c r="M1588" s="165" t="s">
        <v>16</v>
      </c>
      <c r="N1588" s="165" t="s">
        <v>16</v>
      </c>
      <c r="O1588" s="165" t="s">
        <v>16</v>
      </c>
      <c r="P1588" s="165" t="s">
        <v>16</v>
      </c>
      <c r="Q1588" s="165" t="s">
        <v>16</v>
      </c>
      <c r="R1588" s="165" t="s">
        <v>16</v>
      </c>
      <c r="S1588" s="165" t="s">
        <v>16</v>
      </c>
      <c r="T1588" s="165" t="s">
        <v>16</v>
      </c>
      <c r="U1588" s="165" t="s">
        <v>16</v>
      </c>
      <c r="V1588" s="165" t="s">
        <v>16</v>
      </c>
      <c r="W1588" s="165" t="s">
        <v>16</v>
      </c>
      <c r="X1588" s="165" t="s">
        <v>16</v>
      </c>
      <c r="Y1588" s="165" t="s">
        <v>16</v>
      </c>
      <c r="Z1588" s="165" t="s">
        <v>16</v>
      </c>
      <c r="AA1588" s="165" t="s">
        <v>16</v>
      </c>
      <c r="AB1588" s="165" t="s">
        <v>16</v>
      </c>
      <c r="AC1588" s="165" t="s">
        <v>16</v>
      </c>
      <c r="AD1588" s="165" t="s">
        <v>16</v>
      </c>
      <c r="AE1588" s="165" t="s">
        <v>2423</v>
      </c>
      <c r="AF1588" s="165"/>
    </row>
    <row r="1589" spans="1:32" x14ac:dyDescent="0.3">
      <c r="A1589" s="165" t="s">
        <v>2448</v>
      </c>
      <c r="B1589" s="165" t="s">
        <v>14</v>
      </c>
      <c r="C1589" s="165" t="s">
        <v>2416</v>
      </c>
      <c r="D1589" s="165" t="s">
        <v>15</v>
      </c>
      <c r="E1589" s="157">
        <v>41911</v>
      </c>
      <c r="F1589" s="165" t="s">
        <v>151</v>
      </c>
      <c r="G1589" s="165" t="s">
        <v>151</v>
      </c>
      <c r="H1589" s="165" t="s">
        <v>151</v>
      </c>
      <c r="I1589" s="165" t="s">
        <v>149</v>
      </c>
      <c r="J1589" s="165" t="s">
        <v>150</v>
      </c>
      <c r="K1589" s="165" t="s">
        <v>151</v>
      </c>
      <c r="L1589" s="165" t="s">
        <v>151</v>
      </c>
      <c r="M1589" s="165" t="s">
        <v>149</v>
      </c>
      <c r="N1589" s="165" t="s">
        <v>149</v>
      </c>
      <c r="O1589" s="165" t="s">
        <v>148</v>
      </c>
      <c r="P1589" s="165" t="s">
        <v>151</v>
      </c>
      <c r="Q1589" s="165" t="s">
        <v>16</v>
      </c>
      <c r="R1589" s="165" t="s">
        <v>151</v>
      </c>
      <c r="S1589" s="165" t="s">
        <v>16</v>
      </c>
      <c r="T1589" s="165" t="s">
        <v>151</v>
      </c>
      <c r="U1589" s="165" t="s">
        <v>151</v>
      </c>
      <c r="V1589" s="165" t="s">
        <v>149</v>
      </c>
      <c r="W1589" s="165" t="s">
        <v>149</v>
      </c>
      <c r="X1589" s="165" t="s">
        <v>16</v>
      </c>
      <c r="Y1589" s="165" t="s">
        <v>149</v>
      </c>
      <c r="Z1589" s="165" t="s">
        <v>149</v>
      </c>
      <c r="AA1589" s="165" t="s">
        <v>149</v>
      </c>
      <c r="AB1589" s="165" t="s">
        <v>148</v>
      </c>
      <c r="AC1589" s="165" t="s">
        <v>150</v>
      </c>
      <c r="AD1589" s="165" t="s">
        <v>148</v>
      </c>
      <c r="AE1589" s="165" t="s">
        <v>2449</v>
      </c>
      <c r="AF1589" s="165" t="s">
        <v>2450</v>
      </c>
    </row>
    <row r="1592" spans="1:32" x14ac:dyDescent="0.3">
      <c r="A1592" s="247"/>
      <c r="B1592" s="247"/>
      <c r="C1592" s="247"/>
      <c r="D1592" s="247"/>
      <c r="E1592" s="247"/>
      <c r="F1592" s="247" t="s">
        <v>124</v>
      </c>
      <c r="G1592" s="247" t="s">
        <v>125</v>
      </c>
      <c r="H1592" s="247" t="s">
        <v>126</v>
      </c>
      <c r="I1592" s="247" t="s">
        <v>127</v>
      </c>
      <c r="J1592" s="247" t="s">
        <v>214</v>
      </c>
      <c r="K1592" s="247" t="s">
        <v>128</v>
      </c>
      <c r="L1592" s="247" t="s">
        <v>129</v>
      </c>
      <c r="M1592" s="247" t="s">
        <v>130</v>
      </c>
      <c r="N1592" s="247" t="s">
        <v>131</v>
      </c>
      <c r="O1592" s="247" t="s">
        <v>132</v>
      </c>
      <c r="P1592" s="247" t="s">
        <v>133</v>
      </c>
      <c r="Q1592" s="247" t="s">
        <v>134</v>
      </c>
      <c r="R1592" s="247" t="s">
        <v>135</v>
      </c>
      <c r="S1592" s="247" t="s">
        <v>136</v>
      </c>
      <c r="T1592" s="247" t="s">
        <v>137</v>
      </c>
      <c r="U1592" s="247" t="s">
        <v>138</v>
      </c>
      <c r="V1592" s="247" t="s">
        <v>139</v>
      </c>
      <c r="W1592" s="247" t="s">
        <v>140</v>
      </c>
      <c r="X1592" s="247" t="s">
        <v>186</v>
      </c>
      <c r="Y1592" s="247" t="s">
        <v>209</v>
      </c>
      <c r="Z1592" s="247" t="s">
        <v>141</v>
      </c>
      <c r="AA1592" s="247" t="s">
        <v>142</v>
      </c>
      <c r="AB1592" s="247" t="s">
        <v>210</v>
      </c>
      <c r="AC1592" s="247" t="s">
        <v>1180</v>
      </c>
      <c r="AD1592" s="247" t="s">
        <v>144</v>
      </c>
      <c r="AE1592" s="247" t="s">
        <v>2451</v>
      </c>
      <c r="AF1592" s="247" t="s">
        <v>190</v>
      </c>
    </row>
    <row r="1593" spans="1:32" x14ac:dyDescent="0.3">
      <c r="A1593" s="247" t="s">
        <v>2452</v>
      </c>
      <c r="B1593" s="247" t="s">
        <v>14</v>
      </c>
      <c r="C1593" s="247" t="s">
        <v>2453</v>
      </c>
      <c r="D1593" s="247" t="s">
        <v>15</v>
      </c>
      <c r="E1593" s="157">
        <v>41942</v>
      </c>
      <c r="F1593" s="247" t="s">
        <v>16</v>
      </c>
      <c r="G1593" s="247" t="s">
        <v>16</v>
      </c>
      <c r="H1593" s="247" t="s">
        <v>148</v>
      </c>
      <c r="I1593" s="247" t="s">
        <v>16</v>
      </c>
      <c r="J1593" s="247" t="s">
        <v>16</v>
      </c>
      <c r="K1593" s="247" t="s">
        <v>16</v>
      </c>
      <c r="L1593" s="247" t="s">
        <v>16</v>
      </c>
      <c r="M1593" s="247" t="s">
        <v>16</v>
      </c>
      <c r="N1593" s="247" t="s">
        <v>16</v>
      </c>
      <c r="O1593" s="247" t="s">
        <v>16</v>
      </c>
      <c r="P1593" s="247" t="s">
        <v>16</v>
      </c>
      <c r="Q1593" s="247" t="s">
        <v>16</v>
      </c>
      <c r="R1593" s="247" t="s">
        <v>16</v>
      </c>
      <c r="S1593" s="247" t="s">
        <v>16</v>
      </c>
      <c r="T1593" s="247" t="s">
        <v>16</v>
      </c>
      <c r="U1593" s="247" t="s">
        <v>16</v>
      </c>
      <c r="V1593" s="247" t="s">
        <v>16</v>
      </c>
      <c r="W1593" s="247" t="s">
        <v>16</v>
      </c>
      <c r="X1593" s="247" t="s">
        <v>148</v>
      </c>
      <c r="Y1593" s="247" t="s">
        <v>16</v>
      </c>
      <c r="Z1593" s="247" t="s">
        <v>16</v>
      </c>
      <c r="AA1593" s="247" t="s">
        <v>16</v>
      </c>
      <c r="AB1593" s="247" t="s">
        <v>149</v>
      </c>
      <c r="AC1593" s="247" t="s">
        <v>148</v>
      </c>
      <c r="AD1593" s="247" t="s">
        <v>16</v>
      </c>
      <c r="AE1593" s="247" t="s">
        <v>2454</v>
      </c>
      <c r="AF1593" s="247"/>
    </row>
    <row r="1594" spans="1:32" x14ac:dyDescent="0.3">
      <c r="A1594" s="247" t="s">
        <v>2455</v>
      </c>
      <c r="B1594" s="247" t="s">
        <v>14</v>
      </c>
      <c r="C1594" s="247" t="s">
        <v>2453</v>
      </c>
      <c r="D1594" s="247" t="s">
        <v>15</v>
      </c>
      <c r="E1594" s="157">
        <v>41942</v>
      </c>
      <c r="F1594" s="247" t="s">
        <v>16</v>
      </c>
      <c r="G1594" s="247" t="s">
        <v>16</v>
      </c>
      <c r="H1594" s="247" t="s">
        <v>16</v>
      </c>
      <c r="I1594" s="247" t="s">
        <v>16</v>
      </c>
      <c r="J1594" s="247" t="s">
        <v>16</v>
      </c>
      <c r="K1594" s="247" t="s">
        <v>16</v>
      </c>
      <c r="L1594" s="247" t="s">
        <v>16</v>
      </c>
      <c r="M1594" s="247" t="s">
        <v>16</v>
      </c>
      <c r="N1594" s="247" t="s">
        <v>16</v>
      </c>
      <c r="O1594" s="247" t="s">
        <v>16</v>
      </c>
      <c r="P1594" s="247" t="s">
        <v>16</v>
      </c>
      <c r="Q1594" s="247" t="s">
        <v>16</v>
      </c>
      <c r="R1594" s="247" t="s">
        <v>16</v>
      </c>
      <c r="S1594" s="247" t="s">
        <v>16</v>
      </c>
      <c r="T1594" s="247" t="s">
        <v>16</v>
      </c>
      <c r="U1594" s="247" t="s">
        <v>16</v>
      </c>
      <c r="V1594" s="247" t="s">
        <v>16</v>
      </c>
      <c r="W1594" s="247" t="s">
        <v>16</v>
      </c>
      <c r="X1594" s="247" t="s">
        <v>16</v>
      </c>
      <c r="Y1594" s="247" t="s">
        <v>16</v>
      </c>
      <c r="Z1594" s="247" t="s">
        <v>16</v>
      </c>
      <c r="AA1594" s="247" t="s">
        <v>16</v>
      </c>
      <c r="AB1594" s="247" t="s">
        <v>16</v>
      </c>
      <c r="AC1594" s="247" t="s">
        <v>16</v>
      </c>
      <c r="AD1594" s="247" t="s">
        <v>16</v>
      </c>
      <c r="AE1594" s="247" t="s">
        <v>2456</v>
      </c>
      <c r="AF1594" s="247"/>
    </row>
    <row r="1595" spans="1:32" x14ac:dyDescent="0.3">
      <c r="A1595" s="247" t="s">
        <v>2457</v>
      </c>
      <c r="B1595" s="247" t="s">
        <v>14</v>
      </c>
      <c r="C1595" s="247" t="s">
        <v>2453</v>
      </c>
      <c r="D1595" s="247" t="s">
        <v>15</v>
      </c>
      <c r="E1595" s="157">
        <v>41942</v>
      </c>
      <c r="F1595" s="247" t="s">
        <v>16</v>
      </c>
      <c r="G1595" s="247" t="s">
        <v>16</v>
      </c>
      <c r="H1595" s="247" t="s">
        <v>16</v>
      </c>
      <c r="I1595" s="247" t="s">
        <v>16</v>
      </c>
      <c r="J1595" s="247" t="s">
        <v>16</v>
      </c>
      <c r="K1595" s="247" t="s">
        <v>16</v>
      </c>
      <c r="L1595" s="247" t="s">
        <v>149</v>
      </c>
      <c r="M1595" s="247" t="s">
        <v>16</v>
      </c>
      <c r="N1595" s="247" t="s">
        <v>148</v>
      </c>
      <c r="O1595" s="247" t="s">
        <v>16</v>
      </c>
      <c r="P1595" s="247" t="s">
        <v>16</v>
      </c>
      <c r="Q1595" s="247" t="s">
        <v>16</v>
      </c>
      <c r="R1595" s="247" t="s">
        <v>16</v>
      </c>
      <c r="S1595" s="247" t="s">
        <v>16</v>
      </c>
      <c r="T1595" s="247" t="s">
        <v>16</v>
      </c>
      <c r="U1595" s="247" t="s">
        <v>16</v>
      </c>
      <c r="V1595" s="247" t="s">
        <v>16</v>
      </c>
      <c r="W1595" s="247" t="s">
        <v>16</v>
      </c>
      <c r="X1595" s="247" t="s">
        <v>16</v>
      </c>
      <c r="Y1595" s="247" t="s">
        <v>16</v>
      </c>
      <c r="Z1595" s="247" t="s">
        <v>16</v>
      </c>
      <c r="AA1595" s="247" t="s">
        <v>149</v>
      </c>
      <c r="AB1595" s="247" t="s">
        <v>16</v>
      </c>
      <c r="AC1595" s="247" t="s">
        <v>149</v>
      </c>
      <c r="AD1595" s="247" t="s">
        <v>16</v>
      </c>
      <c r="AE1595" s="247" t="s">
        <v>2454</v>
      </c>
      <c r="AF1595" s="247" t="s">
        <v>2458</v>
      </c>
    </row>
    <row r="1596" spans="1:32" x14ac:dyDescent="0.3">
      <c r="A1596" s="247" t="s">
        <v>2459</v>
      </c>
      <c r="B1596" s="247" t="s">
        <v>14</v>
      </c>
      <c r="C1596" s="247" t="s">
        <v>2453</v>
      </c>
      <c r="D1596" s="247" t="s">
        <v>15</v>
      </c>
      <c r="E1596" s="157">
        <v>41942</v>
      </c>
      <c r="F1596" s="247" t="s">
        <v>16</v>
      </c>
      <c r="G1596" s="247" t="s">
        <v>16</v>
      </c>
      <c r="H1596" s="247" t="s">
        <v>16</v>
      </c>
      <c r="I1596" s="247" t="s">
        <v>16</v>
      </c>
      <c r="J1596" s="247" t="s">
        <v>16</v>
      </c>
      <c r="K1596" s="247" t="s">
        <v>16</v>
      </c>
      <c r="L1596" s="247" t="s">
        <v>16</v>
      </c>
      <c r="M1596" s="247" t="s">
        <v>16</v>
      </c>
      <c r="N1596" s="247" t="s">
        <v>16</v>
      </c>
      <c r="O1596" s="247" t="s">
        <v>16</v>
      </c>
      <c r="P1596" s="247" t="s">
        <v>16</v>
      </c>
      <c r="Q1596" s="247" t="s">
        <v>16</v>
      </c>
      <c r="R1596" s="247" t="s">
        <v>16</v>
      </c>
      <c r="S1596" s="247" t="s">
        <v>16</v>
      </c>
      <c r="T1596" s="247" t="s">
        <v>16</v>
      </c>
      <c r="U1596" s="247" t="s">
        <v>16</v>
      </c>
      <c r="V1596" s="247" t="s">
        <v>16</v>
      </c>
      <c r="W1596" s="247" t="s">
        <v>16</v>
      </c>
      <c r="X1596" s="247" t="s">
        <v>16</v>
      </c>
      <c r="Y1596" s="247" t="s">
        <v>16</v>
      </c>
      <c r="Z1596" s="247" t="s">
        <v>16</v>
      </c>
      <c r="AA1596" s="247" t="s">
        <v>16</v>
      </c>
      <c r="AB1596" s="247" t="s">
        <v>16</v>
      </c>
      <c r="AC1596" s="247" t="s">
        <v>16</v>
      </c>
      <c r="AD1596" s="247" t="s">
        <v>16</v>
      </c>
      <c r="AE1596" s="247" t="s">
        <v>2460</v>
      </c>
      <c r="AF1596" s="247"/>
    </row>
    <row r="1597" spans="1:32" x14ac:dyDescent="0.3">
      <c r="A1597" s="247" t="s">
        <v>2461</v>
      </c>
      <c r="B1597" s="247" t="s">
        <v>14</v>
      </c>
      <c r="C1597" s="247" t="s">
        <v>2453</v>
      </c>
      <c r="D1597" s="247" t="s">
        <v>15</v>
      </c>
      <c r="E1597" s="157">
        <v>41942</v>
      </c>
      <c r="F1597" s="247" t="s">
        <v>16</v>
      </c>
      <c r="G1597" s="247" t="s">
        <v>16</v>
      </c>
      <c r="H1597" s="247" t="s">
        <v>149</v>
      </c>
      <c r="I1597" s="247" t="s">
        <v>16</v>
      </c>
      <c r="J1597" s="247" t="s">
        <v>148</v>
      </c>
      <c r="K1597" s="247" t="s">
        <v>149</v>
      </c>
      <c r="L1597" s="247" t="s">
        <v>149</v>
      </c>
      <c r="M1597" s="247" t="s">
        <v>148</v>
      </c>
      <c r="N1597" s="247" t="s">
        <v>148</v>
      </c>
      <c r="O1597" s="247" t="s">
        <v>16</v>
      </c>
      <c r="P1597" s="247" t="s">
        <v>16</v>
      </c>
      <c r="Q1597" s="247" t="s">
        <v>16</v>
      </c>
      <c r="R1597" s="247" t="s">
        <v>16</v>
      </c>
      <c r="S1597" s="247" t="s">
        <v>16</v>
      </c>
      <c r="T1597" s="247" t="s">
        <v>16</v>
      </c>
      <c r="U1597" s="247" t="s">
        <v>16</v>
      </c>
      <c r="V1597" s="247" t="s">
        <v>16</v>
      </c>
      <c r="W1597" s="247" t="s">
        <v>16</v>
      </c>
      <c r="X1597" s="247" t="s">
        <v>16</v>
      </c>
      <c r="Y1597" s="247" t="s">
        <v>16</v>
      </c>
      <c r="Z1597" s="247" t="s">
        <v>16</v>
      </c>
      <c r="AA1597" s="247" t="s">
        <v>16</v>
      </c>
      <c r="AB1597" s="247" t="s">
        <v>16</v>
      </c>
      <c r="AC1597" s="247" t="s">
        <v>16</v>
      </c>
      <c r="AD1597" s="247" t="s">
        <v>16</v>
      </c>
      <c r="AE1597" s="247" t="s">
        <v>2462</v>
      </c>
      <c r="AF1597" s="247"/>
    </row>
    <row r="1598" spans="1:32" x14ac:dyDescent="0.3">
      <c r="A1598" s="247" t="s">
        <v>2463</v>
      </c>
      <c r="B1598" s="247" t="s">
        <v>14</v>
      </c>
      <c r="C1598" s="247" t="s">
        <v>2453</v>
      </c>
      <c r="D1598" s="247" t="s">
        <v>15</v>
      </c>
      <c r="E1598" s="157">
        <v>41942</v>
      </c>
      <c r="F1598" s="247" t="s">
        <v>16</v>
      </c>
      <c r="G1598" s="247" t="s">
        <v>16</v>
      </c>
      <c r="H1598" s="247" t="s">
        <v>16</v>
      </c>
      <c r="I1598" s="247" t="s">
        <v>16</v>
      </c>
      <c r="J1598" s="247" t="s">
        <v>16</v>
      </c>
      <c r="K1598" s="247" t="s">
        <v>16</v>
      </c>
      <c r="L1598" s="247" t="s">
        <v>16</v>
      </c>
      <c r="M1598" s="247" t="s">
        <v>16</v>
      </c>
      <c r="N1598" s="247" t="s">
        <v>16</v>
      </c>
      <c r="O1598" s="247" t="s">
        <v>16</v>
      </c>
      <c r="P1598" s="247" t="s">
        <v>16</v>
      </c>
      <c r="Q1598" s="247" t="s">
        <v>16</v>
      </c>
      <c r="R1598" s="247" t="s">
        <v>16</v>
      </c>
      <c r="S1598" s="247" t="s">
        <v>16</v>
      </c>
      <c r="T1598" s="247" t="s">
        <v>16</v>
      </c>
      <c r="U1598" s="247" t="s">
        <v>16</v>
      </c>
      <c r="V1598" s="247" t="s">
        <v>16</v>
      </c>
      <c r="W1598" s="247" t="s">
        <v>16</v>
      </c>
      <c r="X1598" s="247" t="s">
        <v>16</v>
      </c>
      <c r="Y1598" s="247" t="s">
        <v>16</v>
      </c>
      <c r="Z1598" s="247" t="s">
        <v>149</v>
      </c>
      <c r="AA1598" s="247" t="s">
        <v>16</v>
      </c>
      <c r="AB1598" s="247" t="s">
        <v>16</v>
      </c>
      <c r="AC1598" s="247" t="s">
        <v>16</v>
      </c>
      <c r="AD1598" s="247" t="s">
        <v>16</v>
      </c>
      <c r="AE1598" s="247" t="s">
        <v>2454</v>
      </c>
      <c r="AF1598" s="247"/>
    </row>
    <row r="1599" spans="1:32" x14ac:dyDescent="0.3">
      <c r="A1599" s="247" t="s">
        <v>2464</v>
      </c>
      <c r="B1599" s="247" t="s">
        <v>14</v>
      </c>
      <c r="C1599" s="247" t="s">
        <v>2453</v>
      </c>
      <c r="D1599" s="247" t="s">
        <v>15</v>
      </c>
      <c r="E1599" s="157">
        <v>41942</v>
      </c>
      <c r="F1599" s="247" t="s">
        <v>150</v>
      </c>
      <c r="G1599" s="247" t="s">
        <v>16</v>
      </c>
      <c r="H1599" s="247" t="s">
        <v>16</v>
      </c>
      <c r="I1599" s="247" t="s">
        <v>16</v>
      </c>
      <c r="J1599" s="247" t="s">
        <v>150</v>
      </c>
      <c r="K1599" s="247" t="s">
        <v>16</v>
      </c>
      <c r="L1599" s="247" t="s">
        <v>16</v>
      </c>
      <c r="M1599" s="247" t="s">
        <v>16</v>
      </c>
      <c r="N1599" s="247" t="s">
        <v>150</v>
      </c>
      <c r="O1599" s="247" t="s">
        <v>150</v>
      </c>
      <c r="P1599" s="247" t="s">
        <v>150</v>
      </c>
      <c r="Q1599" s="247" t="s">
        <v>16</v>
      </c>
      <c r="R1599" s="247" t="s">
        <v>16</v>
      </c>
      <c r="S1599" s="247" t="s">
        <v>150</v>
      </c>
      <c r="T1599" s="247" t="s">
        <v>16</v>
      </c>
      <c r="U1599" s="247" t="s">
        <v>16</v>
      </c>
      <c r="V1599" s="247" t="s">
        <v>16</v>
      </c>
      <c r="W1599" s="247" t="s">
        <v>16</v>
      </c>
      <c r="X1599" s="247" t="s">
        <v>150</v>
      </c>
      <c r="Y1599" s="247" t="s">
        <v>16</v>
      </c>
      <c r="Z1599" s="247" t="s">
        <v>150</v>
      </c>
      <c r="AA1599" s="247" t="s">
        <v>150</v>
      </c>
      <c r="AB1599" s="247" t="s">
        <v>149</v>
      </c>
      <c r="AC1599" s="247" t="s">
        <v>149</v>
      </c>
      <c r="AD1599" s="247" t="s">
        <v>16</v>
      </c>
      <c r="AE1599" s="247" t="s">
        <v>2460</v>
      </c>
      <c r="AF1599" s="247"/>
    </row>
    <row r="1600" spans="1:32" x14ac:dyDescent="0.3">
      <c r="A1600" s="247" t="s">
        <v>2465</v>
      </c>
      <c r="B1600" s="247" t="s">
        <v>14</v>
      </c>
      <c r="C1600" s="247" t="s">
        <v>2453</v>
      </c>
      <c r="D1600" s="247" t="s">
        <v>15</v>
      </c>
      <c r="E1600" s="157">
        <v>41942</v>
      </c>
      <c r="F1600" s="247" t="s">
        <v>16</v>
      </c>
      <c r="G1600" s="247" t="s">
        <v>16</v>
      </c>
      <c r="H1600" s="247" t="s">
        <v>16</v>
      </c>
      <c r="I1600" s="247" t="s">
        <v>16</v>
      </c>
      <c r="J1600" s="247" t="s">
        <v>16</v>
      </c>
      <c r="K1600" s="247" t="s">
        <v>16</v>
      </c>
      <c r="L1600" s="247" t="s">
        <v>16</v>
      </c>
      <c r="M1600" s="247" t="s">
        <v>16</v>
      </c>
      <c r="N1600" s="247" t="s">
        <v>16</v>
      </c>
      <c r="O1600" s="247" t="s">
        <v>16</v>
      </c>
      <c r="P1600" s="247" t="s">
        <v>16</v>
      </c>
      <c r="Q1600" s="247" t="s">
        <v>16</v>
      </c>
      <c r="R1600" s="247" t="s">
        <v>16</v>
      </c>
      <c r="S1600" s="247" t="s">
        <v>16</v>
      </c>
      <c r="T1600" s="247" t="s">
        <v>16</v>
      </c>
      <c r="U1600" s="247" t="s">
        <v>16</v>
      </c>
      <c r="V1600" s="247" t="s">
        <v>16</v>
      </c>
      <c r="W1600" s="247" t="s">
        <v>16</v>
      </c>
      <c r="X1600" s="247" t="s">
        <v>16</v>
      </c>
      <c r="Y1600" s="247" t="s">
        <v>16</v>
      </c>
      <c r="Z1600" s="247" t="s">
        <v>16</v>
      </c>
      <c r="AA1600" s="247" t="s">
        <v>16</v>
      </c>
      <c r="AB1600" s="247" t="s">
        <v>16</v>
      </c>
      <c r="AC1600" s="247" t="s">
        <v>16</v>
      </c>
      <c r="AD1600" s="247" t="s">
        <v>16</v>
      </c>
      <c r="AE1600" s="247" t="s">
        <v>2466</v>
      </c>
      <c r="AF1600" s="247"/>
    </row>
    <row r="1601" spans="1:32" x14ac:dyDescent="0.3">
      <c r="A1601" s="247" t="s">
        <v>2467</v>
      </c>
      <c r="B1601" s="247" t="s">
        <v>14</v>
      </c>
      <c r="C1601" s="247" t="s">
        <v>2453</v>
      </c>
      <c r="D1601" s="247" t="s">
        <v>15</v>
      </c>
      <c r="E1601" s="157">
        <v>41942</v>
      </c>
      <c r="F1601" s="247" t="s">
        <v>150</v>
      </c>
      <c r="G1601" s="247" t="s">
        <v>149</v>
      </c>
      <c r="H1601" s="247" t="s">
        <v>149</v>
      </c>
      <c r="I1601" s="247" t="s">
        <v>149</v>
      </c>
      <c r="J1601" s="247" t="s">
        <v>16</v>
      </c>
      <c r="K1601" s="247" t="s">
        <v>151</v>
      </c>
      <c r="L1601" s="247" t="s">
        <v>151</v>
      </c>
      <c r="M1601" s="247" t="s">
        <v>151</v>
      </c>
      <c r="N1601" s="247" t="s">
        <v>16</v>
      </c>
      <c r="O1601" s="247" t="s">
        <v>149</v>
      </c>
      <c r="P1601" s="247" t="s">
        <v>149</v>
      </c>
      <c r="Q1601" s="247" t="s">
        <v>149</v>
      </c>
      <c r="R1601" s="247" t="s">
        <v>149</v>
      </c>
      <c r="S1601" s="247" t="s">
        <v>149</v>
      </c>
      <c r="T1601" s="247" t="s">
        <v>149</v>
      </c>
      <c r="U1601" s="247" t="s">
        <v>151</v>
      </c>
      <c r="V1601" s="247" t="s">
        <v>149</v>
      </c>
      <c r="W1601" s="247" t="s">
        <v>149</v>
      </c>
      <c r="X1601" s="247" t="s">
        <v>16</v>
      </c>
      <c r="Y1601" s="247" t="s">
        <v>16</v>
      </c>
      <c r="Z1601" s="247" t="s">
        <v>149</v>
      </c>
      <c r="AA1601" s="247" t="s">
        <v>149</v>
      </c>
      <c r="AB1601" s="247" t="s">
        <v>149</v>
      </c>
      <c r="AC1601" s="247" t="s">
        <v>150</v>
      </c>
      <c r="AD1601" s="247" t="s">
        <v>148</v>
      </c>
      <c r="AE1601" s="247" t="s">
        <v>2468</v>
      </c>
      <c r="AF1601" s="247"/>
    </row>
    <row r="1602" spans="1:32" x14ac:dyDescent="0.3">
      <c r="A1602" s="247" t="s">
        <v>2469</v>
      </c>
      <c r="B1602" s="247" t="s">
        <v>14</v>
      </c>
      <c r="C1602" s="247" t="s">
        <v>2453</v>
      </c>
      <c r="D1602" s="247" t="s">
        <v>15</v>
      </c>
      <c r="E1602" s="157">
        <v>41942</v>
      </c>
      <c r="F1602" s="247" t="s">
        <v>16</v>
      </c>
      <c r="G1602" s="247" t="s">
        <v>16</v>
      </c>
      <c r="H1602" s="247" t="s">
        <v>16</v>
      </c>
      <c r="I1602" s="247" t="s">
        <v>16</v>
      </c>
      <c r="J1602" s="247" t="s">
        <v>16</v>
      </c>
      <c r="K1602" s="247" t="s">
        <v>16</v>
      </c>
      <c r="L1602" s="247" t="s">
        <v>16</v>
      </c>
      <c r="M1602" s="247" t="s">
        <v>16</v>
      </c>
      <c r="N1602" s="247" t="s">
        <v>16</v>
      </c>
      <c r="O1602" s="247" t="s">
        <v>16</v>
      </c>
      <c r="P1602" s="247" t="s">
        <v>16</v>
      </c>
      <c r="Q1602" s="247" t="s">
        <v>16</v>
      </c>
      <c r="R1602" s="247" t="s">
        <v>16</v>
      </c>
      <c r="S1602" s="247" t="s">
        <v>16</v>
      </c>
      <c r="T1602" s="247" t="s">
        <v>16</v>
      </c>
      <c r="U1602" s="247" t="s">
        <v>16</v>
      </c>
      <c r="V1602" s="247" t="s">
        <v>16</v>
      </c>
      <c r="W1602" s="247" t="s">
        <v>16</v>
      </c>
      <c r="X1602" s="247" t="s">
        <v>16</v>
      </c>
      <c r="Y1602" s="247" t="s">
        <v>16</v>
      </c>
      <c r="Z1602" s="247" t="s">
        <v>16</v>
      </c>
      <c r="AA1602" s="247" t="s">
        <v>16</v>
      </c>
      <c r="AB1602" s="247" t="s">
        <v>16</v>
      </c>
      <c r="AC1602" s="247" t="s">
        <v>16</v>
      </c>
      <c r="AD1602" s="247" t="s">
        <v>16</v>
      </c>
      <c r="AE1602" s="247" t="s">
        <v>2454</v>
      </c>
      <c r="AF1602" s="247"/>
    </row>
    <row r="1603" spans="1:32" x14ac:dyDescent="0.3">
      <c r="A1603" s="247" t="s">
        <v>2470</v>
      </c>
      <c r="B1603" s="247" t="s">
        <v>14</v>
      </c>
      <c r="C1603" s="247" t="s">
        <v>2453</v>
      </c>
      <c r="D1603" s="247" t="s">
        <v>15</v>
      </c>
      <c r="E1603" s="157">
        <v>41942</v>
      </c>
      <c r="F1603" s="247" t="s">
        <v>148</v>
      </c>
      <c r="G1603" s="247" t="s">
        <v>16</v>
      </c>
      <c r="H1603" s="247" t="s">
        <v>148</v>
      </c>
      <c r="I1603" s="247" t="s">
        <v>16</v>
      </c>
      <c r="J1603" s="247" t="s">
        <v>16</v>
      </c>
      <c r="K1603" s="247" t="s">
        <v>16</v>
      </c>
      <c r="L1603" s="247" t="s">
        <v>16</v>
      </c>
      <c r="M1603" s="247" t="s">
        <v>16</v>
      </c>
      <c r="N1603" s="247" t="s">
        <v>16</v>
      </c>
      <c r="O1603" s="247" t="s">
        <v>148</v>
      </c>
      <c r="P1603" s="247" t="s">
        <v>16</v>
      </c>
      <c r="Q1603" s="247" t="s">
        <v>16</v>
      </c>
      <c r="R1603" s="247" t="s">
        <v>16</v>
      </c>
      <c r="S1603" s="247" t="s">
        <v>148</v>
      </c>
      <c r="T1603" s="247" t="s">
        <v>16</v>
      </c>
      <c r="U1603" s="247" t="s">
        <v>16</v>
      </c>
      <c r="V1603" s="247" t="s">
        <v>16</v>
      </c>
      <c r="W1603" s="247" t="s">
        <v>16</v>
      </c>
      <c r="X1603" s="247" t="s">
        <v>16</v>
      </c>
      <c r="Y1603" s="247" t="s">
        <v>16</v>
      </c>
      <c r="Z1603" s="247" t="s">
        <v>16</v>
      </c>
      <c r="AA1603" s="247" t="s">
        <v>16</v>
      </c>
      <c r="AB1603" s="247" t="s">
        <v>16</v>
      </c>
      <c r="AC1603" s="247" t="s">
        <v>16</v>
      </c>
      <c r="AD1603" s="247" t="s">
        <v>16</v>
      </c>
      <c r="AE1603" s="247" t="s">
        <v>2454</v>
      </c>
      <c r="AF1603" s="247"/>
    </row>
    <row r="1604" spans="1:32" x14ac:dyDescent="0.3">
      <c r="A1604" s="247" t="s">
        <v>2471</v>
      </c>
      <c r="B1604" s="247" t="s">
        <v>14</v>
      </c>
      <c r="C1604" s="247" t="s">
        <v>2453</v>
      </c>
      <c r="D1604" s="247" t="s">
        <v>15</v>
      </c>
      <c r="E1604" s="157">
        <v>41942</v>
      </c>
      <c r="F1604" s="247" t="s">
        <v>16</v>
      </c>
      <c r="G1604" s="247" t="s">
        <v>16</v>
      </c>
      <c r="H1604" s="247" t="s">
        <v>16</v>
      </c>
      <c r="I1604" s="247" t="s">
        <v>16</v>
      </c>
      <c r="J1604" s="247" t="s">
        <v>16</v>
      </c>
      <c r="K1604" s="247" t="s">
        <v>16</v>
      </c>
      <c r="L1604" s="247" t="s">
        <v>16</v>
      </c>
      <c r="M1604" s="247" t="s">
        <v>16</v>
      </c>
      <c r="N1604" s="247" t="s">
        <v>16</v>
      </c>
      <c r="O1604" s="247" t="s">
        <v>16</v>
      </c>
      <c r="P1604" s="247" t="s">
        <v>16</v>
      </c>
      <c r="Q1604" s="247" t="s">
        <v>16</v>
      </c>
      <c r="R1604" s="247" t="s">
        <v>16</v>
      </c>
      <c r="S1604" s="247" t="s">
        <v>16</v>
      </c>
      <c r="T1604" s="247" t="s">
        <v>16</v>
      </c>
      <c r="U1604" s="247" t="s">
        <v>16</v>
      </c>
      <c r="V1604" s="247" t="s">
        <v>16</v>
      </c>
      <c r="W1604" s="247" t="s">
        <v>16</v>
      </c>
      <c r="X1604" s="247" t="s">
        <v>16</v>
      </c>
      <c r="Y1604" s="247" t="s">
        <v>16</v>
      </c>
      <c r="Z1604" s="247" t="s">
        <v>16</v>
      </c>
      <c r="AA1604" s="247" t="s">
        <v>16</v>
      </c>
      <c r="AB1604" s="247" t="s">
        <v>16</v>
      </c>
      <c r="AC1604" s="247" t="s">
        <v>16</v>
      </c>
      <c r="AD1604" s="247" t="s">
        <v>16</v>
      </c>
      <c r="AE1604" s="247" t="s">
        <v>2460</v>
      </c>
      <c r="AF1604" s="247"/>
    </row>
    <row r="1605" spans="1:32" x14ac:dyDescent="0.3">
      <c r="A1605" s="247" t="s">
        <v>2472</v>
      </c>
      <c r="B1605" s="247" t="s">
        <v>14</v>
      </c>
      <c r="C1605" s="247" t="s">
        <v>2453</v>
      </c>
      <c r="D1605" s="247" t="s">
        <v>15</v>
      </c>
      <c r="E1605" s="157">
        <v>41942</v>
      </c>
      <c r="F1605" s="247" t="s">
        <v>16</v>
      </c>
      <c r="G1605" s="247" t="s">
        <v>16</v>
      </c>
      <c r="H1605" s="247" t="s">
        <v>16</v>
      </c>
      <c r="I1605" s="247" t="s">
        <v>16</v>
      </c>
      <c r="J1605" s="247" t="s">
        <v>16</v>
      </c>
      <c r="K1605" s="247" t="s">
        <v>16</v>
      </c>
      <c r="L1605" s="247" t="s">
        <v>16</v>
      </c>
      <c r="M1605" s="247" t="s">
        <v>16</v>
      </c>
      <c r="N1605" s="247" t="s">
        <v>16</v>
      </c>
      <c r="O1605" s="247" t="s">
        <v>16</v>
      </c>
      <c r="P1605" s="247" t="s">
        <v>16</v>
      </c>
      <c r="Q1605" s="247" t="s">
        <v>16</v>
      </c>
      <c r="R1605" s="247" t="s">
        <v>16</v>
      </c>
      <c r="S1605" s="247" t="s">
        <v>16</v>
      </c>
      <c r="T1605" s="247" t="s">
        <v>16</v>
      </c>
      <c r="U1605" s="247" t="s">
        <v>16</v>
      </c>
      <c r="V1605" s="247" t="s">
        <v>16</v>
      </c>
      <c r="W1605" s="247" t="s">
        <v>16</v>
      </c>
      <c r="X1605" s="247" t="s">
        <v>16</v>
      </c>
      <c r="Y1605" s="247" t="s">
        <v>16</v>
      </c>
      <c r="Z1605" s="247" t="s">
        <v>16</v>
      </c>
      <c r="AA1605" s="247" t="s">
        <v>16</v>
      </c>
      <c r="AB1605" s="247" t="s">
        <v>16</v>
      </c>
      <c r="AC1605" s="247" t="s">
        <v>16</v>
      </c>
      <c r="AD1605" s="247" t="s">
        <v>16</v>
      </c>
      <c r="AE1605" s="247" t="s">
        <v>2460</v>
      </c>
      <c r="AF1605" s="247"/>
    </row>
    <row r="1606" spans="1:32" x14ac:dyDescent="0.3">
      <c r="A1606" s="247" t="s">
        <v>2473</v>
      </c>
      <c r="B1606" s="247" t="s">
        <v>14</v>
      </c>
      <c r="C1606" s="247" t="s">
        <v>2453</v>
      </c>
      <c r="D1606" s="247" t="s">
        <v>15</v>
      </c>
      <c r="E1606" s="157">
        <v>41942</v>
      </c>
      <c r="F1606" s="247" t="s">
        <v>16</v>
      </c>
      <c r="G1606" s="247" t="s">
        <v>16</v>
      </c>
      <c r="H1606" s="247" t="s">
        <v>16</v>
      </c>
      <c r="I1606" s="247" t="s">
        <v>16</v>
      </c>
      <c r="J1606" s="247" t="s">
        <v>16</v>
      </c>
      <c r="K1606" s="247" t="s">
        <v>16</v>
      </c>
      <c r="L1606" s="247" t="s">
        <v>16</v>
      </c>
      <c r="M1606" s="247" t="s">
        <v>16</v>
      </c>
      <c r="N1606" s="247" t="s">
        <v>16</v>
      </c>
      <c r="O1606" s="247" t="s">
        <v>16</v>
      </c>
      <c r="P1606" s="247" t="s">
        <v>16</v>
      </c>
      <c r="Q1606" s="247" t="s">
        <v>16</v>
      </c>
      <c r="R1606" s="247" t="s">
        <v>16</v>
      </c>
      <c r="S1606" s="247" t="s">
        <v>16</v>
      </c>
      <c r="T1606" s="247" t="s">
        <v>16</v>
      </c>
      <c r="U1606" s="247" t="s">
        <v>16</v>
      </c>
      <c r="V1606" s="247" t="s">
        <v>16</v>
      </c>
      <c r="W1606" s="247" t="s">
        <v>16</v>
      </c>
      <c r="X1606" s="247" t="s">
        <v>16</v>
      </c>
      <c r="Y1606" s="247" t="s">
        <v>16</v>
      </c>
      <c r="Z1606" s="247" t="s">
        <v>16</v>
      </c>
      <c r="AA1606" s="247" t="s">
        <v>16</v>
      </c>
      <c r="AB1606" s="247" t="s">
        <v>16</v>
      </c>
      <c r="AC1606" s="247" t="s">
        <v>16</v>
      </c>
      <c r="AD1606" s="247" t="s">
        <v>16</v>
      </c>
      <c r="AE1606" s="247" t="s">
        <v>2454</v>
      </c>
      <c r="AF1606" s="247"/>
    </row>
    <row r="1607" spans="1:32" x14ac:dyDescent="0.3">
      <c r="A1607" s="247" t="s">
        <v>2474</v>
      </c>
      <c r="B1607" s="247" t="s">
        <v>14</v>
      </c>
      <c r="C1607" s="247" t="s">
        <v>2453</v>
      </c>
      <c r="D1607" s="247" t="s">
        <v>15</v>
      </c>
      <c r="E1607" s="157">
        <v>41942</v>
      </c>
      <c r="F1607" s="247" t="s">
        <v>16</v>
      </c>
      <c r="G1607" s="247" t="s">
        <v>16</v>
      </c>
      <c r="H1607" s="247" t="s">
        <v>16</v>
      </c>
      <c r="I1607" s="247" t="s">
        <v>16</v>
      </c>
      <c r="J1607" s="247" t="s">
        <v>16</v>
      </c>
      <c r="K1607" s="247" t="s">
        <v>16</v>
      </c>
      <c r="L1607" s="247" t="s">
        <v>16</v>
      </c>
      <c r="M1607" s="247" t="s">
        <v>16</v>
      </c>
      <c r="N1607" s="247" t="s">
        <v>16</v>
      </c>
      <c r="O1607" s="247" t="s">
        <v>16</v>
      </c>
      <c r="P1607" s="247" t="s">
        <v>16</v>
      </c>
      <c r="Q1607" s="247" t="s">
        <v>16</v>
      </c>
      <c r="R1607" s="247" t="s">
        <v>16</v>
      </c>
      <c r="S1607" s="247" t="s">
        <v>16</v>
      </c>
      <c r="T1607" s="247" t="s">
        <v>16</v>
      </c>
      <c r="U1607" s="247" t="s">
        <v>16</v>
      </c>
      <c r="V1607" s="247" t="s">
        <v>16</v>
      </c>
      <c r="W1607" s="247" t="s">
        <v>16</v>
      </c>
      <c r="X1607" s="247" t="s">
        <v>16</v>
      </c>
      <c r="Y1607" s="247" t="s">
        <v>16</v>
      </c>
      <c r="Z1607" s="247" t="s">
        <v>16</v>
      </c>
      <c r="AA1607" s="247" t="s">
        <v>16</v>
      </c>
      <c r="AB1607" s="247" t="s">
        <v>16</v>
      </c>
      <c r="AC1607" s="247" t="s">
        <v>16</v>
      </c>
      <c r="AD1607" s="247" t="s">
        <v>16</v>
      </c>
      <c r="AE1607" s="247" t="s">
        <v>2456</v>
      </c>
      <c r="AF1607" s="247"/>
    </row>
    <row r="1608" spans="1:32" x14ac:dyDescent="0.3">
      <c r="A1608" s="247" t="s">
        <v>2475</v>
      </c>
      <c r="B1608" s="247" t="s">
        <v>14</v>
      </c>
      <c r="C1608" s="247" t="s">
        <v>2453</v>
      </c>
      <c r="D1608" s="247" t="s">
        <v>15</v>
      </c>
      <c r="E1608" s="157">
        <v>41942</v>
      </c>
      <c r="F1608" s="247" t="s">
        <v>16</v>
      </c>
      <c r="G1608" s="247" t="s">
        <v>16</v>
      </c>
      <c r="H1608" s="247" t="s">
        <v>16</v>
      </c>
      <c r="I1608" s="247" t="s">
        <v>16</v>
      </c>
      <c r="J1608" s="247" t="s">
        <v>16</v>
      </c>
      <c r="K1608" s="247" t="s">
        <v>16</v>
      </c>
      <c r="L1608" s="247" t="s">
        <v>16</v>
      </c>
      <c r="M1608" s="247" t="s">
        <v>16</v>
      </c>
      <c r="N1608" s="247" t="s">
        <v>16</v>
      </c>
      <c r="O1608" s="247" t="s">
        <v>16</v>
      </c>
      <c r="P1608" s="247" t="s">
        <v>16</v>
      </c>
      <c r="Q1608" s="247" t="s">
        <v>16</v>
      </c>
      <c r="R1608" s="247" t="s">
        <v>16</v>
      </c>
      <c r="S1608" s="247" t="s">
        <v>16</v>
      </c>
      <c r="T1608" s="247" t="s">
        <v>16</v>
      </c>
      <c r="U1608" s="247" t="s">
        <v>16</v>
      </c>
      <c r="V1608" s="247" t="s">
        <v>16</v>
      </c>
      <c r="W1608" s="247" t="s">
        <v>16</v>
      </c>
      <c r="X1608" s="247" t="s">
        <v>16</v>
      </c>
      <c r="Y1608" s="247" t="s">
        <v>16</v>
      </c>
      <c r="Z1608" s="247" t="s">
        <v>16</v>
      </c>
      <c r="AA1608" s="247" t="s">
        <v>16</v>
      </c>
      <c r="AB1608" s="247" t="s">
        <v>16</v>
      </c>
      <c r="AC1608" s="247" t="s">
        <v>16</v>
      </c>
      <c r="AD1608" s="247" t="s">
        <v>16</v>
      </c>
      <c r="AE1608" s="247" t="s">
        <v>2454</v>
      </c>
    </row>
    <row r="1609" spans="1:32" x14ac:dyDescent="0.3">
      <c r="A1609" s="247" t="s">
        <v>2476</v>
      </c>
      <c r="B1609" s="247" t="s">
        <v>14</v>
      </c>
      <c r="C1609" s="247" t="s">
        <v>2453</v>
      </c>
      <c r="D1609" s="247" t="s">
        <v>15</v>
      </c>
      <c r="E1609" s="157">
        <v>41942</v>
      </c>
      <c r="F1609" s="247" t="s">
        <v>16</v>
      </c>
      <c r="G1609" s="247" t="s">
        <v>16</v>
      </c>
      <c r="H1609" s="247" t="s">
        <v>16</v>
      </c>
      <c r="I1609" s="247" t="s">
        <v>16</v>
      </c>
      <c r="J1609" s="247" t="s">
        <v>16</v>
      </c>
      <c r="K1609" s="247" t="s">
        <v>16</v>
      </c>
      <c r="L1609" s="247" t="s">
        <v>16</v>
      </c>
      <c r="M1609" s="247" t="s">
        <v>16</v>
      </c>
      <c r="N1609" s="247" t="s">
        <v>16</v>
      </c>
      <c r="O1609" s="247" t="s">
        <v>16</v>
      </c>
      <c r="P1609" s="247" t="s">
        <v>16</v>
      </c>
      <c r="Q1609" s="247" t="s">
        <v>16</v>
      </c>
      <c r="R1609" s="247" t="s">
        <v>16</v>
      </c>
      <c r="S1609" s="247" t="s">
        <v>16</v>
      </c>
      <c r="T1609" s="247" t="s">
        <v>16</v>
      </c>
      <c r="U1609" s="247" t="s">
        <v>16</v>
      </c>
      <c r="V1609" s="247" t="s">
        <v>16</v>
      </c>
      <c r="W1609" s="247" t="s">
        <v>16</v>
      </c>
      <c r="X1609" s="247" t="s">
        <v>16</v>
      </c>
      <c r="Y1609" s="247" t="s">
        <v>16</v>
      </c>
      <c r="Z1609" s="247" t="s">
        <v>16</v>
      </c>
      <c r="AA1609" s="247" t="s">
        <v>16</v>
      </c>
      <c r="AB1609" s="247" t="s">
        <v>16</v>
      </c>
      <c r="AC1609" s="247" t="s">
        <v>16</v>
      </c>
      <c r="AD1609" s="247" t="s">
        <v>16</v>
      </c>
      <c r="AE1609" s="247" t="s">
        <v>2460</v>
      </c>
    </row>
    <row r="1610" spans="1:32" x14ac:dyDescent="0.3">
      <c r="A1610" s="247" t="s">
        <v>2477</v>
      </c>
      <c r="B1610" s="247" t="s">
        <v>14</v>
      </c>
      <c r="C1610" s="247" t="s">
        <v>2453</v>
      </c>
      <c r="D1610" s="247" t="s">
        <v>15</v>
      </c>
      <c r="E1610" s="157">
        <v>41942</v>
      </c>
      <c r="F1610" s="247" t="s">
        <v>16</v>
      </c>
      <c r="G1610" s="247" t="s">
        <v>16</v>
      </c>
      <c r="H1610" s="247" t="s">
        <v>16</v>
      </c>
      <c r="I1610" s="247" t="s">
        <v>16</v>
      </c>
      <c r="J1610" s="247" t="s">
        <v>16</v>
      </c>
      <c r="K1610" s="247" t="s">
        <v>16</v>
      </c>
      <c r="L1610" s="247" t="s">
        <v>16</v>
      </c>
      <c r="M1610" s="247" t="s">
        <v>16</v>
      </c>
      <c r="N1610" s="247" t="s">
        <v>16</v>
      </c>
      <c r="O1610" s="247" t="s">
        <v>16</v>
      </c>
      <c r="P1610" s="247" t="s">
        <v>16</v>
      </c>
      <c r="Q1610" s="247" t="s">
        <v>16</v>
      </c>
      <c r="R1610" s="247" t="s">
        <v>16</v>
      </c>
      <c r="S1610" s="247" t="s">
        <v>16</v>
      </c>
      <c r="T1610" s="247" t="s">
        <v>16</v>
      </c>
      <c r="U1610" s="247" t="s">
        <v>16</v>
      </c>
      <c r="V1610" s="247" t="s">
        <v>16</v>
      </c>
      <c r="W1610" s="247" t="s">
        <v>16</v>
      </c>
      <c r="X1610" s="247" t="s">
        <v>16</v>
      </c>
      <c r="Y1610" s="247" t="s">
        <v>16</v>
      </c>
      <c r="Z1610" s="247" t="s">
        <v>16</v>
      </c>
      <c r="AA1610" s="247" t="s">
        <v>16</v>
      </c>
      <c r="AB1610" s="247" t="s">
        <v>16</v>
      </c>
      <c r="AC1610" s="247" t="s">
        <v>16</v>
      </c>
      <c r="AD1610" s="247" t="s">
        <v>16</v>
      </c>
      <c r="AE1610" s="247" t="s">
        <v>2454</v>
      </c>
    </row>
    <row r="1614" spans="1:32" x14ac:dyDescent="0.3">
      <c r="A1614" s="247"/>
      <c r="B1614" s="247"/>
      <c r="C1614" s="247"/>
      <c r="D1614" s="247"/>
      <c r="E1614" s="247"/>
      <c r="F1614" s="247" t="s">
        <v>124</v>
      </c>
      <c r="G1614" s="247" t="s">
        <v>125</v>
      </c>
      <c r="H1614" s="247" t="s">
        <v>126</v>
      </c>
      <c r="I1614" s="247" t="s">
        <v>127</v>
      </c>
      <c r="J1614" s="247" t="s">
        <v>214</v>
      </c>
      <c r="K1614" s="247" t="s">
        <v>128</v>
      </c>
      <c r="L1614" s="247" t="s">
        <v>129</v>
      </c>
      <c r="M1614" s="247" t="s">
        <v>130</v>
      </c>
      <c r="N1614" s="247" t="s">
        <v>131</v>
      </c>
      <c r="O1614" s="247" t="s">
        <v>132</v>
      </c>
      <c r="P1614" s="247" t="s">
        <v>133</v>
      </c>
      <c r="Q1614" s="247" t="s">
        <v>134</v>
      </c>
      <c r="R1614" s="247" t="s">
        <v>135</v>
      </c>
      <c r="S1614" s="247" t="s">
        <v>136</v>
      </c>
      <c r="T1614" s="247" t="s">
        <v>137</v>
      </c>
      <c r="U1614" s="247" t="s">
        <v>138</v>
      </c>
      <c r="V1614" s="247" t="s">
        <v>139</v>
      </c>
      <c r="W1614" s="247" t="s">
        <v>140</v>
      </c>
      <c r="X1614" s="247" t="s">
        <v>186</v>
      </c>
      <c r="Y1614" s="247" t="s">
        <v>209</v>
      </c>
      <c r="Z1614" s="247" t="s">
        <v>141</v>
      </c>
      <c r="AA1614" s="247" t="s">
        <v>142</v>
      </c>
      <c r="AB1614" s="247" t="s">
        <v>210</v>
      </c>
      <c r="AC1614" s="247" t="s">
        <v>1180</v>
      </c>
      <c r="AD1614" s="247" t="s">
        <v>144</v>
      </c>
      <c r="AE1614" s="247" t="s">
        <v>2478</v>
      </c>
      <c r="AF1614" s="247" t="s">
        <v>190</v>
      </c>
    </row>
    <row r="1615" spans="1:32" x14ac:dyDescent="0.3">
      <c r="A1615" s="247" t="s">
        <v>2479</v>
      </c>
      <c r="B1615" s="247" t="s">
        <v>14</v>
      </c>
      <c r="C1615" s="247" t="s">
        <v>2480</v>
      </c>
      <c r="D1615" s="247" t="s">
        <v>15</v>
      </c>
      <c r="E1615" s="157">
        <v>41972</v>
      </c>
      <c r="F1615" s="247" t="s">
        <v>16</v>
      </c>
      <c r="G1615" s="247" t="s">
        <v>16</v>
      </c>
      <c r="H1615" s="247" t="s">
        <v>148</v>
      </c>
      <c r="I1615" s="247" t="s">
        <v>16</v>
      </c>
      <c r="J1615" s="247" t="s">
        <v>16</v>
      </c>
      <c r="K1615" s="247" t="s">
        <v>16</v>
      </c>
      <c r="L1615" s="247" t="s">
        <v>16</v>
      </c>
      <c r="M1615" s="247" t="s">
        <v>16</v>
      </c>
      <c r="N1615" s="247" t="s">
        <v>16</v>
      </c>
      <c r="O1615" s="247" t="s">
        <v>16</v>
      </c>
      <c r="P1615" s="247" t="s">
        <v>16</v>
      </c>
      <c r="Q1615" s="247" t="s">
        <v>16</v>
      </c>
      <c r="R1615" s="247" t="s">
        <v>16</v>
      </c>
      <c r="S1615" s="247" t="s">
        <v>16</v>
      </c>
      <c r="T1615" s="247" t="s">
        <v>16</v>
      </c>
      <c r="U1615" s="247" t="s">
        <v>16</v>
      </c>
      <c r="V1615" s="247" t="s">
        <v>16</v>
      </c>
      <c r="W1615" s="247" t="s">
        <v>16</v>
      </c>
      <c r="X1615" s="247" t="s">
        <v>16</v>
      </c>
      <c r="Y1615" s="247" t="s">
        <v>16</v>
      </c>
      <c r="Z1615" s="247" t="s">
        <v>16</v>
      </c>
      <c r="AA1615" s="247" t="s">
        <v>16</v>
      </c>
      <c r="AB1615" s="247" t="s">
        <v>16</v>
      </c>
      <c r="AC1615" s="247" t="s">
        <v>16</v>
      </c>
      <c r="AD1615" s="247" t="s">
        <v>16</v>
      </c>
      <c r="AE1615" s="247" t="s">
        <v>2481</v>
      </c>
      <c r="AF1615" s="247"/>
    </row>
    <row r="1616" spans="1:32" x14ac:dyDescent="0.3">
      <c r="A1616" s="247" t="s">
        <v>2482</v>
      </c>
      <c r="B1616" s="247" t="s">
        <v>14</v>
      </c>
      <c r="C1616" s="247" t="s">
        <v>2480</v>
      </c>
      <c r="D1616" s="247" t="s">
        <v>15</v>
      </c>
      <c r="E1616" s="157">
        <v>41972</v>
      </c>
      <c r="F1616" s="247" t="s">
        <v>148</v>
      </c>
      <c r="G1616" s="247" t="s">
        <v>148</v>
      </c>
      <c r="H1616" s="247" t="s">
        <v>148</v>
      </c>
      <c r="I1616" s="247" t="s">
        <v>148</v>
      </c>
      <c r="J1616" s="247" t="s">
        <v>16</v>
      </c>
      <c r="K1616" s="247" t="s">
        <v>148</v>
      </c>
      <c r="L1616" s="247" t="s">
        <v>16</v>
      </c>
      <c r="M1616" s="247" t="s">
        <v>148</v>
      </c>
      <c r="N1616" s="247" t="s">
        <v>148</v>
      </c>
      <c r="O1616" s="247" t="s">
        <v>148</v>
      </c>
      <c r="P1616" s="247" t="s">
        <v>148</v>
      </c>
      <c r="Q1616" s="247" t="s">
        <v>16</v>
      </c>
      <c r="R1616" s="247" t="s">
        <v>16</v>
      </c>
      <c r="S1616" s="247" t="s">
        <v>148</v>
      </c>
      <c r="T1616" s="247" t="s">
        <v>148</v>
      </c>
      <c r="U1616" s="247" t="s">
        <v>16</v>
      </c>
      <c r="V1616" s="247" t="s">
        <v>148</v>
      </c>
      <c r="W1616" s="247" t="s">
        <v>150</v>
      </c>
      <c r="X1616" s="247" t="s">
        <v>150</v>
      </c>
      <c r="Y1616" s="247" t="s">
        <v>150</v>
      </c>
      <c r="Z1616" s="247" t="s">
        <v>148</v>
      </c>
      <c r="AA1616" s="247" t="s">
        <v>16</v>
      </c>
      <c r="AB1616" s="247" t="s">
        <v>16</v>
      </c>
      <c r="AC1616" s="247" t="s">
        <v>148</v>
      </c>
      <c r="AD1616" s="247" t="s">
        <v>148</v>
      </c>
      <c r="AE1616" s="247" t="s">
        <v>2481</v>
      </c>
      <c r="AF1616" s="247"/>
    </row>
    <row r="1617" spans="1:32" x14ac:dyDescent="0.3">
      <c r="A1617" s="247" t="s">
        <v>2483</v>
      </c>
      <c r="B1617" s="247" t="s">
        <v>14</v>
      </c>
      <c r="C1617" s="247" t="s">
        <v>2480</v>
      </c>
      <c r="D1617" s="247" t="s">
        <v>15</v>
      </c>
      <c r="E1617" s="157">
        <v>41972</v>
      </c>
      <c r="F1617" s="247" t="s">
        <v>16</v>
      </c>
      <c r="G1617" s="247" t="s">
        <v>16</v>
      </c>
      <c r="H1617" s="247" t="s">
        <v>16</v>
      </c>
      <c r="I1617" s="247" t="s">
        <v>16</v>
      </c>
      <c r="J1617" s="247" t="s">
        <v>148</v>
      </c>
      <c r="K1617" s="247" t="s">
        <v>16</v>
      </c>
      <c r="L1617" s="247" t="s">
        <v>16</v>
      </c>
      <c r="M1617" s="247" t="s">
        <v>16</v>
      </c>
      <c r="N1617" s="247" t="s">
        <v>16</v>
      </c>
      <c r="O1617" s="247" t="s">
        <v>16</v>
      </c>
      <c r="P1617" s="247" t="s">
        <v>16</v>
      </c>
      <c r="Q1617" s="247" t="s">
        <v>16</v>
      </c>
      <c r="R1617" s="247" t="s">
        <v>16</v>
      </c>
      <c r="S1617" s="247" t="s">
        <v>16</v>
      </c>
      <c r="T1617" s="247" t="s">
        <v>16</v>
      </c>
      <c r="U1617" s="247" t="s">
        <v>16</v>
      </c>
      <c r="V1617" s="247" t="s">
        <v>16</v>
      </c>
      <c r="W1617" s="247" t="s">
        <v>16</v>
      </c>
      <c r="X1617" s="247" t="s">
        <v>16</v>
      </c>
      <c r="Y1617" s="247" t="s">
        <v>16</v>
      </c>
      <c r="Z1617" s="247" t="s">
        <v>16</v>
      </c>
      <c r="AA1617" s="247" t="s">
        <v>16</v>
      </c>
      <c r="AB1617" s="247" t="s">
        <v>16</v>
      </c>
      <c r="AC1617" s="247" t="s">
        <v>16</v>
      </c>
      <c r="AD1617" s="247" t="s">
        <v>16</v>
      </c>
      <c r="AE1617" s="247" t="s">
        <v>2481</v>
      </c>
      <c r="AF1617" s="247"/>
    </row>
    <row r="1618" spans="1:32" x14ac:dyDescent="0.3">
      <c r="A1618" s="247" t="s">
        <v>2484</v>
      </c>
      <c r="B1618" s="247" t="s">
        <v>14</v>
      </c>
      <c r="C1618" s="247" t="s">
        <v>2480</v>
      </c>
      <c r="D1618" s="247" t="s">
        <v>15</v>
      </c>
      <c r="E1618" s="157">
        <v>41972</v>
      </c>
      <c r="F1618" s="247" t="s">
        <v>16</v>
      </c>
      <c r="G1618" s="247" t="s">
        <v>16</v>
      </c>
      <c r="H1618" s="247" t="s">
        <v>16</v>
      </c>
      <c r="I1618" s="247" t="s">
        <v>16</v>
      </c>
      <c r="J1618" s="247" t="s">
        <v>16</v>
      </c>
      <c r="K1618" s="247" t="s">
        <v>16</v>
      </c>
      <c r="L1618" s="247" t="s">
        <v>16</v>
      </c>
      <c r="M1618" s="247" t="s">
        <v>16</v>
      </c>
      <c r="N1618" s="247" t="s">
        <v>16</v>
      </c>
      <c r="O1618" s="247" t="s">
        <v>16</v>
      </c>
      <c r="P1618" s="247" t="s">
        <v>16</v>
      </c>
      <c r="Q1618" s="247" t="s">
        <v>16</v>
      </c>
      <c r="R1618" s="247" t="s">
        <v>16</v>
      </c>
      <c r="S1618" s="247" t="s">
        <v>16</v>
      </c>
      <c r="T1618" s="247" t="s">
        <v>16</v>
      </c>
      <c r="U1618" s="247" t="s">
        <v>16</v>
      </c>
      <c r="V1618" s="247" t="s">
        <v>16</v>
      </c>
      <c r="W1618" s="247" t="s">
        <v>16</v>
      </c>
      <c r="X1618" s="247" t="s">
        <v>16</v>
      </c>
      <c r="Y1618" s="247" t="s">
        <v>16</v>
      </c>
      <c r="Z1618" s="247" t="s">
        <v>16</v>
      </c>
      <c r="AA1618" s="247" t="s">
        <v>16</v>
      </c>
      <c r="AB1618" s="247" t="s">
        <v>16</v>
      </c>
      <c r="AC1618" s="247" t="s">
        <v>16</v>
      </c>
      <c r="AD1618" s="247" t="s">
        <v>16</v>
      </c>
      <c r="AE1618" s="247" t="s">
        <v>2481</v>
      </c>
      <c r="AF1618" s="247"/>
    </row>
    <row r="1619" spans="1:32" x14ac:dyDescent="0.3">
      <c r="A1619" s="247" t="s">
        <v>2485</v>
      </c>
      <c r="B1619" s="247" t="s">
        <v>14</v>
      </c>
      <c r="C1619" s="247" t="s">
        <v>2480</v>
      </c>
      <c r="D1619" s="247" t="s">
        <v>15</v>
      </c>
      <c r="E1619" s="157">
        <v>41972</v>
      </c>
      <c r="F1619" s="247" t="s">
        <v>16</v>
      </c>
      <c r="G1619" s="247" t="s">
        <v>16</v>
      </c>
      <c r="H1619" s="247" t="s">
        <v>16</v>
      </c>
      <c r="I1619" s="247" t="s">
        <v>16</v>
      </c>
      <c r="J1619" s="247" t="s">
        <v>16</v>
      </c>
      <c r="K1619" s="247" t="s">
        <v>16</v>
      </c>
      <c r="L1619" s="247" t="s">
        <v>16</v>
      </c>
      <c r="M1619" s="247" t="s">
        <v>16</v>
      </c>
      <c r="N1619" s="247" t="s">
        <v>148</v>
      </c>
      <c r="O1619" s="247" t="s">
        <v>16</v>
      </c>
      <c r="P1619" s="247" t="s">
        <v>16</v>
      </c>
      <c r="Q1619" s="247" t="s">
        <v>16</v>
      </c>
      <c r="R1619" s="247" t="s">
        <v>16</v>
      </c>
      <c r="S1619" s="247" t="s">
        <v>148</v>
      </c>
      <c r="T1619" s="247" t="s">
        <v>16</v>
      </c>
      <c r="U1619" s="247" t="s">
        <v>16</v>
      </c>
      <c r="V1619" s="247" t="s">
        <v>16</v>
      </c>
      <c r="W1619" s="247" t="s">
        <v>148</v>
      </c>
      <c r="X1619" s="247" t="s">
        <v>16</v>
      </c>
      <c r="Y1619" s="247" t="s">
        <v>16</v>
      </c>
      <c r="Z1619" s="247" t="s">
        <v>16</v>
      </c>
      <c r="AA1619" s="247" t="s">
        <v>16</v>
      </c>
      <c r="AB1619" s="247" t="s">
        <v>16</v>
      </c>
      <c r="AC1619" s="247" t="s">
        <v>16</v>
      </c>
      <c r="AD1619" s="247" t="s">
        <v>148</v>
      </c>
      <c r="AE1619" s="247" t="s">
        <v>2481</v>
      </c>
      <c r="AF1619" s="247"/>
    </row>
    <row r="1620" spans="1:32" x14ac:dyDescent="0.3">
      <c r="A1620" s="247" t="s">
        <v>2486</v>
      </c>
      <c r="B1620" s="247" t="s">
        <v>14</v>
      </c>
      <c r="C1620" s="247" t="s">
        <v>2480</v>
      </c>
      <c r="D1620" s="247" t="s">
        <v>15</v>
      </c>
      <c r="E1620" s="157">
        <v>41972</v>
      </c>
      <c r="F1620" s="247" t="s">
        <v>150</v>
      </c>
      <c r="G1620" s="247" t="s">
        <v>16</v>
      </c>
      <c r="H1620" s="247" t="s">
        <v>148</v>
      </c>
      <c r="I1620" s="247" t="s">
        <v>149</v>
      </c>
      <c r="J1620" s="247" t="s">
        <v>16</v>
      </c>
      <c r="K1620" s="247" t="s">
        <v>16</v>
      </c>
      <c r="L1620" s="247" t="s">
        <v>16</v>
      </c>
      <c r="M1620" s="247" t="s">
        <v>16</v>
      </c>
      <c r="N1620" s="247" t="s">
        <v>150</v>
      </c>
      <c r="O1620" s="247" t="s">
        <v>150</v>
      </c>
      <c r="P1620" s="247" t="s">
        <v>150</v>
      </c>
      <c r="Q1620" s="247" t="s">
        <v>148</v>
      </c>
      <c r="R1620" s="247" t="s">
        <v>149</v>
      </c>
      <c r="S1620" s="247" t="s">
        <v>148</v>
      </c>
      <c r="T1620" s="247" t="s">
        <v>148</v>
      </c>
      <c r="U1620" s="247" t="s">
        <v>148</v>
      </c>
      <c r="V1620" s="247" t="s">
        <v>150</v>
      </c>
      <c r="W1620" s="247" t="s">
        <v>148</v>
      </c>
      <c r="X1620" s="247" t="s">
        <v>148</v>
      </c>
      <c r="Y1620" s="247" t="s">
        <v>16</v>
      </c>
      <c r="Z1620" s="247" t="s">
        <v>148</v>
      </c>
      <c r="AA1620" s="247" t="s">
        <v>150</v>
      </c>
      <c r="AB1620" s="247" t="s">
        <v>149</v>
      </c>
      <c r="AC1620" s="247" t="s">
        <v>16</v>
      </c>
      <c r="AD1620" s="247" t="s">
        <v>16</v>
      </c>
      <c r="AE1620" s="247" t="s">
        <v>2481</v>
      </c>
      <c r="AF1620" s="247"/>
    </row>
    <row r="1621" spans="1:32" x14ac:dyDescent="0.3">
      <c r="A1621" s="247" t="s">
        <v>2487</v>
      </c>
      <c r="B1621" s="247" t="s">
        <v>14</v>
      </c>
      <c r="C1621" s="247" t="s">
        <v>2480</v>
      </c>
      <c r="D1621" s="247" t="s">
        <v>15</v>
      </c>
      <c r="E1621" s="157">
        <v>41972</v>
      </c>
      <c r="F1621" s="247" t="s">
        <v>16</v>
      </c>
      <c r="G1621" s="247" t="s">
        <v>148</v>
      </c>
      <c r="H1621" s="247" t="s">
        <v>148</v>
      </c>
      <c r="I1621" s="247" t="s">
        <v>16</v>
      </c>
      <c r="J1621" s="247" t="s">
        <v>148</v>
      </c>
      <c r="K1621" s="247" t="s">
        <v>16</v>
      </c>
      <c r="L1621" s="247" t="s">
        <v>16</v>
      </c>
      <c r="M1621" s="247" t="s">
        <v>16</v>
      </c>
      <c r="N1621" s="247" t="s">
        <v>148</v>
      </c>
      <c r="O1621" s="247" t="s">
        <v>16</v>
      </c>
      <c r="P1621" s="247" t="s">
        <v>16</v>
      </c>
      <c r="Q1621" s="247" t="s">
        <v>16</v>
      </c>
      <c r="R1621" s="247" t="s">
        <v>148</v>
      </c>
      <c r="S1621" s="247" t="s">
        <v>16</v>
      </c>
      <c r="T1621" s="247" t="s">
        <v>148</v>
      </c>
      <c r="U1621" s="247" t="s">
        <v>16</v>
      </c>
      <c r="V1621" s="247" t="s">
        <v>148</v>
      </c>
      <c r="W1621" s="247" t="s">
        <v>148</v>
      </c>
      <c r="X1621" s="247" t="s">
        <v>148</v>
      </c>
      <c r="Y1621" s="247" t="s">
        <v>148</v>
      </c>
      <c r="Z1621" s="247" t="s">
        <v>16</v>
      </c>
      <c r="AA1621" s="247" t="s">
        <v>16</v>
      </c>
      <c r="AB1621" s="247" t="s">
        <v>16</v>
      </c>
      <c r="AC1621" s="247" t="s">
        <v>16</v>
      </c>
      <c r="AD1621" s="247" t="s">
        <v>148</v>
      </c>
      <c r="AE1621" s="247" t="s">
        <v>2481</v>
      </c>
      <c r="AF1621" s="247" t="s">
        <v>2488</v>
      </c>
    </row>
    <row r="1622" spans="1:32" x14ac:dyDescent="0.3">
      <c r="A1622" s="247" t="s">
        <v>2489</v>
      </c>
      <c r="B1622" s="247" t="s">
        <v>14</v>
      </c>
      <c r="C1622" s="247" t="s">
        <v>2480</v>
      </c>
      <c r="D1622" s="247" t="s">
        <v>15</v>
      </c>
      <c r="E1622" s="157">
        <v>41972</v>
      </c>
      <c r="F1622" s="247" t="s">
        <v>148</v>
      </c>
      <c r="G1622" s="247" t="s">
        <v>16</v>
      </c>
      <c r="H1622" s="247" t="s">
        <v>16</v>
      </c>
      <c r="I1622" s="247" t="s">
        <v>16</v>
      </c>
      <c r="J1622" s="247" t="s">
        <v>148</v>
      </c>
      <c r="K1622" s="247" t="s">
        <v>16</v>
      </c>
      <c r="L1622" s="247" t="s">
        <v>16</v>
      </c>
      <c r="M1622" s="247" t="s">
        <v>16</v>
      </c>
      <c r="N1622" s="247" t="s">
        <v>16</v>
      </c>
      <c r="O1622" s="247" t="s">
        <v>148</v>
      </c>
      <c r="P1622" s="247" t="s">
        <v>16</v>
      </c>
      <c r="Q1622" s="247" t="s">
        <v>16</v>
      </c>
      <c r="R1622" s="247" t="s">
        <v>16</v>
      </c>
      <c r="S1622" s="247" t="s">
        <v>16</v>
      </c>
      <c r="T1622" s="247" t="s">
        <v>16</v>
      </c>
      <c r="U1622" s="247" t="s">
        <v>16</v>
      </c>
      <c r="V1622" s="247" t="s">
        <v>16</v>
      </c>
      <c r="W1622" s="247" t="s">
        <v>16</v>
      </c>
      <c r="X1622" s="247" t="s">
        <v>16</v>
      </c>
      <c r="Y1622" s="247" t="s">
        <v>16</v>
      </c>
      <c r="Z1622" s="247" t="s">
        <v>16</v>
      </c>
      <c r="AA1622" s="247" t="s">
        <v>16</v>
      </c>
      <c r="AB1622" s="247" t="s">
        <v>16</v>
      </c>
      <c r="AC1622" s="247" t="s">
        <v>16</v>
      </c>
      <c r="AD1622" s="247" t="s">
        <v>16</v>
      </c>
      <c r="AE1622" s="247" t="s">
        <v>2481</v>
      </c>
      <c r="AF1622" s="247"/>
    </row>
    <row r="1623" spans="1:32" x14ac:dyDescent="0.3">
      <c r="A1623" s="247" t="s">
        <v>2490</v>
      </c>
      <c r="B1623" s="247" t="s">
        <v>14</v>
      </c>
      <c r="C1623" s="247" t="s">
        <v>2480</v>
      </c>
      <c r="D1623" s="247" t="s">
        <v>15</v>
      </c>
      <c r="E1623" s="157">
        <v>41972</v>
      </c>
      <c r="F1623" s="247" t="s">
        <v>16</v>
      </c>
      <c r="G1623" s="247" t="s">
        <v>16</v>
      </c>
      <c r="H1623" s="247" t="s">
        <v>16</v>
      </c>
      <c r="I1623" s="247" t="s">
        <v>16</v>
      </c>
      <c r="J1623" s="247" t="s">
        <v>16</v>
      </c>
      <c r="K1623" s="247" t="s">
        <v>16</v>
      </c>
      <c r="L1623" s="247" t="s">
        <v>16</v>
      </c>
      <c r="M1623" s="247" t="s">
        <v>16</v>
      </c>
      <c r="N1623" s="247" t="s">
        <v>16</v>
      </c>
      <c r="O1623" s="247" t="s">
        <v>16</v>
      </c>
      <c r="P1623" s="247" t="s">
        <v>16</v>
      </c>
      <c r="Q1623" s="247" t="s">
        <v>16</v>
      </c>
      <c r="R1623" s="247" t="s">
        <v>16</v>
      </c>
      <c r="S1623" s="247" t="s">
        <v>16</v>
      </c>
      <c r="T1623" s="247" t="s">
        <v>16</v>
      </c>
      <c r="U1623" s="247" t="s">
        <v>16</v>
      </c>
      <c r="V1623" s="247" t="s">
        <v>16</v>
      </c>
      <c r="W1623" s="247" t="s">
        <v>16</v>
      </c>
      <c r="X1623" s="247" t="s">
        <v>148</v>
      </c>
      <c r="Y1623" s="247" t="s">
        <v>16</v>
      </c>
      <c r="Z1623" s="247" t="s">
        <v>16</v>
      </c>
      <c r="AA1623" s="247" t="s">
        <v>16</v>
      </c>
      <c r="AB1623" s="247" t="s">
        <v>16</v>
      </c>
      <c r="AC1623" s="247" t="s">
        <v>16</v>
      </c>
      <c r="AD1623" s="247" t="s">
        <v>16</v>
      </c>
      <c r="AE1623" s="247" t="s">
        <v>2481</v>
      </c>
      <c r="AF1623" s="247" t="s">
        <v>2491</v>
      </c>
    </row>
    <row r="1624" spans="1:32" x14ac:dyDescent="0.3">
      <c r="A1624" s="247" t="s">
        <v>2492</v>
      </c>
      <c r="B1624" s="247" t="s">
        <v>14</v>
      </c>
      <c r="C1624" s="247" t="s">
        <v>2480</v>
      </c>
      <c r="D1624" s="247" t="s">
        <v>15</v>
      </c>
      <c r="E1624" s="157">
        <v>41972</v>
      </c>
      <c r="F1624" s="247" t="s">
        <v>148</v>
      </c>
      <c r="G1624" s="247" t="s">
        <v>148</v>
      </c>
      <c r="H1624" s="247" t="s">
        <v>149</v>
      </c>
      <c r="I1624" s="247" t="s">
        <v>16</v>
      </c>
      <c r="J1624" s="247" t="s">
        <v>149</v>
      </c>
      <c r="K1624" s="247" t="s">
        <v>148</v>
      </c>
      <c r="L1624" s="247" t="s">
        <v>16</v>
      </c>
      <c r="M1624" s="247" t="s">
        <v>16</v>
      </c>
      <c r="N1624" s="247" t="s">
        <v>148</v>
      </c>
      <c r="O1624" s="247" t="s">
        <v>16</v>
      </c>
      <c r="P1624" s="247" t="s">
        <v>148</v>
      </c>
      <c r="Q1624" s="247" t="s">
        <v>149</v>
      </c>
      <c r="R1624" s="247" t="s">
        <v>16</v>
      </c>
      <c r="S1624" s="247" t="s">
        <v>148</v>
      </c>
      <c r="T1624" s="247" t="s">
        <v>148</v>
      </c>
      <c r="U1624" s="247" t="s">
        <v>149</v>
      </c>
      <c r="V1624" s="247" t="s">
        <v>149</v>
      </c>
      <c r="W1624" s="247" t="s">
        <v>16</v>
      </c>
      <c r="X1624" s="247" t="s">
        <v>16</v>
      </c>
      <c r="Y1624" s="247" t="s">
        <v>16</v>
      </c>
      <c r="Z1624" s="247" t="s">
        <v>16</v>
      </c>
      <c r="AA1624" s="247" t="s">
        <v>16</v>
      </c>
      <c r="AB1624" s="247" t="s">
        <v>16</v>
      </c>
      <c r="AC1624" s="247" t="s">
        <v>148</v>
      </c>
      <c r="AD1624" s="247" t="s">
        <v>148</v>
      </c>
      <c r="AE1624" s="247" t="s">
        <v>2481</v>
      </c>
      <c r="AF1624" s="247"/>
    </row>
    <row r="1625" spans="1:32" x14ac:dyDescent="0.3">
      <c r="A1625" s="247" t="s">
        <v>2493</v>
      </c>
      <c r="B1625" s="247" t="s">
        <v>14</v>
      </c>
      <c r="C1625" s="247" t="s">
        <v>2480</v>
      </c>
      <c r="D1625" s="247" t="s">
        <v>15</v>
      </c>
      <c r="E1625" s="157">
        <v>41972</v>
      </c>
      <c r="F1625" s="247" t="s">
        <v>148</v>
      </c>
      <c r="G1625" s="247" t="s">
        <v>148</v>
      </c>
      <c r="H1625" s="247" t="s">
        <v>148</v>
      </c>
      <c r="I1625" s="247" t="s">
        <v>148</v>
      </c>
      <c r="J1625" s="247" t="s">
        <v>148</v>
      </c>
      <c r="K1625" s="247" t="s">
        <v>16</v>
      </c>
      <c r="L1625" s="247" t="s">
        <v>16</v>
      </c>
      <c r="M1625" s="247" t="s">
        <v>148</v>
      </c>
      <c r="N1625" s="247" t="s">
        <v>16</v>
      </c>
      <c r="O1625" s="247" t="s">
        <v>148</v>
      </c>
      <c r="P1625" s="247" t="s">
        <v>148</v>
      </c>
      <c r="Q1625" s="247" t="s">
        <v>148</v>
      </c>
      <c r="R1625" s="247" t="s">
        <v>16</v>
      </c>
      <c r="S1625" s="247" t="s">
        <v>148</v>
      </c>
      <c r="T1625" s="247" t="s">
        <v>148</v>
      </c>
      <c r="U1625" s="247" t="s">
        <v>148</v>
      </c>
      <c r="V1625" s="247" t="s">
        <v>148</v>
      </c>
      <c r="W1625" s="247" t="s">
        <v>148</v>
      </c>
      <c r="X1625" s="247" t="s">
        <v>148</v>
      </c>
      <c r="Y1625" s="247" t="s">
        <v>148</v>
      </c>
      <c r="Z1625" s="247" t="s">
        <v>16</v>
      </c>
      <c r="AA1625" s="247" t="s">
        <v>148</v>
      </c>
      <c r="AB1625" s="247" t="s">
        <v>16</v>
      </c>
      <c r="AC1625" s="247" t="s">
        <v>148</v>
      </c>
      <c r="AD1625" s="247" t="s">
        <v>16</v>
      </c>
      <c r="AE1625" s="247" t="s">
        <v>2494</v>
      </c>
      <c r="AF1625" s="247"/>
    </row>
    <row r="1626" spans="1:32" x14ac:dyDescent="0.3">
      <c r="A1626" s="247" t="s">
        <v>2495</v>
      </c>
      <c r="B1626" s="247" t="s">
        <v>14</v>
      </c>
      <c r="C1626" s="247" t="s">
        <v>2480</v>
      </c>
      <c r="D1626" s="247" t="s">
        <v>15</v>
      </c>
      <c r="E1626" s="157">
        <v>41972</v>
      </c>
      <c r="F1626" s="247" t="s">
        <v>16</v>
      </c>
      <c r="G1626" s="247" t="s">
        <v>16</v>
      </c>
      <c r="H1626" s="247" t="s">
        <v>16</v>
      </c>
      <c r="I1626" s="247" t="s">
        <v>16</v>
      </c>
      <c r="J1626" s="247" t="s">
        <v>16</v>
      </c>
      <c r="K1626" s="247" t="s">
        <v>16</v>
      </c>
      <c r="L1626" s="247" t="s">
        <v>16</v>
      </c>
      <c r="M1626" s="247" t="s">
        <v>16</v>
      </c>
      <c r="N1626" s="247" t="s">
        <v>16</v>
      </c>
      <c r="O1626" s="247" t="s">
        <v>16</v>
      </c>
      <c r="P1626" s="247" t="s">
        <v>16</v>
      </c>
      <c r="Q1626" s="247" t="s">
        <v>16</v>
      </c>
      <c r="R1626" s="247" t="s">
        <v>16</v>
      </c>
      <c r="S1626" s="247" t="s">
        <v>16</v>
      </c>
      <c r="T1626" s="247" t="s">
        <v>16</v>
      </c>
      <c r="U1626" s="247" t="s">
        <v>16</v>
      </c>
      <c r="V1626" s="247" t="s">
        <v>16</v>
      </c>
      <c r="W1626" s="247" t="s">
        <v>16</v>
      </c>
      <c r="X1626" s="247" t="s">
        <v>16</v>
      </c>
      <c r="Y1626" s="247" t="s">
        <v>16</v>
      </c>
      <c r="Z1626" s="247" t="s">
        <v>16</v>
      </c>
      <c r="AA1626" s="247" t="s">
        <v>16</v>
      </c>
      <c r="AB1626" s="247" t="s">
        <v>16</v>
      </c>
      <c r="AC1626" s="247" t="s">
        <v>16</v>
      </c>
      <c r="AD1626" s="247" t="s">
        <v>16</v>
      </c>
      <c r="AE1626" s="247" t="s">
        <v>2481</v>
      </c>
      <c r="AF1626" s="247"/>
    </row>
    <row r="1627" spans="1:32" x14ac:dyDescent="0.3">
      <c r="A1627" s="247" t="s">
        <v>2496</v>
      </c>
      <c r="B1627" s="247" t="s">
        <v>14</v>
      </c>
      <c r="C1627" s="247" t="s">
        <v>2480</v>
      </c>
      <c r="D1627" s="247" t="s">
        <v>15</v>
      </c>
      <c r="E1627" s="157">
        <v>41972</v>
      </c>
      <c r="F1627" s="247" t="s">
        <v>150</v>
      </c>
      <c r="G1627" s="247" t="s">
        <v>151</v>
      </c>
      <c r="H1627" s="247" t="s">
        <v>151</v>
      </c>
      <c r="I1627" s="247" t="s">
        <v>151</v>
      </c>
      <c r="J1627" s="247" t="s">
        <v>149</v>
      </c>
      <c r="K1627" s="247" t="s">
        <v>151</v>
      </c>
      <c r="L1627" s="247" t="s">
        <v>151</v>
      </c>
      <c r="M1627" s="247" t="s">
        <v>151</v>
      </c>
      <c r="N1627" s="247" t="s">
        <v>16</v>
      </c>
      <c r="O1627" s="247" t="s">
        <v>16</v>
      </c>
      <c r="P1627" s="247" t="s">
        <v>151</v>
      </c>
      <c r="Q1627" s="247" t="s">
        <v>151</v>
      </c>
      <c r="R1627" s="247" t="s">
        <v>151</v>
      </c>
      <c r="S1627" s="247" t="s">
        <v>149</v>
      </c>
      <c r="T1627" s="247" t="s">
        <v>149</v>
      </c>
      <c r="U1627" s="247" t="s">
        <v>149</v>
      </c>
      <c r="V1627" s="247" t="s">
        <v>149</v>
      </c>
      <c r="W1627" s="247" t="s">
        <v>149</v>
      </c>
      <c r="X1627" s="247" t="s">
        <v>149</v>
      </c>
      <c r="Y1627" s="247" t="s">
        <v>149</v>
      </c>
      <c r="Z1627" s="247" t="s">
        <v>151</v>
      </c>
      <c r="AA1627" s="247" t="s">
        <v>151</v>
      </c>
      <c r="AB1627" s="247" t="s">
        <v>148</v>
      </c>
      <c r="AC1627" s="247" t="s">
        <v>150</v>
      </c>
      <c r="AD1627" s="247" t="s">
        <v>148</v>
      </c>
      <c r="AE1627" s="247" t="s">
        <v>2497</v>
      </c>
      <c r="AF1627" s="247"/>
    </row>
    <row r="1628" spans="1:32" x14ac:dyDescent="0.3">
      <c r="A1628" s="247" t="s">
        <v>2498</v>
      </c>
      <c r="B1628" s="247" t="s">
        <v>14</v>
      </c>
      <c r="C1628" s="247" t="s">
        <v>2480</v>
      </c>
      <c r="D1628" s="247" t="s">
        <v>15</v>
      </c>
      <c r="E1628" s="157">
        <v>41972</v>
      </c>
      <c r="F1628" s="247" t="s">
        <v>16</v>
      </c>
      <c r="G1628" s="247" t="s">
        <v>16</v>
      </c>
      <c r="H1628" s="247" t="s">
        <v>16</v>
      </c>
      <c r="I1628" s="247" t="s">
        <v>16</v>
      </c>
      <c r="J1628" s="247" t="s">
        <v>16</v>
      </c>
      <c r="K1628" s="247" t="s">
        <v>16</v>
      </c>
      <c r="L1628" s="247" t="s">
        <v>16</v>
      </c>
      <c r="M1628" s="247" t="s">
        <v>148</v>
      </c>
      <c r="N1628" s="247" t="s">
        <v>16</v>
      </c>
      <c r="O1628" s="247" t="s">
        <v>16</v>
      </c>
      <c r="P1628" s="247" t="s">
        <v>16</v>
      </c>
      <c r="Q1628" s="247" t="s">
        <v>16</v>
      </c>
      <c r="R1628" s="247" t="s">
        <v>16</v>
      </c>
      <c r="S1628" s="247" t="s">
        <v>16</v>
      </c>
      <c r="T1628" s="247" t="s">
        <v>16</v>
      </c>
      <c r="U1628" s="247" t="s">
        <v>16</v>
      </c>
      <c r="V1628" s="247" t="s">
        <v>16</v>
      </c>
      <c r="W1628" s="247" t="s">
        <v>16</v>
      </c>
      <c r="X1628" s="247" t="s">
        <v>148</v>
      </c>
      <c r="Y1628" s="247" t="s">
        <v>16</v>
      </c>
      <c r="Z1628" s="247" t="s">
        <v>16</v>
      </c>
      <c r="AA1628" s="247" t="s">
        <v>148</v>
      </c>
      <c r="AB1628" s="247" t="s">
        <v>16</v>
      </c>
      <c r="AC1628" s="247" t="s">
        <v>16</v>
      </c>
      <c r="AD1628" s="247" t="s">
        <v>16</v>
      </c>
      <c r="AE1628" s="247" t="s">
        <v>2481</v>
      </c>
      <c r="AF1628" s="247"/>
    </row>
    <row r="1629" spans="1:32" x14ac:dyDescent="0.3">
      <c r="A1629" s="247" t="s">
        <v>2499</v>
      </c>
      <c r="B1629" s="247" t="s">
        <v>14</v>
      </c>
      <c r="C1629" s="247" t="s">
        <v>2480</v>
      </c>
      <c r="D1629" s="247" t="s">
        <v>15</v>
      </c>
      <c r="E1629" s="157">
        <v>41972</v>
      </c>
      <c r="F1629" s="247" t="s">
        <v>149</v>
      </c>
      <c r="G1629" s="247" t="s">
        <v>149</v>
      </c>
      <c r="H1629" s="247" t="s">
        <v>149</v>
      </c>
      <c r="I1629" s="247" t="s">
        <v>16</v>
      </c>
      <c r="J1629" s="247" t="s">
        <v>16</v>
      </c>
      <c r="K1629" s="247" t="s">
        <v>16</v>
      </c>
      <c r="L1629" s="247" t="s">
        <v>16</v>
      </c>
      <c r="M1629" s="247" t="s">
        <v>16</v>
      </c>
      <c r="N1629" s="247" t="s">
        <v>148</v>
      </c>
      <c r="O1629" s="247" t="s">
        <v>16</v>
      </c>
      <c r="P1629" s="247" t="s">
        <v>16</v>
      </c>
      <c r="Q1629" s="247" t="s">
        <v>16</v>
      </c>
      <c r="R1629" s="247" t="s">
        <v>16</v>
      </c>
      <c r="S1629" s="247" t="s">
        <v>16</v>
      </c>
      <c r="T1629" s="247" t="s">
        <v>16</v>
      </c>
      <c r="U1629" s="247" t="s">
        <v>16</v>
      </c>
      <c r="V1629" s="247" t="s">
        <v>16</v>
      </c>
      <c r="W1629" s="247" t="s">
        <v>16</v>
      </c>
      <c r="X1629" s="247" t="s">
        <v>16</v>
      </c>
      <c r="Y1629" s="247" t="s">
        <v>16</v>
      </c>
      <c r="Z1629" s="247" t="s">
        <v>16</v>
      </c>
      <c r="AA1629" s="247" t="s">
        <v>16</v>
      </c>
      <c r="AB1629" s="247" t="s">
        <v>16</v>
      </c>
      <c r="AC1629" s="247" t="s">
        <v>16</v>
      </c>
      <c r="AD1629" s="247" t="s">
        <v>16</v>
      </c>
      <c r="AE1629" s="247" t="s">
        <v>2500</v>
      </c>
      <c r="AF1629" s="247"/>
    </row>
    <row r="1630" spans="1:32" x14ac:dyDescent="0.3">
      <c r="A1630" s="247" t="s">
        <v>2501</v>
      </c>
      <c r="B1630" s="247" t="s">
        <v>14</v>
      </c>
      <c r="C1630" s="247" t="s">
        <v>2480</v>
      </c>
      <c r="D1630" s="247" t="s">
        <v>15</v>
      </c>
      <c r="E1630" s="157">
        <v>41972</v>
      </c>
      <c r="F1630" s="247" t="s">
        <v>16</v>
      </c>
      <c r="G1630" s="247" t="s">
        <v>16</v>
      </c>
      <c r="H1630" s="247" t="s">
        <v>16</v>
      </c>
      <c r="I1630" s="247" t="s">
        <v>16</v>
      </c>
      <c r="J1630" s="247" t="s">
        <v>16</v>
      </c>
      <c r="K1630" s="247" t="s">
        <v>16</v>
      </c>
      <c r="L1630" s="247" t="s">
        <v>16</v>
      </c>
      <c r="M1630" s="247" t="s">
        <v>16</v>
      </c>
      <c r="N1630" s="247" t="s">
        <v>16</v>
      </c>
      <c r="O1630" s="247" t="s">
        <v>16</v>
      </c>
      <c r="P1630" s="247" t="s">
        <v>16</v>
      </c>
      <c r="Q1630" s="247" t="s">
        <v>16</v>
      </c>
      <c r="R1630" s="247" t="s">
        <v>16</v>
      </c>
      <c r="S1630" s="247" t="s">
        <v>16</v>
      </c>
      <c r="T1630" s="247" t="s">
        <v>16</v>
      </c>
      <c r="U1630" s="247" t="s">
        <v>16</v>
      </c>
      <c r="V1630" s="247" t="s">
        <v>16</v>
      </c>
      <c r="W1630" s="247" t="s">
        <v>16</v>
      </c>
      <c r="X1630" s="247" t="s">
        <v>16</v>
      </c>
      <c r="Y1630" s="247" t="s">
        <v>16</v>
      </c>
      <c r="Z1630" s="247" t="s">
        <v>16</v>
      </c>
      <c r="AA1630" s="247" t="s">
        <v>16</v>
      </c>
      <c r="AB1630" s="247" t="s">
        <v>16</v>
      </c>
      <c r="AC1630" s="247" t="s">
        <v>16</v>
      </c>
      <c r="AD1630" s="247" t="s">
        <v>16</v>
      </c>
      <c r="AE1630" s="247" t="s">
        <v>2481</v>
      </c>
      <c r="AF1630" s="247"/>
    </row>
    <row r="1631" spans="1:32" x14ac:dyDescent="0.3">
      <c r="A1631" s="247" t="s">
        <v>2502</v>
      </c>
      <c r="B1631" s="247" t="s">
        <v>14</v>
      </c>
      <c r="C1631" s="247" t="s">
        <v>2480</v>
      </c>
      <c r="D1631" s="247" t="s">
        <v>15</v>
      </c>
      <c r="E1631" s="157">
        <v>41972</v>
      </c>
      <c r="F1631" s="247" t="s">
        <v>16</v>
      </c>
      <c r="G1631" s="247" t="s">
        <v>16</v>
      </c>
      <c r="H1631" s="247" t="s">
        <v>16</v>
      </c>
      <c r="I1631" s="247" t="s">
        <v>148</v>
      </c>
      <c r="J1631" s="247" t="s">
        <v>16</v>
      </c>
      <c r="K1631" s="247" t="s">
        <v>16</v>
      </c>
      <c r="L1631" s="247" t="s">
        <v>16</v>
      </c>
      <c r="M1631" s="247" t="s">
        <v>16</v>
      </c>
      <c r="N1631" s="247" t="s">
        <v>16</v>
      </c>
      <c r="O1631" s="247" t="s">
        <v>16</v>
      </c>
      <c r="P1631" s="247" t="s">
        <v>16</v>
      </c>
      <c r="Q1631" s="247" t="s">
        <v>16</v>
      </c>
      <c r="R1631" s="247" t="s">
        <v>16</v>
      </c>
      <c r="S1631" s="247" t="s">
        <v>16</v>
      </c>
      <c r="T1631" s="247" t="s">
        <v>16</v>
      </c>
      <c r="U1631" s="247" t="s">
        <v>148</v>
      </c>
      <c r="V1631" s="247" t="s">
        <v>16</v>
      </c>
      <c r="W1631" s="247" t="s">
        <v>16</v>
      </c>
      <c r="X1631" s="247" t="s">
        <v>16</v>
      </c>
      <c r="Y1631" s="247" t="s">
        <v>16</v>
      </c>
      <c r="Z1631" s="247" t="s">
        <v>16</v>
      </c>
      <c r="AA1631" s="247" t="s">
        <v>16</v>
      </c>
      <c r="AB1631" s="247" t="s">
        <v>16</v>
      </c>
      <c r="AC1631" s="247" t="s">
        <v>16</v>
      </c>
      <c r="AD1631" s="247" t="s">
        <v>148</v>
      </c>
      <c r="AE1631" s="247" t="s">
        <v>2503</v>
      </c>
      <c r="AF1631" s="247"/>
    </row>
    <row r="1632" spans="1:32" x14ac:dyDescent="0.3">
      <c r="A1632" s="247" t="s">
        <v>2504</v>
      </c>
      <c r="B1632" s="247" t="s">
        <v>14</v>
      </c>
      <c r="C1632" s="247" t="s">
        <v>2480</v>
      </c>
      <c r="D1632" s="247" t="s">
        <v>15</v>
      </c>
      <c r="E1632" s="157">
        <v>41972</v>
      </c>
      <c r="F1632" s="247" t="s">
        <v>16</v>
      </c>
      <c r="G1632" s="247" t="s">
        <v>16</v>
      </c>
      <c r="H1632" s="247" t="s">
        <v>16</v>
      </c>
      <c r="I1632" s="247" t="s">
        <v>16</v>
      </c>
      <c r="J1632" s="247" t="s">
        <v>16</v>
      </c>
      <c r="K1632" s="247" t="s">
        <v>16</v>
      </c>
      <c r="L1632" s="247" t="s">
        <v>16</v>
      </c>
      <c r="M1632" s="247" t="s">
        <v>16</v>
      </c>
      <c r="N1632" s="247" t="s">
        <v>16</v>
      </c>
      <c r="O1632" s="247" t="s">
        <v>16</v>
      </c>
      <c r="P1632" s="247" t="s">
        <v>16</v>
      </c>
      <c r="Q1632" s="247" t="s">
        <v>16</v>
      </c>
      <c r="R1632" s="247" t="s">
        <v>16</v>
      </c>
      <c r="S1632" s="247" t="s">
        <v>16</v>
      </c>
      <c r="T1632" s="247" t="s">
        <v>16</v>
      </c>
      <c r="U1632" s="247" t="s">
        <v>16</v>
      </c>
      <c r="V1632" s="247" t="s">
        <v>16</v>
      </c>
      <c r="W1632" s="247" t="s">
        <v>16</v>
      </c>
      <c r="X1632" s="247" t="s">
        <v>16</v>
      </c>
      <c r="Y1632" s="247" t="s">
        <v>16</v>
      </c>
      <c r="Z1632" s="247" t="s">
        <v>16</v>
      </c>
      <c r="AA1632" s="247" t="s">
        <v>16</v>
      </c>
      <c r="AB1632" s="247" t="s">
        <v>16</v>
      </c>
      <c r="AC1632" s="247" t="s">
        <v>16</v>
      </c>
      <c r="AD1632" s="247" t="s">
        <v>16</v>
      </c>
      <c r="AE1632" s="247"/>
      <c r="AF1632" s="247"/>
    </row>
    <row r="1633" spans="1:32" x14ac:dyDescent="0.3">
      <c r="A1633" s="247" t="s">
        <v>2505</v>
      </c>
      <c r="B1633" s="247" t="s">
        <v>14</v>
      </c>
      <c r="C1633" s="247" t="s">
        <v>2480</v>
      </c>
      <c r="D1633" s="247" t="s">
        <v>15</v>
      </c>
      <c r="E1633" s="157">
        <v>41972</v>
      </c>
      <c r="F1633" s="247" t="s">
        <v>16</v>
      </c>
      <c r="G1633" s="247" t="s">
        <v>16</v>
      </c>
      <c r="H1633" s="247" t="s">
        <v>16</v>
      </c>
      <c r="I1633" s="247" t="s">
        <v>16</v>
      </c>
      <c r="J1633" s="247" t="s">
        <v>16</v>
      </c>
      <c r="K1633" s="247" t="s">
        <v>16</v>
      </c>
      <c r="L1633" s="247" t="s">
        <v>16</v>
      </c>
      <c r="M1633" s="247" t="s">
        <v>16</v>
      </c>
      <c r="N1633" s="247" t="s">
        <v>16</v>
      </c>
      <c r="O1633" s="247" t="s">
        <v>16</v>
      </c>
      <c r="P1633" s="247" t="s">
        <v>16</v>
      </c>
      <c r="Q1633" s="247" t="s">
        <v>16</v>
      </c>
      <c r="R1633" s="247" t="s">
        <v>16</v>
      </c>
      <c r="S1633" s="247" t="s">
        <v>16</v>
      </c>
      <c r="T1633" s="247" t="s">
        <v>16</v>
      </c>
      <c r="U1633" s="247" t="s">
        <v>16</v>
      </c>
      <c r="V1633" s="247" t="s">
        <v>16</v>
      </c>
      <c r="W1633" s="247" t="s">
        <v>16</v>
      </c>
      <c r="X1633" s="247" t="s">
        <v>16</v>
      </c>
      <c r="Y1633" s="247" t="s">
        <v>16</v>
      </c>
      <c r="Z1633" s="247" t="s">
        <v>16</v>
      </c>
      <c r="AA1633" s="247" t="s">
        <v>16</v>
      </c>
      <c r="AB1633" s="247" t="s">
        <v>16</v>
      </c>
      <c r="AC1633" s="247" t="s">
        <v>16</v>
      </c>
      <c r="AD1633" s="247" t="s">
        <v>16</v>
      </c>
      <c r="AE1633" s="247" t="s">
        <v>2481</v>
      </c>
      <c r="AF1633" s="247"/>
    </row>
    <row r="1634" spans="1:32" x14ac:dyDescent="0.3">
      <c r="A1634" s="247" t="s">
        <v>2506</v>
      </c>
      <c r="B1634" s="247" t="s">
        <v>14</v>
      </c>
      <c r="C1634" s="247" t="s">
        <v>2480</v>
      </c>
      <c r="D1634" s="247" t="s">
        <v>15</v>
      </c>
      <c r="E1634" s="157">
        <v>41972</v>
      </c>
      <c r="F1634" s="247" t="s">
        <v>16</v>
      </c>
      <c r="G1634" s="247" t="s">
        <v>16</v>
      </c>
      <c r="H1634" s="247" t="s">
        <v>148</v>
      </c>
      <c r="I1634" s="247" t="s">
        <v>16</v>
      </c>
      <c r="J1634" s="247" t="s">
        <v>16</v>
      </c>
      <c r="K1634" s="247" t="s">
        <v>149</v>
      </c>
      <c r="L1634" s="247" t="s">
        <v>149</v>
      </c>
      <c r="M1634" s="247" t="s">
        <v>16</v>
      </c>
      <c r="N1634" s="247" t="s">
        <v>16</v>
      </c>
      <c r="O1634" s="247" t="s">
        <v>16</v>
      </c>
      <c r="P1634" s="247" t="s">
        <v>16</v>
      </c>
      <c r="Q1634" s="247" t="s">
        <v>16</v>
      </c>
      <c r="R1634" s="247" t="s">
        <v>16</v>
      </c>
      <c r="S1634" s="247" t="s">
        <v>16</v>
      </c>
      <c r="T1634" s="247" t="s">
        <v>16</v>
      </c>
      <c r="U1634" s="247" t="s">
        <v>16</v>
      </c>
      <c r="V1634" s="247" t="s">
        <v>16</v>
      </c>
      <c r="W1634" s="247" t="s">
        <v>16</v>
      </c>
      <c r="X1634" s="247" t="s">
        <v>16</v>
      </c>
      <c r="Y1634" s="247" t="s">
        <v>16</v>
      </c>
      <c r="Z1634" s="247" t="s">
        <v>16</v>
      </c>
      <c r="AA1634" s="247" t="s">
        <v>16</v>
      </c>
      <c r="AB1634" s="247" t="s">
        <v>16</v>
      </c>
      <c r="AC1634" s="247" t="s">
        <v>16</v>
      </c>
      <c r="AD1634" s="247" t="s">
        <v>16</v>
      </c>
      <c r="AE1634" s="247" t="s">
        <v>2500</v>
      </c>
      <c r="AF1634" s="247"/>
    </row>
    <row r="1635" spans="1:32" x14ac:dyDescent="0.3">
      <c r="A1635" s="247" t="s">
        <v>2507</v>
      </c>
      <c r="B1635" s="247" t="s">
        <v>14</v>
      </c>
      <c r="C1635" s="247" t="s">
        <v>2480</v>
      </c>
      <c r="D1635" s="247" t="s">
        <v>15</v>
      </c>
      <c r="E1635" s="157">
        <v>41972</v>
      </c>
      <c r="F1635" s="247" t="s">
        <v>149</v>
      </c>
      <c r="G1635" s="247" t="s">
        <v>16</v>
      </c>
      <c r="H1635" s="247" t="s">
        <v>148</v>
      </c>
      <c r="I1635" s="247" t="s">
        <v>16</v>
      </c>
      <c r="J1635" s="247" t="s">
        <v>148</v>
      </c>
      <c r="K1635" s="247" t="s">
        <v>149</v>
      </c>
      <c r="L1635" s="247" t="s">
        <v>148</v>
      </c>
      <c r="M1635" s="247" t="s">
        <v>148</v>
      </c>
      <c r="N1635" s="247" t="s">
        <v>148</v>
      </c>
      <c r="O1635" s="247" t="s">
        <v>16</v>
      </c>
      <c r="P1635" s="247" t="s">
        <v>148</v>
      </c>
      <c r="Q1635" s="247" t="s">
        <v>16</v>
      </c>
      <c r="R1635" s="247" t="s">
        <v>16</v>
      </c>
      <c r="S1635" s="247" t="s">
        <v>148</v>
      </c>
      <c r="T1635" s="247" t="s">
        <v>16</v>
      </c>
      <c r="U1635" s="247" t="s">
        <v>148</v>
      </c>
      <c r="V1635" s="247" t="s">
        <v>148</v>
      </c>
      <c r="W1635" s="247" t="s">
        <v>16</v>
      </c>
      <c r="X1635" s="247" t="s">
        <v>16</v>
      </c>
      <c r="Y1635" s="247" t="s">
        <v>16</v>
      </c>
      <c r="Z1635" s="247" t="s">
        <v>149</v>
      </c>
      <c r="AA1635" s="247" t="s">
        <v>148</v>
      </c>
      <c r="AB1635" s="247" t="s">
        <v>149</v>
      </c>
      <c r="AC1635" s="247" t="s">
        <v>148</v>
      </c>
      <c r="AD1635" s="247" t="s">
        <v>16</v>
      </c>
      <c r="AE1635" s="247" t="s">
        <v>2508</v>
      </c>
      <c r="AF1635" s="247" t="s">
        <v>2509</v>
      </c>
    </row>
    <row r="1636" spans="1:32" x14ac:dyDescent="0.3">
      <c r="A1636" s="247" t="s">
        <v>2510</v>
      </c>
      <c r="B1636" s="247" t="s">
        <v>14</v>
      </c>
      <c r="C1636" s="247" t="s">
        <v>2480</v>
      </c>
      <c r="D1636" s="247" t="s">
        <v>15</v>
      </c>
      <c r="E1636" s="157">
        <v>41972</v>
      </c>
      <c r="F1636" s="247" t="s">
        <v>149</v>
      </c>
      <c r="G1636" s="247" t="s">
        <v>149</v>
      </c>
      <c r="H1636" s="247" t="s">
        <v>149</v>
      </c>
      <c r="I1636" s="247" t="s">
        <v>16</v>
      </c>
      <c r="J1636" s="247" t="s">
        <v>16</v>
      </c>
      <c r="K1636" s="247" t="s">
        <v>149</v>
      </c>
      <c r="L1636" s="247" t="s">
        <v>149</v>
      </c>
      <c r="M1636" s="247" t="s">
        <v>149</v>
      </c>
      <c r="N1636" s="247" t="s">
        <v>16</v>
      </c>
      <c r="O1636" s="247" t="s">
        <v>16</v>
      </c>
      <c r="P1636" s="247" t="s">
        <v>16</v>
      </c>
      <c r="Q1636" s="247" t="s">
        <v>149</v>
      </c>
      <c r="R1636" s="247" t="s">
        <v>149</v>
      </c>
      <c r="S1636" s="247" t="s">
        <v>16</v>
      </c>
      <c r="T1636" s="247" t="s">
        <v>16</v>
      </c>
      <c r="U1636" s="247" t="s">
        <v>16</v>
      </c>
      <c r="V1636" s="247" t="s">
        <v>149</v>
      </c>
      <c r="W1636" s="247" t="s">
        <v>16</v>
      </c>
      <c r="X1636" s="247" t="s">
        <v>148</v>
      </c>
      <c r="Y1636" s="247" t="s">
        <v>16</v>
      </c>
      <c r="Z1636" s="247" t="s">
        <v>149</v>
      </c>
      <c r="AA1636" s="247" t="s">
        <v>148</v>
      </c>
      <c r="AB1636" s="247" t="s">
        <v>16</v>
      </c>
      <c r="AC1636" s="247" t="s">
        <v>16</v>
      </c>
      <c r="AD1636" s="247" t="s">
        <v>16</v>
      </c>
      <c r="AE1636" s="247" t="s">
        <v>2481</v>
      </c>
      <c r="AF1636" s="247" t="s">
        <v>2511</v>
      </c>
    </row>
    <row r="1637" spans="1:32" x14ac:dyDescent="0.3">
      <c r="A1637" s="247" t="s">
        <v>2512</v>
      </c>
      <c r="B1637" s="247" t="s">
        <v>14</v>
      </c>
      <c r="C1637" s="247" t="s">
        <v>2480</v>
      </c>
      <c r="D1637" s="247" t="s">
        <v>15</v>
      </c>
      <c r="E1637" s="157">
        <v>41972</v>
      </c>
      <c r="F1637" s="247" t="s">
        <v>16</v>
      </c>
      <c r="G1637" s="247" t="s">
        <v>16</v>
      </c>
      <c r="H1637" s="247" t="s">
        <v>16</v>
      </c>
      <c r="I1637" s="247" t="s">
        <v>150</v>
      </c>
      <c r="J1637" s="247" t="s">
        <v>16</v>
      </c>
      <c r="K1637" s="247" t="s">
        <v>16</v>
      </c>
      <c r="L1637" s="247" t="s">
        <v>16</v>
      </c>
      <c r="M1637" s="247" t="s">
        <v>16</v>
      </c>
      <c r="N1637" s="247" t="s">
        <v>148</v>
      </c>
      <c r="O1637" s="247" t="s">
        <v>148</v>
      </c>
      <c r="P1637" s="247" t="s">
        <v>150</v>
      </c>
      <c r="Q1637" s="247" t="s">
        <v>16</v>
      </c>
      <c r="R1637" s="247" t="s">
        <v>148</v>
      </c>
      <c r="S1637" s="247" t="s">
        <v>148</v>
      </c>
      <c r="T1637" s="247" t="s">
        <v>16</v>
      </c>
      <c r="U1637" s="247" t="s">
        <v>16</v>
      </c>
      <c r="V1637" s="247" t="s">
        <v>16</v>
      </c>
      <c r="W1637" s="247" t="s">
        <v>16</v>
      </c>
      <c r="X1637" s="247" t="s">
        <v>16</v>
      </c>
      <c r="Y1637" s="247" t="s">
        <v>148</v>
      </c>
      <c r="Z1637" s="247" t="s">
        <v>16</v>
      </c>
      <c r="AA1637" s="247" t="s">
        <v>16</v>
      </c>
      <c r="AB1637" s="247" t="s">
        <v>16</v>
      </c>
      <c r="AC1637" s="247" t="s">
        <v>150</v>
      </c>
      <c r="AD1637" s="247" t="s">
        <v>16</v>
      </c>
      <c r="AE1637" s="247" t="s">
        <v>2481</v>
      </c>
      <c r="AF1637" s="247"/>
    </row>
    <row r="1638" spans="1:32" x14ac:dyDescent="0.3">
      <c r="A1638" s="247" t="s">
        <v>2513</v>
      </c>
      <c r="B1638" s="247" t="s">
        <v>14</v>
      </c>
      <c r="C1638" s="247" t="s">
        <v>2480</v>
      </c>
      <c r="D1638" s="247" t="s">
        <v>15</v>
      </c>
      <c r="E1638" s="157">
        <v>41972</v>
      </c>
      <c r="F1638" s="247" t="s">
        <v>16</v>
      </c>
      <c r="G1638" s="247" t="s">
        <v>16</v>
      </c>
      <c r="H1638" s="247" t="s">
        <v>16</v>
      </c>
      <c r="I1638" s="247" t="s">
        <v>150</v>
      </c>
      <c r="J1638" s="247" t="s">
        <v>16</v>
      </c>
      <c r="K1638" s="247" t="s">
        <v>16</v>
      </c>
      <c r="L1638" s="247" t="s">
        <v>16</v>
      </c>
      <c r="M1638" s="247" t="s">
        <v>16</v>
      </c>
      <c r="N1638" s="247" t="s">
        <v>16</v>
      </c>
      <c r="O1638" s="247" t="s">
        <v>16</v>
      </c>
      <c r="P1638" s="247" t="s">
        <v>16</v>
      </c>
      <c r="Q1638" s="247" t="s">
        <v>16</v>
      </c>
      <c r="R1638" s="247" t="s">
        <v>16</v>
      </c>
      <c r="S1638" s="247" t="s">
        <v>148</v>
      </c>
      <c r="T1638" s="247" t="s">
        <v>16</v>
      </c>
      <c r="U1638" s="247" t="s">
        <v>16</v>
      </c>
      <c r="V1638" s="247" t="s">
        <v>16</v>
      </c>
      <c r="W1638" s="247" t="s">
        <v>16</v>
      </c>
      <c r="X1638" s="247" t="s">
        <v>16</v>
      </c>
      <c r="Y1638" s="247" t="s">
        <v>16</v>
      </c>
      <c r="Z1638" s="247" t="s">
        <v>16</v>
      </c>
      <c r="AA1638" s="247" t="s">
        <v>16</v>
      </c>
      <c r="AB1638" s="247" t="s">
        <v>16</v>
      </c>
      <c r="AC1638" s="247" t="s">
        <v>16</v>
      </c>
      <c r="AD1638" s="247" t="s">
        <v>16</v>
      </c>
      <c r="AE1638" s="247" t="s">
        <v>2481</v>
      </c>
      <c r="AF1638" s="247"/>
    </row>
    <row r="1641" spans="1:32" x14ac:dyDescent="0.3">
      <c r="A1641" s="247"/>
      <c r="B1641" s="247"/>
      <c r="C1641" s="247"/>
      <c r="D1641" s="247"/>
      <c r="E1641" s="247"/>
      <c r="F1641" s="247" t="s">
        <v>124</v>
      </c>
      <c r="G1641" s="247" t="s">
        <v>125</v>
      </c>
      <c r="H1641" s="247" t="s">
        <v>126</v>
      </c>
      <c r="I1641" s="247" t="s">
        <v>127</v>
      </c>
      <c r="J1641" s="247" t="s">
        <v>214</v>
      </c>
      <c r="K1641" s="247" t="s">
        <v>128</v>
      </c>
      <c r="L1641" s="247" t="s">
        <v>129</v>
      </c>
      <c r="M1641" s="247" t="s">
        <v>130</v>
      </c>
      <c r="N1641" s="247" t="s">
        <v>131</v>
      </c>
      <c r="O1641" s="247" t="s">
        <v>132</v>
      </c>
      <c r="P1641" s="247" t="s">
        <v>133</v>
      </c>
      <c r="Q1641" s="247" t="s">
        <v>134</v>
      </c>
      <c r="R1641" s="247" t="s">
        <v>135</v>
      </c>
      <c r="S1641" s="247" t="s">
        <v>136</v>
      </c>
      <c r="T1641" s="247" t="s">
        <v>137</v>
      </c>
      <c r="U1641" s="247" t="s">
        <v>138</v>
      </c>
      <c r="V1641" s="247" t="s">
        <v>139</v>
      </c>
      <c r="W1641" s="247" t="s">
        <v>140</v>
      </c>
      <c r="X1641" s="247" t="s">
        <v>186</v>
      </c>
      <c r="Y1641" s="247" t="s">
        <v>209</v>
      </c>
      <c r="Z1641" s="247" t="s">
        <v>141</v>
      </c>
      <c r="AA1641" s="247" t="s">
        <v>142</v>
      </c>
      <c r="AB1641" s="247" t="s">
        <v>210</v>
      </c>
      <c r="AC1641" s="247" t="s">
        <v>1180</v>
      </c>
      <c r="AD1641" s="247" t="s">
        <v>144</v>
      </c>
      <c r="AE1641" s="247" t="s">
        <v>2514</v>
      </c>
      <c r="AF1641" s="247" t="s">
        <v>190</v>
      </c>
    </row>
    <row r="1642" spans="1:32" x14ac:dyDescent="0.3">
      <c r="A1642" s="247" t="s">
        <v>2515</v>
      </c>
      <c r="B1642" s="247" t="s">
        <v>14</v>
      </c>
      <c r="C1642" s="247" t="s">
        <v>2516</v>
      </c>
      <c r="D1642" s="247" t="s">
        <v>15</v>
      </c>
      <c r="E1642" s="157">
        <v>42003</v>
      </c>
      <c r="F1642" s="247" t="s">
        <v>16</v>
      </c>
      <c r="G1642" s="247" t="s">
        <v>16</v>
      </c>
      <c r="H1642" s="247" t="s">
        <v>16</v>
      </c>
      <c r="I1642" s="247" t="s">
        <v>16</v>
      </c>
      <c r="J1642" s="247" t="s">
        <v>16</v>
      </c>
      <c r="K1642" s="247" t="s">
        <v>16</v>
      </c>
      <c r="L1642" s="247" t="s">
        <v>16</v>
      </c>
      <c r="M1642" s="247" t="s">
        <v>16</v>
      </c>
      <c r="N1642" s="247" t="s">
        <v>148</v>
      </c>
      <c r="O1642" s="247" t="s">
        <v>16</v>
      </c>
      <c r="P1642" s="247" t="s">
        <v>148</v>
      </c>
      <c r="Q1642" s="247" t="s">
        <v>16</v>
      </c>
      <c r="R1642" s="247" t="s">
        <v>16</v>
      </c>
      <c r="S1642" s="247" t="s">
        <v>16</v>
      </c>
      <c r="T1642" s="247" t="s">
        <v>16</v>
      </c>
      <c r="U1642" s="247" t="s">
        <v>148</v>
      </c>
      <c r="V1642" s="247" t="s">
        <v>148</v>
      </c>
      <c r="W1642" s="247" t="s">
        <v>16</v>
      </c>
      <c r="X1642" s="247" t="s">
        <v>16</v>
      </c>
      <c r="Y1642" s="247" t="s">
        <v>16</v>
      </c>
      <c r="Z1642" s="247" t="s">
        <v>16</v>
      </c>
      <c r="AA1642" s="247" t="s">
        <v>16</v>
      </c>
      <c r="AB1642" s="247" t="s">
        <v>16</v>
      </c>
      <c r="AC1642" s="247" t="s">
        <v>16</v>
      </c>
      <c r="AD1642" s="247" t="s">
        <v>16</v>
      </c>
      <c r="AE1642" s="247"/>
      <c r="AF1642" s="247"/>
    </row>
    <row r="1643" spans="1:32" x14ac:dyDescent="0.3">
      <c r="A1643" s="247" t="s">
        <v>2517</v>
      </c>
      <c r="B1643" s="247" t="s">
        <v>14</v>
      </c>
      <c r="C1643" s="247" t="s">
        <v>2516</v>
      </c>
      <c r="D1643" s="247" t="s">
        <v>15</v>
      </c>
      <c r="E1643" s="157">
        <v>42003</v>
      </c>
      <c r="F1643" s="247" t="s">
        <v>16</v>
      </c>
      <c r="G1643" s="247" t="s">
        <v>16</v>
      </c>
      <c r="H1643" s="247" t="s">
        <v>16</v>
      </c>
      <c r="I1643" s="247" t="s">
        <v>16</v>
      </c>
      <c r="J1643" s="247" t="s">
        <v>16</v>
      </c>
      <c r="K1643" s="247" t="s">
        <v>16</v>
      </c>
      <c r="L1643" s="247" t="s">
        <v>16</v>
      </c>
      <c r="M1643" s="247" t="s">
        <v>148</v>
      </c>
      <c r="N1643" s="247" t="s">
        <v>148</v>
      </c>
      <c r="O1643" s="247" t="s">
        <v>149</v>
      </c>
      <c r="P1643" s="247" t="s">
        <v>148</v>
      </c>
      <c r="Q1643" s="247" t="s">
        <v>16</v>
      </c>
      <c r="R1643" s="247" t="s">
        <v>148</v>
      </c>
      <c r="S1643" s="247" t="s">
        <v>148</v>
      </c>
      <c r="T1643" s="247" t="s">
        <v>16</v>
      </c>
      <c r="U1643" s="247" t="s">
        <v>148</v>
      </c>
      <c r="V1643" s="247" t="s">
        <v>16</v>
      </c>
      <c r="W1643" s="247" t="s">
        <v>16</v>
      </c>
      <c r="X1643" s="247" t="s">
        <v>148</v>
      </c>
      <c r="Y1643" s="247" t="s">
        <v>16</v>
      </c>
      <c r="Z1643" s="247" t="s">
        <v>148</v>
      </c>
      <c r="AA1643" s="247" t="s">
        <v>16</v>
      </c>
      <c r="AB1643" s="247" t="s">
        <v>148</v>
      </c>
      <c r="AC1643" s="247" t="s">
        <v>16</v>
      </c>
      <c r="AD1643" s="247" t="s">
        <v>16</v>
      </c>
      <c r="AE1643" s="247" t="s">
        <v>2518</v>
      </c>
      <c r="AF1643" s="247"/>
    </row>
    <row r="1644" spans="1:32" x14ac:dyDescent="0.3">
      <c r="A1644" s="247" t="s">
        <v>2519</v>
      </c>
      <c r="B1644" s="247" t="s">
        <v>14</v>
      </c>
      <c r="C1644" s="247" t="s">
        <v>2516</v>
      </c>
      <c r="D1644" s="247" t="s">
        <v>15</v>
      </c>
      <c r="E1644" s="157">
        <v>42003</v>
      </c>
      <c r="F1644" s="247" t="s">
        <v>16</v>
      </c>
      <c r="G1644" s="247" t="s">
        <v>16</v>
      </c>
      <c r="H1644" s="247" t="s">
        <v>16</v>
      </c>
      <c r="I1644" s="247" t="s">
        <v>16</v>
      </c>
      <c r="J1644" s="247" t="s">
        <v>16</v>
      </c>
      <c r="K1644" s="247" t="s">
        <v>16</v>
      </c>
      <c r="L1644" s="247" t="s">
        <v>16</v>
      </c>
      <c r="M1644" s="247" t="s">
        <v>16</v>
      </c>
      <c r="N1644" s="247" t="s">
        <v>16</v>
      </c>
      <c r="O1644" s="247" t="s">
        <v>16</v>
      </c>
      <c r="P1644" s="247" t="s">
        <v>16</v>
      </c>
      <c r="Q1644" s="247" t="s">
        <v>16</v>
      </c>
      <c r="R1644" s="247" t="s">
        <v>16</v>
      </c>
      <c r="S1644" s="247" t="s">
        <v>16</v>
      </c>
      <c r="T1644" s="247" t="s">
        <v>16</v>
      </c>
      <c r="U1644" s="247" t="s">
        <v>16</v>
      </c>
      <c r="V1644" s="247" t="s">
        <v>16</v>
      </c>
      <c r="W1644" s="247" t="s">
        <v>16</v>
      </c>
      <c r="X1644" s="247" t="s">
        <v>16</v>
      </c>
      <c r="Y1644" s="247" t="s">
        <v>16</v>
      </c>
      <c r="Z1644" s="247" t="s">
        <v>16</v>
      </c>
      <c r="AA1644" s="247" t="s">
        <v>16</v>
      </c>
      <c r="AB1644" s="247" t="s">
        <v>16</v>
      </c>
      <c r="AC1644" s="247" t="s">
        <v>16</v>
      </c>
      <c r="AD1644" s="247" t="s">
        <v>16</v>
      </c>
      <c r="AE1644" s="247" t="s">
        <v>2520</v>
      </c>
      <c r="AF1644" s="247"/>
    </row>
    <row r="1645" spans="1:32" x14ac:dyDescent="0.3">
      <c r="A1645" s="247" t="s">
        <v>2521</v>
      </c>
      <c r="B1645" s="247" t="s">
        <v>14</v>
      </c>
      <c r="C1645" s="247" t="s">
        <v>2516</v>
      </c>
      <c r="D1645" s="247" t="s">
        <v>15</v>
      </c>
      <c r="E1645" s="157">
        <v>42003</v>
      </c>
      <c r="F1645" s="247" t="s">
        <v>149</v>
      </c>
      <c r="G1645" s="247" t="s">
        <v>149</v>
      </c>
      <c r="H1645" s="247" t="s">
        <v>149</v>
      </c>
      <c r="I1645" s="247" t="s">
        <v>16</v>
      </c>
      <c r="J1645" s="247" t="s">
        <v>16</v>
      </c>
      <c r="K1645" s="247" t="s">
        <v>16</v>
      </c>
      <c r="L1645" s="247" t="s">
        <v>16</v>
      </c>
      <c r="M1645" s="247" t="s">
        <v>16</v>
      </c>
      <c r="N1645" s="247" t="s">
        <v>148</v>
      </c>
      <c r="O1645" s="247" t="s">
        <v>148</v>
      </c>
      <c r="P1645" s="247" t="s">
        <v>16</v>
      </c>
      <c r="Q1645" s="247" t="s">
        <v>16</v>
      </c>
      <c r="R1645" s="247" t="s">
        <v>16</v>
      </c>
      <c r="S1645" s="247" t="s">
        <v>148</v>
      </c>
      <c r="T1645" s="247" t="s">
        <v>16</v>
      </c>
      <c r="U1645" s="247" t="s">
        <v>16</v>
      </c>
      <c r="V1645" s="247" t="s">
        <v>16</v>
      </c>
      <c r="W1645" s="247" t="s">
        <v>148</v>
      </c>
      <c r="X1645" s="247" t="s">
        <v>148</v>
      </c>
      <c r="Y1645" s="247" t="s">
        <v>16</v>
      </c>
      <c r="Z1645" s="247" t="s">
        <v>16</v>
      </c>
      <c r="AA1645" s="247" t="s">
        <v>16</v>
      </c>
      <c r="AB1645" s="247" t="s">
        <v>148</v>
      </c>
      <c r="AC1645" s="247" t="s">
        <v>16</v>
      </c>
      <c r="AD1645" s="247" t="s">
        <v>16</v>
      </c>
      <c r="AE1645" s="247" t="s">
        <v>2522</v>
      </c>
      <c r="AF1645" s="247"/>
    </row>
    <row r="1646" spans="1:32" x14ac:dyDescent="0.3">
      <c r="A1646" s="247" t="s">
        <v>2523</v>
      </c>
      <c r="B1646" s="247" t="s">
        <v>14</v>
      </c>
      <c r="C1646" s="247" t="s">
        <v>2516</v>
      </c>
      <c r="D1646" s="247" t="s">
        <v>15</v>
      </c>
      <c r="E1646" s="157">
        <v>42003</v>
      </c>
      <c r="F1646" s="247" t="s">
        <v>16</v>
      </c>
      <c r="G1646" s="247" t="s">
        <v>16</v>
      </c>
      <c r="H1646" s="247" t="s">
        <v>149</v>
      </c>
      <c r="I1646" s="247" t="s">
        <v>148</v>
      </c>
      <c r="J1646" s="247" t="s">
        <v>148</v>
      </c>
      <c r="K1646" s="247" t="s">
        <v>16</v>
      </c>
      <c r="L1646" s="247" t="s">
        <v>148</v>
      </c>
      <c r="M1646" s="247" t="s">
        <v>148</v>
      </c>
      <c r="N1646" s="247" t="s">
        <v>150</v>
      </c>
      <c r="O1646" s="247" t="s">
        <v>150</v>
      </c>
      <c r="P1646" s="247" t="s">
        <v>16</v>
      </c>
      <c r="Q1646" s="247" t="s">
        <v>148</v>
      </c>
      <c r="R1646" s="247" t="s">
        <v>16</v>
      </c>
      <c r="S1646" s="247" t="s">
        <v>16</v>
      </c>
      <c r="T1646" s="247" t="s">
        <v>16</v>
      </c>
      <c r="U1646" s="247" t="s">
        <v>16</v>
      </c>
      <c r="V1646" s="247" t="s">
        <v>16</v>
      </c>
      <c r="W1646" s="247" t="s">
        <v>148</v>
      </c>
      <c r="X1646" s="247" t="s">
        <v>150</v>
      </c>
      <c r="Y1646" s="247" t="s">
        <v>16</v>
      </c>
      <c r="Z1646" s="247" t="s">
        <v>16</v>
      </c>
      <c r="AA1646" s="247" t="s">
        <v>16</v>
      </c>
      <c r="AB1646" s="247" t="s">
        <v>148</v>
      </c>
      <c r="AC1646" s="247" t="s">
        <v>148</v>
      </c>
      <c r="AD1646" s="247" t="s">
        <v>148</v>
      </c>
      <c r="AE1646" s="247" t="s">
        <v>2518</v>
      </c>
      <c r="AF1646" s="247"/>
    </row>
    <row r="1647" spans="1:32" x14ac:dyDescent="0.3">
      <c r="A1647" s="247" t="s">
        <v>2524</v>
      </c>
      <c r="B1647" s="247" t="s">
        <v>14</v>
      </c>
      <c r="C1647" s="247" t="s">
        <v>2516</v>
      </c>
      <c r="D1647" s="247" t="s">
        <v>15</v>
      </c>
      <c r="E1647" s="157">
        <v>42003</v>
      </c>
      <c r="F1647" s="247" t="s">
        <v>16</v>
      </c>
      <c r="G1647" s="247" t="s">
        <v>16</v>
      </c>
      <c r="H1647" s="247" t="s">
        <v>16</v>
      </c>
      <c r="I1647" s="247" t="s">
        <v>16</v>
      </c>
      <c r="J1647" s="247" t="s">
        <v>16</v>
      </c>
      <c r="K1647" s="247" t="s">
        <v>16</v>
      </c>
      <c r="L1647" s="247" t="s">
        <v>16</v>
      </c>
      <c r="M1647" s="247" t="s">
        <v>16</v>
      </c>
      <c r="N1647" s="247" t="s">
        <v>16</v>
      </c>
      <c r="O1647" s="247" t="s">
        <v>16</v>
      </c>
      <c r="P1647" s="247" t="s">
        <v>16</v>
      </c>
      <c r="Q1647" s="247" t="s">
        <v>16</v>
      </c>
      <c r="R1647" s="247" t="s">
        <v>16</v>
      </c>
      <c r="S1647" s="247" t="s">
        <v>16</v>
      </c>
      <c r="T1647" s="247" t="s">
        <v>16</v>
      </c>
      <c r="U1647" s="247" t="s">
        <v>16</v>
      </c>
      <c r="V1647" s="247" t="s">
        <v>16</v>
      </c>
      <c r="W1647" s="247" t="s">
        <v>16</v>
      </c>
      <c r="X1647" s="247" t="s">
        <v>16</v>
      </c>
      <c r="Y1647" s="247" t="s">
        <v>16</v>
      </c>
      <c r="Z1647" s="247" t="s">
        <v>16</v>
      </c>
      <c r="AA1647" s="247" t="s">
        <v>16</v>
      </c>
      <c r="AB1647" s="247" t="s">
        <v>16</v>
      </c>
      <c r="AC1647" s="247" t="s">
        <v>16</v>
      </c>
      <c r="AD1647" s="247" t="s">
        <v>16</v>
      </c>
      <c r="AE1647" s="247" t="s">
        <v>2522</v>
      </c>
      <c r="AF1647" s="247"/>
    </row>
    <row r="1648" spans="1:32" x14ac:dyDescent="0.3">
      <c r="A1648" s="247" t="s">
        <v>2525</v>
      </c>
      <c r="B1648" s="247" t="s">
        <v>14</v>
      </c>
      <c r="C1648" s="247" t="s">
        <v>2516</v>
      </c>
      <c r="D1648" s="247" t="s">
        <v>15</v>
      </c>
      <c r="E1648" s="157">
        <v>42003</v>
      </c>
      <c r="F1648" s="247" t="s">
        <v>16</v>
      </c>
      <c r="G1648" s="247" t="s">
        <v>16</v>
      </c>
      <c r="H1648" s="247" t="s">
        <v>16</v>
      </c>
      <c r="I1648" s="247" t="s">
        <v>16</v>
      </c>
      <c r="J1648" s="247" t="s">
        <v>16</v>
      </c>
      <c r="K1648" s="247" t="s">
        <v>148</v>
      </c>
      <c r="L1648" s="247" t="s">
        <v>148</v>
      </c>
      <c r="M1648" s="247" t="s">
        <v>148</v>
      </c>
      <c r="N1648" s="247" t="s">
        <v>148</v>
      </c>
      <c r="O1648" s="247" t="s">
        <v>148</v>
      </c>
      <c r="P1648" s="247" t="s">
        <v>16</v>
      </c>
      <c r="Q1648" s="247" t="s">
        <v>16</v>
      </c>
      <c r="R1648" s="247" t="s">
        <v>16</v>
      </c>
      <c r="S1648" s="247" t="s">
        <v>148</v>
      </c>
      <c r="T1648" s="247" t="s">
        <v>148</v>
      </c>
      <c r="U1648" s="247" t="s">
        <v>148</v>
      </c>
      <c r="V1648" s="247" t="s">
        <v>148</v>
      </c>
      <c r="W1648" s="247" t="s">
        <v>148</v>
      </c>
      <c r="X1648" s="247" t="s">
        <v>148</v>
      </c>
      <c r="Y1648" s="247" t="s">
        <v>148</v>
      </c>
      <c r="Z1648" s="247" t="s">
        <v>16</v>
      </c>
      <c r="AA1648" s="247" t="s">
        <v>16</v>
      </c>
      <c r="AB1648" s="247" t="s">
        <v>16</v>
      </c>
      <c r="AC1648" s="247" t="s">
        <v>16</v>
      </c>
      <c r="AD1648" s="247" t="s">
        <v>16</v>
      </c>
      <c r="AE1648" s="247" t="s">
        <v>2526</v>
      </c>
      <c r="AF1648" s="247"/>
    </row>
    <row r="1649" spans="1:32" x14ac:dyDescent="0.3">
      <c r="A1649" s="247" t="s">
        <v>2527</v>
      </c>
      <c r="B1649" s="247" t="s">
        <v>14</v>
      </c>
      <c r="C1649" s="247" t="s">
        <v>2516</v>
      </c>
      <c r="D1649" s="247" t="s">
        <v>15</v>
      </c>
      <c r="E1649" s="157">
        <v>42003</v>
      </c>
      <c r="F1649" s="247" t="s">
        <v>16</v>
      </c>
      <c r="G1649" s="247" t="s">
        <v>148</v>
      </c>
      <c r="H1649" s="247" t="s">
        <v>148</v>
      </c>
      <c r="I1649" s="247" t="s">
        <v>16</v>
      </c>
      <c r="J1649" s="247" t="s">
        <v>148</v>
      </c>
      <c r="K1649" s="247" t="s">
        <v>16</v>
      </c>
      <c r="L1649" s="247" t="s">
        <v>16</v>
      </c>
      <c r="M1649" s="247" t="s">
        <v>16</v>
      </c>
      <c r="N1649" s="247" t="s">
        <v>148</v>
      </c>
      <c r="O1649" s="247" t="s">
        <v>16</v>
      </c>
      <c r="P1649" s="247" t="s">
        <v>16</v>
      </c>
      <c r="Q1649" s="247" t="s">
        <v>16</v>
      </c>
      <c r="R1649" s="247" t="s">
        <v>16</v>
      </c>
      <c r="S1649" s="247" t="s">
        <v>16</v>
      </c>
      <c r="T1649" s="247" t="s">
        <v>16</v>
      </c>
      <c r="U1649" s="247" t="s">
        <v>16</v>
      </c>
      <c r="V1649" s="247" t="s">
        <v>148</v>
      </c>
      <c r="W1649" s="247" t="s">
        <v>148</v>
      </c>
      <c r="X1649" s="247" t="s">
        <v>148</v>
      </c>
      <c r="Y1649" s="247" t="s">
        <v>148</v>
      </c>
      <c r="Z1649" s="247" t="s">
        <v>16</v>
      </c>
      <c r="AA1649" s="247" t="s">
        <v>16</v>
      </c>
      <c r="AB1649" s="247" t="s">
        <v>16</v>
      </c>
      <c r="AC1649" s="247" t="s">
        <v>148</v>
      </c>
      <c r="AD1649" s="247" t="s">
        <v>148</v>
      </c>
      <c r="AE1649" s="247" t="s">
        <v>2520</v>
      </c>
      <c r="AF1649" s="247"/>
    </row>
    <row r="1650" spans="1:32" x14ac:dyDescent="0.3">
      <c r="A1650" s="247" t="s">
        <v>2528</v>
      </c>
      <c r="B1650" s="247" t="s">
        <v>14</v>
      </c>
      <c r="C1650" s="247" t="s">
        <v>2516</v>
      </c>
      <c r="D1650" s="247" t="s">
        <v>15</v>
      </c>
      <c r="E1650" s="157">
        <v>42003</v>
      </c>
      <c r="F1650" s="247" t="s">
        <v>16</v>
      </c>
      <c r="G1650" s="247" t="s">
        <v>16</v>
      </c>
      <c r="H1650" s="247" t="s">
        <v>16</v>
      </c>
      <c r="I1650" s="247" t="s">
        <v>16</v>
      </c>
      <c r="J1650" s="247" t="s">
        <v>16</v>
      </c>
      <c r="K1650" s="247" t="s">
        <v>16</v>
      </c>
      <c r="L1650" s="247" t="s">
        <v>16</v>
      </c>
      <c r="M1650" s="247" t="s">
        <v>16</v>
      </c>
      <c r="N1650" s="247" t="s">
        <v>148</v>
      </c>
      <c r="O1650" s="247" t="s">
        <v>16</v>
      </c>
      <c r="P1650" s="247" t="s">
        <v>16</v>
      </c>
      <c r="Q1650" s="247" t="s">
        <v>16</v>
      </c>
      <c r="R1650" s="247" t="s">
        <v>16</v>
      </c>
      <c r="S1650" s="247" t="s">
        <v>16</v>
      </c>
      <c r="T1650" s="247" t="s">
        <v>16</v>
      </c>
      <c r="U1650" s="247" t="s">
        <v>16</v>
      </c>
      <c r="V1650" s="247" t="s">
        <v>148</v>
      </c>
      <c r="W1650" s="247" t="s">
        <v>16</v>
      </c>
      <c r="X1650" s="247" t="s">
        <v>16</v>
      </c>
      <c r="Y1650" s="247" t="s">
        <v>16</v>
      </c>
      <c r="Z1650" s="247" t="s">
        <v>16</v>
      </c>
      <c r="AA1650" s="247" t="s">
        <v>16</v>
      </c>
      <c r="AB1650" s="247" t="s">
        <v>16</v>
      </c>
      <c r="AC1650" s="247" t="s">
        <v>16</v>
      </c>
      <c r="AD1650" s="247" t="s">
        <v>148</v>
      </c>
      <c r="AE1650" s="247"/>
      <c r="AF1650" s="247"/>
    </row>
    <row r="1651" spans="1:32" x14ac:dyDescent="0.3">
      <c r="A1651" s="247" t="s">
        <v>2529</v>
      </c>
      <c r="B1651" s="247" t="s">
        <v>14</v>
      </c>
      <c r="C1651" s="247" t="s">
        <v>2516</v>
      </c>
      <c r="D1651" s="247" t="s">
        <v>15</v>
      </c>
      <c r="E1651" s="157">
        <v>42003</v>
      </c>
      <c r="F1651" s="247" t="s">
        <v>16</v>
      </c>
      <c r="G1651" s="247" t="s">
        <v>16</v>
      </c>
      <c r="H1651" s="247" t="s">
        <v>16</v>
      </c>
      <c r="I1651" s="247" t="s">
        <v>148</v>
      </c>
      <c r="J1651" s="247" t="s">
        <v>148</v>
      </c>
      <c r="K1651" s="247" t="s">
        <v>16</v>
      </c>
      <c r="L1651" s="247" t="s">
        <v>16</v>
      </c>
      <c r="M1651" s="247" t="s">
        <v>16</v>
      </c>
      <c r="N1651" s="247" t="s">
        <v>16</v>
      </c>
      <c r="O1651" s="247" t="s">
        <v>16</v>
      </c>
      <c r="P1651" s="247" t="s">
        <v>16</v>
      </c>
      <c r="Q1651" s="247" t="s">
        <v>16</v>
      </c>
      <c r="R1651" s="247" t="s">
        <v>148</v>
      </c>
      <c r="S1651" s="247" t="s">
        <v>16</v>
      </c>
      <c r="T1651" s="247" t="s">
        <v>16</v>
      </c>
      <c r="U1651" s="247" t="s">
        <v>16</v>
      </c>
      <c r="V1651" s="247" t="s">
        <v>16</v>
      </c>
      <c r="W1651" s="247" t="s">
        <v>148</v>
      </c>
      <c r="X1651" s="247" t="s">
        <v>148</v>
      </c>
      <c r="Y1651" s="247" t="s">
        <v>16</v>
      </c>
      <c r="Z1651" s="247" t="s">
        <v>16</v>
      </c>
      <c r="AA1651" s="247" t="s">
        <v>16</v>
      </c>
      <c r="AB1651" s="247" t="s">
        <v>16</v>
      </c>
      <c r="AC1651" s="247" t="s">
        <v>16</v>
      </c>
      <c r="AD1651" s="247" t="s">
        <v>16</v>
      </c>
      <c r="AE1651" s="247" t="s">
        <v>2526</v>
      </c>
      <c r="AF1651" s="247"/>
    </row>
    <row r="1652" spans="1:32" x14ac:dyDescent="0.3">
      <c r="A1652" s="247" t="s">
        <v>2530</v>
      </c>
      <c r="B1652" s="247" t="s">
        <v>14</v>
      </c>
      <c r="C1652" s="247" t="s">
        <v>2516</v>
      </c>
      <c r="D1652" s="247" t="s">
        <v>15</v>
      </c>
      <c r="E1652" s="157">
        <v>42003</v>
      </c>
      <c r="F1652" s="247" t="s">
        <v>148</v>
      </c>
      <c r="G1652" s="247" t="s">
        <v>16</v>
      </c>
      <c r="H1652" s="247" t="s">
        <v>16</v>
      </c>
      <c r="I1652" s="247" t="s">
        <v>16</v>
      </c>
      <c r="J1652" s="247" t="s">
        <v>148</v>
      </c>
      <c r="K1652" s="247" t="s">
        <v>16</v>
      </c>
      <c r="L1652" s="247" t="s">
        <v>16</v>
      </c>
      <c r="M1652" s="247" t="s">
        <v>148</v>
      </c>
      <c r="N1652" s="247" t="s">
        <v>148</v>
      </c>
      <c r="O1652" s="247" t="s">
        <v>148</v>
      </c>
      <c r="P1652" s="247" t="s">
        <v>148</v>
      </c>
      <c r="Q1652" s="247" t="s">
        <v>16</v>
      </c>
      <c r="R1652" s="247" t="s">
        <v>148</v>
      </c>
      <c r="S1652" s="247" t="s">
        <v>148</v>
      </c>
      <c r="T1652" s="247" t="s">
        <v>16</v>
      </c>
      <c r="U1652" s="247" t="s">
        <v>148</v>
      </c>
      <c r="V1652" s="247" t="s">
        <v>148</v>
      </c>
      <c r="W1652" s="247" t="s">
        <v>16</v>
      </c>
      <c r="X1652" s="247" t="s">
        <v>148</v>
      </c>
      <c r="Y1652" s="247" t="s">
        <v>16</v>
      </c>
      <c r="Z1652" s="247" t="s">
        <v>16</v>
      </c>
      <c r="AA1652" s="247" t="s">
        <v>16</v>
      </c>
      <c r="AB1652" s="247" t="s">
        <v>16</v>
      </c>
      <c r="AC1652" s="247" t="s">
        <v>148</v>
      </c>
      <c r="AD1652" s="247" t="s">
        <v>16</v>
      </c>
      <c r="AE1652" s="247" t="s">
        <v>2526</v>
      </c>
      <c r="AF1652" s="247"/>
    </row>
    <row r="1653" spans="1:32" x14ac:dyDescent="0.3">
      <c r="A1653" s="247" t="s">
        <v>2531</v>
      </c>
      <c r="B1653" s="247" t="s">
        <v>14</v>
      </c>
      <c r="C1653" s="247" t="s">
        <v>2516</v>
      </c>
      <c r="D1653" s="247" t="s">
        <v>15</v>
      </c>
      <c r="E1653" s="157">
        <v>42003</v>
      </c>
      <c r="F1653" s="247" t="s">
        <v>16</v>
      </c>
      <c r="G1653" s="247" t="s">
        <v>16</v>
      </c>
      <c r="H1653" s="247" t="s">
        <v>16</v>
      </c>
      <c r="I1653" s="247" t="s">
        <v>16</v>
      </c>
      <c r="J1653" s="247" t="s">
        <v>16</v>
      </c>
      <c r="K1653" s="247" t="s">
        <v>16</v>
      </c>
      <c r="L1653" s="247" t="s">
        <v>16</v>
      </c>
      <c r="M1653" s="247" t="s">
        <v>16</v>
      </c>
      <c r="N1653" s="247" t="s">
        <v>16</v>
      </c>
      <c r="O1653" s="247" t="s">
        <v>16</v>
      </c>
      <c r="P1653" s="247" t="s">
        <v>16</v>
      </c>
      <c r="Q1653" s="247" t="s">
        <v>16</v>
      </c>
      <c r="R1653" s="247" t="s">
        <v>16</v>
      </c>
      <c r="S1653" s="247" t="s">
        <v>16</v>
      </c>
      <c r="T1653" s="247" t="s">
        <v>16</v>
      </c>
      <c r="U1653" s="247" t="s">
        <v>16</v>
      </c>
      <c r="V1653" s="247" t="s">
        <v>16</v>
      </c>
      <c r="W1653" s="247" t="s">
        <v>16</v>
      </c>
      <c r="X1653" s="247" t="s">
        <v>16</v>
      </c>
      <c r="Y1653" s="247" t="s">
        <v>16</v>
      </c>
      <c r="Z1653" s="247" t="s">
        <v>16</v>
      </c>
      <c r="AA1653" s="247" t="s">
        <v>16</v>
      </c>
      <c r="AB1653" s="247" t="s">
        <v>16</v>
      </c>
      <c r="AC1653" s="247" t="s">
        <v>16</v>
      </c>
      <c r="AD1653" s="247" t="s">
        <v>16</v>
      </c>
      <c r="AE1653" s="247" t="s">
        <v>2522</v>
      </c>
      <c r="AF1653" s="247"/>
    </row>
    <row r="1654" spans="1:32" x14ac:dyDescent="0.3">
      <c r="A1654" s="247" t="s">
        <v>2532</v>
      </c>
      <c r="B1654" s="247" t="s">
        <v>14</v>
      </c>
      <c r="C1654" s="247" t="s">
        <v>2516</v>
      </c>
      <c r="D1654" s="247" t="s">
        <v>15</v>
      </c>
      <c r="E1654" s="157">
        <v>42003</v>
      </c>
      <c r="F1654" s="247" t="s">
        <v>149</v>
      </c>
      <c r="G1654" s="247" t="s">
        <v>149</v>
      </c>
      <c r="H1654" s="247" t="s">
        <v>149</v>
      </c>
      <c r="I1654" s="247" t="s">
        <v>149</v>
      </c>
      <c r="J1654" s="247" t="s">
        <v>16</v>
      </c>
      <c r="K1654" s="247" t="s">
        <v>151</v>
      </c>
      <c r="L1654" s="247" t="s">
        <v>151</v>
      </c>
      <c r="M1654" s="247" t="s">
        <v>151</v>
      </c>
      <c r="N1654" s="247" t="s">
        <v>148</v>
      </c>
      <c r="O1654" s="247" t="s">
        <v>16</v>
      </c>
      <c r="P1654" s="247" t="s">
        <v>148</v>
      </c>
      <c r="Q1654" s="247" t="s">
        <v>149</v>
      </c>
      <c r="R1654" s="247" t="s">
        <v>16</v>
      </c>
      <c r="S1654" s="247" t="s">
        <v>148</v>
      </c>
      <c r="T1654" s="247" t="s">
        <v>149</v>
      </c>
      <c r="U1654" s="247" t="s">
        <v>151</v>
      </c>
      <c r="V1654" s="247" t="s">
        <v>151</v>
      </c>
      <c r="W1654" s="247" t="s">
        <v>149</v>
      </c>
      <c r="X1654" s="247" t="s">
        <v>16</v>
      </c>
      <c r="Y1654" s="247" t="s">
        <v>149</v>
      </c>
      <c r="Z1654" s="247" t="s">
        <v>151</v>
      </c>
      <c r="AA1654" s="247" t="s">
        <v>151</v>
      </c>
      <c r="AB1654" s="247" t="s">
        <v>148</v>
      </c>
      <c r="AC1654" s="247" t="s">
        <v>150</v>
      </c>
      <c r="AD1654" s="247" t="s">
        <v>148</v>
      </c>
      <c r="AE1654" s="247" t="s">
        <v>2518</v>
      </c>
      <c r="AF1654" s="247"/>
    </row>
    <row r="1655" spans="1:32" x14ac:dyDescent="0.3">
      <c r="A1655" s="247" t="s">
        <v>2533</v>
      </c>
      <c r="B1655" s="247" t="s">
        <v>14</v>
      </c>
      <c r="C1655" s="247" t="s">
        <v>2516</v>
      </c>
      <c r="D1655" s="247" t="s">
        <v>15</v>
      </c>
      <c r="E1655" s="157">
        <v>42003</v>
      </c>
      <c r="F1655" s="247" t="s">
        <v>16</v>
      </c>
      <c r="G1655" s="247" t="s">
        <v>16</v>
      </c>
      <c r="H1655" s="247" t="s">
        <v>16</v>
      </c>
      <c r="I1655" s="247" t="s">
        <v>148</v>
      </c>
      <c r="J1655" s="247" t="s">
        <v>16</v>
      </c>
      <c r="K1655" s="247" t="s">
        <v>16</v>
      </c>
      <c r="L1655" s="247" t="s">
        <v>16</v>
      </c>
      <c r="M1655" s="247" t="s">
        <v>16</v>
      </c>
      <c r="N1655" s="247" t="s">
        <v>148</v>
      </c>
      <c r="O1655" s="247" t="s">
        <v>16</v>
      </c>
      <c r="P1655" s="247" t="s">
        <v>16</v>
      </c>
      <c r="Q1655" s="247" t="s">
        <v>16</v>
      </c>
      <c r="R1655" s="247" t="s">
        <v>16</v>
      </c>
      <c r="S1655" s="247" t="s">
        <v>16</v>
      </c>
      <c r="T1655" s="247" t="s">
        <v>16</v>
      </c>
      <c r="U1655" s="247" t="s">
        <v>148</v>
      </c>
      <c r="V1655" s="247" t="s">
        <v>148</v>
      </c>
      <c r="W1655" s="247" t="s">
        <v>16</v>
      </c>
      <c r="X1655" s="247" t="s">
        <v>16</v>
      </c>
      <c r="Y1655" s="247" t="s">
        <v>16</v>
      </c>
      <c r="Z1655" s="247" t="s">
        <v>16</v>
      </c>
      <c r="AA1655" s="247" t="s">
        <v>16</v>
      </c>
      <c r="AB1655" s="247" t="s">
        <v>16</v>
      </c>
      <c r="AC1655" s="247" t="s">
        <v>16</v>
      </c>
      <c r="AD1655" s="247" t="s">
        <v>16</v>
      </c>
      <c r="AE1655" s="247" t="s">
        <v>2534</v>
      </c>
      <c r="AF1655" s="247"/>
    </row>
    <row r="1656" spans="1:32" x14ac:dyDescent="0.3">
      <c r="A1656" s="247" t="s">
        <v>2535</v>
      </c>
      <c r="B1656" s="247" t="s">
        <v>14</v>
      </c>
      <c r="C1656" s="247" t="s">
        <v>2516</v>
      </c>
      <c r="D1656" s="247" t="s">
        <v>15</v>
      </c>
      <c r="E1656" s="157">
        <v>42003</v>
      </c>
      <c r="F1656" s="247" t="s">
        <v>16</v>
      </c>
      <c r="G1656" s="247" t="s">
        <v>16</v>
      </c>
      <c r="H1656" s="247" t="s">
        <v>16</v>
      </c>
      <c r="I1656" s="247" t="s">
        <v>16</v>
      </c>
      <c r="J1656" s="247" t="s">
        <v>16</v>
      </c>
      <c r="K1656" s="247" t="s">
        <v>16</v>
      </c>
      <c r="L1656" s="247" t="s">
        <v>148</v>
      </c>
      <c r="M1656" s="247" t="s">
        <v>16</v>
      </c>
      <c r="N1656" s="247" t="s">
        <v>16</v>
      </c>
      <c r="O1656" s="247" t="s">
        <v>16</v>
      </c>
      <c r="P1656" s="247" t="s">
        <v>16</v>
      </c>
      <c r="Q1656" s="247" t="s">
        <v>16</v>
      </c>
      <c r="R1656" s="247" t="s">
        <v>16</v>
      </c>
      <c r="S1656" s="247" t="s">
        <v>16</v>
      </c>
      <c r="T1656" s="247" t="s">
        <v>16</v>
      </c>
      <c r="U1656" s="247" t="s">
        <v>16</v>
      </c>
      <c r="V1656" s="247" t="s">
        <v>16</v>
      </c>
      <c r="W1656" s="247" t="s">
        <v>16</v>
      </c>
      <c r="X1656" s="247" t="s">
        <v>16</v>
      </c>
      <c r="Y1656" s="247" t="s">
        <v>16</v>
      </c>
      <c r="Z1656" s="247" t="s">
        <v>16</v>
      </c>
      <c r="AA1656" s="247" t="s">
        <v>16</v>
      </c>
      <c r="AB1656" s="247" t="s">
        <v>148</v>
      </c>
      <c r="AC1656" s="247" t="s">
        <v>16</v>
      </c>
      <c r="AD1656" s="247" t="s">
        <v>16</v>
      </c>
      <c r="AE1656" s="247" t="s">
        <v>2536</v>
      </c>
      <c r="AF1656" s="247"/>
    </row>
    <row r="1657" spans="1:32" x14ac:dyDescent="0.3">
      <c r="A1657" s="247" t="s">
        <v>2537</v>
      </c>
      <c r="B1657" s="247" t="s">
        <v>14</v>
      </c>
      <c r="C1657" s="247" t="s">
        <v>2516</v>
      </c>
      <c r="D1657" s="247" t="s">
        <v>15</v>
      </c>
      <c r="E1657" s="157">
        <v>42003</v>
      </c>
      <c r="F1657" s="247" t="s">
        <v>148</v>
      </c>
      <c r="G1657" s="247" t="s">
        <v>148</v>
      </c>
      <c r="H1657" s="247" t="s">
        <v>16</v>
      </c>
      <c r="I1657" s="247" t="s">
        <v>16</v>
      </c>
      <c r="J1657" s="247" t="s">
        <v>16</v>
      </c>
      <c r="K1657" s="247" t="s">
        <v>16</v>
      </c>
      <c r="L1657" s="247" t="s">
        <v>16</v>
      </c>
      <c r="M1657" s="247" t="s">
        <v>16</v>
      </c>
      <c r="N1657" s="247" t="s">
        <v>150</v>
      </c>
      <c r="O1657" s="247" t="s">
        <v>150</v>
      </c>
      <c r="P1657" s="247" t="s">
        <v>16</v>
      </c>
      <c r="Q1657" s="247" t="s">
        <v>148</v>
      </c>
      <c r="R1657" s="247" t="s">
        <v>149</v>
      </c>
      <c r="S1657" s="247" t="s">
        <v>150</v>
      </c>
      <c r="T1657" s="247" t="s">
        <v>148</v>
      </c>
      <c r="U1657" s="247" t="s">
        <v>16</v>
      </c>
      <c r="V1657" s="247" t="s">
        <v>16</v>
      </c>
      <c r="W1657" s="247" t="s">
        <v>150</v>
      </c>
      <c r="X1657" s="247" t="s">
        <v>149</v>
      </c>
      <c r="Y1657" s="247" t="s">
        <v>149</v>
      </c>
      <c r="Z1657" s="247" t="s">
        <v>16</v>
      </c>
      <c r="AA1657" s="247" t="s">
        <v>16</v>
      </c>
      <c r="AB1657" s="247" t="s">
        <v>149</v>
      </c>
      <c r="AC1657" s="247" t="s">
        <v>16</v>
      </c>
      <c r="AD1657" s="247" t="s">
        <v>16</v>
      </c>
      <c r="AE1657" s="247" t="s">
        <v>2536</v>
      </c>
      <c r="AF1657" s="247"/>
    </row>
    <row r="1658" spans="1:32" x14ac:dyDescent="0.3">
      <c r="A1658" s="247" t="s">
        <v>2538</v>
      </c>
      <c r="B1658" s="247" t="s">
        <v>14</v>
      </c>
      <c r="C1658" s="247" t="s">
        <v>2516</v>
      </c>
      <c r="D1658" s="247" t="s">
        <v>15</v>
      </c>
      <c r="E1658" s="157">
        <v>42003</v>
      </c>
      <c r="F1658" s="247" t="s">
        <v>16</v>
      </c>
      <c r="G1658" s="247" t="s">
        <v>16</v>
      </c>
      <c r="H1658" s="247" t="s">
        <v>16</v>
      </c>
      <c r="I1658" s="247" t="s">
        <v>16</v>
      </c>
      <c r="J1658" s="247" t="s">
        <v>16</v>
      </c>
      <c r="K1658" s="247" t="s">
        <v>16</v>
      </c>
      <c r="L1658" s="247" t="s">
        <v>16</v>
      </c>
      <c r="M1658" s="247" t="s">
        <v>16</v>
      </c>
      <c r="N1658" s="247" t="s">
        <v>16</v>
      </c>
      <c r="O1658" s="247" t="s">
        <v>16</v>
      </c>
      <c r="P1658" s="247" t="s">
        <v>16</v>
      </c>
      <c r="Q1658" s="247" t="s">
        <v>16</v>
      </c>
      <c r="R1658" s="247" t="s">
        <v>16</v>
      </c>
      <c r="S1658" s="247" t="s">
        <v>16</v>
      </c>
      <c r="T1658" s="247" t="s">
        <v>16</v>
      </c>
      <c r="U1658" s="247" t="s">
        <v>16</v>
      </c>
      <c r="V1658" s="247" t="s">
        <v>16</v>
      </c>
      <c r="W1658" s="247" t="s">
        <v>16</v>
      </c>
      <c r="X1658" s="247" t="s">
        <v>16</v>
      </c>
      <c r="Y1658" s="247" t="s">
        <v>16</v>
      </c>
      <c r="Z1658" s="247" t="s">
        <v>16</v>
      </c>
      <c r="AA1658" s="247" t="s">
        <v>16</v>
      </c>
      <c r="AB1658" s="247" t="s">
        <v>16</v>
      </c>
      <c r="AC1658" s="247" t="s">
        <v>16</v>
      </c>
      <c r="AD1658" s="247" t="s">
        <v>16</v>
      </c>
      <c r="AE1658" s="247" t="s">
        <v>2536</v>
      </c>
      <c r="AF1658" s="247"/>
    </row>
    <row r="1659" spans="1:32" x14ac:dyDescent="0.3">
      <c r="A1659" s="247" t="s">
        <v>2539</v>
      </c>
      <c r="B1659" s="247" t="s">
        <v>14</v>
      </c>
      <c r="C1659" s="247" t="s">
        <v>2516</v>
      </c>
      <c r="D1659" s="247" t="s">
        <v>15</v>
      </c>
      <c r="E1659" s="157">
        <v>42003</v>
      </c>
      <c r="F1659" s="247" t="s">
        <v>16</v>
      </c>
      <c r="G1659" s="247" t="s">
        <v>16</v>
      </c>
      <c r="H1659" s="247" t="s">
        <v>16</v>
      </c>
      <c r="I1659" s="247" t="s">
        <v>16</v>
      </c>
      <c r="J1659" s="247" t="s">
        <v>16</v>
      </c>
      <c r="K1659" s="247" t="s">
        <v>16</v>
      </c>
      <c r="L1659" s="247" t="s">
        <v>16</v>
      </c>
      <c r="M1659" s="247" t="s">
        <v>148</v>
      </c>
      <c r="N1659" s="247" t="s">
        <v>148</v>
      </c>
      <c r="O1659" s="247" t="s">
        <v>16</v>
      </c>
      <c r="P1659" s="247" t="s">
        <v>16</v>
      </c>
      <c r="Q1659" s="247" t="s">
        <v>16</v>
      </c>
      <c r="R1659" s="247" t="s">
        <v>16</v>
      </c>
      <c r="S1659" s="247" t="s">
        <v>16</v>
      </c>
      <c r="T1659" s="247" t="s">
        <v>148</v>
      </c>
      <c r="U1659" s="247" t="s">
        <v>16</v>
      </c>
      <c r="V1659" s="247" t="s">
        <v>16</v>
      </c>
      <c r="W1659" s="247" t="s">
        <v>16</v>
      </c>
      <c r="X1659" s="247" t="s">
        <v>16</v>
      </c>
      <c r="Y1659" s="247" t="s">
        <v>16</v>
      </c>
      <c r="Z1659" s="247" t="s">
        <v>16</v>
      </c>
      <c r="AA1659" s="247" t="s">
        <v>16</v>
      </c>
      <c r="AB1659" s="247" t="s">
        <v>16</v>
      </c>
      <c r="AC1659" s="247" t="s">
        <v>16</v>
      </c>
      <c r="AD1659" s="247" t="s">
        <v>16</v>
      </c>
      <c r="AE1659" s="247" t="s">
        <v>2526</v>
      </c>
      <c r="AF1659" s="247"/>
    </row>
    <row r="1660" spans="1:32" x14ac:dyDescent="0.3">
      <c r="A1660" s="247" t="s">
        <v>2540</v>
      </c>
      <c r="B1660" s="247" t="s">
        <v>14</v>
      </c>
      <c r="C1660" s="247" t="s">
        <v>2516</v>
      </c>
      <c r="D1660" s="247" t="s">
        <v>15</v>
      </c>
      <c r="E1660" s="157">
        <v>42003</v>
      </c>
      <c r="F1660" s="247" t="s">
        <v>149</v>
      </c>
      <c r="G1660" s="247" t="s">
        <v>16</v>
      </c>
      <c r="H1660" s="247" t="s">
        <v>16</v>
      </c>
      <c r="I1660" s="247" t="s">
        <v>149</v>
      </c>
      <c r="J1660" s="247" t="s">
        <v>16</v>
      </c>
      <c r="K1660" s="247" t="s">
        <v>16</v>
      </c>
      <c r="L1660" s="247" t="s">
        <v>16</v>
      </c>
      <c r="M1660" s="247" t="s">
        <v>16</v>
      </c>
      <c r="N1660" s="247" t="s">
        <v>149</v>
      </c>
      <c r="O1660" s="247" t="s">
        <v>16</v>
      </c>
      <c r="P1660" s="247" t="s">
        <v>149</v>
      </c>
      <c r="Q1660" s="247" t="s">
        <v>149</v>
      </c>
      <c r="R1660" s="247" t="s">
        <v>16</v>
      </c>
      <c r="S1660" s="247" t="s">
        <v>149</v>
      </c>
      <c r="T1660" s="247" t="s">
        <v>149</v>
      </c>
      <c r="U1660" s="247" t="s">
        <v>148</v>
      </c>
      <c r="V1660" s="247" t="s">
        <v>16</v>
      </c>
      <c r="W1660" s="247" t="s">
        <v>16</v>
      </c>
      <c r="X1660" s="247" t="s">
        <v>16</v>
      </c>
      <c r="Y1660" s="247" t="s">
        <v>16</v>
      </c>
      <c r="Z1660" s="247" t="s">
        <v>149</v>
      </c>
      <c r="AA1660" s="247" t="s">
        <v>16</v>
      </c>
      <c r="AB1660" s="247" t="s">
        <v>16</v>
      </c>
      <c r="AC1660" s="247" t="s">
        <v>16</v>
      </c>
      <c r="AD1660" s="247" t="s">
        <v>16</v>
      </c>
      <c r="AE1660" s="247" t="s">
        <v>2526</v>
      </c>
      <c r="AF1660" s="247"/>
    </row>
    <row r="1661" spans="1:32" x14ac:dyDescent="0.3">
      <c r="A1661" s="247" t="s">
        <v>2541</v>
      </c>
      <c r="B1661" s="247" t="s">
        <v>14</v>
      </c>
      <c r="C1661" s="247" t="s">
        <v>2516</v>
      </c>
      <c r="D1661" s="247" t="s">
        <v>15</v>
      </c>
      <c r="E1661" s="157">
        <v>42003</v>
      </c>
      <c r="F1661" s="247" t="s">
        <v>16</v>
      </c>
      <c r="G1661" s="247" t="s">
        <v>16</v>
      </c>
      <c r="H1661" s="247" t="s">
        <v>16</v>
      </c>
      <c r="I1661" s="247" t="s">
        <v>16</v>
      </c>
      <c r="J1661" s="247" t="s">
        <v>16</v>
      </c>
      <c r="K1661" s="247" t="s">
        <v>16</v>
      </c>
      <c r="L1661" s="247" t="s">
        <v>16</v>
      </c>
      <c r="M1661" s="247" t="s">
        <v>16</v>
      </c>
      <c r="N1661" s="247" t="s">
        <v>16</v>
      </c>
      <c r="O1661" s="247" t="s">
        <v>16</v>
      </c>
      <c r="P1661" s="247" t="s">
        <v>16</v>
      </c>
      <c r="Q1661" s="247" t="s">
        <v>16</v>
      </c>
      <c r="R1661" s="247" t="s">
        <v>16</v>
      </c>
      <c r="S1661" s="247" t="s">
        <v>16</v>
      </c>
      <c r="T1661" s="247" t="s">
        <v>16</v>
      </c>
      <c r="U1661" s="247" t="s">
        <v>16</v>
      </c>
      <c r="V1661" s="247" t="s">
        <v>16</v>
      </c>
      <c r="W1661" s="247" t="s">
        <v>16</v>
      </c>
      <c r="X1661" s="247" t="s">
        <v>16</v>
      </c>
      <c r="Y1661" s="247" t="s">
        <v>16</v>
      </c>
      <c r="Z1661" s="247" t="s">
        <v>16</v>
      </c>
      <c r="AA1661" s="247" t="s">
        <v>16</v>
      </c>
      <c r="AB1661" s="247" t="s">
        <v>16</v>
      </c>
      <c r="AC1661" s="247" t="s">
        <v>16</v>
      </c>
      <c r="AD1661" s="247" t="s">
        <v>16</v>
      </c>
      <c r="AE1661" s="247" t="s">
        <v>2526</v>
      </c>
      <c r="AF1661" s="247"/>
    </row>
    <row r="1662" spans="1:32" x14ac:dyDescent="0.3">
      <c r="A1662" s="247" t="s">
        <v>2542</v>
      </c>
      <c r="B1662" s="247" t="s">
        <v>14</v>
      </c>
      <c r="C1662" s="247" t="s">
        <v>2516</v>
      </c>
      <c r="D1662" s="247" t="s">
        <v>15</v>
      </c>
      <c r="E1662" s="157">
        <v>42003</v>
      </c>
      <c r="F1662" s="247" t="s">
        <v>16</v>
      </c>
      <c r="G1662" s="247" t="s">
        <v>16</v>
      </c>
      <c r="H1662" s="247" t="s">
        <v>16</v>
      </c>
      <c r="I1662" s="247" t="s">
        <v>16</v>
      </c>
      <c r="J1662" s="247" t="s">
        <v>16</v>
      </c>
      <c r="K1662" s="247" t="s">
        <v>16</v>
      </c>
      <c r="L1662" s="247" t="s">
        <v>16</v>
      </c>
      <c r="M1662" s="247" t="s">
        <v>16</v>
      </c>
      <c r="N1662" s="247" t="s">
        <v>16</v>
      </c>
      <c r="O1662" s="247" t="s">
        <v>16</v>
      </c>
      <c r="P1662" s="247" t="s">
        <v>16</v>
      </c>
      <c r="Q1662" s="247" t="s">
        <v>16</v>
      </c>
      <c r="R1662" s="247" t="s">
        <v>16</v>
      </c>
      <c r="S1662" s="247" t="s">
        <v>16</v>
      </c>
      <c r="T1662" s="247" t="s">
        <v>16</v>
      </c>
      <c r="U1662" s="247" t="s">
        <v>16</v>
      </c>
      <c r="V1662" s="247" t="s">
        <v>16</v>
      </c>
      <c r="W1662" s="247" t="s">
        <v>16</v>
      </c>
      <c r="X1662" s="247" t="s">
        <v>16</v>
      </c>
      <c r="Y1662" s="247" t="s">
        <v>16</v>
      </c>
      <c r="Z1662" s="247" t="s">
        <v>16</v>
      </c>
      <c r="AA1662" s="247" t="s">
        <v>16</v>
      </c>
      <c r="AB1662" s="247" t="s">
        <v>16</v>
      </c>
      <c r="AC1662" s="247" t="s">
        <v>16</v>
      </c>
      <c r="AD1662" s="247" t="s">
        <v>16</v>
      </c>
      <c r="AE1662" s="247" t="s">
        <v>2520</v>
      </c>
      <c r="AF1662" s="247"/>
    </row>
    <row r="1663" spans="1:32" x14ac:dyDescent="0.3">
      <c r="A1663" s="247" t="s">
        <v>2543</v>
      </c>
      <c r="B1663" s="247" t="s">
        <v>14</v>
      </c>
      <c r="C1663" s="247" t="s">
        <v>2516</v>
      </c>
      <c r="D1663" s="247" t="s">
        <v>15</v>
      </c>
      <c r="E1663" s="157">
        <v>42003</v>
      </c>
      <c r="F1663" s="247" t="s">
        <v>16</v>
      </c>
      <c r="G1663" s="247" t="s">
        <v>148</v>
      </c>
      <c r="H1663" s="247" t="s">
        <v>16</v>
      </c>
      <c r="I1663" s="247" t="s">
        <v>148</v>
      </c>
      <c r="J1663" s="247" t="s">
        <v>149</v>
      </c>
      <c r="K1663" s="247" t="s">
        <v>148</v>
      </c>
      <c r="L1663" s="247" t="s">
        <v>148</v>
      </c>
      <c r="M1663" s="247" t="s">
        <v>16</v>
      </c>
      <c r="N1663" s="247" t="s">
        <v>148</v>
      </c>
      <c r="O1663" s="247" t="s">
        <v>16</v>
      </c>
      <c r="P1663" s="247" t="s">
        <v>148</v>
      </c>
      <c r="Q1663" s="247" t="s">
        <v>149</v>
      </c>
      <c r="R1663" s="247" t="s">
        <v>148</v>
      </c>
      <c r="S1663" s="247" t="s">
        <v>148</v>
      </c>
      <c r="T1663" s="247" t="s">
        <v>148</v>
      </c>
      <c r="U1663" s="247" t="s">
        <v>148</v>
      </c>
      <c r="V1663" s="247" t="s">
        <v>16</v>
      </c>
      <c r="W1663" s="247" t="s">
        <v>149</v>
      </c>
      <c r="X1663" s="247" t="s">
        <v>148</v>
      </c>
      <c r="Y1663" s="247" t="s">
        <v>16</v>
      </c>
      <c r="Z1663" s="247" t="s">
        <v>16</v>
      </c>
      <c r="AA1663" s="247" t="s">
        <v>16</v>
      </c>
      <c r="AB1663" s="247" t="s">
        <v>16</v>
      </c>
      <c r="AC1663" s="247" t="s">
        <v>150</v>
      </c>
      <c r="AD1663" s="247" t="s">
        <v>148</v>
      </c>
      <c r="AE1663" s="247" t="s">
        <v>2526</v>
      </c>
      <c r="AF1663" s="247"/>
    </row>
    <row r="1664" spans="1:32" x14ac:dyDescent="0.3">
      <c r="A1664" s="247" t="s">
        <v>2544</v>
      </c>
      <c r="B1664" s="247" t="s">
        <v>14</v>
      </c>
      <c r="C1664" s="247" t="s">
        <v>2516</v>
      </c>
      <c r="D1664" s="247" t="s">
        <v>15</v>
      </c>
      <c r="E1664" s="157">
        <v>42003</v>
      </c>
      <c r="F1664" s="247" t="s">
        <v>16</v>
      </c>
      <c r="G1664" s="247" t="s">
        <v>16</v>
      </c>
      <c r="H1664" s="247" t="s">
        <v>16</v>
      </c>
      <c r="I1664" s="247" t="s">
        <v>16</v>
      </c>
      <c r="J1664" s="247" t="s">
        <v>16</v>
      </c>
      <c r="K1664" s="247" t="s">
        <v>16</v>
      </c>
      <c r="L1664" s="247" t="s">
        <v>16</v>
      </c>
      <c r="M1664" s="247" t="s">
        <v>16</v>
      </c>
      <c r="N1664" s="247" t="s">
        <v>16</v>
      </c>
      <c r="O1664" s="247" t="s">
        <v>16</v>
      </c>
      <c r="P1664" s="247" t="s">
        <v>148</v>
      </c>
      <c r="Q1664" s="247" t="s">
        <v>16</v>
      </c>
      <c r="R1664" s="247" t="s">
        <v>16</v>
      </c>
      <c r="S1664" s="247" t="s">
        <v>148</v>
      </c>
      <c r="T1664" s="247" t="s">
        <v>16</v>
      </c>
      <c r="U1664" s="247" t="s">
        <v>16</v>
      </c>
      <c r="V1664" s="247" t="s">
        <v>16</v>
      </c>
      <c r="W1664" s="247" t="s">
        <v>16</v>
      </c>
      <c r="X1664" s="247" t="s">
        <v>148</v>
      </c>
      <c r="Y1664" s="247" t="s">
        <v>16</v>
      </c>
      <c r="Z1664" s="247" t="s">
        <v>16</v>
      </c>
      <c r="AA1664" s="247" t="s">
        <v>16</v>
      </c>
      <c r="AB1664" s="247" t="s">
        <v>16</v>
      </c>
      <c r="AC1664" s="247" t="s">
        <v>16</v>
      </c>
      <c r="AD1664" s="247" t="s">
        <v>16</v>
      </c>
      <c r="AE1664" s="247"/>
      <c r="AF1664" s="247"/>
    </row>
    <row r="1667" spans="1:32" s="247" customFormat="1" x14ac:dyDescent="0.3">
      <c r="F1667" s="247" t="s">
        <v>124</v>
      </c>
      <c r="G1667" s="247" t="s">
        <v>125</v>
      </c>
      <c r="H1667" s="247" t="s">
        <v>126</v>
      </c>
      <c r="I1667" s="247" t="s">
        <v>127</v>
      </c>
      <c r="J1667" s="247" t="s">
        <v>214</v>
      </c>
      <c r="K1667" s="247" t="s">
        <v>128</v>
      </c>
      <c r="L1667" s="247" t="s">
        <v>129</v>
      </c>
      <c r="M1667" s="247" t="s">
        <v>130</v>
      </c>
      <c r="N1667" s="247" t="s">
        <v>131</v>
      </c>
      <c r="O1667" s="247" t="s">
        <v>132</v>
      </c>
      <c r="P1667" s="247" t="s">
        <v>133</v>
      </c>
      <c r="Q1667" s="247" t="s">
        <v>134</v>
      </c>
      <c r="R1667" s="247" t="s">
        <v>135</v>
      </c>
      <c r="S1667" s="247" t="s">
        <v>136</v>
      </c>
      <c r="T1667" s="247" t="s">
        <v>137</v>
      </c>
      <c r="U1667" s="247" t="s">
        <v>138</v>
      </c>
      <c r="V1667" s="247" t="s">
        <v>139</v>
      </c>
      <c r="W1667" s="247" t="s">
        <v>140</v>
      </c>
      <c r="X1667" s="247" t="s">
        <v>186</v>
      </c>
      <c r="Y1667" s="247" t="s">
        <v>209</v>
      </c>
      <c r="Z1667" s="247" t="s">
        <v>141</v>
      </c>
      <c r="AA1667" s="247" t="s">
        <v>142</v>
      </c>
      <c r="AB1667" s="247" t="s">
        <v>210</v>
      </c>
      <c r="AC1667" s="247" t="s">
        <v>1180</v>
      </c>
      <c r="AD1667" s="247" t="s">
        <v>144</v>
      </c>
      <c r="AE1667" s="247" t="s">
        <v>2570</v>
      </c>
      <c r="AF1667" s="247" t="s">
        <v>190</v>
      </c>
    </row>
    <row r="1668" spans="1:32" s="247" customFormat="1" x14ac:dyDescent="0.3">
      <c r="A1668" s="247" t="s">
        <v>2588</v>
      </c>
      <c r="B1668" s="247" t="s">
        <v>14</v>
      </c>
      <c r="C1668" s="247" t="s">
        <v>2580</v>
      </c>
      <c r="D1668" s="247" t="s">
        <v>15</v>
      </c>
      <c r="E1668" s="157">
        <v>42034</v>
      </c>
      <c r="F1668" s="247" t="s">
        <v>148</v>
      </c>
      <c r="G1668" s="247" t="s">
        <v>148</v>
      </c>
      <c r="H1668" s="247" t="s">
        <v>149</v>
      </c>
      <c r="I1668" s="247" t="s">
        <v>148</v>
      </c>
      <c r="J1668" s="247" t="s">
        <v>148</v>
      </c>
      <c r="K1668" s="247" t="s">
        <v>16</v>
      </c>
      <c r="L1668" s="247" t="s">
        <v>150</v>
      </c>
      <c r="M1668" s="247" t="s">
        <v>148</v>
      </c>
      <c r="N1668" s="247" t="s">
        <v>16</v>
      </c>
      <c r="O1668" s="247" t="s">
        <v>150</v>
      </c>
      <c r="P1668" s="247" t="s">
        <v>150</v>
      </c>
      <c r="Q1668" s="247" t="s">
        <v>16</v>
      </c>
      <c r="R1668" s="247" t="s">
        <v>149</v>
      </c>
      <c r="S1668" s="247" t="s">
        <v>150</v>
      </c>
      <c r="T1668" s="247" t="s">
        <v>148</v>
      </c>
      <c r="U1668" s="247" t="s">
        <v>148</v>
      </c>
      <c r="V1668" s="247" t="s">
        <v>16</v>
      </c>
      <c r="W1668" s="247" t="s">
        <v>148</v>
      </c>
      <c r="X1668" s="247" t="s">
        <v>16</v>
      </c>
      <c r="Y1668" s="247" t="s">
        <v>149</v>
      </c>
      <c r="Z1668" s="247" t="s">
        <v>16</v>
      </c>
      <c r="AA1668" s="247" t="s">
        <v>148</v>
      </c>
      <c r="AB1668" s="247" t="s">
        <v>148</v>
      </c>
      <c r="AC1668" s="247" t="s">
        <v>150</v>
      </c>
      <c r="AD1668" s="247" t="s">
        <v>148</v>
      </c>
      <c r="AE1668" s="247" t="s">
        <v>2568</v>
      </c>
    </row>
    <row r="1669" spans="1:32" s="247" customFormat="1" x14ac:dyDescent="0.3">
      <c r="A1669" s="247" t="s">
        <v>2587</v>
      </c>
      <c r="B1669" s="247" t="s">
        <v>14</v>
      </c>
      <c r="C1669" s="247" t="s">
        <v>2580</v>
      </c>
      <c r="D1669" s="247" t="s">
        <v>15</v>
      </c>
      <c r="E1669" s="157">
        <v>42034</v>
      </c>
      <c r="F1669" s="247" t="s">
        <v>148</v>
      </c>
      <c r="G1669" s="247" t="s">
        <v>148</v>
      </c>
      <c r="H1669" s="247" t="s">
        <v>16</v>
      </c>
      <c r="I1669" s="247" t="s">
        <v>16</v>
      </c>
      <c r="J1669" s="247" t="s">
        <v>16</v>
      </c>
      <c r="K1669" s="247" t="s">
        <v>16</v>
      </c>
      <c r="L1669" s="247" t="s">
        <v>16</v>
      </c>
      <c r="M1669" s="247" t="s">
        <v>148</v>
      </c>
      <c r="N1669" s="247" t="s">
        <v>148</v>
      </c>
      <c r="O1669" s="247" t="s">
        <v>16</v>
      </c>
      <c r="P1669" s="247" t="s">
        <v>16</v>
      </c>
      <c r="Q1669" s="247" t="s">
        <v>16</v>
      </c>
      <c r="R1669" s="247" t="s">
        <v>149</v>
      </c>
      <c r="S1669" s="247" t="s">
        <v>16</v>
      </c>
      <c r="T1669" s="247" t="s">
        <v>16</v>
      </c>
      <c r="U1669" s="247" t="s">
        <v>16</v>
      </c>
      <c r="V1669" s="247" t="s">
        <v>16</v>
      </c>
      <c r="W1669" s="247" t="s">
        <v>16</v>
      </c>
      <c r="X1669" s="247" t="s">
        <v>16</v>
      </c>
      <c r="Y1669" s="247" t="s">
        <v>148</v>
      </c>
      <c r="Z1669" s="247" t="s">
        <v>16</v>
      </c>
      <c r="AA1669" s="247" t="s">
        <v>148</v>
      </c>
      <c r="AB1669" s="247" t="s">
        <v>16</v>
      </c>
      <c r="AC1669" s="247" t="s">
        <v>148</v>
      </c>
      <c r="AD1669" s="247" t="s">
        <v>148</v>
      </c>
      <c r="AE1669" s="247" t="s">
        <v>2584</v>
      </c>
    </row>
    <row r="1670" spans="1:32" s="247" customFormat="1" x14ac:dyDescent="0.3">
      <c r="A1670" s="247" t="s">
        <v>2579</v>
      </c>
      <c r="B1670" s="247" t="s">
        <v>14</v>
      </c>
      <c r="C1670" s="247" t="s">
        <v>2580</v>
      </c>
      <c r="D1670" s="247" t="s">
        <v>15</v>
      </c>
      <c r="E1670" s="157">
        <v>42034</v>
      </c>
      <c r="F1670" s="247" t="s">
        <v>150</v>
      </c>
      <c r="G1670" s="247" t="s">
        <v>148</v>
      </c>
      <c r="H1670" s="247" t="s">
        <v>16</v>
      </c>
      <c r="I1670" s="247" t="s">
        <v>148</v>
      </c>
      <c r="J1670" s="247" t="s">
        <v>150</v>
      </c>
      <c r="K1670" s="247" t="s">
        <v>149</v>
      </c>
      <c r="L1670" s="247" t="s">
        <v>149</v>
      </c>
      <c r="M1670" s="247" t="s">
        <v>16</v>
      </c>
      <c r="N1670" s="247" t="s">
        <v>150</v>
      </c>
      <c r="O1670" s="247" t="s">
        <v>149</v>
      </c>
      <c r="P1670" s="247" t="s">
        <v>16</v>
      </c>
      <c r="Q1670" s="247" t="s">
        <v>16</v>
      </c>
      <c r="R1670" s="247" t="s">
        <v>16</v>
      </c>
      <c r="S1670" s="247" t="s">
        <v>16</v>
      </c>
      <c r="T1670" s="247" t="s">
        <v>148</v>
      </c>
      <c r="U1670" s="247" t="s">
        <v>148</v>
      </c>
      <c r="V1670" s="247" t="s">
        <v>150</v>
      </c>
      <c r="W1670" s="247" t="s">
        <v>149</v>
      </c>
      <c r="X1670" s="247" t="s">
        <v>149</v>
      </c>
      <c r="Y1670" s="247" t="s">
        <v>148</v>
      </c>
      <c r="Z1670" s="247" t="s">
        <v>16</v>
      </c>
      <c r="AA1670" s="247" t="s">
        <v>16</v>
      </c>
      <c r="AB1670" s="247" t="s">
        <v>148</v>
      </c>
      <c r="AC1670" s="247" t="s">
        <v>148</v>
      </c>
      <c r="AD1670" s="247" t="s">
        <v>148</v>
      </c>
      <c r="AE1670" s="247" t="s">
        <v>2581</v>
      </c>
    </row>
    <row r="1671" spans="1:32" s="247" customFormat="1" x14ac:dyDescent="0.3">
      <c r="A1671" s="247" t="s">
        <v>2582</v>
      </c>
      <c r="B1671" s="247" t="s">
        <v>14</v>
      </c>
      <c r="C1671" s="247" t="s">
        <v>2580</v>
      </c>
      <c r="D1671" s="247" t="s">
        <v>15</v>
      </c>
      <c r="E1671" s="157">
        <v>42034</v>
      </c>
      <c r="F1671" s="247" t="s">
        <v>16</v>
      </c>
      <c r="G1671" s="247" t="s">
        <v>114</v>
      </c>
      <c r="H1671" s="247" t="s">
        <v>16</v>
      </c>
      <c r="I1671" s="247" t="s">
        <v>16</v>
      </c>
      <c r="J1671" s="247" t="s">
        <v>148</v>
      </c>
      <c r="K1671" s="247" t="s">
        <v>148</v>
      </c>
      <c r="L1671" s="247" t="s">
        <v>149</v>
      </c>
      <c r="M1671" s="247" t="s">
        <v>16</v>
      </c>
      <c r="N1671" s="247" t="s">
        <v>148</v>
      </c>
      <c r="O1671" s="247" t="s">
        <v>16</v>
      </c>
      <c r="P1671" s="247" t="s">
        <v>148</v>
      </c>
      <c r="Q1671" s="247" t="s">
        <v>16</v>
      </c>
      <c r="R1671" s="247" t="s">
        <v>148</v>
      </c>
      <c r="S1671" s="247" t="s">
        <v>16</v>
      </c>
      <c r="T1671" s="247" t="s">
        <v>16</v>
      </c>
      <c r="U1671" s="247" t="s">
        <v>16</v>
      </c>
      <c r="V1671" s="247" t="s">
        <v>16</v>
      </c>
      <c r="W1671" s="247" t="s">
        <v>16</v>
      </c>
      <c r="X1671" s="247" t="s">
        <v>16</v>
      </c>
      <c r="Y1671" s="247" t="s">
        <v>16</v>
      </c>
      <c r="Z1671" s="247" t="s">
        <v>149</v>
      </c>
      <c r="AA1671" s="247" t="s">
        <v>16</v>
      </c>
      <c r="AB1671" s="247" t="s">
        <v>16</v>
      </c>
      <c r="AC1671" s="247" t="s">
        <v>16</v>
      </c>
      <c r="AD1671" s="247" t="s">
        <v>16</v>
      </c>
      <c r="AE1671" s="247" t="s">
        <v>2573</v>
      </c>
    </row>
    <row r="1672" spans="1:32" s="247" customFormat="1" x14ac:dyDescent="0.3">
      <c r="A1672" s="247" t="s">
        <v>2583</v>
      </c>
      <c r="B1672" s="247" t="s">
        <v>14</v>
      </c>
      <c r="C1672" s="247" t="s">
        <v>2580</v>
      </c>
      <c r="D1672" s="247" t="s">
        <v>15</v>
      </c>
      <c r="E1672" s="157">
        <v>42034</v>
      </c>
      <c r="F1672" s="247" t="s">
        <v>16</v>
      </c>
      <c r="G1672" s="247" t="s">
        <v>16</v>
      </c>
      <c r="H1672" s="247" t="s">
        <v>16</v>
      </c>
      <c r="I1672" s="247" t="s">
        <v>148</v>
      </c>
      <c r="J1672" s="247" t="s">
        <v>16</v>
      </c>
      <c r="K1672" s="247" t="s">
        <v>16</v>
      </c>
      <c r="L1672" s="247" t="s">
        <v>16</v>
      </c>
      <c r="M1672" s="247" t="s">
        <v>149</v>
      </c>
      <c r="N1672" s="247" t="s">
        <v>150</v>
      </c>
      <c r="O1672" s="247" t="s">
        <v>150</v>
      </c>
      <c r="P1672" s="247" t="s">
        <v>148</v>
      </c>
      <c r="Q1672" s="247" t="s">
        <v>16</v>
      </c>
      <c r="R1672" s="247" t="s">
        <v>16</v>
      </c>
      <c r="S1672" s="247" t="s">
        <v>16</v>
      </c>
      <c r="T1672" s="247" t="s">
        <v>16</v>
      </c>
      <c r="U1672" s="247" t="s">
        <v>16</v>
      </c>
      <c r="V1672" s="247" t="s">
        <v>16</v>
      </c>
      <c r="W1672" s="247" t="s">
        <v>150</v>
      </c>
      <c r="X1672" s="247" t="s">
        <v>148</v>
      </c>
      <c r="Y1672" s="247" t="s">
        <v>148</v>
      </c>
      <c r="Z1672" s="247" t="s">
        <v>148</v>
      </c>
      <c r="AA1672" s="247" t="s">
        <v>148</v>
      </c>
      <c r="AB1672" s="247" t="s">
        <v>148</v>
      </c>
      <c r="AC1672" s="247" t="s">
        <v>148</v>
      </c>
      <c r="AD1672" s="247" t="s">
        <v>148</v>
      </c>
      <c r="AE1672" s="247" t="s">
        <v>2584</v>
      </c>
    </row>
    <row r="1673" spans="1:32" s="247" customFormat="1" x14ac:dyDescent="0.3">
      <c r="A1673" s="247" t="s">
        <v>2585</v>
      </c>
      <c r="B1673" s="247" t="s">
        <v>14</v>
      </c>
      <c r="C1673" s="247" t="s">
        <v>2580</v>
      </c>
      <c r="D1673" s="247" t="s">
        <v>15</v>
      </c>
      <c r="E1673" s="157">
        <v>42034</v>
      </c>
      <c r="F1673" s="247" t="s">
        <v>16</v>
      </c>
      <c r="G1673" s="247" t="s">
        <v>16</v>
      </c>
      <c r="H1673" s="247" t="s">
        <v>16</v>
      </c>
      <c r="I1673" s="247" t="s">
        <v>16</v>
      </c>
      <c r="J1673" s="247" t="s">
        <v>16</v>
      </c>
      <c r="K1673" s="247" t="s">
        <v>16</v>
      </c>
      <c r="L1673" s="247" t="s">
        <v>16</v>
      </c>
      <c r="M1673" s="247" t="s">
        <v>16</v>
      </c>
      <c r="N1673" s="247" t="s">
        <v>16</v>
      </c>
      <c r="O1673" s="247" t="s">
        <v>16</v>
      </c>
      <c r="P1673" s="247" t="s">
        <v>16</v>
      </c>
      <c r="Q1673" s="247" t="s">
        <v>16</v>
      </c>
      <c r="R1673" s="247" t="s">
        <v>16</v>
      </c>
      <c r="S1673" s="247" t="s">
        <v>16</v>
      </c>
      <c r="T1673" s="247" t="s">
        <v>16</v>
      </c>
      <c r="U1673" s="247" t="s">
        <v>16</v>
      </c>
      <c r="V1673" s="247" t="s">
        <v>16</v>
      </c>
      <c r="W1673" s="247" t="s">
        <v>16</v>
      </c>
      <c r="X1673" s="247" t="s">
        <v>16</v>
      </c>
      <c r="Y1673" s="247" t="s">
        <v>16</v>
      </c>
      <c r="Z1673" s="247" t="s">
        <v>16</v>
      </c>
      <c r="AA1673" s="247" t="s">
        <v>16</v>
      </c>
      <c r="AB1673" s="247" t="s">
        <v>16</v>
      </c>
      <c r="AC1673" s="247" t="s">
        <v>16</v>
      </c>
      <c r="AD1673" s="247" t="s">
        <v>16</v>
      </c>
      <c r="AE1673" s="247" t="s">
        <v>2581</v>
      </c>
    </row>
    <row r="1674" spans="1:32" s="247" customFormat="1" x14ac:dyDescent="0.3">
      <c r="A1674" s="247" t="s">
        <v>2586</v>
      </c>
      <c r="B1674" s="247" t="s">
        <v>14</v>
      </c>
      <c r="C1674" s="247" t="s">
        <v>2580</v>
      </c>
      <c r="D1674" s="247" t="s">
        <v>15</v>
      </c>
      <c r="E1674" s="157">
        <v>42034</v>
      </c>
      <c r="F1674" s="247" t="s">
        <v>148</v>
      </c>
      <c r="G1674" s="247" t="s">
        <v>148</v>
      </c>
      <c r="H1674" s="247" t="s">
        <v>16</v>
      </c>
      <c r="I1674" s="247" t="s">
        <v>16</v>
      </c>
      <c r="J1674" s="247" t="s">
        <v>148</v>
      </c>
      <c r="K1674" s="247" t="s">
        <v>16</v>
      </c>
      <c r="L1674" s="247" t="s">
        <v>16</v>
      </c>
      <c r="M1674" s="247" t="s">
        <v>16</v>
      </c>
      <c r="N1674" s="247" t="s">
        <v>148</v>
      </c>
      <c r="O1674" s="247" t="s">
        <v>148</v>
      </c>
      <c r="P1674" s="247" t="s">
        <v>148</v>
      </c>
      <c r="Q1674" s="247" t="s">
        <v>16</v>
      </c>
      <c r="R1674" s="247" t="s">
        <v>16</v>
      </c>
      <c r="S1674" s="247" t="s">
        <v>16</v>
      </c>
      <c r="T1674" s="247" t="s">
        <v>16</v>
      </c>
      <c r="U1674" s="247" t="s">
        <v>16</v>
      </c>
      <c r="V1674" s="247" t="s">
        <v>16</v>
      </c>
      <c r="W1674" s="247" t="s">
        <v>16</v>
      </c>
      <c r="X1674" s="247" t="s">
        <v>16</v>
      </c>
      <c r="Y1674" s="247" t="s">
        <v>16</v>
      </c>
      <c r="Z1674" s="247" t="s">
        <v>16</v>
      </c>
      <c r="AA1674" s="247" t="s">
        <v>16</v>
      </c>
      <c r="AB1674" s="247" t="s">
        <v>16</v>
      </c>
      <c r="AC1674" s="247" t="s">
        <v>148</v>
      </c>
      <c r="AD1674" s="247" t="s">
        <v>16</v>
      </c>
    </row>
    <row r="1675" spans="1:32" s="247" customFormat="1" x14ac:dyDescent="0.3">
      <c r="A1675" s="247" t="s">
        <v>2550</v>
      </c>
      <c r="B1675" s="247" t="s">
        <v>14</v>
      </c>
      <c r="C1675" s="247" t="s">
        <v>2580</v>
      </c>
      <c r="D1675" s="247" t="s">
        <v>15</v>
      </c>
      <c r="E1675" s="157">
        <v>42034</v>
      </c>
      <c r="F1675" s="247" t="s">
        <v>16</v>
      </c>
      <c r="G1675" s="247" t="s">
        <v>16</v>
      </c>
      <c r="H1675" s="247" t="s">
        <v>16</v>
      </c>
      <c r="I1675" s="247" t="s">
        <v>16</v>
      </c>
      <c r="J1675" s="247" t="s">
        <v>16</v>
      </c>
      <c r="K1675" s="247" t="s">
        <v>16</v>
      </c>
      <c r="L1675" s="247" t="s">
        <v>16</v>
      </c>
      <c r="M1675" s="247" t="s">
        <v>16</v>
      </c>
      <c r="N1675" s="247" t="s">
        <v>16</v>
      </c>
      <c r="O1675" s="247" t="s">
        <v>16</v>
      </c>
      <c r="P1675" s="247" t="s">
        <v>16</v>
      </c>
      <c r="Q1675" s="247" t="s">
        <v>16</v>
      </c>
      <c r="R1675" s="247" t="s">
        <v>16</v>
      </c>
      <c r="S1675" s="247" t="s">
        <v>16</v>
      </c>
      <c r="T1675" s="247" t="s">
        <v>16</v>
      </c>
      <c r="U1675" s="247" t="s">
        <v>16</v>
      </c>
      <c r="V1675" s="247" t="s">
        <v>16</v>
      </c>
      <c r="W1675" s="247" t="s">
        <v>16</v>
      </c>
      <c r="X1675" s="247" t="s">
        <v>16</v>
      </c>
      <c r="Y1675" s="247" t="s">
        <v>16</v>
      </c>
      <c r="Z1675" s="247" t="s">
        <v>16</v>
      </c>
      <c r="AA1675" s="247" t="s">
        <v>16</v>
      </c>
      <c r="AB1675" s="247" t="s">
        <v>16</v>
      </c>
      <c r="AC1675" s="247" t="s">
        <v>16</v>
      </c>
      <c r="AD1675" s="247" t="s">
        <v>16</v>
      </c>
      <c r="AE1675" s="247" t="s">
        <v>2569</v>
      </c>
      <c r="AF1675" s="247" t="s">
        <v>2571</v>
      </c>
    </row>
    <row r="1676" spans="1:32" s="247" customFormat="1" x14ac:dyDescent="0.3">
      <c r="A1676" s="247" t="s">
        <v>2551</v>
      </c>
      <c r="B1676" s="247" t="s">
        <v>14</v>
      </c>
      <c r="C1676" s="247" t="s">
        <v>2580</v>
      </c>
      <c r="D1676" s="247" t="s">
        <v>15</v>
      </c>
      <c r="E1676" s="157">
        <v>42034</v>
      </c>
      <c r="F1676" s="247" t="s">
        <v>16</v>
      </c>
      <c r="G1676" s="247" t="s">
        <v>16</v>
      </c>
      <c r="H1676" s="247" t="s">
        <v>16</v>
      </c>
      <c r="I1676" s="247" t="s">
        <v>149</v>
      </c>
      <c r="J1676" s="247" t="s">
        <v>16</v>
      </c>
      <c r="K1676" s="247" t="s">
        <v>16</v>
      </c>
      <c r="L1676" s="247" t="s">
        <v>16</v>
      </c>
      <c r="M1676" s="247" t="s">
        <v>16</v>
      </c>
      <c r="N1676" s="247" t="s">
        <v>16</v>
      </c>
      <c r="O1676" s="247" t="s">
        <v>16</v>
      </c>
      <c r="P1676" s="247" t="s">
        <v>149</v>
      </c>
      <c r="Q1676" s="247" t="s">
        <v>16</v>
      </c>
      <c r="R1676" s="247" t="s">
        <v>16</v>
      </c>
      <c r="S1676" s="247" t="s">
        <v>149</v>
      </c>
      <c r="T1676" s="247" t="s">
        <v>16</v>
      </c>
      <c r="U1676" s="247" t="s">
        <v>16</v>
      </c>
      <c r="V1676" s="247" t="s">
        <v>16</v>
      </c>
      <c r="W1676" s="247" t="s">
        <v>16</v>
      </c>
      <c r="X1676" s="247" t="s">
        <v>16</v>
      </c>
      <c r="Y1676" s="247" t="s">
        <v>16</v>
      </c>
      <c r="Z1676" s="247" t="s">
        <v>16</v>
      </c>
      <c r="AA1676" s="247" t="s">
        <v>16</v>
      </c>
      <c r="AB1676" s="247" t="s">
        <v>16</v>
      </c>
      <c r="AC1676" s="247" t="s">
        <v>16</v>
      </c>
      <c r="AD1676" s="247" t="s">
        <v>16</v>
      </c>
      <c r="AE1676" s="247" t="s">
        <v>2572</v>
      </c>
    </row>
    <row r="1677" spans="1:32" s="247" customFormat="1" x14ac:dyDescent="0.3">
      <c r="A1677" s="247" t="s">
        <v>2552</v>
      </c>
      <c r="B1677" s="247" t="s">
        <v>14</v>
      </c>
      <c r="C1677" s="247" t="s">
        <v>2580</v>
      </c>
      <c r="D1677" s="247" t="s">
        <v>15</v>
      </c>
      <c r="E1677" s="157">
        <v>42034</v>
      </c>
      <c r="F1677" s="247" t="s">
        <v>148</v>
      </c>
      <c r="G1677" s="247" t="s">
        <v>148</v>
      </c>
      <c r="H1677" s="247" t="s">
        <v>148</v>
      </c>
      <c r="I1677" s="247" t="s">
        <v>16</v>
      </c>
      <c r="J1677" s="247" t="s">
        <v>148</v>
      </c>
      <c r="K1677" s="247" t="s">
        <v>16</v>
      </c>
      <c r="L1677" s="247" t="s">
        <v>148</v>
      </c>
      <c r="M1677" s="247" t="s">
        <v>148</v>
      </c>
      <c r="N1677" s="247" t="s">
        <v>16</v>
      </c>
      <c r="O1677" s="247" t="s">
        <v>16</v>
      </c>
      <c r="P1677" s="247" t="s">
        <v>16</v>
      </c>
      <c r="Q1677" s="247" t="s">
        <v>16</v>
      </c>
      <c r="R1677" s="247" t="s">
        <v>148</v>
      </c>
      <c r="S1677" s="247" t="s">
        <v>148</v>
      </c>
      <c r="T1677" s="247" t="s">
        <v>148</v>
      </c>
      <c r="U1677" s="247" t="s">
        <v>16</v>
      </c>
      <c r="V1677" s="247" t="s">
        <v>148</v>
      </c>
      <c r="W1677" s="247" t="s">
        <v>148</v>
      </c>
      <c r="X1677" s="247" t="s">
        <v>148</v>
      </c>
      <c r="Y1677" s="247" t="s">
        <v>16</v>
      </c>
      <c r="Z1677" s="247" t="s">
        <v>16</v>
      </c>
      <c r="AA1677" s="247" t="s">
        <v>16</v>
      </c>
      <c r="AB1677" s="247" t="s">
        <v>16</v>
      </c>
      <c r="AC1677" s="247" t="s">
        <v>148</v>
      </c>
      <c r="AD1677" s="247" t="s">
        <v>148</v>
      </c>
      <c r="AE1677" s="247" t="s">
        <v>2573</v>
      </c>
    </row>
    <row r="1678" spans="1:32" s="247" customFormat="1" x14ac:dyDescent="0.3">
      <c r="A1678" s="247" t="s">
        <v>2553</v>
      </c>
      <c r="B1678" s="247" t="s">
        <v>14</v>
      </c>
      <c r="C1678" s="247" t="s">
        <v>2580</v>
      </c>
      <c r="D1678" s="247" t="s">
        <v>15</v>
      </c>
      <c r="E1678" s="157">
        <v>42034</v>
      </c>
      <c r="F1678" s="247" t="s">
        <v>16</v>
      </c>
      <c r="G1678" s="247" t="s">
        <v>16</v>
      </c>
      <c r="H1678" s="247" t="s">
        <v>16</v>
      </c>
      <c r="I1678" s="247" t="s">
        <v>16</v>
      </c>
      <c r="J1678" s="247" t="s">
        <v>16</v>
      </c>
      <c r="K1678" s="247" t="s">
        <v>16</v>
      </c>
      <c r="L1678" s="247" t="s">
        <v>16</v>
      </c>
      <c r="M1678" s="247" t="s">
        <v>16</v>
      </c>
      <c r="N1678" s="247" t="s">
        <v>16</v>
      </c>
      <c r="O1678" s="247" t="s">
        <v>16</v>
      </c>
      <c r="P1678" s="247" t="s">
        <v>16</v>
      </c>
      <c r="Q1678" s="247" t="s">
        <v>16</v>
      </c>
      <c r="R1678" s="247" t="s">
        <v>16</v>
      </c>
      <c r="S1678" s="247" t="s">
        <v>16</v>
      </c>
      <c r="T1678" s="247" t="s">
        <v>16</v>
      </c>
      <c r="U1678" s="247" t="s">
        <v>16</v>
      </c>
      <c r="V1678" s="247" t="s">
        <v>16</v>
      </c>
      <c r="W1678" s="247" t="s">
        <v>16</v>
      </c>
      <c r="X1678" s="247" t="s">
        <v>16</v>
      </c>
      <c r="Y1678" s="247" t="s">
        <v>16</v>
      </c>
      <c r="Z1678" s="247" t="s">
        <v>16</v>
      </c>
      <c r="AA1678" s="247" t="s">
        <v>16</v>
      </c>
      <c r="AB1678" s="247" t="s">
        <v>16</v>
      </c>
      <c r="AC1678" s="247" t="s">
        <v>16</v>
      </c>
      <c r="AD1678" s="247" t="s">
        <v>16</v>
      </c>
      <c r="AE1678" s="247" t="s">
        <v>2574</v>
      </c>
    </row>
    <row r="1679" spans="1:32" s="247" customFormat="1" x14ac:dyDescent="0.3">
      <c r="A1679" s="247" t="s">
        <v>2554</v>
      </c>
      <c r="B1679" s="247" t="s">
        <v>14</v>
      </c>
      <c r="C1679" s="247" t="s">
        <v>2580</v>
      </c>
      <c r="D1679" s="247" t="s">
        <v>15</v>
      </c>
      <c r="E1679" s="157">
        <v>42034</v>
      </c>
      <c r="F1679" s="247" t="s">
        <v>16</v>
      </c>
      <c r="G1679" s="247" t="s">
        <v>16</v>
      </c>
      <c r="H1679" s="247" t="s">
        <v>16</v>
      </c>
      <c r="I1679" s="247" t="s">
        <v>16</v>
      </c>
      <c r="J1679" s="247" t="s">
        <v>16</v>
      </c>
      <c r="K1679" s="247" t="s">
        <v>16</v>
      </c>
      <c r="L1679" s="247" t="s">
        <v>16</v>
      </c>
      <c r="M1679" s="247" t="s">
        <v>16</v>
      </c>
      <c r="N1679" s="247" t="s">
        <v>16</v>
      </c>
      <c r="O1679" s="247" t="s">
        <v>16</v>
      </c>
      <c r="P1679" s="247" t="s">
        <v>16</v>
      </c>
      <c r="Q1679" s="247" t="s">
        <v>16</v>
      </c>
      <c r="R1679" s="247" t="s">
        <v>16</v>
      </c>
      <c r="S1679" s="247" t="s">
        <v>16</v>
      </c>
      <c r="T1679" s="247" t="s">
        <v>16</v>
      </c>
      <c r="U1679" s="247" t="s">
        <v>16</v>
      </c>
      <c r="V1679" s="247" t="s">
        <v>16</v>
      </c>
      <c r="W1679" s="247" t="s">
        <v>16</v>
      </c>
      <c r="X1679" s="247" t="s">
        <v>16</v>
      </c>
      <c r="Y1679" s="247" t="s">
        <v>16</v>
      </c>
      <c r="Z1679" s="247" t="s">
        <v>16</v>
      </c>
      <c r="AA1679" s="247" t="s">
        <v>16</v>
      </c>
      <c r="AB1679" s="247" t="s">
        <v>16</v>
      </c>
      <c r="AC1679" s="247" t="s">
        <v>16</v>
      </c>
      <c r="AD1679" s="247" t="s">
        <v>16</v>
      </c>
      <c r="AE1679" s="247" t="s">
        <v>2573</v>
      </c>
      <c r="AF1679" s="247" t="s">
        <v>2575</v>
      </c>
    </row>
    <row r="1680" spans="1:32" s="247" customFormat="1" x14ac:dyDescent="0.3">
      <c r="A1680" s="247" t="s">
        <v>2555</v>
      </c>
      <c r="B1680" s="247" t="s">
        <v>14</v>
      </c>
      <c r="C1680" s="247" t="s">
        <v>2580</v>
      </c>
      <c r="D1680" s="247" t="s">
        <v>15</v>
      </c>
      <c r="E1680" s="157">
        <v>42034</v>
      </c>
      <c r="F1680" s="247" t="s">
        <v>16</v>
      </c>
      <c r="G1680" s="247" t="s">
        <v>16</v>
      </c>
      <c r="H1680" s="247" t="s">
        <v>16</v>
      </c>
      <c r="I1680" s="247" t="s">
        <v>16</v>
      </c>
      <c r="J1680" s="247" t="s">
        <v>16</v>
      </c>
      <c r="K1680" s="247" t="s">
        <v>16</v>
      </c>
      <c r="L1680" s="247" t="s">
        <v>16</v>
      </c>
      <c r="M1680" s="247" t="s">
        <v>16</v>
      </c>
      <c r="N1680" s="247" t="s">
        <v>16</v>
      </c>
      <c r="O1680" s="247" t="s">
        <v>16</v>
      </c>
      <c r="P1680" s="247" t="s">
        <v>16</v>
      </c>
      <c r="Q1680" s="247" t="s">
        <v>16</v>
      </c>
      <c r="R1680" s="247" t="s">
        <v>16</v>
      </c>
      <c r="S1680" s="247" t="s">
        <v>16</v>
      </c>
      <c r="T1680" s="247" t="s">
        <v>16</v>
      </c>
      <c r="U1680" s="247" t="s">
        <v>16</v>
      </c>
      <c r="V1680" s="247" t="s">
        <v>16</v>
      </c>
      <c r="W1680" s="247" t="s">
        <v>16</v>
      </c>
      <c r="X1680" s="247" t="s">
        <v>16</v>
      </c>
      <c r="Y1680" s="247" t="s">
        <v>16</v>
      </c>
      <c r="Z1680" s="247" t="s">
        <v>16</v>
      </c>
      <c r="AA1680" s="247" t="s">
        <v>16</v>
      </c>
      <c r="AB1680" s="247" t="s">
        <v>16</v>
      </c>
      <c r="AC1680" s="247" t="s">
        <v>16</v>
      </c>
      <c r="AD1680" s="247" t="s">
        <v>16</v>
      </c>
      <c r="AE1680" s="247" t="s">
        <v>2568</v>
      </c>
    </row>
    <row r="1681" spans="1:32" s="247" customFormat="1" x14ac:dyDescent="0.3">
      <c r="A1681" s="247" t="s">
        <v>2556</v>
      </c>
      <c r="B1681" s="247" t="s">
        <v>14</v>
      </c>
      <c r="C1681" s="247" t="s">
        <v>2580</v>
      </c>
      <c r="D1681" s="247" t="s">
        <v>15</v>
      </c>
      <c r="E1681" s="157">
        <v>42034</v>
      </c>
      <c r="F1681" s="247" t="s">
        <v>148</v>
      </c>
      <c r="G1681" s="247" t="s">
        <v>148</v>
      </c>
      <c r="H1681" s="247" t="s">
        <v>16</v>
      </c>
      <c r="I1681" s="247" t="s">
        <v>16</v>
      </c>
      <c r="J1681" s="247" t="s">
        <v>148</v>
      </c>
      <c r="K1681" s="247" t="s">
        <v>16</v>
      </c>
      <c r="L1681" s="247" t="s">
        <v>16</v>
      </c>
      <c r="M1681" s="247" t="s">
        <v>148</v>
      </c>
      <c r="N1681" s="247" t="s">
        <v>16</v>
      </c>
      <c r="O1681" s="247" t="s">
        <v>16</v>
      </c>
      <c r="P1681" s="247" t="s">
        <v>148</v>
      </c>
      <c r="Q1681" s="247" t="s">
        <v>16</v>
      </c>
      <c r="R1681" s="247" t="s">
        <v>16</v>
      </c>
      <c r="S1681" s="247" t="s">
        <v>148</v>
      </c>
      <c r="T1681" s="247" t="s">
        <v>16</v>
      </c>
      <c r="U1681" s="247" t="s">
        <v>16</v>
      </c>
      <c r="V1681" s="247" t="s">
        <v>16</v>
      </c>
      <c r="W1681" s="247" t="s">
        <v>148</v>
      </c>
      <c r="X1681" s="247" t="s">
        <v>148</v>
      </c>
      <c r="Y1681" s="247" t="s">
        <v>148</v>
      </c>
      <c r="Z1681" s="247" t="s">
        <v>148</v>
      </c>
      <c r="AA1681" s="247" t="s">
        <v>148</v>
      </c>
      <c r="AB1681" s="247" t="s">
        <v>114</v>
      </c>
      <c r="AC1681" s="247" t="s">
        <v>16</v>
      </c>
      <c r="AD1681" s="247" t="s">
        <v>16</v>
      </c>
      <c r="AE1681" s="247" t="s">
        <v>2572</v>
      </c>
    </row>
    <row r="1682" spans="1:32" s="247" customFormat="1" x14ac:dyDescent="0.3">
      <c r="A1682" s="247" t="s">
        <v>2557</v>
      </c>
      <c r="B1682" s="247" t="s">
        <v>14</v>
      </c>
      <c r="C1682" s="247" t="s">
        <v>2580</v>
      </c>
      <c r="D1682" s="247" t="s">
        <v>15</v>
      </c>
      <c r="E1682" s="157">
        <v>42034</v>
      </c>
      <c r="F1682" s="247" t="s">
        <v>16</v>
      </c>
      <c r="G1682" s="247" t="s">
        <v>16</v>
      </c>
      <c r="H1682" s="247" t="s">
        <v>16</v>
      </c>
      <c r="I1682" s="247" t="s">
        <v>16</v>
      </c>
      <c r="J1682" s="247" t="s">
        <v>16</v>
      </c>
      <c r="K1682" s="247" t="s">
        <v>16</v>
      </c>
      <c r="L1682" s="247" t="s">
        <v>16</v>
      </c>
      <c r="M1682" s="247" t="s">
        <v>16</v>
      </c>
      <c r="N1682" s="247" t="s">
        <v>16</v>
      </c>
      <c r="O1682" s="247" t="s">
        <v>16</v>
      </c>
      <c r="P1682" s="247" t="s">
        <v>16</v>
      </c>
      <c r="Q1682" s="247" t="s">
        <v>16</v>
      </c>
      <c r="R1682" s="247" t="s">
        <v>16</v>
      </c>
      <c r="S1682" s="247" t="s">
        <v>16</v>
      </c>
      <c r="T1682" s="247" t="s">
        <v>16</v>
      </c>
      <c r="U1682" s="247" t="s">
        <v>16</v>
      </c>
      <c r="V1682" s="247" t="s">
        <v>16</v>
      </c>
      <c r="W1682" s="247" t="s">
        <v>16</v>
      </c>
      <c r="X1682" s="247" t="s">
        <v>16</v>
      </c>
      <c r="Y1682" s="247" t="s">
        <v>16</v>
      </c>
      <c r="Z1682" s="247" t="s">
        <v>149</v>
      </c>
      <c r="AA1682" s="247" t="s">
        <v>149</v>
      </c>
      <c r="AB1682" s="247" t="s">
        <v>16</v>
      </c>
      <c r="AC1682" s="247" t="s">
        <v>16</v>
      </c>
      <c r="AD1682" s="247" t="s">
        <v>16</v>
      </c>
      <c r="AE1682" s="247" t="s">
        <v>2569</v>
      </c>
    </row>
    <row r="1683" spans="1:32" s="247" customFormat="1" x14ac:dyDescent="0.3">
      <c r="A1683" s="247" t="s">
        <v>2558</v>
      </c>
      <c r="B1683" s="247" t="s">
        <v>14</v>
      </c>
      <c r="C1683" s="247" t="s">
        <v>2580</v>
      </c>
      <c r="D1683" s="247" t="s">
        <v>15</v>
      </c>
      <c r="E1683" s="157">
        <v>42034</v>
      </c>
      <c r="F1683" s="247" t="s">
        <v>16</v>
      </c>
      <c r="G1683" s="247" t="s">
        <v>148</v>
      </c>
      <c r="H1683" s="247" t="s">
        <v>148</v>
      </c>
      <c r="I1683" s="247" t="s">
        <v>148</v>
      </c>
      <c r="J1683" s="247" t="s">
        <v>148</v>
      </c>
      <c r="K1683" s="247" t="s">
        <v>148</v>
      </c>
      <c r="L1683" s="247" t="s">
        <v>148</v>
      </c>
      <c r="M1683" s="247" t="s">
        <v>148</v>
      </c>
      <c r="N1683" s="247" t="s">
        <v>150</v>
      </c>
      <c r="O1683" s="247" t="s">
        <v>16</v>
      </c>
      <c r="P1683" s="247" t="s">
        <v>150</v>
      </c>
      <c r="Q1683" s="247" t="s">
        <v>148</v>
      </c>
      <c r="R1683" s="247" t="s">
        <v>148</v>
      </c>
      <c r="S1683" s="247" t="s">
        <v>16</v>
      </c>
      <c r="T1683" s="247" t="s">
        <v>148</v>
      </c>
      <c r="U1683" s="247" t="s">
        <v>16</v>
      </c>
      <c r="V1683" s="247" t="s">
        <v>148</v>
      </c>
      <c r="W1683" s="247" t="s">
        <v>148</v>
      </c>
      <c r="X1683" s="247" t="s">
        <v>148</v>
      </c>
      <c r="Y1683" s="247" t="s">
        <v>148</v>
      </c>
      <c r="Z1683" s="247" t="s">
        <v>148</v>
      </c>
      <c r="AA1683" s="247" t="s">
        <v>114</v>
      </c>
      <c r="AB1683" s="247" t="s">
        <v>148</v>
      </c>
      <c r="AC1683" s="247" t="s">
        <v>16</v>
      </c>
      <c r="AD1683" s="247" t="s">
        <v>16</v>
      </c>
      <c r="AE1683" s="247" t="s">
        <v>2573</v>
      </c>
      <c r="AF1683" s="247" t="s">
        <v>2576</v>
      </c>
    </row>
    <row r="1684" spans="1:32" s="247" customFormat="1" x14ac:dyDescent="0.3">
      <c r="A1684" s="247" t="s">
        <v>2559</v>
      </c>
      <c r="B1684" s="247" t="s">
        <v>14</v>
      </c>
      <c r="C1684" s="247" t="s">
        <v>2580</v>
      </c>
      <c r="D1684" s="247" t="s">
        <v>15</v>
      </c>
      <c r="E1684" s="157">
        <v>42034</v>
      </c>
      <c r="F1684" s="247" t="s">
        <v>16</v>
      </c>
      <c r="G1684" s="247" t="s">
        <v>16</v>
      </c>
      <c r="H1684" s="247" t="s">
        <v>16</v>
      </c>
      <c r="I1684" s="247" t="s">
        <v>148</v>
      </c>
      <c r="J1684" s="247" t="s">
        <v>16</v>
      </c>
      <c r="K1684" s="247" t="s">
        <v>149</v>
      </c>
      <c r="L1684" s="247" t="s">
        <v>149</v>
      </c>
      <c r="M1684" s="247" t="s">
        <v>148</v>
      </c>
      <c r="N1684" s="247" t="s">
        <v>148</v>
      </c>
      <c r="O1684" s="247" t="s">
        <v>16</v>
      </c>
      <c r="P1684" s="247" t="s">
        <v>16</v>
      </c>
      <c r="Q1684" s="247" t="s">
        <v>16</v>
      </c>
      <c r="R1684" s="247" t="s">
        <v>16</v>
      </c>
      <c r="S1684" s="247" t="s">
        <v>16</v>
      </c>
      <c r="T1684" s="247" t="s">
        <v>148</v>
      </c>
      <c r="U1684" s="247" t="s">
        <v>149</v>
      </c>
      <c r="V1684" s="247" t="s">
        <v>148</v>
      </c>
      <c r="W1684" s="247" t="s">
        <v>16</v>
      </c>
      <c r="X1684" s="247" t="s">
        <v>16</v>
      </c>
      <c r="Y1684" s="247" t="s">
        <v>16</v>
      </c>
      <c r="Z1684" s="247" t="s">
        <v>16</v>
      </c>
      <c r="AA1684" s="247" t="s">
        <v>16</v>
      </c>
      <c r="AB1684" s="247" t="s">
        <v>148</v>
      </c>
      <c r="AC1684" s="247" t="s">
        <v>148</v>
      </c>
      <c r="AD1684" s="247" t="s">
        <v>16</v>
      </c>
      <c r="AE1684" s="247" t="s">
        <v>2577</v>
      </c>
    </row>
    <row r="1685" spans="1:32" s="247" customFormat="1" x14ac:dyDescent="0.3">
      <c r="A1685" s="247" t="s">
        <v>2560</v>
      </c>
      <c r="B1685" s="247" t="s">
        <v>14</v>
      </c>
      <c r="C1685" s="247" t="s">
        <v>2580</v>
      </c>
      <c r="D1685" s="247" t="s">
        <v>15</v>
      </c>
      <c r="E1685" s="157">
        <v>42034</v>
      </c>
      <c r="F1685" s="247" t="s">
        <v>149</v>
      </c>
      <c r="G1685" s="247" t="s">
        <v>151</v>
      </c>
      <c r="H1685" s="247" t="s">
        <v>151</v>
      </c>
      <c r="I1685" s="247" t="s">
        <v>149</v>
      </c>
      <c r="J1685" s="247" t="s">
        <v>149</v>
      </c>
      <c r="K1685" s="247" t="s">
        <v>149</v>
      </c>
      <c r="L1685" s="247" t="s">
        <v>149</v>
      </c>
      <c r="M1685" s="247" t="s">
        <v>149</v>
      </c>
      <c r="N1685" s="247" t="s">
        <v>148</v>
      </c>
      <c r="O1685" s="247" t="s">
        <v>16</v>
      </c>
      <c r="P1685" s="247" t="s">
        <v>149</v>
      </c>
      <c r="Q1685" s="247" t="s">
        <v>149</v>
      </c>
      <c r="R1685" s="247" t="s">
        <v>149</v>
      </c>
      <c r="S1685" s="247" t="s">
        <v>151</v>
      </c>
      <c r="T1685" s="247" t="s">
        <v>151</v>
      </c>
      <c r="U1685" s="247" t="s">
        <v>151</v>
      </c>
      <c r="V1685" s="247" t="s">
        <v>151</v>
      </c>
      <c r="W1685" s="247" t="s">
        <v>16</v>
      </c>
      <c r="X1685" s="247" t="s">
        <v>16</v>
      </c>
      <c r="Y1685" s="247" t="s">
        <v>151</v>
      </c>
      <c r="Z1685" s="247" t="s">
        <v>151</v>
      </c>
      <c r="AA1685" s="247" t="s">
        <v>151</v>
      </c>
      <c r="AB1685" s="247" t="s">
        <v>150</v>
      </c>
      <c r="AC1685" s="247" t="s">
        <v>150</v>
      </c>
      <c r="AD1685" s="247" t="s">
        <v>148</v>
      </c>
      <c r="AE1685" s="247" t="s">
        <v>2569</v>
      </c>
    </row>
    <row r="1686" spans="1:32" s="247" customFormat="1" x14ac:dyDescent="0.3">
      <c r="A1686" s="247" t="s">
        <v>2561</v>
      </c>
      <c r="B1686" s="247" t="s">
        <v>14</v>
      </c>
      <c r="C1686" s="247" t="s">
        <v>2580</v>
      </c>
      <c r="D1686" s="247" t="s">
        <v>15</v>
      </c>
      <c r="E1686" s="157">
        <v>42034</v>
      </c>
      <c r="F1686" s="247" t="s">
        <v>149</v>
      </c>
      <c r="G1686" s="247" t="s">
        <v>149</v>
      </c>
      <c r="H1686" s="247" t="s">
        <v>149</v>
      </c>
      <c r="I1686" s="247" t="s">
        <v>16</v>
      </c>
      <c r="J1686" s="247" t="s">
        <v>16</v>
      </c>
      <c r="K1686" s="247" t="s">
        <v>149</v>
      </c>
      <c r="L1686" s="247" t="s">
        <v>149</v>
      </c>
      <c r="M1686" s="247" t="s">
        <v>149</v>
      </c>
      <c r="N1686" s="247" t="s">
        <v>149</v>
      </c>
      <c r="O1686" s="247" t="s">
        <v>16</v>
      </c>
      <c r="P1686" s="247" t="s">
        <v>16</v>
      </c>
      <c r="Q1686" s="247" t="s">
        <v>16</v>
      </c>
      <c r="R1686" s="247" t="s">
        <v>149</v>
      </c>
      <c r="S1686" s="247" t="s">
        <v>16</v>
      </c>
      <c r="T1686" s="247" t="s">
        <v>149</v>
      </c>
      <c r="U1686" s="247" t="s">
        <v>16</v>
      </c>
      <c r="V1686" s="247" t="s">
        <v>149</v>
      </c>
      <c r="W1686" s="247" t="s">
        <v>16</v>
      </c>
      <c r="X1686" s="247" t="s">
        <v>16</v>
      </c>
      <c r="Y1686" s="247" t="s">
        <v>149</v>
      </c>
      <c r="Z1686" s="247" t="s">
        <v>149</v>
      </c>
      <c r="AA1686" s="247" t="s">
        <v>16</v>
      </c>
      <c r="AB1686" s="247" t="s">
        <v>148</v>
      </c>
      <c r="AC1686" s="247" t="s">
        <v>16</v>
      </c>
      <c r="AD1686" s="247" t="s">
        <v>16</v>
      </c>
      <c r="AE1686" s="247" t="s">
        <v>2573</v>
      </c>
      <c r="AF1686" s="247" t="s">
        <v>2578</v>
      </c>
    </row>
    <row r="1687" spans="1:32" s="247" customFormat="1" x14ac:dyDescent="0.3">
      <c r="A1687" s="247" t="s">
        <v>2562</v>
      </c>
      <c r="B1687" s="247" t="s">
        <v>14</v>
      </c>
      <c r="C1687" s="247" t="s">
        <v>2580</v>
      </c>
      <c r="D1687" s="247" t="s">
        <v>15</v>
      </c>
      <c r="E1687" s="157">
        <v>42034</v>
      </c>
      <c r="F1687" s="247" t="s">
        <v>148</v>
      </c>
      <c r="G1687" s="247" t="s">
        <v>16</v>
      </c>
      <c r="H1687" s="247" t="s">
        <v>16</v>
      </c>
      <c r="I1687" s="247" t="s">
        <v>16</v>
      </c>
      <c r="J1687" s="247" t="s">
        <v>16</v>
      </c>
      <c r="K1687" s="247" t="s">
        <v>16</v>
      </c>
      <c r="L1687" s="247" t="s">
        <v>16</v>
      </c>
      <c r="M1687" s="247" t="s">
        <v>16</v>
      </c>
      <c r="N1687" s="247" t="s">
        <v>16</v>
      </c>
      <c r="O1687" s="247" t="s">
        <v>16</v>
      </c>
      <c r="P1687" s="247" t="s">
        <v>16</v>
      </c>
      <c r="Q1687" s="247" t="s">
        <v>16</v>
      </c>
      <c r="R1687" s="247" t="s">
        <v>16</v>
      </c>
      <c r="S1687" s="247" t="s">
        <v>16</v>
      </c>
      <c r="T1687" s="247" t="s">
        <v>16</v>
      </c>
      <c r="U1687" s="247" t="s">
        <v>16</v>
      </c>
      <c r="V1687" s="247" t="s">
        <v>16</v>
      </c>
      <c r="W1687" s="247" t="s">
        <v>16</v>
      </c>
      <c r="X1687" s="247" t="s">
        <v>16</v>
      </c>
      <c r="Y1687" s="247" t="s">
        <v>16</v>
      </c>
      <c r="Z1687" s="247" t="s">
        <v>16</v>
      </c>
      <c r="AA1687" s="247" t="s">
        <v>16</v>
      </c>
      <c r="AB1687" s="247" t="s">
        <v>16</v>
      </c>
      <c r="AC1687" s="247" t="s">
        <v>16</v>
      </c>
      <c r="AD1687" s="247" t="s">
        <v>16</v>
      </c>
      <c r="AE1687" s="247" t="s">
        <v>2573</v>
      </c>
    </row>
    <row r="1688" spans="1:32" s="247" customFormat="1" x14ac:dyDescent="0.3">
      <c r="A1688" s="247" t="s">
        <v>2563</v>
      </c>
      <c r="B1688" s="247" t="s">
        <v>14</v>
      </c>
      <c r="C1688" s="247" t="s">
        <v>2580</v>
      </c>
      <c r="D1688" s="247" t="s">
        <v>15</v>
      </c>
      <c r="E1688" s="157">
        <v>42034</v>
      </c>
      <c r="F1688" s="247" t="s">
        <v>16</v>
      </c>
      <c r="G1688" s="247" t="s">
        <v>16</v>
      </c>
      <c r="H1688" s="247" t="s">
        <v>16</v>
      </c>
      <c r="I1688" s="247" t="s">
        <v>150</v>
      </c>
      <c r="J1688" s="247" t="s">
        <v>16</v>
      </c>
      <c r="K1688" s="247" t="s">
        <v>16</v>
      </c>
      <c r="L1688" s="247" t="s">
        <v>16</v>
      </c>
      <c r="M1688" s="247" t="s">
        <v>16</v>
      </c>
      <c r="N1688" s="247" t="s">
        <v>150</v>
      </c>
      <c r="O1688" s="247" t="s">
        <v>16</v>
      </c>
      <c r="P1688" s="247" t="s">
        <v>16</v>
      </c>
      <c r="Q1688" s="247" t="s">
        <v>16</v>
      </c>
      <c r="R1688" s="247" t="s">
        <v>16</v>
      </c>
      <c r="S1688" s="247" t="s">
        <v>16</v>
      </c>
      <c r="T1688" s="247" t="s">
        <v>16</v>
      </c>
      <c r="U1688" s="247" t="s">
        <v>16</v>
      </c>
      <c r="V1688" s="247" t="s">
        <v>16</v>
      </c>
      <c r="W1688" s="247" t="s">
        <v>16</v>
      </c>
      <c r="X1688" s="247" t="s">
        <v>150</v>
      </c>
      <c r="Y1688" s="247" t="s">
        <v>16</v>
      </c>
      <c r="Z1688" s="247" t="s">
        <v>16</v>
      </c>
      <c r="AA1688" s="247" t="s">
        <v>16</v>
      </c>
      <c r="AB1688" s="247" t="s">
        <v>16</v>
      </c>
      <c r="AC1688" s="247" t="s">
        <v>16</v>
      </c>
      <c r="AD1688" s="247" t="s">
        <v>16</v>
      </c>
      <c r="AE1688" s="247" t="s">
        <v>2568</v>
      </c>
    </row>
    <row r="1689" spans="1:32" s="247" customFormat="1" x14ac:dyDescent="0.3">
      <c r="A1689" s="247" t="s">
        <v>2564</v>
      </c>
      <c r="B1689" s="247" t="s">
        <v>14</v>
      </c>
      <c r="C1689" s="247" t="s">
        <v>2580</v>
      </c>
      <c r="D1689" s="247" t="s">
        <v>15</v>
      </c>
      <c r="E1689" s="157">
        <v>42034</v>
      </c>
      <c r="F1689" s="247" t="s">
        <v>16</v>
      </c>
      <c r="G1689" s="247" t="s">
        <v>16</v>
      </c>
      <c r="H1689" s="247" t="s">
        <v>16</v>
      </c>
      <c r="I1689" s="247" t="s">
        <v>16</v>
      </c>
      <c r="J1689" s="247" t="s">
        <v>16</v>
      </c>
      <c r="K1689" s="247" t="s">
        <v>16</v>
      </c>
      <c r="L1689" s="247" t="s">
        <v>16</v>
      </c>
      <c r="M1689" s="247" t="s">
        <v>16</v>
      </c>
      <c r="N1689" s="247" t="s">
        <v>148</v>
      </c>
      <c r="O1689" s="247" t="s">
        <v>16</v>
      </c>
      <c r="P1689" s="247" t="s">
        <v>16</v>
      </c>
      <c r="Q1689" s="247" t="s">
        <v>16</v>
      </c>
      <c r="R1689" s="247" t="s">
        <v>16</v>
      </c>
      <c r="S1689" s="247" t="s">
        <v>148</v>
      </c>
      <c r="T1689" s="247" t="s">
        <v>16</v>
      </c>
      <c r="U1689" s="247" t="s">
        <v>16</v>
      </c>
      <c r="V1689" s="247" t="s">
        <v>16</v>
      </c>
      <c r="W1689" s="247" t="s">
        <v>16</v>
      </c>
      <c r="X1689" s="247" t="s">
        <v>16</v>
      </c>
      <c r="Y1689" s="247" t="s">
        <v>16</v>
      </c>
      <c r="Z1689" s="247" t="s">
        <v>16</v>
      </c>
      <c r="AA1689" s="247" t="s">
        <v>16</v>
      </c>
      <c r="AB1689" s="247" t="s">
        <v>16</v>
      </c>
      <c r="AC1689" s="247" t="s">
        <v>16</v>
      </c>
      <c r="AD1689" s="247" t="s">
        <v>16</v>
      </c>
      <c r="AE1689" s="247" t="s">
        <v>2573</v>
      </c>
    </row>
    <row r="1690" spans="1:32" s="247" customFormat="1" x14ac:dyDescent="0.3">
      <c r="A1690" s="247" t="s">
        <v>2565</v>
      </c>
      <c r="B1690" s="247" t="s">
        <v>14</v>
      </c>
      <c r="C1690" s="247" t="s">
        <v>2580</v>
      </c>
      <c r="D1690" s="247" t="s">
        <v>15</v>
      </c>
      <c r="E1690" s="157">
        <v>42034</v>
      </c>
      <c r="F1690" s="247" t="s">
        <v>16</v>
      </c>
      <c r="G1690" s="247" t="s">
        <v>16</v>
      </c>
      <c r="H1690" s="247" t="s">
        <v>16</v>
      </c>
      <c r="I1690" s="247" t="s">
        <v>16</v>
      </c>
      <c r="J1690" s="247" t="s">
        <v>16</v>
      </c>
      <c r="K1690" s="247" t="s">
        <v>16</v>
      </c>
      <c r="L1690" s="247" t="s">
        <v>16</v>
      </c>
      <c r="M1690" s="247" t="s">
        <v>16</v>
      </c>
      <c r="N1690" s="247" t="s">
        <v>148</v>
      </c>
      <c r="O1690" s="247" t="s">
        <v>16</v>
      </c>
      <c r="P1690" s="247" t="s">
        <v>148</v>
      </c>
      <c r="Q1690" s="247" t="s">
        <v>16</v>
      </c>
      <c r="R1690" s="247" t="s">
        <v>16</v>
      </c>
      <c r="S1690" s="247" t="s">
        <v>16</v>
      </c>
      <c r="T1690" s="247" t="s">
        <v>16</v>
      </c>
      <c r="U1690" s="247" t="s">
        <v>16</v>
      </c>
      <c r="V1690" s="247" t="s">
        <v>16</v>
      </c>
      <c r="W1690" s="247" t="s">
        <v>16</v>
      </c>
      <c r="X1690" s="247" t="s">
        <v>16</v>
      </c>
      <c r="Y1690" s="247" t="s">
        <v>16</v>
      </c>
      <c r="Z1690" s="247" t="s">
        <v>16</v>
      </c>
      <c r="AA1690" s="247" t="s">
        <v>16</v>
      </c>
      <c r="AB1690" s="247" t="s">
        <v>16</v>
      </c>
      <c r="AC1690" s="247" t="s">
        <v>16</v>
      </c>
      <c r="AD1690" s="247" t="s">
        <v>148</v>
      </c>
      <c r="AE1690" s="247" t="s">
        <v>2568</v>
      </c>
    </row>
    <row r="1691" spans="1:32" x14ac:dyDescent="0.3">
      <c r="A1691" s="247" t="s">
        <v>2566</v>
      </c>
      <c r="B1691" s="247" t="s">
        <v>14</v>
      </c>
      <c r="C1691" s="247" t="s">
        <v>2580</v>
      </c>
      <c r="D1691" s="247" t="s">
        <v>15</v>
      </c>
      <c r="E1691" s="157">
        <v>42034</v>
      </c>
      <c r="F1691" s="247" t="s">
        <v>16</v>
      </c>
      <c r="G1691" s="247" t="s">
        <v>16</v>
      </c>
      <c r="H1691" s="247" t="s">
        <v>16</v>
      </c>
      <c r="I1691" s="247" t="s">
        <v>148</v>
      </c>
      <c r="J1691" s="247" t="s">
        <v>16</v>
      </c>
      <c r="K1691" s="247" t="s">
        <v>16</v>
      </c>
      <c r="L1691" s="247" t="s">
        <v>16</v>
      </c>
      <c r="M1691" s="247" t="s">
        <v>16</v>
      </c>
      <c r="N1691" s="247" t="s">
        <v>148</v>
      </c>
      <c r="O1691" s="247" t="s">
        <v>16</v>
      </c>
      <c r="P1691" s="247" t="s">
        <v>148</v>
      </c>
      <c r="Q1691" s="247" t="s">
        <v>16</v>
      </c>
      <c r="R1691" s="247" t="s">
        <v>16</v>
      </c>
      <c r="S1691" s="247" t="s">
        <v>148</v>
      </c>
      <c r="T1691" s="247" t="s">
        <v>16</v>
      </c>
      <c r="U1691" s="247" t="s">
        <v>16</v>
      </c>
      <c r="V1691" s="247" t="s">
        <v>16</v>
      </c>
      <c r="W1691" s="247" t="s">
        <v>16</v>
      </c>
      <c r="X1691" s="247" t="s">
        <v>16</v>
      </c>
      <c r="Y1691" s="247" t="s">
        <v>16</v>
      </c>
      <c r="Z1691" s="247" t="s">
        <v>16</v>
      </c>
      <c r="AA1691" s="247" t="s">
        <v>16</v>
      </c>
      <c r="AB1691" s="247" t="s">
        <v>16</v>
      </c>
      <c r="AC1691" s="247" t="s">
        <v>16</v>
      </c>
      <c r="AD1691" s="247" t="s">
        <v>16</v>
      </c>
      <c r="AE1691" s="247" t="s">
        <v>2573</v>
      </c>
      <c r="AF1691" s="247"/>
    </row>
    <row r="1692" spans="1:32" x14ac:dyDescent="0.3">
      <c r="A1692" s="247" t="s">
        <v>2567</v>
      </c>
      <c r="B1692" s="247" t="s">
        <v>14</v>
      </c>
      <c r="C1692" s="247" t="s">
        <v>2580</v>
      </c>
      <c r="D1692" s="247" t="s">
        <v>15</v>
      </c>
      <c r="E1692" s="157">
        <v>42034</v>
      </c>
      <c r="F1692" s="247" t="s">
        <v>16</v>
      </c>
      <c r="G1692" s="247" t="s">
        <v>148</v>
      </c>
      <c r="H1692" s="247" t="s">
        <v>16</v>
      </c>
      <c r="I1692" s="247" t="s">
        <v>16</v>
      </c>
      <c r="J1692" s="247" t="s">
        <v>148</v>
      </c>
      <c r="K1692" s="247" t="s">
        <v>16</v>
      </c>
      <c r="L1692" s="247" t="s">
        <v>16</v>
      </c>
      <c r="M1692" s="247" t="s">
        <v>16</v>
      </c>
      <c r="N1692" s="247" t="s">
        <v>148</v>
      </c>
      <c r="O1692" s="247" t="s">
        <v>16</v>
      </c>
      <c r="P1692" s="247" t="s">
        <v>148</v>
      </c>
      <c r="Q1692" s="247" t="s">
        <v>16</v>
      </c>
      <c r="R1692" s="247" t="s">
        <v>16</v>
      </c>
      <c r="S1692" s="247" t="s">
        <v>16</v>
      </c>
      <c r="T1692" s="247" t="s">
        <v>16</v>
      </c>
      <c r="U1692" s="247" t="s">
        <v>148</v>
      </c>
      <c r="V1692" s="247" t="s">
        <v>16</v>
      </c>
      <c r="W1692" s="247" t="s">
        <v>16</v>
      </c>
      <c r="X1692" s="247" t="s">
        <v>16</v>
      </c>
      <c r="Y1692" s="247" t="s">
        <v>16</v>
      </c>
      <c r="Z1692" s="247" t="s">
        <v>16</v>
      </c>
      <c r="AA1692" s="247" t="s">
        <v>16</v>
      </c>
      <c r="AB1692" s="247" t="s">
        <v>16</v>
      </c>
      <c r="AC1692" s="247" t="s">
        <v>16</v>
      </c>
      <c r="AD1692" s="247" t="s">
        <v>16</v>
      </c>
      <c r="AE1692" s="247" t="s">
        <v>2573</v>
      </c>
      <c r="AF1692" s="247"/>
    </row>
    <row r="1695" spans="1:32" x14ac:dyDescent="0.3">
      <c r="A1695" s="247"/>
      <c r="B1695" s="247"/>
      <c r="C1695" s="247"/>
      <c r="D1695" s="247"/>
      <c r="E1695" s="247"/>
      <c r="F1695" s="247" t="s">
        <v>124</v>
      </c>
      <c r="G1695" s="247" t="s">
        <v>125</v>
      </c>
      <c r="H1695" s="247" t="s">
        <v>126</v>
      </c>
      <c r="I1695" s="247" t="s">
        <v>127</v>
      </c>
      <c r="J1695" s="247" t="s">
        <v>214</v>
      </c>
      <c r="K1695" s="247" t="s">
        <v>128</v>
      </c>
      <c r="L1695" s="247" t="s">
        <v>129</v>
      </c>
      <c r="M1695" s="247" t="s">
        <v>130</v>
      </c>
      <c r="N1695" s="247" t="s">
        <v>131</v>
      </c>
      <c r="O1695" s="247" t="s">
        <v>132</v>
      </c>
      <c r="P1695" s="247" t="s">
        <v>133</v>
      </c>
      <c r="Q1695" s="247" t="s">
        <v>134</v>
      </c>
      <c r="R1695" s="247" t="s">
        <v>135</v>
      </c>
      <c r="S1695" s="247" t="s">
        <v>136</v>
      </c>
      <c r="T1695" s="247" t="s">
        <v>137</v>
      </c>
      <c r="U1695" s="247" t="s">
        <v>138</v>
      </c>
      <c r="V1695" s="247" t="s">
        <v>139</v>
      </c>
      <c r="W1695" s="247" t="s">
        <v>140</v>
      </c>
      <c r="X1695" s="247" t="s">
        <v>186</v>
      </c>
      <c r="Y1695" s="247" t="s">
        <v>209</v>
      </c>
      <c r="Z1695" s="247" t="s">
        <v>141</v>
      </c>
      <c r="AA1695" s="247" t="s">
        <v>142</v>
      </c>
      <c r="AB1695" s="247" t="s">
        <v>210</v>
      </c>
      <c r="AC1695" s="247" t="s">
        <v>1180</v>
      </c>
      <c r="AD1695" s="247" t="s">
        <v>144</v>
      </c>
      <c r="AE1695" s="247" t="s">
        <v>2589</v>
      </c>
    </row>
    <row r="1696" spans="1:32" x14ac:dyDescent="0.3">
      <c r="A1696" s="247" t="s">
        <v>2615</v>
      </c>
      <c r="B1696" s="247" t="s">
        <v>14</v>
      </c>
      <c r="C1696" s="247" t="s">
        <v>2591</v>
      </c>
      <c r="D1696" s="247" t="s">
        <v>15</v>
      </c>
      <c r="E1696" s="157">
        <v>42062</v>
      </c>
      <c r="F1696" s="247" t="s">
        <v>16</v>
      </c>
      <c r="G1696" s="247" t="s">
        <v>16</v>
      </c>
      <c r="H1696" s="247" t="s">
        <v>16</v>
      </c>
      <c r="I1696" s="247" t="s">
        <v>16</v>
      </c>
      <c r="J1696" s="247" t="s">
        <v>16</v>
      </c>
      <c r="K1696" s="247" t="s">
        <v>149</v>
      </c>
      <c r="L1696" s="247" t="s">
        <v>149</v>
      </c>
      <c r="M1696" s="247" t="s">
        <v>16</v>
      </c>
      <c r="N1696" s="247" t="s">
        <v>16</v>
      </c>
      <c r="O1696" s="247" t="s">
        <v>16</v>
      </c>
      <c r="P1696" s="247" t="s">
        <v>16</v>
      </c>
      <c r="Q1696" s="247" t="s">
        <v>16</v>
      </c>
      <c r="R1696" s="247" t="s">
        <v>16</v>
      </c>
      <c r="S1696" s="247" t="s">
        <v>16</v>
      </c>
      <c r="T1696" s="247" t="s">
        <v>16</v>
      </c>
      <c r="U1696" s="247" t="s">
        <v>16</v>
      </c>
      <c r="V1696" s="247" t="s">
        <v>16</v>
      </c>
      <c r="W1696" s="247" t="s">
        <v>16</v>
      </c>
      <c r="X1696" s="247" t="s">
        <v>16</v>
      </c>
      <c r="Y1696" s="247" t="s">
        <v>16</v>
      </c>
      <c r="Z1696" s="247" t="s">
        <v>16</v>
      </c>
      <c r="AA1696" s="247" t="s">
        <v>16</v>
      </c>
      <c r="AB1696" s="247" t="s">
        <v>16</v>
      </c>
      <c r="AC1696" s="247" t="s">
        <v>16</v>
      </c>
      <c r="AD1696" s="247" t="s">
        <v>16</v>
      </c>
      <c r="AE1696" s="247" t="s">
        <v>2600</v>
      </c>
    </row>
    <row r="1697" spans="1:31" x14ac:dyDescent="0.3">
      <c r="A1697" s="247" t="s">
        <v>2616</v>
      </c>
      <c r="B1697" s="247" t="s">
        <v>14</v>
      </c>
      <c r="C1697" s="247" t="s">
        <v>2591</v>
      </c>
      <c r="D1697" s="247" t="s">
        <v>15</v>
      </c>
      <c r="E1697" s="157">
        <v>42062</v>
      </c>
      <c r="F1697" s="247" t="s">
        <v>151</v>
      </c>
      <c r="G1697" s="247" t="s">
        <v>151</v>
      </c>
      <c r="H1697" s="247" t="s">
        <v>151</v>
      </c>
      <c r="I1697" s="247" t="s">
        <v>151</v>
      </c>
      <c r="J1697" s="247" t="s">
        <v>149</v>
      </c>
      <c r="K1697" s="247" t="s">
        <v>151</v>
      </c>
      <c r="L1697" s="247" t="s">
        <v>151</v>
      </c>
      <c r="M1697" s="247" t="s">
        <v>151</v>
      </c>
      <c r="N1697" s="247" t="s">
        <v>148</v>
      </c>
      <c r="O1697" s="247" t="s">
        <v>151</v>
      </c>
      <c r="P1697" s="247" t="s">
        <v>16</v>
      </c>
      <c r="Q1697" s="247" t="s">
        <v>16</v>
      </c>
      <c r="R1697" s="247" t="s">
        <v>151</v>
      </c>
      <c r="S1697" s="247" t="s">
        <v>151</v>
      </c>
      <c r="T1697" s="247" t="s">
        <v>151</v>
      </c>
      <c r="U1697" s="247" t="s">
        <v>151</v>
      </c>
      <c r="V1697" s="247" t="s">
        <v>151</v>
      </c>
      <c r="W1697" s="247" t="s">
        <v>151</v>
      </c>
      <c r="X1697" s="247" t="s">
        <v>151</v>
      </c>
      <c r="Y1697" s="247" t="s">
        <v>151</v>
      </c>
      <c r="Z1697" s="247" t="s">
        <v>151</v>
      </c>
      <c r="AA1697" s="247" t="s">
        <v>151</v>
      </c>
      <c r="AB1697" s="247" t="s">
        <v>148</v>
      </c>
      <c r="AC1697" s="247" t="s">
        <v>150</v>
      </c>
      <c r="AD1697" s="247" t="s">
        <v>148</v>
      </c>
      <c r="AE1697" s="247" t="s">
        <v>2592</v>
      </c>
    </row>
    <row r="1698" spans="1:31" x14ac:dyDescent="0.3">
      <c r="A1698" s="247" t="s">
        <v>2590</v>
      </c>
      <c r="B1698" s="247" t="s">
        <v>14</v>
      </c>
      <c r="C1698" s="247" t="s">
        <v>2591</v>
      </c>
      <c r="D1698" s="247" t="s">
        <v>15</v>
      </c>
      <c r="E1698" s="157">
        <v>42062</v>
      </c>
      <c r="F1698" s="247" t="s">
        <v>16</v>
      </c>
      <c r="G1698" s="247" t="s">
        <v>16</v>
      </c>
      <c r="H1698" s="247" t="s">
        <v>16</v>
      </c>
      <c r="I1698" s="247" t="s">
        <v>16</v>
      </c>
      <c r="J1698" s="247" t="s">
        <v>16</v>
      </c>
      <c r="K1698" s="247" t="s">
        <v>16</v>
      </c>
      <c r="L1698" s="247" t="s">
        <v>16</v>
      </c>
      <c r="M1698" s="247" t="s">
        <v>16</v>
      </c>
      <c r="N1698" s="247" t="s">
        <v>16</v>
      </c>
      <c r="O1698" s="247" t="s">
        <v>16</v>
      </c>
      <c r="P1698" s="247" t="s">
        <v>16</v>
      </c>
      <c r="Q1698" s="247" t="s">
        <v>16</v>
      </c>
      <c r="R1698" s="247" t="s">
        <v>16</v>
      </c>
      <c r="S1698" s="247" t="s">
        <v>16</v>
      </c>
      <c r="T1698" s="247" t="s">
        <v>16</v>
      </c>
      <c r="U1698" s="247" t="s">
        <v>16</v>
      </c>
      <c r="V1698" s="247" t="s">
        <v>16</v>
      </c>
      <c r="W1698" s="247" t="s">
        <v>16</v>
      </c>
      <c r="X1698" s="247" t="s">
        <v>16</v>
      </c>
      <c r="Y1698" s="247" t="s">
        <v>16</v>
      </c>
      <c r="Z1698" s="247" t="s">
        <v>16</v>
      </c>
      <c r="AA1698" s="247" t="s">
        <v>16</v>
      </c>
      <c r="AB1698" s="247" t="s">
        <v>16</v>
      </c>
      <c r="AC1698" s="247" t="s">
        <v>16</v>
      </c>
      <c r="AD1698" s="247" t="s">
        <v>16</v>
      </c>
      <c r="AE1698" s="247" t="s">
        <v>2592</v>
      </c>
    </row>
    <row r="1699" spans="1:31" x14ac:dyDescent="0.3">
      <c r="A1699" s="247" t="s">
        <v>2593</v>
      </c>
      <c r="B1699" s="247" t="s">
        <v>14</v>
      </c>
      <c r="C1699" s="247" t="s">
        <v>2591</v>
      </c>
      <c r="D1699" s="247" t="s">
        <v>15</v>
      </c>
      <c r="E1699" s="157">
        <v>42062</v>
      </c>
      <c r="F1699" s="247" t="s">
        <v>16</v>
      </c>
      <c r="G1699" s="247" t="s">
        <v>16</v>
      </c>
      <c r="H1699" s="247" t="s">
        <v>16</v>
      </c>
      <c r="I1699" s="247" t="s">
        <v>16</v>
      </c>
      <c r="J1699" s="247" t="s">
        <v>16</v>
      </c>
      <c r="K1699" s="247" t="s">
        <v>16</v>
      </c>
      <c r="L1699" s="247" t="s">
        <v>16</v>
      </c>
      <c r="M1699" s="247" t="s">
        <v>16</v>
      </c>
      <c r="N1699" s="247" t="s">
        <v>16</v>
      </c>
      <c r="O1699" s="247" t="s">
        <v>16</v>
      </c>
      <c r="P1699" s="247" t="s">
        <v>16</v>
      </c>
      <c r="Q1699" s="247" t="s">
        <v>16</v>
      </c>
      <c r="R1699" s="247" t="s">
        <v>16</v>
      </c>
      <c r="S1699" s="247" t="s">
        <v>16</v>
      </c>
      <c r="T1699" s="247" t="s">
        <v>16</v>
      </c>
      <c r="U1699" s="247" t="s">
        <v>16</v>
      </c>
      <c r="V1699" s="247" t="s">
        <v>16</v>
      </c>
      <c r="W1699" s="247" t="s">
        <v>16</v>
      </c>
      <c r="X1699" s="247" t="s">
        <v>16</v>
      </c>
      <c r="Y1699" s="247" t="s">
        <v>16</v>
      </c>
      <c r="Z1699" s="247" t="s">
        <v>16</v>
      </c>
      <c r="AA1699" s="247" t="s">
        <v>16</v>
      </c>
      <c r="AB1699" s="247" t="s">
        <v>16</v>
      </c>
      <c r="AC1699" s="247" t="s">
        <v>16</v>
      </c>
      <c r="AD1699" s="247" t="s">
        <v>16</v>
      </c>
      <c r="AE1699" s="247" t="s">
        <v>2594</v>
      </c>
    </row>
    <row r="1700" spans="1:31" x14ac:dyDescent="0.3">
      <c r="A1700" s="247" t="s">
        <v>2595</v>
      </c>
      <c r="B1700" s="247" t="s">
        <v>14</v>
      </c>
      <c r="C1700" s="247" t="s">
        <v>2591</v>
      </c>
      <c r="D1700" s="247" t="s">
        <v>15</v>
      </c>
      <c r="E1700" s="157">
        <v>42062</v>
      </c>
      <c r="F1700" s="247" t="s">
        <v>148</v>
      </c>
      <c r="G1700" s="247" t="s">
        <v>16</v>
      </c>
      <c r="H1700" s="247" t="s">
        <v>16</v>
      </c>
      <c r="I1700" s="247" t="s">
        <v>148</v>
      </c>
      <c r="J1700" s="247" t="s">
        <v>148</v>
      </c>
      <c r="K1700" s="247" t="s">
        <v>16</v>
      </c>
      <c r="L1700" s="247" t="s">
        <v>148</v>
      </c>
      <c r="M1700" s="247" t="s">
        <v>148</v>
      </c>
      <c r="N1700" s="247" t="s">
        <v>16</v>
      </c>
      <c r="O1700" s="247" t="s">
        <v>148</v>
      </c>
      <c r="P1700" s="247" t="s">
        <v>148</v>
      </c>
      <c r="Q1700" s="247" t="s">
        <v>148</v>
      </c>
      <c r="R1700" s="247" t="s">
        <v>16</v>
      </c>
      <c r="S1700" s="247" t="s">
        <v>148</v>
      </c>
      <c r="T1700" s="247" t="s">
        <v>16</v>
      </c>
      <c r="U1700" s="247" t="s">
        <v>16</v>
      </c>
      <c r="V1700" s="247" t="s">
        <v>16</v>
      </c>
      <c r="W1700" s="247" t="s">
        <v>16</v>
      </c>
      <c r="X1700" s="247" t="s">
        <v>148</v>
      </c>
      <c r="Y1700" s="247" t="s">
        <v>148</v>
      </c>
      <c r="Z1700" s="247" t="s">
        <v>148</v>
      </c>
      <c r="AA1700" s="247" t="s">
        <v>148</v>
      </c>
      <c r="AB1700" s="247" t="s">
        <v>16</v>
      </c>
      <c r="AC1700" s="247" t="s">
        <v>148</v>
      </c>
      <c r="AD1700" s="247" t="s">
        <v>16</v>
      </c>
      <c r="AE1700" s="247" t="s">
        <v>2592</v>
      </c>
    </row>
    <row r="1701" spans="1:31" x14ac:dyDescent="0.3">
      <c r="A1701" s="247" t="s">
        <v>2596</v>
      </c>
      <c r="B1701" s="247" t="s">
        <v>14</v>
      </c>
      <c r="C1701" s="247" t="s">
        <v>2591</v>
      </c>
      <c r="D1701" s="247" t="s">
        <v>15</v>
      </c>
      <c r="E1701" s="157">
        <v>42062</v>
      </c>
      <c r="F1701" s="247" t="s">
        <v>16</v>
      </c>
      <c r="G1701" s="247" t="s">
        <v>148</v>
      </c>
      <c r="H1701" s="247" t="s">
        <v>148</v>
      </c>
      <c r="I1701" s="247" t="s">
        <v>16</v>
      </c>
      <c r="J1701" s="247" t="s">
        <v>148</v>
      </c>
      <c r="K1701" s="247" t="s">
        <v>16</v>
      </c>
      <c r="L1701" s="247" t="s">
        <v>16</v>
      </c>
      <c r="M1701" s="247" t="s">
        <v>16</v>
      </c>
      <c r="N1701" s="247" t="s">
        <v>148</v>
      </c>
      <c r="O1701" s="247" t="s">
        <v>148</v>
      </c>
      <c r="P1701" s="247" t="s">
        <v>16</v>
      </c>
      <c r="Q1701" s="247" t="s">
        <v>16</v>
      </c>
      <c r="R1701" s="247" t="s">
        <v>148</v>
      </c>
      <c r="S1701" s="247" t="s">
        <v>16</v>
      </c>
      <c r="T1701" s="247" t="s">
        <v>148</v>
      </c>
      <c r="U1701" s="247" t="s">
        <v>16</v>
      </c>
      <c r="V1701" s="247" t="s">
        <v>148</v>
      </c>
      <c r="W1701" s="247" t="s">
        <v>148</v>
      </c>
      <c r="X1701" s="247" t="s">
        <v>148</v>
      </c>
      <c r="Y1701" s="247" t="s">
        <v>148</v>
      </c>
      <c r="Z1701" s="247" t="s">
        <v>16</v>
      </c>
      <c r="AA1701" s="247" t="s">
        <v>16</v>
      </c>
      <c r="AB1701" s="247" t="s">
        <v>148</v>
      </c>
      <c r="AC1701" s="247" t="s">
        <v>16</v>
      </c>
      <c r="AD1701" s="247" t="s">
        <v>148</v>
      </c>
      <c r="AE1701" s="247" t="s">
        <v>2597</v>
      </c>
    </row>
    <row r="1702" spans="1:31" x14ac:dyDescent="0.3">
      <c r="A1702" s="247" t="s">
        <v>2598</v>
      </c>
      <c r="B1702" s="247" t="s">
        <v>14</v>
      </c>
      <c r="C1702" s="247" t="s">
        <v>2591</v>
      </c>
      <c r="D1702" s="247" t="s">
        <v>15</v>
      </c>
      <c r="E1702" s="157">
        <v>42062</v>
      </c>
      <c r="F1702" s="247" t="s">
        <v>148</v>
      </c>
      <c r="G1702" s="247" t="s">
        <v>16</v>
      </c>
      <c r="H1702" s="247" t="s">
        <v>16</v>
      </c>
      <c r="I1702" s="247" t="s">
        <v>16</v>
      </c>
      <c r="J1702" s="247" t="s">
        <v>16</v>
      </c>
      <c r="K1702" s="247" t="s">
        <v>16</v>
      </c>
      <c r="L1702" s="247" t="s">
        <v>16</v>
      </c>
      <c r="M1702" s="247" t="s">
        <v>16</v>
      </c>
      <c r="N1702" s="247" t="s">
        <v>148</v>
      </c>
      <c r="O1702" s="247" t="s">
        <v>148</v>
      </c>
      <c r="P1702" s="247" t="s">
        <v>148</v>
      </c>
      <c r="Q1702" s="247" t="s">
        <v>148</v>
      </c>
      <c r="R1702" s="247" t="s">
        <v>148</v>
      </c>
      <c r="S1702" s="247" t="s">
        <v>16</v>
      </c>
      <c r="T1702" s="247" t="s">
        <v>16</v>
      </c>
      <c r="U1702" s="247" t="s">
        <v>148</v>
      </c>
      <c r="V1702" s="247" t="s">
        <v>16</v>
      </c>
      <c r="W1702" s="247" t="s">
        <v>16</v>
      </c>
      <c r="X1702" s="247" t="s">
        <v>148</v>
      </c>
      <c r="Y1702" s="247" t="s">
        <v>16</v>
      </c>
      <c r="Z1702" s="247" t="s">
        <v>16</v>
      </c>
      <c r="AA1702" s="247" t="s">
        <v>16</v>
      </c>
      <c r="AB1702" s="247" t="s">
        <v>16</v>
      </c>
      <c r="AC1702" s="247" t="s">
        <v>16</v>
      </c>
      <c r="AD1702" s="247" t="s">
        <v>16</v>
      </c>
      <c r="AE1702" s="247" t="s">
        <v>2594</v>
      </c>
    </row>
    <row r="1703" spans="1:31" x14ac:dyDescent="0.3">
      <c r="A1703" s="247" t="s">
        <v>2599</v>
      </c>
      <c r="B1703" s="247" t="s">
        <v>14</v>
      </c>
      <c r="C1703" s="247" t="s">
        <v>2591</v>
      </c>
      <c r="D1703" s="247" t="s">
        <v>15</v>
      </c>
      <c r="E1703" s="157">
        <v>42062</v>
      </c>
      <c r="F1703" s="247" t="s">
        <v>148</v>
      </c>
      <c r="G1703" s="247" t="s">
        <v>16</v>
      </c>
      <c r="H1703" s="247" t="s">
        <v>16</v>
      </c>
      <c r="I1703" s="247" t="s">
        <v>16</v>
      </c>
      <c r="J1703" s="247" t="s">
        <v>16</v>
      </c>
      <c r="K1703" s="247" t="s">
        <v>16</v>
      </c>
      <c r="L1703" s="247" t="s">
        <v>16</v>
      </c>
      <c r="M1703" s="247" t="s">
        <v>148</v>
      </c>
      <c r="N1703" s="247" t="s">
        <v>16</v>
      </c>
      <c r="O1703" s="247" t="s">
        <v>148</v>
      </c>
      <c r="P1703" s="247" t="s">
        <v>148</v>
      </c>
      <c r="Q1703" s="247" t="s">
        <v>16</v>
      </c>
      <c r="R1703" s="247" t="s">
        <v>16</v>
      </c>
      <c r="S1703" s="247" t="s">
        <v>148</v>
      </c>
      <c r="T1703" s="247" t="s">
        <v>16</v>
      </c>
      <c r="U1703" s="247" t="s">
        <v>16</v>
      </c>
      <c r="V1703" s="247" t="s">
        <v>16</v>
      </c>
      <c r="W1703" s="247" t="s">
        <v>16</v>
      </c>
      <c r="X1703" s="247" t="s">
        <v>148</v>
      </c>
      <c r="Y1703" s="247" t="s">
        <v>16</v>
      </c>
      <c r="Z1703" s="247" t="s">
        <v>16</v>
      </c>
      <c r="AA1703" s="247" t="s">
        <v>148</v>
      </c>
      <c r="AB1703" s="247" t="s">
        <v>16</v>
      </c>
      <c r="AC1703" s="247" t="s">
        <v>16</v>
      </c>
      <c r="AD1703" s="247" t="s">
        <v>16</v>
      </c>
      <c r="AE1703" s="247" t="s">
        <v>2600</v>
      </c>
    </row>
    <row r="1704" spans="1:31" x14ac:dyDescent="0.3">
      <c r="A1704" s="247" t="s">
        <v>2601</v>
      </c>
      <c r="B1704" s="247" t="s">
        <v>14</v>
      </c>
      <c r="C1704" s="247" t="s">
        <v>2591</v>
      </c>
      <c r="D1704" s="247" t="s">
        <v>15</v>
      </c>
      <c r="E1704" s="157">
        <v>42062</v>
      </c>
      <c r="F1704" s="247" t="s">
        <v>16</v>
      </c>
      <c r="G1704" s="247" t="s">
        <v>16</v>
      </c>
      <c r="H1704" s="247" t="s">
        <v>16</v>
      </c>
      <c r="I1704" s="247" t="s">
        <v>16</v>
      </c>
      <c r="J1704" s="247" t="s">
        <v>148</v>
      </c>
      <c r="K1704" s="247" t="s">
        <v>16</v>
      </c>
      <c r="L1704" s="247" t="s">
        <v>149</v>
      </c>
      <c r="M1704" s="247" t="s">
        <v>16</v>
      </c>
      <c r="N1704" s="247" t="s">
        <v>16</v>
      </c>
      <c r="O1704" s="247" t="s">
        <v>16</v>
      </c>
      <c r="P1704" s="247" t="s">
        <v>148</v>
      </c>
      <c r="Q1704" s="247" t="s">
        <v>16</v>
      </c>
      <c r="R1704" s="247" t="s">
        <v>16</v>
      </c>
      <c r="S1704" s="247" t="s">
        <v>16</v>
      </c>
      <c r="T1704" s="247" t="s">
        <v>16</v>
      </c>
      <c r="U1704" s="247" t="s">
        <v>16</v>
      </c>
      <c r="V1704" s="247" t="s">
        <v>16</v>
      </c>
      <c r="W1704" s="247" t="s">
        <v>16</v>
      </c>
      <c r="X1704" s="247" t="s">
        <v>16</v>
      </c>
      <c r="Y1704" s="247" t="s">
        <v>16</v>
      </c>
      <c r="Z1704" s="247" t="s">
        <v>16</v>
      </c>
      <c r="AA1704" s="247" t="s">
        <v>16</v>
      </c>
      <c r="AB1704" s="247" t="s">
        <v>16</v>
      </c>
      <c r="AC1704" s="247" t="s">
        <v>16</v>
      </c>
      <c r="AD1704" s="247" t="s">
        <v>148</v>
      </c>
      <c r="AE1704" s="247" t="s">
        <v>2600</v>
      </c>
    </row>
    <row r="1705" spans="1:31" x14ac:dyDescent="0.3">
      <c r="A1705" s="247" t="s">
        <v>2602</v>
      </c>
      <c r="B1705" s="247" t="s">
        <v>14</v>
      </c>
      <c r="C1705" s="247" t="s">
        <v>2591</v>
      </c>
      <c r="D1705" s="247" t="s">
        <v>15</v>
      </c>
      <c r="E1705" s="157">
        <v>42062</v>
      </c>
      <c r="F1705" s="247" t="s">
        <v>148</v>
      </c>
      <c r="G1705" s="247" t="s">
        <v>148</v>
      </c>
      <c r="H1705" s="247" t="s">
        <v>16</v>
      </c>
      <c r="I1705" s="247" t="s">
        <v>148</v>
      </c>
      <c r="J1705" s="247" t="s">
        <v>16</v>
      </c>
      <c r="K1705" s="247" t="s">
        <v>16</v>
      </c>
      <c r="L1705" s="247" t="s">
        <v>16</v>
      </c>
      <c r="M1705" s="247" t="s">
        <v>148</v>
      </c>
      <c r="N1705" s="247" t="s">
        <v>148</v>
      </c>
      <c r="O1705" s="247" t="s">
        <v>148</v>
      </c>
      <c r="P1705" s="247" t="s">
        <v>148</v>
      </c>
      <c r="Q1705" s="247" t="s">
        <v>148</v>
      </c>
      <c r="R1705" s="247" t="s">
        <v>16</v>
      </c>
      <c r="S1705" s="247" t="s">
        <v>148</v>
      </c>
      <c r="T1705" s="247" t="s">
        <v>148</v>
      </c>
      <c r="U1705" s="247" t="s">
        <v>149</v>
      </c>
      <c r="V1705" s="247" t="s">
        <v>16</v>
      </c>
      <c r="W1705" s="247" t="s">
        <v>149</v>
      </c>
      <c r="X1705" s="247" t="s">
        <v>16</v>
      </c>
      <c r="Y1705" s="247" t="s">
        <v>16</v>
      </c>
      <c r="Z1705" s="247" t="s">
        <v>149</v>
      </c>
      <c r="AA1705" s="247" t="s">
        <v>16</v>
      </c>
      <c r="AB1705" s="247" t="s">
        <v>16</v>
      </c>
      <c r="AC1705" s="247" t="s">
        <v>148</v>
      </c>
      <c r="AD1705" s="247" t="s">
        <v>16</v>
      </c>
      <c r="AE1705" s="247" t="s">
        <v>2592</v>
      </c>
    </row>
    <row r="1706" spans="1:31" x14ac:dyDescent="0.3">
      <c r="A1706" s="247" t="s">
        <v>2603</v>
      </c>
      <c r="B1706" s="247" t="s">
        <v>14</v>
      </c>
      <c r="C1706" s="247" t="s">
        <v>2591</v>
      </c>
      <c r="D1706" s="247" t="s">
        <v>15</v>
      </c>
      <c r="E1706" s="157">
        <v>42062</v>
      </c>
      <c r="F1706" s="247" t="s">
        <v>150</v>
      </c>
      <c r="G1706" s="247" t="s">
        <v>148</v>
      </c>
      <c r="H1706" s="247" t="s">
        <v>16</v>
      </c>
      <c r="I1706" s="247" t="s">
        <v>16</v>
      </c>
      <c r="J1706" s="247" t="s">
        <v>16</v>
      </c>
      <c r="K1706" s="247" t="s">
        <v>16</v>
      </c>
      <c r="L1706" s="247" t="s">
        <v>16</v>
      </c>
      <c r="M1706" s="247" t="s">
        <v>16</v>
      </c>
      <c r="N1706" s="247" t="s">
        <v>150</v>
      </c>
      <c r="O1706" s="247" t="s">
        <v>148</v>
      </c>
      <c r="P1706" s="247" t="s">
        <v>148</v>
      </c>
      <c r="Q1706" s="247" t="s">
        <v>148</v>
      </c>
      <c r="R1706" s="247" t="s">
        <v>148</v>
      </c>
      <c r="S1706" s="247" t="s">
        <v>150</v>
      </c>
      <c r="T1706" s="247" t="s">
        <v>16</v>
      </c>
      <c r="U1706" s="247" t="s">
        <v>149</v>
      </c>
      <c r="V1706" s="247" t="s">
        <v>149</v>
      </c>
      <c r="W1706" s="247" t="s">
        <v>16</v>
      </c>
      <c r="X1706" s="247" t="s">
        <v>16</v>
      </c>
      <c r="Y1706" s="247" t="s">
        <v>16</v>
      </c>
      <c r="Z1706" s="247" t="s">
        <v>148</v>
      </c>
      <c r="AA1706" s="247" t="s">
        <v>148</v>
      </c>
      <c r="AB1706" s="247" t="s">
        <v>16</v>
      </c>
      <c r="AC1706" s="247" t="s">
        <v>16</v>
      </c>
      <c r="AD1706" s="247" t="s">
        <v>149</v>
      </c>
      <c r="AE1706" s="247" t="s">
        <v>2592</v>
      </c>
    </row>
    <row r="1707" spans="1:31" x14ac:dyDescent="0.3">
      <c r="A1707" s="247" t="s">
        <v>2604</v>
      </c>
      <c r="B1707" s="247" t="s">
        <v>14</v>
      </c>
      <c r="C1707" s="247" t="s">
        <v>2591</v>
      </c>
      <c r="D1707" s="247" t="s">
        <v>15</v>
      </c>
      <c r="E1707" s="157">
        <v>42062</v>
      </c>
      <c r="F1707" s="247" t="s">
        <v>16</v>
      </c>
      <c r="G1707" s="247" t="s">
        <v>16</v>
      </c>
      <c r="H1707" s="247" t="s">
        <v>16</v>
      </c>
      <c r="I1707" s="247" t="s">
        <v>16</v>
      </c>
      <c r="J1707" s="247" t="s">
        <v>16</v>
      </c>
      <c r="K1707" s="247" t="s">
        <v>16</v>
      </c>
      <c r="L1707" s="247" t="s">
        <v>16</v>
      </c>
      <c r="M1707" s="247" t="s">
        <v>16</v>
      </c>
      <c r="N1707" s="247" t="s">
        <v>16</v>
      </c>
      <c r="O1707" s="247" t="s">
        <v>16</v>
      </c>
      <c r="P1707" s="247" t="s">
        <v>16</v>
      </c>
      <c r="Q1707" s="247" t="s">
        <v>16</v>
      </c>
      <c r="R1707" s="247" t="s">
        <v>16</v>
      </c>
      <c r="S1707" s="247" t="s">
        <v>16</v>
      </c>
      <c r="T1707" s="247" t="s">
        <v>16</v>
      </c>
      <c r="U1707" s="247" t="s">
        <v>16</v>
      </c>
      <c r="V1707" s="247" t="s">
        <v>16</v>
      </c>
      <c r="W1707" s="247" t="s">
        <v>16</v>
      </c>
      <c r="X1707" s="247" t="s">
        <v>16</v>
      </c>
      <c r="Y1707" s="247" t="s">
        <v>16</v>
      </c>
      <c r="Z1707" s="247" t="s">
        <v>16</v>
      </c>
      <c r="AA1707" s="247" t="s">
        <v>16</v>
      </c>
      <c r="AB1707" s="247" t="s">
        <v>16</v>
      </c>
      <c r="AC1707" s="247" t="s">
        <v>16</v>
      </c>
      <c r="AD1707" s="247" t="s">
        <v>16</v>
      </c>
      <c r="AE1707" s="247" t="s">
        <v>2592</v>
      </c>
    </row>
    <row r="1708" spans="1:31" x14ac:dyDescent="0.3">
      <c r="A1708" s="247" t="s">
        <v>2605</v>
      </c>
      <c r="B1708" s="247" t="s">
        <v>14</v>
      </c>
      <c r="C1708" s="247" t="s">
        <v>2591</v>
      </c>
      <c r="D1708" s="247" t="s">
        <v>15</v>
      </c>
      <c r="E1708" s="157">
        <v>42062</v>
      </c>
      <c r="F1708" s="247" t="s">
        <v>16</v>
      </c>
      <c r="G1708" s="247" t="s">
        <v>16</v>
      </c>
      <c r="H1708" s="247" t="s">
        <v>16</v>
      </c>
      <c r="I1708" s="247" t="s">
        <v>16</v>
      </c>
      <c r="J1708" s="247" t="s">
        <v>16</v>
      </c>
      <c r="K1708" s="247" t="s">
        <v>16</v>
      </c>
      <c r="L1708" s="247" t="s">
        <v>16</v>
      </c>
      <c r="M1708" s="247" t="s">
        <v>16</v>
      </c>
      <c r="N1708" s="247" t="s">
        <v>16</v>
      </c>
      <c r="O1708" s="247" t="s">
        <v>16</v>
      </c>
      <c r="P1708" s="247" t="s">
        <v>16</v>
      </c>
      <c r="Q1708" s="247" t="s">
        <v>16</v>
      </c>
      <c r="R1708" s="247" t="s">
        <v>16</v>
      </c>
      <c r="S1708" s="247" t="s">
        <v>16</v>
      </c>
      <c r="T1708" s="247" t="s">
        <v>16</v>
      </c>
      <c r="U1708" s="247" t="s">
        <v>16</v>
      </c>
      <c r="V1708" s="247" t="s">
        <v>16</v>
      </c>
      <c r="W1708" s="247" t="s">
        <v>16</v>
      </c>
      <c r="X1708" s="247" t="s">
        <v>16</v>
      </c>
      <c r="Y1708" s="247" t="s">
        <v>16</v>
      </c>
      <c r="Z1708" s="247" t="s">
        <v>16</v>
      </c>
      <c r="AA1708" s="247" t="s">
        <v>16</v>
      </c>
      <c r="AB1708" s="247" t="s">
        <v>16</v>
      </c>
      <c r="AC1708" s="247" t="s">
        <v>16</v>
      </c>
      <c r="AD1708" s="247" t="s">
        <v>16</v>
      </c>
      <c r="AE1708" s="247" t="s">
        <v>2592</v>
      </c>
    </row>
    <row r="1709" spans="1:31" x14ac:dyDescent="0.3">
      <c r="A1709" s="247" t="s">
        <v>2606</v>
      </c>
      <c r="B1709" s="247" t="s">
        <v>14</v>
      </c>
      <c r="C1709" s="247" t="s">
        <v>2591</v>
      </c>
      <c r="D1709" s="247" t="s">
        <v>15</v>
      </c>
      <c r="E1709" s="157">
        <v>42062</v>
      </c>
      <c r="F1709" s="247" t="s">
        <v>16</v>
      </c>
      <c r="G1709" s="247" t="s">
        <v>16</v>
      </c>
      <c r="H1709" s="247" t="s">
        <v>16</v>
      </c>
      <c r="I1709" s="247" t="s">
        <v>16</v>
      </c>
      <c r="J1709" s="247" t="s">
        <v>16</v>
      </c>
      <c r="K1709" s="247" t="s">
        <v>16</v>
      </c>
      <c r="L1709" s="247" t="s">
        <v>16</v>
      </c>
      <c r="M1709" s="247" t="s">
        <v>16</v>
      </c>
      <c r="N1709" s="247" t="s">
        <v>16</v>
      </c>
      <c r="O1709" s="247" t="s">
        <v>16</v>
      </c>
      <c r="P1709" s="247" t="s">
        <v>16</v>
      </c>
      <c r="Q1709" s="247" t="s">
        <v>16</v>
      </c>
      <c r="R1709" s="247" t="s">
        <v>16</v>
      </c>
      <c r="S1709" s="247" t="s">
        <v>16</v>
      </c>
      <c r="T1709" s="247" t="s">
        <v>16</v>
      </c>
      <c r="U1709" s="247" t="s">
        <v>16</v>
      </c>
      <c r="V1709" s="247" t="s">
        <v>16</v>
      </c>
      <c r="W1709" s="247" t="s">
        <v>16</v>
      </c>
      <c r="X1709" s="247" t="s">
        <v>16</v>
      </c>
      <c r="Y1709" s="247" t="s">
        <v>16</v>
      </c>
      <c r="Z1709" s="247" t="s">
        <v>16</v>
      </c>
      <c r="AA1709" s="247" t="s">
        <v>16</v>
      </c>
      <c r="AB1709" s="247" t="s">
        <v>16</v>
      </c>
      <c r="AC1709" s="247" t="s">
        <v>16</v>
      </c>
      <c r="AD1709" s="247" t="s">
        <v>16</v>
      </c>
      <c r="AE1709" s="247" t="s">
        <v>2600</v>
      </c>
    </row>
    <row r="1710" spans="1:31" x14ac:dyDescent="0.3">
      <c r="A1710" s="247" t="s">
        <v>2607</v>
      </c>
      <c r="B1710" s="247" t="s">
        <v>14</v>
      </c>
      <c r="C1710" s="247" t="s">
        <v>2591</v>
      </c>
      <c r="D1710" s="247" t="s">
        <v>15</v>
      </c>
      <c r="E1710" s="157">
        <v>42062</v>
      </c>
      <c r="F1710" s="247" t="s">
        <v>16</v>
      </c>
      <c r="G1710" s="247" t="s">
        <v>16</v>
      </c>
      <c r="H1710" s="247" t="s">
        <v>148</v>
      </c>
      <c r="I1710" s="247" t="s">
        <v>16</v>
      </c>
      <c r="J1710" s="247" t="s">
        <v>148</v>
      </c>
      <c r="K1710" s="247" t="s">
        <v>16</v>
      </c>
      <c r="L1710" s="247" t="s">
        <v>148</v>
      </c>
      <c r="M1710" s="247" t="s">
        <v>16</v>
      </c>
      <c r="N1710" s="247" t="s">
        <v>16</v>
      </c>
      <c r="O1710" s="247" t="s">
        <v>16</v>
      </c>
      <c r="P1710" s="247" t="s">
        <v>16</v>
      </c>
      <c r="Q1710" s="247" t="s">
        <v>16</v>
      </c>
      <c r="R1710" s="247" t="s">
        <v>148</v>
      </c>
      <c r="S1710" s="247" t="s">
        <v>16</v>
      </c>
      <c r="T1710" s="247" t="s">
        <v>16</v>
      </c>
      <c r="U1710" s="247" t="s">
        <v>16</v>
      </c>
      <c r="V1710" s="247" t="s">
        <v>16</v>
      </c>
      <c r="W1710" s="247" t="s">
        <v>148</v>
      </c>
      <c r="X1710" s="247" t="s">
        <v>16</v>
      </c>
      <c r="Y1710" s="247" t="s">
        <v>16</v>
      </c>
      <c r="Z1710" s="247" t="s">
        <v>16</v>
      </c>
      <c r="AA1710" s="247" t="s">
        <v>16</v>
      </c>
      <c r="AB1710" s="247" t="s">
        <v>16</v>
      </c>
      <c r="AC1710" s="247" t="s">
        <v>16</v>
      </c>
      <c r="AD1710" s="247" t="s">
        <v>16</v>
      </c>
      <c r="AE1710" s="247" t="s">
        <v>2608</v>
      </c>
    </row>
    <row r="1711" spans="1:31" x14ac:dyDescent="0.3">
      <c r="A1711" s="247" t="s">
        <v>2609</v>
      </c>
      <c r="B1711" s="247" t="s">
        <v>14</v>
      </c>
      <c r="C1711" s="247" t="s">
        <v>2591</v>
      </c>
      <c r="D1711" s="247" t="s">
        <v>15</v>
      </c>
      <c r="E1711" s="157">
        <v>42062</v>
      </c>
      <c r="F1711" s="247" t="s">
        <v>16</v>
      </c>
      <c r="G1711" s="247" t="s">
        <v>16</v>
      </c>
      <c r="H1711" s="247" t="s">
        <v>16</v>
      </c>
      <c r="I1711" s="247" t="s">
        <v>16</v>
      </c>
      <c r="J1711" s="247" t="s">
        <v>16</v>
      </c>
      <c r="K1711" s="247" t="s">
        <v>16</v>
      </c>
      <c r="L1711" s="247" t="s">
        <v>16</v>
      </c>
      <c r="M1711" s="247" t="s">
        <v>16</v>
      </c>
      <c r="N1711" s="247" t="s">
        <v>16</v>
      </c>
      <c r="O1711" s="247" t="s">
        <v>16</v>
      </c>
      <c r="P1711" s="247" t="s">
        <v>16</v>
      </c>
      <c r="Q1711" s="247" t="s">
        <v>16</v>
      </c>
      <c r="R1711" s="247" t="s">
        <v>16</v>
      </c>
      <c r="S1711" s="247" t="s">
        <v>16</v>
      </c>
      <c r="T1711" s="247" t="s">
        <v>16</v>
      </c>
      <c r="U1711" s="247" t="s">
        <v>16</v>
      </c>
      <c r="V1711" s="247" t="s">
        <v>16</v>
      </c>
      <c r="W1711" s="247" t="s">
        <v>16</v>
      </c>
      <c r="X1711" s="247" t="s">
        <v>16</v>
      </c>
      <c r="Y1711" s="247" t="s">
        <v>16</v>
      </c>
      <c r="Z1711" s="247" t="s">
        <v>16</v>
      </c>
      <c r="AA1711" s="247" t="s">
        <v>16</v>
      </c>
      <c r="AB1711" s="247" t="s">
        <v>16</v>
      </c>
      <c r="AC1711" s="247" t="s">
        <v>16</v>
      </c>
      <c r="AD1711" s="247" t="s">
        <v>16</v>
      </c>
      <c r="AE1711" s="247"/>
    </row>
    <row r="1712" spans="1:31" x14ac:dyDescent="0.3">
      <c r="A1712" s="247" t="s">
        <v>2610</v>
      </c>
      <c r="B1712" s="247" t="s">
        <v>14</v>
      </c>
      <c r="C1712" s="247" t="s">
        <v>2591</v>
      </c>
      <c r="D1712" s="247" t="s">
        <v>15</v>
      </c>
      <c r="E1712" s="157">
        <v>42062</v>
      </c>
      <c r="F1712" s="247" t="s">
        <v>16</v>
      </c>
      <c r="G1712" s="247" t="s">
        <v>16</v>
      </c>
      <c r="H1712" s="247" t="s">
        <v>16</v>
      </c>
      <c r="I1712" s="247" t="s">
        <v>16</v>
      </c>
      <c r="J1712" s="247" t="s">
        <v>16</v>
      </c>
      <c r="K1712" s="247" t="s">
        <v>16</v>
      </c>
      <c r="L1712" s="247" t="s">
        <v>16</v>
      </c>
      <c r="M1712" s="247" t="s">
        <v>16</v>
      </c>
      <c r="N1712" s="247" t="s">
        <v>16</v>
      </c>
      <c r="O1712" s="247" t="s">
        <v>16</v>
      </c>
      <c r="P1712" s="247" t="s">
        <v>16</v>
      </c>
      <c r="Q1712" s="247" t="s">
        <v>16</v>
      </c>
      <c r="R1712" s="247" t="s">
        <v>16</v>
      </c>
      <c r="S1712" s="247" t="s">
        <v>16</v>
      </c>
      <c r="T1712" s="247" t="s">
        <v>16</v>
      </c>
      <c r="U1712" s="247" t="s">
        <v>16</v>
      </c>
      <c r="V1712" s="247" t="s">
        <v>16</v>
      </c>
      <c r="W1712" s="247" t="s">
        <v>16</v>
      </c>
      <c r="X1712" s="247" t="s">
        <v>16</v>
      </c>
      <c r="Y1712" s="247" t="s">
        <v>16</v>
      </c>
      <c r="Z1712" s="247" t="s">
        <v>16</v>
      </c>
      <c r="AA1712" s="247" t="s">
        <v>16</v>
      </c>
      <c r="AB1712" s="247" t="s">
        <v>16</v>
      </c>
      <c r="AC1712" s="247" t="s">
        <v>16</v>
      </c>
      <c r="AD1712" s="247" t="s">
        <v>16</v>
      </c>
      <c r="AE1712" s="247" t="s">
        <v>2600</v>
      </c>
    </row>
    <row r="1713" spans="1:38" x14ac:dyDescent="0.3">
      <c r="A1713" s="247" t="s">
        <v>2611</v>
      </c>
      <c r="B1713" s="247" t="s">
        <v>14</v>
      </c>
      <c r="C1713" s="247" t="s">
        <v>2591</v>
      </c>
      <c r="D1713" s="247" t="s">
        <v>15</v>
      </c>
      <c r="E1713" s="157">
        <v>42062</v>
      </c>
      <c r="F1713" s="247" t="s">
        <v>16</v>
      </c>
      <c r="G1713" s="247" t="s">
        <v>16</v>
      </c>
      <c r="H1713" s="247" t="s">
        <v>16</v>
      </c>
      <c r="I1713" s="247" t="s">
        <v>16</v>
      </c>
      <c r="J1713" s="247" t="s">
        <v>16</v>
      </c>
      <c r="K1713" s="247" t="s">
        <v>16</v>
      </c>
      <c r="L1713" s="247" t="s">
        <v>16</v>
      </c>
      <c r="M1713" s="247" t="s">
        <v>16</v>
      </c>
      <c r="N1713" s="247" t="s">
        <v>16</v>
      </c>
      <c r="O1713" s="247" t="s">
        <v>16</v>
      </c>
      <c r="P1713" s="247" t="s">
        <v>16</v>
      </c>
      <c r="Q1713" s="247" t="s">
        <v>16</v>
      </c>
      <c r="R1713" s="247" t="s">
        <v>16</v>
      </c>
      <c r="S1713" s="247" t="s">
        <v>16</v>
      </c>
      <c r="T1713" s="247" t="s">
        <v>16</v>
      </c>
      <c r="U1713" s="247" t="s">
        <v>16</v>
      </c>
      <c r="V1713" s="247" t="s">
        <v>16</v>
      </c>
      <c r="W1713" s="247" t="s">
        <v>16</v>
      </c>
      <c r="X1713" s="247" t="s">
        <v>16</v>
      </c>
      <c r="Y1713" s="247" t="s">
        <v>16</v>
      </c>
      <c r="Z1713" s="247" t="s">
        <v>16</v>
      </c>
      <c r="AA1713" s="247" t="s">
        <v>16</v>
      </c>
      <c r="AB1713" s="247" t="s">
        <v>16</v>
      </c>
      <c r="AC1713" s="247" t="s">
        <v>16</v>
      </c>
      <c r="AD1713" s="247" t="s">
        <v>16</v>
      </c>
      <c r="AE1713" s="247" t="s">
        <v>2592</v>
      </c>
    </row>
    <row r="1714" spans="1:38" x14ac:dyDescent="0.3">
      <c r="A1714" s="247" t="s">
        <v>2612</v>
      </c>
      <c r="B1714" s="247" t="s">
        <v>14</v>
      </c>
      <c r="C1714" s="247" t="s">
        <v>2591</v>
      </c>
      <c r="D1714" s="247" t="s">
        <v>15</v>
      </c>
      <c r="E1714" s="157">
        <v>42062</v>
      </c>
      <c r="F1714" s="247" t="s">
        <v>16</v>
      </c>
      <c r="G1714" s="247" t="s">
        <v>16</v>
      </c>
      <c r="H1714" s="247" t="s">
        <v>16</v>
      </c>
      <c r="I1714" s="247" t="s">
        <v>16</v>
      </c>
      <c r="J1714" s="247" t="s">
        <v>149</v>
      </c>
      <c r="K1714" s="247" t="s">
        <v>16</v>
      </c>
      <c r="L1714" s="247" t="s">
        <v>16</v>
      </c>
      <c r="M1714" s="247" t="s">
        <v>16</v>
      </c>
      <c r="N1714" s="247" t="s">
        <v>16</v>
      </c>
      <c r="O1714" s="247" t="s">
        <v>16</v>
      </c>
      <c r="P1714" s="247" t="s">
        <v>16</v>
      </c>
      <c r="Q1714" s="247" t="s">
        <v>16</v>
      </c>
      <c r="R1714" s="247" t="s">
        <v>16</v>
      </c>
      <c r="S1714" s="247" t="s">
        <v>16</v>
      </c>
      <c r="T1714" s="247" t="s">
        <v>16</v>
      </c>
      <c r="U1714" s="247" t="s">
        <v>16</v>
      </c>
      <c r="V1714" s="247" t="s">
        <v>16</v>
      </c>
      <c r="W1714" s="247" t="s">
        <v>16</v>
      </c>
      <c r="X1714" s="247" t="s">
        <v>16</v>
      </c>
      <c r="Y1714" s="247" t="s">
        <v>16</v>
      </c>
      <c r="Z1714" s="247" t="s">
        <v>16</v>
      </c>
      <c r="AA1714" s="247" t="s">
        <v>16</v>
      </c>
      <c r="AB1714" s="247" t="s">
        <v>16</v>
      </c>
      <c r="AC1714" s="247" t="s">
        <v>16</v>
      </c>
      <c r="AD1714" s="247" t="s">
        <v>16</v>
      </c>
      <c r="AE1714" s="247" t="s">
        <v>2597</v>
      </c>
    </row>
    <row r="1715" spans="1:38" x14ac:dyDescent="0.3">
      <c r="A1715" s="247" t="s">
        <v>2613</v>
      </c>
      <c r="B1715" s="247" t="s">
        <v>14</v>
      </c>
      <c r="C1715" s="247" t="s">
        <v>2591</v>
      </c>
      <c r="D1715" s="247" t="s">
        <v>15</v>
      </c>
      <c r="E1715" s="157">
        <v>42062</v>
      </c>
      <c r="F1715" s="247" t="s">
        <v>16</v>
      </c>
      <c r="G1715" s="247" t="s">
        <v>16</v>
      </c>
      <c r="H1715" s="247" t="s">
        <v>16</v>
      </c>
      <c r="I1715" s="247" t="s">
        <v>16</v>
      </c>
      <c r="J1715" s="247" t="s">
        <v>16</v>
      </c>
      <c r="K1715" s="247" t="s">
        <v>16</v>
      </c>
      <c r="L1715" s="247" t="s">
        <v>16</v>
      </c>
      <c r="M1715" s="247" t="s">
        <v>16</v>
      </c>
      <c r="N1715" s="247" t="s">
        <v>16</v>
      </c>
      <c r="O1715" s="247" t="s">
        <v>16</v>
      </c>
      <c r="P1715" s="247" t="s">
        <v>16</v>
      </c>
      <c r="Q1715" s="247" t="s">
        <v>16</v>
      </c>
      <c r="R1715" s="247" t="s">
        <v>16</v>
      </c>
      <c r="S1715" s="247" t="s">
        <v>16</v>
      </c>
      <c r="T1715" s="247" t="s">
        <v>16</v>
      </c>
      <c r="U1715" s="247" t="s">
        <v>16</v>
      </c>
      <c r="V1715" s="247" t="s">
        <v>16</v>
      </c>
      <c r="W1715" s="247" t="s">
        <v>16</v>
      </c>
      <c r="X1715" s="247" t="s">
        <v>16</v>
      </c>
      <c r="Y1715" s="247" t="s">
        <v>16</v>
      </c>
      <c r="Z1715" s="247" t="s">
        <v>16</v>
      </c>
      <c r="AA1715" s="247" t="s">
        <v>16</v>
      </c>
      <c r="AB1715" s="247" t="s">
        <v>16</v>
      </c>
      <c r="AC1715" s="247" t="s">
        <v>16</v>
      </c>
      <c r="AD1715" s="247" t="s">
        <v>16</v>
      </c>
      <c r="AE1715" s="247"/>
      <c r="AF1715" s="247"/>
      <c r="AG1715" s="247"/>
      <c r="AH1715" s="247"/>
      <c r="AI1715" s="247"/>
      <c r="AJ1715" s="247"/>
      <c r="AK1715" s="247"/>
      <c r="AL1715" s="247"/>
    </row>
    <row r="1716" spans="1:38" x14ac:dyDescent="0.3">
      <c r="A1716" s="247" t="s">
        <v>2617</v>
      </c>
      <c r="B1716" s="247" t="s">
        <v>14</v>
      </c>
      <c r="C1716" s="247" t="s">
        <v>2591</v>
      </c>
      <c r="D1716" s="247" t="s">
        <v>15</v>
      </c>
      <c r="E1716" s="157">
        <v>42062</v>
      </c>
      <c r="F1716" s="247" t="s">
        <v>16</v>
      </c>
      <c r="G1716" s="247" t="s">
        <v>148</v>
      </c>
      <c r="H1716" s="247" t="s">
        <v>16</v>
      </c>
      <c r="I1716" s="247" t="s">
        <v>148</v>
      </c>
      <c r="J1716" s="247" t="s">
        <v>148</v>
      </c>
      <c r="K1716" s="247" t="s">
        <v>16</v>
      </c>
      <c r="L1716" s="247" t="s">
        <v>16</v>
      </c>
      <c r="M1716" s="247" t="s">
        <v>148</v>
      </c>
      <c r="N1716" s="247" t="s">
        <v>148</v>
      </c>
      <c r="O1716" s="247" t="s">
        <v>148</v>
      </c>
      <c r="P1716" s="247" t="s">
        <v>148</v>
      </c>
      <c r="Q1716" s="247" t="s">
        <v>16</v>
      </c>
      <c r="R1716" s="247" t="s">
        <v>149</v>
      </c>
      <c r="S1716" s="247" t="s">
        <v>149</v>
      </c>
      <c r="T1716" s="247" t="s">
        <v>16</v>
      </c>
      <c r="U1716" s="247" t="s">
        <v>16</v>
      </c>
      <c r="V1716" s="247" t="s">
        <v>16</v>
      </c>
      <c r="W1716" s="247" t="s">
        <v>150</v>
      </c>
      <c r="X1716" s="247" t="s">
        <v>148</v>
      </c>
      <c r="Y1716" s="247" t="s">
        <v>148</v>
      </c>
      <c r="Z1716" s="247" t="s">
        <v>16</v>
      </c>
      <c r="AA1716" s="247" t="s">
        <v>16</v>
      </c>
      <c r="AB1716" s="247" t="s">
        <v>16</v>
      </c>
      <c r="AC1716" s="247" t="s">
        <v>149</v>
      </c>
      <c r="AD1716" s="247" t="s">
        <v>16</v>
      </c>
      <c r="AE1716" s="247" t="s">
        <v>2597</v>
      </c>
    </row>
    <row r="1719" spans="1:38" s="247" customFormat="1" x14ac:dyDescent="0.3">
      <c r="A1719" s="247" t="s">
        <v>2618</v>
      </c>
      <c r="B1719" s="247" t="s">
        <v>2619</v>
      </c>
      <c r="C1719" s="247" t="s">
        <v>2620</v>
      </c>
      <c r="D1719" s="247" t="s">
        <v>2621</v>
      </c>
      <c r="E1719" s="247" t="s">
        <v>2622</v>
      </c>
      <c r="F1719" s="247" t="s">
        <v>2623</v>
      </c>
      <c r="G1719" s="247" t="s">
        <v>2624</v>
      </c>
      <c r="H1719" s="247" t="s">
        <v>2625</v>
      </c>
      <c r="I1719" s="247" t="s">
        <v>2626</v>
      </c>
      <c r="J1719" s="247" t="s">
        <v>2627</v>
      </c>
      <c r="K1719" s="247" t="s">
        <v>2628</v>
      </c>
      <c r="L1719" s="247" t="s">
        <v>2629</v>
      </c>
      <c r="M1719" s="247" t="s">
        <v>2630</v>
      </c>
      <c r="N1719" s="247" t="s">
        <v>2631</v>
      </c>
      <c r="O1719" s="247" t="s">
        <v>2632</v>
      </c>
      <c r="P1719" s="247" t="s">
        <v>2633</v>
      </c>
      <c r="Q1719" s="247" t="s">
        <v>2634</v>
      </c>
      <c r="R1719" s="247" t="s">
        <v>2635</v>
      </c>
      <c r="S1719" s="247" t="s">
        <v>2636</v>
      </c>
      <c r="T1719" s="247" t="s">
        <v>2637</v>
      </c>
      <c r="U1719" s="247" t="s">
        <v>2638</v>
      </c>
      <c r="V1719" s="247" t="s">
        <v>2639</v>
      </c>
      <c r="W1719" s="247" t="s">
        <v>2640</v>
      </c>
      <c r="X1719" s="247" t="s">
        <v>2641</v>
      </c>
      <c r="Y1719" s="247" t="s">
        <v>2642</v>
      </c>
      <c r="Z1719" s="247" t="s">
        <v>2643</v>
      </c>
      <c r="AA1719" s="247" t="s">
        <v>2644</v>
      </c>
      <c r="AB1719" s="247" t="s">
        <v>2645</v>
      </c>
      <c r="AC1719" s="247" t="s">
        <v>2646</v>
      </c>
      <c r="AD1719" s="247" t="s">
        <v>2647</v>
      </c>
      <c r="AE1719" s="247" t="s">
        <v>2648</v>
      </c>
      <c r="AF1719" s="247" t="s">
        <v>2649</v>
      </c>
      <c r="AG1719" s="247" t="s">
        <v>2650</v>
      </c>
    </row>
    <row r="1720" spans="1:38" s="247" customFormat="1" x14ac:dyDescent="0.3">
      <c r="A1720" s="249">
        <v>43545.367465277777</v>
      </c>
      <c r="E1720" s="157">
        <v>42093</v>
      </c>
      <c r="F1720" s="247" t="s">
        <v>16</v>
      </c>
      <c r="G1720" s="247" t="s">
        <v>16</v>
      </c>
      <c r="H1720" s="247" t="s">
        <v>16</v>
      </c>
      <c r="I1720" s="247" t="s">
        <v>16</v>
      </c>
      <c r="J1720" s="247" t="s">
        <v>16</v>
      </c>
      <c r="K1720" s="247" t="s">
        <v>16</v>
      </c>
      <c r="L1720" s="247" t="s">
        <v>16</v>
      </c>
      <c r="M1720" s="247" t="s">
        <v>16</v>
      </c>
      <c r="N1720" s="247" t="s">
        <v>16</v>
      </c>
      <c r="O1720" s="247" t="s">
        <v>16</v>
      </c>
      <c r="P1720" s="247" t="s">
        <v>16</v>
      </c>
      <c r="Q1720" s="247" t="s">
        <v>16</v>
      </c>
      <c r="R1720" s="247" t="s">
        <v>16</v>
      </c>
      <c r="S1720" s="247" t="s">
        <v>16</v>
      </c>
      <c r="T1720" s="247" t="s">
        <v>16</v>
      </c>
      <c r="U1720" s="247" t="s">
        <v>16</v>
      </c>
      <c r="V1720" s="247" t="s">
        <v>16</v>
      </c>
      <c r="W1720" s="247" t="s">
        <v>16</v>
      </c>
      <c r="X1720" s="247" t="s">
        <v>16</v>
      </c>
      <c r="Y1720" s="247" t="s">
        <v>16</v>
      </c>
      <c r="Z1720" s="247" t="s">
        <v>16</v>
      </c>
      <c r="AA1720" s="247" t="s">
        <v>16</v>
      </c>
      <c r="AB1720" s="247" t="s">
        <v>16</v>
      </c>
      <c r="AC1720" s="247" t="s">
        <v>16</v>
      </c>
      <c r="AD1720" s="247" t="s">
        <v>16</v>
      </c>
    </row>
    <row r="1721" spans="1:38" s="247" customFormat="1" x14ac:dyDescent="0.3">
      <c r="A1721" s="249">
        <v>43545.369618055556</v>
      </c>
      <c r="E1721" s="157">
        <v>42093</v>
      </c>
      <c r="F1721" s="247" t="s">
        <v>16</v>
      </c>
      <c r="G1721" s="247" t="s">
        <v>16</v>
      </c>
      <c r="H1721" s="247" t="s">
        <v>16</v>
      </c>
      <c r="I1721" s="247" t="s">
        <v>16</v>
      </c>
      <c r="J1721" s="247" t="s">
        <v>16</v>
      </c>
      <c r="K1721" s="247" t="s">
        <v>16</v>
      </c>
      <c r="L1721" s="247" t="s">
        <v>16</v>
      </c>
      <c r="M1721" s="247" t="s">
        <v>16</v>
      </c>
      <c r="N1721" s="247" t="s">
        <v>16</v>
      </c>
      <c r="O1721" s="247" t="s">
        <v>16</v>
      </c>
      <c r="P1721" s="247" t="s">
        <v>148</v>
      </c>
      <c r="Q1721" s="247" t="s">
        <v>16</v>
      </c>
      <c r="R1721" s="247" t="s">
        <v>16</v>
      </c>
      <c r="S1721" s="247" t="s">
        <v>16</v>
      </c>
      <c r="T1721" s="247" t="s">
        <v>16</v>
      </c>
      <c r="U1721" s="247" t="s">
        <v>16</v>
      </c>
      <c r="V1721" s="247" t="s">
        <v>148</v>
      </c>
      <c r="W1721" s="247" t="s">
        <v>148</v>
      </c>
      <c r="X1721" s="247" t="s">
        <v>148</v>
      </c>
      <c r="Y1721" s="247" t="s">
        <v>16</v>
      </c>
      <c r="Z1721" s="247" t="s">
        <v>16</v>
      </c>
      <c r="AA1721" s="247" t="s">
        <v>16</v>
      </c>
      <c r="AB1721" s="247" t="s">
        <v>16</v>
      </c>
      <c r="AC1721" s="247" t="s">
        <v>148</v>
      </c>
      <c r="AD1721" s="247" t="s">
        <v>16</v>
      </c>
      <c r="AE1721" s="247" t="s">
        <v>2655</v>
      </c>
    </row>
    <row r="1722" spans="1:38" s="247" customFormat="1" x14ac:dyDescent="0.3">
      <c r="A1722" s="249">
        <v>43545.371655092589</v>
      </c>
      <c r="E1722" s="157">
        <v>42093</v>
      </c>
      <c r="F1722" s="247" t="s">
        <v>16</v>
      </c>
      <c r="G1722" s="247" t="s">
        <v>16</v>
      </c>
      <c r="H1722" s="247" t="s">
        <v>16</v>
      </c>
      <c r="I1722" s="247" t="s">
        <v>16</v>
      </c>
      <c r="J1722" s="247" t="s">
        <v>16</v>
      </c>
      <c r="K1722" s="247" t="s">
        <v>16</v>
      </c>
      <c r="L1722" s="247" t="s">
        <v>16</v>
      </c>
      <c r="M1722" s="247" t="s">
        <v>16</v>
      </c>
      <c r="N1722" s="247" t="s">
        <v>16</v>
      </c>
      <c r="O1722" s="247" t="s">
        <v>16</v>
      </c>
      <c r="P1722" s="247" t="s">
        <v>16</v>
      </c>
      <c r="Q1722" s="247" t="s">
        <v>16</v>
      </c>
      <c r="R1722" s="247" t="s">
        <v>16</v>
      </c>
      <c r="S1722" s="247" t="s">
        <v>16</v>
      </c>
      <c r="T1722" s="247" t="s">
        <v>16</v>
      </c>
      <c r="U1722" s="247" t="s">
        <v>16</v>
      </c>
      <c r="V1722" s="247" t="s">
        <v>16</v>
      </c>
      <c r="W1722" s="247" t="s">
        <v>16</v>
      </c>
      <c r="X1722" s="247" t="s">
        <v>16</v>
      </c>
      <c r="Y1722" s="247" t="s">
        <v>16</v>
      </c>
      <c r="Z1722" s="247" t="s">
        <v>16</v>
      </c>
      <c r="AA1722" s="247" t="s">
        <v>16</v>
      </c>
      <c r="AB1722" s="247" t="s">
        <v>16</v>
      </c>
      <c r="AC1722" s="247" t="s">
        <v>16</v>
      </c>
      <c r="AD1722" s="247" t="s">
        <v>16</v>
      </c>
      <c r="AE1722" s="247" t="s">
        <v>2656</v>
      </c>
    </row>
    <row r="1723" spans="1:38" s="247" customFormat="1" x14ac:dyDescent="0.3">
      <c r="A1723" s="249">
        <v>43545.372777777775</v>
      </c>
      <c r="E1723" s="157">
        <v>42093</v>
      </c>
      <c r="F1723" s="247" t="s">
        <v>148</v>
      </c>
      <c r="G1723" s="247" t="s">
        <v>16</v>
      </c>
      <c r="H1723" s="247" t="s">
        <v>16</v>
      </c>
      <c r="I1723" s="247" t="s">
        <v>16</v>
      </c>
      <c r="J1723" s="247" t="s">
        <v>16</v>
      </c>
      <c r="K1723" s="247" t="s">
        <v>16</v>
      </c>
      <c r="L1723" s="247" t="s">
        <v>16</v>
      </c>
      <c r="M1723" s="247" t="s">
        <v>16</v>
      </c>
      <c r="N1723" s="247" t="s">
        <v>16</v>
      </c>
      <c r="O1723" s="247" t="s">
        <v>16</v>
      </c>
      <c r="P1723" s="247" t="s">
        <v>16</v>
      </c>
      <c r="Q1723" s="247" t="s">
        <v>16</v>
      </c>
      <c r="R1723" s="247" t="s">
        <v>16</v>
      </c>
      <c r="S1723" s="247" t="s">
        <v>16</v>
      </c>
      <c r="T1723" s="247" t="s">
        <v>16</v>
      </c>
      <c r="U1723" s="247" t="s">
        <v>16</v>
      </c>
      <c r="V1723" s="247" t="s">
        <v>16</v>
      </c>
      <c r="W1723" s="247" t="s">
        <v>148</v>
      </c>
      <c r="X1723" s="247" t="s">
        <v>16</v>
      </c>
      <c r="Y1723" s="247" t="s">
        <v>16</v>
      </c>
      <c r="Z1723" s="247" t="s">
        <v>16</v>
      </c>
      <c r="AA1723" s="247" t="s">
        <v>16</v>
      </c>
      <c r="AB1723" s="247" t="s">
        <v>16</v>
      </c>
      <c r="AC1723" s="247" t="s">
        <v>16</v>
      </c>
      <c r="AD1723" s="247" t="s">
        <v>16</v>
      </c>
      <c r="AE1723" s="247" t="s">
        <v>2657</v>
      </c>
    </row>
    <row r="1724" spans="1:38" s="247" customFormat="1" x14ac:dyDescent="0.3">
      <c r="A1724" s="249">
        <v>43545.454826388886</v>
      </c>
      <c r="E1724" s="157">
        <v>42093</v>
      </c>
      <c r="F1724" s="247" t="s">
        <v>16</v>
      </c>
      <c r="G1724" s="247" t="s">
        <v>16</v>
      </c>
      <c r="H1724" s="247" t="s">
        <v>148</v>
      </c>
      <c r="I1724" s="247" t="s">
        <v>16</v>
      </c>
      <c r="J1724" s="247" t="s">
        <v>148</v>
      </c>
      <c r="K1724" s="247" t="s">
        <v>16</v>
      </c>
      <c r="L1724" s="247" t="s">
        <v>16</v>
      </c>
      <c r="M1724" s="247" t="s">
        <v>16</v>
      </c>
      <c r="N1724" s="247" t="s">
        <v>148</v>
      </c>
      <c r="O1724" s="247" t="s">
        <v>16</v>
      </c>
      <c r="P1724" s="247" t="s">
        <v>16</v>
      </c>
      <c r="Q1724" s="247" t="s">
        <v>16</v>
      </c>
      <c r="R1724" s="247" t="s">
        <v>16</v>
      </c>
      <c r="S1724" s="247" t="s">
        <v>16</v>
      </c>
      <c r="T1724" s="247" t="s">
        <v>16</v>
      </c>
      <c r="U1724" s="247" t="s">
        <v>16</v>
      </c>
      <c r="V1724" s="247" t="s">
        <v>16</v>
      </c>
      <c r="W1724" s="247" t="s">
        <v>16</v>
      </c>
      <c r="X1724" s="247" t="s">
        <v>16</v>
      </c>
      <c r="Y1724" s="247" t="s">
        <v>16</v>
      </c>
      <c r="Z1724" s="247" t="s">
        <v>16</v>
      </c>
      <c r="AA1724" s="247" t="s">
        <v>16</v>
      </c>
      <c r="AB1724" s="247" t="s">
        <v>16</v>
      </c>
      <c r="AC1724" s="247" t="s">
        <v>148</v>
      </c>
      <c r="AD1724" s="247" t="s">
        <v>148</v>
      </c>
      <c r="AE1724" s="247" t="s">
        <v>2658</v>
      </c>
    </row>
    <row r="1725" spans="1:38" s="247" customFormat="1" x14ac:dyDescent="0.3">
      <c r="A1725" s="249">
        <v>43545.479027777779</v>
      </c>
      <c r="E1725" s="157">
        <v>42093</v>
      </c>
      <c r="F1725" s="247" t="s">
        <v>16</v>
      </c>
      <c r="G1725" s="247" t="s">
        <v>148</v>
      </c>
      <c r="H1725" s="247" t="s">
        <v>16</v>
      </c>
      <c r="I1725" s="247" t="s">
        <v>16</v>
      </c>
      <c r="J1725" s="247" t="s">
        <v>148</v>
      </c>
      <c r="K1725" s="247" t="s">
        <v>16</v>
      </c>
      <c r="L1725" s="247" t="s">
        <v>16</v>
      </c>
      <c r="M1725" s="247" t="s">
        <v>148</v>
      </c>
      <c r="N1725" s="247" t="s">
        <v>148</v>
      </c>
      <c r="O1725" s="247" t="s">
        <v>16</v>
      </c>
      <c r="P1725" s="247" t="s">
        <v>148</v>
      </c>
      <c r="Q1725" s="247" t="s">
        <v>16</v>
      </c>
      <c r="R1725" s="247" t="s">
        <v>16</v>
      </c>
      <c r="S1725" s="247" t="s">
        <v>16</v>
      </c>
      <c r="T1725" s="247" t="s">
        <v>16</v>
      </c>
      <c r="U1725" s="247" t="s">
        <v>16</v>
      </c>
      <c r="V1725" s="247" t="s">
        <v>16</v>
      </c>
      <c r="W1725" s="247" t="s">
        <v>148</v>
      </c>
      <c r="X1725" s="247" t="s">
        <v>148</v>
      </c>
      <c r="Y1725" s="247" t="s">
        <v>16</v>
      </c>
      <c r="Z1725" s="247" t="s">
        <v>16</v>
      </c>
      <c r="AA1725" s="247" t="s">
        <v>16</v>
      </c>
      <c r="AB1725" s="247" t="s">
        <v>16</v>
      </c>
      <c r="AC1725" s="247" t="s">
        <v>16</v>
      </c>
      <c r="AD1725" s="247" t="s">
        <v>148</v>
      </c>
      <c r="AE1725" s="247" t="s">
        <v>2655</v>
      </c>
    </row>
    <row r="1726" spans="1:38" s="247" customFormat="1" x14ac:dyDescent="0.3">
      <c r="A1726" s="249">
        <v>43545.511990740742</v>
      </c>
      <c r="E1726" s="157">
        <v>42093</v>
      </c>
      <c r="F1726" s="247" t="s">
        <v>16</v>
      </c>
      <c r="G1726" s="247" t="s">
        <v>149</v>
      </c>
      <c r="H1726" s="247" t="s">
        <v>149</v>
      </c>
      <c r="I1726" s="247" t="s">
        <v>16</v>
      </c>
      <c r="J1726" s="247" t="s">
        <v>16</v>
      </c>
      <c r="K1726" s="247" t="s">
        <v>149</v>
      </c>
      <c r="L1726" s="247" t="s">
        <v>16</v>
      </c>
      <c r="M1726" s="247" t="s">
        <v>149</v>
      </c>
      <c r="N1726" s="247" t="s">
        <v>148</v>
      </c>
      <c r="O1726" s="247" t="s">
        <v>148</v>
      </c>
      <c r="P1726" s="247" t="s">
        <v>148</v>
      </c>
      <c r="Q1726" s="247" t="s">
        <v>16</v>
      </c>
      <c r="R1726" s="247" t="s">
        <v>16</v>
      </c>
      <c r="S1726" s="247" t="s">
        <v>16</v>
      </c>
      <c r="T1726" s="247" t="s">
        <v>149</v>
      </c>
      <c r="U1726" s="247" t="s">
        <v>16</v>
      </c>
      <c r="V1726" s="247" t="s">
        <v>149</v>
      </c>
      <c r="W1726" s="247" t="s">
        <v>16</v>
      </c>
      <c r="X1726" s="247" t="s">
        <v>148</v>
      </c>
      <c r="Y1726" s="247" t="s">
        <v>149</v>
      </c>
      <c r="Z1726" s="247" t="s">
        <v>149</v>
      </c>
      <c r="AA1726" s="247" t="s">
        <v>16</v>
      </c>
      <c r="AB1726" s="247" t="s">
        <v>148</v>
      </c>
      <c r="AC1726" s="247" t="s">
        <v>16</v>
      </c>
      <c r="AD1726" s="247" t="s">
        <v>149</v>
      </c>
      <c r="AE1726" s="247" t="s">
        <v>2659</v>
      </c>
    </row>
    <row r="1727" spans="1:38" s="247" customFormat="1" x14ac:dyDescent="0.3">
      <c r="A1727" s="249">
        <v>43545.525196759256</v>
      </c>
      <c r="E1727" s="157">
        <v>42093</v>
      </c>
      <c r="F1727" s="247" t="s">
        <v>16</v>
      </c>
      <c r="G1727" s="247" t="s">
        <v>16</v>
      </c>
      <c r="H1727" s="247" t="s">
        <v>16</v>
      </c>
      <c r="I1727" s="247" t="s">
        <v>16</v>
      </c>
      <c r="J1727" s="247" t="s">
        <v>16</v>
      </c>
      <c r="K1727" s="247" t="s">
        <v>16</v>
      </c>
      <c r="L1727" s="247" t="s">
        <v>16</v>
      </c>
      <c r="M1727" s="247" t="s">
        <v>16</v>
      </c>
      <c r="N1727" s="247" t="s">
        <v>16</v>
      </c>
      <c r="O1727" s="247" t="s">
        <v>16</v>
      </c>
      <c r="P1727" s="247" t="s">
        <v>16</v>
      </c>
      <c r="Q1727" s="247" t="s">
        <v>16</v>
      </c>
      <c r="R1727" s="247" t="s">
        <v>16</v>
      </c>
      <c r="S1727" s="247" t="s">
        <v>16</v>
      </c>
      <c r="T1727" s="247" t="s">
        <v>16</v>
      </c>
      <c r="U1727" s="247" t="s">
        <v>16</v>
      </c>
      <c r="V1727" s="247" t="s">
        <v>16</v>
      </c>
      <c r="W1727" s="247" t="s">
        <v>16</v>
      </c>
      <c r="X1727" s="247" t="s">
        <v>16</v>
      </c>
      <c r="Y1727" s="247" t="s">
        <v>16</v>
      </c>
      <c r="Z1727" s="247" t="s">
        <v>16</v>
      </c>
      <c r="AA1727" s="247" t="s">
        <v>16</v>
      </c>
      <c r="AB1727" s="247" t="s">
        <v>16</v>
      </c>
      <c r="AC1727" s="247" t="s">
        <v>16</v>
      </c>
      <c r="AD1727" s="247" t="s">
        <v>16</v>
      </c>
      <c r="AE1727" s="247" t="s">
        <v>2656</v>
      </c>
    </row>
    <row r="1728" spans="1:38" s="247" customFormat="1" x14ac:dyDescent="0.3">
      <c r="A1728" s="249">
        <v>43545.621979166666</v>
      </c>
      <c r="E1728" s="157">
        <v>42093</v>
      </c>
      <c r="F1728" s="247" t="s">
        <v>16</v>
      </c>
      <c r="G1728" s="247" t="s">
        <v>148</v>
      </c>
      <c r="H1728" s="247" t="s">
        <v>16</v>
      </c>
      <c r="I1728" s="247" t="s">
        <v>16</v>
      </c>
      <c r="J1728" s="247" t="s">
        <v>148</v>
      </c>
      <c r="K1728" s="247" t="s">
        <v>148</v>
      </c>
      <c r="L1728" s="247" t="s">
        <v>16</v>
      </c>
      <c r="M1728" s="247" t="s">
        <v>16</v>
      </c>
      <c r="N1728" s="247" t="s">
        <v>148</v>
      </c>
      <c r="O1728" s="247" t="s">
        <v>16</v>
      </c>
      <c r="P1728" s="247" t="s">
        <v>148</v>
      </c>
      <c r="Q1728" s="247" t="s">
        <v>16</v>
      </c>
      <c r="R1728" s="247" t="s">
        <v>16</v>
      </c>
      <c r="S1728" s="247" t="s">
        <v>148</v>
      </c>
      <c r="T1728" s="247" t="s">
        <v>148</v>
      </c>
      <c r="U1728" s="247" t="s">
        <v>16</v>
      </c>
      <c r="V1728" s="247" t="s">
        <v>16</v>
      </c>
      <c r="W1728" s="247" t="s">
        <v>16</v>
      </c>
      <c r="X1728" s="247" t="s">
        <v>16</v>
      </c>
      <c r="Y1728" s="247" t="s">
        <v>16</v>
      </c>
      <c r="Z1728" s="247" t="s">
        <v>16</v>
      </c>
      <c r="AA1728" s="247" t="s">
        <v>148</v>
      </c>
      <c r="AB1728" s="247" t="s">
        <v>16</v>
      </c>
      <c r="AC1728" s="247" t="s">
        <v>16</v>
      </c>
      <c r="AD1728" s="247" t="s">
        <v>148</v>
      </c>
      <c r="AE1728" s="247" t="s">
        <v>2659</v>
      </c>
    </row>
    <row r="1729" spans="1:32" s="247" customFormat="1" x14ac:dyDescent="0.3">
      <c r="A1729" s="249">
        <v>43545.811585648145</v>
      </c>
      <c r="E1729" s="157">
        <v>42093</v>
      </c>
      <c r="F1729" s="247" t="s">
        <v>2651</v>
      </c>
      <c r="G1729" s="247" t="s">
        <v>2651</v>
      </c>
      <c r="H1729" s="247" t="s">
        <v>2651</v>
      </c>
      <c r="I1729" s="247" t="s">
        <v>16</v>
      </c>
      <c r="J1729" s="247" t="s">
        <v>149</v>
      </c>
      <c r="K1729" s="247" t="s">
        <v>2651</v>
      </c>
      <c r="L1729" s="247" t="s">
        <v>2651</v>
      </c>
      <c r="M1729" s="247" t="s">
        <v>2651</v>
      </c>
      <c r="N1729" s="247" t="s">
        <v>16</v>
      </c>
      <c r="O1729" s="247" t="s">
        <v>2651</v>
      </c>
      <c r="P1729" s="247" t="s">
        <v>16</v>
      </c>
      <c r="Q1729" s="247" t="s">
        <v>149</v>
      </c>
      <c r="R1729" s="247" t="s">
        <v>2651</v>
      </c>
      <c r="S1729" s="247" t="s">
        <v>2651</v>
      </c>
      <c r="T1729" s="247" t="s">
        <v>2651</v>
      </c>
      <c r="U1729" s="247" t="s">
        <v>2651</v>
      </c>
      <c r="V1729" s="247" t="s">
        <v>2651</v>
      </c>
      <c r="W1729" s="247" t="s">
        <v>149</v>
      </c>
      <c r="X1729" s="247" t="s">
        <v>149</v>
      </c>
      <c r="Y1729" s="247" t="s">
        <v>2651</v>
      </c>
      <c r="Z1729" s="247" t="s">
        <v>2651</v>
      </c>
      <c r="AA1729" s="247" t="s">
        <v>2651</v>
      </c>
      <c r="AB1729" s="247" t="s">
        <v>148</v>
      </c>
      <c r="AC1729" s="247" t="s">
        <v>149</v>
      </c>
      <c r="AD1729" s="247" t="s">
        <v>149</v>
      </c>
      <c r="AE1729" s="247" t="s">
        <v>2656</v>
      </c>
    </row>
    <row r="1730" spans="1:32" s="247" customFormat="1" x14ac:dyDescent="0.3">
      <c r="A1730" s="249">
        <v>43545.824155092596</v>
      </c>
      <c r="E1730" s="157">
        <v>42093</v>
      </c>
      <c r="F1730" s="247" t="s">
        <v>16</v>
      </c>
      <c r="G1730" s="247" t="s">
        <v>16</v>
      </c>
      <c r="H1730" s="247" t="s">
        <v>16</v>
      </c>
      <c r="I1730" s="247" t="s">
        <v>148</v>
      </c>
      <c r="J1730" s="247" t="s">
        <v>148</v>
      </c>
      <c r="K1730" s="247" t="s">
        <v>16</v>
      </c>
      <c r="L1730" s="247" t="s">
        <v>149</v>
      </c>
      <c r="M1730" s="247" t="s">
        <v>148</v>
      </c>
      <c r="N1730" s="247" t="s">
        <v>148</v>
      </c>
      <c r="O1730" s="247" t="s">
        <v>2652</v>
      </c>
      <c r="P1730" s="247" t="s">
        <v>148</v>
      </c>
      <c r="Q1730" s="247" t="s">
        <v>16</v>
      </c>
      <c r="R1730" s="247" t="s">
        <v>16</v>
      </c>
      <c r="S1730" s="247" t="s">
        <v>16</v>
      </c>
      <c r="T1730" s="247" t="s">
        <v>148</v>
      </c>
      <c r="U1730" s="247" t="s">
        <v>16</v>
      </c>
      <c r="V1730" s="247" t="s">
        <v>16</v>
      </c>
      <c r="W1730" s="247" t="s">
        <v>148</v>
      </c>
      <c r="X1730" s="247" t="s">
        <v>16</v>
      </c>
      <c r="Y1730" s="247" t="s">
        <v>148</v>
      </c>
      <c r="Z1730" s="247" t="s">
        <v>16</v>
      </c>
      <c r="AA1730" s="247" t="s">
        <v>16</v>
      </c>
      <c r="AB1730" s="247" t="s">
        <v>148</v>
      </c>
      <c r="AC1730" s="247" t="s">
        <v>16</v>
      </c>
      <c r="AD1730" s="247" t="s">
        <v>16</v>
      </c>
      <c r="AE1730" s="247" t="s">
        <v>2659</v>
      </c>
    </row>
    <row r="1731" spans="1:32" s="247" customFormat="1" x14ac:dyDescent="0.3">
      <c r="A1731" s="249">
        <v>43546.012164351851</v>
      </c>
      <c r="E1731" s="157">
        <v>42093</v>
      </c>
      <c r="F1731" s="247" t="s">
        <v>16</v>
      </c>
      <c r="G1731" s="247" t="s">
        <v>16</v>
      </c>
      <c r="H1731" s="247" t="s">
        <v>16</v>
      </c>
      <c r="I1731" s="247" t="s">
        <v>16</v>
      </c>
      <c r="J1731" s="247" t="s">
        <v>16</v>
      </c>
      <c r="K1731" s="247" t="s">
        <v>16</v>
      </c>
      <c r="L1731" s="247" t="s">
        <v>16</v>
      </c>
      <c r="M1731" s="247" t="s">
        <v>16</v>
      </c>
      <c r="N1731" s="247" t="s">
        <v>16</v>
      </c>
      <c r="O1731" s="247" t="s">
        <v>149</v>
      </c>
      <c r="P1731" s="247" t="s">
        <v>16</v>
      </c>
      <c r="Q1731" s="247" t="s">
        <v>16</v>
      </c>
      <c r="R1731" s="247" t="s">
        <v>16</v>
      </c>
      <c r="S1731" s="247" t="s">
        <v>148</v>
      </c>
      <c r="T1731" s="247" t="s">
        <v>16</v>
      </c>
      <c r="U1731" s="247" t="s">
        <v>16</v>
      </c>
      <c r="V1731" s="247" t="s">
        <v>16</v>
      </c>
      <c r="W1731" s="247" t="s">
        <v>16</v>
      </c>
      <c r="X1731" s="247" t="s">
        <v>16</v>
      </c>
      <c r="Y1731" s="247" t="s">
        <v>16</v>
      </c>
      <c r="Z1731" s="247" t="s">
        <v>16</v>
      </c>
      <c r="AA1731" s="247" t="s">
        <v>149</v>
      </c>
      <c r="AB1731" s="247" t="s">
        <v>16</v>
      </c>
      <c r="AC1731" s="247" t="s">
        <v>16</v>
      </c>
      <c r="AD1731" s="247" t="s">
        <v>16</v>
      </c>
      <c r="AE1731" s="247" t="s">
        <v>2660</v>
      </c>
    </row>
    <row r="1732" spans="1:32" s="247" customFormat="1" x14ac:dyDescent="0.3">
      <c r="A1732" s="249">
        <v>43546.126215277778</v>
      </c>
      <c r="E1732" s="157">
        <v>42093</v>
      </c>
      <c r="F1732" s="247" t="s">
        <v>16</v>
      </c>
      <c r="G1732" s="247" t="s">
        <v>16</v>
      </c>
      <c r="H1732" s="247" t="s">
        <v>16</v>
      </c>
      <c r="I1732" s="247" t="s">
        <v>16</v>
      </c>
      <c r="J1732" s="247" t="s">
        <v>16</v>
      </c>
      <c r="K1732" s="247" t="s">
        <v>149</v>
      </c>
      <c r="L1732" s="247" t="s">
        <v>149</v>
      </c>
      <c r="M1732" s="247" t="s">
        <v>16</v>
      </c>
      <c r="N1732" s="247" t="s">
        <v>148</v>
      </c>
      <c r="O1732" s="247" t="s">
        <v>16</v>
      </c>
      <c r="P1732" s="247" t="s">
        <v>149</v>
      </c>
      <c r="Q1732" s="247" t="s">
        <v>16</v>
      </c>
      <c r="R1732" s="247" t="s">
        <v>148</v>
      </c>
      <c r="S1732" s="247" t="s">
        <v>16</v>
      </c>
      <c r="T1732" s="247" t="s">
        <v>16</v>
      </c>
      <c r="U1732" s="247" t="s">
        <v>148</v>
      </c>
      <c r="V1732" s="247" t="s">
        <v>16</v>
      </c>
      <c r="W1732" s="247" t="s">
        <v>16</v>
      </c>
      <c r="X1732" s="247" t="s">
        <v>16</v>
      </c>
      <c r="Y1732" s="247" t="s">
        <v>16</v>
      </c>
      <c r="Z1732" s="247" t="s">
        <v>16</v>
      </c>
      <c r="AA1732" s="247" t="s">
        <v>16</v>
      </c>
      <c r="AB1732" s="247" t="s">
        <v>16</v>
      </c>
      <c r="AC1732" s="247" t="s">
        <v>148</v>
      </c>
      <c r="AD1732" s="247" t="s">
        <v>16</v>
      </c>
      <c r="AE1732" s="247" t="s">
        <v>2660</v>
      </c>
    </row>
    <row r="1733" spans="1:32" s="247" customFormat="1" x14ac:dyDescent="0.3">
      <c r="A1733" s="249">
        <v>43546.227870370371</v>
      </c>
      <c r="E1733" s="157">
        <v>42093</v>
      </c>
      <c r="F1733" s="247" t="s">
        <v>148</v>
      </c>
      <c r="G1733" s="247" t="s">
        <v>16</v>
      </c>
      <c r="H1733" s="247" t="s">
        <v>16</v>
      </c>
      <c r="I1733" s="247" t="s">
        <v>16</v>
      </c>
      <c r="J1733" s="247" t="s">
        <v>16</v>
      </c>
      <c r="K1733" s="247" t="s">
        <v>16</v>
      </c>
      <c r="L1733" s="247" t="s">
        <v>16</v>
      </c>
      <c r="M1733" s="247" t="s">
        <v>148</v>
      </c>
      <c r="N1733" s="247" t="s">
        <v>16</v>
      </c>
      <c r="O1733" s="247" t="s">
        <v>16</v>
      </c>
      <c r="P1733" s="247" t="s">
        <v>148</v>
      </c>
      <c r="Q1733" s="247" t="s">
        <v>16</v>
      </c>
      <c r="R1733" s="247" t="s">
        <v>16</v>
      </c>
      <c r="S1733" s="247" t="s">
        <v>16</v>
      </c>
      <c r="T1733" s="247" t="s">
        <v>148</v>
      </c>
      <c r="U1733" s="247" t="s">
        <v>16</v>
      </c>
      <c r="V1733" s="247" t="s">
        <v>148</v>
      </c>
      <c r="W1733" s="247" t="s">
        <v>2652</v>
      </c>
      <c r="X1733" s="247" t="s">
        <v>16</v>
      </c>
      <c r="Y1733" s="247" t="s">
        <v>16</v>
      </c>
      <c r="Z1733" s="247" t="s">
        <v>148</v>
      </c>
      <c r="AA1733" s="247" t="s">
        <v>16</v>
      </c>
      <c r="AB1733" s="247" t="s">
        <v>16</v>
      </c>
      <c r="AC1733" s="247" t="s">
        <v>16</v>
      </c>
      <c r="AD1733" s="247" t="s">
        <v>16</v>
      </c>
      <c r="AE1733" s="247" t="s">
        <v>2656</v>
      </c>
    </row>
    <row r="1734" spans="1:32" s="247" customFormat="1" x14ac:dyDescent="0.3">
      <c r="A1734" s="249">
        <v>43546.373182870368</v>
      </c>
      <c r="E1734" s="157">
        <v>42093</v>
      </c>
      <c r="F1734" s="247" t="s">
        <v>16</v>
      </c>
      <c r="G1734" s="247" t="s">
        <v>16</v>
      </c>
      <c r="H1734" s="247" t="s">
        <v>16</v>
      </c>
      <c r="I1734" s="247" t="s">
        <v>16</v>
      </c>
      <c r="J1734" s="247" t="s">
        <v>16</v>
      </c>
      <c r="K1734" s="247" t="s">
        <v>16</v>
      </c>
      <c r="L1734" s="247" t="s">
        <v>16</v>
      </c>
      <c r="M1734" s="247" t="s">
        <v>16</v>
      </c>
      <c r="N1734" s="247" t="s">
        <v>16</v>
      </c>
      <c r="O1734" s="247" t="s">
        <v>16</v>
      </c>
      <c r="P1734" s="247" t="s">
        <v>16</v>
      </c>
      <c r="Q1734" s="247" t="s">
        <v>16</v>
      </c>
      <c r="R1734" s="247" t="s">
        <v>16</v>
      </c>
      <c r="S1734" s="247" t="s">
        <v>16</v>
      </c>
      <c r="T1734" s="247" t="s">
        <v>16</v>
      </c>
      <c r="U1734" s="247" t="s">
        <v>16</v>
      </c>
      <c r="V1734" s="247" t="s">
        <v>16</v>
      </c>
      <c r="W1734" s="247" t="s">
        <v>16</v>
      </c>
      <c r="X1734" s="247" t="s">
        <v>16</v>
      </c>
      <c r="Y1734" s="247" t="s">
        <v>16</v>
      </c>
      <c r="Z1734" s="247" t="s">
        <v>16</v>
      </c>
      <c r="AA1734" s="247" t="s">
        <v>16</v>
      </c>
      <c r="AB1734" s="247" t="s">
        <v>16</v>
      </c>
      <c r="AC1734" s="247" t="s">
        <v>16</v>
      </c>
      <c r="AD1734" s="247" t="s">
        <v>16</v>
      </c>
      <c r="AE1734" s="247" t="s">
        <v>2657</v>
      </c>
    </row>
    <row r="1735" spans="1:32" s="247" customFormat="1" x14ac:dyDescent="0.3">
      <c r="A1735" s="249">
        <v>43546.424004629633</v>
      </c>
      <c r="E1735" s="157">
        <v>42093</v>
      </c>
      <c r="F1735" s="247" t="s">
        <v>16</v>
      </c>
      <c r="G1735" s="247" t="s">
        <v>16</v>
      </c>
      <c r="H1735" s="247" t="s">
        <v>16</v>
      </c>
      <c r="I1735" s="247" t="s">
        <v>16</v>
      </c>
      <c r="J1735" s="247" t="s">
        <v>16</v>
      </c>
      <c r="K1735" s="247" t="s">
        <v>16</v>
      </c>
      <c r="L1735" s="247" t="s">
        <v>16</v>
      </c>
      <c r="M1735" s="247" t="s">
        <v>16</v>
      </c>
      <c r="N1735" s="247" t="s">
        <v>16</v>
      </c>
      <c r="O1735" s="247" t="s">
        <v>16</v>
      </c>
      <c r="P1735" s="247" t="s">
        <v>16</v>
      </c>
      <c r="Q1735" s="247" t="s">
        <v>16</v>
      </c>
      <c r="R1735" s="247" t="s">
        <v>16</v>
      </c>
      <c r="S1735" s="247" t="s">
        <v>16</v>
      </c>
      <c r="T1735" s="247" t="s">
        <v>16</v>
      </c>
      <c r="U1735" s="247" t="s">
        <v>16</v>
      </c>
      <c r="V1735" s="247" t="s">
        <v>16</v>
      </c>
      <c r="W1735" s="247" t="s">
        <v>16</v>
      </c>
      <c r="X1735" s="247" t="s">
        <v>16</v>
      </c>
      <c r="Y1735" s="247" t="s">
        <v>16</v>
      </c>
      <c r="Z1735" s="247" t="s">
        <v>16</v>
      </c>
      <c r="AA1735" s="247" t="s">
        <v>16</v>
      </c>
      <c r="AB1735" s="247" t="s">
        <v>16</v>
      </c>
      <c r="AC1735" s="247" t="s">
        <v>16</v>
      </c>
      <c r="AD1735" s="247" t="s">
        <v>16</v>
      </c>
      <c r="AE1735" s="247" t="s">
        <v>2653</v>
      </c>
      <c r="AF1735" s="247" t="s">
        <v>2661</v>
      </c>
    </row>
    <row r="1736" spans="1:32" s="247" customFormat="1" x14ac:dyDescent="0.3">
      <c r="A1736" s="249">
        <v>43547.028229166666</v>
      </c>
      <c r="E1736" s="157">
        <v>42093</v>
      </c>
      <c r="F1736" s="247" t="s">
        <v>16</v>
      </c>
      <c r="G1736" s="247" t="s">
        <v>16</v>
      </c>
      <c r="H1736" s="247" t="s">
        <v>16</v>
      </c>
      <c r="I1736" s="247" t="s">
        <v>16</v>
      </c>
      <c r="J1736" s="247" t="s">
        <v>16</v>
      </c>
      <c r="K1736" s="247" t="s">
        <v>16</v>
      </c>
      <c r="L1736" s="247" t="s">
        <v>16</v>
      </c>
      <c r="M1736" s="247" t="s">
        <v>16</v>
      </c>
      <c r="N1736" s="247" t="s">
        <v>16</v>
      </c>
      <c r="O1736" s="247" t="s">
        <v>16</v>
      </c>
      <c r="P1736" s="247" t="s">
        <v>16</v>
      </c>
      <c r="Q1736" s="247" t="s">
        <v>16</v>
      </c>
      <c r="R1736" s="247" t="s">
        <v>16</v>
      </c>
      <c r="S1736" s="247" t="s">
        <v>16</v>
      </c>
      <c r="T1736" s="247" t="s">
        <v>16</v>
      </c>
      <c r="U1736" s="247" t="s">
        <v>16</v>
      </c>
      <c r="V1736" s="247" t="s">
        <v>16</v>
      </c>
      <c r="W1736" s="247" t="s">
        <v>16</v>
      </c>
      <c r="X1736" s="247" t="s">
        <v>16</v>
      </c>
      <c r="Y1736" s="247" t="s">
        <v>16</v>
      </c>
      <c r="Z1736" s="247" t="s">
        <v>148</v>
      </c>
      <c r="AA1736" s="247" t="s">
        <v>16</v>
      </c>
      <c r="AB1736" s="247" t="s">
        <v>149</v>
      </c>
      <c r="AC1736" s="247" t="s">
        <v>16</v>
      </c>
      <c r="AD1736" s="247" t="s">
        <v>16</v>
      </c>
      <c r="AE1736" s="247" t="s">
        <v>2657</v>
      </c>
    </row>
    <row r="1737" spans="1:32" s="247" customFormat="1" x14ac:dyDescent="0.3">
      <c r="A1737" s="249">
        <v>43547.125034722223</v>
      </c>
      <c r="E1737" s="157">
        <v>42093</v>
      </c>
      <c r="F1737" s="247" t="s">
        <v>16</v>
      </c>
      <c r="G1737" s="247" t="s">
        <v>16</v>
      </c>
      <c r="H1737" s="247" t="s">
        <v>16</v>
      </c>
      <c r="I1737" s="247" t="s">
        <v>16</v>
      </c>
      <c r="J1737" s="247" t="s">
        <v>16</v>
      </c>
      <c r="K1737" s="247" t="s">
        <v>16</v>
      </c>
      <c r="L1737" s="247" t="s">
        <v>16</v>
      </c>
      <c r="M1737" s="247" t="s">
        <v>16</v>
      </c>
      <c r="N1737" s="247" t="s">
        <v>16</v>
      </c>
      <c r="O1737" s="247" t="s">
        <v>16</v>
      </c>
      <c r="P1737" s="247" t="s">
        <v>16</v>
      </c>
      <c r="Q1737" s="247" t="s">
        <v>16</v>
      </c>
      <c r="R1737" s="247" t="s">
        <v>16</v>
      </c>
      <c r="S1737" s="247" t="s">
        <v>16</v>
      </c>
      <c r="T1737" s="247" t="s">
        <v>16</v>
      </c>
      <c r="U1737" s="247" t="s">
        <v>16</v>
      </c>
      <c r="V1737" s="247" t="s">
        <v>16</v>
      </c>
      <c r="W1737" s="247" t="s">
        <v>16</v>
      </c>
      <c r="X1737" s="247" t="s">
        <v>16</v>
      </c>
      <c r="Y1737" s="247" t="s">
        <v>16</v>
      </c>
      <c r="Z1737" s="247" t="s">
        <v>16</v>
      </c>
      <c r="AA1737" s="247" t="s">
        <v>16</v>
      </c>
      <c r="AB1737" s="247" t="s">
        <v>16</v>
      </c>
      <c r="AC1737" s="247" t="s">
        <v>16</v>
      </c>
      <c r="AD1737" s="247" t="s">
        <v>16</v>
      </c>
      <c r="AE1737" s="247" t="s">
        <v>2659</v>
      </c>
    </row>
    <row r="1738" spans="1:32" s="247" customFormat="1" x14ac:dyDescent="0.3">
      <c r="A1738" s="249">
        <v>43547.773854166669</v>
      </c>
      <c r="E1738" s="157">
        <v>42093</v>
      </c>
      <c r="F1738" s="247" t="s">
        <v>148</v>
      </c>
      <c r="G1738" s="247" t="s">
        <v>148</v>
      </c>
      <c r="H1738" s="247" t="s">
        <v>16</v>
      </c>
      <c r="I1738" s="247" t="s">
        <v>148</v>
      </c>
      <c r="J1738" s="247" t="s">
        <v>16</v>
      </c>
      <c r="K1738" s="247" t="s">
        <v>16</v>
      </c>
      <c r="L1738" s="247" t="s">
        <v>16</v>
      </c>
      <c r="M1738" s="247" t="s">
        <v>148</v>
      </c>
      <c r="N1738" s="247" t="s">
        <v>148</v>
      </c>
      <c r="O1738" s="247" t="s">
        <v>148</v>
      </c>
      <c r="P1738" s="247" t="s">
        <v>148</v>
      </c>
      <c r="Q1738" s="247" t="s">
        <v>16</v>
      </c>
      <c r="R1738" s="247" t="s">
        <v>148</v>
      </c>
      <c r="S1738" s="247" t="s">
        <v>148</v>
      </c>
      <c r="T1738" s="247" t="s">
        <v>16</v>
      </c>
      <c r="U1738" s="247" t="s">
        <v>148</v>
      </c>
      <c r="V1738" s="247" t="s">
        <v>16</v>
      </c>
      <c r="W1738" s="247" t="s">
        <v>16</v>
      </c>
      <c r="X1738" s="247" t="s">
        <v>148</v>
      </c>
      <c r="Y1738" s="247" t="s">
        <v>16</v>
      </c>
      <c r="Z1738" s="247" t="s">
        <v>16</v>
      </c>
      <c r="AA1738" s="247" t="s">
        <v>16</v>
      </c>
      <c r="AB1738" s="247" t="s">
        <v>16</v>
      </c>
      <c r="AC1738" s="247" t="s">
        <v>148</v>
      </c>
      <c r="AD1738" s="247" t="s">
        <v>16</v>
      </c>
      <c r="AE1738" s="247" t="s">
        <v>2657</v>
      </c>
    </row>
    <row r="1739" spans="1:32" s="247" customFormat="1" x14ac:dyDescent="0.3">
      <c r="A1739" s="249">
        <v>43549.398263888892</v>
      </c>
      <c r="E1739" s="157">
        <v>42093</v>
      </c>
      <c r="F1739" s="247" t="s">
        <v>16</v>
      </c>
      <c r="G1739" s="247" t="s">
        <v>16</v>
      </c>
      <c r="H1739" s="247" t="s">
        <v>16</v>
      </c>
      <c r="I1739" s="247" t="s">
        <v>16</v>
      </c>
      <c r="J1739" s="247" t="s">
        <v>16</v>
      </c>
      <c r="K1739" s="247" t="s">
        <v>16</v>
      </c>
      <c r="L1739" s="247" t="s">
        <v>16</v>
      </c>
      <c r="M1739" s="247" t="s">
        <v>16</v>
      </c>
      <c r="N1739" s="247" t="s">
        <v>148</v>
      </c>
      <c r="O1739" s="247" t="s">
        <v>148</v>
      </c>
      <c r="P1739" s="247" t="s">
        <v>16</v>
      </c>
      <c r="Q1739" s="247" t="s">
        <v>16</v>
      </c>
      <c r="R1739" s="247" t="s">
        <v>16</v>
      </c>
      <c r="S1739" s="247" t="s">
        <v>16</v>
      </c>
      <c r="T1739" s="247" t="s">
        <v>16</v>
      </c>
      <c r="U1739" s="247" t="s">
        <v>16</v>
      </c>
      <c r="V1739" s="247" t="s">
        <v>148</v>
      </c>
      <c r="W1739" s="247" t="s">
        <v>148</v>
      </c>
      <c r="X1739" s="247" t="s">
        <v>148</v>
      </c>
      <c r="Y1739" s="247" t="s">
        <v>16</v>
      </c>
      <c r="Z1739" s="247" t="s">
        <v>16</v>
      </c>
      <c r="AA1739" s="247" t="s">
        <v>16</v>
      </c>
      <c r="AB1739" s="247" t="s">
        <v>16</v>
      </c>
      <c r="AC1739" s="247" t="s">
        <v>148</v>
      </c>
      <c r="AD1739" s="247" t="s">
        <v>148</v>
      </c>
      <c r="AE1739" s="247" t="s">
        <v>2662</v>
      </c>
    </row>
    <row r="1740" spans="1:32" s="247" customFormat="1" x14ac:dyDescent="0.3">
      <c r="A1740" s="249">
        <v>43549.407870370371</v>
      </c>
      <c r="E1740" s="157">
        <v>42093</v>
      </c>
      <c r="F1740" s="247" t="s">
        <v>16</v>
      </c>
      <c r="G1740" s="247" t="s">
        <v>16</v>
      </c>
      <c r="H1740" s="247" t="s">
        <v>16</v>
      </c>
      <c r="I1740" s="247" t="s">
        <v>16</v>
      </c>
      <c r="J1740" s="247" t="s">
        <v>16</v>
      </c>
      <c r="K1740" s="247" t="s">
        <v>16</v>
      </c>
      <c r="L1740" s="247" t="s">
        <v>16</v>
      </c>
      <c r="M1740" s="247" t="s">
        <v>16</v>
      </c>
      <c r="N1740" s="247" t="s">
        <v>16</v>
      </c>
      <c r="O1740" s="247" t="s">
        <v>16</v>
      </c>
      <c r="P1740" s="247" t="s">
        <v>16</v>
      </c>
      <c r="Q1740" s="247" t="s">
        <v>16</v>
      </c>
      <c r="R1740" s="247" t="s">
        <v>16</v>
      </c>
      <c r="S1740" s="247" t="s">
        <v>16</v>
      </c>
      <c r="T1740" s="247" t="s">
        <v>16</v>
      </c>
      <c r="U1740" s="247" t="s">
        <v>16</v>
      </c>
      <c r="V1740" s="247" t="s">
        <v>16</v>
      </c>
      <c r="W1740" s="247" t="s">
        <v>16</v>
      </c>
      <c r="X1740" s="247" t="s">
        <v>16</v>
      </c>
      <c r="Y1740" s="247" t="s">
        <v>16</v>
      </c>
      <c r="Z1740" s="247" t="s">
        <v>148</v>
      </c>
      <c r="AA1740" s="247" t="s">
        <v>16</v>
      </c>
      <c r="AB1740" s="247" t="s">
        <v>16</v>
      </c>
      <c r="AC1740" s="247" t="s">
        <v>16</v>
      </c>
      <c r="AD1740" s="247" t="s">
        <v>16</v>
      </c>
      <c r="AE1740" s="247" t="s">
        <v>2655</v>
      </c>
    </row>
    <row r="1741" spans="1:32" s="247" customFormat="1" x14ac:dyDescent="0.3">
      <c r="A1741" s="249">
        <v>43549.414641203701</v>
      </c>
      <c r="E1741" s="157">
        <v>42093</v>
      </c>
      <c r="F1741" s="247" t="s">
        <v>149</v>
      </c>
      <c r="G1741" s="247" t="s">
        <v>16</v>
      </c>
      <c r="H1741" s="247" t="s">
        <v>16</v>
      </c>
      <c r="I1741" s="247" t="s">
        <v>16</v>
      </c>
      <c r="J1741" s="247" t="s">
        <v>16</v>
      </c>
      <c r="K1741" s="247" t="s">
        <v>148</v>
      </c>
      <c r="L1741" s="247" t="s">
        <v>16</v>
      </c>
      <c r="M1741" s="247" t="s">
        <v>16</v>
      </c>
      <c r="N1741" s="247" t="s">
        <v>148</v>
      </c>
      <c r="O1741" s="247" t="s">
        <v>16</v>
      </c>
      <c r="P1741" s="247" t="s">
        <v>16</v>
      </c>
      <c r="Q1741" s="247" t="s">
        <v>16</v>
      </c>
      <c r="R1741" s="247" t="s">
        <v>148</v>
      </c>
      <c r="S1741" s="247" t="s">
        <v>16</v>
      </c>
      <c r="T1741" s="247" t="s">
        <v>16</v>
      </c>
      <c r="U1741" s="247" t="s">
        <v>148</v>
      </c>
      <c r="V1741" s="247" t="s">
        <v>16</v>
      </c>
      <c r="W1741" s="247" t="s">
        <v>148</v>
      </c>
      <c r="X1741" s="247" t="s">
        <v>148</v>
      </c>
      <c r="Y1741" s="247" t="s">
        <v>16</v>
      </c>
      <c r="Z1741" s="247" t="s">
        <v>16</v>
      </c>
      <c r="AA1741" s="247" t="s">
        <v>16</v>
      </c>
      <c r="AB1741" s="247" t="s">
        <v>16</v>
      </c>
      <c r="AC1741" s="247" t="s">
        <v>16</v>
      </c>
      <c r="AD1741" s="247" t="s">
        <v>16</v>
      </c>
      <c r="AE1741" s="247" t="s">
        <v>2659</v>
      </c>
    </row>
    <row r="1742" spans="1:32" s="247" customFormat="1" x14ac:dyDescent="0.3">
      <c r="A1742" s="249">
        <v>43550.409918981481</v>
      </c>
      <c r="E1742" s="157">
        <v>42093</v>
      </c>
      <c r="F1742" s="247" t="s">
        <v>16</v>
      </c>
      <c r="G1742" s="247" t="s">
        <v>16</v>
      </c>
      <c r="H1742" s="247" t="s">
        <v>16</v>
      </c>
      <c r="I1742" s="247" t="s">
        <v>16</v>
      </c>
      <c r="J1742" s="247" t="s">
        <v>148</v>
      </c>
      <c r="K1742" s="247" t="s">
        <v>16</v>
      </c>
      <c r="L1742" s="247" t="s">
        <v>16</v>
      </c>
      <c r="M1742" s="247" t="s">
        <v>16</v>
      </c>
      <c r="N1742" s="247" t="s">
        <v>148</v>
      </c>
      <c r="O1742" s="247" t="s">
        <v>149</v>
      </c>
      <c r="P1742" s="247" t="s">
        <v>16</v>
      </c>
      <c r="Q1742" s="247" t="s">
        <v>149</v>
      </c>
      <c r="R1742" s="247" t="s">
        <v>16</v>
      </c>
      <c r="S1742" s="247" t="s">
        <v>16</v>
      </c>
      <c r="T1742" s="247" t="s">
        <v>148</v>
      </c>
      <c r="U1742" s="247" t="s">
        <v>148</v>
      </c>
      <c r="V1742" s="247" t="s">
        <v>16</v>
      </c>
      <c r="W1742" s="247" t="s">
        <v>16</v>
      </c>
      <c r="X1742" s="247" t="s">
        <v>16</v>
      </c>
      <c r="Y1742" s="247" t="s">
        <v>16</v>
      </c>
      <c r="Z1742" s="247" t="s">
        <v>16</v>
      </c>
      <c r="AA1742" s="247" t="s">
        <v>148</v>
      </c>
      <c r="AB1742" s="247" t="s">
        <v>16</v>
      </c>
      <c r="AC1742" s="247" t="s">
        <v>16</v>
      </c>
      <c r="AD1742" s="247" t="s">
        <v>16</v>
      </c>
      <c r="AE1742" s="247" t="s">
        <v>2660</v>
      </c>
    </row>
    <row r="1743" spans="1:32" s="247" customFormat="1" x14ac:dyDescent="0.3">
      <c r="A1743" s="249">
        <v>43550.420659722222</v>
      </c>
      <c r="E1743" s="157">
        <v>42093</v>
      </c>
      <c r="F1743" s="247" t="s">
        <v>16</v>
      </c>
      <c r="G1743" s="247" t="s">
        <v>16</v>
      </c>
      <c r="H1743" s="247" t="s">
        <v>16</v>
      </c>
      <c r="I1743" s="247" t="s">
        <v>16</v>
      </c>
      <c r="J1743" s="247" t="s">
        <v>16</v>
      </c>
      <c r="K1743" s="247" t="s">
        <v>16</v>
      </c>
      <c r="L1743" s="247" t="s">
        <v>16</v>
      </c>
      <c r="M1743" s="247" t="s">
        <v>16</v>
      </c>
      <c r="N1743" s="247" t="s">
        <v>16</v>
      </c>
      <c r="O1743" s="247" t="s">
        <v>16</v>
      </c>
      <c r="P1743" s="247" t="s">
        <v>16</v>
      </c>
      <c r="Q1743" s="247" t="s">
        <v>16</v>
      </c>
      <c r="R1743" s="247" t="s">
        <v>16</v>
      </c>
      <c r="S1743" s="247" t="s">
        <v>16</v>
      </c>
      <c r="T1743" s="247" t="s">
        <v>16</v>
      </c>
      <c r="U1743" s="247" t="s">
        <v>16</v>
      </c>
      <c r="V1743" s="247" t="s">
        <v>16</v>
      </c>
      <c r="W1743" s="247" t="s">
        <v>16</v>
      </c>
      <c r="X1743" s="247" t="s">
        <v>16</v>
      </c>
      <c r="Y1743" s="247" t="s">
        <v>16</v>
      </c>
      <c r="Z1743" s="247" t="s">
        <v>16</v>
      </c>
      <c r="AA1743" s="247" t="s">
        <v>16</v>
      </c>
      <c r="AB1743" s="247" t="s">
        <v>16</v>
      </c>
      <c r="AC1743" s="247" t="s">
        <v>16</v>
      </c>
      <c r="AD1743" s="247" t="s">
        <v>16</v>
      </c>
      <c r="AE1743" s="247" t="s">
        <v>2663</v>
      </c>
      <c r="AF1743" s="247" t="s">
        <v>2664</v>
      </c>
    </row>
    <row r="1744" spans="1:32" s="247" customFormat="1" x14ac:dyDescent="0.3">
      <c r="A1744" s="249">
        <v>43550.494618055556</v>
      </c>
      <c r="E1744" s="157">
        <v>42093</v>
      </c>
      <c r="F1744" s="247" t="s">
        <v>16</v>
      </c>
      <c r="G1744" s="247" t="s">
        <v>16</v>
      </c>
      <c r="H1744" s="247" t="s">
        <v>16</v>
      </c>
      <c r="I1744" s="247" t="s">
        <v>16</v>
      </c>
      <c r="J1744" s="247" t="s">
        <v>16</v>
      </c>
      <c r="K1744" s="247" t="s">
        <v>148</v>
      </c>
      <c r="L1744" s="247" t="s">
        <v>16</v>
      </c>
      <c r="M1744" s="247" t="s">
        <v>16</v>
      </c>
      <c r="N1744" s="247" t="s">
        <v>16</v>
      </c>
      <c r="O1744" s="247" t="s">
        <v>16</v>
      </c>
      <c r="P1744" s="247" t="s">
        <v>16</v>
      </c>
      <c r="Q1744" s="247" t="s">
        <v>16</v>
      </c>
      <c r="R1744" s="247" t="s">
        <v>16</v>
      </c>
      <c r="S1744" s="247" t="s">
        <v>16</v>
      </c>
      <c r="T1744" s="247" t="s">
        <v>16</v>
      </c>
      <c r="U1744" s="247" t="s">
        <v>16</v>
      </c>
      <c r="V1744" s="247" t="s">
        <v>16</v>
      </c>
      <c r="W1744" s="247" t="s">
        <v>16</v>
      </c>
      <c r="X1744" s="247" t="s">
        <v>16</v>
      </c>
      <c r="Y1744" s="247" t="s">
        <v>16</v>
      </c>
      <c r="Z1744" s="247" t="s">
        <v>16</v>
      </c>
      <c r="AA1744" s="247" t="s">
        <v>16</v>
      </c>
      <c r="AB1744" s="247" t="s">
        <v>16</v>
      </c>
      <c r="AC1744" s="247" t="s">
        <v>16</v>
      </c>
      <c r="AD1744" s="247" t="s">
        <v>16</v>
      </c>
      <c r="AE1744" s="247" t="s">
        <v>2658</v>
      </c>
    </row>
    <row r="1745" spans="1:33" s="247" customFormat="1" x14ac:dyDescent="0.3">
      <c r="A1745" s="249">
        <v>43550.555277777778</v>
      </c>
      <c r="E1745" s="157">
        <v>42093</v>
      </c>
      <c r="F1745" s="247" t="s">
        <v>16</v>
      </c>
      <c r="G1745" s="247" t="s">
        <v>16</v>
      </c>
      <c r="H1745" s="247" t="s">
        <v>16</v>
      </c>
      <c r="I1745" s="247" t="s">
        <v>16</v>
      </c>
      <c r="J1745" s="247" t="s">
        <v>149</v>
      </c>
      <c r="K1745" s="247" t="s">
        <v>16</v>
      </c>
      <c r="L1745" s="247" t="s">
        <v>16</v>
      </c>
      <c r="M1745" s="247" t="s">
        <v>16</v>
      </c>
      <c r="N1745" s="247" t="s">
        <v>16</v>
      </c>
      <c r="O1745" s="247" t="s">
        <v>16</v>
      </c>
      <c r="P1745" s="247" t="s">
        <v>16</v>
      </c>
      <c r="Q1745" s="247" t="s">
        <v>148</v>
      </c>
      <c r="R1745" s="247" t="s">
        <v>16</v>
      </c>
      <c r="S1745" s="247" t="s">
        <v>16</v>
      </c>
      <c r="T1745" s="247" t="s">
        <v>16</v>
      </c>
      <c r="U1745" s="247" t="s">
        <v>16</v>
      </c>
      <c r="V1745" s="247" t="s">
        <v>16</v>
      </c>
      <c r="W1745" s="247" t="s">
        <v>16</v>
      </c>
      <c r="X1745" s="247" t="s">
        <v>148</v>
      </c>
      <c r="Y1745" s="247" t="s">
        <v>16</v>
      </c>
      <c r="Z1745" s="247" t="s">
        <v>16</v>
      </c>
      <c r="AA1745" s="247" t="s">
        <v>16</v>
      </c>
      <c r="AB1745" s="247" t="s">
        <v>16</v>
      </c>
      <c r="AC1745" s="247" t="s">
        <v>16</v>
      </c>
      <c r="AD1745" s="247" t="s">
        <v>16</v>
      </c>
      <c r="AE1745" s="247" t="s">
        <v>2665</v>
      </c>
    </row>
    <row r="1746" spans="1:33" s="247" customFormat="1" x14ac:dyDescent="0.3">
      <c r="A1746" s="249">
        <v>43551.055196759262</v>
      </c>
      <c r="E1746" s="157">
        <v>42093</v>
      </c>
      <c r="F1746" s="247" t="s">
        <v>16</v>
      </c>
      <c r="G1746" s="247" t="s">
        <v>148</v>
      </c>
      <c r="H1746" s="247" t="s">
        <v>16</v>
      </c>
      <c r="I1746" s="247" t="s">
        <v>148</v>
      </c>
      <c r="J1746" s="247" t="s">
        <v>149</v>
      </c>
      <c r="K1746" s="247" t="s">
        <v>16</v>
      </c>
      <c r="L1746" s="247" t="s">
        <v>148</v>
      </c>
      <c r="M1746" s="247" t="s">
        <v>16</v>
      </c>
      <c r="N1746" s="247" t="s">
        <v>148</v>
      </c>
      <c r="O1746" s="247" t="s">
        <v>16</v>
      </c>
      <c r="P1746" s="247" t="s">
        <v>148</v>
      </c>
      <c r="Q1746" s="247" t="s">
        <v>16</v>
      </c>
      <c r="R1746" s="247" t="s">
        <v>16</v>
      </c>
      <c r="S1746" s="247" t="s">
        <v>149</v>
      </c>
      <c r="T1746" s="247" t="s">
        <v>16</v>
      </c>
      <c r="U1746" s="247" t="s">
        <v>148</v>
      </c>
      <c r="V1746" s="247" t="s">
        <v>16</v>
      </c>
      <c r="W1746" s="247" t="s">
        <v>148</v>
      </c>
      <c r="X1746" s="247" t="s">
        <v>148</v>
      </c>
      <c r="Y1746" s="247" t="s">
        <v>16</v>
      </c>
      <c r="Z1746" s="247" t="s">
        <v>16</v>
      </c>
      <c r="AA1746" s="247" t="s">
        <v>16</v>
      </c>
      <c r="AB1746" s="247" t="s">
        <v>16</v>
      </c>
      <c r="AC1746" s="247" t="s">
        <v>2652</v>
      </c>
      <c r="AD1746" s="247" t="s">
        <v>16</v>
      </c>
      <c r="AE1746" s="247" t="s">
        <v>2660</v>
      </c>
    </row>
    <row r="1747" spans="1:33" s="247" customFormat="1" x14ac:dyDescent="0.3">
      <c r="A1747" s="249">
        <v>43551.515347222223</v>
      </c>
      <c r="E1747" s="157">
        <v>42093</v>
      </c>
      <c r="F1747" s="247" t="s">
        <v>16</v>
      </c>
      <c r="G1747" s="247" t="s">
        <v>16</v>
      </c>
      <c r="H1747" s="247" t="s">
        <v>16</v>
      </c>
      <c r="I1747" s="247" t="s">
        <v>16</v>
      </c>
      <c r="J1747" s="247" t="s">
        <v>16</v>
      </c>
      <c r="K1747" s="247" t="s">
        <v>16</v>
      </c>
      <c r="L1747" s="247" t="s">
        <v>16</v>
      </c>
      <c r="M1747" s="247" t="s">
        <v>16</v>
      </c>
      <c r="N1747" s="247" t="s">
        <v>16</v>
      </c>
      <c r="O1747" s="247" t="s">
        <v>16</v>
      </c>
      <c r="P1747" s="247" t="s">
        <v>16</v>
      </c>
      <c r="Q1747" s="247" t="s">
        <v>16</v>
      </c>
      <c r="R1747" s="247" t="s">
        <v>16</v>
      </c>
      <c r="S1747" s="247" t="s">
        <v>16</v>
      </c>
      <c r="T1747" s="247" t="s">
        <v>16</v>
      </c>
      <c r="U1747" s="247" t="s">
        <v>16</v>
      </c>
      <c r="V1747" s="247" t="s">
        <v>16</v>
      </c>
      <c r="W1747" s="247" t="s">
        <v>16</v>
      </c>
      <c r="X1747" s="247" t="s">
        <v>16</v>
      </c>
      <c r="Y1747" s="247" t="s">
        <v>16</v>
      </c>
      <c r="Z1747" s="247" t="s">
        <v>16</v>
      </c>
      <c r="AA1747" s="247" t="s">
        <v>16</v>
      </c>
      <c r="AB1747" s="247" t="s">
        <v>16</v>
      </c>
      <c r="AC1747" s="247" t="s">
        <v>16</v>
      </c>
      <c r="AD1747" s="247" t="s">
        <v>16</v>
      </c>
      <c r="AE1747" s="247" t="s">
        <v>2666</v>
      </c>
    </row>
    <row r="1748" spans="1:33" s="247" customFormat="1" x14ac:dyDescent="0.3">
      <c r="A1748" s="249"/>
      <c r="E1748" s="157"/>
    </row>
    <row r="1750" spans="1:33" x14ac:dyDescent="0.3">
      <c r="A1750" t="s">
        <v>2618</v>
      </c>
      <c r="E1750" t="s">
        <v>2622</v>
      </c>
      <c r="F1750" t="s">
        <v>2623</v>
      </c>
      <c r="G1750" t="s">
        <v>2624</v>
      </c>
      <c r="H1750" t="s">
        <v>2625</v>
      </c>
      <c r="I1750" t="s">
        <v>2626</v>
      </c>
      <c r="J1750" t="s">
        <v>2627</v>
      </c>
      <c r="K1750" t="s">
        <v>2628</v>
      </c>
      <c r="L1750" t="s">
        <v>2629</v>
      </c>
      <c r="M1750" t="s">
        <v>2630</v>
      </c>
      <c r="N1750" t="s">
        <v>2631</v>
      </c>
      <c r="O1750" t="s">
        <v>2632</v>
      </c>
      <c r="P1750" t="s">
        <v>2633</v>
      </c>
      <c r="Q1750" t="s">
        <v>2634</v>
      </c>
      <c r="R1750" t="s">
        <v>2635</v>
      </c>
      <c r="S1750" t="s">
        <v>2636</v>
      </c>
      <c r="T1750" t="s">
        <v>2637</v>
      </c>
      <c r="U1750" t="s">
        <v>2638</v>
      </c>
      <c r="V1750" t="s">
        <v>2639</v>
      </c>
      <c r="W1750" t="s">
        <v>2640</v>
      </c>
      <c r="X1750" t="s">
        <v>2641</v>
      </c>
      <c r="Y1750" t="s">
        <v>2642</v>
      </c>
      <c r="Z1750" t="s">
        <v>2643</v>
      </c>
      <c r="AA1750" t="s">
        <v>2644</v>
      </c>
      <c r="AB1750" t="s">
        <v>2645</v>
      </c>
      <c r="AC1750" t="s">
        <v>2646</v>
      </c>
      <c r="AD1750" t="s">
        <v>2647</v>
      </c>
      <c r="AE1750" t="s">
        <v>2648</v>
      </c>
      <c r="AF1750" t="s">
        <v>2649</v>
      </c>
      <c r="AG1750" t="s">
        <v>2650</v>
      </c>
    </row>
    <row r="1751" spans="1:33" x14ac:dyDescent="0.3">
      <c r="A1751">
        <v>42114.813136574077</v>
      </c>
      <c r="E1751" s="157">
        <v>42123</v>
      </c>
      <c r="F1751" t="s">
        <v>16</v>
      </c>
      <c r="G1751" t="s">
        <v>16</v>
      </c>
      <c r="H1751" t="s">
        <v>16</v>
      </c>
      <c r="I1751" t="s">
        <v>148</v>
      </c>
      <c r="J1751" t="s">
        <v>16</v>
      </c>
      <c r="K1751" t="s">
        <v>148</v>
      </c>
      <c r="L1751" t="s">
        <v>16</v>
      </c>
      <c r="M1751" t="s">
        <v>148</v>
      </c>
      <c r="N1751" t="s">
        <v>148</v>
      </c>
      <c r="O1751" t="s">
        <v>16</v>
      </c>
      <c r="P1751" t="s">
        <v>16</v>
      </c>
      <c r="Q1751" t="s">
        <v>16</v>
      </c>
      <c r="R1751" t="s">
        <v>16</v>
      </c>
      <c r="S1751" t="s">
        <v>148</v>
      </c>
      <c r="T1751" t="s">
        <v>16</v>
      </c>
      <c r="U1751" t="s">
        <v>16</v>
      </c>
      <c r="V1751" t="s">
        <v>16</v>
      </c>
      <c r="W1751" t="s">
        <v>148</v>
      </c>
      <c r="X1751" t="s">
        <v>16</v>
      </c>
      <c r="Y1751" t="s">
        <v>16</v>
      </c>
      <c r="Z1751" t="s">
        <v>16</v>
      </c>
      <c r="AA1751" t="s">
        <v>16</v>
      </c>
      <c r="AB1751" t="s">
        <v>16</v>
      </c>
      <c r="AC1751" t="s">
        <v>16</v>
      </c>
      <c r="AD1751" t="s">
        <v>16</v>
      </c>
      <c r="AE1751" t="s">
        <v>2667</v>
      </c>
    </row>
    <row r="1752" spans="1:33" x14ac:dyDescent="0.3">
      <c r="A1752">
        <v>42114.843206018515</v>
      </c>
      <c r="E1752" s="157">
        <v>42123</v>
      </c>
      <c r="F1752" t="s">
        <v>16</v>
      </c>
      <c r="G1752" t="s">
        <v>16</v>
      </c>
      <c r="H1752" t="s">
        <v>16</v>
      </c>
      <c r="I1752" t="s">
        <v>16</v>
      </c>
      <c r="J1752" t="s">
        <v>16</v>
      </c>
      <c r="K1752" t="s">
        <v>16</v>
      </c>
      <c r="L1752" t="s">
        <v>16</v>
      </c>
      <c r="M1752" t="s">
        <v>16</v>
      </c>
      <c r="N1752" t="s">
        <v>16</v>
      </c>
      <c r="O1752" t="s">
        <v>16</v>
      </c>
      <c r="P1752" t="s">
        <v>16</v>
      </c>
      <c r="Q1752" t="s">
        <v>16</v>
      </c>
      <c r="R1752" t="s">
        <v>16</v>
      </c>
      <c r="S1752" t="s">
        <v>16</v>
      </c>
      <c r="T1752" t="s">
        <v>16</v>
      </c>
      <c r="U1752" t="s">
        <v>16</v>
      </c>
      <c r="V1752" t="s">
        <v>16</v>
      </c>
      <c r="W1752" t="s">
        <v>16</v>
      </c>
      <c r="X1752" t="s">
        <v>16</v>
      </c>
      <c r="Y1752" t="s">
        <v>16</v>
      </c>
      <c r="Z1752" t="s">
        <v>16</v>
      </c>
      <c r="AA1752" t="s">
        <v>16</v>
      </c>
      <c r="AB1752" t="s">
        <v>16</v>
      </c>
      <c r="AC1752" t="s">
        <v>16</v>
      </c>
      <c r="AD1752" t="s">
        <v>16</v>
      </c>
      <c r="AE1752" t="s">
        <v>2668</v>
      </c>
    </row>
    <row r="1753" spans="1:33" x14ac:dyDescent="0.3">
      <c r="A1753">
        <v>42114.912314814814</v>
      </c>
      <c r="E1753" s="157">
        <v>42123</v>
      </c>
      <c r="F1753" t="s">
        <v>16</v>
      </c>
      <c r="G1753" t="s">
        <v>16</v>
      </c>
      <c r="H1753" t="s">
        <v>16</v>
      </c>
      <c r="I1753" t="s">
        <v>16</v>
      </c>
      <c r="J1753" t="s">
        <v>16</v>
      </c>
      <c r="K1753" t="s">
        <v>16</v>
      </c>
      <c r="L1753" t="s">
        <v>16</v>
      </c>
      <c r="M1753" t="s">
        <v>16</v>
      </c>
      <c r="N1753" t="s">
        <v>16</v>
      </c>
      <c r="O1753" t="s">
        <v>16</v>
      </c>
      <c r="P1753" t="s">
        <v>16</v>
      </c>
      <c r="Q1753" t="s">
        <v>16</v>
      </c>
      <c r="R1753" t="s">
        <v>16</v>
      </c>
      <c r="S1753" t="s">
        <v>16</v>
      </c>
      <c r="T1753" t="s">
        <v>16</v>
      </c>
      <c r="U1753" t="s">
        <v>16</v>
      </c>
      <c r="V1753" t="s">
        <v>16</v>
      </c>
      <c r="W1753" t="s">
        <v>16</v>
      </c>
      <c r="X1753" t="s">
        <v>16</v>
      </c>
      <c r="Y1753" t="s">
        <v>16</v>
      </c>
      <c r="Z1753" t="s">
        <v>16</v>
      </c>
      <c r="AA1753" t="s">
        <v>16</v>
      </c>
      <c r="AB1753" t="s">
        <v>16</v>
      </c>
      <c r="AC1753" t="s">
        <v>16</v>
      </c>
      <c r="AD1753" t="s">
        <v>16</v>
      </c>
      <c r="AE1753" t="s">
        <v>2669</v>
      </c>
    </row>
    <row r="1754" spans="1:33" x14ac:dyDescent="0.3">
      <c r="A1754">
        <v>42115.136643518519</v>
      </c>
      <c r="E1754" s="157">
        <v>42123</v>
      </c>
      <c r="F1754" t="s">
        <v>16</v>
      </c>
      <c r="G1754" t="s">
        <v>148</v>
      </c>
      <c r="H1754" t="s">
        <v>16</v>
      </c>
      <c r="I1754" t="s">
        <v>16</v>
      </c>
      <c r="J1754" t="s">
        <v>16</v>
      </c>
      <c r="K1754" t="s">
        <v>149</v>
      </c>
      <c r="L1754" t="s">
        <v>149</v>
      </c>
      <c r="M1754" t="s">
        <v>148</v>
      </c>
      <c r="N1754" t="s">
        <v>16</v>
      </c>
      <c r="O1754" t="s">
        <v>16</v>
      </c>
      <c r="P1754" t="s">
        <v>16</v>
      </c>
      <c r="Q1754" t="s">
        <v>16</v>
      </c>
      <c r="R1754" t="s">
        <v>148</v>
      </c>
      <c r="S1754" t="s">
        <v>148</v>
      </c>
      <c r="T1754" t="s">
        <v>149</v>
      </c>
      <c r="U1754" t="s">
        <v>16</v>
      </c>
      <c r="V1754" t="s">
        <v>16</v>
      </c>
      <c r="W1754" t="s">
        <v>148</v>
      </c>
      <c r="X1754" t="s">
        <v>148</v>
      </c>
      <c r="Y1754" t="s">
        <v>16</v>
      </c>
      <c r="Z1754" t="s">
        <v>16</v>
      </c>
      <c r="AA1754" t="s">
        <v>16</v>
      </c>
      <c r="AB1754" t="s">
        <v>16</v>
      </c>
      <c r="AC1754" t="s">
        <v>16</v>
      </c>
      <c r="AD1754" t="s">
        <v>16</v>
      </c>
      <c r="AE1754" t="s">
        <v>2670</v>
      </c>
    </row>
    <row r="1755" spans="1:33" x14ac:dyDescent="0.3">
      <c r="A1755">
        <v>42115.138599537036</v>
      </c>
      <c r="E1755" s="157">
        <v>42123</v>
      </c>
      <c r="F1755" t="s">
        <v>16</v>
      </c>
      <c r="G1755" t="s">
        <v>16</v>
      </c>
      <c r="H1755" t="s">
        <v>16</v>
      </c>
      <c r="I1755" t="s">
        <v>16</v>
      </c>
      <c r="J1755" t="s">
        <v>16</v>
      </c>
      <c r="K1755" t="s">
        <v>16</v>
      </c>
      <c r="L1755" t="s">
        <v>16</v>
      </c>
      <c r="M1755" t="s">
        <v>16</v>
      </c>
      <c r="N1755" t="s">
        <v>16</v>
      </c>
      <c r="O1755" t="s">
        <v>16</v>
      </c>
      <c r="P1755" t="s">
        <v>16</v>
      </c>
      <c r="Q1755" t="s">
        <v>16</v>
      </c>
      <c r="R1755" t="s">
        <v>16</v>
      </c>
      <c r="S1755" t="s">
        <v>16</v>
      </c>
      <c r="T1755" t="s">
        <v>16</v>
      </c>
      <c r="U1755" t="s">
        <v>16</v>
      </c>
      <c r="V1755" t="s">
        <v>16</v>
      </c>
      <c r="W1755" t="s">
        <v>16</v>
      </c>
      <c r="X1755" t="s">
        <v>16</v>
      </c>
      <c r="Y1755" t="s">
        <v>16</v>
      </c>
      <c r="Z1755" t="s">
        <v>16</v>
      </c>
      <c r="AA1755" t="s">
        <v>16</v>
      </c>
      <c r="AB1755" t="s">
        <v>16</v>
      </c>
      <c r="AC1755" t="s">
        <v>16</v>
      </c>
      <c r="AD1755" t="s">
        <v>16</v>
      </c>
      <c r="AE1755" t="s">
        <v>2671</v>
      </c>
    </row>
    <row r="1756" spans="1:33" x14ac:dyDescent="0.3">
      <c r="A1756">
        <v>42115.225115740737</v>
      </c>
      <c r="E1756" s="157">
        <v>42123</v>
      </c>
      <c r="F1756" t="s">
        <v>16</v>
      </c>
      <c r="G1756" t="s">
        <v>16</v>
      </c>
      <c r="H1756" t="s">
        <v>16</v>
      </c>
      <c r="I1756" t="s">
        <v>16</v>
      </c>
      <c r="J1756" t="s">
        <v>16</v>
      </c>
      <c r="K1756" t="s">
        <v>16</v>
      </c>
      <c r="L1756" t="s">
        <v>16</v>
      </c>
      <c r="M1756" t="s">
        <v>16</v>
      </c>
      <c r="N1756" t="s">
        <v>16</v>
      </c>
      <c r="O1756" t="s">
        <v>16</v>
      </c>
      <c r="P1756" t="s">
        <v>16</v>
      </c>
      <c r="Q1756" t="s">
        <v>16</v>
      </c>
      <c r="R1756" t="s">
        <v>16</v>
      </c>
      <c r="S1756" t="s">
        <v>16</v>
      </c>
      <c r="T1756" t="s">
        <v>16</v>
      </c>
      <c r="U1756" t="s">
        <v>16</v>
      </c>
      <c r="V1756" t="s">
        <v>16</v>
      </c>
      <c r="W1756" t="s">
        <v>16</v>
      </c>
      <c r="X1756" t="s">
        <v>16</v>
      </c>
      <c r="Y1756" t="s">
        <v>16</v>
      </c>
      <c r="Z1756" t="s">
        <v>16</v>
      </c>
      <c r="AA1756" t="s">
        <v>16</v>
      </c>
      <c r="AB1756" t="s">
        <v>16</v>
      </c>
      <c r="AC1756" t="s">
        <v>16</v>
      </c>
      <c r="AD1756" t="s">
        <v>16</v>
      </c>
      <c r="AE1756" t="s">
        <v>2671</v>
      </c>
    </row>
    <row r="1757" spans="1:33" x14ac:dyDescent="0.3">
      <c r="A1757">
        <v>42115.256782407407</v>
      </c>
      <c r="E1757" s="157">
        <v>42123</v>
      </c>
      <c r="F1757" t="s">
        <v>16</v>
      </c>
      <c r="G1757" t="s">
        <v>16</v>
      </c>
      <c r="H1757" t="s">
        <v>148</v>
      </c>
      <c r="I1757" t="s">
        <v>149</v>
      </c>
      <c r="J1757" t="s">
        <v>2652</v>
      </c>
      <c r="K1757" t="s">
        <v>16</v>
      </c>
      <c r="L1757" t="s">
        <v>148</v>
      </c>
      <c r="M1757" t="s">
        <v>16</v>
      </c>
      <c r="N1757" t="s">
        <v>148</v>
      </c>
      <c r="O1757" t="s">
        <v>148</v>
      </c>
      <c r="P1757" t="s">
        <v>148</v>
      </c>
      <c r="Q1757" t="s">
        <v>16</v>
      </c>
      <c r="R1757" t="s">
        <v>16</v>
      </c>
      <c r="S1757" t="s">
        <v>149</v>
      </c>
      <c r="T1757" t="s">
        <v>148</v>
      </c>
      <c r="U1757" t="s">
        <v>16</v>
      </c>
      <c r="V1757" t="s">
        <v>149</v>
      </c>
      <c r="W1757" t="s">
        <v>2652</v>
      </c>
      <c r="X1757" t="s">
        <v>2652</v>
      </c>
      <c r="Y1757" t="s">
        <v>16</v>
      </c>
      <c r="Z1757" t="s">
        <v>149</v>
      </c>
      <c r="AA1757" t="s">
        <v>16</v>
      </c>
      <c r="AB1757" t="s">
        <v>148</v>
      </c>
      <c r="AC1757" t="s">
        <v>16</v>
      </c>
      <c r="AD1757" t="s">
        <v>148</v>
      </c>
      <c r="AE1757" t="s">
        <v>2672</v>
      </c>
    </row>
    <row r="1758" spans="1:33" x14ac:dyDescent="0.3">
      <c r="A1758">
        <v>42115.266701388886</v>
      </c>
      <c r="E1758" s="157">
        <v>42123</v>
      </c>
      <c r="F1758" t="s">
        <v>16</v>
      </c>
      <c r="G1758" t="s">
        <v>16</v>
      </c>
      <c r="H1758" t="s">
        <v>16</v>
      </c>
      <c r="I1758" t="s">
        <v>16</v>
      </c>
      <c r="J1758" t="s">
        <v>16</v>
      </c>
      <c r="K1758" t="s">
        <v>16</v>
      </c>
      <c r="L1758" t="s">
        <v>16</v>
      </c>
      <c r="M1758" t="s">
        <v>16</v>
      </c>
      <c r="N1758" t="s">
        <v>148</v>
      </c>
      <c r="O1758" t="s">
        <v>148</v>
      </c>
      <c r="P1758" t="s">
        <v>16</v>
      </c>
      <c r="Q1758" t="s">
        <v>16</v>
      </c>
      <c r="R1758" t="s">
        <v>16</v>
      </c>
      <c r="S1758" t="s">
        <v>16</v>
      </c>
      <c r="T1758" t="s">
        <v>16</v>
      </c>
      <c r="U1758" t="s">
        <v>16</v>
      </c>
      <c r="V1758" t="s">
        <v>148</v>
      </c>
      <c r="W1758" t="s">
        <v>16</v>
      </c>
      <c r="X1758" t="s">
        <v>148</v>
      </c>
      <c r="Y1758" t="s">
        <v>16</v>
      </c>
      <c r="Z1758" t="s">
        <v>16</v>
      </c>
      <c r="AA1758" t="s">
        <v>16</v>
      </c>
      <c r="AB1758" t="s">
        <v>16</v>
      </c>
      <c r="AC1758" t="s">
        <v>16</v>
      </c>
      <c r="AD1758" t="s">
        <v>16</v>
      </c>
      <c r="AE1758" t="s">
        <v>2673</v>
      </c>
    </row>
    <row r="1759" spans="1:33" x14ac:dyDescent="0.3">
      <c r="A1759">
        <v>42115.400543981479</v>
      </c>
      <c r="E1759" s="157">
        <v>42123</v>
      </c>
      <c r="F1759" t="s">
        <v>16</v>
      </c>
      <c r="G1759" t="s">
        <v>16</v>
      </c>
      <c r="H1759" t="s">
        <v>16</v>
      </c>
      <c r="I1759" t="s">
        <v>16</v>
      </c>
      <c r="J1759" t="s">
        <v>16</v>
      </c>
      <c r="K1759" t="s">
        <v>16</v>
      </c>
      <c r="L1759" t="s">
        <v>16</v>
      </c>
      <c r="M1759" t="s">
        <v>16</v>
      </c>
      <c r="N1759" t="s">
        <v>16</v>
      </c>
      <c r="O1759" t="s">
        <v>16</v>
      </c>
      <c r="P1759" t="s">
        <v>16</v>
      </c>
      <c r="Q1759" t="s">
        <v>16</v>
      </c>
      <c r="R1759" t="s">
        <v>16</v>
      </c>
      <c r="S1759" t="s">
        <v>16</v>
      </c>
      <c r="T1759" t="s">
        <v>16</v>
      </c>
      <c r="U1759" t="s">
        <v>16</v>
      </c>
      <c r="V1759" t="s">
        <v>16</v>
      </c>
      <c r="W1759" t="s">
        <v>16</v>
      </c>
      <c r="X1759" t="s">
        <v>16</v>
      </c>
      <c r="Y1759" t="s">
        <v>16</v>
      </c>
      <c r="Z1759" t="s">
        <v>16</v>
      </c>
      <c r="AA1759" t="s">
        <v>16</v>
      </c>
      <c r="AB1759" t="s">
        <v>16</v>
      </c>
      <c r="AC1759" t="s">
        <v>16</v>
      </c>
      <c r="AD1759" t="s">
        <v>16</v>
      </c>
      <c r="AE1759" t="s">
        <v>2668</v>
      </c>
    </row>
    <row r="1760" spans="1:33" x14ac:dyDescent="0.3">
      <c r="A1760">
        <v>42115.458275462966</v>
      </c>
      <c r="E1760" s="157">
        <v>42123</v>
      </c>
      <c r="F1760" t="s">
        <v>16</v>
      </c>
      <c r="G1760" t="s">
        <v>16</v>
      </c>
      <c r="H1760" t="s">
        <v>16</v>
      </c>
      <c r="I1760" t="s">
        <v>16</v>
      </c>
      <c r="J1760" t="s">
        <v>16</v>
      </c>
      <c r="K1760" t="s">
        <v>16</v>
      </c>
      <c r="L1760" t="s">
        <v>16</v>
      </c>
      <c r="M1760" t="s">
        <v>16</v>
      </c>
      <c r="N1760" t="s">
        <v>16</v>
      </c>
      <c r="O1760" t="s">
        <v>16</v>
      </c>
      <c r="P1760" t="s">
        <v>16</v>
      </c>
      <c r="Q1760" t="s">
        <v>16</v>
      </c>
      <c r="R1760" t="s">
        <v>16</v>
      </c>
      <c r="S1760" t="s">
        <v>16</v>
      </c>
      <c r="T1760" t="s">
        <v>16</v>
      </c>
      <c r="U1760" t="s">
        <v>16</v>
      </c>
      <c r="V1760" t="s">
        <v>16</v>
      </c>
      <c r="W1760" t="s">
        <v>16</v>
      </c>
      <c r="X1760" t="s">
        <v>16</v>
      </c>
      <c r="Y1760" t="s">
        <v>16</v>
      </c>
      <c r="Z1760" t="s">
        <v>16</v>
      </c>
      <c r="AA1760" t="s">
        <v>16</v>
      </c>
      <c r="AB1760" t="s">
        <v>16</v>
      </c>
      <c r="AC1760" t="s">
        <v>16</v>
      </c>
      <c r="AD1760" t="s">
        <v>16</v>
      </c>
      <c r="AE1760" t="s">
        <v>2668</v>
      </c>
    </row>
    <row r="1761" spans="1:33" x14ac:dyDescent="0.3">
      <c r="A1761">
        <v>42115.641643518517</v>
      </c>
      <c r="E1761" s="157">
        <v>42123</v>
      </c>
      <c r="F1761" t="s">
        <v>16</v>
      </c>
      <c r="G1761" t="s">
        <v>16</v>
      </c>
      <c r="H1761" t="s">
        <v>16</v>
      </c>
      <c r="I1761" t="s">
        <v>148</v>
      </c>
      <c r="J1761" t="s">
        <v>2652</v>
      </c>
      <c r="K1761" t="s">
        <v>16</v>
      </c>
      <c r="L1761" t="s">
        <v>148</v>
      </c>
      <c r="M1761" t="s">
        <v>148</v>
      </c>
      <c r="N1761" t="s">
        <v>2652</v>
      </c>
      <c r="O1761" t="s">
        <v>2652</v>
      </c>
      <c r="P1761" t="s">
        <v>16</v>
      </c>
      <c r="Q1761" t="s">
        <v>16</v>
      </c>
      <c r="R1761" t="s">
        <v>148</v>
      </c>
      <c r="S1761" t="s">
        <v>16</v>
      </c>
      <c r="T1761" t="s">
        <v>148</v>
      </c>
      <c r="U1761" t="s">
        <v>148</v>
      </c>
      <c r="V1761" t="s">
        <v>148</v>
      </c>
      <c r="W1761" t="s">
        <v>148</v>
      </c>
      <c r="X1761" t="s">
        <v>2652</v>
      </c>
      <c r="Y1761" t="s">
        <v>2652</v>
      </c>
      <c r="Z1761" t="s">
        <v>16</v>
      </c>
      <c r="AA1761" t="s">
        <v>148</v>
      </c>
      <c r="AB1761" t="s">
        <v>148</v>
      </c>
      <c r="AC1761" t="s">
        <v>2652</v>
      </c>
      <c r="AD1761" t="s">
        <v>16</v>
      </c>
      <c r="AE1761" t="s">
        <v>2671</v>
      </c>
    </row>
    <row r="1762" spans="1:33" x14ac:dyDescent="0.3">
      <c r="A1762">
        <v>42115.769872685189</v>
      </c>
      <c r="E1762" s="157">
        <v>42123</v>
      </c>
      <c r="F1762" t="s">
        <v>16</v>
      </c>
      <c r="G1762" t="s">
        <v>16</v>
      </c>
      <c r="H1762" t="s">
        <v>16</v>
      </c>
      <c r="I1762" t="s">
        <v>16</v>
      </c>
      <c r="J1762" t="s">
        <v>16</v>
      </c>
      <c r="K1762" t="s">
        <v>16</v>
      </c>
      <c r="L1762" t="s">
        <v>16</v>
      </c>
      <c r="M1762" t="s">
        <v>16</v>
      </c>
      <c r="N1762" t="s">
        <v>16</v>
      </c>
      <c r="O1762" t="s">
        <v>16</v>
      </c>
      <c r="P1762" t="s">
        <v>16</v>
      </c>
      <c r="Q1762" t="s">
        <v>16</v>
      </c>
      <c r="R1762" t="s">
        <v>16</v>
      </c>
      <c r="S1762" t="s">
        <v>16</v>
      </c>
      <c r="T1762" t="s">
        <v>16</v>
      </c>
      <c r="U1762" t="s">
        <v>16</v>
      </c>
      <c r="V1762" t="s">
        <v>16</v>
      </c>
      <c r="W1762" t="s">
        <v>16</v>
      </c>
      <c r="X1762" t="s">
        <v>16</v>
      </c>
      <c r="Y1762" t="s">
        <v>16</v>
      </c>
      <c r="Z1762" t="s">
        <v>16</v>
      </c>
      <c r="AA1762" t="s">
        <v>16</v>
      </c>
      <c r="AB1762" t="s">
        <v>16</v>
      </c>
      <c r="AC1762" t="s">
        <v>16</v>
      </c>
      <c r="AD1762" t="s">
        <v>16</v>
      </c>
      <c r="AE1762" t="s">
        <v>2668</v>
      </c>
    </row>
    <row r="1763" spans="1:33" x14ac:dyDescent="0.3">
      <c r="A1763">
        <v>42115.799456018518</v>
      </c>
      <c r="E1763" s="157">
        <v>42123</v>
      </c>
      <c r="F1763" t="s">
        <v>16</v>
      </c>
      <c r="G1763" t="s">
        <v>16</v>
      </c>
      <c r="H1763" t="s">
        <v>16</v>
      </c>
      <c r="I1763" t="s">
        <v>16</v>
      </c>
      <c r="J1763" t="s">
        <v>16</v>
      </c>
      <c r="K1763" t="s">
        <v>16</v>
      </c>
      <c r="L1763" t="s">
        <v>16</v>
      </c>
      <c r="M1763" t="s">
        <v>16</v>
      </c>
      <c r="N1763" t="s">
        <v>16</v>
      </c>
      <c r="O1763" t="s">
        <v>16</v>
      </c>
      <c r="P1763" t="s">
        <v>16</v>
      </c>
      <c r="Q1763" t="s">
        <v>16</v>
      </c>
      <c r="R1763" t="s">
        <v>16</v>
      </c>
      <c r="S1763" t="s">
        <v>16</v>
      </c>
      <c r="T1763" t="s">
        <v>16</v>
      </c>
      <c r="U1763" t="s">
        <v>16</v>
      </c>
      <c r="V1763" t="s">
        <v>16</v>
      </c>
      <c r="W1763" t="s">
        <v>16</v>
      </c>
      <c r="X1763" t="s">
        <v>16</v>
      </c>
      <c r="Y1763" t="s">
        <v>16</v>
      </c>
      <c r="Z1763" t="s">
        <v>16</v>
      </c>
      <c r="AA1763" t="s">
        <v>16</v>
      </c>
      <c r="AB1763" t="s">
        <v>16</v>
      </c>
      <c r="AC1763" t="s">
        <v>16</v>
      </c>
      <c r="AD1763" t="s">
        <v>16</v>
      </c>
      <c r="AE1763" t="s">
        <v>2668</v>
      </c>
    </row>
    <row r="1764" spans="1:33" x14ac:dyDescent="0.3">
      <c r="A1764">
        <v>42116.028935185182</v>
      </c>
      <c r="E1764" s="157">
        <v>42123</v>
      </c>
      <c r="F1764" t="s">
        <v>16</v>
      </c>
      <c r="G1764" t="s">
        <v>16</v>
      </c>
      <c r="H1764" t="s">
        <v>149</v>
      </c>
      <c r="I1764" t="s">
        <v>148</v>
      </c>
      <c r="J1764" t="s">
        <v>16</v>
      </c>
      <c r="K1764" t="s">
        <v>16</v>
      </c>
      <c r="L1764" t="s">
        <v>16</v>
      </c>
      <c r="M1764" t="s">
        <v>16</v>
      </c>
      <c r="N1764" t="s">
        <v>148</v>
      </c>
      <c r="O1764" t="s">
        <v>16</v>
      </c>
      <c r="P1764" t="s">
        <v>148</v>
      </c>
      <c r="Q1764" t="s">
        <v>149</v>
      </c>
      <c r="R1764" t="s">
        <v>16</v>
      </c>
      <c r="S1764" t="s">
        <v>16</v>
      </c>
      <c r="T1764" t="s">
        <v>16</v>
      </c>
      <c r="U1764" t="s">
        <v>16</v>
      </c>
      <c r="V1764" t="s">
        <v>16</v>
      </c>
      <c r="W1764" t="s">
        <v>16</v>
      </c>
      <c r="X1764" t="s">
        <v>16</v>
      </c>
      <c r="Y1764" t="s">
        <v>16</v>
      </c>
      <c r="Z1764" t="s">
        <v>16</v>
      </c>
      <c r="AA1764" t="s">
        <v>16</v>
      </c>
      <c r="AB1764" t="s">
        <v>148</v>
      </c>
      <c r="AC1764" t="s">
        <v>148</v>
      </c>
      <c r="AD1764" t="s">
        <v>16</v>
      </c>
      <c r="AE1764" t="s">
        <v>2672</v>
      </c>
    </row>
    <row r="1765" spans="1:33" x14ac:dyDescent="0.3">
      <c r="A1765">
        <v>42116.538437499999</v>
      </c>
      <c r="E1765" s="157">
        <v>42123</v>
      </c>
      <c r="F1765" t="s">
        <v>16</v>
      </c>
      <c r="G1765" t="s">
        <v>16</v>
      </c>
      <c r="H1765" t="s">
        <v>16</v>
      </c>
      <c r="I1765" t="s">
        <v>16</v>
      </c>
      <c r="J1765" t="s">
        <v>16</v>
      </c>
      <c r="K1765" t="s">
        <v>16</v>
      </c>
      <c r="L1765" t="s">
        <v>16</v>
      </c>
      <c r="M1765" t="s">
        <v>16</v>
      </c>
      <c r="N1765" t="s">
        <v>16</v>
      </c>
      <c r="O1765" t="s">
        <v>16</v>
      </c>
      <c r="P1765" t="s">
        <v>16</v>
      </c>
      <c r="Q1765" t="s">
        <v>16</v>
      </c>
      <c r="R1765" t="s">
        <v>16</v>
      </c>
      <c r="S1765" t="s">
        <v>16</v>
      </c>
      <c r="T1765" t="s">
        <v>16</v>
      </c>
      <c r="U1765" t="s">
        <v>16</v>
      </c>
      <c r="V1765" t="s">
        <v>16</v>
      </c>
      <c r="W1765" t="s">
        <v>16</v>
      </c>
      <c r="X1765" t="s">
        <v>16</v>
      </c>
      <c r="Y1765" t="s">
        <v>16</v>
      </c>
      <c r="Z1765" t="s">
        <v>16</v>
      </c>
      <c r="AA1765" t="s">
        <v>16</v>
      </c>
      <c r="AB1765" t="s">
        <v>16</v>
      </c>
      <c r="AC1765" t="s">
        <v>16</v>
      </c>
      <c r="AD1765" t="s">
        <v>16</v>
      </c>
      <c r="AE1765" t="s">
        <v>2674</v>
      </c>
    </row>
    <row r="1766" spans="1:33" x14ac:dyDescent="0.3">
      <c r="A1766">
        <v>42116.774571759262</v>
      </c>
      <c r="E1766" s="157">
        <v>42123</v>
      </c>
      <c r="F1766" t="s">
        <v>16</v>
      </c>
      <c r="G1766" t="s">
        <v>16</v>
      </c>
      <c r="H1766" t="s">
        <v>16</v>
      </c>
      <c r="I1766" t="s">
        <v>16</v>
      </c>
      <c r="J1766" t="s">
        <v>16</v>
      </c>
      <c r="K1766" t="s">
        <v>16</v>
      </c>
      <c r="L1766" t="s">
        <v>16</v>
      </c>
      <c r="M1766" t="s">
        <v>16</v>
      </c>
      <c r="N1766" t="s">
        <v>16</v>
      </c>
      <c r="O1766" t="s">
        <v>16</v>
      </c>
      <c r="P1766" t="s">
        <v>16</v>
      </c>
      <c r="Q1766" t="s">
        <v>16</v>
      </c>
      <c r="R1766" t="s">
        <v>16</v>
      </c>
      <c r="S1766" t="s">
        <v>16</v>
      </c>
      <c r="T1766" t="s">
        <v>16</v>
      </c>
      <c r="U1766" t="s">
        <v>16</v>
      </c>
      <c r="V1766" t="s">
        <v>16</v>
      </c>
      <c r="W1766" t="s">
        <v>16</v>
      </c>
      <c r="X1766" t="s">
        <v>16</v>
      </c>
      <c r="Y1766" t="s">
        <v>16</v>
      </c>
      <c r="Z1766" t="s">
        <v>16</v>
      </c>
      <c r="AA1766" t="s">
        <v>16</v>
      </c>
      <c r="AB1766" t="s">
        <v>16</v>
      </c>
      <c r="AC1766" t="s">
        <v>16</v>
      </c>
      <c r="AD1766" t="s">
        <v>16</v>
      </c>
      <c r="AE1766" t="s">
        <v>2653</v>
      </c>
      <c r="AF1766" t="s">
        <v>2675</v>
      </c>
      <c r="AG1766" t="s">
        <v>2676</v>
      </c>
    </row>
    <row r="1767" spans="1:33" x14ac:dyDescent="0.3">
      <c r="A1767">
        <v>42117.11509259259</v>
      </c>
      <c r="E1767" s="157">
        <v>42123</v>
      </c>
      <c r="F1767" t="s">
        <v>16</v>
      </c>
      <c r="G1767" t="s">
        <v>16</v>
      </c>
      <c r="H1767" t="s">
        <v>16</v>
      </c>
      <c r="I1767" t="s">
        <v>16</v>
      </c>
      <c r="J1767" t="s">
        <v>16</v>
      </c>
      <c r="K1767" t="s">
        <v>16</v>
      </c>
      <c r="L1767" t="s">
        <v>16</v>
      </c>
      <c r="M1767" t="s">
        <v>16</v>
      </c>
      <c r="N1767" t="s">
        <v>16</v>
      </c>
      <c r="O1767" t="s">
        <v>16</v>
      </c>
      <c r="P1767" t="s">
        <v>16</v>
      </c>
      <c r="Q1767" t="s">
        <v>16</v>
      </c>
      <c r="R1767" t="s">
        <v>16</v>
      </c>
      <c r="S1767" t="s">
        <v>16</v>
      </c>
      <c r="T1767" t="s">
        <v>16</v>
      </c>
      <c r="U1767" t="s">
        <v>16</v>
      </c>
      <c r="V1767" t="s">
        <v>16</v>
      </c>
      <c r="W1767" t="s">
        <v>16</v>
      </c>
      <c r="X1767" t="s">
        <v>16</v>
      </c>
      <c r="Y1767" t="s">
        <v>16</v>
      </c>
      <c r="Z1767" t="s">
        <v>16</v>
      </c>
      <c r="AA1767" t="s">
        <v>16</v>
      </c>
      <c r="AB1767" t="s">
        <v>16</v>
      </c>
      <c r="AC1767" t="s">
        <v>16</v>
      </c>
      <c r="AD1767" t="s">
        <v>16</v>
      </c>
      <c r="AE1767" t="s">
        <v>2672</v>
      </c>
    </row>
    <row r="1768" spans="1:33" x14ac:dyDescent="0.3">
      <c r="A1768">
        <v>42117.546388888892</v>
      </c>
      <c r="E1768" s="157">
        <v>42123</v>
      </c>
      <c r="F1768" t="s">
        <v>16</v>
      </c>
      <c r="G1768" t="s">
        <v>16</v>
      </c>
      <c r="H1768" t="s">
        <v>16</v>
      </c>
      <c r="I1768" t="s">
        <v>16</v>
      </c>
      <c r="J1768" t="s">
        <v>16</v>
      </c>
      <c r="K1768" t="s">
        <v>16</v>
      </c>
      <c r="L1768" t="s">
        <v>16</v>
      </c>
      <c r="M1768" t="s">
        <v>16</v>
      </c>
      <c r="N1768" t="s">
        <v>16</v>
      </c>
      <c r="O1768" t="s">
        <v>16</v>
      </c>
      <c r="P1768" t="s">
        <v>16</v>
      </c>
      <c r="Q1768" t="s">
        <v>16</v>
      </c>
      <c r="R1768" t="s">
        <v>16</v>
      </c>
      <c r="S1768" t="s">
        <v>16</v>
      </c>
      <c r="T1768" t="s">
        <v>16</v>
      </c>
      <c r="U1768" t="s">
        <v>16</v>
      </c>
      <c r="V1768" t="s">
        <v>16</v>
      </c>
      <c r="W1768" t="s">
        <v>16</v>
      </c>
      <c r="X1768" t="s">
        <v>16</v>
      </c>
      <c r="Y1768" t="s">
        <v>16</v>
      </c>
      <c r="Z1768" t="s">
        <v>16</v>
      </c>
      <c r="AA1768" t="s">
        <v>16</v>
      </c>
      <c r="AB1768" t="s">
        <v>16</v>
      </c>
      <c r="AC1768" t="s">
        <v>16</v>
      </c>
      <c r="AD1768" t="s">
        <v>16</v>
      </c>
    </row>
    <row r="1769" spans="1:33" x14ac:dyDescent="0.3">
      <c r="A1769">
        <v>42118.264652777776</v>
      </c>
      <c r="E1769" s="157">
        <v>42123</v>
      </c>
      <c r="F1769" t="s">
        <v>16</v>
      </c>
      <c r="G1769" t="s">
        <v>16</v>
      </c>
      <c r="H1769" t="s">
        <v>16</v>
      </c>
      <c r="I1769" t="s">
        <v>16</v>
      </c>
      <c r="J1769" t="s">
        <v>16</v>
      </c>
      <c r="K1769" t="s">
        <v>16</v>
      </c>
      <c r="L1769" t="s">
        <v>16</v>
      </c>
      <c r="M1769" t="s">
        <v>148</v>
      </c>
      <c r="N1769" t="s">
        <v>16</v>
      </c>
      <c r="O1769" t="s">
        <v>148</v>
      </c>
      <c r="P1769" t="s">
        <v>16</v>
      </c>
      <c r="Q1769" t="s">
        <v>16</v>
      </c>
      <c r="R1769" t="s">
        <v>16</v>
      </c>
      <c r="S1769" t="s">
        <v>16</v>
      </c>
      <c r="T1769" t="s">
        <v>16</v>
      </c>
      <c r="U1769" t="s">
        <v>148</v>
      </c>
      <c r="V1769" t="s">
        <v>16</v>
      </c>
      <c r="W1769" t="s">
        <v>16</v>
      </c>
      <c r="X1769" t="s">
        <v>16</v>
      </c>
      <c r="Y1769" t="s">
        <v>148</v>
      </c>
      <c r="Z1769" t="s">
        <v>148</v>
      </c>
      <c r="AA1769" t="s">
        <v>148</v>
      </c>
      <c r="AB1769" t="s">
        <v>16</v>
      </c>
      <c r="AC1769" t="s">
        <v>16</v>
      </c>
      <c r="AD1769" t="s">
        <v>16</v>
      </c>
      <c r="AE1769" t="s">
        <v>2677</v>
      </c>
      <c r="AF1769" t="s">
        <v>2678</v>
      </c>
      <c r="AG1769" t="s">
        <v>2676</v>
      </c>
    </row>
    <row r="1770" spans="1:33" x14ac:dyDescent="0.3">
      <c r="A1770">
        <v>42118.269780092596</v>
      </c>
      <c r="E1770" s="157">
        <v>42123</v>
      </c>
      <c r="F1770" t="s">
        <v>16</v>
      </c>
      <c r="G1770" t="s">
        <v>16</v>
      </c>
      <c r="H1770" t="s">
        <v>16</v>
      </c>
      <c r="I1770" t="s">
        <v>16</v>
      </c>
      <c r="J1770" t="s">
        <v>16</v>
      </c>
      <c r="K1770" t="s">
        <v>16</v>
      </c>
      <c r="L1770" t="s">
        <v>16</v>
      </c>
      <c r="M1770" t="s">
        <v>16</v>
      </c>
      <c r="N1770" t="s">
        <v>16</v>
      </c>
      <c r="O1770" t="s">
        <v>16</v>
      </c>
      <c r="P1770" t="s">
        <v>16</v>
      </c>
      <c r="Q1770" t="s">
        <v>16</v>
      </c>
      <c r="R1770" t="s">
        <v>16</v>
      </c>
      <c r="S1770" t="s">
        <v>16</v>
      </c>
      <c r="T1770" t="s">
        <v>16</v>
      </c>
      <c r="U1770" t="s">
        <v>16</v>
      </c>
      <c r="V1770" t="s">
        <v>16</v>
      </c>
      <c r="W1770" t="s">
        <v>16</v>
      </c>
      <c r="X1770" t="s">
        <v>16</v>
      </c>
      <c r="Y1770" t="s">
        <v>16</v>
      </c>
      <c r="Z1770" t="s">
        <v>16</v>
      </c>
      <c r="AA1770" t="s">
        <v>16</v>
      </c>
      <c r="AB1770" t="s">
        <v>16</v>
      </c>
      <c r="AC1770" t="s">
        <v>16</v>
      </c>
      <c r="AD1770" t="s">
        <v>16</v>
      </c>
      <c r="AE1770" t="s">
        <v>2679</v>
      </c>
      <c r="AF1770" t="s">
        <v>2680</v>
      </c>
      <c r="AG1770" t="s">
        <v>2676</v>
      </c>
    </row>
    <row r="1771" spans="1:33" x14ac:dyDescent="0.3">
      <c r="A1771">
        <v>42118.306238425925</v>
      </c>
      <c r="E1771" s="157">
        <v>42123</v>
      </c>
      <c r="F1771" t="s">
        <v>16</v>
      </c>
      <c r="G1771" t="s">
        <v>16</v>
      </c>
      <c r="H1771" t="s">
        <v>16</v>
      </c>
      <c r="I1771" t="s">
        <v>16</v>
      </c>
      <c r="J1771" t="s">
        <v>16</v>
      </c>
      <c r="K1771" t="s">
        <v>16</v>
      </c>
      <c r="L1771" t="s">
        <v>16</v>
      </c>
      <c r="M1771" t="s">
        <v>16</v>
      </c>
      <c r="N1771" t="s">
        <v>16</v>
      </c>
      <c r="O1771" t="s">
        <v>16</v>
      </c>
      <c r="P1771" t="s">
        <v>16</v>
      </c>
      <c r="Q1771" t="s">
        <v>16</v>
      </c>
      <c r="R1771" t="s">
        <v>16</v>
      </c>
      <c r="S1771" t="s">
        <v>16</v>
      </c>
      <c r="T1771" t="s">
        <v>16</v>
      </c>
      <c r="U1771" t="s">
        <v>16</v>
      </c>
      <c r="V1771" t="s">
        <v>16</v>
      </c>
      <c r="W1771" t="s">
        <v>16</v>
      </c>
      <c r="X1771" t="s">
        <v>16</v>
      </c>
      <c r="Y1771" t="s">
        <v>16</v>
      </c>
      <c r="Z1771" t="s">
        <v>16</v>
      </c>
      <c r="AA1771" t="s">
        <v>16</v>
      </c>
      <c r="AB1771" t="s">
        <v>16</v>
      </c>
      <c r="AC1771" t="s">
        <v>16</v>
      </c>
      <c r="AD1771" t="s">
        <v>16</v>
      </c>
      <c r="AE1771" t="s">
        <v>2668</v>
      </c>
    </row>
    <row r="1772" spans="1:33" x14ac:dyDescent="0.3">
      <c r="A1772">
        <v>42118.320462962962</v>
      </c>
      <c r="E1772" s="157">
        <v>42123</v>
      </c>
      <c r="F1772" t="s">
        <v>16</v>
      </c>
      <c r="G1772" t="s">
        <v>16</v>
      </c>
      <c r="H1772" t="s">
        <v>16</v>
      </c>
      <c r="I1772" t="s">
        <v>148</v>
      </c>
      <c r="J1772" t="s">
        <v>16</v>
      </c>
      <c r="K1772" t="s">
        <v>148</v>
      </c>
      <c r="L1772" t="s">
        <v>16</v>
      </c>
      <c r="M1772" t="s">
        <v>16</v>
      </c>
      <c r="N1772" t="s">
        <v>148</v>
      </c>
      <c r="O1772" t="s">
        <v>16</v>
      </c>
      <c r="P1772" t="s">
        <v>16</v>
      </c>
      <c r="Q1772" t="s">
        <v>16</v>
      </c>
      <c r="R1772" t="s">
        <v>16</v>
      </c>
      <c r="S1772" t="s">
        <v>148</v>
      </c>
      <c r="T1772" t="s">
        <v>16</v>
      </c>
      <c r="U1772" t="s">
        <v>148</v>
      </c>
      <c r="V1772" t="s">
        <v>16</v>
      </c>
      <c r="W1772" t="s">
        <v>148</v>
      </c>
      <c r="X1772" t="s">
        <v>16</v>
      </c>
      <c r="Y1772" t="s">
        <v>16</v>
      </c>
      <c r="Z1772" t="s">
        <v>148</v>
      </c>
      <c r="AA1772" t="s">
        <v>148</v>
      </c>
      <c r="AB1772" t="s">
        <v>16</v>
      </c>
      <c r="AC1772" t="s">
        <v>16</v>
      </c>
      <c r="AD1772" t="s">
        <v>16</v>
      </c>
      <c r="AE1772" t="s">
        <v>2674</v>
      </c>
    </row>
    <row r="1773" spans="1:33" x14ac:dyDescent="0.3">
      <c r="A1773">
        <v>42118.371828703705</v>
      </c>
      <c r="E1773" s="157">
        <v>42123</v>
      </c>
      <c r="F1773" t="s">
        <v>148</v>
      </c>
      <c r="G1773" t="s">
        <v>16</v>
      </c>
      <c r="H1773" t="s">
        <v>16</v>
      </c>
      <c r="I1773" t="s">
        <v>148</v>
      </c>
      <c r="J1773" t="s">
        <v>148</v>
      </c>
      <c r="K1773" t="s">
        <v>148</v>
      </c>
      <c r="L1773" t="s">
        <v>16</v>
      </c>
      <c r="M1773" t="s">
        <v>148</v>
      </c>
      <c r="N1773" t="s">
        <v>148</v>
      </c>
      <c r="O1773" t="s">
        <v>16</v>
      </c>
      <c r="P1773" t="s">
        <v>148</v>
      </c>
      <c r="Q1773" t="s">
        <v>148</v>
      </c>
      <c r="R1773" t="s">
        <v>148</v>
      </c>
      <c r="S1773" t="s">
        <v>148</v>
      </c>
      <c r="T1773" t="s">
        <v>148</v>
      </c>
      <c r="U1773" t="s">
        <v>148</v>
      </c>
      <c r="V1773" t="s">
        <v>148</v>
      </c>
      <c r="W1773" t="s">
        <v>148</v>
      </c>
      <c r="X1773" t="s">
        <v>148</v>
      </c>
      <c r="Y1773" t="s">
        <v>148</v>
      </c>
      <c r="Z1773" t="s">
        <v>148</v>
      </c>
      <c r="AA1773" t="s">
        <v>148</v>
      </c>
      <c r="AB1773" t="s">
        <v>148</v>
      </c>
      <c r="AC1773" t="s">
        <v>16</v>
      </c>
      <c r="AD1773" t="s">
        <v>16</v>
      </c>
      <c r="AE1773" t="s">
        <v>2668</v>
      </c>
    </row>
    <row r="1774" spans="1:33" x14ac:dyDescent="0.3">
      <c r="A1774">
        <v>42118.372858796298</v>
      </c>
      <c r="E1774" s="157">
        <v>42123</v>
      </c>
      <c r="F1774" t="s">
        <v>16</v>
      </c>
      <c r="G1774" t="s">
        <v>16</v>
      </c>
      <c r="H1774" t="s">
        <v>16</v>
      </c>
      <c r="I1774" t="s">
        <v>148</v>
      </c>
      <c r="J1774" t="s">
        <v>148</v>
      </c>
      <c r="K1774" t="s">
        <v>2651</v>
      </c>
      <c r="L1774" t="s">
        <v>2651</v>
      </c>
      <c r="M1774" t="s">
        <v>2652</v>
      </c>
      <c r="N1774" t="s">
        <v>2652</v>
      </c>
      <c r="O1774" t="s">
        <v>2652</v>
      </c>
      <c r="P1774" t="s">
        <v>2652</v>
      </c>
      <c r="Q1774" t="s">
        <v>148</v>
      </c>
      <c r="R1774" t="s">
        <v>16</v>
      </c>
      <c r="S1774" t="s">
        <v>2652</v>
      </c>
      <c r="T1774" t="s">
        <v>149</v>
      </c>
      <c r="U1774" t="s">
        <v>148</v>
      </c>
      <c r="V1774" t="s">
        <v>149</v>
      </c>
      <c r="W1774" t="s">
        <v>16</v>
      </c>
      <c r="X1774" t="s">
        <v>148</v>
      </c>
      <c r="Y1774" t="s">
        <v>149</v>
      </c>
      <c r="Z1774" t="s">
        <v>16</v>
      </c>
      <c r="AA1774" t="s">
        <v>16</v>
      </c>
      <c r="AB1774" t="s">
        <v>16</v>
      </c>
      <c r="AC1774" t="s">
        <v>16</v>
      </c>
      <c r="AD1774" t="s">
        <v>16</v>
      </c>
      <c r="AE1774" t="s">
        <v>2672</v>
      </c>
    </row>
    <row r="1775" spans="1:33" x14ac:dyDescent="0.3">
      <c r="A1775">
        <v>42118.565648148149</v>
      </c>
      <c r="E1775" s="157">
        <v>42123</v>
      </c>
      <c r="F1775" t="s">
        <v>2652</v>
      </c>
      <c r="G1775" t="s">
        <v>16</v>
      </c>
      <c r="H1775" t="s">
        <v>2651</v>
      </c>
      <c r="I1775" t="s">
        <v>148</v>
      </c>
      <c r="J1775" t="s">
        <v>149</v>
      </c>
      <c r="K1775" t="s">
        <v>2651</v>
      </c>
      <c r="L1775" t="s">
        <v>2651</v>
      </c>
      <c r="M1775" t="s">
        <v>2651</v>
      </c>
      <c r="N1775" t="s">
        <v>16</v>
      </c>
      <c r="O1775" t="s">
        <v>16</v>
      </c>
      <c r="P1775" t="s">
        <v>148</v>
      </c>
      <c r="Q1775" t="s">
        <v>148</v>
      </c>
      <c r="R1775" t="s">
        <v>2651</v>
      </c>
      <c r="S1775" t="s">
        <v>16</v>
      </c>
      <c r="T1775" t="s">
        <v>149</v>
      </c>
      <c r="U1775" t="s">
        <v>2651</v>
      </c>
      <c r="V1775" t="s">
        <v>2651</v>
      </c>
      <c r="W1775" t="s">
        <v>149</v>
      </c>
      <c r="X1775" t="s">
        <v>2652</v>
      </c>
      <c r="Y1775" t="s">
        <v>149</v>
      </c>
      <c r="Z1775" t="s">
        <v>2651</v>
      </c>
      <c r="AA1775" t="s">
        <v>149</v>
      </c>
      <c r="AB1775" t="s">
        <v>148</v>
      </c>
      <c r="AC1775" t="s">
        <v>148</v>
      </c>
      <c r="AD1775" t="s">
        <v>148</v>
      </c>
      <c r="AE1775" t="s">
        <v>2669</v>
      </c>
    </row>
    <row r="1776" spans="1:33" x14ac:dyDescent="0.3">
      <c r="A1776">
        <v>42118.587233796294</v>
      </c>
      <c r="E1776" s="157">
        <v>42123</v>
      </c>
      <c r="F1776" t="s">
        <v>16</v>
      </c>
      <c r="G1776" t="s">
        <v>16</v>
      </c>
      <c r="H1776" t="s">
        <v>16</v>
      </c>
      <c r="I1776" t="s">
        <v>16</v>
      </c>
      <c r="J1776" t="s">
        <v>16</v>
      </c>
      <c r="K1776" t="s">
        <v>16</v>
      </c>
      <c r="L1776" t="s">
        <v>16</v>
      </c>
      <c r="M1776" t="s">
        <v>16</v>
      </c>
      <c r="N1776" t="s">
        <v>16</v>
      </c>
      <c r="O1776" t="s">
        <v>16</v>
      </c>
      <c r="P1776" t="s">
        <v>16</v>
      </c>
      <c r="Q1776" t="s">
        <v>16</v>
      </c>
      <c r="R1776" t="s">
        <v>16</v>
      </c>
      <c r="S1776" t="s">
        <v>16</v>
      </c>
      <c r="T1776" t="s">
        <v>16</v>
      </c>
      <c r="U1776" t="s">
        <v>16</v>
      </c>
      <c r="V1776" t="s">
        <v>16</v>
      </c>
      <c r="W1776" t="s">
        <v>16</v>
      </c>
      <c r="X1776" t="s">
        <v>16</v>
      </c>
      <c r="Y1776" t="s">
        <v>16</v>
      </c>
      <c r="Z1776" t="s">
        <v>16</v>
      </c>
      <c r="AA1776" t="s">
        <v>16</v>
      </c>
      <c r="AB1776" t="s">
        <v>16</v>
      </c>
      <c r="AC1776" t="s">
        <v>16</v>
      </c>
      <c r="AD1776" t="s">
        <v>16</v>
      </c>
      <c r="AE1776" t="s">
        <v>2673</v>
      </c>
    </row>
    <row r="1777" spans="1:38" x14ac:dyDescent="0.3">
      <c r="A1777">
        <v>42119.256666666668</v>
      </c>
      <c r="E1777" s="157">
        <v>42123</v>
      </c>
      <c r="F1777" t="s">
        <v>149</v>
      </c>
      <c r="G1777" t="s">
        <v>16</v>
      </c>
      <c r="H1777" t="s">
        <v>149</v>
      </c>
      <c r="I1777" t="s">
        <v>16</v>
      </c>
      <c r="J1777" t="s">
        <v>16</v>
      </c>
      <c r="K1777" t="s">
        <v>16</v>
      </c>
      <c r="L1777" t="s">
        <v>16</v>
      </c>
      <c r="M1777" t="s">
        <v>149</v>
      </c>
      <c r="N1777" t="s">
        <v>148</v>
      </c>
      <c r="O1777" t="s">
        <v>16</v>
      </c>
      <c r="P1777" t="s">
        <v>16</v>
      </c>
      <c r="Q1777" t="s">
        <v>149</v>
      </c>
      <c r="R1777" t="s">
        <v>149</v>
      </c>
      <c r="S1777" t="s">
        <v>148</v>
      </c>
      <c r="T1777" t="s">
        <v>149</v>
      </c>
      <c r="U1777" t="s">
        <v>148</v>
      </c>
      <c r="V1777" t="s">
        <v>149</v>
      </c>
      <c r="W1777" t="s">
        <v>148</v>
      </c>
      <c r="X1777" t="s">
        <v>148</v>
      </c>
      <c r="Y1777" t="s">
        <v>149</v>
      </c>
      <c r="Z1777" t="s">
        <v>149</v>
      </c>
      <c r="AA1777" t="s">
        <v>149</v>
      </c>
      <c r="AB1777" t="s">
        <v>148</v>
      </c>
      <c r="AC1777" t="s">
        <v>16</v>
      </c>
      <c r="AD1777" t="s">
        <v>16</v>
      </c>
      <c r="AE1777" t="s">
        <v>2668</v>
      </c>
    </row>
    <row r="1778" spans="1:38" x14ac:dyDescent="0.3">
      <c r="A1778">
        <v>42119.263067129628</v>
      </c>
      <c r="E1778" s="157">
        <v>42123</v>
      </c>
      <c r="F1778" t="s">
        <v>16</v>
      </c>
      <c r="G1778" t="s">
        <v>16</v>
      </c>
      <c r="H1778" t="s">
        <v>148</v>
      </c>
      <c r="I1778" t="s">
        <v>148</v>
      </c>
      <c r="J1778" t="s">
        <v>149</v>
      </c>
      <c r="K1778" t="s">
        <v>148</v>
      </c>
      <c r="L1778" t="s">
        <v>148</v>
      </c>
      <c r="M1778" t="s">
        <v>16</v>
      </c>
      <c r="N1778" t="s">
        <v>16</v>
      </c>
      <c r="O1778" t="s">
        <v>16</v>
      </c>
      <c r="P1778" t="s">
        <v>16</v>
      </c>
      <c r="Q1778" t="s">
        <v>16</v>
      </c>
      <c r="R1778" t="s">
        <v>16</v>
      </c>
      <c r="S1778" t="s">
        <v>16</v>
      </c>
      <c r="T1778" t="s">
        <v>16</v>
      </c>
      <c r="U1778" t="s">
        <v>148</v>
      </c>
      <c r="V1778" t="s">
        <v>16</v>
      </c>
      <c r="W1778" t="s">
        <v>16</v>
      </c>
      <c r="X1778" t="s">
        <v>16</v>
      </c>
      <c r="Y1778" t="s">
        <v>16</v>
      </c>
      <c r="Z1778" t="s">
        <v>16</v>
      </c>
      <c r="AA1778" t="s">
        <v>16</v>
      </c>
      <c r="AB1778" t="s">
        <v>16</v>
      </c>
      <c r="AC1778" t="s">
        <v>16</v>
      </c>
      <c r="AD1778" t="s">
        <v>16</v>
      </c>
      <c r="AE1778" t="s">
        <v>2671</v>
      </c>
    </row>
    <row r="1779" spans="1:38" x14ac:dyDescent="0.3">
      <c r="A1779">
        <v>42119.283773148149</v>
      </c>
      <c r="E1779" s="157">
        <v>42123</v>
      </c>
      <c r="F1779" t="s">
        <v>16</v>
      </c>
      <c r="G1779" t="s">
        <v>16</v>
      </c>
      <c r="H1779" t="s">
        <v>16</v>
      </c>
      <c r="I1779" t="s">
        <v>16</v>
      </c>
      <c r="J1779" t="s">
        <v>16</v>
      </c>
      <c r="K1779" t="s">
        <v>16</v>
      </c>
      <c r="L1779" t="s">
        <v>16</v>
      </c>
      <c r="M1779" t="s">
        <v>16</v>
      </c>
      <c r="N1779" t="s">
        <v>16</v>
      </c>
      <c r="O1779" t="s">
        <v>16</v>
      </c>
      <c r="P1779" t="s">
        <v>148</v>
      </c>
      <c r="Q1779" t="s">
        <v>16</v>
      </c>
      <c r="R1779" t="s">
        <v>16</v>
      </c>
      <c r="S1779" t="s">
        <v>16</v>
      </c>
      <c r="T1779" t="s">
        <v>16</v>
      </c>
      <c r="U1779" t="s">
        <v>16</v>
      </c>
      <c r="V1779" t="s">
        <v>16</v>
      </c>
      <c r="W1779" t="s">
        <v>16</v>
      </c>
      <c r="X1779" t="s">
        <v>16</v>
      </c>
      <c r="Y1779" t="s">
        <v>16</v>
      </c>
      <c r="Z1779" t="s">
        <v>16</v>
      </c>
      <c r="AA1779" t="s">
        <v>16</v>
      </c>
      <c r="AB1779" t="s">
        <v>16</v>
      </c>
      <c r="AC1779" t="s">
        <v>16</v>
      </c>
      <c r="AD1779" t="s">
        <v>16</v>
      </c>
      <c r="AE1779" t="s">
        <v>2674</v>
      </c>
    </row>
    <row r="1780" spans="1:38" x14ac:dyDescent="0.3">
      <c r="A1780">
        <v>42119.301249999997</v>
      </c>
      <c r="E1780" s="157">
        <v>42123</v>
      </c>
      <c r="F1780" t="s">
        <v>148</v>
      </c>
      <c r="G1780" t="s">
        <v>148</v>
      </c>
      <c r="H1780" t="s">
        <v>16</v>
      </c>
      <c r="I1780" t="s">
        <v>148</v>
      </c>
      <c r="J1780" t="s">
        <v>16</v>
      </c>
      <c r="K1780" t="s">
        <v>16</v>
      </c>
      <c r="L1780" t="s">
        <v>148</v>
      </c>
      <c r="M1780" t="s">
        <v>148</v>
      </c>
      <c r="N1780" t="s">
        <v>148</v>
      </c>
      <c r="O1780" t="s">
        <v>16</v>
      </c>
      <c r="P1780" t="s">
        <v>148</v>
      </c>
      <c r="Q1780" t="s">
        <v>16</v>
      </c>
      <c r="R1780" t="s">
        <v>148</v>
      </c>
      <c r="S1780" t="s">
        <v>16</v>
      </c>
      <c r="T1780" t="s">
        <v>16</v>
      </c>
      <c r="U1780" t="s">
        <v>148</v>
      </c>
      <c r="V1780" t="s">
        <v>148</v>
      </c>
      <c r="W1780" t="s">
        <v>149</v>
      </c>
      <c r="X1780" t="s">
        <v>16</v>
      </c>
      <c r="Y1780" t="s">
        <v>149</v>
      </c>
      <c r="Z1780" t="s">
        <v>149</v>
      </c>
      <c r="AA1780" t="s">
        <v>149</v>
      </c>
      <c r="AB1780" t="s">
        <v>148</v>
      </c>
      <c r="AC1780" t="s">
        <v>2652</v>
      </c>
      <c r="AD1780" t="s">
        <v>16</v>
      </c>
      <c r="AE1780" t="s">
        <v>2667</v>
      </c>
    </row>
    <row r="1781" spans="1:38" x14ac:dyDescent="0.3">
      <c r="A1781">
        <v>42119.33935185185</v>
      </c>
      <c r="E1781" s="157">
        <v>42123</v>
      </c>
      <c r="F1781" t="s">
        <v>148</v>
      </c>
      <c r="G1781" t="s">
        <v>148</v>
      </c>
      <c r="H1781" t="s">
        <v>148</v>
      </c>
      <c r="I1781" t="s">
        <v>148</v>
      </c>
      <c r="J1781" t="s">
        <v>148</v>
      </c>
      <c r="K1781" t="s">
        <v>16</v>
      </c>
      <c r="L1781" t="s">
        <v>16</v>
      </c>
      <c r="M1781" t="s">
        <v>148</v>
      </c>
      <c r="N1781" t="s">
        <v>16</v>
      </c>
      <c r="O1781" t="s">
        <v>148</v>
      </c>
      <c r="P1781" t="s">
        <v>148</v>
      </c>
      <c r="Q1781" t="s">
        <v>148</v>
      </c>
      <c r="R1781" t="s">
        <v>16</v>
      </c>
      <c r="S1781" t="s">
        <v>148</v>
      </c>
      <c r="T1781" t="s">
        <v>16</v>
      </c>
      <c r="U1781" t="s">
        <v>148</v>
      </c>
      <c r="V1781" t="s">
        <v>16</v>
      </c>
      <c r="W1781" t="s">
        <v>148</v>
      </c>
      <c r="X1781" t="s">
        <v>16</v>
      </c>
      <c r="Y1781" t="s">
        <v>16</v>
      </c>
      <c r="Z1781" t="s">
        <v>148</v>
      </c>
      <c r="AA1781" t="s">
        <v>16</v>
      </c>
      <c r="AB1781" t="s">
        <v>16</v>
      </c>
      <c r="AC1781" t="s">
        <v>148</v>
      </c>
      <c r="AD1781" t="s">
        <v>16</v>
      </c>
      <c r="AE1781" t="s">
        <v>2668</v>
      </c>
    </row>
    <row r="1782" spans="1:38" x14ac:dyDescent="0.3">
      <c r="A1782">
        <v>42119.345196759263</v>
      </c>
      <c r="E1782" s="157">
        <v>42123</v>
      </c>
      <c r="F1782" t="s">
        <v>16</v>
      </c>
      <c r="G1782" t="s">
        <v>148</v>
      </c>
      <c r="H1782" t="s">
        <v>148</v>
      </c>
      <c r="I1782" t="s">
        <v>16</v>
      </c>
      <c r="J1782" t="s">
        <v>148</v>
      </c>
      <c r="K1782" t="s">
        <v>16</v>
      </c>
      <c r="L1782" t="s">
        <v>148</v>
      </c>
      <c r="M1782" t="s">
        <v>16</v>
      </c>
      <c r="N1782" t="s">
        <v>148</v>
      </c>
      <c r="O1782" t="s">
        <v>16</v>
      </c>
      <c r="P1782" t="s">
        <v>148</v>
      </c>
      <c r="Q1782" t="s">
        <v>16</v>
      </c>
      <c r="R1782" t="s">
        <v>148</v>
      </c>
      <c r="S1782" t="s">
        <v>16</v>
      </c>
      <c r="T1782" t="s">
        <v>148</v>
      </c>
      <c r="U1782" t="s">
        <v>16</v>
      </c>
      <c r="V1782" t="s">
        <v>148</v>
      </c>
      <c r="W1782" t="s">
        <v>16</v>
      </c>
      <c r="X1782" t="s">
        <v>16</v>
      </c>
      <c r="Y1782" t="s">
        <v>148</v>
      </c>
      <c r="Z1782" t="s">
        <v>16</v>
      </c>
      <c r="AA1782" t="s">
        <v>148</v>
      </c>
      <c r="AB1782" t="s">
        <v>16</v>
      </c>
      <c r="AC1782" t="s">
        <v>16</v>
      </c>
      <c r="AD1782" t="s">
        <v>148</v>
      </c>
      <c r="AE1782" t="s">
        <v>2674</v>
      </c>
    </row>
    <row r="1783" spans="1:38" x14ac:dyDescent="0.3">
      <c r="A1783">
        <v>42119.448472222219</v>
      </c>
      <c r="E1783" s="157">
        <v>42123</v>
      </c>
      <c r="F1783" t="s">
        <v>16</v>
      </c>
      <c r="G1783" t="s">
        <v>148</v>
      </c>
      <c r="H1783" t="s">
        <v>16</v>
      </c>
      <c r="I1783" t="s">
        <v>16</v>
      </c>
      <c r="J1783" t="s">
        <v>148</v>
      </c>
      <c r="K1783" t="s">
        <v>16</v>
      </c>
      <c r="L1783" t="s">
        <v>16</v>
      </c>
      <c r="M1783" t="s">
        <v>16</v>
      </c>
      <c r="N1783" t="s">
        <v>16</v>
      </c>
      <c r="O1783" t="s">
        <v>148</v>
      </c>
      <c r="P1783" t="s">
        <v>16</v>
      </c>
      <c r="Q1783" t="s">
        <v>16</v>
      </c>
      <c r="R1783" t="s">
        <v>148</v>
      </c>
      <c r="S1783" t="s">
        <v>16</v>
      </c>
      <c r="T1783" t="s">
        <v>16</v>
      </c>
      <c r="U1783" t="s">
        <v>16</v>
      </c>
      <c r="V1783" t="s">
        <v>16</v>
      </c>
      <c r="W1783" t="s">
        <v>16</v>
      </c>
      <c r="X1783" t="s">
        <v>148</v>
      </c>
      <c r="Y1783" t="s">
        <v>16</v>
      </c>
      <c r="Z1783" t="s">
        <v>16</v>
      </c>
      <c r="AA1783" t="s">
        <v>16</v>
      </c>
      <c r="AB1783" t="s">
        <v>16</v>
      </c>
      <c r="AC1783" t="s">
        <v>16</v>
      </c>
      <c r="AD1783" t="s">
        <v>16</v>
      </c>
      <c r="AE1783" t="s">
        <v>2672</v>
      </c>
    </row>
    <row r="1784" spans="1:38" x14ac:dyDescent="0.3">
      <c r="A1784">
        <v>42119.479189814818</v>
      </c>
      <c r="E1784" s="157">
        <v>42123</v>
      </c>
      <c r="F1784" t="s">
        <v>16</v>
      </c>
      <c r="G1784" t="s">
        <v>16</v>
      </c>
      <c r="H1784" t="s">
        <v>16</v>
      </c>
      <c r="I1784" t="s">
        <v>16</v>
      </c>
      <c r="J1784" t="s">
        <v>16</v>
      </c>
      <c r="K1784" t="s">
        <v>16</v>
      </c>
      <c r="L1784" t="s">
        <v>16</v>
      </c>
      <c r="M1784" t="s">
        <v>16</v>
      </c>
      <c r="N1784" t="s">
        <v>16</v>
      </c>
      <c r="O1784" t="s">
        <v>16</v>
      </c>
      <c r="P1784" t="s">
        <v>16</v>
      </c>
      <c r="Q1784" t="s">
        <v>16</v>
      </c>
      <c r="R1784" t="s">
        <v>16</v>
      </c>
      <c r="S1784" t="s">
        <v>16</v>
      </c>
      <c r="T1784" t="s">
        <v>16</v>
      </c>
      <c r="U1784" t="s">
        <v>16</v>
      </c>
      <c r="V1784" t="s">
        <v>16</v>
      </c>
      <c r="W1784" t="s">
        <v>16</v>
      </c>
      <c r="X1784" t="s">
        <v>16</v>
      </c>
      <c r="Y1784" t="s">
        <v>16</v>
      </c>
      <c r="Z1784" t="s">
        <v>16</v>
      </c>
      <c r="AA1784" t="s">
        <v>16</v>
      </c>
      <c r="AB1784" t="s">
        <v>16</v>
      </c>
      <c r="AC1784" t="s">
        <v>16</v>
      </c>
      <c r="AD1784" t="s">
        <v>16</v>
      </c>
      <c r="AE1784" t="s">
        <v>2669</v>
      </c>
    </row>
    <row r="1785" spans="1:38" x14ac:dyDescent="0.3">
      <c r="A1785">
        <v>42119.51190972222</v>
      </c>
      <c r="E1785" s="157">
        <v>42123</v>
      </c>
      <c r="F1785" t="s">
        <v>16</v>
      </c>
      <c r="G1785" t="s">
        <v>16</v>
      </c>
      <c r="H1785" t="s">
        <v>16</v>
      </c>
      <c r="I1785" t="s">
        <v>16</v>
      </c>
      <c r="J1785" t="s">
        <v>16</v>
      </c>
      <c r="K1785" t="s">
        <v>16</v>
      </c>
      <c r="L1785" t="s">
        <v>148</v>
      </c>
      <c r="M1785" t="s">
        <v>16</v>
      </c>
      <c r="N1785" t="s">
        <v>16</v>
      </c>
      <c r="O1785" t="s">
        <v>16</v>
      </c>
      <c r="P1785" t="s">
        <v>16</v>
      </c>
      <c r="Q1785" t="s">
        <v>16</v>
      </c>
      <c r="R1785" t="s">
        <v>16</v>
      </c>
      <c r="S1785" t="s">
        <v>16</v>
      </c>
      <c r="T1785" t="s">
        <v>16</v>
      </c>
      <c r="U1785" t="s">
        <v>16</v>
      </c>
      <c r="V1785" t="s">
        <v>16</v>
      </c>
      <c r="W1785" t="s">
        <v>16</v>
      </c>
      <c r="X1785" t="s">
        <v>16</v>
      </c>
      <c r="Y1785" t="s">
        <v>16</v>
      </c>
      <c r="Z1785" t="s">
        <v>16</v>
      </c>
      <c r="AA1785" t="s">
        <v>16</v>
      </c>
      <c r="AB1785" t="s">
        <v>16</v>
      </c>
      <c r="AC1785" t="s">
        <v>16</v>
      </c>
      <c r="AD1785" t="s">
        <v>16</v>
      </c>
      <c r="AE1785" t="s">
        <v>2672</v>
      </c>
    </row>
    <row r="1786" spans="1:38" x14ac:dyDescent="0.3">
      <c r="A1786">
        <v>42119.76353009259</v>
      </c>
      <c r="E1786" s="157">
        <v>42123</v>
      </c>
      <c r="F1786" t="s">
        <v>148</v>
      </c>
      <c r="G1786" t="s">
        <v>16</v>
      </c>
      <c r="H1786" t="s">
        <v>148</v>
      </c>
      <c r="I1786" t="s">
        <v>149</v>
      </c>
      <c r="J1786" t="s">
        <v>16</v>
      </c>
      <c r="K1786" t="s">
        <v>149</v>
      </c>
      <c r="L1786" t="s">
        <v>16</v>
      </c>
      <c r="M1786" t="s">
        <v>148</v>
      </c>
      <c r="N1786" t="s">
        <v>2652</v>
      </c>
      <c r="O1786" t="s">
        <v>2652</v>
      </c>
      <c r="P1786" t="s">
        <v>2652</v>
      </c>
      <c r="Q1786" t="s">
        <v>148</v>
      </c>
      <c r="R1786" t="s">
        <v>16</v>
      </c>
      <c r="S1786" t="s">
        <v>16</v>
      </c>
      <c r="T1786" t="s">
        <v>16</v>
      </c>
      <c r="U1786" t="s">
        <v>149</v>
      </c>
      <c r="V1786" t="s">
        <v>148</v>
      </c>
      <c r="W1786" t="s">
        <v>2652</v>
      </c>
      <c r="X1786" t="s">
        <v>2652</v>
      </c>
      <c r="Y1786" t="s">
        <v>16</v>
      </c>
      <c r="Z1786" t="s">
        <v>148</v>
      </c>
      <c r="AA1786" t="s">
        <v>148</v>
      </c>
      <c r="AB1786" t="s">
        <v>16</v>
      </c>
      <c r="AC1786" t="s">
        <v>149</v>
      </c>
      <c r="AD1786" t="s">
        <v>148</v>
      </c>
      <c r="AE1786" t="s">
        <v>2681</v>
      </c>
    </row>
    <row r="1789" spans="1:38" s="247" customFormat="1" x14ac:dyDescent="0.3">
      <c r="A1789" s="247" t="s">
        <v>2618</v>
      </c>
      <c r="E1789" s="247" t="s">
        <v>2622</v>
      </c>
      <c r="F1789" s="247" t="s">
        <v>2623</v>
      </c>
      <c r="G1789" s="247" t="s">
        <v>2624</v>
      </c>
      <c r="H1789" s="247" t="s">
        <v>2625</v>
      </c>
      <c r="I1789" s="247" t="s">
        <v>2626</v>
      </c>
      <c r="J1789" s="247" t="s">
        <v>2627</v>
      </c>
      <c r="K1789" s="247" t="s">
        <v>2628</v>
      </c>
      <c r="L1789" s="247" t="s">
        <v>2629</v>
      </c>
      <c r="M1789" s="247" t="s">
        <v>2630</v>
      </c>
      <c r="N1789" s="247" t="s">
        <v>2631</v>
      </c>
      <c r="O1789" s="247" t="s">
        <v>2632</v>
      </c>
      <c r="P1789" s="247" t="s">
        <v>2633</v>
      </c>
      <c r="Q1789" s="247" t="s">
        <v>2634</v>
      </c>
      <c r="R1789" s="247" t="s">
        <v>2635</v>
      </c>
      <c r="S1789" s="247" t="s">
        <v>2636</v>
      </c>
      <c r="T1789" s="247" t="s">
        <v>2637</v>
      </c>
      <c r="U1789" s="247" t="s">
        <v>2638</v>
      </c>
      <c r="V1789" s="247" t="s">
        <v>2639</v>
      </c>
      <c r="W1789" s="247" t="s">
        <v>2640</v>
      </c>
      <c r="X1789" s="247" t="s">
        <v>2641</v>
      </c>
      <c r="Y1789" s="247" t="s">
        <v>2642</v>
      </c>
      <c r="Z1789" s="247" t="s">
        <v>2643</v>
      </c>
      <c r="AA1789" s="247" t="s">
        <v>2644</v>
      </c>
      <c r="AB1789" s="247" t="s">
        <v>2645</v>
      </c>
      <c r="AC1789" s="247" t="s">
        <v>2646</v>
      </c>
      <c r="AD1789" s="247" t="s">
        <v>2647</v>
      </c>
      <c r="AE1789" s="247" t="s">
        <v>2708</v>
      </c>
      <c r="AF1789" s="247" t="s">
        <v>2709</v>
      </c>
      <c r="AG1789" s="247" t="s">
        <v>2710</v>
      </c>
      <c r="AH1789" s="247" t="s">
        <v>2711</v>
      </c>
      <c r="AI1789" s="247" t="s">
        <v>2712</v>
      </c>
      <c r="AJ1789" s="247" t="s">
        <v>2713</v>
      </c>
      <c r="AK1789" s="247" t="s">
        <v>2714</v>
      </c>
      <c r="AL1789" s="247" t="s">
        <v>2715</v>
      </c>
    </row>
    <row r="1790" spans="1:38" s="247" customFormat="1" x14ac:dyDescent="0.3">
      <c r="A1790" s="249">
        <v>43606.891180555554</v>
      </c>
      <c r="E1790" s="157">
        <v>42154</v>
      </c>
      <c r="F1790" s="247" t="s">
        <v>16</v>
      </c>
      <c r="G1790" s="247" t="s">
        <v>16</v>
      </c>
      <c r="H1790" s="247" t="s">
        <v>16</v>
      </c>
      <c r="I1790" s="247" t="s">
        <v>148</v>
      </c>
      <c r="J1790" s="247" t="s">
        <v>16</v>
      </c>
      <c r="K1790" s="247" t="s">
        <v>16</v>
      </c>
      <c r="L1790" s="247" t="s">
        <v>16</v>
      </c>
      <c r="M1790" s="247" t="s">
        <v>16</v>
      </c>
      <c r="N1790" s="247" t="s">
        <v>148</v>
      </c>
      <c r="O1790" s="247" t="s">
        <v>148</v>
      </c>
      <c r="P1790" s="247" t="s">
        <v>16</v>
      </c>
      <c r="Q1790" s="247" t="s">
        <v>16</v>
      </c>
      <c r="R1790" s="247" t="s">
        <v>16</v>
      </c>
      <c r="S1790" s="247" t="s">
        <v>16</v>
      </c>
      <c r="T1790" s="247" t="s">
        <v>16</v>
      </c>
      <c r="U1790" s="247" t="s">
        <v>16</v>
      </c>
      <c r="V1790" s="247" t="s">
        <v>16</v>
      </c>
      <c r="W1790" s="247" t="s">
        <v>16</v>
      </c>
      <c r="X1790" s="247" t="s">
        <v>16</v>
      </c>
      <c r="Y1790" s="247" t="s">
        <v>16</v>
      </c>
      <c r="Z1790" s="247" t="s">
        <v>16</v>
      </c>
      <c r="AA1790" s="247" t="s">
        <v>16</v>
      </c>
      <c r="AB1790" s="247" t="s">
        <v>16</v>
      </c>
      <c r="AC1790" s="247" t="s">
        <v>16</v>
      </c>
      <c r="AD1790" s="247" t="s">
        <v>16</v>
      </c>
      <c r="AE1790" s="247" t="s">
        <v>2716</v>
      </c>
      <c r="AF1790" s="247" t="s">
        <v>1440</v>
      </c>
      <c r="AG1790" s="247" t="s">
        <v>1440</v>
      </c>
      <c r="AH1790" s="247" t="s">
        <v>1439</v>
      </c>
      <c r="AI1790" s="247" t="s">
        <v>1439</v>
      </c>
      <c r="AJ1790" s="247" t="s">
        <v>1440</v>
      </c>
      <c r="AK1790" s="247" t="s">
        <v>1440</v>
      </c>
      <c r="AL1790" s="247" t="s">
        <v>1439</v>
      </c>
    </row>
    <row r="1791" spans="1:38" s="247" customFormat="1" x14ac:dyDescent="0.3">
      <c r="A1791" s="249">
        <v>43606.903692129628</v>
      </c>
      <c r="E1791" s="157">
        <v>42154</v>
      </c>
      <c r="F1791" s="247" t="s">
        <v>16</v>
      </c>
      <c r="G1791" s="247" t="s">
        <v>16</v>
      </c>
      <c r="H1791" s="247" t="s">
        <v>16</v>
      </c>
      <c r="I1791" s="247" t="s">
        <v>16</v>
      </c>
      <c r="J1791" s="247" t="s">
        <v>16</v>
      </c>
      <c r="K1791" s="247" t="s">
        <v>16</v>
      </c>
      <c r="L1791" s="247" t="s">
        <v>16</v>
      </c>
      <c r="M1791" s="247" t="s">
        <v>16</v>
      </c>
      <c r="N1791" s="247" t="s">
        <v>16</v>
      </c>
      <c r="O1791" s="247" t="s">
        <v>16</v>
      </c>
      <c r="P1791" s="247" t="s">
        <v>16</v>
      </c>
      <c r="Q1791" s="247" t="s">
        <v>16</v>
      </c>
      <c r="R1791" s="247" t="s">
        <v>16</v>
      </c>
      <c r="S1791" s="247" t="s">
        <v>16</v>
      </c>
      <c r="T1791" s="247" t="s">
        <v>16</v>
      </c>
      <c r="U1791" s="247" t="s">
        <v>16</v>
      </c>
      <c r="V1791" s="247" t="s">
        <v>16</v>
      </c>
      <c r="W1791" s="247" t="s">
        <v>16</v>
      </c>
      <c r="X1791" s="247" t="s">
        <v>16</v>
      </c>
      <c r="Y1791" s="247" t="s">
        <v>16</v>
      </c>
      <c r="Z1791" s="247" t="s">
        <v>16</v>
      </c>
      <c r="AA1791" s="247" t="s">
        <v>16</v>
      </c>
      <c r="AB1791" s="247" t="s">
        <v>16</v>
      </c>
      <c r="AC1791" s="247" t="s">
        <v>16</v>
      </c>
      <c r="AD1791" s="247" t="s">
        <v>16</v>
      </c>
      <c r="AE1791" s="247" t="s">
        <v>1439</v>
      </c>
      <c r="AF1791" s="247" t="s">
        <v>1439</v>
      </c>
      <c r="AG1791" s="247" t="s">
        <v>1439</v>
      </c>
      <c r="AH1791" s="247" t="s">
        <v>1444</v>
      </c>
      <c r="AI1791" s="247" t="s">
        <v>1439</v>
      </c>
      <c r="AJ1791" s="247" t="s">
        <v>1439</v>
      </c>
      <c r="AK1791" s="247" t="s">
        <v>1439</v>
      </c>
      <c r="AL1791" s="247" t="s">
        <v>1444</v>
      </c>
    </row>
    <row r="1792" spans="1:38" s="247" customFormat="1" x14ac:dyDescent="0.3">
      <c r="A1792" s="249">
        <v>43606.992800925924</v>
      </c>
      <c r="E1792" s="157">
        <v>42154</v>
      </c>
      <c r="F1792" s="247" t="s">
        <v>16</v>
      </c>
      <c r="G1792" s="247" t="s">
        <v>16</v>
      </c>
      <c r="H1792" s="247" t="s">
        <v>16</v>
      </c>
      <c r="I1792" s="247" t="s">
        <v>148</v>
      </c>
      <c r="J1792" s="247" t="s">
        <v>16</v>
      </c>
      <c r="K1792" s="247" t="s">
        <v>148</v>
      </c>
      <c r="L1792" s="247" t="s">
        <v>16</v>
      </c>
      <c r="M1792" s="247" t="s">
        <v>16</v>
      </c>
      <c r="N1792" s="247" t="s">
        <v>148</v>
      </c>
      <c r="O1792" s="247" t="s">
        <v>148</v>
      </c>
      <c r="P1792" s="247" t="s">
        <v>148</v>
      </c>
      <c r="Q1792" s="247" t="s">
        <v>16</v>
      </c>
      <c r="R1792" s="247" t="s">
        <v>16</v>
      </c>
      <c r="S1792" s="247" t="s">
        <v>148</v>
      </c>
      <c r="T1792" s="247" t="s">
        <v>16</v>
      </c>
      <c r="U1792" s="247" t="s">
        <v>16</v>
      </c>
      <c r="V1792" s="247" t="s">
        <v>16</v>
      </c>
      <c r="W1792" s="247" t="s">
        <v>148</v>
      </c>
      <c r="X1792" s="247" t="s">
        <v>16</v>
      </c>
      <c r="Y1792" s="247" t="s">
        <v>16</v>
      </c>
      <c r="Z1792" s="247" t="s">
        <v>16</v>
      </c>
      <c r="AA1792" s="247" t="s">
        <v>16</v>
      </c>
      <c r="AB1792" s="247" t="s">
        <v>16</v>
      </c>
      <c r="AC1792" s="247" t="s">
        <v>16</v>
      </c>
      <c r="AD1792" s="247" t="s">
        <v>16</v>
      </c>
      <c r="AE1792" s="247" t="s">
        <v>1439</v>
      </c>
      <c r="AF1792" s="247" t="s">
        <v>1439</v>
      </c>
      <c r="AG1792" s="247" t="s">
        <v>1439</v>
      </c>
      <c r="AH1792" s="247" t="s">
        <v>1439</v>
      </c>
      <c r="AI1792" s="247" t="s">
        <v>1439</v>
      </c>
      <c r="AJ1792" s="247" t="s">
        <v>1439</v>
      </c>
      <c r="AK1792" s="247" t="s">
        <v>1439</v>
      </c>
      <c r="AL1792" s="247" t="s">
        <v>1439</v>
      </c>
    </row>
    <row r="1793" spans="1:38" s="247" customFormat="1" x14ac:dyDescent="0.3">
      <c r="A1793" s="249">
        <v>43607.249305555553</v>
      </c>
      <c r="E1793" s="157">
        <v>42154</v>
      </c>
      <c r="F1793" s="247" t="s">
        <v>16</v>
      </c>
      <c r="G1793" s="247" t="s">
        <v>16</v>
      </c>
      <c r="H1793" s="247" t="s">
        <v>148</v>
      </c>
      <c r="I1793" s="247" t="s">
        <v>16</v>
      </c>
      <c r="J1793" s="247" t="s">
        <v>16</v>
      </c>
      <c r="K1793" s="247" t="s">
        <v>16</v>
      </c>
      <c r="L1793" s="247" t="s">
        <v>16</v>
      </c>
      <c r="M1793" s="247" t="s">
        <v>16</v>
      </c>
      <c r="N1793" s="247" t="s">
        <v>16</v>
      </c>
      <c r="O1793" s="247" t="s">
        <v>16</v>
      </c>
      <c r="P1793" s="247" t="s">
        <v>16</v>
      </c>
      <c r="Q1793" s="247" t="s">
        <v>16</v>
      </c>
      <c r="R1793" s="247" t="s">
        <v>148</v>
      </c>
      <c r="S1793" s="247" t="s">
        <v>16</v>
      </c>
      <c r="T1793" s="247" t="s">
        <v>16</v>
      </c>
      <c r="U1793" s="247" t="s">
        <v>16</v>
      </c>
      <c r="V1793" s="247" t="s">
        <v>16</v>
      </c>
      <c r="W1793" s="247" t="s">
        <v>148</v>
      </c>
      <c r="X1793" s="247" t="s">
        <v>16</v>
      </c>
      <c r="Y1793" s="247" t="s">
        <v>16</v>
      </c>
      <c r="Z1793" s="247" t="s">
        <v>16</v>
      </c>
      <c r="AA1793" s="247" t="s">
        <v>16</v>
      </c>
      <c r="AB1793" s="247" t="s">
        <v>16</v>
      </c>
      <c r="AC1793" s="247" t="s">
        <v>16</v>
      </c>
      <c r="AD1793" s="247" t="s">
        <v>16</v>
      </c>
      <c r="AE1793" s="247" t="s">
        <v>1440</v>
      </c>
      <c r="AF1793" s="247" t="s">
        <v>1439</v>
      </c>
      <c r="AG1793" s="247" t="s">
        <v>1439</v>
      </c>
      <c r="AH1793" s="247" t="s">
        <v>1439</v>
      </c>
      <c r="AI1793" s="247" t="s">
        <v>1444</v>
      </c>
      <c r="AJ1793" s="247" t="s">
        <v>1439</v>
      </c>
      <c r="AK1793" s="247" t="s">
        <v>1439</v>
      </c>
      <c r="AL1793" s="247" t="s">
        <v>1439</v>
      </c>
    </row>
    <row r="1794" spans="1:38" s="247" customFormat="1" x14ac:dyDescent="0.3">
      <c r="A1794" s="249">
        <v>43607.308356481481</v>
      </c>
      <c r="E1794" s="157">
        <v>42154</v>
      </c>
      <c r="F1794" s="247" t="s">
        <v>16</v>
      </c>
      <c r="G1794" s="247" t="s">
        <v>149</v>
      </c>
      <c r="H1794" s="247" t="s">
        <v>148</v>
      </c>
      <c r="I1794" s="247" t="s">
        <v>148</v>
      </c>
      <c r="J1794" s="247" t="s">
        <v>16</v>
      </c>
      <c r="K1794" s="247" t="s">
        <v>16</v>
      </c>
      <c r="L1794" s="247" t="s">
        <v>16</v>
      </c>
      <c r="M1794" s="247" t="s">
        <v>148</v>
      </c>
      <c r="N1794" s="247" t="s">
        <v>16</v>
      </c>
      <c r="O1794" s="247" t="s">
        <v>148</v>
      </c>
      <c r="P1794" s="247" t="s">
        <v>16</v>
      </c>
      <c r="Q1794" s="247" t="s">
        <v>148</v>
      </c>
      <c r="R1794" s="247" t="s">
        <v>2651</v>
      </c>
      <c r="S1794" s="247" t="s">
        <v>16</v>
      </c>
      <c r="T1794" s="247" t="s">
        <v>148</v>
      </c>
      <c r="U1794" s="247" t="s">
        <v>16</v>
      </c>
      <c r="V1794" s="247" t="s">
        <v>16</v>
      </c>
      <c r="W1794" s="247" t="s">
        <v>148</v>
      </c>
      <c r="X1794" s="247" t="s">
        <v>16</v>
      </c>
      <c r="Y1794" s="247" t="s">
        <v>148</v>
      </c>
      <c r="Z1794" s="247" t="s">
        <v>16</v>
      </c>
      <c r="AA1794" s="247" t="s">
        <v>16</v>
      </c>
      <c r="AB1794" s="247" t="s">
        <v>148</v>
      </c>
      <c r="AC1794" s="247" t="s">
        <v>16</v>
      </c>
      <c r="AD1794" s="247" t="s">
        <v>16</v>
      </c>
      <c r="AE1794" s="247" t="s">
        <v>1440</v>
      </c>
      <c r="AF1794" s="247" t="s">
        <v>1439</v>
      </c>
      <c r="AG1794" s="247" t="s">
        <v>1439</v>
      </c>
      <c r="AH1794" s="247" t="s">
        <v>1439</v>
      </c>
      <c r="AI1794" s="247" t="s">
        <v>1439</v>
      </c>
      <c r="AJ1794" s="247" t="s">
        <v>1444</v>
      </c>
      <c r="AK1794" s="247" t="s">
        <v>1444</v>
      </c>
      <c r="AL1794" s="247" t="s">
        <v>1444</v>
      </c>
    </row>
    <row r="1795" spans="1:38" s="247" customFormat="1" x14ac:dyDescent="0.3">
      <c r="A1795" s="249">
        <v>43607.363692129627</v>
      </c>
      <c r="E1795" s="157">
        <v>42154</v>
      </c>
      <c r="F1795" s="247" t="s">
        <v>16</v>
      </c>
      <c r="G1795" s="247" t="s">
        <v>16</v>
      </c>
      <c r="H1795" s="247" t="s">
        <v>149</v>
      </c>
      <c r="I1795" s="247" t="s">
        <v>148</v>
      </c>
      <c r="J1795" s="247" t="s">
        <v>16</v>
      </c>
      <c r="K1795" s="247" t="s">
        <v>149</v>
      </c>
      <c r="L1795" s="247" t="s">
        <v>149</v>
      </c>
      <c r="M1795" s="247" t="s">
        <v>2652</v>
      </c>
      <c r="N1795" s="247" t="s">
        <v>148</v>
      </c>
      <c r="O1795" s="247" t="s">
        <v>148</v>
      </c>
      <c r="P1795" s="247" t="s">
        <v>2652</v>
      </c>
      <c r="Q1795" s="247" t="s">
        <v>148</v>
      </c>
      <c r="R1795" s="247" t="s">
        <v>148</v>
      </c>
      <c r="S1795" s="247" t="s">
        <v>148</v>
      </c>
      <c r="T1795" s="247" t="s">
        <v>16</v>
      </c>
      <c r="U1795" s="247" t="s">
        <v>16</v>
      </c>
      <c r="V1795" s="247" t="s">
        <v>149</v>
      </c>
      <c r="W1795" s="247" t="s">
        <v>16</v>
      </c>
      <c r="X1795" s="247" t="s">
        <v>2652</v>
      </c>
      <c r="Y1795" s="247" t="s">
        <v>149</v>
      </c>
      <c r="Z1795" s="247" t="s">
        <v>149</v>
      </c>
      <c r="AA1795" s="247" t="s">
        <v>16</v>
      </c>
      <c r="AB1795" s="247" t="s">
        <v>148</v>
      </c>
      <c r="AC1795" s="247" t="s">
        <v>149</v>
      </c>
      <c r="AD1795" s="247" t="s">
        <v>149</v>
      </c>
      <c r="AE1795" s="247" t="s">
        <v>2716</v>
      </c>
      <c r="AF1795" s="247" t="s">
        <v>1439</v>
      </c>
      <c r="AG1795" s="247" t="s">
        <v>1440</v>
      </c>
      <c r="AH1795" s="247" t="s">
        <v>1439</v>
      </c>
      <c r="AI1795" s="247" t="s">
        <v>1439</v>
      </c>
      <c r="AJ1795" s="247" t="s">
        <v>1439</v>
      </c>
      <c r="AK1795" s="247" t="s">
        <v>1440</v>
      </c>
      <c r="AL1795" s="247" t="s">
        <v>1439</v>
      </c>
    </row>
    <row r="1796" spans="1:38" s="247" customFormat="1" x14ac:dyDescent="0.3">
      <c r="A1796" s="249">
        <v>43607.387291666666</v>
      </c>
      <c r="E1796" s="157">
        <v>42154</v>
      </c>
      <c r="F1796" s="247" t="s">
        <v>16</v>
      </c>
      <c r="G1796" s="247" t="s">
        <v>16</v>
      </c>
      <c r="H1796" s="247" t="s">
        <v>16</v>
      </c>
      <c r="I1796" s="247" t="s">
        <v>16</v>
      </c>
      <c r="J1796" s="247" t="s">
        <v>16</v>
      </c>
      <c r="K1796" s="247" t="s">
        <v>16</v>
      </c>
      <c r="L1796" s="247" t="s">
        <v>16</v>
      </c>
      <c r="M1796" s="247" t="s">
        <v>16</v>
      </c>
      <c r="N1796" s="247" t="s">
        <v>16</v>
      </c>
      <c r="O1796" s="247" t="s">
        <v>16</v>
      </c>
      <c r="P1796" s="247" t="s">
        <v>16</v>
      </c>
      <c r="Q1796" s="247" t="s">
        <v>16</v>
      </c>
      <c r="R1796" s="247" t="s">
        <v>16</v>
      </c>
      <c r="S1796" s="247" t="s">
        <v>16</v>
      </c>
      <c r="T1796" s="247" t="s">
        <v>16</v>
      </c>
      <c r="U1796" s="247" t="s">
        <v>16</v>
      </c>
      <c r="V1796" s="247" t="s">
        <v>16</v>
      </c>
      <c r="W1796" s="247" t="s">
        <v>16</v>
      </c>
      <c r="X1796" s="247" t="s">
        <v>16</v>
      </c>
      <c r="Y1796" s="247" t="s">
        <v>16</v>
      </c>
      <c r="Z1796" s="247" t="s">
        <v>16</v>
      </c>
      <c r="AA1796" s="247" t="s">
        <v>16</v>
      </c>
      <c r="AB1796" s="247" t="s">
        <v>16</v>
      </c>
      <c r="AC1796" s="247" t="s">
        <v>16</v>
      </c>
      <c r="AD1796" s="247" t="s">
        <v>16</v>
      </c>
      <c r="AE1796" s="247" t="s">
        <v>1440</v>
      </c>
      <c r="AF1796" s="247" t="s">
        <v>1440</v>
      </c>
      <c r="AG1796" s="247" t="s">
        <v>1439</v>
      </c>
      <c r="AH1796" s="247" t="s">
        <v>2716</v>
      </c>
      <c r="AI1796" s="247" t="s">
        <v>1439</v>
      </c>
      <c r="AJ1796" s="247" t="s">
        <v>1439</v>
      </c>
      <c r="AK1796" s="247" t="s">
        <v>1444</v>
      </c>
      <c r="AL1796" s="247" t="s">
        <v>1439</v>
      </c>
    </row>
    <row r="1797" spans="1:38" s="247" customFormat="1" x14ac:dyDescent="0.3">
      <c r="A1797" s="249">
        <v>43607.522905092592</v>
      </c>
      <c r="E1797" s="157">
        <v>42154</v>
      </c>
      <c r="F1797" s="247" t="s">
        <v>16</v>
      </c>
      <c r="G1797" s="247" t="s">
        <v>16</v>
      </c>
      <c r="H1797" s="247" t="s">
        <v>148</v>
      </c>
      <c r="I1797" s="247" t="s">
        <v>16</v>
      </c>
      <c r="J1797" s="247" t="s">
        <v>16</v>
      </c>
      <c r="K1797" s="247" t="s">
        <v>148</v>
      </c>
      <c r="L1797" s="247" t="s">
        <v>16</v>
      </c>
      <c r="M1797" s="247" t="s">
        <v>148</v>
      </c>
      <c r="N1797" s="247" t="s">
        <v>16</v>
      </c>
      <c r="O1797" s="247" t="s">
        <v>16</v>
      </c>
      <c r="P1797" s="247" t="s">
        <v>148</v>
      </c>
      <c r="Q1797" s="247" t="s">
        <v>16</v>
      </c>
      <c r="R1797" s="247" t="s">
        <v>16</v>
      </c>
      <c r="S1797" s="247" t="s">
        <v>16</v>
      </c>
      <c r="T1797" s="247" t="s">
        <v>16</v>
      </c>
      <c r="U1797" s="247" t="s">
        <v>16</v>
      </c>
      <c r="V1797" s="247" t="s">
        <v>16</v>
      </c>
      <c r="W1797" s="247" t="s">
        <v>148</v>
      </c>
      <c r="X1797" s="247" t="s">
        <v>16</v>
      </c>
      <c r="Y1797" s="247" t="s">
        <v>16</v>
      </c>
      <c r="Z1797" s="247" t="s">
        <v>16</v>
      </c>
      <c r="AA1797" s="247" t="s">
        <v>16</v>
      </c>
      <c r="AB1797" s="247" t="s">
        <v>16</v>
      </c>
      <c r="AC1797" s="247" t="s">
        <v>16</v>
      </c>
      <c r="AD1797" s="247" t="s">
        <v>16</v>
      </c>
      <c r="AE1797" s="247" t="s">
        <v>2716</v>
      </c>
      <c r="AF1797" s="247" t="s">
        <v>1440</v>
      </c>
      <c r="AG1797" s="247" t="s">
        <v>1440</v>
      </c>
      <c r="AH1797" s="247" t="s">
        <v>1440</v>
      </c>
      <c r="AI1797" s="247" t="s">
        <v>1439</v>
      </c>
      <c r="AJ1797" s="247" t="s">
        <v>1439</v>
      </c>
      <c r="AK1797" s="247" t="s">
        <v>1440</v>
      </c>
      <c r="AL1797" s="247" t="s">
        <v>1440</v>
      </c>
    </row>
    <row r="1798" spans="1:38" s="247" customFormat="1" x14ac:dyDescent="0.3">
      <c r="A1798" s="249">
        <v>43607.705185185187</v>
      </c>
      <c r="E1798" s="157">
        <v>42154</v>
      </c>
      <c r="F1798" s="247" t="s">
        <v>148</v>
      </c>
      <c r="G1798" s="247" t="s">
        <v>148</v>
      </c>
      <c r="H1798" s="247" t="s">
        <v>16</v>
      </c>
      <c r="I1798" s="247" t="s">
        <v>148</v>
      </c>
      <c r="J1798" s="247" t="s">
        <v>148</v>
      </c>
      <c r="K1798" s="247" t="s">
        <v>16</v>
      </c>
      <c r="L1798" s="247" t="s">
        <v>16</v>
      </c>
      <c r="M1798" s="247" t="s">
        <v>148</v>
      </c>
      <c r="N1798" s="247" t="s">
        <v>16</v>
      </c>
      <c r="O1798" s="247" t="s">
        <v>16</v>
      </c>
      <c r="P1798" s="247" t="s">
        <v>148</v>
      </c>
      <c r="Q1798" s="247" t="s">
        <v>16</v>
      </c>
      <c r="R1798" s="247" t="s">
        <v>149</v>
      </c>
      <c r="S1798" s="247" t="s">
        <v>148</v>
      </c>
      <c r="T1798" s="247" t="s">
        <v>16</v>
      </c>
      <c r="U1798" s="247" t="s">
        <v>148</v>
      </c>
      <c r="V1798" s="247" t="s">
        <v>16</v>
      </c>
      <c r="W1798" s="247" t="s">
        <v>148</v>
      </c>
      <c r="X1798" s="247" t="s">
        <v>16</v>
      </c>
      <c r="Y1798" s="247" t="s">
        <v>149</v>
      </c>
      <c r="Z1798" s="247" t="s">
        <v>16</v>
      </c>
      <c r="AA1798" s="247" t="s">
        <v>16</v>
      </c>
      <c r="AB1798" s="247" t="s">
        <v>16</v>
      </c>
      <c r="AC1798" s="247" t="s">
        <v>148</v>
      </c>
      <c r="AD1798" s="247" t="s">
        <v>149</v>
      </c>
      <c r="AE1798" s="247" t="s">
        <v>1439</v>
      </c>
      <c r="AF1798" s="247" t="s">
        <v>1440</v>
      </c>
      <c r="AG1798" s="247" t="s">
        <v>1439</v>
      </c>
      <c r="AH1798" s="247" t="s">
        <v>1439</v>
      </c>
      <c r="AI1798" s="247" t="s">
        <v>1444</v>
      </c>
      <c r="AJ1798" s="247" t="s">
        <v>1444</v>
      </c>
      <c r="AK1798" s="247" t="s">
        <v>1439</v>
      </c>
      <c r="AL1798" s="247" t="s">
        <v>1444</v>
      </c>
    </row>
    <row r="1799" spans="1:38" s="247" customFormat="1" x14ac:dyDescent="0.3">
      <c r="A1799" s="249">
        <v>43607.735960648148</v>
      </c>
      <c r="E1799" s="157">
        <v>42154</v>
      </c>
      <c r="F1799" s="247" t="s">
        <v>16</v>
      </c>
      <c r="G1799" s="247" t="s">
        <v>16</v>
      </c>
      <c r="H1799" s="247" t="s">
        <v>16</v>
      </c>
      <c r="I1799" s="247" t="s">
        <v>16</v>
      </c>
      <c r="J1799" s="247" t="s">
        <v>16</v>
      </c>
      <c r="K1799" s="247" t="s">
        <v>16</v>
      </c>
      <c r="L1799" s="247" t="s">
        <v>16</v>
      </c>
      <c r="M1799" s="247" t="s">
        <v>16</v>
      </c>
      <c r="N1799" s="247" t="s">
        <v>16</v>
      </c>
      <c r="O1799" s="247" t="s">
        <v>16</v>
      </c>
      <c r="P1799" s="247" t="s">
        <v>16</v>
      </c>
      <c r="Q1799" s="247" t="s">
        <v>16</v>
      </c>
      <c r="R1799" s="247" t="s">
        <v>16</v>
      </c>
      <c r="S1799" s="247" t="s">
        <v>16</v>
      </c>
      <c r="T1799" s="247" t="s">
        <v>16</v>
      </c>
      <c r="U1799" s="247" t="s">
        <v>16</v>
      </c>
      <c r="V1799" s="247" t="s">
        <v>16</v>
      </c>
      <c r="W1799" s="247" t="s">
        <v>16</v>
      </c>
      <c r="X1799" s="247" t="s">
        <v>16</v>
      </c>
      <c r="Y1799" s="247" t="s">
        <v>16</v>
      </c>
      <c r="Z1799" s="247" t="s">
        <v>16</v>
      </c>
      <c r="AA1799" s="247" t="s">
        <v>16</v>
      </c>
      <c r="AB1799" s="247" t="s">
        <v>16</v>
      </c>
      <c r="AC1799" s="247" t="s">
        <v>16</v>
      </c>
      <c r="AD1799" s="247" t="s">
        <v>16</v>
      </c>
      <c r="AE1799" s="247" t="s">
        <v>1440</v>
      </c>
      <c r="AF1799" s="247" t="s">
        <v>1439</v>
      </c>
      <c r="AG1799" s="247" t="s">
        <v>1440</v>
      </c>
      <c r="AH1799" s="247" t="s">
        <v>2716</v>
      </c>
      <c r="AI1799" s="247" t="s">
        <v>1439</v>
      </c>
      <c r="AJ1799" s="247" t="s">
        <v>1439</v>
      </c>
      <c r="AK1799" s="247" t="s">
        <v>1440</v>
      </c>
      <c r="AL1799" s="247" t="s">
        <v>2716</v>
      </c>
    </row>
    <row r="1800" spans="1:38" s="247" customFormat="1" x14ac:dyDescent="0.3">
      <c r="A1800" s="249">
        <v>43608.435104166667</v>
      </c>
      <c r="E1800" s="157">
        <v>42154</v>
      </c>
      <c r="F1800" s="247" t="s">
        <v>16</v>
      </c>
      <c r="G1800" s="247" t="s">
        <v>16</v>
      </c>
      <c r="H1800" s="247" t="s">
        <v>148</v>
      </c>
      <c r="I1800" s="247" t="s">
        <v>16</v>
      </c>
      <c r="J1800" s="247" t="s">
        <v>148</v>
      </c>
      <c r="K1800" s="247" t="s">
        <v>149</v>
      </c>
      <c r="L1800" s="247" t="s">
        <v>149</v>
      </c>
      <c r="M1800" s="247" t="s">
        <v>148</v>
      </c>
      <c r="N1800" s="247" t="s">
        <v>16</v>
      </c>
      <c r="O1800" s="247" t="s">
        <v>16</v>
      </c>
      <c r="P1800" s="247" t="s">
        <v>148</v>
      </c>
      <c r="Q1800" s="247" t="s">
        <v>148</v>
      </c>
      <c r="R1800" s="247" t="s">
        <v>16</v>
      </c>
      <c r="S1800" s="247" t="s">
        <v>16</v>
      </c>
      <c r="T1800" s="247" t="s">
        <v>16</v>
      </c>
      <c r="U1800" s="247" t="s">
        <v>148</v>
      </c>
      <c r="V1800" s="247" t="s">
        <v>148</v>
      </c>
      <c r="W1800" s="247" t="s">
        <v>149</v>
      </c>
      <c r="X1800" s="247" t="s">
        <v>149</v>
      </c>
      <c r="Y1800" s="247" t="s">
        <v>148</v>
      </c>
      <c r="Z1800" s="247" t="s">
        <v>148</v>
      </c>
      <c r="AA1800" s="247" t="s">
        <v>16</v>
      </c>
      <c r="AB1800" s="247" t="s">
        <v>16</v>
      </c>
      <c r="AC1800" s="247" t="s">
        <v>149</v>
      </c>
      <c r="AD1800" s="247" t="s">
        <v>148</v>
      </c>
      <c r="AE1800" s="247" t="s">
        <v>1440</v>
      </c>
      <c r="AF1800" s="247" t="s">
        <v>1439</v>
      </c>
      <c r="AG1800" s="247" t="s">
        <v>1439</v>
      </c>
      <c r="AH1800" s="247" t="s">
        <v>1439</v>
      </c>
      <c r="AI1800" s="247" t="s">
        <v>1439</v>
      </c>
      <c r="AJ1800" s="247" t="s">
        <v>1439</v>
      </c>
      <c r="AK1800" s="247" t="s">
        <v>1440</v>
      </c>
      <c r="AL1800" s="247" t="s">
        <v>1439</v>
      </c>
    </row>
    <row r="1801" spans="1:38" s="247" customFormat="1" x14ac:dyDescent="0.3">
      <c r="A1801" s="249">
        <v>43608.571851851855</v>
      </c>
      <c r="E1801" s="157">
        <v>42154</v>
      </c>
      <c r="F1801" s="247" t="s">
        <v>148</v>
      </c>
      <c r="G1801" s="247" t="s">
        <v>16</v>
      </c>
      <c r="H1801" s="247" t="s">
        <v>16</v>
      </c>
      <c r="I1801" s="247" t="s">
        <v>16</v>
      </c>
      <c r="J1801" s="247" t="s">
        <v>148</v>
      </c>
      <c r="K1801" s="247" t="s">
        <v>16</v>
      </c>
      <c r="L1801" s="247" t="s">
        <v>16</v>
      </c>
      <c r="M1801" s="247" t="s">
        <v>16</v>
      </c>
      <c r="N1801" s="247" t="s">
        <v>16</v>
      </c>
      <c r="O1801" s="247" t="s">
        <v>148</v>
      </c>
      <c r="P1801" s="247" t="s">
        <v>148</v>
      </c>
      <c r="Q1801" s="247" t="s">
        <v>16</v>
      </c>
      <c r="R1801" s="247" t="s">
        <v>16</v>
      </c>
      <c r="S1801" s="247" t="s">
        <v>16</v>
      </c>
      <c r="T1801" s="247" t="s">
        <v>16</v>
      </c>
      <c r="U1801" s="247" t="s">
        <v>16</v>
      </c>
      <c r="V1801" s="247" t="s">
        <v>16</v>
      </c>
      <c r="W1801" s="247" t="s">
        <v>16</v>
      </c>
      <c r="X1801" s="247" t="s">
        <v>16</v>
      </c>
      <c r="Y1801" s="247" t="s">
        <v>16</v>
      </c>
      <c r="Z1801" s="247" t="s">
        <v>16</v>
      </c>
      <c r="AA1801" s="247" t="s">
        <v>148</v>
      </c>
      <c r="AB1801" s="247" t="s">
        <v>16</v>
      </c>
      <c r="AC1801" s="247" t="s">
        <v>148</v>
      </c>
      <c r="AD1801" s="247" t="s">
        <v>16</v>
      </c>
      <c r="AE1801" s="247" t="s">
        <v>1440</v>
      </c>
      <c r="AF1801" s="247" t="s">
        <v>1440</v>
      </c>
      <c r="AG1801" s="247" t="s">
        <v>1440</v>
      </c>
      <c r="AH1801" s="247" t="s">
        <v>1440</v>
      </c>
      <c r="AI1801" s="247" t="s">
        <v>1439</v>
      </c>
      <c r="AJ1801" s="247" t="s">
        <v>1439</v>
      </c>
      <c r="AK1801" s="247" t="s">
        <v>1439</v>
      </c>
      <c r="AL1801" s="247" t="s">
        <v>1439</v>
      </c>
    </row>
    <row r="1802" spans="1:38" s="247" customFormat="1" x14ac:dyDescent="0.3">
      <c r="A1802" s="249">
        <v>43609.036157407405</v>
      </c>
      <c r="E1802" s="157">
        <v>42154</v>
      </c>
      <c r="F1802" s="247" t="s">
        <v>16</v>
      </c>
      <c r="G1802" s="247" t="s">
        <v>16</v>
      </c>
      <c r="H1802" s="247" t="s">
        <v>16</v>
      </c>
      <c r="I1802" s="247" t="s">
        <v>16</v>
      </c>
      <c r="J1802" s="247" t="s">
        <v>16</v>
      </c>
      <c r="K1802" s="247" t="s">
        <v>149</v>
      </c>
      <c r="L1802" s="247" t="s">
        <v>149</v>
      </c>
      <c r="M1802" s="247" t="s">
        <v>16</v>
      </c>
      <c r="N1802" s="247" t="s">
        <v>16</v>
      </c>
      <c r="O1802" s="247" t="s">
        <v>16</v>
      </c>
      <c r="P1802" s="247" t="s">
        <v>16</v>
      </c>
      <c r="Q1802" s="247" t="s">
        <v>16</v>
      </c>
      <c r="R1802" s="247" t="s">
        <v>16</v>
      </c>
      <c r="S1802" s="247" t="s">
        <v>16</v>
      </c>
      <c r="T1802" s="247" t="s">
        <v>16</v>
      </c>
      <c r="U1802" s="247" t="s">
        <v>16</v>
      </c>
      <c r="V1802" s="247" t="s">
        <v>16</v>
      </c>
      <c r="W1802" s="247" t="s">
        <v>16</v>
      </c>
      <c r="X1802" s="247" t="s">
        <v>16</v>
      </c>
      <c r="Y1802" s="247" t="s">
        <v>16</v>
      </c>
      <c r="Z1802" s="247" t="s">
        <v>16</v>
      </c>
      <c r="AA1802" s="247" t="s">
        <v>16</v>
      </c>
      <c r="AB1802" s="247" t="s">
        <v>16</v>
      </c>
      <c r="AC1802" s="247" t="s">
        <v>16</v>
      </c>
      <c r="AD1802" s="247" t="s">
        <v>16</v>
      </c>
      <c r="AE1802" s="247" t="s">
        <v>2716</v>
      </c>
      <c r="AF1802" s="247" t="s">
        <v>1439</v>
      </c>
      <c r="AG1802" s="247" t="s">
        <v>1440</v>
      </c>
      <c r="AH1802" s="247" t="s">
        <v>1439</v>
      </c>
      <c r="AI1802" s="247" t="s">
        <v>1439</v>
      </c>
      <c r="AJ1802" s="247" t="s">
        <v>1439</v>
      </c>
      <c r="AK1802" s="247" t="s">
        <v>1440</v>
      </c>
      <c r="AL1802" s="247" t="s">
        <v>1440</v>
      </c>
    </row>
    <row r="1803" spans="1:38" s="247" customFormat="1" x14ac:dyDescent="0.3">
      <c r="A1803" s="249">
        <v>43610.436793981484</v>
      </c>
      <c r="E1803" s="157">
        <v>42154</v>
      </c>
      <c r="F1803" s="247" t="s">
        <v>16</v>
      </c>
      <c r="G1803" s="247" t="s">
        <v>16</v>
      </c>
      <c r="H1803" s="247" t="s">
        <v>16</v>
      </c>
      <c r="I1803" s="247" t="s">
        <v>16</v>
      </c>
      <c r="J1803" s="247" t="s">
        <v>16</v>
      </c>
      <c r="K1803" s="247" t="s">
        <v>16</v>
      </c>
      <c r="L1803" s="247" t="s">
        <v>16</v>
      </c>
      <c r="M1803" s="247" t="s">
        <v>16</v>
      </c>
      <c r="N1803" s="247" t="s">
        <v>16</v>
      </c>
      <c r="O1803" s="247" t="s">
        <v>16</v>
      </c>
      <c r="P1803" s="247" t="s">
        <v>16</v>
      </c>
      <c r="Q1803" s="247" t="s">
        <v>16</v>
      </c>
      <c r="R1803" s="247" t="s">
        <v>16</v>
      </c>
      <c r="S1803" s="247" t="s">
        <v>16</v>
      </c>
      <c r="T1803" s="247" t="s">
        <v>16</v>
      </c>
      <c r="U1803" s="247" t="s">
        <v>16</v>
      </c>
      <c r="V1803" s="247" t="s">
        <v>16</v>
      </c>
      <c r="W1803" s="247" t="s">
        <v>16</v>
      </c>
      <c r="X1803" s="247" t="s">
        <v>16</v>
      </c>
      <c r="Y1803" s="247" t="s">
        <v>16</v>
      </c>
      <c r="Z1803" s="247" t="s">
        <v>16</v>
      </c>
      <c r="AA1803" s="247" t="s">
        <v>16</v>
      </c>
      <c r="AB1803" s="247" t="s">
        <v>16</v>
      </c>
      <c r="AC1803" s="247" t="s">
        <v>16</v>
      </c>
      <c r="AD1803" s="247" t="s">
        <v>16</v>
      </c>
      <c r="AE1803" s="247" t="s">
        <v>1440</v>
      </c>
      <c r="AF1803" s="247" t="s">
        <v>1439</v>
      </c>
      <c r="AG1803" s="247" t="s">
        <v>1439</v>
      </c>
      <c r="AH1803" s="247" t="s">
        <v>1440</v>
      </c>
      <c r="AI1803" s="247" t="s">
        <v>1440</v>
      </c>
      <c r="AJ1803" s="247" t="s">
        <v>1439</v>
      </c>
      <c r="AK1803" s="247" t="s">
        <v>1439</v>
      </c>
      <c r="AL1803" s="247" t="s">
        <v>1440</v>
      </c>
    </row>
    <row r="1804" spans="1:38" s="247" customFormat="1" x14ac:dyDescent="0.3">
      <c r="A1804" s="249">
        <v>43612.313379629632</v>
      </c>
      <c r="E1804" s="157">
        <v>42154</v>
      </c>
      <c r="F1804" s="247" t="s">
        <v>16</v>
      </c>
      <c r="G1804" s="247" t="s">
        <v>16</v>
      </c>
      <c r="H1804" s="247" t="s">
        <v>16</v>
      </c>
      <c r="I1804" s="247" t="s">
        <v>148</v>
      </c>
      <c r="J1804" s="247" t="s">
        <v>16</v>
      </c>
      <c r="K1804" s="247" t="s">
        <v>16</v>
      </c>
      <c r="L1804" s="247" t="s">
        <v>16</v>
      </c>
      <c r="M1804" s="247" t="s">
        <v>2652</v>
      </c>
      <c r="N1804" s="247" t="s">
        <v>16</v>
      </c>
      <c r="O1804" s="247" t="s">
        <v>16</v>
      </c>
      <c r="P1804" s="247" t="s">
        <v>16</v>
      </c>
      <c r="Q1804" s="247" t="s">
        <v>16</v>
      </c>
      <c r="R1804" s="247" t="s">
        <v>16</v>
      </c>
      <c r="S1804" s="247" t="s">
        <v>16</v>
      </c>
      <c r="T1804" s="247" t="s">
        <v>148</v>
      </c>
      <c r="U1804" s="247" t="s">
        <v>16</v>
      </c>
      <c r="V1804" s="247" t="s">
        <v>148</v>
      </c>
      <c r="W1804" s="247" t="s">
        <v>16</v>
      </c>
      <c r="X1804" s="247" t="s">
        <v>16</v>
      </c>
      <c r="Y1804" s="247" t="s">
        <v>16</v>
      </c>
      <c r="Z1804" s="247" t="s">
        <v>16</v>
      </c>
      <c r="AA1804" s="247" t="s">
        <v>148</v>
      </c>
      <c r="AB1804" s="247" t="s">
        <v>16</v>
      </c>
      <c r="AC1804" s="247" t="s">
        <v>148</v>
      </c>
      <c r="AD1804" s="247" t="s">
        <v>16</v>
      </c>
      <c r="AE1804" s="247" t="s">
        <v>2716</v>
      </c>
      <c r="AF1804" s="247" t="s">
        <v>2716</v>
      </c>
      <c r="AG1804" s="247" t="s">
        <v>2716</v>
      </c>
      <c r="AH1804" s="247" t="s">
        <v>1440</v>
      </c>
      <c r="AI1804" s="247" t="s">
        <v>1439</v>
      </c>
      <c r="AJ1804" s="247" t="s">
        <v>1444</v>
      </c>
      <c r="AK1804" s="247" t="s">
        <v>1444</v>
      </c>
      <c r="AL1804" s="247" t="s">
        <v>2269</v>
      </c>
    </row>
    <row r="1805" spans="1:38" s="247" customFormat="1" x14ac:dyDescent="0.3">
      <c r="A1805" s="249">
        <v>43612.651226851849</v>
      </c>
      <c r="E1805" s="157">
        <v>42154</v>
      </c>
      <c r="F1805" s="247" t="s">
        <v>2652</v>
      </c>
      <c r="G1805" s="247" t="s">
        <v>2651</v>
      </c>
      <c r="H1805" s="247" t="s">
        <v>2651</v>
      </c>
      <c r="I1805" s="247" t="s">
        <v>149</v>
      </c>
      <c r="J1805" s="247" t="s">
        <v>149</v>
      </c>
      <c r="K1805" s="247" t="s">
        <v>2651</v>
      </c>
      <c r="L1805" s="247" t="s">
        <v>2651</v>
      </c>
      <c r="M1805" s="247" t="s">
        <v>2651</v>
      </c>
      <c r="N1805" s="247" t="s">
        <v>16</v>
      </c>
      <c r="O1805" s="247" t="s">
        <v>16</v>
      </c>
      <c r="P1805" s="247" t="s">
        <v>149</v>
      </c>
      <c r="Q1805" s="247" t="s">
        <v>149</v>
      </c>
      <c r="R1805" s="247" t="s">
        <v>2651</v>
      </c>
      <c r="S1805" s="247" t="s">
        <v>149</v>
      </c>
      <c r="T1805" s="247" t="s">
        <v>2651</v>
      </c>
      <c r="U1805" s="247" t="s">
        <v>2651</v>
      </c>
      <c r="V1805" s="247" t="s">
        <v>149</v>
      </c>
      <c r="W1805" s="247" t="s">
        <v>149</v>
      </c>
      <c r="X1805" s="247" t="s">
        <v>149</v>
      </c>
      <c r="Y1805" s="247" t="s">
        <v>149</v>
      </c>
      <c r="Z1805" s="247" t="s">
        <v>2651</v>
      </c>
      <c r="AA1805" s="247" t="s">
        <v>2651</v>
      </c>
      <c r="AB1805" s="247" t="s">
        <v>16</v>
      </c>
      <c r="AC1805" s="247" t="s">
        <v>2652</v>
      </c>
      <c r="AD1805" s="247" t="s">
        <v>148</v>
      </c>
      <c r="AE1805" s="247" t="s">
        <v>1439</v>
      </c>
      <c r="AF1805" s="247" t="s">
        <v>1439</v>
      </c>
      <c r="AG1805" s="247" t="s">
        <v>1444</v>
      </c>
      <c r="AH1805" s="247" t="s">
        <v>1444</v>
      </c>
      <c r="AI1805" s="247" t="s">
        <v>1439</v>
      </c>
      <c r="AJ1805" s="247" t="s">
        <v>1440</v>
      </c>
      <c r="AK1805" s="247" t="s">
        <v>1439</v>
      </c>
      <c r="AL1805" s="247" t="s">
        <v>2269</v>
      </c>
    </row>
    <row r="1806" spans="1:38" s="247" customFormat="1" x14ac:dyDescent="0.3">
      <c r="A1806" s="249">
        <v>43612.755335648151</v>
      </c>
      <c r="E1806" s="157">
        <v>42154</v>
      </c>
      <c r="F1806" s="247" t="s">
        <v>16</v>
      </c>
      <c r="G1806" s="247" t="s">
        <v>16</v>
      </c>
      <c r="H1806" s="247" t="s">
        <v>16</v>
      </c>
      <c r="I1806" s="247" t="s">
        <v>16</v>
      </c>
      <c r="J1806" s="247" t="s">
        <v>16</v>
      </c>
      <c r="K1806" s="247" t="s">
        <v>16</v>
      </c>
      <c r="L1806" s="247" t="s">
        <v>16</v>
      </c>
      <c r="M1806" s="247" t="s">
        <v>16</v>
      </c>
      <c r="N1806" s="247" t="s">
        <v>16</v>
      </c>
      <c r="O1806" s="247" t="s">
        <v>16</v>
      </c>
      <c r="P1806" s="247" t="s">
        <v>16</v>
      </c>
      <c r="Q1806" s="247" t="s">
        <v>16</v>
      </c>
      <c r="R1806" s="247" t="s">
        <v>16</v>
      </c>
      <c r="S1806" s="247" t="s">
        <v>16</v>
      </c>
      <c r="T1806" s="247" t="s">
        <v>16</v>
      </c>
      <c r="U1806" s="247" t="s">
        <v>16</v>
      </c>
      <c r="V1806" s="247" t="s">
        <v>16</v>
      </c>
      <c r="W1806" s="247" t="s">
        <v>16</v>
      </c>
      <c r="X1806" s="247" t="s">
        <v>16</v>
      </c>
      <c r="Y1806" s="247" t="s">
        <v>16</v>
      </c>
      <c r="Z1806" s="247" t="s">
        <v>16</v>
      </c>
      <c r="AA1806" s="247" t="s">
        <v>16</v>
      </c>
      <c r="AB1806" s="247" t="s">
        <v>16</v>
      </c>
      <c r="AC1806" s="247" t="s">
        <v>16</v>
      </c>
      <c r="AD1806" s="247" t="s">
        <v>16</v>
      </c>
      <c r="AE1806" s="247" t="s">
        <v>2716</v>
      </c>
      <c r="AF1806" s="247" t="s">
        <v>1440</v>
      </c>
      <c r="AG1806" s="247" t="s">
        <v>1440</v>
      </c>
      <c r="AH1806" s="247" t="s">
        <v>2716</v>
      </c>
      <c r="AI1806" s="247" t="s">
        <v>1444</v>
      </c>
      <c r="AJ1806" s="247" t="s">
        <v>2269</v>
      </c>
      <c r="AK1806" s="247" t="s">
        <v>1444</v>
      </c>
      <c r="AL1806" s="247" t="s">
        <v>2716</v>
      </c>
    </row>
    <row r="1807" spans="1:38" s="247" customFormat="1" x14ac:dyDescent="0.3">
      <c r="A1807" s="249">
        <v>43613.277743055558</v>
      </c>
      <c r="E1807" s="157">
        <v>42154</v>
      </c>
      <c r="F1807" s="247" t="s">
        <v>16</v>
      </c>
      <c r="G1807" s="247" t="s">
        <v>16</v>
      </c>
      <c r="H1807" s="247" t="s">
        <v>16</v>
      </c>
      <c r="I1807" s="247" t="s">
        <v>148</v>
      </c>
      <c r="J1807" s="247" t="s">
        <v>16</v>
      </c>
      <c r="K1807" s="247" t="s">
        <v>16</v>
      </c>
      <c r="L1807" s="247" t="s">
        <v>16</v>
      </c>
      <c r="M1807" s="247" t="s">
        <v>16</v>
      </c>
      <c r="N1807" s="247" t="s">
        <v>16</v>
      </c>
      <c r="O1807" s="247" t="s">
        <v>16</v>
      </c>
      <c r="P1807" s="247" t="s">
        <v>16</v>
      </c>
      <c r="Q1807" s="247" t="s">
        <v>16</v>
      </c>
      <c r="R1807" s="247" t="s">
        <v>16</v>
      </c>
      <c r="S1807" s="247" t="s">
        <v>16</v>
      </c>
      <c r="T1807" s="247" t="s">
        <v>16</v>
      </c>
      <c r="U1807" s="247" t="s">
        <v>16</v>
      </c>
      <c r="V1807" s="247" t="s">
        <v>16</v>
      </c>
      <c r="W1807" s="247" t="s">
        <v>16</v>
      </c>
      <c r="X1807" s="247" t="s">
        <v>16</v>
      </c>
      <c r="Y1807" s="247" t="s">
        <v>16</v>
      </c>
      <c r="Z1807" s="247" t="s">
        <v>16</v>
      </c>
      <c r="AA1807" s="247" t="s">
        <v>16</v>
      </c>
      <c r="AB1807" s="247" t="s">
        <v>16</v>
      </c>
      <c r="AC1807" s="247" t="s">
        <v>16</v>
      </c>
      <c r="AD1807" s="247" t="s">
        <v>16</v>
      </c>
      <c r="AE1807" s="247" t="s">
        <v>1440</v>
      </c>
      <c r="AF1807" s="247" t="s">
        <v>1440</v>
      </c>
      <c r="AG1807" s="247" t="s">
        <v>1440</v>
      </c>
      <c r="AH1807" s="247" t="s">
        <v>1439</v>
      </c>
      <c r="AI1807" s="247" t="s">
        <v>1439</v>
      </c>
      <c r="AJ1807" s="247" t="s">
        <v>1439</v>
      </c>
      <c r="AK1807" s="247" t="s">
        <v>1439</v>
      </c>
      <c r="AL1807" s="247" t="s">
        <v>1444</v>
      </c>
    </row>
    <row r="1808" spans="1:38" s="247" customFormat="1" x14ac:dyDescent="0.3">
      <c r="A1808" s="249">
        <v>43613.320092592592</v>
      </c>
      <c r="E1808" s="157">
        <v>42154</v>
      </c>
      <c r="F1808" s="247" t="s">
        <v>16</v>
      </c>
      <c r="G1808" s="247" t="s">
        <v>16</v>
      </c>
      <c r="H1808" s="247" t="s">
        <v>16</v>
      </c>
      <c r="I1808" s="247" t="s">
        <v>148</v>
      </c>
      <c r="J1808" s="247" t="s">
        <v>16</v>
      </c>
      <c r="K1808" s="247" t="s">
        <v>16</v>
      </c>
      <c r="L1808" s="247" t="s">
        <v>16</v>
      </c>
      <c r="M1808" s="247" t="s">
        <v>16</v>
      </c>
      <c r="N1808" s="247" t="s">
        <v>149</v>
      </c>
      <c r="O1808" s="247" t="s">
        <v>16</v>
      </c>
      <c r="P1808" s="247" t="s">
        <v>16</v>
      </c>
      <c r="Q1808" s="247" t="s">
        <v>16</v>
      </c>
      <c r="R1808" s="247" t="s">
        <v>16</v>
      </c>
      <c r="S1808" s="247" t="s">
        <v>16</v>
      </c>
      <c r="T1808" s="247" t="s">
        <v>16</v>
      </c>
      <c r="U1808" s="247" t="s">
        <v>16</v>
      </c>
      <c r="V1808" s="247" t="s">
        <v>16</v>
      </c>
      <c r="W1808" s="247" t="s">
        <v>16</v>
      </c>
      <c r="X1808" s="247" t="s">
        <v>16</v>
      </c>
      <c r="Y1808" s="247" t="s">
        <v>16</v>
      </c>
      <c r="Z1808" s="247" t="s">
        <v>16</v>
      </c>
      <c r="AA1808" s="247" t="s">
        <v>16</v>
      </c>
      <c r="AB1808" s="247" t="s">
        <v>16</v>
      </c>
      <c r="AC1808" s="247" t="s">
        <v>16</v>
      </c>
      <c r="AD1808" s="247" t="s">
        <v>16</v>
      </c>
      <c r="AE1808" s="247" t="s">
        <v>1440</v>
      </c>
      <c r="AF1808" s="247" t="s">
        <v>2716</v>
      </c>
      <c r="AG1808" s="247" t="s">
        <v>1440</v>
      </c>
      <c r="AH1808" s="247" t="s">
        <v>2716</v>
      </c>
      <c r="AI1808" s="247" t="s">
        <v>1439</v>
      </c>
      <c r="AJ1808" s="247" t="s">
        <v>1439</v>
      </c>
      <c r="AK1808" s="247" t="s">
        <v>1439</v>
      </c>
      <c r="AL1808" s="247" t="s">
        <v>1439</v>
      </c>
    </row>
    <row r="1809" spans="1:38" s="247" customFormat="1" x14ac:dyDescent="0.3">
      <c r="A1809" s="249">
        <v>43613.445601851854</v>
      </c>
      <c r="E1809" s="157">
        <v>42154</v>
      </c>
      <c r="F1809" s="247" t="s">
        <v>16</v>
      </c>
      <c r="G1809" s="247" t="s">
        <v>16</v>
      </c>
      <c r="H1809" s="247" t="s">
        <v>16</v>
      </c>
      <c r="I1809" s="247" t="s">
        <v>148</v>
      </c>
      <c r="J1809" s="247" t="s">
        <v>148</v>
      </c>
      <c r="K1809" s="247" t="s">
        <v>148</v>
      </c>
      <c r="L1809" s="247" t="s">
        <v>16</v>
      </c>
      <c r="M1809" s="247" t="s">
        <v>148</v>
      </c>
      <c r="N1809" s="247" t="s">
        <v>148</v>
      </c>
      <c r="O1809" s="247" t="s">
        <v>16</v>
      </c>
      <c r="P1809" s="247" t="s">
        <v>148</v>
      </c>
      <c r="Q1809" s="247" t="s">
        <v>16</v>
      </c>
      <c r="R1809" s="247" t="s">
        <v>148</v>
      </c>
      <c r="S1809" s="247" t="s">
        <v>148</v>
      </c>
      <c r="T1809" s="247" t="s">
        <v>148</v>
      </c>
      <c r="U1809" s="247" t="s">
        <v>148</v>
      </c>
      <c r="V1809" s="247" t="s">
        <v>16</v>
      </c>
      <c r="W1809" s="247" t="s">
        <v>16</v>
      </c>
      <c r="X1809" s="247" t="s">
        <v>148</v>
      </c>
      <c r="Y1809" s="247" t="s">
        <v>16</v>
      </c>
      <c r="Z1809" s="247" t="s">
        <v>148</v>
      </c>
      <c r="AA1809" s="247" t="s">
        <v>16</v>
      </c>
      <c r="AB1809" s="247" t="s">
        <v>16</v>
      </c>
      <c r="AC1809" s="247" t="s">
        <v>148</v>
      </c>
      <c r="AD1809" s="247" t="s">
        <v>16</v>
      </c>
      <c r="AE1809" s="247" t="s">
        <v>1440</v>
      </c>
      <c r="AF1809" s="247" t="s">
        <v>1440</v>
      </c>
      <c r="AG1809" s="247" t="s">
        <v>1440</v>
      </c>
      <c r="AH1809" s="247" t="s">
        <v>1439</v>
      </c>
      <c r="AI1809" s="247" t="s">
        <v>2716</v>
      </c>
      <c r="AJ1809" s="247" t="s">
        <v>1440</v>
      </c>
      <c r="AK1809" s="247" t="s">
        <v>1439</v>
      </c>
      <c r="AL1809" s="247" t="s">
        <v>1439</v>
      </c>
    </row>
    <row r="1810" spans="1:38" s="247" customFormat="1" x14ac:dyDescent="0.3">
      <c r="A1810" s="249">
        <v>43613.463460648149</v>
      </c>
      <c r="E1810" s="157">
        <v>42154</v>
      </c>
      <c r="F1810" s="247" t="s">
        <v>16</v>
      </c>
      <c r="G1810" s="247" t="s">
        <v>16</v>
      </c>
      <c r="H1810" s="247" t="s">
        <v>16</v>
      </c>
      <c r="I1810" s="247" t="s">
        <v>16</v>
      </c>
      <c r="J1810" s="247" t="s">
        <v>16</v>
      </c>
      <c r="K1810" s="247" t="s">
        <v>16</v>
      </c>
      <c r="L1810" s="247" t="s">
        <v>16</v>
      </c>
      <c r="M1810" s="247" t="s">
        <v>16</v>
      </c>
      <c r="N1810" s="247" t="s">
        <v>16</v>
      </c>
      <c r="O1810" s="247" t="s">
        <v>16</v>
      </c>
      <c r="P1810" s="247" t="s">
        <v>16</v>
      </c>
      <c r="Q1810" s="247" t="s">
        <v>16</v>
      </c>
      <c r="R1810" s="247" t="s">
        <v>16</v>
      </c>
      <c r="S1810" s="247" t="s">
        <v>16</v>
      </c>
      <c r="T1810" s="247" t="s">
        <v>16</v>
      </c>
      <c r="U1810" s="247" t="s">
        <v>16</v>
      </c>
      <c r="V1810" s="247" t="s">
        <v>16</v>
      </c>
      <c r="W1810" s="247" t="s">
        <v>16</v>
      </c>
      <c r="X1810" s="247" t="s">
        <v>16</v>
      </c>
      <c r="Y1810" s="247" t="s">
        <v>16</v>
      </c>
      <c r="Z1810" s="247" t="s">
        <v>16</v>
      </c>
      <c r="AA1810" s="247" t="s">
        <v>16</v>
      </c>
      <c r="AB1810" s="247" t="s">
        <v>16</v>
      </c>
      <c r="AC1810" s="247" t="s">
        <v>16</v>
      </c>
      <c r="AD1810" s="247" t="s">
        <v>16</v>
      </c>
      <c r="AE1810" s="247" t="s">
        <v>1440</v>
      </c>
      <c r="AF1810" s="247" t="s">
        <v>2716</v>
      </c>
      <c r="AG1810" s="247" t="s">
        <v>2716</v>
      </c>
      <c r="AH1810" s="247" t="s">
        <v>1440</v>
      </c>
      <c r="AI1810" s="247" t="s">
        <v>1439</v>
      </c>
      <c r="AJ1810" s="247" t="s">
        <v>1439</v>
      </c>
      <c r="AK1810" s="247" t="s">
        <v>1439</v>
      </c>
      <c r="AL1810" s="247" t="s">
        <v>1439</v>
      </c>
    </row>
    <row r="1811" spans="1:38" s="247" customFormat="1" x14ac:dyDescent="0.3">
      <c r="A1811" s="249">
        <v>43613.516770833332</v>
      </c>
      <c r="E1811" s="157">
        <v>42154</v>
      </c>
      <c r="F1811" s="247" t="s">
        <v>16</v>
      </c>
      <c r="G1811" s="247" t="s">
        <v>16</v>
      </c>
      <c r="H1811" s="247" t="s">
        <v>16</v>
      </c>
      <c r="I1811" s="247" t="s">
        <v>16</v>
      </c>
      <c r="J1811" s="247" t="s">
        <v>16</v>
      </c>
      <c r="K1811" s="247" t="s">
        <v>16</v>
      </c>
      <c r="L1811" s="247" t="s">
        <v>16</v>
      </c>
      <c r="M1811" s="247" t="s">
        <v>16</v>
      </c>
      <c r="N1811" s="247" t="s">
        <v>16</v>
      </c>
      <c r="O1811" s="247" t="s">
        <v>16</v>
      </c>
      <c r="P1811" s="247" t="s">
        <v>16</v>
      </c>
      <c r="Q1811" s="247" t="s">
        <v>16</v>
      </c>
      <c r="R1811" s="247" t="s">
        <v>16</v>
      </c>
      <c r="S1811" s="247" t="s">
        <v>16</v>
      </c>
      <c r="T1811" s="247" t="s">
        <v>16</v>
      </c>
      <c r="U1811" s="247" t="s">
        <v>16</v>
      </c>
      <c r="V1811" s="247" t="s">
        <v>16</v>
      </c>
      <c r="W1811" s="247" t="s">
        <v>16</v>
      </c>
      <c r="X1811" s="247" t="s">
        <v>16</v>
      </c>
      <c r="Y1811" s="247" t="s">
        <v>16</v>
      </c>
      <c r="Z1811" s="247" t="s">
        <v>16</v>
      </c>
      <c r="AA1811" s="247" t="s">
        <v>16</v>
      </c>
      <c r="AB1811" s="247" t="s">
        <v>16</v>
      </c>
      <c r="AC1811" s="247" t="s">
        <v>16</v>
      </c>
      <c r="AD1811" s="247" t="s">
        <v>16</v>
      </c>
      <c r="AE1811" s="247" t="s">
        <v>2716</v>
      </c>
      <c r="AF1811" s="247" t="s">
        <v>1440</v>
      </c>
      <c r="AG1811" s="247" t="s">
        <v>1440</v>
      </c>
      <c r="AH1811" s="247" t="s">
        <v>1440</v>
      </c>
      <c r="AI1811" s="247" t="s">
        <v>1439</v>
      </c>
      <c r="AJ1811" s="247" t="s">
        <v>1439</v>
      </c>
      <c r="AK1811" s="247" t="s">
        <v>1439</v>
      </c>
      <c r="AL1811" s="247" t="s">
        <v>1444</v>
      </c>
    </row>
    <row r="1812" spans="1:38" s="247" customFormat="1" x14ac:dyDescent="0.3">
      <c r="A1812" s="249">
        <v>43613.602696759262</v>
      </c>
      <c r="E1812" s="157">
        <v>42154</v>
      </c>
      <c r="F1812" s="247" t="s">
        <v>16</v>
      </c>
      <c r="G1812" s="247" t="s">
        <v>16</v>
      </c>
      <c r="H1812" s="247" t="s">
        <v>16</v>
      </c>
      <c r="I1812" s="247" t="s">
        <v>16</v>
      </c>
      <c r="J1812" s="247" t="s">
        <v>16</v>
      </c>
      <c r="K1812" s="247" t="s">
        <v>16</v>
      </c>
      <c r="L1812" s="247" t="s">
        <v>16</v>
      </c>
      <c r="M1812" s="247" t="s">
        <v>16</v>
      </c>
      <c r="N1812" s="247" t="s">
        <v>16</v>
      </c>
      <c r="O1812" s="247" t="s">
        <v>16</v>
      </c>
      <c r="P1812" s="247" t="s">
        <v>16</v>
      </c>
      <c r="Q1812" s="247" t="s">
        <v>16</v>
      </c>
      <c r="R1812" s="247" t="s">
        <v>16</v>
      </c>
      <c r="S1812" s="247" t="s">
        <v>16</v>
      </c>
      <c r="T1812" s="247" t="s">
        <v>16</v>
      </c>
      <c r="U1812" s="247" t="s">
        <v>16</v>
      </c>
      <c r="V1812" s="247" t="s">
        <v>16</v>
      </c>
      <c r="W1812" s="247" t="s">
        <v>16</v>
      </c>
      <c r="X1812" s="247" t="s">
        <v>16</v>
      </c>
      <c r="Y1812" s="247" t="s">
        <v>16</v>
      </c>
      <c r="Z1812" s="247" t="s">
        <v>16</v>
      </c>
      <c r="AA1812" s="247" t="s">
        <v>16</v>
      </c>
      <c r="AB1812" s="247" t="s">
        <v>16</v>
      </c>
      <c r="AC1812" s="247" t="s">
        <v>16</v>
      </c>
      <c r="AD1812" s="247" t="s">
        <v>16</v>
      </c>
      <c r="AE1812" s="247" t="s">
        <v>2716</v>
      </c>
      <c r="AF1812" s="247" t="s">
        <v>1439</v>
      </c>
      <c r="AG1812" s="247" t="s">
        <v>1439</v>
      </c>
      <c r="AH1812" s="247" t="s">
        <v>1440</v>
      </c>
      <c r="AI1812" s="247" t="s">
        <v>1439</v>
      </c>
      <c r="AJ1812" s="247" t="s">
        <v>1444</v>
      </c>
      <c r="AK1812" s="247" t="s">
        <v>1439</v>
      </c>
      <c r="AL1812" s="247" t="s">
        <v>1444</v>
      </c>
    </row>
    <row r="1813" spans="1:38" s="247" customFormat="1" x14ac:dyDescent="0.3">
      <c r="A1813" s="249">
        <v>43613.652592592596</v>
      </c>
      <c r="E1813" s="157">
        <v>42154</v>
      </c>
      <c r="F1813" s="247" t="s">
        <v>16</v>
      </c>
      <c r="G1813" s="247" t="s">
        <v>148</v>
      </c>
      <c r="H1813" s="247" t="s">
        <v>148</v>
      </c>
      <c r="I1813" s="247" t="s">
        <v>16</v>
      </c>
      <c r="J1813" s="247" t="s">
        <v>148</v>
      </c>
      <c r="K1813" s="247" t="s">
        <v>16</v>
      </c>
      <c r="L1813" s="247" t="s">
        <v>16</v>
      </c>
      <c r="M1813" s="247" t="s">
        <v>16</v>
      </c>
      <c r="N1813" s="247" t="s">
        <v>148</v>
      </c>
      <c r="O1813" s="247" t="s">
        <v>16</v>
      </c>
      <c r="P1813" s="247" t="s">
        <v>16</v>
      </c>
      <c r="Q1813" s="247" t="s">
        <v>16</v>
      </c>
      <c r="R1813" s="247" t="s">
        <v>148</v>
      </c>
      <c r="S1813" s="247" t="s">
        <v>16</v>
      </c>
      <c r="T1813" s="247" t="s">
        <v>16</v>
      </c>
      <c r="U1813" s="247" t="s">
        <v>16</v>
      </c>
      <c r="V1813" s="247" t="s">
        <v>16</v>
      </c>
      <c r="W1813" s="247" t="s">
        <v>148</v>
      </c>
      <c r="X1813" s="247" t="s">
        <v>148</v>
      </c>
      <c r="Y1813" s="247" t="s">
        <v>16</v>
      </c>
      <c r="Z1813" s="247" t="s">
        <v>16</v>
      </c>
      <c r="AA1813" s="247" t="s">
        <v>16</v>
      </c>
      <c r="AB1813" s="247" t="s">
        <v>16</v>
      </c>
      <c r="AC1813" s="247" t="s">
        <v>148</v>
      </c>
      <c r="AD1813" s="247" t="s">
        <v>148</v>
      </c>
      <c r="AE1813" s="247" t="s">
        <v>1440</v>
      </c>
      <c r="AF1813" s="247" t="s">
        <v>1440</v>
      </c>
      <c r="AG1813" s="247" t="s">
        <v>2716</v>
      </c>
      <c r="AH1813" s="247" t="s">
        <v>2716</v>
      </c>
      <c r="AI1813" s="247" t="s">
        <v>1440</v>
      </c>
      <c r="AJ1813" s="247" t="s">
        <v>1439</v>
      </c>
      <c r="AK1813" s="247" t="s">
        <v>1439</v>
      </c>
      <c r="AL1813" s="247" t="s">
        <v>1440</v>
      </c>
    </row>
    <row r="1814" spans="1:38" s="247" customFormat="1" x14ac:dyDescent="0.3">
      <c r="A1814" s="249">
        <v>43613.798738425925</v>
      </c>
      <c r="E1814" s="157">
        <v>42154</v>
      </c>
      <c r="F1814" s="247" t="s">
        <v>16</v>
      </c>
      <c r="G1814" s="247" t="s">
        <v>16</v>
      </c>
      <c r="H1814" s="247" t="s">
        <v>16</v>
      </c>
      <c r="I1814" s="247" t="s">
        <v>16</v>
      </c>
      <c r="J1814" s="247" t="s">
        <v>16</v>
      </c>
      <c r="K1814" s="247" t="s">
        <v>16</v>
      </c>
      <c r="L1814" s="247" t="s">
        <v>16</v>
      </c>
      <c r="M1814" s="247" t="s">
        <v>16</v>
      </c>
      <c r="N1814" s="247" t="s">
        <v>16</v>
      </c>
      <c r="O1814" s="247" t="s">
        <v>16</v>
      </c>
      <c r="P1814" s="247" t="s">
        <v>16</v>
      </c>
      <c r="Q1814" s="247" t="s">
        <v>16</v>
      </c>
      <c r="R1814" s="247" t="s">
        <v>16</v>
      </c>
      <c r="S1814" s="247" t="s">
        <v>16</v>
      </c>
      <c r="T1814" s="247" t="s">
        <v>16</v>
      </c>
      <c r="U1814" s="247" t="s">
        <v>16</v>
      </c>
      <c r="V1814" s="247" t="s">
        <v>16</v>
      </c>
      <c r="W1814" s="247" t="s">
        <v>16</v>
      </c>
      <c r="X1814" s="247" t="s">
        <v>16</v>
      </c>
      <c r="Y1814" s="247" t="s">
        <v>16</v>
      </c>
      <c r="Z1814" s="247" t="s">
        <v>16</v>
      </c>
      <c r="AA1814" s="247" t="s">
        <v>16</v>
      </c>
      <c r="AB1814" s="247" t="s">
        <v>16</v>
      </c>
      <c r="AC1814" s="247" t="s">
        <v>16</v>
      </c>
      <c r="AD1814" s="247" t="s">
        <v>16</v>
      </c>
      <c r="AE1814" s="247" t="s">
        <v>1439</v>
      </c>
      <c r="AF1814" s="247" t="s">
        <v>1439</v>
      </c>
      <c r="AG1814" s="247" t="s">
        <v>1439</v>
      </c>
      <c r="AH1814" s="247" t="s">
        <v>1440</v>
      </c>
      <c r="AI1814" s="247" t="s">
        <v>1439</v>
      </c>
      <c r="AJ1814" s="247" t="s">
        <v>1439</v>
      </c>
      <c r="AK1814" s="247" t="s">
        <v>1439</v>
      </c>
      <c r="AL1814" s="247" t="s">
        <v>1439</v>
      </c>
    </row>
    <row r="1815" spans="1:38" s="247" customFormat="1" x14ac:dyDescent="0.3">
      <c r="A1815" s="249">
        <v>43615.256099537037</v>
      </c>
      <c r="E1815" s="157">
        <v>42154</v>
      </c>
      <c r="F1815" s="247" t="s">
        <v>16</v>
      </c>
      <c r="G1815" s="247" t="s">
        <v>16</v>
      </c>
      <c r="H1815" s="247" t="s">
        <v>16</v>
      </c>
      <c r="I1815" s="247" t="s">
        <v>16</v>
      </c>
      <c r="J1815" s="247" t="s">
        <v>16</v>
      </c>
      <c r="K1815" s="247" t="s">
        <v>16</v>
      </c>
      <c r="L1815" s="247" t="s">
        <v>16</v>
      </c>
      <c r="M1815" s="247" t="s">
        <v>16</v>
      </c>
      <c r="N1815" s="247" t="s">
        <v>16</v>
      </c>
      <c r="O1815" s="247" t="s">
        <v>16</v>
      </c>
      <c r="P1815" s="247" t="s">
        <v>16</v>
      </c>
      <c r="Q1815" s="247" t="s">
        <v>16</v>
      </c>
      <c r="R1815" s="247" t="s">
        <v>16</v>
      </c>
      <c r="S1815" s="247" t="s">
        <v>16</v>
      </c>
      <c r="T1815" s="247" t="s">
        <v>16</v>
      </c>
      <c r="U1815" s="247" t="s">
        <v>16</v>
      </c>
      <c r="V1815" s="247" t="s">
        <v>16</v>
      </c>
      <c r="W1815" s="247" t="s">
        <v>16</v>
      </c>
      <c r="X1815" s="247" t="s">
        <v>16</v>
      </c>
      <c r="Y1815" s="247" t="s">
        <v>16</v>
      </c>
      <c r="Z1815" s="247" t="s">
        <v>16</v>
      </c>
      <c r="AA1815" s="247" t="s">
        <v>16</v>
      </c>
      <c r="AB1815" s="247" t="s">
        <v>16</v>
      </c>
      <c r="AC1815" s="247" t="s">
        <v>16</v>
      </c>
      <c r="AD1815" s="247" t="s">
        <v>16</v>
      </c>
      <c r="AE1815" s="247" t="s">
        <v>1439</v>
      </c>
      <c r="AF1815" s="247" t="s">
        <v>1439</v>
      </c>
      <c r="AG1815" s="247" t="s">
        <v>1440</v>
      </c>
      <c r="AH1815" s="247" t="s">
        <v>1440</v>
      </c>
      <c r="AI1815" s="247" t="s">
        <v>1440</v>
      </c>
      <c r="AJ1815" s="247" t="s">
        <v>1439</v>
      </c>
      <c r="AK1815" s="247" t="s">
        <v>2716</v>
      </c>
      <c r="AL1815" s="247" t="s">
        <v>1440</v>
      </c>
    </row>
    <row r="1818" spans="1:38" s="247" customFormat="1" x14ac:dyDescent="0.3">
      <c r="A1818" s="247" t="s">
        <v>2618</v>
      </c>
      <c r="E1818" s="247" t="s">
        <v>2622</v>
      </c>
      <c r="F1818" s="247" t="s">
        <v>2623</v>
      </c>
      <c r="G1818" s="247" t="s">
        <v>2624</v>
      </c>
      <c r="H1818" s="247" t="s">
        <v>2625</v>
      </c>
      <c r="I1818" s="247" t="s">
        <v>2626</v>
      </c>
      <c r="J1818" s="247" t="s">
        <v>2627</v>
      </c>
      <c r="K1818" s="247" t="s">
        <v>2628</v>
      </c>
      <c r="L1818" s="247" t="s">
        <v>2629</v>
      </c>
      <c r="M1818" s="247" t="s">
        <v>2630</v>
      </c>
      <c r="N1818" s="247" t="s">
        <v>2631</v>
      </c>
      <c r="O1818" s="247" t="s">
        <v>2632</v>
      </c>
      <c r="P1818" s="247" t="s">
        <v>2633</v>
      </c>
      <c r="Q1818" s="247" t="s">
        <v>2634</v>
      </c>
      <c r="R1818" s="247" t="s">
        <v>2635</v>
      </c>
      <c r="S1818" s="247" t="s">
        <v>2636</v>
      </c>
      <c r="T1818" s="247" t="s">
        <v>2637</v>
      </c>
      <c r="U1818" s="247" t="s">
        <v>2638</v>
      </c>
      <c r="V1818" s="247" t="s">
        <v>2639</v>
      </c>
      <c r="W1818" s="247" t="s">
        <v>2640</v>
      </c>
      <c r="X1818" s="247" t="s">
        <v>2641</v>
      </c>
      <c r="Y1818" s="247" t="s">
        <v>2642</v>
      </c>
      <c r="Z1818" s="247" t="s">
        <v>2643</v>
      </c>
      <c r="AA1818" s="247" t="s">
        <v>2644</v>
      </c>
      <c r="AB1818" s="247" t="s">
        <v>2645</v>
      </c>
      <c r="AC1818" s="247" t="s">
        <v>2646</v>
      </c>
      <c r="AD1818" s="247" t="s">
        <v>2647</v>
      </c>
      <c r="AE1818" s="247" t="s">
        <v>2648</v>
      </c>
      <c r="AF1818" s="247" t="s">
        <v>2649</v>
      </c>
      <c r="AG1818" s="247" t="s">
        <v>2729</v>
      </c>
    </row>
    <row r="1819" spans="1:38" s="247" customFormat="1" x14ac:dyDescent="0.3">
      <c r="A1819" s="249">
        <v>42176.260162037041</v>
      </c>
      <c r="E1819" s="213">
        <v>42184</v>
      </c>
      <c r="F1819" s="247" t="s">
        <v>16</v>
      </c>
      <c r="G1819" s="247" t="s">
        <v>16</v>
      </c>
      <c r="H1819" s="247" t="s">
        <v>16</v>
      </c>
      <c r="I1819" s="247" t="s">
        <v>16</v>
      </c>
      <c r="J1819" s="247" t="s">
        <v>148</v>
      </c>
      <c r="K1819" s="247" t="s">
        <v>16</v>
      </c>
      <c r="L1819" s="247" t="s">
        <v>16</v>
      </c>
      <c r="M1819" s="247" t="s">
        <v>16</v>
      </c>
      <c r="N1819" s="247" t="s">
        <v>16</v>
      </c>
      <c r="O1819" s="247" t="s">
        <v>16</v>
      </c>
      <c r="P1819" s="247" t="s">
        <v>16</v>
      </c>
      <c r="Q1819" s="247" t="s">
        <v>16</v>
      </c>
      <c r="R1819" s="247" t="s">
        <v>16</v>
      </c>
      <c r="S1819" s="247" t="s">
        <v>148</v>
      </c>
      <c r="T1819" s="247" t="s">
        <v>16</v>
      </c>
      <c r="U1819" s="247" t="s">
        <v>16</v>
      </c>
      <c r="V1819" s="247" t="s">
        <v>16</v>
      </c>
      <c r="W1819" s="247" t="s">
        <v>16</v>
      </c>
      <c r="X1819" s="247" t="s">
        <v>148</v>
      </c>
      <c r="Y1819" s="247" t="s">
        <v>16</v>
      </c>
      <c r="Z1819" s="247" t="s">
        <v>16</v>
      </c>
      <c r="AA1819" s="247" t="s">
        <v>148</v>
      </c>
      <c r="AB1819" s="247" t="s">
        <v>16</v>
      </c>
      <c r="AC1819" s="247" t="s">
        <v>148</v>
      </c>
      <c r="AD1819" s="247" t="s">
        <v>16</v>
      </c>
      <c r="AE1819" s="247" t="s">
        <v>2730</v>
      </c>
    </row>
    <row r="1820" spans="1:38" s="247" customFormat="1" x14ac:dyDescent="0.3">
      <c r="A1820" s="249">
        <v>42176.424872685187</v>
      </c>
      <c r="E1820" s="213">
        <v>42184</v>
      </c>
      <c r="F1820" s="247" t="s">
        <v>148</v>
      </c>
      <c r="G1820" s="247" t="s">
        <v>16</v>
      </c>
      <c r="H1820" s="247" t="s">
        <v>16</v>
      </c>
      <c r="I1820" s="247" t="s">
        <v>148</v>
      </c>
      <c r="J1820" s="247" t="s">
        <v>16</v>
      </c>
      <c r="K1820" s="247" t="s">
        <v>16</v>
      </c>
      <c r="L1820" s="247" t="s">
        <v>16</v>
      </c>
      <c r="M1820" s="247" t="s">
        <v>16</v>
      </c>
      <c r="N1820" s="247" t="s">
        <v>16</v>
      </c>
      <c r="O1820" s="247" t="s">
        <v>16</v>
      </c>
      <c r="P1820" s="247" t="s">
        <v>16</v>
      </c>
      <c r="Q1820" s="247" t="s">
        <v>16</v>
      </c>
      <c r="R1820" s="247" t="s">
        <v>16</v>
      </c>
      <c r="S1820" s="247" t="s">
        <v>16</v>
      </c>
      <c r="T1820" s="247" t="s">
        <v>16</v>
      </c>
      <c r="U1820" s="247" t="s">
        <v>16</v>
      </c>
      <c r="V1820" s="247" t="s">
        <v>16</v>
      </c>
      <c r="W1820" s="247" t="s">
        <v>16</v>
      </c>
      <c r="X1820" s="247" t="s">
        <v>16</v>
      </c>
      <c r="Y1820" s="247" t="s">
        <v>16</v>
      </c>
      <c r="Z1820" s="247" t="s">
        <v>148</v>
      </c>
      <c r="AA1820" s="247" t="s">
        <v>148</v>
      </c>
      <c r="AB1820" s="247" t="s">
        <v>16</v>
      </c>
      <c r="AC1820" s="247" t="s">
        <v>16</v>
      </c>
      <c r="AD1820" s="247" t="s">
        <v>16</v>
      </c>
      <c r="AE1820" s="247" t="s">
        <v>2731</v>
      </c>
      <c r="AF1820" s="247" t="s">
        <v>2732</v>
      </c>
    </row>
    <row r="1821" spans="1:38" s="247" customFormat="1" x14ac:dyDescent="0.3">
      <c r="A1821" s="249">
        <v>42176.503298611111</v>
      </c>
      <c r="E1821" s="213">
        <v>42184</v>
      </c>
      <c r="F1821" s="247" t="s">
        <v>16</v>
      </c>
      <c r="G1821" s="247" t="s">
        <v>16</v>
      </c>
      <c r="H1821" s="247" t="s">
        <v>16</v>
      </c>
      <c r="I1821" s="247" t="s">
        <v>16</v>
      </c>
      <c r="J1821" s="247" t="s">
        <v>16</v>
      </c>
      <c r="K1821" s="247" t="s">
        <v>16</v>
      </c>
      <c r="L1821" s="247" t="s">
        <v>16</v>
      </c>
      <c r="M1821" s="247" t="s">
        <v>16</v>
      </c>
      <c r="N1821" s="247" t="s">
        <v>16</v>
      </c>
      <c r="O1821" s="247" t="s">
        <v>16</v>
      </c>
      <c r="P1821" s="247" t="s">
        <v>16</v>
      </c>
      <c r="Q1821" s="247" t="s">
        <v>16</v>
      </c>
      <c r="R1821" s="247" t="s">
        <v>16</v>
      </c>
      <c r="S1821" s="247" t="s">
        <v>16</v>
      </c>
      <c r="T1821" s="247" t="s">
        <v>16</v>
      </c>
      <c r="U1821" s="247" t="s">
        <v>16</v>
      </c>
      <c r="V1821" s="247" t="s">
        <v>16</v>
      </c>
      <c r="W1821" s="247" t="s">
        <v>16</v>
      </c>
      <c r="X1821" s="247" t="s">
        <v>16</v>
      </c>
      <c r="Y1821" s="247" t="s">
        <v>16</v>
      </c>
      <c r="Z1821" s="247" t="s">
        <v>16</v>
      </c>
      <c r="AA1821" s="247" t="s">
        <v>16</v>
      </c>
      <c r="AB1821" s="247" t="s">
        <v>16</v>
      </c>
      <c r="AC1821" s="247" t="s">
        <v>16</v>
      </c>
      <c r="AD1821" s="247" t="s">
        <v>16</v>
      </c>
      <c r="AE1821" s="247" t="s">
        <v>2733</v>
      </c>
      <c r="AF1821" s="247" t="s">
        <v>2734</v>
      </c>
      <c r="AG1821" s="247" t="s">
        <v>2735</v>
      </c>
    </row>
    <row r="1822" spans="1:38" s="247" customFormat="1" x14ac:dyDescent="0.3">
      <c r="A1822" s="249">
        <v>42176.670844907407</v>
      </c>
      <c r="E1822" s="213">
        <v>42184</v>
      </c>
      <c r="F1822" s="247" t="s">
        <v>148</v>
      </c>
      <c r="G1822" s="247" t="s">
        <v>148</v>
      </c>
      <c r="H1822" s="247" t="s">
        <v>16</v>
      </c>
      <c r="I1822" s="247" t="s">
        <v>148</v>
      </c>
      <c r="J1822" s="247" t="s">
        <v>16</v>
      </c>
      <c r="K1822" s="247" t="s">
        <v>148</v>
      </c>
      <c r="L1822" s="247" t="s">
        <v>16</v>
      </c>
      <c r="M1822" s="247" t="s">
        <v>148</v>
      </c>
      <c r="N1822" s="247" t="s">
        <v>148</v>
      </c>
      <c r="O1822" s="247" t="s">
        <v>16</v>
      </c>
      <c r="P1822" s="247" t="s">
        <v>148</v>
      </c>
      <c r="Q1822" s="247" t="s">
        <v>149</v>
      </c>
      <c r="R1822" s="247" t="s">
        <v>148</v>
      </c>
      <c r="S1822" s="247" t="s">
        <v>148</v>
      </c>
      <c r="T1822" s="247" t="s">
        <v>16</v>
      </c>
      <c r="U1822" s="247" t="s">
        <v>148</v>
      </c>
      <c r="V1822" s="247" t="s">
        <v>148</v>
      </c>
      <c r="W1822" s="247" t="s">
        <v>2652</v>
      </c>
      <c r="X1822" s="247" t="s">
        <v>148</v>
      </c>
      <c r="Y1822" s="247" t="s">
        <v>16</v>
      </c>
      <c r="Z1822" s="247" t="s">
        <v>16</v>
      </c>
      <c r="AA1822" s="247" t="s">
        <v>148</v>
      </c>
      <c r="AB1822" s="247" t="s">
        <v>16</v>
      </c>
      <c r="AC1822" s="247" t="s">
        <v>16</v>
      </c>
      <c r="AD1822" s="247" t="s">
        <v>149</v>
      </c>
      <c r="AE1822" s="247" t="s">
        <v>2736</v>
      </c>
      <c r="AG1822" s="247" t="s">
        <v>2737</v>
      </c>
    </row>
    <row r="1823" spans="1:38" s="247" customFormat="1" x14ac:dyDescent="0.3">
      <c r="A1823" s="249">
        <v>42177.086435185185</v>
      </c>
      <c r="E1823" s="213">
        <v>42184</v>
      </c>
      <c r="F1823" s="247" t="s">
        <v>16</v>
      </c>
      <c r="G1823" s="247" t="s">
        <v>16</v>
      </c>
      <c r="H1823" s="247" t="s">
        <v>16</v>
      </c>
      <c r="I1823" s="247" t="s">
        <v>16</v>
      </c>
      <c r="J1823" s="247" t="s">
        <v>16</v>
      </c>
      <c r="K1823" s="247" t="s">
        <v>16</v>
      </c>
      <c r="L1823" s="247" t="s">
        <v>16</v>
      </c>
      <c r="M1823" s="247" t="s">
        <v>16</v>
      </c>
      <c r="N1823" s="247" t="s">
        <v>16</v>
      </c>
      <c r="O1823" s="247" t="s">
        <v>16</v>
      </c>
      <c r="P1823" s="247" t="s">
        <v>16</v>
      </c>
      <c r="Q1823" s="247" t="s">
        <v>16</v>
      </c>
      <c r="R1823" s="247" t="s">
        <v>16</v>
      </c>
      <c r="S1823" s="247" t="s">
        <v>16</v>
      </c>
      <c r="T1823" s="247" t="s">
        <v>16</v>
      </c>
      <c r="U1823" s="247" t="s">
        <v>16</v>
      </c>
      <c r="V1823" s="247" t="s">
        <v>16</v>
      </c>
      <c r="W1823" s="247" t="s">
        <v>16</v>
      </c>
      <c r="X1823" s="247" t="s">
        <v>16</v>
      </c>
      <c r="Y1823" s="247" t="s">
        <v>16</v>
      </c>
      <c r="Z1823" s="247" t="s">
        <v>16</v>
      </c>
      <c r="AA1823" s="247" t="s">
        <v>16</v>
      </c>
      <c r="AB1823" s="247" t="s">
        <v>16</v>
      </c>
      <c r="AC1823" s="247" t="s">
        <v>16</v>
      </c>
      <c r="AD1823" s="247" t="s">
        <v>16</v>
      </c>
      <c r="AE1823" s="247" t="s">
        <v>2730</v>
      </c>
    </row>
    <row r="1824" spans="1:38" s="247" customFormat="1" x14ac:dyDescent="0.3">
      <c r="A1824" s="249">
        <v>42177.576273148145</v>
      </c>
      <c r="E1824" s="213">
        <v>42184</v>
      </c>
      <c r="F1824" s="247" t="s">
        <v>16</v>
      </c>
      <c r="G1824" s="247" t="s">
        <v>16</v>
      </c>
      <c r="H1824" s="247" t="s">
        <v>16</v>
      </c>
      <c r="I1824" s="247" t="s">
        <v>16</v>
      </c>
      <c r="J1824" s="247" t="s">
        <v>16</v>
      </c>
      <c r="K1824" s="247" t="s">
        <v>16</v>
      </c>
      <c r="L1824" s="247" t="s">
        <v>16</v>
      </c>
      <c r="M1824" s="247" t="s">
        <v>16</v>
      </c>
      <c r="N1824" s="247" t="s">
        <v>16</v>
      </c>
      <c r="O1824" s="247" t="s">
        <v>16</v>
      </c>
      <c r="P1824" s="247" t="s">
        <v>16</v>
      </c>
      <c r="Q1824" s="247" t="s">
        <v>16</v>
      </c>
      <c r="R1824" s="247" t="s">
        <v>16</v>
      </c>
      <c r="S1824" s="247" t="s">
        <v>16</v>
      </c>
      <c r="T1824" s="247" t="s">
        <v>16</v>
      </c>
      <c r="U1824" s="247" t="s">
        <v>16</v>
      </c>
      <c r="V1824" s="247" t="s">
        <v>16</v>
      </c>
      <c r="W1824" s="247" t="s">
        <v>16</v>
      </c>
      <c r="X1824" s="247" t="s">
        <v>16</v>
      </c>
      <c r="Y1824" s="247" t="s">
        <v>16</v>
      </c>
      <c r="Z1824" s="247" t="s">
        <v>16</v>
      </c>
      <c r="AA1824" s="247" t="s">
        <v>16</v>
      </c>
      <c r="AB1824" s="247" t="s">
        <v>16</v>
      </c>
      <c r="AC1824" s="247" t="s">
        <v>16</v>
      </c>
      <c r="AD1824" s="247" t="s">
        <v>16</v>
      </c>
      <c r="AE1824" s="247" t="s">
        <v>2730</v>
      </c>
    </row>
    <row r="1825" spans="1:33" s="247" customFormat="1" x14ac:dyDescent="0.3">
      <c r="A1825" s="249">
        <v>42177.761666666665</v>
      </c>
      <c r="E1825" s="213">
        <v>42184</v>
      </c>
      <c r="F1825" s="247" t="s">
        <v>148</v>
      </c>
      <c r="G1825" s="247" t="s">
        <v>16</v>
      </c>
      <c r="H1825" s="247" t="s">
        <v>16</v>
      </c>
      <c r="I1825" s="247" t="s">
        <v>16</v>
      </c>
      <c r="J1825" s="247" t="s">
        <v>16</v>
      </c>
      <c r="K1825" s="247" t="s">
        <v>16</v>
      </c>
      <c r="L1825" s="247" t="s">
        <v>16</v>
      </c>
      <c r="M1825" s="247" t="s">
        <v>16</v>
      </c>
      <c r="N1825" s="247" t="s">
        <v>16</v>
      </c>
      <c r="O1825" s="247" t="s">
        <v>16</v>
      </c>
      <c r="P1825" s="247" t="s">
        <v>148</v>
      </c>
      <c r="Q1825" s="247" t="s">
        <v>16</v>
      </c>
      <c r="R1825" s="247" t="s">
        <v>148</v>
      </c>
      <c r="S1825" s="247" t="s">
        <v>16</v>
      </c>
      <c r="T1825" s="247" t="s">
        <v>16</v>
      </c>
      <c r="U1825" s="247" t="s">
        <v>16</v>
      </c>
      <c r="V1825" s="247" t="s">
        <v>16</v>
      </c>
      <c r="W1825" s="247" t="s">
        <v>148</v>
      </c>
      <c r="X1825" s="247" t="s">
        <v>148</v>
      </c>
      <c r="Y1825" s="247" t="s">
        <v>16</v>
      </c>
      <c r="Z1825" s="247" t="s">
        <v>16</v>
      </c>
      <c r="AA1825" s="247" t="s">
        <v>16</v>
      </c>
      <c r="AB1825" s="247" t="s">
        <v>16</v>
      </c>
      <c r="AC1825" s="247" t="s">
        <v>16</v>
      </c>
      <c r="AD1825" s="247" t="s">
        <v>16</v>
      </c>
      <c r="AE1825" s="247" t="s">
        <v>2738</v>
      </c>
    </row>
    <row r="1826" spans="1:33" s="247" customFormat="1" x14ac:dyDescent="0.3">
      <c r="A1826" s="249">
        <v>42177.86109953704</v>
      </c>
      <c r="E1826" s="213">
        <v>42184</v>
      </c>
      <c r="F1826" s="247" t="s">
        <v>2652</v>
      </c>
      <c r="G1826" s="247" t="s">
        <v>16</v>
      </c>
      <c r="H1826" s="247" t="s">
        <v>149</v>
      </c>
      <c r="I1826" s="247" t="s">
        <v>148</v>
      </c>
      <c r="J1826" s="247" t="s">
        <v>16</v>
      </c>
      <c r="K1826" s="247" t="s">
        <v>16</v>
      </c>
      <c r="L1826" s="247" t="s">
        <v>148</v>
      </c>
      <c r="M1826" s="247" t="s">
        <v>148</v>
      </c>
      <c r="N1826" s="247" t="s">
        <v>2652</v>
      </c>
      <c r="O1826" s="247" t="s">
        <v>16</v>
      </c>
      <c r="P1826" s="247" t="s">
        <v>148</v>
      </c>
      <c r="Q1826" s="247" t="s">
        <v>16</v>
      </c>
      <c r="R1826" s="247" t="s">
        <v>16</v>
      </c>
      <c r="S1826" s="247" t="s">
        <v>148</v>
      </c>
      <c r="T1826" s="247" t="s">
        <v>148</v>
      </c>
      <c r="U1826" s="247" t="s">
        <v>149</v>
      </c>
      <c r="V1826" s="247" t="s">
        <v>149</v>
      </c>
      <c r="W1826" s="247" t="s">
        <v>148</v>
      </c>
      <c r="X1826" s="247" t="s">
        <v>16</v>
      </c>
      <c r="Y1826" s="247" t="s">
        <v>148</v>
      </c>
      <c r="Z1826" s="247" t="s">
        <v>148</v>
      </c>
      <c r="AA1826" s="247" t="s">
        <v>148</v>
      </c>
      <c r="AB1826" s="247" t="s">
        <v>148</v>
      </c>
      <c r="AC1826" s="247" t="s">
        <v>16</v>
      </c>
      <c r="AD1826" s="247" t="s">
        <v>16</v>
      </c>
      <c r="AE1826" s="247" t="s">
        <v>2739</v>
      </c>
      <c r="AG1826" s="247" t="s">
        <v>2740</v>
      </c>
    </row>
    <row r="1827" spans="1:33" s="247" customFormat="1" x14ac:dyDescent="0.3">
      <c r="A1827" s="249">
        <v>42178.017604166664</v>
      </c>
      <c r="E1827" s="213">
        <v>42184</v>
      </c>
      <c r="F1827" s="247" t="s">
        <v>16</v>
      </c>
      <c r="G1827" s="247" t="s">
        <v>16</v>
      </c>
      <c r="H1827" s="247" t="s">
        <v>16</v>
      </c>
      <c r="I1827" s="247" t="s">
        <v>16</v>
      </c>
      <c r="J1827" s="247" t="s">
        <v>16</v>
      </c>
      <c r="K1827" s="247" t="s">
        <v>16</v>
      </c>
      <c r="L1827" s="247" t="s">
        <v>16</v>
      </c>
      <c r="M1827" s="247" t="s">
        <v>16</v>
      </c>
      <c r="N1827" s="247" t="s">
        <v>16</v>
      </c>
      <c r="O1827" s="247" t="s">
        <v>16</v>
      </c>
      <c r="P1827" s="247" t="s">
        <v>16</v>
      </c>
      <c r="Q1827" s="247" t="s">
        <v>16</v>
      </c>
      <c r="R1827" s="247" t="s">
        <v>16</v>
      </c>
      <c r="S1827" s="247" t="s">
        <v>16</v>
      </c>
      <c r="T1827" s="247" t="s">
        <v>16</v>
      </c>
      <c r="U1827" s="247" t="s">
        <v>16</v>
      </c>
      <c r="V1827" s="247" t="s">
        <v>16</v>
      </c>
      <c r="W1827" s="247" t="s">
        <v>16</v>
      </c>
      <c r="X1827" s="247" t="s">
        <v>16</v>
      </c>
      <c r="Y1827" s="247" t="s">
        <v>16</v>
      </c>
      <c r="Z1827" s="247" t="s">
        <v>16</v>
      </c>
      <c r="AA1827" s="247" t="s">
        <v>16</v>
      </c>
      <c r="AB1827" s="247" t="s">
        <v>16</v>
      </c>
      <c r="AC1827" s="247" t="s">
        <v>16</v>
      </c>
      <c r="AD1827" s="247" t="s">
        <v>16</v>
      </c>
      <c r="AE1827" s="247" t="s">
        <v>2730</v>
      </c>
    </row>
    <row r="1828" spans="1:33" s="247" customFormat="1" x14ac:dyDescent="0.3">
      <c r="A1828" s="249">
        <v>42178.285300925927</v>
      </c>
      <c r="E1828" s="213">
        <v>42184</v>
      </c>
      <c r="F1828" s="247" t="s">
        <v>16</v>
      </c>
      <c r="G1828" s="247" t="s">
        <v>16</v>
      </c>
      <c r="H1828" s="247" t="s">
        <v>16</v>
      </c>
      <c r="I1828" s="247" t="s">
        <v>16</v>
      </c>
      <c r="J1828" s="247" t="s">
        <v>148</v>
      </c>
      <c r="K1828" s="247" t="s">
        <v>16</v>
      </c>
      <c r="L1828" s="247" t="s">
        <v>16</v>
      </c>
      <c r="M1828" s="247" t="s">
        <v>16</v>
      </c>
      <c r="N1828" s="247" t="s">
        <v>16</v>
      </c>
      <c r="O1828" s="247" t="s">
        <v>16</v>
      </c>
      <c r="P1828" s="247" t="s">
        <v>16</v>
      </c>
      <c r="Q1828" s="247" t="s">
        <v>16</v>
      </c>
      <c r="R1828" s="247" t="s">
        <v>16</v>
      </c>
      <c r="S1828" s="247" t="s">
        <v>16</v>
      </c>
      <c r="T1828" s="247" t="s">
        <v>16</v>
      </c>
      <c r="U1828" s="247" t="s">
        <v>16</v>
      </c>
      <c r="V1828" s="247" t="s">
        <v>16</v>
      </c>
      <c r="W1828" s="247" t="s">
        <v>148</v>
      </c>
      <c r="X1828" s="247" t="s">
        <v>16</v>
      </c>
      <c r="Y1828" s="247" t="s">
        <v>16</v>
      </c>
      <c r="Z1828" s="247" t="s">
        <v>16</v>
      </c>
      <c r="AA1828" s="247" t="s">
        <v>16</v>
      </c>
      <c r="AB1828" s="247" t="s">
        <v>16</v>
      </c>
      <c r="AC1828" s="247" t="s">
        <v>16</v>
      </c>
      <c r="AD1828" s="247" t="s">
        <v>16</v>
      </c>
      <c r="AE1828" s="247" t="s">
        <v>2736</v>
      </c>
      <c r="AG1828" s="247" t="s">
        <v>2741</v>
      </c>
    </row>
    <row r="1829" spans="1:33" s="247" customFormat="1" x14ac:dyDescent="0.3">
      <c r="A1829" s="249">
        <v>42178.300462962965</v>
      </c>
      <c r="E1829" s="213">
        <v>42184</v>
      </c>
      <c r="F1829" s="247" t="s">
        <v>16</v>
      </c>
      <c r="G1829" s="247" t="s">
        <v>16</v>
      </c>
      <c r="H1829" s="247" t="s">
        <v>16</v>
      </c>
      <c r="I1829" s="247" t="s">
        <v>16</v>
      </c>
      <c r="J1829" s="247" t="s">
        <v>16</v>
      </c>
      <c r="K1829" s="247" t="s">
        <v>16</v>
      </c>
      <c r="L1829" s="247" t="s">
        <v>16</v>
      </c>
      <c r="M1829" s="247" t="s">
        <v>16</v>
      </c>
      <c r="N1829" s="247" t="s">
        <v>16</v>
      </c>
      <c r="O1829" s="247" t="s">
        <v>16</v>
      </c>
      <c r="P1829" s="247" t="s">
        <v>16</v>
      </c>
      <c r="Q1829" s="247" t="s">
        <v>16</v>
      </c>
      <c r="R1829" s="247" t="s">
        <v>16</v>
      </c>
      <c r="S1829" s="247" t="s">
        <v>16</v>
      </c>
      <c r="T1829" s="247" t="s">
        <v>16</v>
      </c>
      <c r="U1829" s="247" t="s">
        <v>16</v>
      </c>
      <c r="V1829" s="247" t="s">
        <v>16</v>
      </c>
      <c r="W1829" s="247" t="s">
        <v>16</v>
      </c>
      <c r="X1829" s="247" t="s">
        <v>16</v>
      </c>
      <c r="Y1829" s="247" t="s">
        <v>16</v>
      </c>
      <c r="Z1829" s="247" t="s">
        <v>16</v>
      </c>
      <c r="AA1829" s="247" t="s">
        <v>16</v>
      </c>
      <c r="AB1829" s="247" t="s">
        <v>16</v>
      </c>
      <c r="AC1829" s="247" t="s">
        <v>16</v>
      </c>
      <c r="AD1829" s="247" t="s">
        <v>16</v>
      </c>
      <c r="AE1829" s="247" t="s">
        <v>2742</v>
      </c>
    </row>
    <row r="1830" spans="1:33" s="247" customFormat="1" x14ac:dyDescent="0.3">
      <c r="A1830" s="249">
        <v>42178.370115740741</v>
      </c>
      <c r="E1830" s="213">
        <v>42184</v>
      </c>
      <c r="F1830" s="247" t="s">
        <v>16</v>
      </c>
      <c r="G1830" s="247" t="s">
        <v>16</v>
      </c>
      <c r="H1830" s="247" t="s">
        <v>16</v>
      </c>
      <c r="I1830" s="247" t="s">
        <v>16</v>
      </c>
      <c r="J1830" s="247" t="s">
        <v>16</v>
      </c>
      <c r="K1830" s="247" t="s">
        <v>16</v>
      </c>
      <c r="L1830" s="247" t="s">
        <v>16</v>
      </c>
      <c r="M1830" s="247" t="s">
        <v>16</v>
      </c>
      <c r="N1830" s="247" t="s">
        <v>149</v>
      </c>
      <c r="O1830" s="247" t="s">
        <v>16</v>
      </c>
      <c r="P1830" s="247" t="s">
        <v>16</v>
      </c>
      <c r="Q1830" s="247" t="s">
        <v>16</v>
      </c>
      <c r="R1830" s="247" t="s">
        <v>16</v>
      </c>
      <c r="S1830" s="247" t="s">
        <v>16</v>
      </c>
      <c r="T1830" s="247" t="s">
        <v>16</v>
      </c>
      <c r="U1830" s="247" t="s">
        <v>16</v>
      </c>
      <c r="V1830" s="247" t="s">
        <v>16</v>
      </c>
      <c r="W1830" s="247" t="s">
        <v>16</v>
      </c>
      <c r="X1830" s="247" t="s">
        <v>16</v>
      </c>
      <c r="Y1830" s="247" t="s">
        <v>16</v>
      </c>
      <c r="Z1830" s="247" t="s">
        <v>16</v>
      </c>
      <c r="AA1830" s="247" t="s">
        <v>16</v>
      </c>
      <c r="AB1830" s="247" t="s">
        <v>16</v>
      </c>
      <c r="AC1830" s="247" t="s">
        <v>16</v>
      </c>
      <c r="AD1830" s="247" t="s">
        <v>16</v>
      </c>
      <c r="AE1830" s="247" t="s">
        <v>2743</v>
      </c>
      <c r="AF1830" s="247" t="s">
        <v>2744</v>
      </c>
      <c r="AG1830" s="247" t="s">
        <v>2744</v>
      </c>
    </row>
    <row r="1831" spans="1:33" s="247" customFormat="1" x14ac:dyDescent="0.3">
      <c r="A1831" s="249">
        <v>42178.410046296296</v>
      </c>
      <c r="E1831" s="213">
        <v>42184</v>
      </c>
      <c r="F1831" s="247" t="s">
        <v>148</v>
      </c>
      <c r="G1831" s="247" t="s">
        <v>148</v>
      </c>
      <c r="H1831" s="247" t="s">
        <v>16</v>
      </c>
      <c r="I1831" s="247" t="s">
        <v>148</v>
      </c>
      <c r="J1831" s="247" t="s">
        <v>2652</v>
      </c>
      <c r="K1831" s="247" t="s">
        <v>16</v>
      </c>
      <c r="L1831" s="247" t="s">
        <v>16</v>
      </c>
      <c r="M1831" s="247" t="s">
        <v>148</v>
      </c>
      <c r="N1831" s="247" t="s">
        <v>148</v>
      </c>
      <c r="O1831" s="247" t="s">
        <v>148</v>
      </c>
      <c r="P1831" s="247" t="s">
        <v>148</v>
      </c>
      <c r="Q1831" s="247" t="s">
        <v>16</v>
      </c>
      <c r="R1831" s="247" t="s">
        <v>16</v>
      </c>
      <c r="S1831" s="247" t="s">
        <v>148</v>
      </c>
      <c r="T1831" s="247" t="s">
        <v>16</v>
      </c>
      <c r="U1831" s="247" t="s">
        <v>148</v>
      </c>
      <c r="V1831" s="247" t="s">
        <v>16</v>
      </c>
      <c r="W1831" s="247" t="s">
        <v>16</v>
      </c>
      <c r="X1831" s="247" t="s">
        <v>16</v>
      </c>
      <c r="Y1831" s="247" t="s">
        <v>16</v>
      </c>
      <c r="Z1831" s="247" t="s">
        <v>148</v>
      </c>
      <c r="AA1831" s="247" t="s">
        <v>148</v>
      </c>
      <c r="AB1831" s="247" t="s">
        <v>16</v>
      </c>
      <c r="AC1831" s="247" t="s">
        <v>148</v>
      </c>
      <c r="AD1831" s="247" t="s">
        <v>16</v>
      </c>
      <c r="AE1831" s="247" t="s">
        <v>2730</v>
      </c>
    </row>
    <row r="1832" spans="1:33" s="247" customFormat="1" x14ac:dyDescent="0.3">
      <c r="A1832" s="249">
        <v>42178.573703703703</v>
      </c>
      <c r="E1832" s="213">
        <v>42184</v>
      </c>
      <c r="F1832" s="247" t="s">
        <v>149</v>
      </c>
      <c r="G1832" s="247" t="s">
        <v>149</v>
      </c>
      <c r="H1832" s="247" t="s">
        <v>149</v>
      </c>
      <c r="I1832" s="247" t="s">
        <v>16</v>
      </c>
      <c r="J1832" s="247" t="s">
        <v>16</v>
      </c>
      <c r="K1832" s="247" t="s">
        <v>148</v>
      </c>
      <c r="L1832" s="247" t="s">
        <v>148</v>
      </c>
      <c r="M1832" s="247" t="s">
        <v>148</v>
      </c>
      <c r="N1832" s="247" t="s">
        <v>16</v>
      </c>
      <c r="O1832" s="247" t="s">
        <v>16</v>
      </c>
      <c r="P1832" s="247" t="s">
        <v>16</v>
      </c>
      <c r="Q1832" s="247" t="s">
        <v>148</v>
      </c>
      <c r="R1832" s="247" t="s">
        <v>148</v>
      </c>
      <c r="S1832" s="247" t="s">
        <v>148</v>
      </c>
      <c r="T1832" s="247" t="s">
        <v>16</v>
      </c>
      <c r="U1832" s="247" t="s">
        <v>16</v>
      </c>
      <c r="V1832" s="247" t="s">
        <v>16</v>
      </c>
      <c r="W1832" s="247" t="s">
        <v>148</v>
      </c>
      <c r="X1832" s="247" t="s">
        <v>148</v>
      </c>
      <c r="Y1832" s="247" t="s">
        <v>16</v>
      </c>
      <c r="Z1832" s="247" t="s">
        <v>148</v>
      </c>
      <c r="AA1832" s="247" t="s">
        <v>16</v>
      </c>
      <c r="AB1832" s="247" t="s">
        <v>16</v>
      </c>
      <c r="AC1832" s="247" t="s">
        <v>16</v>
      </c>
      <c r="AD1832" s="247" t="s">
        <v>16</v>
      </c>
      <c r="AE1832" s="247" t="s">
        <v>2745</v>
      </c>
      <c r="AF1832" s="247" t="s">
        <v>2746</v>
      </c>
    </row>
    <row r="1833" spans="1:33" s="247" customFormat="1" x14ac:dyDescent="0.3">
      <c r="A1833" s="249">
        <v>42178.593981481485</v>
      </c>
      <c r="E1833" s="213">
        <v>42184</v>
      </c>
      <c r="F1833" s="247" t="s">
        <v>16</v>
      </c>
      <c r="G1833" s="247" t="s">
        <v>16</v>
      </c>
      <c r="H1833" s="247" t="s">
        <v>16</v>
      </c>
      <c r="I1833" s="247" t="s">
        <v>16</v>
      </c>
      <c r="J1833" s="247" t="s">
        <v>16</v>
      </c>
      <c r="K1833" s="247" t="s">
        <v>16</v>
      </c>
      <c r="L1833" s="247" t="s">
        <v>16</v>
      </c>
      <c r="M1833" s="247" t="s">
        <v>148</v>
      </c>
      <c r="N1833" s="247" t="s">
        <v>16</v>
      </c>
      <c r="O1833" s="247" t="s">
        <v>16</v>
      </c>
      <c r="P1833" s="247" t="s">
        <v>16</v>
      </c>
      <c r="Q1833" s="247" t="s">
        <v>148</v>
      </c>
      <c r="R1833" s="247" t="s">
        <v>148</v>
      </c>
      <c r="S1833" s="247" t="s">
        <v>16</v>
      </c>
      <c r="T1833" s="247" t="s">
        <v>16</v>
      </c>
      <c r="U1833" s="247" t="s">
        <v>16</v>
      </c>
      <c r="V1833" s="247" t="s">
        <v>148</v>
      </c>
      <c r="W1833" s="247" t="s">
        <v>16</v>
      </c>
      <c r="X1833" s="247" t="s">
        <v>16</v>
      </c>
      <c r="Y1833" s="247" t="s">
        <v>16</v>
      </c>
      <c r="Z1833" s="247" t="s">
        <v>16</v>
      </c>
      <c r="AA1833" s="247" t="s">
        <v>16</v>
      </c>
      <c r="AB1833" s="247" t="s">
        <v>16</v>
      </c>
      <c r="AC1833" s="247" t="s">
        <v>16</v>
      </c>
      <c r="AD1833" s="247" t="s">
        <v>16</v>
      </c>
      <c r="AE1833" s="247" t="s">
        <v>2747</v>
      </c>
      <c r="AF1833" s="247" t="s">
        <v>2748</v>
      </c>
      <c r="AG1833" s="247" t="s">
        <v>2749</v>
      </c>
    </row>
    <row r="1834" spans="1:33" s="247" customFormat="1" x14ac:dyDescent="0.3">
      <c r="A1834" s="249">
        <v>42178.895960648151</v>
      </c>
      <c r="E1834" s="213">
        <v>42184</v>
      </c>
      <c r="F1834" s="247" t="s">
        <v>16</v>
      </c>
      <c r="G1834" s="247" t="s">
        <v>16</v>
      </c>
      <c r="H1834" s="247" t="s">
        <v>16</v>
      </c>
      <c r="I1834" s="247" t="s">
        <v>16</v>
      </c>
      <c r="J1834" s="247" t="s">
        <v>16</v>
      </c>
      <c r="K1834" s="247" t="s">
        <v>16</v>
      </c>
      <c r="L1834" s="247" t="s">
        <v>16</v>
      </c>
      <c r="M1834" s="247" t="s">
        <v>16</v>
      </c>
      <c r="N1834" s="247" t="s">
        <v>16</v>
      </c>
      <c r="O1834" s="247" t="s">
        <v>16</v>
      </c>
      <c r="P1834" s="247" t="s">
        <v>16</v>
      </c>
      <c r="Q1834" s="247" t="s">
        <v>16</v>
      </c>
      <c r="R1834" s="247" t="s">
        <v>16</v>
      </c>
      <c r="S1834" s="247" t="s">
        <v>16</v>
      </c>
      <c r="T1834" s="247" t="s">
        <v>16</v>
      </c>
      <c r="U1834" s="247" t="s">
        <v>16</v>
      </c>
      <c r="V1834" s="247" t="s">
        <v>16</v>
      </c>
      <c r="W1834" s="247" t="s">
        <v>16</v>
      </c>
      <c r="X1834" s="247" t="s">
        <v>16</v>
      </c>
      <c r="Y1834" s="247" t="s">
        <v>16</v>
      </c>
      <c r="Z1834" s="247" t="s">
        <v>16</v>
      </c>
      <c r="AA1834" s="247" t="s">
        <v>16</v>
      </c>
      <c r="AB1834" s="247" t="s">
        <v>16</v>
      </c>
      <c r="AC1834" s="247" t="s">
        <v>16</v>
      </c>
      <c r="AD1834" s="247" t="s">
        <v>16</v>
      </c>
      <c r="AE1834" s="247" t="s">
        <v>2750</v>
      </c>
      <c r="AF1834" s="247" t="s">
        <v>2751</v>
      </c>
      <c r="AG1834" s="247" t="s">
        <v>2752</v>
      </c>
    </row>
    <row r="1835" spans="1:33" s="247" customFormat="1" x14ac:dyDescent="0.3">
      <c r="A1835" s="249">
        <v>42179.675509259258</v>
      </c>
      <c r="E1835" s="213">
        <v>42184</v>
      </c>
      <c r="F1835" s="247" t="s">
        <v>16</v>
      </c>
      <c r="G1835" s="247" t="s">
        <v>16</v>
      </c>
      <c r="H1835" s="247" t="s">
        <v>16</v>
      </c>
      <c r="I1835" s="247" t="s">
        <v>16</v>
      </c>
      <c r="J1835" s="247" t="s">
        <v>148</v>
      </c>
      <c r="K1835" s="247" t="s">
        <v>16</v>
      </c>
      <c r="L1835" s="247" t="s">
        <v>16</v>
      </c>
      <c r="M1835" s="247" t="s">
        <v>16</v>
      </c>
      <c r="N1835" s="247" t="s">
        <v>16</v>
      </c>
      <c r="O1835" s="247" t="s">
        <v>148</v>
      </c>
      <c r="P1835" s="247" t="s">
        <v>148</v>
      </c>
      <c r="Q1835" s="247" t="s">
        <v>16</v>
      </c>
      <c r="R1835" s="247" t="s">
        <v>148</v>
      </c>
      <c r="S1835" s="247" t="s">
        <v>16</v>
      </c>
      <c r="T1835" s="247" t="s">
        <v>16</v>
      </c>
      <c r="U1835" s="247" t="s">
        <v>16</v>
      </c>
      <c r="V1835" s="247" t="s">
        <v>16</v>
      </c>
      <c r="W1835" s="247" t="s">
        <v>16</v>
      </c>
      <c r="X1835" s="247" t="s">
        <v>148</v>
      </c>
      <c r="Y1835" s="247" t="s">
        <v>16</v>
      </c>
      <c r="Z1835" s="247" t="s">
        <v>16</v>
      </c>
      <c r="AA1835" s="247" t="s">
        <v>16</v>
      </c>
      <c r="AB1835" s="247" t="s">
        <v>16</v>
      </c>
      <c r="AC1835" s="247" t="s">
        <v>16</v>
      </c>
      <c r="AD1835" s="247" t="s">
        <v>16</v>
      </c>
      <c r="AE1835" s="247" t="s">
        <v>2753</v>
      </c>
      <c r="AF1835" s="247" t="s">
        <v>2754</v>
      </c>
      <c r="AG1835" s="247" t="s">
        <v>2755</v>
      </c>
    </row>
    <row r="1836" spans="1:33" s="247" customFormat="1" x14ac:dyDescent="0.3">
      <c r="A1836" s="249">
        <v>42180.257256944446</v>
      </c>
      <c r="E1836" s="213">
        <v>42184</v>
      </c>
      <c r="F1836" s="247" t="s">
        <v>16</v>
      </c>
      <c r="G1836" s="247" t="s">
        <v>16</v>
      </c>
      <c r="H1836" s="247" t="s">
        <v>148</v>
      </c>
      <c r="I1836" s="247" t="s">
        <v>16</v>
      </c>
      <c r="J1836" s="247" t="s">
        <v>148</v>
      </c>
      <c r="K1836" s="247" t="s">
        <v>16</v>
      </c>
      <c r="L1836" s="247" t="s">
        <v>148</v>
      </c>
      <c r="M1836" s="247" t="s">
        <v>16</v>
      </c>
      <c r="N1836" s="247" t="s">
        <v>148</v>
      </c>
      <c r="O1836" s="247" t="s">
        <v>16</v>
      </c>
      <c r="P1836" s="247" t="s">
        <v>16</v>
      </c>
      <c r="Q1836" s="247" t="s">
        <v>148</v>
      </c>
      <c r="R1836" s="247" t="s">
        <v>16</v>
      </c>
      <c r="S1836" s="247" t="s">
        <v>16</v>
      </c>
      <c r="T1836" s="247" t="s">
        <v>16</v>
      </c>
      <c r="U1836" s="247" t="s">
        <v>148</v>
      </c>
      <c r="V1836" s="247" t="s">
        <v>16</v>
      </c>
      <c r="W1836" s="247" t="s">
        <v>148</v>
      </c>
      <c r="X1836" s="247" t="s">
        <v>16</v>
      </c>
      <c r="Y1836" s="247" t="s">
        <v>148</v>
      </c>
      <c r="Z1836" s="247" t="s">
        <v>16</v>
      </c>
      <c r="AA1836" s="247" t="s">
        <v>16</v>
      </c>
      <c r="AB1836" s="247" t="s">
        <v>16</v>
      </c>
      <c r="AC1836" s="247" t="s">
        <v>16</v>
      </c>
      <c r="AD1836" s="247" t="s">
        <v>148</v>
      </c>
      <c r="AE1836" s="247" t="s">
        <v>2756</v>
      </c>
      <c r="AG1836" s="247" t="s">
        <v>2757</v>
      </c>
    </row>
    <row r="1837" spans="1:33" s="247" customFormat="1" x14ac:dyDescent="0.3">
      <c r="A1837" s="249">
        <v>42180.300138888888</v>
      </c>
      <c r="E1837" s="213">
        <v>42184</v>
      </c>
      <c r="F1837" s="247" t="s">
        <v>16</v>
      </c>
      <c r="G1837" s="247" t="s">
        <v>16</v>
      </c>
      <c r="H1837" s="247" t="s">
        <v>16</v>
      </c>
      <c r="I1837" s="247" t="s">
        <v>16</v>
      </c>
      <c r="J1837" s="247" t="s">
        <v>16</v>
      </c>
      <c r="K1837" s="247" t="s">
        <v>16</v>
      </c>
      <c r="L1837" s="247" t="s">
        <v>16</v>
      </c>
      <c r="M1837" s="247" t="s">
        <v>16</v>
      </c>
      <c r="N1837" s="247" t="s">
        <v>16</v>
      </c>
      <c r="O1837" s="247" t="s">
        <v>16</v>
      </c>
      <c r="P1837" s="247" t="s">
        <v>16</v>
      </c>
      <c r="Q1837" s="247" t="s">
        <v>16</v>
      </c>
      <c r="R1837" s="247" t="s">
        <v>16</v>
      </c>
      <c r="S1837" s="247" t="s">
        <v>16</v>
      </c>
      <c r="T1837" s="247" t="s">
        <v>16</v>
      </c>
      <c r="U1837" s="247" t="s">
        <v>16</v>
      </c>
      <c r="V1837" s="247" t="s">
        <v>16</v>
      </c>
      <c r="W1837" s="247" t="s">
        <v>16</v>
      </c>
      <c r="X1837" s="247" t="s">
        <v>16</v>
      </c>
      <c r="Y1837" s="247" t="s">
        <v>16</v>
      </c>
      <c r="Z1837" s="247" t="s">
        <v>16</v>
      </c>
      <c r="AA1837" s="247" t="s">
        <v>16</v>
      </c>
      <c r="AB1837" s="247" t="s">
        <v>16</v>
      </c>
      <c r="AC1837" s="247" t="s">
        <v>16</v>
      </c>
      <c r="AD1837" s="247" t="s">
        <v>16</v>
      </c>
      <c r="AE1837" s="247" t="s">
        <v>2758</v>
      </c>
      <c r="AF1837" s="247" t="s">
        <v>2759</v>
      </c>
      <c r="AG1837" s="247" t="s">
        <v>2760</v>
      </c>
    </row>
    <row r="1838" spans="1:33" s="247" customFormat="1" x14ac:dyDescent="0.3">
      <c r="A1838" s="249">
        <v>42180.347731481481</v>
      </c>
      <c r="E1838" s="213">
        <v>42184</v>
      </c>
      <c r="F1838" s="247" t="s">
        <v>16</v>
      </c>
      <c r="G1838" s="247" t="s">
        <v>16</v>
      </c>
      <c r="H1838" s="247" t="s">
        <v>16</v>
      </c>
      <c r="I1838" s="247" t="s">
        <v>16</v>
      </c>
      <c r="J1838" s="247" t="s">
        <v>16</v>
      </c>
      <c r="K1838" s="247" t="s">
        <v>16</v>
      </c>
      <c r="L1838" s="247" t="s">
        <v>16</v>
      </c>
      <c r="M1838" s="247" t="s">
        <v>16</v>
      </c>
      <c r="N1838" s="247" t="s">
        <v>16</v>
      </c>
      <c r="O1838" s="247" t="s">
        <v>16</v>
      </c>
      <c r="P1838" s="247" t="s">
        <v>16</v>
      </c>
      <c r="Q1838" s="247" t="s">
        <v>16</v>
      </c>
      <c r="R1838" s="247" t="s">
        <v>16</v>
      </c>
      <c r="S1838" s="247" t="s">
        <v>16</v>
      </c>
      <c r="T1838" s="247" t="s">
        <v>16</v>
      </c>
      <c r="U1838" s="247" t="s">
        <v>16</v>
      </c>
      <c r="V1838" s="247" t="s">
        <v>16</v>
      </c>
      <c r="W1838" s="247" t="s">
        <v>16</v>
      </c>
      <c r="X1838" s="247" t="s">
        <v>16</v>
      </c>
      <c r="Y1838" s="247" t="s">
        <v>16</v>
      </c>
      <c r="Z1838" s="247" t="s">
        <v>16</v>
      </c>
      <c r="AA1838" s="247" t="s">
        <v>16</v>
      </c>
      <c r="AB1838" s="247" t="s">
        <v>16</v>
      </c>
      <c r="AC1838" s="247" t="s">
        <v>16</v>
      </c>
      <c r="AD1838" s="247" t="s">
        <v>16</v>
      </c>
      <c r="AE1838" s="247" t="s">
        <v>2761</v>
      </c>
    </row>
    <row r="1839" spans="1:33" s="247" customFormat="1" x14ac:dyDescent="0.3">
      <c r="A1839" s="249">
        <v>42180.373252314814</v>
      </c>
      <c r="E1839" s="213">
        <v>42184</v>
      </c>
      <c r="F1839" s="247" t="s">
        <v>16</v>
      </c>
      <c r="G1839" s="247" t="s">
        <v>16</v>
      </c>
      <c r="H1839" s="247" t="s">
        <v>16</v>
      </c>
      <c r="I1839" s="247" t="s">
        <v>16</v>
      </c>
      <c r="J1839" s="247" t="s">
        <v>148</v>
      </c>
      <c r="K1839" s="247" t="s">
        <v>16</v>
      </c>
      <c r="L1839" s="247" t="s">
        <v>16</v>
      </c>
      <c r="M1839" s="247" t="s">
        <v>16</v>
      </c>
      <c r="N1839" s="247" t="s">
        <v>148</v>
      </c>
      <c r="O1839" s="247" t="s">
        <v>16</v>
      </c>
      <c r="P1839" s="247" t="s">
        <v>148</v>
      </c>
      <c r="Q1839" s="247" t="s">
        <v>16</v>
      </c>
      <c r="R1839" s="247" t="s">
        <v>148</v>
      </c>
      <c r="S1839" s="247" t="s">
        <v>148</v>
      </c>
      <c r="T1839" s="247" t="s">
        <v>16</v>
      </c>
      <c r="U1839" s="247" t="s">
        <v>16</v>
      </c>
      <c r="V1839" s="247" t="s">
        <v>16</v>
      </c>
      <c r="W1839" s="247" t="s">
        <v>16</v>
      </c>
      <c r="X1839" s="247" t="s">
        <v>16</v>
      </c>
      <c r="Y1839" s="247" t="s">
        <v>16</v>
      </c>
      <c r="Z1839" s="247" t="s">
        <v>16</v>
      </c>
      <c r="AA1839" s="247" t="s">
        <v>148</v>
      </c>
      <c r="AB1839" s="247" t="s">
        <v>16</v>
      </c>
      <c r="AC1839" s="247" t="s">
        <v>16</v>
      </c>
      <c r="AD1839" s="247" t="s">
        <v>16</v>
      </c>
      <c r="AE1839" s="247" t="s">
        <v>2753</v>
      </c>
      <c r="AF1839" s="247" t="s">
        <v>2762</v>
      </c>
      <c r="AG1839" s="247" t="s">
        <v>2763</v>
      </c>
    </row>
    <row r="1840" spans="1:33" s="247" customFormat="1" x14ac:dyDescent="0.3">
      <c r="A1840" s="249">
        <v>42180.669699074075</v>
      </c>
      <c r="E1840" s="213">
        <v>42184</v>
      </c>
      <c r="F1840" s="247" t="s">
        <v>16</v>
      </c>
      <c r="G1840" s="247" t="s">
        <v>16</v>
      </c>
      <c r="H1840" s="247" t="s">
        <v>16</v>
      </c>
      <c r="I1840" s="247" t="s">
        <v>16</v>
      </c>
      <c r="J1840" s="247" t="s">
        <v>16</v>
      </c>
      <c r="K1840" s="247" t="s">
        <v>16</v>
      </c>
      <c r="L1840" s="247" t="s">
        <v>16</v>
      </c>
      <c r="M1840" s="247" t="s">
        <v>16</v>
      </c>
      <c r="N1840" s="247" t="s">
        <v>2652</v>
      </c>
      <c r="O1840" s="247" t="s">
        <v>148</v>
      </c>
      <c r="P1840" s="247" t="s">
        <v>16</v>
      </c>
      <c r="Q1840" s="247" t="s">
        <v>16</v>
      </c>
      <c r="R1840" s="247" t="s">
        <v>16</v>
      </c>
      <c r="S1840" s="247" t="s">
        <v>16</v>
      </c>
      <c r="T1840" s="247" t="s">
        <v>16</v>
      </c>
      <c r="U1840" s="247" t="s">
        <v>148</v>
      </c>
      <c r="V1840" s="247" t="s">
        <v>16</v>
      </c>
      <c r="W1840" s="247" t="s">
        <v>16</v>
      </c>
      <c r="X1840" s="247" t="s">
        <v>16</v>
      </c>
      <c r="Y1840" s="247" t="s">
        <v>16</v>
      </c>
      <c r="Z1840" s="247" t="s">
        <v>16</v>
      </c>
      <c r="AA1840" s="247" t="s">
        <v>16</v>
      </c>
      <c r="AB1840" s="247" t="s">
        <v>16</v>
      </c>
      <c r="AC1840" s="247" t="s">
        <v>148</v>
      </c>
      <c r="AD1840" s="247" t="s">
        <v>148</v>
      </c>
      <c r="AE1840" s="247" t="s">
        <v>2747</v>
      </c>
      <c r="AF1840" s="247" t="s">
        <v>2764</v>
      </c>
    </row>
    <row r="1841" spans="1:33" s="247" customFormat="1" x14ac:dyDescent="0.3">
      <c r="A1841" s="249">
        <v>42180.743391203701</v>
      </c>
      <c r="E1841" s="213">
        <v>42184</v>
      </c>
      <c r="F1841" s="247" t="s">
        <v>16</v>
      </c>
      <c r="G1841" s="247" t="s">
        <v>16</v>
      </c>
      <c r="H1841" s="247" t="s">
        <v>16</v>
      </c>
      <c r="I1841" s="247" t="s">
        <v>16</v>
      </c>
      <c r="J1841" s="247" t="s">
        <v>16</v>
      </c>
      <c r="K1841" s="247" t="s">
        <v>16</v>
      </c>
      <c r="L1841" s="247" t="s">
        <v>16</v>
      </c>
      <c r="M1841" s="247" t="s">
        <v>16</v>
      </c>
      <c r="N1841" s="247" t="s">
        <v>16</v>
      </c>
      <c r="O1841" s="247" t="s">
        <v>16</v>
      </c>
      <c r="P1841" s="247" t="s">
        <v>16</v>
      </c>
      <c r="Q1841" s="247" t="s">
        <v>16</v>
      </c>
      <c r="R1841" s="247" t="s">
        <v>16</v>
      </c>
      <c r="S1841" s="247" t="s">
        <v>16</v>
      </c>
      <c r="T1841" s="247" t="s">
        <v>16</v>
      </c>
      <c r="U1841" s="247" t="s">
        <v>16</v>
      </c>
      <c r="V1841" s="247" t="s">
        <v>16</v>
      </c>
      <c r="W1841" s="247" t="s">
        <v>16</v>
      </c>
      <c r="X1841" s="247" t="s">
        <v>16</v>
      </c>
      <c r="Y1841" s="247" t="s">
        <v>16</v>
      </c>
      <c r="Z1841" s="247" t="s">
        <v>16</v>
      </c>
      <c r="AA1841" s="247" t="s">
        <v>16</v>
      </c>
      <c r="AB1841" s="247" t="s">
        <v>16</v>
      </c>
      <c r="AC1841" s="247" t="s">
        <v>16</v>
      </c>
      <c r="AD1841" s="247" t="s">
        <v>16</v>
      </c>
      <c r="AE1841" s="247" t="s">
        <v>2765</v>
      </c>
      <c r="AF1841" s="247" t="s">
        <v>2766</v>
      </c>
    </row>
    <row r="1842" spans="1:33" s="247" customFormat="1" x14ac:dyDescent="0.3">
      <c r="A1842" s="249">
        <v>42181.248148148145</v>
      </c>
      <c r="E1842" s="213">
        <v>42184</v>
      </c>
      <c r="F1842" s="247" t="s">
        <v>16</v>
      </c>
      <c r="G1842" s="247" t="s">
        <v>16</v>
      </c>
      <c r="H1842" s="247" t="s">
        <v>148</v>
      </c>
      <c r="I1842" s="247" t="s">
        <v>148</v>
      </c>
      <c r="J1842" s="247" t="s">
        <v>148</v>
      </c>
      <c r="K1842" s="247" t="s">
        <v>148</v>
      </c>
      <c r="L1842" s="247" t="s">
        <v>16</v>
      </c>
      <c r="M1842" s="247" t="s">
        <v>148</v>
      </c>
      <c r="N1842" s="247" t="s">
        <v>16</v>
      </c>
      <c r="O1842" s="247" t="s">
        <v>148</v>
      </c>
      <c r="P1842" s="247" t="s">
        <v>148</v>
      </c>
      <c r="Q1842" s="247" t="s">
        <v>148</v>
      </c>
      <c r="R1842" s="247" t="s">
        <v>16</v>
      </c>
      <c r="S1842" s="247" t="s">
        <v>148</v>
      </c>
      <c r="T1842" s="247" t="s">
        <v>16</v>
      </c>
      <c r="U1842" s="247" t="s">
        <v>16</v>
      </c>
      <c r="V1842" s="247" t="s">
        <v>148</v>
      </c>
      <c r="W1842" s="247" t="s">
        <v>16</v>
      </c>
      <c r="X1842" s="247" t="s">
        <v>148</v>
      </c>
      <c r="Y1842" s="247" t="s">
        <v>16</v>
      </c>
      <c r="Z1842" s="247" t="s">
        <v>148</v>
      </c>
      <c r="AA1842" s="247" t="s">
        <v>16</v>
      </c>
      <c r="AB1842" s="247" t="s">
        <v>16</v>
      </c>
      <c r="AC1842" s="247" t="s">
        <v>2652</v>
      </c>
      <c r="AD1842" s="247" t="s">
        <v>16</v>
      </c>
      <c r="AE1842" s="247" t="s">
        <v>2767</v>
      </c>
    </row>
    <row r="1843" spans="1:33" s="247" customFormat="1" x14ac:dyDescent="0.3">
      <c r="A1843" s="249">
        <v>42181.252488425926</v>
      </c>
      <c r="E1843" s="213">
        <v>42184</v>
      </c>
      <c r="F1843" s="247" t="s">
        <v>16</v>
      </c>
      <c r="G1843" s="247" t="s">
        <v>149</v>
      </c>
      <c r="H1843" s="247" t="s">
        <v>16</v>
      </c>
      <c r="I1843" s="247" t="s">
        <v>16</v>
      </c>
      <c r="J1843" s="247" t="s">
        <v>16</v>
      </c>
      <c r="K1843" s="247" t="s">
        <v>16</v>
      </c>
      <c r="L1843" s="247" t="s">
        <v>149</v>
      </c>
      <c r="M1843" s="247" t="s">
        <v>16</v>
      </c>
      <c r="N1843" s="247" t="s">
        <v>148</v>
      </c>
      <c r="O1843" s="247" t="s">
        <v>16</v>
      </c>
      <c r="P1843" s="247" t="s">
        <v>148</v>
      </c>
      <c r="Q1843" s="247" t="s">
        <v>16</v>
      </c>
      <c r="R1843" s="247" t="s">
        <v>16</v>
      </c>
      <c r="S1843" s="247" t="s">
        <v>16</v>
      </c>
      <c r="T1843" s="247" t="s">
        <v>148</v>
      </c>
      <c r="U1843" s="247" t="s">
        <v>16</v>
      </c>
      <c r="V1843" s="247" t="s">
        <v>16</v>
      </c>
      <c r="W1843" s="247" t="s">
        <v>16</v>
      </c>
      <c r="X1843" s="247" t="s">
        <v>16</v>
      </c>
      <c r="Y1843" s="247" t="s">
        <v>148</v>
      </c>
      <c r="Z1843" s="247" t="s">
        <v>149</v>
      </c>
      <c r="AA1843" s="247" t="s">
        <v>148</v>
      </c>
      <c r="AB1843" s="247" t="s">
        <v>16</v>
      </c>
      <c r="AC1843" s="247" t="s">
        <v>16</v>
      </c>
      <c r="AD1843" s="247" t="s">
        <v>16</v>
      </c>
      <c r="AE1843" s="247" t="s">
        <v>2739</v>
      </c>
      <c r="AG1843" s="247" t="s">
        <v>2768</v>
      </c>
    </row>
    <row r="1844" spans="1:33" s="247" customFormat="1" x14ac:dyDescent="0.3">
      <c r="A1844" s="249">
        <v>42181.25273148148</v>
      </c>
      <c r="E1844" s="213">
        <v>42184</v>
      </c>
      <c r="F1844" s="247" t="s">
        <v>16</v>
      </c>
      <c r="G1844" s="247" t="s">
        <v>16</v>
      </c>
      <c r="H1844" s="247" t="s">
        <v>16</v>
      </c>
      <c r="I1844" s="247" t="s">
        <v>16</v>
      </c>
      <c r="J1844" s="247" t="s">
        <v>16</v>
      </c>
      <c r="K1844" s="247" t="s">
        <v>16</v>
      </c>
      <c r="L1844" s="247" t="s">
        <v>16</v>
      </c>
      <c r="M1844" s="247" t="s">
        <v>16</v>
      </c>
      <c r="N1844" s="247" t="s">
        <v>16</v>
      </c>
      <c r="O1844" s="247" t="s">
        <v>16</v>
      </c>
      <c r="P1844" s="247" t="s">
        <v>16</v>
      </c>
      <c r="Q1844" s="247" t="s">
        <v>16</v>
      </c>
      <c r="R1844" s="247" t="s">
        <v>148</v>
      </c>
      <c r="S1844" s="247" t="s">
        <v>16</v>
      </c>
      <c r="T1844" s="247" t="s">
        <v>16</v>
      </c>
      <c r="U1844" s="247" t="s">
        <v>16</v>
      </c>
      <c r="V1844" s="247" t="s">
        <v>16</v>
      </c>
      <c r="W1844" s="247" t="s">
        <v>16</v>
      </c>
      <c r="X1844" s="247" t="s">
        <v>16</v>
      </c>
      <c r="Y1844" s="247" t="s">
        <v>16</v>
      </c>
      <c r="Z1844" s="247" t="s">
        <v>16</v>
      </c>
      <c r="AA1844" s="247" t="s">
        <v>16</v>
      </c>
      <c r="AB1844" s="247" t="s">
        <v>16</v>
      </c>
      <c r="AC1844" s="247" t="s">
        <v>16</v>
      </c>
      <c r="AD1844" s="247" t="s">
        <v>16</v>
      </c>
      <c r="AE1844" s="247" t="s">
        <v>2769</v>
      </c>
      <c r="AF1844" s="247" t="s">
        <v>2770</v>
      </c>
    </row>
    <row r="1845" spans="1:33" s="247" customFormat="1" x14ac:dyDescent="0.3">
      <c r="A1845" s="249">
        <v>42181.26903935185</v>
      </c>
      <c r="E1845" s="213">
        <v>42184</v>
      </c>
      <c r="F1845" s="247" t="s">
        <v>16</v>
      </c>
      <c r="G1845" s="247" t="s">
        <v>16</v>
      </c>
      <c r="H1845" s="247" t="s">
        <v>149</v>
      </c>
      <c r="I1845" s="247" t="s">
        <v>16</v>
      </c>
      <c r="J1845" s="247" t="s">
        <v>148</v>
      </c>
      <c r="K1845" s="247" t="s">
        <v>148</v>
      </c>
      <c r="L1845" s="247" t="s">
        <v>16</v>
      </c>
      <c r="M1845" s="247" t="s">
        <v>16</v>
      </c>
      <c r="N1845" s="247" t="s">
        <v>2652</v>
      </c>
      <c r="O1845" s="247" t="s">
        <v>2652</v>
      </c>
      <c r="P1845" s="247" t="s">
        <v>16</v>
      </c>
      <c r="Q1845" s="247" t="s">
        <v>16</v>
      </c>
      <c r="R1845" s="247" t="s">
        <v>149</v>
      </c>
      <c r="S1845" s="247" t="s">
        <v>16</v>
      </c>
      <c r="T1845" s="247" t="s">
        <v>148</v>
      </c>
      <c r="U1845" s="247" t="s">
        <v>16</v>
      </c>
      <c r="V1845" s="247" t="s">
        <v>149</v>
      </c>
      <c r="W1845" s="247" t="s">
        <v>16</v>
      </c>
      <c r="X1845" s="247" t="s">
        <v>148</v>
      </c>
      <c r="Y1845" s="247" t="s">
        <v>148</v>
      </c>
      <c r="Z1845" s="247" t="s">
        <v>16</v>
      </c>
      <c r="AA1845" s="247" t="s">
        <v>16</v>
      </c>
      <c r="AB1845" s="247" t="s">
        <v>148</v>
      </c>
      <c r="AC1845" s="247" t="s">
        <v>148</v>
      </c>
      <c r="AD1845" s="247" t="s">
        <v>148</v>
      </c>
      <c r="AE1845" s="247" t="s">
        <v>2761</v>
      </c>
    </row>
    <row r="1846" spans="1:33" s="247" customFormat="1" x14ac:dyDescent="0.3">
      <c r="A1846" s="249">
        <v>42181.277951388889</v>
      </c>
      <c r="E1846" s="213">
        <v>42184</v>
      </c>
      <c r="F1846" s="247" t="s">
        <v>148</v>
      </c>
      <c r="G1846" s="247" t="s">
        <v>16</v>
      </c>
      <c r="H1846" s="247" t="s">
        <v>148</v>
      </c>
      <c r="I1846" s="247" t="s">
        <v>148</v>
      </c>
      <c r="J1846" s="247" t="s">
        <v>16</v>
      </c>
      <c r="K1846" s="247" t="s">
        <v>148</v>
      </c>
      <c r="L1846" s="247" t="s">
        <v>16</v>
      </c>
      <c r="M1846" s="247" t="s">
        <v>148</v>
      </c>
      <c r="N1846" s="247" t="s">
        <v>148</v>
      </c>
      <c r="O1846" s="247" t="s">
        <v>148</v>
      </c>
      <c r="P1846" s="247" t="s">
        <v>148</v>
      </c>
      <c r="Q1846" s="247" t="s">
        <v>16</v>
      </c>
      <c r="R1846" s="247" t="s">
        <v>148</v>
      </c>
      <c r="S1846" s="247" t="s">
        <v>148</v>
      </c>
      <c r="T1846" s="247" t="s">
        <v>148</v>
      </c>
      <c r="U1846" s="247" t="s">
        <v>148</v>
      </c>
      <c r="V1846" s="247" t="s">
        <v>148</v>
      </c>
      <c r="W1846" s="247" t="s">
        <v>148</v>
      </c>
      <c r="X1846" s="247" t="s">
        <v>148</v>
      </c>
      <c r="Y1846" s="247" t="s">
        <v>148</v>
      </c>
      <c r="Z1846" s="247" t="s">
        <v>149</v>
      </c>
      <c r="AA1846" s="247" t="s">
        <v>148</v>
      </c>
      <c r="AB1846" s="247" t="s">
        <v>148</v>
      </c>
      <c r="AC1846" s="247" t="s">
        <v>148</v>
      </c>
      <c r="AD1846" s="247" t="s">
        <v>148</v>
      </c>
      <c r="AE1846" s="247" t="s">
        <v>2761</v>
      </c>
    </row>
    <row r="1847" spans="1:33" s="247" customFormat="1" x14ac:dyDescent="0.3">
      <c r="A1847" s="249">
        <v>42181.371886574074</v>
      </c>
      <c r="E1847" s="213">
        <v>42184</v>
      </c>
      <c r="F1847" s="247" t="s">
        <v>16</v>
      </c>
      <c r="G1847" s="247" t="s">
        <v>16</v>
      </c>
      <c r="H1847" s="247" t="s">
        <v>16</v>
      </c>
      <c r="I1847" s="247" t="s">
        <v>16</v>
      </c>
      <c r="J1847" s="247" t="s">
        <v>16</v>
      </c>
      <c r="K1847" s="247" t="s">
        <v>16</v>
      </c>
      <c r="L1847" s="247" t="s">
        <v>16</v>
      </c>
      <c r="M1847" s="247" t="s">
        <v>16</v>
      </c>
      <c r="N1847" s="247" t="s">
        <v>16</v>
      </c>
      <c r="O1847" s="247" t="s">
        <v>16</v>
      </c>
      <c r="P1847" s="247" t="s">
        <v>16</v>
      </c>
      <c r="Q1847" s="247" t="s">
        <v>16</v>
      </c>
      <c r="R1847" s="247" t="s">
        <v>16</v>
      </c>
      <c r="S1847" s="247" t="s">
        <v>16</v>
      </c>
      <c r="T1847" s="247" t="s">
        <v>16</v>
      </c>
      <c r="U1847" s="247" t="s">
        <v>16</v>
      </c>
      <c r="V1847" s="247" t="s">
        <v>16</v>
      </c>
      <c r="W1847" s="247" t="s">
        <v>16</v>
      </c>
      <c r="X1847" s="247" t="s">
        <v>16</v>
      </c>
      <c r="Y1847" s="247" t="s">
        <v>16</v>
      </c>
      <c r="Z1847" s="247" t="s">
        <v>16</v>
      </c>
      <c r="AA1847" s="247" t="s">
        <v>16</v>
      </c>
      <c r="AB1847" s="247" t="s">
        <v>16</v>
      </c>
      <c r="AC1847" s="247" t="s">
        <v>16</v>
      </c>
      <c r="AD1847" s="247" t="s">
        <v>16</v>
      </c>
      <c r="AE1847" s="247" t="s">
        <v>2771</v>
      </c>
    </row>
    <row r="1848" spans="1:33" s="247" customFormat="1" x14ac:dyDescent="0.3">
      <c r="A1848" s="249">
        <v>42181.384942129633</v>
      </c>
      <c r="E1848" s="213">
        <v>42184</v>
      </c>
      <c r="F1848" s="247" t="s">
        <v>148</v>
      </c>
      <c r="G1848" s="247" t="s">
        <v>16</v>
      </c>
      <c r="H1848" s="247" t="s">
        <v>16</v>
      </c>
      <c r="I1848" s="247" t="s">
        <v>148</v>
      </c>
      <c r="J1848" s="247" t="s">
        <v>16</v>
      </c>
      <c r="K1848" s="247" t="s">
        <v>148</v>
      </c>
      <c r="L1848" s="247" t="s">
        <v>16</v>
      </c>
      <c r="M1848" s="247" t="s">
        <v>16</v>
      </c>
      <c r="N1848" s="247" t="s">
        <v>148</v>
      </c>
      <c r="O1848" s="247" t="s">
        <v>16</v>
      </c>
      <c r="P1848" s="247" t="s">
        <v>148</v>
      </c>
      <c r="Q1848" s="247" t="s">
        <v>16</v>
      </c>
      <c r="R1848" s="247" t="s">
        <v>16</v>
      </c>
      <c r="S1848" s="247" t="s">
        <v>148</v>
      </c>
      <c r="T1848" s="247" t="s">
        <v>148</v>
      </c>
      <c r="U1848" s="247" t="s">
        <v>16</v>
      </c>
      <c r="V1848" s="247" t="s">
        <v>16</v>
      </c>
      <c r="W1848" s="247" t="s">
        <v>16</v>
      </c>
      <c r="X1848" s="247" t="s">
        <v>16</v>
      </c>
      <c r="Y1848" s="247" t="s">
        <v>16</v>
      </c>
      <c r="Z1848" s="247" t="s">
        <v>148</v>
      </c>
      <c r="AA1848" s="247" t="s">
        <v>148</v>
      </c>
      <c r="AB1848" s="247" t="s">
        <v>16</v>
      </c>
      <c r="AC1848" s="247" t="s">
        <v>148</v>
      </c>
      <c r="AD1848" s="247" t="s">
        <v>16</v>
      </c>
      <c r="AE1848" s="247" t="s">
        <v>2730</v>
      </c>
    </row>
    <row r="1849" spans="1:33" s="247" customFormat="1" x14ac:dyDescent="0.3">
      <c r="A1849" s="249">
        <v>42181.479675925926</v>
      </c>
      <c r="E1849" s="213">
        <v>42184</v>
      </c>
      <c r="F1849" s="247" t="s">
        <v>16</v>
      </c>
      <c r="G1849" s="247" t="s">
        <v>16</v>
      </c>
      <c r="H1849" s="247" t="s">
        <v>16</v>
      </c>
      <c r="I1849" s="247" t="s">
        <v>16</v>
      </c>
      <c r="J1849" s="247" t="s">
        <v>16</v>
      </c>
      <c r="K1849" s="247" t="s">
        <v>16</v>
      </c>
      <c r="L1849" s="247" t="s">
        <v>16</v>
      </c>
      <c r="M1849" s="247" t="s">
        <v>16</v>
      </c>
      <c r="N1849" s="247" t="s">
        <v>16</v>
      </c>
      <c r="O1849" s="247" t="s">
        <v>16</v>
      </c>
      <c r="P1849" s="247" t="s">
        <v>16</v>
      </c>
      <c r="Q1849" s="247" t="s">
        <v>16</v>
      </c>
      <c r="R1849" s="247" t="s">
        <v>16</v>
      </c>
      <c r="S1849" s="247" t="s">
        <v>16</v>
      </c>
      <c r="T1849" s="247" t="s">
        <v>16</v>
      </c>
      <c r="U1849" s="247" t="s">
        <v>16</v>
      </c>
      <c r="V1849" s="247" t="s">
        <v>16</v>
      </c>
      <c r="W1849" s="247" t="s">
        <v>16</v>
      </c>
      <c r="X1849" s="247" t="s">
        <v>16</v>
      </c>
      <c r="Y1849" s="247" t="s">
        <v>16</v>
      </c>
      <c r="Z1849" s="247" t="s">
        <v>16</v>
      </c>
      <c r="AA1849" s="247" t="s">
        <v>16</v>
      </c>
      <c r="AB1849" s="247" t="s">
        <v>16</v>
      </c>
      <c r="AC1849" s="247" t="s">
        <v>16</v>
      </c>
      <c r="AD1849" s="247" t="s">
        <v>16</v>
      </c>
      <c r="AE1849" s="247" t="s">
        <v>2730</v>
      </c>
    </row>
    <row r="1850" spans="1:33" s="247" customFormat="1" x14ac:dyDescent="0.3">
      <c r="A1850" s="249">
        <v>42181.493483796294</v>
      </c>
      <c r="E1850" s="213">
        <v>42184</v>
      </c>
      <c r="F1850" s="247" t="s">
        <v>16</v>
      </c>
      <c r="G1850" s="247" t="s">
        <v>16</v>
      </c>
      <c r="H1850" s="247" t="s">
        <v>16</v>
      </c>
      <c r="I1850" s="247" t="s">
        <v>16</v>
      </c>
      <c r="J1850" s="247" t="s">
        <v>16</v>
      </c>
      <c r="K1850" s="247" t="s">
        <v>16</v>
      </c>
      <c r="L1850" s="247" t="s">
        <v>148</v>
      </c>
      <c r="M1850" s="247" t="s">
        <v>148</v>
      </c>
      <c r="N1850" s="247" t="s">
        <v>16</v>
      </c>
      <c r="O1850" s="247" t="s">
        <v>16</v>
      </c>
      <c r="P1850" s="247" t="s">
        <v>16</v>
      </c>
      <c r="Q1850" s="247" t="s">
        <v>16</v>
      </c>
      <c r="R1850" s="247" t="s">
        <v>16</v>
      </c>
      <c r="S1850" s="247" t="s">
        <v>16</v>
      </c>
      <c r="T1850" s="247" t="s">
        <v>148</v>
      </c>
      <c r="U1850" s="247" t="s">
        <v>16</v>
      </c>
      <c r="V1850" s="247" t="s">
        <v>16</v>
      </c>
      <c r="W1850" s="247" t="s">
        <v>16</v>
      </c>
      <c r="X1850" s="247" t="s">
        <v>16</v>
      </c>
      <c r="Y1850" s="247" t="s">
        <v>16</v>
      </c>
      <c r="Z1850" s="247" t="s">
        <v>148</v>
      </c>
      <c r="AA1850" s="247" t="s">
        <v>16</v>
      </c>
      <c r="AB1850" s="247" t="s">
        <v>16</v>
      </c>
      <c r="AC1850" s="247" t="s">
        <v>16</v>
      </c>
      <c r="AD1850" s="247" t="s">
        <v>16</v>
      </c>
      <c r="AE1850" s="247" t="s">
        <v>2747</v>
      </c>
      <c r="AF1850" s="247" t="s">
        <v>2772</v>
      </c>
      <c r="AG1850" s="247" t="s">
        <v>2773</v>
      </c>
    </row>
    <row r="1851" spans="1:33" s="247" customFormat="1" x14ac:dyDescent="0.3">
      <c r="A1851" s="249">
        <v>42181.532152777778</v>
      </c>
      <c r="E1851" s="213">
        <v>42184</v>
      </c>
      <c r="F1851" s="247" t="s">
        <v>148</v>
      </c>
      <c r="G1851" s="247" t="s">
        <v>2651</v>
      </c>
      <c r="H1851" s="247" t="s">
        <v>2651</v>
      </c>
      <c r="I1851" s="247" t="s">
        <v>2651</v>
      </c>
      <c r="J1851" s="247" t="s">
        <v>149</v>
      </c>
      <c r="K1851" s="247" t="s">
        <v>149</v>
      </c>
      <c r="L1851" s="247" t="s">
        <v>149</v>
      </c>
      <c r="M1851" s="247" t="s">
        <v>149</v>
      </c>
      <c r="N1851" s="247" t="s">
        <v>149</v>
      </c>
      <c r="O1851" s="247" t="s">
        <v>149</v>
      </c>
      <c r="P1851" s="247" t="s">
        <v>149</v>
      </c>
      <c r="Q1851" s="247" t="s">
        <v>149</v>
      </c>
      <c r="R1851" s="247" t="s">
        <v>149</v>
      </c>
      <c r="S1851" s="247" t="s">
        <v>149</v>
      </c>
      <c r="T1851" s="247" t="s">
        <v>149</v>
      </c>
      <c r="U1851" s="247" t="s">
        <v>149</v>
      </c>
      <c r="V1851" s="247" t="s">
        <v>149</v>
      </c>
      <c r="W1851" s="247" t="s">
        <v>149</v>
      </c>
      <c r="X1851" s="247" t="s">
        <v>149</v>
      </c>
      <c r="Y1851" s="247" t="s">
        <v>149</v>
      </c>
      <c r="Z1851" s="247" t="s">
        <v>149</v>
      </c>
      <c r="AA1851" s="247" t="s">
        <v>149</v>
      </c>
      <c r="AB1851" s="247" t="s">
        <v>148</v>
      </c>
      <c r="AC1851" s="247" t="s">
        <v>148</v>
      </c>
      <c r="AD1851" s="247" t="s">
        <v>16</v>
      </c>
      <c r="AE1851" s="247" t="s">
        <v>2774</v>
      </c>
      <c r="AF1851" s="247" t="s">
        <v>2775</v>
      </c>
    </row>
    <row r="1854" spans="1:33" s="247" customFormat="1" x14ac:dyDescent="0.3">
      <c r="A1854" s="247" t="s">
        <v>2618</v>
      </c>
      <c r="E1854" s="247" t="s">
        <v>2622</v>
      </c>
      <c r="F1854" s="247" t="s">
        <v>2623</v>
      </c>
      <c r="G1854" s="247" t="s">
        <v>2624</v>
      </c>
      <c r="H1854" s="247" t="s">
        <v>2625</v>
      </c>
      <c r="I1854" s="247" t="s">
        <v>2626</v>
      </c>
      <c r="J1854" s="247" t="s">
        <v>2627</v>
      </c>
      <c r="K1854" s="247" t="s">
        <v>2628</v>
      </c>
      <c r="L1854" s="247" t="s">
        <v>2629</v>
      </c>
      <c r="M1854" s="247" t="s">
        <v>2630</v>
      </c>
      <c r="N1854" s="247" t="s">
        <v>2631</v>
      </c>
      <c r="O1854" s="247" t="s">
        <v>2632</v>
      </c>
      <c r="P1854" s="247" t="s">
        <v>2633</v>
      </c>
      <c r="Q1854" s="247" t="s">
        <v>2634</v>
      </c>
      <c r="R1854" s="247" t="s">
        <v>2635</v>
      </c>
      <c r="S1854" s="247" t="s">
        <v>2636</v>
      </c>
      <c r="T1854" s="247" t="s">
        <v>2637</v>
      </c>
      <c r="U1854" s="247" t="s">
        <v>2638</v>
      </c>
      <c r="V1854" s="247" t="s">
        <v>2639</v>
      </c>
      <c r="W1854" s="247" t="s">
        <v>2640</v>
      </c>
      <c r="X1854" s="247" t="s">
        <v>2641</v>
      </c>
      <c r="Y1854" s="247" t="s">
        <v>2642</v>
      </c>
      <c r="Z1854" s="247" t="s">
        <v>2643</v>
      </c>
      <c r="AA1854" s="247" t="s">
        <v>2644</v>
      </c>
      <c r="AB1854" s="247" t="s">
        <v>2645</v>
      </c>
      <c r="AC1854" s="247" t="s">
        <v>2646</v>
      </c>
      <c r="AD1854" s="247" t="s">
        <v>2647</v>
      </c>
      <c r="AE1854" s="247" t="s">
        <v>2648</v>
      </c>
      <c r="AF1854" s="247" t="s">
        <v>2649</v>
      </c>
    </row>
    <row r="1855" spans="1:33" s="247" customFormat="1" x14ac:dyDescent="0.3">
      <c r="A1855" s="249">
        <v>43667.4375</v>
      </c>
      <c r="E1855" s="213">
        <v>42215</v>
      </c>
      <c r="F1855" s="247" t="s">
        <v>16</v>
      </c>
      <c r="G1855" s="247" t="s">
        <v>16</v>
      </c>
      <c r="H1855" s="247" t="s">
        <v>16</v>
      </c>
      <c r="I1855" s="247" t="s">
        <v>148</v>
      </c>
      <c r="J1855" s="247" t="s">
        <v>148</v>
      </c>
      <c r="K1855" s="247" t="s">
        <v>16</v>
      </c>
      <c r="L1855" s="247" t="s">
        <v>16</v>
      </c>
      <c r="M1855" s="247" t="s">
        <v>16</v>
      </c>
      <c r="N1855" s="247" t="s">
        <v>148</v>
      </c>
      <c r="O1855" s="247" t="s">
        <v>16</v>
      </c>
      <c r="P1855" s="247" t="s">
        <v>16</v>
      </c>
      <c r="Q1855" s="247" t="s">
        <v>16</v>
      </c>
      <c r="R1855" s="247" t="s">
        <v>16</v>
      </c>
      <c r="S1855" s="247" t="s">
        <v>16</v>
      </c>
      <c r="T1855" s="247" t="s">
        <v>16</v>
      </c>
      <c r="U1855" s="247" t="s">
        <v>16</v>
      </c>
      <c r="V1855" s="247" t="s">
        <v>148</v>
      </c>
      <c r="W1855" s="247" t="s">
        <v>16</v>
      </c>
      <c r="X1855" s="247" t="s">
        <v>16</v>
      </c>
      <c r="Y1855" s="247" t="s">
        <v>16</v>
      </c>
      <c r="Z1855" s="247" t="s">
        <v>16</v>
      </c>
      <c r="AA1855" s="247" t="s">
        <v>16</v>
      </c>
      <c r="AB1855" s="247" t="s">
        <v>16</v>
      </c>
      <c r="AC1855" s="247" t="s">
        <v>148</v>
      </c>
      <c r="AD1855" s="247" t="s">
        <v>148</v>
      </c>
      <c r="AE1855" s="247" t="s">
        <v>2777</v>
      </c>
    </row>
    <row r="1856" spans="1:33" s="247" customFormat="1" x14ac:dyDescent="0.3">
      <c r="A1856" s="249">
        <v>43667.443749999999</v>
      </c>
      <c r="E1856" s="213">
        <v>42215</v>
      </c>
      <c r="F1856" s="247" t="s">
        <v>16</v>
      </c>
      <c r="G1856" s="247" t="s">
        <v>16</v>
      </c>
      <c r="H1856" s="247" t="s">
        <v>16</v>
      </c>
      <c r="I1856" s="247" t="s">
        <v>16</v>
      </c>
      <c r="J1856" s="247" t="s">
        <v>148</v>
      </c>
      <c r="K1856" s="247" t="s">
        <v>148</v>
      </c>
      <c r="L1856" s="247" t="s">
        <v>16</v>
      </c>
      <c r="M1856" s="247" t="s">
        <v>16</v>
      </c>
      <c r="N1856" s="247" t="s">
        <v>148</v>
      </c>
      <c r="O1856" s="247" t="s">
        <v>16</v>
      </c>
      <c r="P1856" s="247" t="s">
        <v>148</v>
      </c>
      <c r="Q1856" s="247" t="s">
        <v>16</v>
      </c>
      <c r="R1856" s="247" t="s">
        <v>148</v>
      </c>
      <c r="S1856" s="247" t="s">
        <v>16</v>
      </c>
      <c r="T1856" s="247" t="s">
        <v>16</v>
      </c>
      <c r="U1856" s="247" t="s">
        <v>16</v>
      </c>
      <c r="V1856" s="247" t="s">
        <v>16</v>
      </c>
      <c r="W1856" s="247" t="s">
        <v>16</v>
      </c>
      <c r="X1856" s="247" t="s">
        <v>148</v>
      </c>
      <c r="Y1856" s="247" t="s">
        <v>16</v>
      </c>
      <c r="Z1856" s="247" t="s">
        <v>16</v>
      </c>
      <c r="AA1856" s="247" t="s">
        <v>148</v>
      </c>
      <c r="AB1856" s="247" t="s">
        <v>148</v>
      </c>
      <c r="AC1856" s="247" t="s">
        <v>16</v>
      </c>
      <c r="AD1856" s="247" t="s">
        <v>149</v>
      </c>
      <c r="AE1856" s="247" t="s">
        <v>2653</v>
      </c>
      <c r="AF1856" s="247" t="s">
        <v>2778</v>
      </c>
    </row>
    <row r="1857" spans="1:31" s="247" customFormat="1" x14ac:dyDescent="0.3">
      <c r="A1857" s="249">
        <v>43667.456944444442</v>
      </c>
      <c r="E1857" s="213">
        <v>42215</v>
      </c>
      <c r="F1857" s="247" t="s">
        <v>16</v>
      </c>
      <c r="G1857" s="247" t="s">
        <v>16</v>
      </c>
      <c r="H1857" s="247" t="s">
        <v>16</v>
      </c>
      <c r="I1857" s="247" t="s">
        <v>16</v>
      </c>
      <c r="J1857" s="247" t="s">
        <v>16</v>
      </c>
      <c r="K1857" s="247" t="s">
        <v>16</v>
      </c>
      <c r="L1857" s="247" t="s">
        <v>16</v>
      </c>
      <c r="M1857" s="247" t="s">
        <v>16</v>
      </c>
      <c r="N1857" s="247" t="s">
        <v>16</v>
      </c>
      <c r="O1857" s="247" t="s">
        <v>16</v>
      </c>
      <c r="P1857" s="247" t="s">
        <v>16</v>
      </c>
      <c r="Q1857" s="247" t="s">
        <v>16</v>
      </c>
      <c r="R1857" s="247" t="s">
        <v>16</v>
      </c>
      <c r="S1857" s="247" t="s">
        <v>16</v>
      </c>
      <c r="T1857" s="247" t="s">
        <v>16</v>
      </c>
      <c r="U1857" s="247" t="s">
        <v>16</v>
      </c>
      <c r="V1857" s="247" t="s">
        <v>16</v>
      </c>
      <c r="W1857" s="247" t="s">
        <v>16</v>
      </c>
      <c r="X1857" s="247" t="s">
        <v>16</v>
      </c>
      <c r="Y1857" s="247" t="s">
        <v>16</v>
      </c>
      <c r="Z1857" s="247" t="s">
        <v>16</v>
      </c>
      <c r="AA1857" s="247" t="s">
        <v>16</v>
      </c>
      <c r="AB1857" s="247" t="s">
        <v>16</v>
      </c>
      <c r="AC1857" s="247" t="s">
        <v>16</v>
      </c>
      <c r="AD1857" s="247" t="s">
        <v>16</v>
      </c>
      <c r="AE1857" s="247" t="s">
        <v>2779</v>
      </c>
    </row>
    <row r="1858" spans="1:31" s="247" customFormat="1" x14ac:dyDescent="0.3">
      <c r="A1858" s="249">
        <v>43667.695138888892</v>
      </c>
      <c r="E1858" s="213">
        <v>42215</v>
      </c>
      <c r="F1858" s="247" t="s">
        <v>16</v>
      </c>
      <c r="G1858" s="247" t="s">
        <v>16</v>
      </c>
      <c r="H1858" s="247" t="s">
        <v>16</v>
      </c>
      <c r="I1858" s="247" t="s">
        <v>16</v>
      </c>
      <c r="J1858" s="247" t="s">
        <v>148</v>
      </c>
      <c r="K1858" s="247" t="s">
        <v>16</v>
      </c>
      <c r="L1858" s="247" t="s">
        <v>148</v>
      </c>
      <c r="M1858" s="247" t="s">
        <v>16</v>
      </c>
      <c r="N1858" s="247" t="s">
        <v>16</v>
      </c>
      <c r="O1858" s="247" t="s">
        <v>16</v>
      </c>
      <c r="P1858" s="247" t="s">
        <v>16</v>
      </c>
      <c r="Q1858" s="247" t="s">
        <v>16</v>
      </c>
      <c r="R1858" s="247" t="s">
        <v>148</v>
      </c>
      <c r="S1858" s="247" t="s">
        <v>148</v>
      </c>
      <c r="T1858" s="247" t="s">
        <v>16</v>
      </c>
      <c r="U1858" s="247" t="s">
        <v>148</v>
      </c>
      <c r="V1858" s="247" t="s">
        <v>16</v>
      </c>
      <c r="W1858" s="247" t="s">
        <v>16</v>
      </c>
      <c r="X1858" s="247" t="s">
        <v>16</v>
      </c>
      <c r="Y1858" s="247" t="s">
        <v>16</v>
      </c>
      <c r="Z1858" s="247" t="s">
        <v>16</v>
      </c>
      <c r="AA1858" s="247" t="s">
        <v>16</v>
      </c>
      <c r="AB1858" s="247" t="s">
        <v>16</v>
      </c>
      <c r="AC1858" s="247" t="s">
        <v>148</v>
      </c>
      <c r="AD1858" s="247" t="s">
        <v>16</v>
      </c>
      <c r="AE1858" s="247" t="s">
        <v>2780</v>
      </c>
    </row>
    <row r="1859" spans="1:31" s="247" customFormat="1" x14ac:dyDescent="0.3">
      <c r="A1859" s="249">
        <v>43667.890277777777</v>
      </c>
      <c r="E1859" s="213">
        <v>42215</v>
      </c>
      <c r="F1859" s="247" t="s">
        <v>16</v>
      </c>
      <c r="G1859" s="247" t="s">
        <v>16</v>
      </c>
      <c r="H1859" s="247" t="s">
        <v>16</v>
      </c>
      <c r="I1859" s="247" t="s">
        <v>16</v>
      </c>
      <c r="J1859" s="247" t="s">
        <v>16</v>
      </c>
      <c r="K1859" s="247" t="s">
        <v>16</v>
      </c>
      <c r="L1859" s="247" t="s">
        <v>16</v>
      </c>
      <c r="M1859" s="247" t="s">
        <v>16</v>
      </c>
      <c r="N1859" s="247" t="s">
        <v>16</v>
      </c>
      <c r="O1859" s="247" t="s">
        <v>16</v>
      </c>
      <c r="P1859" s="247" t="s">
        <v>16</v>
      </c>
      <c r="Q1859" s="247" t="s">
        <v>16</v>
      </c>
      <c r="R1859" s="247" t="s">
        <v>16</v>
      </c>
      <c r="S1859" s="247" t="s">
        <v>16</v>
      </c>
      <c r="T1859" s="247" t="s">
        <v>16</v>
      </c>
      <c r="U1859" s="247" t="s">
        <v>16</v>
      </c>
      <c r="V1859" s="247" t="s">
        <v>16</v>
      </c>
      <c r="W1859" s="247" t="s">
        <v>16</v>
      </c>
      <c r="X1859" s="247" t="s">
        <v>16</v>
      </c>
      <c r="Y1859" s="247" t="s">
        <v>16</v>
      </c>
      <c r="Z1859" s="247" t="s">
        <v>16</v>
      </c>
      <c r="AA1859" s="247" t="s">
        <v>16</v>
      </c>
      <c r="AB1859" s="247" t="s">
        <v>16</v>
      </c>
      <c r="AC1859" s="247" t="s">
        <v>16</v>
      </c>
      <c r="AD1859" s="247" t="s">
        <v>16</v>
      </c>
      <c r="AE1859" s="247" t="s">
        <v>2781</v>
      </c>
    </row>
    <row r="1860" spans="1:31" s="247" customFormat="1" x14ac:dyDescent="0.3">
      <c r="A1860" s="249">
        <v>43668.063888888886</v>
      </c>
      <c r="E1860" s="213">
        <v>42215</v>
      </c>
      <c r="F1860" s="247" t="s">
        <v>16</v>
      </c>
      <c r="G1860" s="247" t="s">
        <v>16</v>
      </c>
      <c r="H1860" s="247" t="s">
        <v>16</v>
      </c>
      <c r="I1860" s="247" t="s">
        <v>149</v>
      </c>
      <c r="J1860" s="247" t="s">
        <v>16</v>
      </c>
      <c r="K1860" s="247" t="s">
        <v>16</v>
      </c>
      <c r="L1860" s="247" t="s">
        <v>16</v>
      </c>
      <c r="M1860" s="247" t="s">
        <v>16</v>
      </c>
      <c r="N1860" s="247" t="s">
        <v>148</v>
      </c>
      <c r="O1860" s="247" t="s">
        <v>148</v>
      </c>
      <c r="P1860" s="247" t="s">
        <v>16</v>
      </c>
      <c r="Q1860" s="247" t="s">
        <v>148</v>
      </c>
      <c r="R1860" s="247" t="s">
        <v>16</v>
      </c>
      <c r="S1860" s="247" t="s">
        <v>16</v>
      </c>
      <c r="T1860" s="247" t="s">
        <v>16</v>
      </c>
      <c r="U1860" s="247" t="s">
        <v>16</v>
      </c>
      <c r="V1860" s="247" t="s">
        <v>16</v>
      </c>
      <c r="W1860" s="247" t="s">
        <v>16</v>
      </c>
      <c r="X1860" s="247" t="s">
        <v>16</v>
      </c>
      <c r="Y1860" s="247" t="s">
        <v>16</v>
      </c>
      <c r="Z1860" s="247" t="s">
        <v>16</v>
      </c>
      <c r="AA1860" s="247" t="s">
        <v>16</v>
      </c>
      <c r="AB1860" s="247" t="s">
        <v>16</v>
      </c>
      <c r="AC1860" s="247" t="s">
        <v>16</v>
      </c>
      <c r="AD1860" s="247" t="s">
        <v>16</v>
      </c>
      <c r="AE1860" s="247" t="s">
        <v>2777</v>
      </c>
    </row>
    <row r="1861" spans="1:31" s="247" customFormat="1" x14ac:dyDescent="0.3">
      <c r="A1861" s="249">
        <v>43668.201388888891</v>
      </c>
      <c r="E1861" s="213">
        <v>42215</v>
      </c>
      <c r="F1861" s="247" t="s">
        <v>16</v>
      </c>
      <c r="G1861" s="247" t="s">
        <v>16</v>
      </c>
      <c r="H1861" s="247" t="s">
        <v>16</v>
      </c>
      <c r="I1861" s="247" t="s">
        <v>16</v>
      </c>
      <c r="J1861" s="247" t="s">
        <v>16</v>
      </c>
      <c r="K1861" s="247" t="s">
        <v>16</v>
      </c>
      <c r="L1861" s="247" t="s">
        <v>16</v>
      </c>
      <c r="M1861" s="247" t="s">
        <v>16</v>
      </c>
      <c r="N1861" s="247" t="s">
        <v>16</v>
      </c>
      <c r="O1861" s="247" t="s">
        <v>16</v>
      </c>
      <c r="P1861" s="247" t="s">
        <v>16</v>
      </c>
      <c r="Q1861" s="247" t="s">
        <v>16</v>
      </c>
      <c r="R1861" s="247" t="s">
        <v>16</v>
      </c>
      <c r="S1861" s="247" t="s">
        <v>16</v>
      </c>
      <c r="T1861" s="247" t="s">
        <v>16</v>
      </c>
      <c r="U1861" s="247" t="s">
        <v>16</v>
      </c>
      <c r="V1861" s="247" t="s">
        <v>16</v>
      </c>
      <c r="W1861" s="247" t="s">
        <v>16</v>
      </c>
      <c r="X1861" s="247" t="s">
        <v>16</v>
      </c>
      <c r="Y1861" s="247" t="s">
        <v>16</v>
      </c>
      <c r="Z1861" s="247" t="s">
        <v>16</v>
      </c>
      <c r="AA1861" s="247" t="s">
        <v>16</v>
      </c>
      <c r="AB1861" s="247" t="s">
        <v>16</v>
      </c>
      <c r="AC1861" s="247" t="s">
        <v>16</v>
      </c>
      <c r="AD1861" s="247" t="s">
        <v>16</v>
      </c>
      <c r="AE1861" s="247" t="s">
        <v>2782</v>
      </c>
    </row>
    <row r="1862" spans="1:31" s="247" customFormat="1" x14ac:dyDescent="0.3">
      <c r="A1862" s="249">
        <v>43668.276388888888</v>
      </c>
      <c r="E1862" s="213">
        <v>42215</v>
      </c>
      <c r="F1862" s="247" t="s">
        <v>148</v>
      </c>
      <c r="G1862" s="247" t="s">
        <v>149</v>
      </c>
      <c r="H1862" s="247" t="s">
        <v>149</v>
      </c>
      <c r="I1862" s="247" t="s">
        <v>16</v>
      </c>
      <c r="J1862" s="247" t="s">
        <v>148</v>
      </c>
      <c r="K1862" s="247" t="s">
        <v>16</v>
      </c>
      <c r="L1862" s="247" t="s">
        <v>16</v>
      </c>
      <c r="M1862" s="247" t="s">
        <v>148</v>
      </c>
      <c r="N1862" s="247" t="s">
        <v>16</v>
      </c>
      <c r="O1862" s="247" t="s">
        <v>16</v>
      </c>
      <c r="P1862" s="247" t="s">
        <v>16</v>
      </c>
      <c r="Q1862" s="247" t="s">
        <v>16</v>
      </c>
      <c r="R1862" s="247" t="s">
        <v>16</v>
      </c>
      <c r="S1862" s="247" t="s">
        <v>149</v>
      </c>
      <c r="T1862" s="247" t="s">
        <v>149</v>
      </c>
      <c r="U1862" s="247" t="s">
        <v>16</v>
      </c>
      <c r="V1862" s="247" t="s">
        <v>149</v>
      </c>
      <c r="W1862" s="247" t="s">
        <v>148</v>
      </c>
      <c r="X1862" s="247" t="s">
        <v>148</v>
      </c>
      <c r="Y1862" s="247" t="s">
        <v>16</v>
      </c>
      <c r="Z1862" s="247" t="s">
        <v>16</v>
      </c>
      <c r="AA1862" s="247" t="s">
        <v>16</v>
      </c>
      <c r="AB1862" s="247" t="s">
        <v>148</v>
      </c>
      <c r="AC1862" s="247" t="s">
        <v>16</v>
      </c>
      <c r="AD1862" s="247" t="s">
        <v>148</v>
      </c>
      <c r="AE1862" s="247" t="s">
        <v>2783</v>
      </c>
    </row>
    <row r="1863" spans="1:31" s="247" customFormat="1" x14ac:dyDescent="0.3">
      <c r="A1863" s="249">
        <v>43668.277083333334</v>
      </c>
      <c r="E1863" s="213">
        <v>42215</v>
      </c>
      <c r="F1863" s="247" t="s">
        <v>16</v>
      </c>
      <c r="G1863" s="247" t="s">
        <v>16</v>
      </c>
      <c r="H1863" s="247" t="s">
        <v>16</v>
      </c>
      <c r="I1863" s="247" t="s">
        <v>16</v>
      </c>
      <c r="J1863" s="247" t="s">
        <v>16</v>
      </c>
      <c r="K1863" s="247" t="s">
        <v>16</v>
      </c>
      <c r="L1863" s="247" t="s">
        <v>16</v>
      </c>
      <c r="M1863" s="247" t="s">
        <v>16</v>
      </c>
      <c r="N1863" s="247" t="s">
        <v>16</v>
      </c>
      <c r="O1863" s="247" t="s">
        <v>16</v>
      </c>
      <c r="P1863" s="247" t="s">
        <v>16</v>
      </c>
      <c r="Q1863" s="247" t="s">
        <v>16</v>
      </c>
      <c r="R1863" s="247" t="s">
        <v>16</v>
      </c>
      <c r="S1863" s="247" t="s">
        <v>16</v>
      </c>
      <c r="T1863" s="247" t="s">
        <v>16</v>
      </c>
      <c r="U1863" s="247" t="s">
        <v>16</v>
      </c>
      <c r="V1863" s="247" t="s">
        <v>16</v>
      </c>
      <c r="W1863" s="247" t="s">
        <v>16</v>
      </c>
      <c r="X1863" s="247" t="s">
        <v>16</v>
      </c>
      <c r="Y1863" s="247" t="s">
        <v>16</v>
      </c>
      <c r="Z1863" s="247" t="s">
        <v>16</v>
      </c>
      <c r="AA1863" s="247" t="s">
        <v>16</v>
      </c>
      <c r="AB1863" s="247" t="s">
        <v>16</v>
      </c>
      <c r="AC1863" s="247" t="s">
        <v>16</v>
      </c>
      <c r="AD1863" s="247" t="s">
        <v>16</v>
      </c>
      <c r="AE1863" s="247" t="s">
        <v>2784</v>
      </c>
    </row>
    <row r="1864" spans="1:31" s="247" customFormat="1" x14ac:dyDescent="0.3">
      <c r="A1864" s="249">
        <v>43668.279861111114</v>
      </c>
      <c r="E1864" s="213">
        <v>42215</v>
      </c>
      <c r="F1864" s="247" t="s">
        <v>148</v>
      </c>
      <c r="G1864" s="247" t="s">
        <v>148</v>
      </c>
      <c r="H1864" s="247" t="s">
        <v>16</v>
      </c>
      <c r="I1864" s="247" t="s">
        <v>148</v>
      </c>
      <c r="J1864" s="247" t="s">
        <v>149</v>
      </c>
      <c r="K1864" s="247" t="s">
        <v>149</v>
      </c>
      <c r="L1864" s="247" t="s">
        <v>149</v>
      </c>
      <c r="M1864" s="247" t="s">
        <v>148</v>
      </c>
      <c r="N1864" s="247" t="s">
        <v>148</v>
      </c>
      <c r="O1864" s="247" t="s">
        <v>16</v>
      </c>
      <c r="P1864" s="247" t="s">
        <v>148</v>
      </c>
      <c r="Q1864" s="247" t="s">
        <v>149</v>
      </c>
      <c r="R1864" s="247" t="s">
        <v>16</v>
      </c>
      <c r="S1864" s="247" t="s">
        <v>148</v>
      </c>
      <c r="T1864" s="247" t="s">
        <v>148</v>
      </c>
      <c r="U1864" s="247" t="s">
        <v>149</v>
      </c>
      <c r="V1864" s="247" t="s">
        <v>16</v>
      </c>
      <c r="W1864" s="247" t="s">
        <v>148</v>
      </c>
      <c r="X1864" s="247" t="s">
        <v>2652</v>
      </c>
      <c r="Y1864" s="247" t="s">
        <v>149</v>
      </c>
      <c r="Z1864" s="247" t="s">
        <v>16</v>
      </c>
      <c r="AA1864" s="247" t="s">
        <v>148</v>
      </c>
      <c r="AB1864" s="247" t="s">
        <v>148</v>
      </c>
      <c r="AC1864" s="247" t="s">
        <v>148</v>
      </c>
      <c r="AD1864" s="247" t="s">
        <v>149</v>
      </c>
      <c r="AE1864" s="247" t="s">
        <v>2785</v>
      </c>
    </row>
    <row r="1865" spans="1:31" s="247" customFormat="1" x14ac:dyDescent="0.3">
      <c r="A1865" s="249">
        <v>43668.382638888892</v>
      </c>
      <c r="E1865" s="213">
        <v>42215</v>
      </c>
      <c r="F1865" s="247" t="s">
        <v>16</v>
      </c>
      <c r="G1865" s="247" t="s">
        <v>149</v>
      </c>
      <c r="H1865" s="247" t="s">
        <v>16</v>
      </c>
      <c r="I1865" s="247" t="s">
        <v>148</v>
      </c>
      <c r="J1865" s="247" t="s">
        <v>16</v>
      </c>
      <c r="K1865" s="247" t="s">
        <v>149</v>
      </c>
      <c r="L1865" s="247" t="s">
        <v>16</v>
      </c>
      <c r="M1865" s="247" t="s">
        <v>148</v>
      </c>
      <c r="N1865" s="247" t="s">
        <v>148</v>
      </c>
      <c r="O1865" s="247" t="s">
        <v>148</v>
      </c>
      <c r="P1865" s="247" t="s">
        <v>148</v>
      </c>
      <c r="Q1865" s="247" t="s">
        <v>16</v>
      </c>
      <c r="R1865" s="247" t="s">
        <v>148</v>
      </c>
      <c r="S1865" s="247" t="s">
        <v>148</v>
      </c>
      <c r="T1865" s="247" t="s">
        <v>16</v>
      </c>
      <c r="U1865" s="247" t="s">
        <v>16</v>
      </c>
      <c r="V1865" s="247" t="s">
        <v>16</v>
      </c>
      <c r="W1865" s="247" t="s">
        <v>16</v>
      </c>
      <c r="X1865" s="247" t="s">
        <v>148</v>
      </c>
      <c r="Y1865" s="247" t="s">
        <v>149</v>
      </c>
      <c r="Z1865" s="247" t="s">
        <v>16</v>
      </c>
      <c r="AA1865" s="247" t="s">
        <v>148</v>
      </c>
      <c r="AB1865" s="247" t="s">
        <v>148</v>
      </c>
      <c r="AC1865" s="247" t="s">
        <v>16</v>
      </c>
      <c r="AD1865" s="247" t="s">
        <v>16</v>
      </c>
      <c r="AE1865" s="247" t="s">
        <v>2786</v>
      </c>
    </row>
    <row r="1866" spans="1:31" s="247" customFormat="1" x14ac:dyDescent="0.3">
      <c r="A1866" s="249">
        <v>43668.387499999997</v>
      </c>
      <c r="E1866" s="213">
        <v>42215</v>
      </c>
      <c r="F1866" s="247" t="s">
        <v>16</v>
      </c>
      <c r="G1866" s="247" t="s">
        <v>16</v>
      </c>
      <c r="H1866" s="247" t="s">
        <v>16</v>
      </c>
      <c r="I1866" s="247" t="s">
        <v>16</v>
      </c>
      <c r="J1866" s="247" t="s">
        <v>16</v>
      </c>
      <c r="K1866" s="247" t="s">
        <v>16</v>
      </c>
      <c r="L1866" s="247" t="s">
        <v>16</v>
      </c>
      <c r="M1866" s="247" t="s">
        <v>16</v>
      </c>
      <c r="N1866" s="247" t="s">
        <v>16</v>
      </c>
      <c r="O1866" s="247" t="s">
        <v>16</v>
      </c>
      <c r="P1866" s="247" t="s">
        <v>16</v>
      </c>
      <c r="Q1866" s="247" t="s">
        <v>16</v>
      </c>
      <c r="R1866" s="247" t="s">
        <v>16</v>
      </c>
      <c r="S1866" s="247" t="s">
        <v>16</v>
      </c>
      <c r="T1866" s="247" t="s">
        <v>16</v>
      </c>
      <c r="U1866" s="247" t="s">
        <v>16</v>
      </c>
      <c r="V1866" s="247" t="s">
        <v>16</v>
      </c>
      <c r="W1866" s="247" t="s">
        <v>16</v>
      </c>
      <c r="X1866" s="247" t="s">
        <v>16</v>
      </c>
      <c r="Y1866" s="247" t="s">
        <v>16</v>
      </c>
      <c r="Z1866" s="247" t="s">
        <v>16</v>
      </c>
      <c r="AA1866" s="247" t="s">
        <v>16</v>
      </c>
      <c r="AB1866" s="247" t="s">
        <v>16</v>
      </c>
      <c r="AC1866" s="247" t="s">
        <v>16</v>
      </c>
      <c r="AD1866" s="247" t="s">
        <v>16</v>
      </c>
      <c r="AE1866" s="247" t="s">
        <v>2787</v>
      </c>
    </row>
    <row r="1867" spans="1:31" s="247" customFormat="1" x14ac:dyDescent="0.3">
      <c r="A1867" s="249">
        <v>43668.522916666669</v>
      </c>
      <c r="E1867" s="213">
        <v>42215</v>
      </c>
      <c r="F1867" s="247" t="s">
        <v>16</v>
      </c>
      <c r="G1867" s="247" t="s">
        <v>16</v>
      </c>
      <c r="H1867" s="247" t="s">
        <v>16</v>
      </c>
      <c r="I1867" s="247" t="s">
        <v>16</v>
      </c>
      <c r="J1867" s="247" t="s">
        <v>16</v>
      </c>
      <c r="K1867" s="247" t="s">
        <v>16</v>
      </c>
      <c r="L1867" s="247" t="s">
        <v>16</v>
      </c>
      <c r="M1867" s="247" t="s">
        <v>16</v>
      </c>
      <c r="N1867" s="247" t="s">
        <v>16</v>
      </c>
      <c r="O1867" s="247" t="s">
        <v>16</v>
      </c>
      <c r="P1867" s="247" t="s">
        <v>16</v>
      </c>
      <c r="Q1867" s="247" t="s">
        <v>16</v>
      </c>
      <c r="R1867" s="247" t="s">
        <v>16</v>
      </c>
      <c r="S1867" s="247" t="s">
        <v>16</v>
      </c>
      <c r="T1867" s="247" t="s">
        <v>16</v>
      </c>
      <c r="U1867" s="247" t="s">
        <v>16</v>
      </c>
      <c r="V1867" s="247" t="s">
        <v>16</v>
      </c>
      <c r="W1867" s="247" t="s">
        <v>16</v>
      </c>
      <c r="X1867" s="247" t="s">
        <v>16</v>
      </c>
      <c r="Y1867" s="247" t="s">
        <v>16</v>
      </c>
      <c r="Z1867" s="247" t="s">
        <v>16</v>
      </c>
      <c r="AA1867" s="247" t="s">
        <v>16</v>
      </c>
      <c r="AB1867" s="247" t="s">
        <v>16</v>
      </c>
      <c r="AC1867" s="247" t="s">
        <v>16</v>
      </c>
      <c r="AD1867" s="247" t="s">
        <v>16</v>
      </c>
      <c r="AE1867" s="247" t="s">
        <v>2788</v>
      </c>
    </row>
    <row r="1868" spans="1:31" s="247" customFormat="1" x14ac:dyDescent="0.3">
      <c r="A1868" s="249">
        <v>43670.20208333333</v>
      </c>
      <c r="E1868" s="213">
        <v>42215</v>
      </c>
      <c r="F1868" s="247" t="s">
        <v>2652</v>
      </c>
      <c r="G1868" s="247" t="s">
        <v>2651</v>
      </c>
      <c r="H1868" s="247" t="s">
        <v>2651</v>
      </c>
      <c r="I1868" s="247" t="s">
        <v>2651</v>
      </c>
      <c r="J1868" s="247" t="s">
        <v>2651</v>
      </c>
      <c r="K1868" s="247" t="s">
        <v>2651</v>
      </c>
      <c r="L1868" s="247" t="s">
        <v>2651</v>
      </c>
      <c r="M1868" s="247" t="s">
        <v>2651</v>
      </c>
      <c r="N1868" s="247" t="s">
        <v>2651</v>
      </c>
      <c r="O1868" s="247" t="s">
        <v>2651</v>
      </c>
      <c r="P1868" s="247" t="s">
        <v>148</v>
      </c>
      <c r="Q1868" s="247" t="s">
        <v>2651</v>
      </c>
      <c r="R1868" s="247" t="s">
        <v>2651</v>
      </c>
      <c r="S1868" s="247" t="s">
        <v>2651</v>
      </c>
      <c r="T1868" s="247" t="s">
        <v>2651</v>
      </c>
      <c r="U1868" s="247" t="s">
        <v>2651</v>
      </c>
      <c r="V1868" s="247" t="s">
        <v>2651</v>
      </c>
      <c r="W1868" s="247" t="s">
        <v>16</v>
      </c>
      <c r="X1868" s="247" t="s">
        <v>2651</v>
      </c>
      <c r="Y1868" s="247" t="s">
        <v>2651</v>
      </c>
      <c r="Z1868" s="247" t="s">
        <v>2651</v>
      </c>
      <c r="AA1868" s="247" t="s">
        <v>2651</v>
      </c>
      <c r="AB1868" s="247" t="s">
        <v>148</v>
      </c>
      <c r="AC1868" s="247" t="s">
        <v>2652</v>
      </c>
      <c r="AD1868" s="247" t="s">
        <v>148</v>
      </c>
      <c r="AE1868" s="247" t="s">
        <v>2777</v>
      </c>
    </row>
    <row r="1869" spans="1:31" s="247" customFormat="1" x14ac:dyDescent="0.3">
      <c r="A1869" s="249">
        <v>43670.498611111114</v>
      </c>
      <c r="E1869" s="213">
        <v>42215</v>
      </c>
      <c r="F1869" s="247" t="s">
        <v>149</v>
      </c>
      <c r="G1869" s="247" t="s">
        <v>16</v>
      </c>
      <c r="H1869" s="247" t="s">
        <v>149</v>
      </c>
      <c r="I1869" s="247" t="s">
        <v>149</v>
      </c>
      <c r="J1869" s="247" t="s">
        <v>16</v>
      </c>
      <c r="K1869" s="247" t="s">
        <v>16</v>
      </c>
      <c r="L1869" s="247" t="s">
        <v>16</v>
      </c>
      <c r="M1869" s="247" t="s">
        <v>16</v>
      </c>
      <c r="N1869" s="247" t="s">
        <v>149</v>
      </c>
      <c r="O1869" s="247" t="s">
        <v>16</v>
      </c>
      <c r="P1869" s="247" t="s">
        <v>16</v>
      </c>
      <c r="Q1869" s="247" t="s">
        <v>16</v>
      </c>
      <c r="R1869" s="247" t="s">
        <v>16</v>
      </c>
      <c r="S1869" s="247" t="s">
        <v>16</v>
      </c>
      <c r="T1869" s="247" t="s">
        <v>149</v>
      </c>
      <c r="U1869" s="247" t="s">
        <v>16</v>
      </c>
      <c r="V1869" s="247" t="s">
        <v>16</v>
      </c>
      <c r="W1869" s="247" t="s">
        <v>16</v>
      </c>
      <c r="X1869" s="247" t="s">
        <v>16</v>
      </c>
      <c r="Y1869" s="247" t="s">
        <v>16</v>
      </c>
      <c r="Z1869" s="247" t="s">
        <v>16</v>
      </c>
      <c r="AA1869" s="247" t="s">
        <v>16</v>
      </c>
      <c r="AB1869" s="247" t="s">
        <v>16</v>
      </c>
      <c r="AC1869" s="247" t="s">
        <v>16</v>
      </c>
      <c r="AD1869" s="247" t="s">
        <v>16</v>
      </c>
      <c r="AE1869" s="247" t="s">
        <v>2789</v>
      </c>
    </row>
    <row r="1870" spans="1:31" s="247" customFormat="1" x14ac:dyDescent="0.3">
      <c r="A1870" s="249">
        <v>43670.53402777778</v>
      </c>
      <c r="E1870" s="213">
        <v>42215</v>
      </c>
      <c r="F1870" s="247" t="s">
        <v>148</v>
      </c>
      <c r="G1870" s="247" t="s">
        <v>16</v>
      </c>
      <c r="H1870" s="247" t="s">
        <v>16</v>
      </c>
      <c r="I1870" s="247" t="s">
        <v>149</v>
      </c>
      <c r="J1870" s="247" t="s">
        <v>149</v>
      </c>
      <c r="K1870" s="247" t="s">
        <v>16</v>
      </c>
      <c r="L1870" s="247" t="s">
        <v>149</v>
      </c>
      <c r="M1870" s="247" t="s">
        <v>16</v>
      </c>
      <c r="N1870" s="247" t="s">
        <v>149</v>
      </c>
      <c r="O1870" s="247" t="s">
        <v>149</v>
      </c>
      <c r="P1870" s="247" t="s">
        <v>16</v>
      </c>
      <c r="Q1870" s="247" t="s">
        <v>16</v>
      </c>
      <c r="R1870" s="247" t="s">
        <v>16</v>
      </c>
      <c r="S1870" s="247" t="s">
        <v>149</v>
      </c>
      <c r="T1870" s="247" t="s">
        <v>149</v>
      </c>
      <c r="U1870" s="247" t="s">
        <v>16</v>
      </c>
      <c r="V1870" s="247" t="s">
        <v>16</v>
      </c>
      <c r="W1870" s="247" t="s">
        <v>16</v>
      </c>
      <c r="X1870" s="247" t="s">
        <v>16</v>
      </c>
      <c r="Y1870" s="247" t="s">
        <v>16</v>
      </c>
      <c r="Z1870" s="247" t="s">
        <v>149</v>
      </c>
      <c r="AA1870" s="247" t="s">
        <v>16</v>
      </c>
      <c r="AB1870" s="247" t="s">
        <v>16</v>
      </c>
      <c r="AC1870" s="247" t="s">
        <v>16</v>
      </c>
      <c r="AD1870" s="247" t="s">
        <v>149</v>
      </c>
      <c r="AE1870" s="247" t="s">
        <v>2780</v>
      </c>
    </row>
    <row r="1871" spans="1:31" s="247" customFormat="1" x14ac:dyDescent="0.3">
      <c r="A1871" s="249">
        <v>43671.240972222222</v>
      </c>
      <c r="E1871" s="213">
        <v>42215</v>
      </c>
      <c r="F1871" s="247" t="s">
        <v>16</v>
      </c>
      <c r="G1871" s="247" t="s">
        <v>16</v>
      </c>
      <c r="H1871" s="247" t="s">
        <v>16</v>
      </c>
      <c r="I1871" s="247" t="s">
        <v>16</v>
      </c>
      <c r="J1871" s="247" t="s">
        <v>16</v>
      </c>
      <c r="K1871" s="247" t="s">
        <v>16</v>
      </c>
      <c r="L1871" s="247" t="s">
        <v>16</v>
      </c>
      <c r="M1871" s="247" t="s">
        <v>16</v>
      </c>
      <c r="N1871" s="247" t="s">
        <v>16</v>
      </c>
      <c r="O1871" s="247" t="s">
        <v>16</v>
      </c>
      <c r="P1871" s="247" t="s">
        <v>16</v>
      </c>
      <c r="Q1871" s="247" t="s">
        <v>16</v>
      </c>
      <c r="R1871" s="247" t="s">
        <v>16</v>
      </c>
      <c r="S1871" s="247" t="s">
        <v>16</v>
      </c>
      <c r="T1871" s="247" t="s">
        <v>16</v>
      </c>
      <c r="U1871" s="247" t="s">
        <v>16</v>
      </c>
      <c r="V1871" s="247" t="s">
        <v>16</v>
      </c>
      <c r="W1871" s="247" t="s">
        <v>16</v>
      </c>
      <c r="X1871" s="247" t="s">
        <v>16</v>
      </c>
      <c r="Y1871" s="247" t="s">
        <v>16</v>
      </c>
      <c r="Z1871" s="247" t="s">
        <v>16</v>
      </c>
      <c r="AA1871" s="247" t="s">
        <v>16</v>
      </c>
      <c r="AB1871" s="247" t="s">
        <v>16</v>
      </c>
      <c r="AC1871" s="247" t="s">
        <v>16</v>
      </c>
      <c r="AD1871" s="247" t="s">
        <v>16</v>
      </c>
      <c r="AE1871" s="247" t="s">
        <v>2790</v>
      </c>
    </row>
    <row r="1872" spans="1:31" s="247" customFormat="1" x14ac:dyDescent="0.3">
      <c r="A1872" s="249">
        <v>43672.311805555553</v>
      </c>
      <c r="E1872" s="213">
        <v>42215</v>
      </c>
      <c r="F1872" s="247" t="s">
        <v>16</v>
      </c>
      <c r="G1872" s="247" t="s">
        <v>16</v>
      </c>
      <c r="H1872" s="247" t="s">
        <v>16</v>
      </c>
      <c r="I1872" s="247" t="s">
        <v>16</v>
      </c>
      <c r="J1872" s="247" t="s">
        <v>148</v>
      </c>
      <c r="K1872" s="247" t="s">
        <v>16</v>
      </c>
      <c r="L1872" s="247" t="s">
        <v>16</v>
      </c>
      <c r="M1872" s="247" t="s">
        <v>16</v>
      </c>
      <c r="N1872" s="247" t="s">
        <v>148</v>
      </c>
      <c r="O1872" s="247" t="s">
        <v>148</v>
      </c>
      <c r="P1872" s="247" t="s">
        <v>16</v>
      </c>
      <c r="Q1872" s="247" t="s">
        <v>16</v>
      </c>
      <c r="R1872" s="247" t="s">
        <v>16</v>
      </c>
      <c r="S1872" s="247" t="s">
        <v>16</v>
      </c>
      <c r="T1872" s="247" t="s">
        <v>16</v>
      </c>
      <c r="U1872" s="247" t="s">
        <v>16</v>
      </c>
      <c r="V1872" s="247" t="s">
        <v>16</v>
      </c>
      <c r="W1872" s="247" t="s">
        <v>16</v>
      </c>
      <c r="X1872" s="247" t="s">
        <v>148</v>
      </c>
      <c r="Y1872" s="247" t="s">
        <v>16</v>
      </c>
      <c r="Z1872" s="247" t="s">
        <v>16</v>
      </c>
      <c r="AA1872" s="247" t="s">
        <v>16</v>
      </c>
      <c r="AB1872" s="247" t="s">
        <v>16</v>
      </c>
      <c r="AC1872" s="247" t="s">
        <v>16</v>
      </c>
      <c r="AD1872" s="247" t="s">
        <v>16</v>
      </c>
      <c r="AE1872" s="247" t="s">
        <v>2791</v>
      </c>
    </row>
    <row r="1873" spans="1:32" s="247" customFormat="1" x14ac:dyDescent="0.3">
      <c r="A1873" s="249">
        <v>43672.459027777775</v>
      </c>
      <c r="E1873" s="213">
        <v>42215</v>
      </c>
      <c r="F1873" s="247" t="s">
        <v>16</v>
      </c>
      <c r="G1873" s="247" t="s">
        <v>16</v>
      </c>
      <c r="H1873" s="247" t="s">
        <v>16</v>
      </c>
      <c r="I1873" s="247" t="s">
        <v>16</v>
      </c>
      <c r="J1873" s="247" t="s">
        <v>16</v>
      </c>
      <c r="K1873" s="247" t="s">
        <v>16</v>
      </c>
      <c r="L1873" s="247" t="s">
        <v>16</v>
      </c>
      <c r="M1873" s="247" t="s">
        <v>16</v>
      </c>
      <c r="N1873" s="247" t="s">
        <v>16</v>
      </c>
      <c r="O1873" s="247" t="s">
        <v>16</v>
      </c>
      <c r="P1873" s="247" t="s">
        <v>16</v>
      </c>
      <c r="Q1873" s="247" t="s">
        <v>16</v>
      </c>
      <c r="R1873" s="247" t="s">
        <v>16</v>
      </c>
      <c r="S1873" s="247" t="s">
        <v>16</v>
      </c>
      <c r="T1873" s="247" t="s">
        <v>16</v>
      </c>
      <c r="U1873" s="247" t="s">
        <v>16</v>
      </c>
      <c r="V1873" s="247" t="s">
        <v>16</v>
      </c>
      <c r="W1873" s="247" t="s">
        <v>16</v>
      </c>
      <c r="X1873" s="247" t="s">
        <v>16</v>
      </c>
      <c r="Y1873" s="247" t="s">
        <v>16</v>
      </c>
      <c r="Z1873" s="247" t="s">
        <v>16</v>
      </c>
      <c r="AA1873" s="247" t="s">
        <v>16</v>
      </c>
      <c r="AB1873" s="247" t="s">
        <v>16</v>
      </c>
      <c r="AC1873" s="247" t="s">
        <v>16</v>
      </c>
      <c r="AD1873" s="247" t="s">
        <v>16</v>
      </c>
      <c r="AE1873" s="247" t="s">
        <v>2792</v>
      </c>
    </row>
    <row r="1874" spans="1:32" s="247" customFormat="1" x14ac:dyDescent="0.3">
      <c r="A1874" s="249">
        <v>43672.509027777778</v>
      </c>
      <c r="E1874" s="213">
        <v>42215</v>
      </c>
      <c r="F1874" s="247" t="s">
        <v>16</v>
      </c>
      <c r="G1874" s="247" t="s">
        <v>148</v>
      </c>
      <c r="H1874" s="247" t="s">
        <v>16</v>
      </c>
      <c r="I1874" s="247" t="s">
        <v>16</v>
      </c>
      <c r="J1874" s="247" t="s">
        <v>16</v>
      </c>
      <c r="K1874" s="247" t="s">
        <v>16</v>
      </c>
      <c r="L1874" s="247" t="s">
        <v>16</v>
      </c>
      <c r="M1874" s="247" t="s">
        <v>16</v>
      </c>
      <c r="N1874" s="247" t="s">
        <v>148</v>
      </c>
      <c r="O1874" s="247" t="s">
        <v>16</v>
      </c>
      <c r="P1874" s="247" t="s">
        <v>148</v>
      </c>
      <c r="Q1874" s="247" t="s">
        <v>16</v>
      </c>
      <c r="R1874" s="247" t="s">
        <v>16</v>
      </c>
      <c r="S1874" s="247" t="s">
        <v>148</v>
      </c>
      <c r="T1874" s="247" t="s">
        <v>148</v>
      </c>
      <c r="U1874" s="247" t="s">
        <v>148</v>
      </c>
      <c r="V1874" s="247" t="s">
        <v>16</v>
      </c>
      <c r="W1874" s="247" t="s">
        <v>16</v>
      </c>
      <c r="X1874" s="247" t="s">
        <v>16</v>
      </c>
      <c r="Y1874" s="247" t="s">
        <v>16</v>
      </c>
      <c r="Z1874" s="247" t="s">
        <v>16</v>
      </c>
      <c r="AA1874" s="247" t="s">
        <v>148</v>
      </c>
      <c r="AB1874" s="247" t="s">
        <v>148</v>
      </c>
      <c r="AC1874" s="247" t="s">
        <v>148</v>
      </c>
      <c r="AD1874" s="247" t="s">
        <v>16</v>
      </c>
      <c r="AE1874" s="247" t="s">
        <v>2786</v>
      </c>
    </row>
    <row r="1875" spans="1:32" s="247" customFormat="1" x14ac:dyDescent="0.3">
      <c r="A1875" s="249">
        <v>43672.645833333336</v>
      </c>
      <c r="E1875" s="213">
        <v>42215</v>
      </c>
      <c r="F1875" s="247" t="s">
        <v>16</v>
      </c>
      <c r="G1875" s="247" t="s">
        <v>16</v>
      </c>
      <c r="H1875" s="247" t="s">
        <v>16</v>
      </c>
      <c r="I1875" s="247" t="s">
        <v>148</v>
      </c>
      <c r="J1875" s="247" t="s">
        <v>16</v>
      </c>
      <c r="K1875" s="247" t="s">
        <v>16</v>
      </c>
      <c r="L1875" s="247" t="s">
        <v>16</v>
      </c>
      <c r="M1875" s="247" t="s">
        <v>148</v>
      </c>
      <c r="N1875" s="247" t="s">
        <v>148</v>
      </c>
      <c r="O1875" s="247" t="s">
        <v>16</v>
      </c>
      <c r="P1875" s="247" t="s">
        <v>148</v>
      </c>
      <c r="Q1875" s="247" t="s">
        <v>16</v>
      </c>
      <c r="R1875" s="247" t="s">
        <v>16</v>
      </c>
      <c r="S1875" s="247" t="s">
        <v>16</v>
      </c>
      <c r="T1875" s="247" t="s">
        <v>16</v>
      </c>
      <c r="U1875" s="247" t="s">
        <v>148</v>
      </c>
      <c r="V1875" s="247" t="s">
        <v>16</v>
      </c>
      <c r="W1875" s="247" t="s">
        <v>148</v>
      </c>
      <c r="X1875" s="247" t="s">
        <v>16</v>
      </c>
      <c r="Y1875" s="247" t="s">
        <v>16</v>
      </c>
      <c r="Z1875" s="247" t="s">
        <v>148</v>
      </c>
      <c r="AA1875" s="247" t="s">
        <v>16</v>
      </c>
      <c r="AB1875" s="247" t="s">
        <v>16</v>
      </c>
      <c r="AC1875" s="247" t="s">
        <v>16</v>
      </c>
      <c r="AD1875" s="247" t="s">
        <v>149</v>
      </c>
      <c r="AE1875" s="247" t="s">
        <v>2793</v>
      </c>
    </row>
    <row r="1876" spans="1:32" s="247" customFormat="1" x14ac:dyDescent="0.3">
      <c r="A1876" s="249">
        <v>43673.026388888888</v>
      </c>
      <c r="E1876" s="213">
        <v>42215</v>
      </c>
      <c r="F1876" s="247" t="s">
        <v>16</v>
      </c>
      <c r="G1876" s="247" t="s">
        <v>16</v>
      </c>
      <c r="H1876" s="247" t="s">
        <v>16</v>
      </c>
      <c r="I1876" s="247" t="s">
        <v>16</v>
      </c>
      <c r="J1876" s="247" t="s">
        <v>16</v>
      </c>
      <c r="K1876" s="247" t="s">
        <v>16</v>
      </c>
      <c r="L1876" s="247" t="s">
        <v>16</v>
      </c>
      <c r="M1876" s="247" t="s">
        <v>16</v>
      </c>
      <c r="N1876" s="247" t="s">
        <v>16</v>
      </c>
      <c r="O1876" s="247" t="s">
        <v>16</v>
      </c>
      <c r="P1876" s="247" t="s">
        <v>16</v>
      </c>
      <c r="Q1876" s="247" t="s">
        <v>16</v>
      </c>
      <c r="R1876" s="247" t="s">
        <v>16</v>
      </c>
      <c r="S1876" s="247" t="s">
        <v>16</v>
      </c>
      <c r="T1876" s="247" t="s">
        <v>16</v>
      </c>
      <c r="U1876" s="247" t="s">
        <v>16</v>
      </c>
      <c r="V1876" s="247" t="s">
        <v>16</v>
      </c>
      <c r="W1876" s="247" t="s">
        <v>16</v>
      </c>
      <c r="X1876" s="247" t="s">
        <v>16</v>
      </c>
      <c r="Y1876" s="247" t="s">
        <v>16</v>
      </c>
      <c r="Z1876" s="247" t="s">
        <v>16</v>
      </c>
      <c r="AA1876" s="247" t="s">
        <v>16</v>
      </c>
      <c r="AB1876" s="247" t="s">
        <v>16</v>
      </c>
      <c r="AC1876" s="247" t="s">
        <v>16</v>
      </c>
      <c r="AD1876" s="247" t="s">
        <v>16</v>
      </c>
      <c r="AE1876" s="247" t="s">
        <v>2794</v>
      </c>
    </row>
    <row r="1877" spans="1:32" s="247" customFormat="1" x14ac:dyDescent="0.3">
      <c r="A1877" s="249">
        <v>43673.320138888892</v>
      </c>
      <c r="E1877" s="213">
        <v>42215</v>
      </c>
      <c r="F1877" s="247" t="s">
        <v>16</v>
      </c>
      <c r="G1877" s="247" t="s">
        <v>16</v>
      </c>
      <c r="H1877" s="247" t="s">
        <v>16</v>
      </c>
      <c r="I1877" s="247" t="s">
        <v>16</v>
      </c>
      <c r="J1877" s="247" t="s">
        <v>16</v>
      </c>
      <c r="K1877" s="247" t="s">
        <v>16</v>
      </c>
      <c r="L1877" s="247" t="s">
        <v>16</v>
      </c>
      <c r="M1877" s="247" t="s">
        <v>16</v>
      </c>
      <c r="N1877" s="247" t="s">
        <v>16</v>
      </c>
      <c r="O1877" s="247" t="s">
        <v>16</v>
      </c>
      <c r="P1877" s="247" t="s">
        <v>16</v>
      </c>
      <c r="Q1877" s="247" t="s">
        <v>16</v>
      </c>
      <c r="R1877" s="247" t="s">
        <v>16</v>
      </c>
      <c r="S1877" s="247" t="s">
        <v>16</v>
      </c>
      <c r="T1877" s="247" t="s">
        <v>16</v>
      </c>
      <c r="U1877" s="247" t="s">
        <v>16</v>
      </c>
      <c r="V1877" s="247" t="s">
        <v>16</v>
      </c>
      <c r="W1877" s="247" t="s">
        <v>16</v>
      </c>
      <c r="X1877" s="247" t="s">
        <v>16</v>
      </c>
      <c r="Y1877" s="247" t="s">
        <v>16</v>
      </c>
      <c r="Z1877" s="247" t="s">
        <v>16</v>
      </c>
      <c r="AA1877" s="247" t="s">
        <v>16</v>
      </c>
      <c r="AB1877" s="247" t="s">
        <v>16</v>
      </c>
      <c r="AC1877" s="247" t="s">
        <v>16</v>
      </c>
      <c r="AD1877" s="247" t="s">
        <v>16</v>
      </c>
    </row>
    <row r="1878" spans="1:32" s="247" customFormat="1" x14ac:dyDescent="0.3">
      <c r="A1878" s="249">
        <v>43673.588194444441</v>
      </c>
      <c r="E1878" s="213">
        <v>42215</v>
      </c>
      <c r="F1878" s="247" t="s">
        <v>16</v>
      </c>
      <c r="G1878" s="247" t="s">
        <v>16</v>
      </c>
      <c r="H1878" s="247" t="s">
        <v>148</v>
      </c>
      <c r="I1878" s="247" t="s">
        <v>16</v>
      </c>
      <c r="J1878" s="247" t="s">
        <v>16</v>
      </c>
      <c r="K1878" s="247" t="s">
        <v>148</v>
      </c>
      <c r="L1878" s="247" t="s">
        <v>16</v>
      </c>
      <c r="M1878" s="247" t="s">
        <v>16</v>
      </c>
      <c r="N1878" s="247" t="s">
        <v>148</v>
      </c>
      <c r="O1878" s="247" t="s">
        <v>16</v>
      </c>
      <c r="P1878" s="247" t="s">
        <v>148</v>
      </c>
      <c r="Q1878" s="247" t="s">
        <v>16</v>
      </c>
      <c r="R1878" s="247" t="s">
        <v>149</v>
      </c>
      <c r="S1878" s="247" t="s">
        <v>16</v>
      </c>
      <c r="T1878" s="247" t="s">
        <v>16</v>
      </c>
      <c r="U1878" s="247" t="s">
        <v>16</v>
      </c>
      <c r="V1878" s="247" t="s">
        <v>149</v>
      </c>
      <c r="W1878" s="247" t="s">
        <v>148</v>
      </c>
      <c r="X1878" s="247" t="s">
        <v>148</v>
      </c>
      <c r="Y1878" s="247" t="s">
        <v>149</v>
      </c>
      <c r="Z1878" s="247" t="s">
        <v>16</v>
      </c>
      <c r="AA1878" s="247" t="s">
        <v>16</v>
      </c>
      <c r="AB1878" s="247" t="s">
        <v>149</v>
      </c>
      <c r="AC1878" s="247" t="s">
        <v>148</v>
      </c>
      <c r="AD1878" s="247" t="s">
        <v>16</v>
      </c>
      <c r="AE1878" s="247" t="s">
        <v>2786</v>
      </c>
    </row>
    <row r="1879" spans="1:32" s="247" customFormat="1" x14ac:dyDescent="0.3">
      <c r="A1879" s="249">
        <v>43673.899305555555</v>
      </c>
      <c r="E1879" s="213">
        <v>42215</v>
      </c>
      <c r="F1879" s="247" t="s">
        <v>149</v>
      </c>
      <c r="G1879" s="247" t="s">
        <v>16</v>
      </c>
      <c r="H1879" s="247" t="s">
        <v>16</v>
      </c>
      <c r="I1879" s="247" t="s">
        <v>16</v>
      </c>
      <c r="J1879" s="247" t="s">
        <v>148</v>
      </c>
      <c r="K1879" s="247" t="s">
        <v>16</v>
      </c>
      <c r="L1879" s="247" t="s">
        <v>16</v>
      </c>
      <c r="M1879" s="247" t="s">
        <v>16</v>
      </c>
      <c r="N1879" s="247" t="s">
        <v>148</v>
      </c>
      <c r="O1879" s="247" t="s">
        <v>16</v>
      </c>
      <c r="P1879" s="247" t="s">
        <v>16</v>
      </c>
      <c r="Q1879" s="247" t="s">
        <v>16</v>
      </c>
      <c r="R1879" s="247" t="s">
        <v>16</v>
      </c>
      <c r="S1879" s="247" t="s">
        <v>16</v>
      </c>
      <c r="T1879" s="247" t="s">
        <v>148</v>
      </c>
      <c r="U1879" s="247" t="s">
        <v>16</v>
      </c>
      <c r="V1879" s="247" t="s">
        <v>16</v>
      </c>
      <c r="W1879" s="247" t="s">
        <v>148</v>
      </c>
      <c r="X1879" s="247" t="s">
        <v>16</v>
      </c>
      <c r="Y1879" s="247" t="s">
        <v>148</v>
      </c>
      <c r="Z1879" s="247" t="s">
        <v>16</v>
      </c>
      <c r="AA1879" s="247" t="s">
        <v>16</v>
      </c>
      <c r="AB1879" s="247" t="s">
        <v>16</v>
      </c>
      <c r="AC1879" s="247" t="s">
        <v>16</v>
      </c>
      <c r="AD1879" s="247" t="s">
        <v>148</v>
      </c>
      <c r="AE1879" s="247" t="s">
        <v>2795</v>
      </c>
    </row>
    <row r="1880" spans="1:32" s="247" customFormat="1" x14ac:dyDescent="0.3">
      <c r="A1880" s="249">
        <v>43674.072222222225</v>
      </c>
      <c r="E1880" s="213">
        <v>42215</v>
      </c>
      <c r="F1880" s="247" t="s">
        <v>148</v>
      </c>
      <c r="G1880" s="247" t="s">
        <v>16</v>
      </c>
      <c r="H1880" s="247" t="s">
        <v>16</v>
      </c>
      <c r="I1880" s="247" t="s">
        <v>16</v>
      </c>
      <c r="J1880" s="247" t="s">
        <v>148</v>
      </c>
      <c r="K1880" s="247" t="s">
        <v>16</v>
      </c>
      <c r="L1880" s="247" t="s">
        <v>16</v>
      </c>
      <c r="M1880" s="247" t="s">
        <v>148</v>
      </c>
      <c r="N1880" s="247" t="s">
        <v>16</v>
      </c>
      <c r="O1880" s="247" t="s">
        <v>16</v>
      </c>
      <c r="P1880" s="247" t="s">
        <v>148</v>
      </c>
      <c r="Q1880" s="247" t="s">
        <v>16</v>
      </c>
      <c r="R1880" s="247" t="s">
        <v>16</v>
      </c>
      <c r="S1880" s="247" t="s">
        <v>148</v>
      </c>
      <c r="T1880" s="247" t="s">
        <v>16</v>
      </c>
      <c r="U1880" s="247" t="s">
        <v>148</v>
      </c>
      <c r="V1880" s="247" t="s">
        <v>148</v>
      </c>
      <c r="W1880" s="247" t="s">
        <v>16</v>
      </c>
      <c r="X1880" s="247" t="s">
        <v>148</v>
      </c>
      <c r="Y1880" s="247" t="s">
        <v>16</v>
      </c>
      <c r="Z1880" s="247" t="s">
        <v>16</v>
      </c>
      <c r="AA1880" s="247" t="s">
        <v>148</v>
      </c>
      <c r="AB1880" s="247" t="s">
        <v>16</v>
      </c>
      <c r="AC1880" s="247" t="s">
        <v>16</v>
      </c>
      <c r="AD1880" s="247" t="s">
        <v>16</v>
      </c>
      <c r="AE1880" s="247" t="s">
        <v>2780</v>
      </c>
    </row>
    <row r="1881" spans="1:32" s="247" customFormat="1" x14ac:dyDescent="0.3">
      <c r="A1881" s="249">
        <v>43674.605555555558</v>
      </c>
      <c r="E1881" s="213">
        <v>42215</v>
      </c>
      <c r="F1881" s="247" t="s">
        <v>148</v>
      </c>
      <c r="G1881" s="247" t="s">
        <v>149</v>
      </c>
      <c r="H1881" s="247" t="s">
        <v>148</v>
      </c>
      <c r="I1881" s="247" t="s">
        <v>16</v>
      </c>
      <c r="J1881" s="247" t="s">
        <v>16</v>
      </c>
      <c r="K1881" s="247" t="s">
        <v>16</v>
      </c>
      <c r="L1881" s="247" t="s">
        <v>16</v>
      </c>
      <c r="M1881" s="247" t="s">
        <v>148</v>
      </c>
      <c r="N1881" s="247" t="s">
        <v>2652</v>
      </c>
      <c r="O1881" s="247" t="s">
        <v>2652</v>
      </c>
      <c r="P1881" s="247" t="s">
        <v>2652</v>
      </c>
      <c r="Q1881" s="247" t="s">
        <v>2652</v>
      </c>
      <c r="R1881" s="247" t="s">
        <v>16</v>
      </c>
      <c r="S1881" s="247" t="s">
        <v>148</v>
      </c>
      <c r="T1881" s="247" t="s">
        <v>148</v>
      </c>
      <c r="U1881" s="247" t="s">
        <v>16</v>
      </c>
      <c r="V1881" s="247" t="s">
        <v>148</v>
      </c>
      <c r="W1881" s="247" t="s">
        <v>2652</v>
      </c>
      <c r="X1881" s="247" t="s">
        <v>16</v>
      </c>
      <c r="Y1881" s="247" t="s">
        <v>16</v>
      </c>
      <c r="Z1881" s="247" t="s">
        <v>148</v>
      </c>
      <c r="AA1881" s="247" t="s">
        <v>148</v>
      </c>
      <c r="AB1881" s="247" t="s">
        <v>148</v>
      </c>
      <c r="AC1881" s="247" t="s">
        <v>16</v>
      </c>
      <c r="AD1881" s="247" t="s">
        <v>149</v>
      </c>
      <c r="AE1881" s="247" t="s">
        <v>2777</v>
      </c>
    </row>
    <row r="1882" spans="1:32" s="247" customFormat="1" x14ac:dyDescent="0.3">
      <c r="A1882" s="249">
        <v>43675.163194444445</v>
      </c>
      <c r="E1882" s="213">
        <v>42215</v>
      </c>
      <c r="F1882" s="247" t="s">
        <v>16</v>
      </c>
      <c r="G1882" s="247" t="s">
        <v>16</v>
      </c>
      <c r="H1882" s="247" t="s">
        <v>16</v>
      </c>
      <c r="I1882" s="247" t="s">
        <v>148</v>
      </c>
      <c r="J1882" s="247" t="s">
        <v>16</v>
      </c>
      <c r="K1882" s="247" t="s">
        <v>16</v>
      </c>
      <c r="L1882" s="247" t="s">
        <v>16</v>
      </c>
      <c r="M1882" s="247" t="s">
        <v>148</v>
      </c>
      <c r="N1882" s="247" t="s">
        <v>148</v>
      </c>
      <c r="O1882" s="247" t="s">
        <v>16</v>
      </c>
      <c r="P1882" s="247" t="s">
        <v>148</v>
      </c>
      <c r="Q1882" s="247" t="s">
        <v>16</v>
      </c>
      <c r="R1882" s="247" t="s">
        <v>16</v>
      </c>
      <c r="S1882" s="247" t="s">
        <v>148</v>
      </c>
      <c r="T1882" s="247" t="s">
        <v>148</v>
      </c>
      <c r="U1882" s="247" t="s">
        <v>16</v>
      </c>
      <c r="V1882" s="247" t="s">
        <v>16</v>
      </c>
      <c r="W1882" s="247" t="s">
        <v>16</v>
      </c>
      <c r="X1882" s="247" t="s">
        <v>16</v>
      </c>
      <c r="Y1882" s="247" t="s">
        <v>148</v>
      </c>
      <c r="Z1882" s="247" t="s">
        <v>148</v>
      </c>
      <c r="AA1882" s="247" t="s">
        <v>16</v>
      </c>
      <c r="AB1882" s="247" t="s">
        <v>16</v>
      </c>
      <c r="AC1882" s="247" t="s">
        <v>16</v>
      </c>
      <c r="AD1882" s="247" t="s">
        <v>16</v>
      </c>
      <c r="AE1882" s="247" t="s">
        <v>2796</v>
      </c>
    </row>
    <row r="1885" spans="1:32" s="247" customFormat="1" x14ac:dyDescent="0.3">
      <c r="A1885" s="247" t="s">
        <v>2618</v>
      </c>
      <c r="E1885" s="247" t="s">
        <v>2622</v>
      </c>
      <c r="F1885" s="247" t="s">
        <v>2623</v>
      </c>
      <c r="G1885" s="247" t="s">
        <v>2624</v>
      </c>
      <c r="H1885" s="247" t="s">
        <v>2625</v>
      </c>
      <c r="I1885" s="247" t="s">
        <v>2626</v>
      </c>
      <c r="J1885" s="247" t="s">
        <v>2627</v>
      </c>
      <c r="K1885" s="247" t="s">
        <v>2628</v>
      </c>
      <c r="L1885" s="247" t="s">
        <v>2629</v>
      </c>
      <c r="M1885" s="247" t="s">
        <v>2630</v>
      </c>
      <c r="N1885" s="247" t="s">
        <v>2631</v>
      </c>
      <c r="O1885" s="247" t="s">
        <v>2632</v>
      </c>
      <c r="P1885" s="247" t="s">
        <v>2633</v>
      </c>
      <c r="Q1885" s="247" t="s">
        <v>2634</v>
      </c>
      <c r="R1885" s="247" t="s">
        <v>2635</v>
      </c>
      <c r="S1885" s="247" t="s">
        <v>2636</v>
      </c>
      <c r="T1885" s="247" t="s">
        <v>2637</v>
      </c>
      <c r="U1885" s="247" t="s">
        <v>2638</v>
      </c>
      <c r="V1885" s="247" t="s">
        <v>2639</v>
      </c>
      <c r="W1885" s="247" t="s">
        <v>2640</v>
      </c>
      <c r="X1885" s="247" t="s">
        <v>2641</v>
      </c>
      <c r="Y1885" s="247" t="s">
        <v>2642</v>
      </c>
      <c r="Z1885" s="247" t="s">
        <v>2643</v>
      </c>
      <c r="AA1885" s="247" t="s">
        <v>2644</v>
      </c>
      <c r="AB1885" s="247" t="s">
        <v>2645</v>
      </c>
      <c r="AC1885" s="247" t="s">
        <v>2646</v>
      </c>
      <c r="AD1885" s="247" t="s">
        <v>2647</v>
      </c>
      <c r="AE1885" s="247" t="s">
        <v>2648</v>
      </c>
      <c r="AF1885" s="247" t="s">
        <v>2649</v>
      </c>
    </row>
    <row r="1886" spans="1:32" s="247" customFormat="1" x14ac:dyDescent="0.3">
      <c r="A1886" s="249">
        <v>43698.254166666666</v>
      </c>
      <c r="E1886" s="213">
        <v>42246</v>
      </c>
      <c r="F1886" s="247" t="s">
        <v>16</v>
      </c>
      <c r="G1886" s="247" t="s">
        <v>16</v>
      </c>
      <c r="H1886" s="247" t="s">
        <v>16</v>
      </c>
      <c r="I1886" s="247" t="s">
        <v>16</v>
      </c>
      <c r="J1886" s="247" t="s">
        <v>16</v>
      </c>
      <c r="K1886" s="247" t="s">
        <v>16</v>
      </c>
      <c r="L1886" s="247" t="s">
        <v>16</v>
      </c>
      <c r="M1886" s="247" t="s">
        <v>16</v>
      </c>
      <c r="N1886" s="247" t="s">
        <v>16</v>
      </c>
      <c r="O1886" s="247" t="s">
        <v>16</v>
      </c>
      <c r="P1886" s="247" t="s">
        <v>16</v>
      </c>
      <c r="Q1886" s="247" t="s">
        <v>16</v>
      </c>
      <c r="R1886" s="247" t="s">
        <v>16</v>
      </c>
      <c r="S1886" s="247" t="s">
        <v>16</v>
      </c>
      <c r="T1886" s="247" t="s">
        <v>16</v>
      </c>
      <c r="U1886" s="247" t="s">
        <v>16</v>
      </c>
      <c r="V1886" s="247" t="s">
        <v>16</v>
      </c>
      <c r="W1886" s="247" t="s">
        <v>16</v>
      </c>
      <c r="X1886" s="247" t="s">
        <v>16</v>
      </c>
      <c r="Y1886" s="247" t="s">
        <v>16</v>
      </c>
      <c r="Z1886" s="247" t="s">
        <v>16</v>
      </c>
      <c r="AA1886" s="247" t="s">
        <v>16</v>
      </c>
      <c r="AB1886" s="247" t="s">
        <v>16</v>
      </c>
      <c r="AC1886" s="247" t="s">
        <v>16</v>
      </c>
      <c r="AD1886" s="247" t="s">
        <v>16</v>
      </c>
      <c r="AE1886" s="247" t="s">
        <v>2798</v>
      </c>
    </row>
    <row r="1887" spans="1:32" s="247" customFormat="1" x14ac:dyDescent="0.3">
      <c r="A1887" s="249">
        <v>43698.265277777777</v>
      </c>
      <c r="E1887" s="213">
        <v>42246</v>
      </c>
      <c r="F1887" s="247" t="s">
        <v>16</v>
      </c>
      <c r="G1887" s="247" t="s">
        <v>16</v>
      </c>
      <c r="H1887" s="247" t="s">
        <v>148</v>
      </c>
      <c r="I1887" s="247" t="s">
        <v>16</v>
      </c>
      <c r="J1887" s="247" t="s">
        <v>16</v>
      </c>
      <c r="K1887" s="247" t="s">
        <v>16</v>
      </c>
      <c r="L1887" s="247" t="s">
        <v>16</v>
      </c>
      <c r="M1887" s="247" t="s">
        <v>16</v>
      </c>
      <c r="N1887" s="247" t="s">
        <v>16</v>
      </c>
      <c r="O1887" s="247" t="s">
        <v>16</v>
      </c>
      <c r="P1887" s="247" t="s">
        <v>16</v>
      </c>
      <c r="Q1887" s="247" t="s">
        <v>16</v>
      </c>
      <c r="R1887" s="247" t="s">
        <v>16</v>
      </c>
      <c r="S1887" s="247" t="s">
        <v>16</v>
      </c>
      <c r="T1887" s="247" t="s">
        <v>16</v>
      </c>
      <c r="U1887" s="247" t="s">
        <v>16</v>
      </c>
      <c r="V1887" s="247" t="s">
        <v>16</v>
      </c>
      <c r="W1887" s="247" t="s">
        <v>16</v>
      </c>
      <c r="X1887" s="247" t="s">
        <v>16</v>
      </c>
      <c r="Y1887" s="247" t="s">
        <v>16</v>
      </c>
      <c r="Z1887" s="247" t="s">
        <v>16</v>
      </c>
      <c r="AA1887" s="247" t="s">
        <v>16</v>
      </c>
      <c r="AB1887" s="247" t="s">
        <v>16</v>
      </c>
      <c r="AC1887" s="247" t="s">
        <v>16</v>
      </c>
      <c r="AD1887" s="247" t="s">
        <v>16</v>
      </c>
      <c r="AE1887" s="247" t="s">
        <v>2799</v>
      </c>
    </row>
    <row r="1888" spans="1:32" s="247" customFormat="1" x14ac:dyDescent="0.3">
      <c r="A1888" s="249">
        <v>43698.283333333333</v>
      </c>
      <c r="E1888" s="213">
        <v>42246</v>
      </c>
      <c r="F1888" s="247" t="s">
        <v>16</v>
      </c>
      <c r="G1888" s="247" t="s">
        <v>16</v>
      </c>
      <c r="H1888" s="247" t="s">
        <v>148</v>
      </c>
      <c r="I1888" s="247" t="s">
        <v>148</v>
      </c>
      <c r="J1888" s="247" t="s">
        <v>148</v>
      </c>
      <c r="K1888" s="247" t="s">
        <v>16</v>
      </c>
      <c r="L1888" s="247" t="s">
        <v>149</v>
      </c>
      <c r="M1888" s="247" t="s">
        <v>148</v>
      </c>
      <c r="N1888" s="247" t="s">
        <v>148</v>
      </c>
      <c r="O1888" s="247" t="s">
        <v>16</v>
      </c>
      <c r="P1888" s="247" t="s">
        <v>148</v>
      </c>
      <c r="Q1888" s="247" t="s">
        <v>148</v>
      </c>
      <c r="R1888" s="247" t="s">
        <v>148</v>
      </c>
      <c r="S1888" s="247" t="s">
        <v>16</v>
      </c>
      <c r="T1888" s="247" t="s">
        <v>16</v>
      </c>
      <c r="U1888" s="247" t="s">
        <v>16</v>
      </c>
      <c r="V1888" s="247" t="s">
        <v>16</v>
      </c>
      <c r="W1888" s="247" t="s">
        <v>16</v>
      </c>
      <c r="X1888" s="247" t="s">
        <v>16</v>
      </c>
      <c r="Y1888" s="247" t="s">
        <v>16</v>
      </c>
      <c r="Z1888" s="247" t="s">
        <v>149</v>
      </c>
      <c r="AA1888" s="247" t="s">
        <v>148</v>
      </c>
      <c r="AB1888" s="247" t="s">
        <v>148</v>
      </c>
      <c r="AC1888" s="247" t="s">
        <v>148</v>
      </c>
      <c r="AD1888" s="247" t="s">
        <v>149</v>
      </c>
      <c r="AE1888" s="247" t="s">
        <v>2800</v>
      </c>
    </row>
    <row r="1889" spans="1:31" s="247" customFormat="1" x14ac:dyDescent="0.3">
      <c r="A1889" s="249">
        <v>43698.293055555558</v>
      </c>
      <c r="E1889" s="213">
        <v>42246</v>
      </c>
      <c r="F1889" s="247" t="s">
        <v>148</v>
      </c>
      <c r="G1889" s="247" t="s">
        <v>16</v>
      </c>
      <c r="H1889" s="247" t="s">
        <v>16</v>
      </c>
      <c r="I1889" s="247" t="s">
        <v>16</v>
      </c>
      <c r="J1889" s="247" t="s">
        <v>16</v>
      </c>
      <c r="K1889" s="247" t="s">
        <v>16</v>
      </c>
      <c r="L1889" s="247" t="s">
        <v>16</v>
      </c>
      <c r="M1889" s="247" t="s">
        <v>148</v>
      </c>
      <c r="N1889" s="247" t="s">
        <v>16</v>
      </c>
      <c r="O1889" s="247" t="s">
        <v>16</v>
      </c>
      <c r="P1889" s="247" t="s">
        <v>16</v>
      </c>
      <c r="Q1889" s="247" t="s">
        <v>16</v>
      </c>
      <c r="R1889" s="247" t="s">
        <v>16</v>
      </c>
      <c r="S1889" s="247" t="s">
        <v>16</v>
      </c>
      <c r="T1889" s="247" t="s">
        <v>16</v>
      </c>
      <c r="U1889" s="247" t="s">
        <v>16</v>
      </c>
      <c r="V1889" s="247" t="s">
        <v>16</v>
      </c>
      <c r="W1889" s="247" t="s">
        <v>148</v>
      </c>
      <c r="X1889" s="247" t="s">
        <v>16</v>
      </c>
      <c r="Y1889" s="247" t="s">
        <v>16</v>
      </c>
      <c r="Z1889" s="247" t="s">
        <v>16</v>
      </c>
      <c r="AA1889" s="247" t="s">
        <v>16</v>
      </c>
      <c r="AB1889" s="247" t="s">
        <v>16</v>
      </c>
      <c r="AC1889" s="247" t="s">
        <v>16</v>
      </c>
      <c r="AD1889" s="247" t="s">
        <v>16</v>
      </c>
      <c r="AE1889" s="247" t="s">
        <v>2801</v>
      </c>
    </row>
    <row r="1890" spans="1:31" s="247" customFormat="1" x14ac:dyDescent="0.3">
      <c r="A1890" s="249">
        <v>43698.32916666667</v>
      </c>
      <c r="E1890" s="213">
        <v>42246</v>
      </c>
      <c r="F1890" s="247" t="s">
        <v>2652</v>
      </c>
      <c r="G1890" s="247" t="s">
        <v>16</v>
      </c>
      <c r="H1890" s="247" t="s">
        <v>16</v>
      </c>
      <c r="I1890" s="247" t="s">
        <v>16</v>
      </c>
      <c r="J1890" s="247" t="s">
        <v>16</v>
      </c>
      <c r="K1890" s="247" t="s">
        <v>16</v>
      </c>
      <c r="L1890" s="247" t="s">
        <v>16</v>
      </c>
      <c r="M1890" s="247" t="s">
        <v>16</v>
      </c>
      <c r="N1890" s="247" t="s">
        <v>16</v>
      </c>
      <c r="O1890" s="247" t="s">
        <v>16</v>
      </c>
      <c r="P1890" s="247" t="s">
        <v>148</v>
      </c>
      <c r="Q1890" s="247" t="s">
        <v>16</v>
      </c>
      <c r="R1890" s="247" t="s">
        <v>16</v>
      </c>
      <c r="S1890" s="247" t="s">
        <v>16</v>
      </c>
      <c r="T1890" s="247" t="s">
        <v>16</v>
      </c>
      <c r="U1890" s="247" t="s">
        <v>16</v>
      </c>
      <c r="V1890" s="247" t="s">
        <v>16</v>
      </c>
      <c r="W1890" s="247" t="s">
        <v>16</v>
      </c>
      <c r="X1890" s="247" t="s">
        <v>16</v>
      </c>
      <c r="Y1890" s="247" t="s">
        <v>16</v>
      </c>
      <c r="Z1890" s="247" t="s">
        <v>16</v>
      </c>
      <c r="AA1890" s="247" t="s">
        <v>16</v>
      </c>
      <c r="AB1890" s="247" t="s">
        <v>16</v>
      </c>
      <c r="AC1890" s="247" t="s">
        <v>16</v>
      </c>
      <c r="AD1890" s="247" t="s">
        <v>16</v>
      </c>
      <c r="AE1890" s="247" t="s">
        <v>2802</v>
      </c>
    </row>
    <row r="1891" spans="1:31" s="247" customFormat="1" x14ac:dyDescent="0.3">
      <c r="A1891" s="249">
        <v>43698.381249999999</v>
      </c>
      <c r="E1891" s="213">
        <v>42246</v>
      </c>
      <c r="F1891" s="247" t="s">
        <v>16</v>
      </c>
      <c r="G1891" s="247" t="s">
        <v>16</v>
      </c>
      <c r="H1891" s="247" t="s">
        <v>16</v>
      </c>
      <c r="I1891" s="247" t="s">
        <v>16</v>
      </c>
      <c r="J1891" s="247" t="s">
        <v>16</v>
      </c>
      <c r="K1891" s="247" t="s">
        <v>16</v>
      </c>
      <c r="L1891" s="247" t="s">
        <v>16</v>
      </c>
      <c r="M1891" s="247" t="s">
        <v>16</v>
      </c>
      <c r="N1891" s="247" t="s">
        <v>16</v>
      </c>
      <c r="O1891" s="247" t="s">
        <v>16</v>
      </c>
      <c r="P1891" s="247" t="s">
        <v>16</v>
      </c>
      <c r="Q1891" s="247" t="s">
        <v>16</v>
      </c>
      <c r="R1891" s="247" t="s">
        <v>16</v>
      </c>
      <c r="S1891" s="247" t="s">
        <v>16</v>
      </c>
      <c r="T1891" s="247" t="s">
        <v>16</v>
      </c>
      <c r="U1891" s="247" t="s">
        <v>16</v>
      </c>
      <c r="V1891" s="247" t="s">
        <v>16</v>
      </c>
      <c r="W1891" s="247" t="s">
        <v>16</v>
      </c>
      <c r="X1891" s="247" t="s">
        <v>16</v>
      </c>
      <c r="Y1891" s="247" t="s">
        <v>16</v>
      </c>
      <c r="Z1891" s="247" t="s">
        <v>16</v>
      </c>
      <c r="AA1891" s="247" t="s">
        <v>16</v>
      </c>
      <c r="AB1891" s="247" t="s">
        <v>16</v>
      </c>
      <c r="AC1891" s="247" t="s">
        <v>16</v>
      </c>
      <c r="AD1891" s="247" t="s">
        <v>16</v>
      </c>
      <c r="AE1891" s="247" t="s">
        <v>2803</v>
      </c>
    </row>
    <row r="1892" spans="1:31" s="247" customFormat="1" x14ac:dyDescent="0.3">
      <c r="A1892" s="249">
        <v>43698.384027777778</v>
      </c>
      <c r="E1892" s="213">
        <v>42246</v>
      </c>
      <c r="F1892" s="247" t="s">
        <v>16</v>
      </c>
      <c r="G1892" s="247" t="s">
        <v>149</v>
      </c>
      <c r="H1892" s="247" t="s">
        <v>149</v>
      </c>
      <c r="I1892" s="247" t="s">
        <v>16</v>
      </c>
      <c r="J1892" s="247" t="s">
        <v>148</v>
      </c>
      <c r="K1892" s="247" t="s">
        <v>149</v>
      </c>
      <c r="L1892" s="247" t="s">
        <v>149</v>
      </c>
      <c r="M1892" s="247" t="s">
        <v>148</v>
      </c>
      <c r="N1892" s="247" t="s">
        <v>16</v>
      </c>
      <c r="O1892" s="247" t="s">
        <v>16</v>
      </c>
      <c r="P1892" s="247" t="s">
        <v>148</v>
      </c>
      <c r="Q1892" s="247" t="s">
        <v>16</v>
      </c>
      <c r="R1892" s="247" t="s">
        <v>16</v>
      </c>
      <c r="S1892" s="247" t="s">
        <v>148</v>
      </c>
      <c r="T1892" s="247" t="s">
        <v>149</v>
      </c>
      <c r="U1892" s="247" t="s">
        <v>16</v>
      </c>
      <c r="V1892" s="247" t="s">
        <v>148</v>
      </c>
      <c r="W1892" s="247" t="s">
        <v>16</v>
      </c>
      <c r="X1892" s="247" t="s">
        <v>16</v>
      </c>
      <c r="Y1892" s="247" t="s">
        <v>149</v>
      </c>
      <c r="Z1892" s="247" t="s">
        <v>149</v>
      </c>
      <c r="AA1892" s="247" t="s">
        <v>16</v>
      </c>
      <c r="AB1892" s="247" t="s">
        <v>16</v>
      </c>
      <c r="AC1892" s="247" t="s">
        <v>16</v>
      </c>
      <c r="AD1892" s="247" t="s">
        <v>149</v>
      </c>
      <c r="AE1892" s="247" t="s">
        <v>2804</v>
      </c>
    </row>
    <row r="1893" spans="1:31" s="247" customFormat="1" x14ac:dyDescent="0.3">
      <c r="A1893" s="249">
        <v>43698.415277777778</v>
      </c>
      <c r="E1893" s="213">
        <v>42246</v>
      </c>
      <c r="F1893" s="247" t="s">
        <v>16</v>
      </c>
      <c r="G1893" s="247" t="s">
        <v>148</v>
      </c>
      <c r="H1893" s="247" t="s">
        <v>16</v>
      </c>
      <c r="I1893" s="247" t="s">
        <v>16</v>
      </c>
      <c r="J1893" s="247" t="s">
        <v>16</v>
      </c>
      <c r="K1893" s="247" t="s">
        <v>16</v>
      </c>
      <c r="L1893" s="247" t="s">
        <v>16</v>
      </c>
      <c r="M1893" s="247" t="s">
        <v>16</v>
      </c>
      <c r="N1893" s="247" t="s">
        <v>148</v>
      </c>
      <c r="O1893" s="247" t="s">
        <v>148</v>
      </c>
      <c r="P1893" s="247" t="s">
        <v>148</v>
      </c>
      <c r="Q1893" s="247" t="s">
        <v>16</v>
      </c>
      <c r="R1893" s="247" t="s">
        <v>148</v>
      </c>
      <c r="S1893" s="247" t="s">
        <v>148</v>
      </c>
      <c r="T1893" s="247" t="s">
        <v>16</v>
      </c>
      <c r="U1893" s="247" t="s">
        <v>16</v>
      </c>
      <c r="V1893" s="247" t="s">
        <v>16</v>
      </c>
      <c r="W1893" s="247" t="s">
        <v>16</v>
      </c>
      <c r="X1893" s="247" t="s">
        <v>16</v>
      </c>
      <c r="Y1893" s="247" t="s">
        <v>16</v>
      </c>
      <c r="Z1893" s="247" t="s">
        <v>16</v>
      </c>
      <c r="AA1893" s="247" t="s">
        <v>16</v>
      </c>
      <c r="AB1893" s="247" t="s">
        <v>148</v>
      </c>
      <c r="AC1893" s="247" t="s">
        <v>16</v>
      </c>
      <c r="AD1893" s="247" t="s">
        <v>16</v>
      </c>
      <c r="AE1893" s="247" t="s">
        <v>2805</v>
      </c>
    </row>
    <row r="1894" spans="1:31" s="247" customFormat="1" x14ac:dyDescent="0.3">
      <c r="A1894" s="249">
        <v>43698.672222222223</v>
      </c>
      <c r="E1894" s="213">
        <v>42246</v>
      </c>
      <c r="F1894" s="247" t="s">
        <v>16</v>
      </c>
      <c r="G1894" s="247" t="s">
        <v>16</v>
      </c>
      <c r="H1894" s="247" t="s">
        <v>16</v>
      </c>
      <c r="I1894" s="247" t="s">
        <v>16</v>
      </c>
      <c r="J1894" s="247" t="s">
        <v>16</v>
      </c>
      <c r="K1894" s="247" t="s">
        <v>16</v>
      </c>
      <c r="L1894" s="247" t="s">
        <v>16</v>
      </c>
      <c r="M1894" s="247" t="s">
        <v>16</v>
      </c>
      <c r="N1894" s="247" t="s">
        <v>16</v>
      </c>
      <c r="O1894" s="247" t="s">
        <v>16</v>
      </c>
      <c r="P1894" s="247" t="s">
        <v>16</v>
      </c>
      <c r="Q1894" s="247" t="s">
        <v>16</v>
      </c>
      <c r="R1894" s="247" t="s">
        <v>16</v>
      </c>
      <c r="S1894" s="247" t="s">
        <v>16</v>
      </c>
      <c r="T1894" s="247" t="s">
        <v>16</v>
      </c>
      <c r="U1894" s="247" t="s">
        <v>16</v>
      </c>
      <c r="V1894" s="247" t="s">
        <v>16</v>
      </c>
      <c r="W1894" s="247" t="s">
        <v>16</v>
      </c>
      <c r="X1894" s="247" t="s">
        <v>16</v>
      </c>
      <c r="Y1894" s="247" t="s">
        <v>16</v>
      </c>
      <c r="Z1894" s="247" t="s">
        <v>16</v>
      </c>
      <c r="AA1894" s="247" t="s">
        <v>16</v>
      </c>
      <c r="AB1894" s="247" t="s">
        <v>16</v>
      </c>
      <c r="AC1894" s="247" t="s">
        <v>16</v>
      </c>
      <c r="AD1894" s="247" t="s">
        <v>16</v>
      </c>
      <c r="AE1894" s="247" t="s">
        <v>2806</v>
      </c>
    </row>
    <row r="1895" spans="1:31" s="247" customFormat="1" x14ac:dyDescent="0.3">
      <c r="A1895" s="249">
        <v>43698.734722222223</v>
      </c>
      <c r="E1895" s="213">
        <v>42246</v>
      </c>
      <c r="F1895" s="247" t="s">
        <v>16</v>
      </c>
      <c r="G1895" s="247" t="s">
        <v>16</v>
      </c>
      <c r="H1895" s="247" t="s">
        <v>16</v>
      </c>
      <c r="I1895" s="247" t="s">
        <v>16</v>
      </c>
      <c r="J1895" s="247" t="s">
        <v>16</v>
      </c>
      <c r="K1895" s="247" t="s">
        <v>16</v>
      </c>
      <c r="L1895" s="247" t="s">
        <v>16</v>
      </c>
      <c r="M1895" s="247" t="s">
        <v>16</v>
      </c>
      <c r="N1895" s="247" t="s">
        <v>16</v>
      </c>
      <c r="O1895" s="247" t="s">
        <v>16</v>
      </c>
      <c r="P1895" s="247" t="s">
        <v>16</v>
      </c>
      <c r="Q1895" s="247" t="s">
        <v>16</v>
      </c>
      <c r="R1895" s="247" t="s">
        <v>16</v>
      </c>
      <c r="S1895" s="247" t="s">
        <v>16</v>
      </c>
      <c r="T1895" s="247" t="s">
        <v>16</v>
      </c>
      <c r="U1895" s="247" t="s">
        <v>16</v>
      </c>
      <c r="V1895" s="247" t="s">
        <v>16</v>
      </c>
      <c r="W1895" s="247" t="s">
        <v>16</v>
      </c>
      <c r="X1895" s="247" t="s">
        <v>16</v>
      </c>
      <c r="Y1895" s="247" t="s">
        <v>16</v>
      </c>
      <c r="Z1895" s="247" t="s">
        <v>16</v>
      </c>
      <c r="AA1895" s="247" t="s">
        <v>16</v>
      </c>
      <c r="AB1895" s="247" t="s">
        <v>16</v>
      </c>
      <c r="AC1895" s="247" t="s">
        <v>16</v>
      </c>
      <c r="AD1895" s="247" t="s">
        <v>16</v>
      </c>
      <c r="AE1895" s="247" t="s">
        <v>2807</v>
      </c>
    </row>
    <row r="1896" spans="1:31" s="247" customFormat="1" x14ac:dyDescent="0.3">
      <c r="A1896" s="249">
        <v>43699.678472222222</v>
      </c>
      <c r="E1896" s="213">
        <v>42246</v>
      </c>
      <c r="F1896" s="247" t="s">
        <v>16</v>
      </c>
      <c r="G1896" s="247" t="s">
        <v>16</v>
      </c>
      <c r="H1896" s="247" t="s">
        <v>16</v>
      </c>
      <c r="I1896" s="247" t="s">
        <v>16</v>
      </c>
      <c r="J1896" s="247" t="s">
        <v>148</v>
      </c>
      <c r="K1896" s="247" t="s">
        <v>16</v>
      </c>
      <c r="L1896" s="247" t="s">
        <v>16</v>
      </c>
      <c r="M1896" s="247" t="s">
        <v>16</v>
      </c>
      <c r="N1896" s="247" t="s">
        <v>148</v>
      </c>
      <c r="O1896" s="247" t="s">
        <v>148</v>
      </c>
      <c r="P1896" s="247" t="s">
        <v>148</v>
      </c>
      <c r="Q1896" s="247" t="s">
        <v>16</v>
      </c>
      <c r="R1896" s="247" t="s">
        <v>148</v>
      </c>
      <c r="S1896" s="247" t="s">
        <v>16</v>
      </c>
      <c r="T1896" s="247" t="s">
        <v>16</v>
      </c>
      <c r="U1896" s="247" t="s">
        <v>16</v>
      </c>
      <c r="V1896" s="247" t="s">
        <v>148</v>
      </c>
      <c r="W1896" s="247" t="s">
        <v>16</v>
      </c>
      <c r="X1896" s="247" t="s">
        <v>148</v>
      </c>
      <c r="Y1896" s="247" t="s">
        <v>16</v>
      </c>
      <c r="Z1896" s="247" t="s">
        <v>16</v>
      </c>
      <c r="AA1896" s="247" t="s">
        <v>16</v>
      </c>
      <c r="AB1896" s="247" t="s">
        <v>16</v>
      </c>
      <c r="AC1896" s="247" t="s">
        <v>16</v>
      </c>
      <c r="AD1896" s="247" t="s">
        <v>16</v>
      </c>
      <c r="AE1896" s="247" t="s">
        <v>2808</v>
      </c>
    </row>
    <row r="1897" spans="1:31" s="247" customFormat="1" x14ac:dyDescent="0.3">
      <c r="A1897" s="249">
        <v>43702.436111111114</v>
      </c>
      <c r="E1897" s="213">
        <v>42246</v>
      </c>
      <c r="F1897" s="247" t="s">
        <v>16</v>
      </c>
      <c r="G1897" s="247" t="s">
        <v>16</v>
      </c>
      <c r="H1897" s="247" t="s">
        <v>148</v>
      </c>
      <c r="I1897" s="247" t="s">
        <v>16</v>
      </c>
      <c r="J1897" s="247" t="s">
        <v>16</v>
      </c>
      <c r="K1897" s="247" t="s">
        <v>16</v>
      </c>
      <c r="L1897" s="247" t="s">
        <v>16</v>
      </c>
      <c r="M1897" s="247" t="s">
        <v>16</v>
      </c>
      <c r="N1897" s="247" t="s">
        <v>16</v>
      </c>
      <c r="O1897" s="247" t="s">
        <v>16</v>
      </c>
      <c r="P1897" s="247" t="s">
        <v>16</v>
      </c>
      <c r="Q1897" s="247" t="s">
        <v>16</v>
      </c>
      <c r="R1897" s="247" t="s">
        <v>16</v>
      </c>
      <c r="S1897" s="247" t="s">
        <v>148</v>
      </c>
      <c r="T1897" s="247" t="s">
        <v>16</v>
      </c>
      <c r="U1897" s="247" t="s">
        <v>16</v>
      </c>
      <c r="V1897" s="247" t="s">
        <v>16</v>
      </c>
      <c r="W1897" s="247" t="s">
        <v>148</v>
      </c>
      <c r="X1897" s="247" t="s">
        <v>16</v>
      </c>
      <c r="Y1897" s="247" t="s">
        <v>16</v>
      </c>
      <c r="Z1897" s="247" t="s">
        <v>16</v>
      </c>
      <c r="AA1897" s="247" t="s">
        <v>16</v>
      </c>
      <c r="AB1897" s="247" t="s">
        <v>149</v>
      </c>
      <c r="AC1897" s="247" t="s">
        <v>16</v>
      </c>
      <c r="AD1897" s="247" t="s">
        <v>16</v>
      </c>
      <c r="AE1897" s="247" t="s">
        <v>2806</v>
      </c>
    </row>
    <row r="1898" spans="1:31" s="247" customFormat="1" x14ac:dyDescent="0.3">
      <c r="A1898" s="249">
        <v>43703.012499999997</v>
      </c>
      <c r="E1898" s="213">
        <v>42246</v>
      </c>
      <c r="F1898" s="247" t="s">
        <v>16</v>
      </c>
      <c r="G1898" s="247" t="s">
        <v>16</v>
      </c>
      <c r="H1898" s="247" t="s">
        <v>16</v>
      </c>
      <c r="I1898" s="247" t="s">
        <v>16</v>
      </c>
      <c r="J1898" s="247" t="s">
        <v>16</v>
      </c>
      <c r="K1898" s="247" t="s">
        <v>16</v>
      </c>
      <c r="L1898" s="247" t="s">
        <v>16</v>
      </c>
      <c r="M1898" s="247" t="s">
        <v>16</v>
      </c>
      <c r="N1898" s="247" t="s">
        <v>16</v>
      </c>
      <c r="O1898" s="247" t="s">
        <v>16</v>
      </c>
      <c r="P1898" s="247" t="s">
        <v>16</v>
      </c>
      <c r="Q1898" s="247" t="s">
        <v>16</v>
      </c>
      <c r="R1898" s="247" t="s">
        <v>16</v>
      </c>
      <c r="S1898" s="247" t="s">
        <v>16</v>
      </c>
      <c r="T1898" s="247" t="s">
        <v>16</v>
      </c>
      <c r="U1898" s="247" t="s">
        <v>16</v>
      </c>
      <c r="V1898" s="247" t="s">
        <v>16</v>
      </c>
      <c r="W1898" s="247" t="s">
        <v>16</v>
      </c>
      <c r="X1898" s="247" t="s">
        <v>16</v>
      </c>
      <c r="Y1898" s="247" t="s">
        <v>16</v>
      </c>
      <c r="Z1898" s="247" t="s">
        <v>16</v>
      </c>
      <c r="AA1898" s="247" t="s">
        <v>16</v>
      </c>
      <c r="AB1898" s="247" t="s">
        <v>16</v>
      </c>
      <c r="AC1898" s="247" t="s">
        <v>16</v>
      </c>
      <c r="AD1898" s="247" t="s">
        <v>16</v>
      </c>
      <c r="AE1898" s="247" t="s">
        <v>2800</v>
      </c>
    </row>
    <row r="1899" spans="1:31" s="247" customFormat="1" x14ac:dyDescent="0.3">
      <c r="A1899" s="249">
        <v>43703.136111111111</v>
      </c>
      <c r="E1899" s="213">
        <v>42246</v>
      </c>
      <c r="F1899" s="247" t="s">
        <v>149</v>
      </c>
      <c r="G1899" s="247" t="s">
        <v>16</v>
      </c>
      <c r="H1899" s="247" t="s">
        <v>16</v>
      </c>
      <c r="I1899" s="247" t="s">
        <v>148</v>
      </c>
      <c r="J1899" s="247" t="s">
        <v>149</v>
      </c>
      <c r="K1899" s="247" t="s">
        <v>149</v>
      </c>
      <c r="L1899" s="247" t="s">
        <v>16</v>
      </c>
      <c r="M1899" s="247" t="s">
        <v>148</v>
      </c>
      <c r="N1899" s="247" t="s">
        <v>148</v>
      </c>
      <c r="O1899" s="247" t="s">
        <v>149</v>
      </c>
      <c r="P1899" s="247" t="s">
        <v>148</v>
      </c>
      <c r="Q1899" s="247" t="s">
        <v>149</v>
      </c>
      <c r="R1899" s="247" t="s">
        <v>148</v>
      </c>
      <c r="S1899" s="247" t="s">
        <v>148</v>
      </c>
      <c r="T1899" s="247" t="s">
        <v>16</v>
      </c>
      <c r="U1899" s="247" t="s">
        <v>149</v>
      </c>
      <c r="V1899" s="247" t="s">
        <v>149</v>
      </c>
      <c r="W1899" s="247" t="s">
        <v>148</v>
      </c>
      <c r="X1899" s="247" t="s">
        <v>16</v>
      </c>
      <c r="Y1899" s="247" t="s">
        <v>16</v>
      </c>
      <c r="Z1899" s="247" t="s">
        <v>16</v>
      </c>
      <c r="AA1899" s="247" t="s">
        <v>16</v>
      </c>
      <c r="AB1899" s="247" t="s">
        <v>148</v>
      </c>
      <c r="AC1899" s="247" t="s">
        <v>16</v>
      </c>
      <c r="AD1899" s="247" t="s">
        <v>149</v>
      </c>
      <c r="AE1899" s="247" t="s">
        <v>2809</v>
      </c>
    </row>
    <row r="1900" spans="1:31" s="247" customFormat="1" x14ac:dyDescent="0.3">
      <c r="A1900" s="249">
        <v>43703.293055555558</v>
      </c>
      <c r="E1900" s="213">
        <v>42246</v>
      </c>
      <c r="F1900" s="247" t="s">
        <v>16</v>
      </c>
      <c r="G1900" s="247" t="s">
        <v>16</v>
      </c>
      <c r="H1900" s="247" t="s">
        <v>16</v>
      </c>
      <c r="I1900" s="247" t="s">
        <v>16</v>
      </c>
      <c r="J1900" s="247" t="s">
        <v>16</v>
      </c>
      <c r="K1900" s="247" t="s">
        <v>16</v>
      </c>
      <c r="L1900" s="247" t="s">
        <v>16</v>
      </c>
      <c r="M1900" s="247" t="s">
        <v>16</v>
      </c>
      <c r="N1900" s="247" t="s">
        <v>16</v>
      </c>
      <c r="O1900" s="247" t="s">
        <v>16</v>
      </c>
      <c r="P1900" s="247" t="s">
        <v>16</v>
      </c>
      <c r="Q1900" s="247" t="s">
        <v>16</v>
      </c>
      <c r="R1900" s="247" t="s">
        <v>16</v>
      </c>
      <c r="S1900" s="247" t="s">
        <v>16</v>
      </c>
      <c r="T1900" s="247" t="s">
        <v>16</v>
      </c>
      <c r="U1900" s="247" t="s">
        <v>16</v>
      </c>
      <c r="V1900" s="247" t="s">
        <v>16</v>
      </c>
      <c r="W1900" s="247" t="s">
        <v>16</v>
      </c>
      <c r="X1900" s="247" t="s">
        <v>16</v>
      </c>
      <c r="Y1900" s="247" t="s">
        <v>16</v>
      </c>
      <c r="Z1900" s="247" t="s">
        <v>16</v>
      </c>
      <c r="AA1900" s="247" t="s">
        <v>16</v>
      </c>
      <c r="AB1900" s="247" t="s">
        <v>16</v>
      </c>
      <c r="AC1900" s="247" t="s">
        <v>16</v>
      </c>
      <c r="AD1900" s="247" t="s">
        <v>16</v>
      </c>
      <c r="AE1900" s="247" t="s">
        <v>2810</v>
      </c>
    </row>
    <row r="1901" spans="1:31" s="247" customFormat="1" x14ac:dyDescent="0.3">
      <c r="A1901" s="249">
        <v>43703.295138888891</v>
      </c>
      <c r="E1901" s="213">
        <v>42246</v>
      </c>
      <c r="F1901" s="247" t="s">
        <v>148</v>
      </c>
      <c r="G1901" s="247" t="s">
        <v>16</v>
      </c>
      <c r="H1901" s="247" t="s">
        <v>16</v>
      </c>
      <c r="I1901" s="247" t="s">
        <v>16</v>
      </c>
      <c r="J1901" s="247" t="s">
        <v>16</v>
      </c>
      <c r="K1901" s="247" t="s">
        <v>148</v>
      </c>
      <c r="L1901" s="247" t="s">
        <v>148</v>
      </c>
      <c r="M1901" s="247" t="s">
        <v>16</v>
      </c>
      <c r="N1901" s="247" t="s">
        <v>2652</v>
      </c>
      <c r="O1901" s="247" t="s">
        <v>16</v>
      </c>
      <c r="P1901" s="247" t="s">
        <v>148</v>
      </c>
      <c r="Q1901" s="247" t="s">
        <v>16</v>
      </c>
      <c r="R1901" s="247" t="s">
        <v>16</v>
      </c>
      <c r="S1901" s="247" t="s">
        <v>16</v>
      </c>
      <c r="T1901" s="247" t="s">
        <v>16</v>
      </c>
      <c r="U1901" s="247" t="s">
        <v>16</v>
      </c>
      <c r="V1901" s="247" t="s">
        <v>16</v>
      </c>
      <c r="W1901" s="247" t="s">
        <v>16</v>
      </c>
      <c r="X1901" s="247" t="s">
        <v>16</v>
      </c>
      <c r="Y1901" s="247" t="s">
        <v>16</v>
      </c>
      <c r="Z1901" s="247" t="s">
        <v>149</v>
      </c>
      <c r="AA1901" s="247" t="s">
        <v>149</v>
      </c>
      <c r="AB1901" s="247" t="s">
        <v>148</v>
      </c>
      <c r="AC1901" s="247" t="s">
        <v>16</v>
      </c>
      <c r="AD1901" s="247" t="s">
        <v>16</v>
      </c>
      <c r="AE1901" s="247" t="s">
        <v>2811</v>
      </c>
    </row>
    <row r="1902" spans="1:31" s="247" customFormat="1" x14ac:dyDescent="0.3">
      <c r="A1902" s="249">
        <v>43703.435416666667</v>
      </c>
      <c r="E1902" s="213">
        <v>42246</v>
      </c>
      <c r="F1902" s="247" t="s">
        <v>16</v>
      </c>
      <c r="G1902" s="247" t="s">
        <v>16</v>
      </c>
      <c r="H1902" s="247" t="s">
        <v>16</v>
      </c>
      <c r="I1902" s="247" t="s">
        <v>148</v>
      </c>
      <c r="J1902" s="247" t="s">
        <v>16</v>
      </c>
      <c r="K1902" s="247" t="s">
        <v>16</v>
      </c>
      <c r="L1902" s="247" t="s">
        <v>16</v>
      </c>
      <c r="M1902" s="247" t="s">
        <v>16</v>
      </c>
      <c r="N1902" s="247" t="s">
        <v>16</v>
      </c>
      <c r="O1902" s="247" t="s">
        <v>148</v>
      </c>
      <c r="P1902" s="247" t="s">
        <v>148</v>
      </c>
      <c r="Q1902" s="247" t="s">
        <v>16</v>
      </c>
      <c r="R1902" s="247" t="s">
        <v>16</v>
      </c>
      <c r="S1902" s="247" t="s">
        <v>16</v>
      </c>
      <c r="T1902" s="247" t="s">
        <v>16</v>
      </c>
      <c r="U1902" s="247" t="s">
        <v>16</v>
      </c>
      <c r="V1902" s="247" t="s">
        <v>16</v>
      </c>
      <c r="W1902" s="247" t="s">
        <v>16</v>
      </c>
      <c r="X1902" s="247" t="s">
        <v>16</v>
      </c>
      <c r="Y1902" s="247" t="s">
        <v>16</v>
      </c>
      <c r="Z1902" s="247" t="s">
        <v>16</v>
      </c>
      <c r="AA1902" s="247" t="s">
        <v>16</v>
      </c>
      <c r="AB1902" s="247" t="s">
        <v>16</v>
      </c>
      <c r="AC1902" s="247" t="s">
        <v>16</v>
      </c>
      <c r="AD1902" s="247" t="s">
        <v>16</v>
      </c>
      <c r="AE1902" s="247" t="s">
        <v>2801</v>
      </c>
    </row>
    <row r="1903" spans="1:31" s="247" customFormat="1" x14ac:dyDescent="0.3">
      <c r="A1903" s="249">
        <v>43703.472916666666</v>
      </c>
      <c r="E1903" s="213">
        <v>42246</v>
      </c>
      <c r="F1903" s="247" t="s">
        <v>16</v>
      </c>
      <c r="G1903" s="247" t="s">
        <v>16</v>
      </c>
      <c r="H1903" s="247" t="s">
        <v>16</v>
      </c>
      <c r="I1903" s="247" t="s">
        <v>16</v>
      </c>
      <c r="J1903" s="247" t="s">
        <v>16</v>
      </c>
      <c r="K1903" s="247" t="s">
        <v>16</v>
      </c>
      <c r="L1903" s="247" t="s">
        <v>16</v>
      </c>
      <c r="M1903" s="247" t="s">
        <v>16</v>
      </c>
      <c r="N1903" s="247" t="s">
        <v>16</v>
      </c>
      <c r="O1903" s="247" t="s">
        <v>16</v>
      </c>
      <c r="P1903" s="247" t="s">
        <v>16</v>
      </c>
      <c r="Q1903" s="247" t="s">
        <v>16</v>
      </c>
      <c r="R1903" s="247" t="s">
        <v>16</v>
      </c>
      <c r="S1903" s="247" t="s">
        <v>16</v>
      </c>
      <c r="T1903" s="247" t="s">
        <v>16</v>
      </c>
      <c r="U1903" s="247" t="s">
        <v>16</v>
      </c>
      <c r="V1903" s="247" t="s">
        <v>16</v>
      </c>
      <c r="W1903" s="247" t="s">
        <v>16</v>
      </c>
      <c r="X1903" s="247" t="s">
        <v>16</v>
      </c>
      <c r="Y1903" s="247" t="s">
        <v>16</v>
      </c>
      <c r="Z1903" s="247" t="s">
        <v>16</v>
      </c>
      <c r="AA1903" s="247" t="s">
        <v>16</v>
      </c>
      <c r="AB1903" s="247" t="s">
        <v>16</v>
      </c>
      <c r="AC1903" s="247" t="s">
        <v>16</v>
      </c>
      <c r="AD1903" s="247" t="s">
        <v>16</v>
      </c>
      <c r="AE1903" s="247" t="s">
        <v>2812</v>
      </c>
    </row>
    <row r="1904" spans="1:31" s="247" customFormat="1" x14ac:dyDescent="0.3">
      <c r="A1904" s="249">
        <v>43703.57916666667</v>
      </c>
      <c r="E1904" s="213">
        <v>42246</v>
      </c>
      <c r="F1904" s="247" t="s">
        <v>16</v>
      </c>
      <c r="G1904" s="247" t="s">
        <v>16</v>
      </c>
      <c r="H1904" s="247" t="s">
        <v>16</v>
      </c>
      <c r="I1904" s="247" t="s">
        <v>16</v>
      </c>
      <c r="J1904" s="247" t="s">
        <v>148</v>
      </c>
      <c r="K1904" s="247" t="s">
        <v>16</v>
      </c>
      <c r="L1904" s="247" t="s">
        <v>16</v>
      </c>
      <c r="M1904" s="247" t="s">
        <v>16</v>
      </c>
      <c r="N1904" s="247" t="s">
        <v>148</v>
      </c>
      <c r="O1904" s="247" t="s">
        <v>148</v>
      </c>
      <c r="P1904" s="247" t="s">
        <v>16</v>
      </c>
      <c r="Q1904" s="247" t="s">
        <v>16</v>
      </c>
      <c r="R1904" s="247" t="s">
        <v>16</v>
      </c>
      <c r="S1904" s="247" t="s">
        <v>16</v>
      </c>
      <c r="T1904" s="247" t="s">
        <v>149</v>
      </c>
      <c r="U1904" s="247" t="s">
        <v>149</v>
      </c>
      <c r="V1904" s="247" t="s">
        <v>16</v>
      </c>
      <c r="W1904" s="247" t="s">
        <v>148</v>
      </c>
      <c r="X1904" s="247" t="s">
        <v>148</v>
      </c>
      <c r="Y1904" s="247" t="s">
        <v>16</v>
      </c>
      <c r="Z1904" s="247" t="s">
        <v>16</v>
      </c>
      <c r="AA1904" s="247" t="s">
        <v>16</v>
      </c>
      <c r="AB1904" s="247" t="s">
        <v>16</v>
      </c>
      <c r="AC1904" s="247" t="s">
        <v>16</v>
      </c>
      <c r="AD1904" s="247" t="s">
        <v>16</v>
      </c>
      <c r="AE1904" s="247" t="s">
        <v>2813</v>
      </c>
    </row>
    <row r="1905" spans="1:32" s="247" customFormat="1" x14ac:dyDescent="0.3">
      <c r="A1905" s="249">
        <v>43704.10833333333</v>
      </c>
      <c r="E1905" s="213">
        <v>42246</v>
      </c>
      <c r="F1905" s="247" t="s">
        <v>16</v>
      </c>
      <c r="G1905" s="247" t="s">
        <v>16</v>
      </c>
      <c r="H1905" s="247" t="s">
        <v>148</v>
      </c>
      <c r="I1905" s="247" t="s">
        <v>148</v>
      </c>
      <c r="J1905" s="247" t="s">
        <v>16</v>
      </c>
      <c r="K1905" s="247" t="s">
        <v>16</v>
      </c>
      <c r="L1905" s="247" t="s">
        <v>148</v>
      </c>
      <c r="M1905" s="247" t="s">
        <v>148</v>
      </c>
      <c r="N1905" s="247" t="s">
        <v>148</v>
      </c>
      <c r="O1905" s="247" t="s">
        <v>16</v>
      </c>
      <c r="P1905" s="247" t="s">
        <v>148</v>
      </c>
      <c r="Q1905" s="247" t="s">
        <v>148</v>
      </c>
      <c r="R1905" s="247" t="s">
        <v>16</v>
      </c>
      <c r="S1905" s="247" t="s">
        <v>148</v>
      </c>
      <c r="T1905" s="247" t="s">
        <v>148</v>
      </c>
      <c r="U1905" s="247" t="s">
        <v>148</v>
      </c>
      <c r="V1905" s="247" t="s">
        <v>148</v>
      </c>
      <c r="W1905" s="247" t="s">
        <v>16</v>
      </c>
      <c r="X1905" s="247" t="s">
        <v>148</v>
      </c>
      <c r="Y1905" s="247" t="s">
        <v>148</v>
      </c>
      <c r="Z1905" s="247" t="s">
        <v>148</v>
      </c>
      <c r="AA1905" s="247" t="s">
        <v>16</v>
      </c>
      <c r="AB1905" s="247" t="s">
        <v>148</v>
      </c>
      <c r="AC1905" s="247" t="s">
        <v>148</v>
      </c>
      <c r="AD1905" s="247" t="s">
        <v>16</v>
      </c>
      <c r="AE1905" s="247" t="s">
        <v>2814</v>
      </c>
    </row>
    <row r="1906" spans="1:32" s="247" customFormat="1" x14ac:dyDescent="0.3">
      <c r="A1906" s="249">
        <v>43704.254166666666</v>
      </c>
      <c r="E1906" s="213">
        <v>42246</v>
      </c>
      <c r="F1906" s="247" t="s">
        <v>16</v>
      </c>
      <c r="G1906" s="247" t="s">
        <v>16</v>
      </c>
      <c r="H1906" s="247" t="s">
        <v>16</v>
      </c>
      <c r="I1906" s="247" t="s">
        <v>16</v>
      </c>
      <c r="J1906" s="247" t="s">
        <v>16</v>
      </c>
      <c r="K1906" s="247" t="s">
        <v>16</v>
      </c>
      <c r="L1906" s="247" t="s">
        <v>16</v>
      </c>
      <c r="M1906" s="247" t="s">
        <v>16</v>
      </c>
      <c r="N1906" s="247" t="s">
        <v>16</v>
      </c>
      <c r="O1906" s="247" t="s">
        <v>16</v>
      </c>
      <c r="P1906" s="247" t="s">
        <v>16</v>
      </c>
      <c r="Q1906" s="247" t="s">
        <v>16</v>
      </c>
      <c r="R1906" s="247" t="s">
        <v>16</v>
      </c>
      <c r="S1906" s="247" t="s">
        <v>16</v>
      </c>
      <c r="T1906" s="247" t="s">
        <v>16</v>
      </c>
      <c r="U1906" s="247" t="s">
        <v>16</v>
      </c>
      <c r="V1906" s="247" t="s">
        <v>16</v>
      </c>
      <c r="W1906" s="247" t="s">
        <v>16</v>
      </c>
      <c r="X1906" s="247" t="s">
        <v>16</v>
      </c>
      <c r="Y1906" s="247" t="s">
        <v>16</v>
      </c>
      <c r="Z1906" s="247" t="s">
        <v>16</v>
      </c>
      <c r="AA1906" s="247" t="s">
        <v>16</v>
      </c>
      <c r="AB1906" s="247" t="s">
        <v>16</v>
      </c>
      <c r="AC1906" s="247" t="s">
        <v>16</v>
      </c>
      <c r="AD1906" s="247" t="s">
        <v>16</v>
      </c>
      <c r="AE1906" s="247" t="s">
        <v>2815</v>
      </c>
    </row>
    <row r="1907" spans="1:32" s="247" customFormat="1" x14ac:dyDescent="0.3">
      <c r="A1907" s="249">
        <v>43704.286111111112</v>
      </c>
      <c r="E1907" s="213">
        <v>42246</v>
      </c>
      <c r="F1907" s="247" t="s">
        <v>16</v>
      </c>
      <c r="G1907" s="247" t="s">
        <v>16</v>
      </c>
      <c r="H1907" s="247" t="s">
        <v>148</v>
      </c>
      <c r="I1907" s="247" t="s">
        <v>2652</v>
      </c>
      <c r="J1907" s="247" t="s">
        <v>16</v>
      </c>
      <c r="K1907" s="247" t="s">
        <v>16</v>
      </c>
      <c r="L1907" s="247" t="s">
        <v>148</v>
      </c>
      <c r="M1907" s="247" t="s">
        <v>16</v>
      </c>
      <c r="N1907" s="247" t="s">
        <v>2652</v>
      </c>
      <c r="O1907" s="247" t="s">
        <v>2652</v>
      </c>
      <c r="P1907" s="247" t="s">
        <v>148</v>
      </c>
      <c r="Q1907" s="247" t="s">
        <v>148</v>
      </c>
      <c r="R1907" s="247" t="s">
        <v>16</v>
      </c>
      <c r="S1907" s="247" t="s">
        <v>16</v>
      </c>
      <c r="T1907" s="247" t="s">
        <v>16</v>
      </c>
      <c r="U1907" s="247" t="s">
        <v>16</v>
      </c>
      <c r="V1907" s="247" t="s">
        <v>16</v>
      </c>
      <c r="W1907" s="247" t="s">
        <v>148</v>
      </c>
      <c r="X1907" s="247" t="s">
        <v>148</v>
      </c>
      <c r="Y1907" s="247" t="s">
        <v>148</v>
      </c>
      <c r="Z1907" s="247" t="s">
        <v>148</v>
      </c>
      <c r="AA1907" s="247" t="s">
        <v>16</v>
      </c>
      <c r="AB1907" s="247" t="s">
        <v>149</v>
      </c>
      <c r="AC1907" s="247" t="s">
        <v>148</v>
      </c>
      <c r="AD1907" s="247" t="s">
        <v>148</v>
      </c>
      <c r="AE1907" s="247" t="s">
        <v>2803</v>
      </c>
    </row>
    <row r="1908" spans="1:32" s="247" customFormat="1" x14ac:dyDescent="0.3">
      <c r="A1908" s="249">
        <v>43704.328472222223</v>
      </c>
      <c r="E1908" s="213">
        <v>42246</v>
      </c>
      <c r="F1908" s="247" t="s">
        <v>16</v>
      </c>
      <c r="G1908" s="247" t="s">
        <v>16</v>
      </c>
      <c r="H1908" s="247" t="s">
        <v>16</v>
      </c>
      <c r="I1908" s="247" t="s">
        <v>148</v>
      </c>
      <c r="J1908" s="247" t="s">
        <v>148</v>
      </c>
      <c r="K1908" s="247" t="s">
        <v>149</v>
      </c>
      <c r="L1908" s="247" t="s">
        <v>149</v>
      </c>
      <c r="M1908" s="247" t="s">
        <v>16</v>
      </c>
      <c r="N1908" s="247" t="s">
        <v>148</v>
      </c>
      <c r="O1908" s="247" t="s">
        <v>148</v>
      </c>
      <c r="P1908" s="247" t="s">
        <v>148</v>
      </c>
      <c r="Q1908" s="247" t="s">
        <v>16</v>
      </c>
      <c r="R1908" s="247" t="s">
        <v>16</v>
      </c>
      <c r="S1908" s="247" t="s">
        <v>16</v>
      </c>
      <c r="T1908" s="247" t="s">
        <v>16</v>
      </c>
      <c r="U1908" s="247" t="s">
        <v>148</v>
      </c>
      <c r="V1908" s="247" t="s">
        <v>16</v>
      </c>
      <c r="W1908" s="247" t="s">
        <v>16</v>
      </c>
      <c r="X1908" s="247" t="s">
        <v>148</v>
      </c>
      <c r="Y1908" s="247" t="s">
        <v>16</v>
      </c>
      <c r="Z1908" s="247" t="s">
        <v>16</v>
      </c>
      <c r="AA1908" s="247" t="s">
        <v>16</v>
      </c>
      <c r="AB1908" s="247" t="s">
        <v>16</v>
      </c>
      <c r="AC1908" s="247" t="s">
        <v>148</v>
      </c>
      <c r="AD1908" s="247" t="s">
        <v>16</v>
      </c>
      <c r="AE1908" s="247" t="s">
        <v>2816</v>
      </c>
      <c r="AF1908" s="247" t="s">
        <v>2817</v>
      </c>
    </row>
    <row r="1909" spans="1:32" s="247" customFormat="1" x14ac:dyDescent="0.3">
      <c r="A1909" s="249">
        <v>43704.366666666669</v>
      </c>
      <c r="E1909" s="213">
        <v>42246</v>
      </c>
      <c r="F1909" s="247" t="s">
        <v>16</v>
      </c>
      <c r="G1909" s="247" t="s">
        <v>16</v>
      </c>
      <c r="H1909" s="247" t="s">
        <v>16</v>
      </c>
      <c r="I1909" s="247" t="s">
        <v>16</v>
      </c>
      <c r="J1909" s="247" t="s">
        <v>148</v>
      </c>
      <c r="K1909" s="247" t="s">
        <v>149</v>
      </c>
      <c r="L1909" s="247" t="s">
        <v>16</v>
      </c>
      <c r="M1909" s="247" t="s">
        <v>16</v>
      </c>
      <c r="N1909" s="247" t="s">
        <v>148</v>
      </c>
      <c r="O1909" s="247" t="s">
        <v>16</v>
      </c>
      <c r="P1909" s="247" t="s">
        <v>148</v>
      </c>
      <c r="Q1909" s="247" t="s">
        <v>16</v>
      </c>
      <c r="R1909" s="247" t="s">
        <v>149</v>
      </c>
      <c r="S1909" s="247" t="s">
        <v>148</v>
      </c>
      <c r="T1909" s="247" t="s">
        <v>148</v>
      </c>
      <c r="U1909" s="247" t="s">
        <v>16</v>
      </c>
      <c r="V1909" s="247" t="s">
        <v>149</v>
      </c>
      <c r="W1909" s="247" t="s">
        <v>16</v>
      </c>
      <c r="X1909" s="247" t="s">
        <v>148</v>
      </c>
      <c r="Y1909" s="247" t="s">
        <v>16</v>
      </c>
      <c r="Z1909" s="247" t="s">
        <v>16</v>
      </c>
      <c r="AA1909" s="247" t="s">
        <v>16</v>
      </c>
      <c r="AB1909" s="247" t="s">
        <v>16</v>
      </c>
      <c r="AC1909" s="247" t="s">
        <v>16</v>
      </c>
      <c r="AD1909" s="247" t="s">
        <v>16</v>
      </c>
      <c r="AE1909" s="247" t="s">
        <v>2818</v>
      </c>
    </row>
    <row r="1910" spans="1:32" s="247" customFormat="1" x14ac:dyDescent="0.3">
      <c r="A1910" s="249">
        <v>43704.396527777775</v>
      </c>
      <c r="E1910" s="213">
        <v>42246</v>
      </c>
      <c r="F1910" s="247" t="s">
        <v>16</v>
      </c>
      <c r="G1910" s="247" t="s">
        <v>16</v>
      </c>
      <c r="H1910" s="247" t="s">
        <v>16</v>
      </c>
      <c r="I1910" s="247" t="s">
        <v>16</v>
      </c>
      <c r="J1910" s="247" t="s">
        <v>16</v>
      </c>
      <c r="K1910" s="247" t="s">
        <v>16</v>
      </c>
      <c r="L1910" s="247" t="s">
        <v>16</v>
      </c>
      <c r="M1910" s="247" t="s">
        <v>16</v>
      </c>
      <c r="N1910" s="247" t="s">
        <v>16</v>
      </c>
      <c r="O1910" s="247" t="s">
        <v>16</v>
      </c>
      <c r="P1910" s="247" t="s">
        <v>16</v>
      </c>
      <c r="Q1910" s="247" t="s">
        <v>16</v>
      </c>
      <c r="R1910" s="247" t="s">
        <v>16</v>
      </c>
      <c r="S1910" s="247" t="s">
        <v>16</v>
      </c>
      <c r="T1910" s="247" t="s">
        <v>16</v>
      </c>
      <c r="U1910" s="247" t="s">
        <v>16</v>
      </c>
      <c r="V1910" s="247" t="s">
        <v>16</v>
      </c>
      <c r="W1910" s="247" t="s">
        <v>16</v>
      </c>
      <c r="X1910" s="247" t="s">
        <v>16</v>
      </c>
      <c r="Y1910" s="247" t="s">
        <v>16</v>
      </c>
      <c r="Z1910" s="247" t="s">
        <v>16</v>
      </c>
      <c r="AA1910" s="247" t="s">
        <v>16</v>
      </c>
      <c r="AB1910" s="247" t="s">
        <v>16</v>
      </c>
      <c r="AC1910" s="247" t="s">
        <v>16</v>
      </c>
      <c r="AD1910" s="247" t="s">
        <v>16</v>
      </c>
      <c r="AE1910" s="247" t="s">
        <v>2812</v>
      </c>
    </row>
    <row r="1911" spans="1:32" s="247" customFormat="1" x14ac:dyDescent="0.3">
      <c r="A1911" s="249">
        <v>43704.40902777778</v>
      </c>
      <c r="E1911" s="213">
        <v>42246</v>
      </c>
      <c r="F1911" s="247" t="s">
        <v>16</v>
      </c>
      <c r="G1911" s="247" t="s">
        <v>16</v>
      </c>
      <c r="H1911" s="247" t="s">
        <v>16</v>
      </c>
      <c r="I1911" s="247" t="s">
        <v>16</v>
      </c>
      <c r="J1911" s="247" t="s">
        <v>16</v>
      </c>
      <c r="K1911" s="247" t="s">
        <v>16</v>
      </c>
      <c r="L1911" s="247" t="s">
        <v>16</v>
      </c>
      <c r="M1911" s="247" t="s">
        <v>16</v>
      </c>
      <c r="N1911" s="247" t="s">
        <v>16</v>
      </c>
      <c r="O1911" s="247" t="s">
        <v>16</v>
      </c>
      <c r="P1911" s="247" t="s">
        <v>16</v>
      </c>
      <c r="Q1911" s="247" t="s">
        <v>16</v>
      </c>
      <c r="R1911" s="247" t="s">
        <v>16</v>
      </c>
      <c r="S1911" s="247" t="s">
        <v>16</v>
      </c>
      <c r="T1911" s="247" t="s">
        <v>16</v>
      </c>
      <c r="U1911" s="247" t="s">
        <v>16</v>
      </c>
      <c r="V1911" s="247" t="s">
        <v>16</v>
      </c>
      <c r="W1911" s="247" t="s">
        <v>16</v>
      </c>
      <c r="X1911" s="247" t="s">
        <v>16</v>
      </c>
      <c r="Y1911" s="247" t="s">
        <v>16</v>
      </c>
      <c r="Z1911" s="247" t="s">
        <v>16</v>
      </c>
      <c r="AA1911" s="247" t="s">
        <v>16</v>
      </c>
      <c r="AB1911" s="247" t="s">
        <v>16</v>
      </c>
      <c r="AC1911" s="247" t="s">
        <v>16</v>
      </c>
      <c r="AD1911" s="247" t="s">
        <v>16</v>
      </c>
      <c r="AE1911" s="247" t="s">
        <v>2799</v>
      </c>
    </row>
    <row r="1912" spans="1:32" s="247" customFormat="1" x14ac:dyDescent="0.3">
      <c r="A1912" s="249">
        <v>43704.453472222223</v>
      </c>
      <c r="E1912" s="213">
        <v>42246</v>
      </c>
      <c r="F1912" s="247" t="s">
        <v>2652</v>
      </c>
      <c r="G1912" s="247" t="s">
        <v>149</v>
      </c>
      <c r="H1912" s="247" t="s">
        <v>149</v>
      </c>
      <c r="I1912" s="247" t="s">
        <v>16</v>
      </c>
      <c r="J1912" s="247" t="s">
        <v>16</v>
      </c>
      <c r="K1912" s="247" t="s">
        <v>2651</v>
      </c>
      <c r="L1912" s="247" t="s">
        <v>2651</v>
      </c>
      <c r="M1912" s="247" t="s">
        <v>2652</v>
      </c>
      <c r="N1912" s="247" t="s">
        <v>148</v>
      </c>
      <c r="O1912" s="247" t="s">
        <v>148</v>
      </c>
      <c r="P1912" s="247" t="s">
        <v>148</v>
      </c>
      <c r="Q1912" s="247" t="s">
        <v>16</v>
      </c>
      <c r="R1912" s="247" t="s">
        <v>2651</v>
      </c>
      <c r="S1912" s="247" t="s">
        <v>16</v>
      </c>
      <c r="T1912" s="247" t="s">
        <v>16</v>
      </c>
      <c r="U1912" s="247" t="s">
        <v>2651</v>
      </c>
      <c r="V1912" s="247" t="s">
        <v>2651</v>
      </c>
      <c r="W1912" s="247" t="s">
        <v>148</v>
      </c>
      <c r="X1912" s="247" t="s">
        <v>148</v>
      </c>
      <c r="Y1912" s="247" t="s">
        <v>16</v>
      </c>
      <c r="Z1912" s="247" t="s">
        <v>16</v>
      </c>
      <c r="AA1912" s="247" t="s">
        <v>16</v>
      </c>
      <c r="AB1912" s="247" t="s">
        <v>148</v>
      </c>
      <c r="AC1912" s="247" t="s">
        <v>16</v>
      </c>
      <c r="AD1912" s="247" t="s">
        <v>149</v>
      </c>
      <c r="AE1912" s="247" t="s">
        <v>2819</v>
      </c>
    </row>
    <row r="1913" spans="1:32" s="247" customFormat="1" x14ac:dyDescent="0.3">
      <c r="A1913" s="249">
        <v>43704.480555555558</v>
      </c>
      <c r="E1913" s="213">
        <v>42246</v>
      </c>
      <c r="F1913" s="247" t="s">
        <v>148</v>
      </c>
      <c r="G1913" s="247" t="s">
        <v>16</v>
      </c>
      <c r="H1913" s="247" t="s">
        <v>16</v>
      </c>
      <c r="I1913" s="247" t="s">
        <v>16</v>
      </c>
      <c r="J1913" s="247" t="s">
        <v>16</v>
      </c>
      <c r="K1913" s="247" t="s">
        <v>16</v>
      </c>
      <c r="L1913" s="247" t="s">
        <v>16</v>
      </c>
      <c r="M1913" s="247" t="s">
        <v>16</v>
      </c>
      <c r="N1913" s="247" t="s">
        <v>148</v>
      </c>
      <c r="O1913" s="247" t="s">
        <v>148</v>
      </c>
      <c r="P1913" s="247" t="s">
        <v>16</v>
      </c>
      <c r="Q1913" s="247" t="s">
        <v>16</v>
      </c>
      <c r="R1913" s="247" t="s">
        <v>16</v>
      </c>
      <c r="S1913" s="247" t="s">
        <v>148</v>
      </c>
      <c r="T1913" s="247" t="s">
        <v>148</v>
      </c>
      <c r="U1913" s="247" t="s">
        <v>16</v>
      </c>
      <c r="V1913" s="247" t="s">
        <v>16</v>
      </c>
      <c r="W1913" s="247" t="s">
        <v>16</v>
      </c>
      <c r="X1913" s="247" t="s">
        <v>16</v>
      </c>
      <c r="Y1913" s="247" t="s">
        <v>148</v>
      </c>
      <c r="Z1913" s="247" t="s">
        <v>16</v>
      </c>
      <c r="AA1913" s="247" t="s">
        <v>16</v>
      </c>
      <c r="AB1913" s="247" t="s">
        <v>16</v>
      </c>
      <c r="AC1913" s="247" t="s">
        <v>16</v>
      </c>
      <c r="AD1913" s="247" t="s">
        <v>16</v>
      </c>
      <c r="AE1913" s="247" t="s">
        <v>2810</v>
      </c>
    </row>
    <row r="1914" spans="1:32" s="247" customFormat="1" x14ac:dyDescent="0.3">
      <c r="A1914" s="249">
        <v>43704.492361111108</v>
      </c>
      <c r="E1914" s="213">
        <v>42246</v>
      </c>
      <c r="F1914" s="247" t="s">
        <v>16</v>
      </c>
      <c r="G1914" s="247" t="s">
        <v>148</v>
      </c>
      <c r="H1914" s="247" t="s">
        <v>148</v>
      </c>
      <c r="I1914" s="247" t="s">
        <v>16</v>
      </c>
      <c r="J1914" s="247" t="s">
        <v>2652</v>
      </c>
      <c r="K1914" s="247" t="s">
        <v>148</v>
      </c>
      <c r="L1914" s="247" t="s">
        <v>16</v>
      </c>
      <c r="M1914" s="247" t="s">
        <v>148</v>
      </c>
      <c r="N1914" s="247" t="s">
        <v>16</v>
      </c>
      <c r="O1914" s="247" t="s">
        <v>16</v>
      </c>
      <c r="P1914" s="247" t="s">
        <v>148</v>
      </c>
      <c r="Q1914" s="247" t="s">
        <v>16</v>
      </c>
      <c r="R1914" s="247" t="s">
        <v>16</v>
      </c>
      <c r="S1914" s="247" t="s">
        <v>16</v>
      </c>
      <c r="T1914" s="247" t="s">
        <v>16</v>
      </c>
      <c r="U1914" s="247" t="s">
        <v>16</v>
      </c>
      <c r="V1914" s="247" t="s">
        <v>148</v>
      </c>
      <c r="W1914" s="247" t="s">
        <v>16</v>
      </c>
      <c r="X1914" s="247" t="s">
        <v>148</v>
      </c>
      <c r="Y1914" s="247" t="s">
        <v>16</v>
      </c>
      <c r="Z1914" s="247" t="s">
        <v>148</v>
      </c>
      <c r="AA1914" s="247" t="s">
        <v>148</v>
      </c>
      <c r="AB1914" s="247" t="s">
        <v>16</v>
      </c>
      <c r="AC1914" s="247" t="s">
        <v>16</v>
      </c>
      <c r="AD1914" s="247" t="s">
        <v>148</v>
      </c>
      <c r="AE1914" s="247" t="s">
        <v>2820</v>
      </c>
    </row>
    <row r="1915" spans="1:32" s="247" customFormat="1" x14ac:dyDescent="0.3">
      <c r="A1915" s="249">
        <v>43704.640277777777</v>
      </c>
      <c r="E1915" s="213">
        <v>42246</v>
      </c>
      <c r="F1915" s="247" t="s">
        <v>148</v>
      </c>
      <c r="G1915" s="247" t="s">
        <v>2651</v>
      </c>
      <c r="H1915" s="247" t="s">
        <v>2651</v>
      </c>
      <c r="I1915" s="247" t="s">
        <v>149</v>
      </c>
      <c r="J1915" s="247" t="s">
        <v>149</v>
      </c>
      <c r="K1915" s="247" t="s">
        <v>2651</v>
      </c>
      <c r="L1915" s="247" t="s">
        <v>2651</v>
      </c>
      <c r="M1915" s="247" t="s">
        <v>2651</v>
      </c>
      <c r="N1915" s="247" t="s">
        <v>149</v>
      </c>
      <c r="O1915" s="247" t="s">
        <v>2651</v>
      </c>
      <c r="P1915" s="247" t="s">
        <v>16</v>
      </c>
      <c r="Q1915" s="247" t="s">
        <v>2651</v>
      </c>
      <c r="R1915" s="247" t="s">
        <v>149</v>
      </c>
      <c r="S1915" s="247" t="s">
        <v>149</v>
      </c>
      <c r="T1915" s="247" t="s">
        <v>149</v>
      </c>
      <c r="U1915" s="247" t="s">
        <v>149</v>
      </c>
      <c r="V1915" s="247" t="s">
        <v>149</v>
      </c>
      <c r="W1915" s="247" t="s">
        <v>16</v>
      </c>
      <c r="X1915" s="247" t="s">
        <v>16</v>
      </c>
      <c r="Y1915" s="247" t="s">
        <v>149</v>
      </c>
      <c r="Z1915" s="247" t="s">
        <v>149</v>
      </c>
      <c r="AA1915" s="247" t="s">
        <v>149</v>
      </c>
      <c r="AB1915" s="247" t="s">
        <v>148</v>
      </c>
      <c r="AC1915" s="247" t="s">
        <v>148</v>
      </c>
      <c r="AD1915" s="247" t="s">
        <v>148</v>
      </c>
      <c r="AE1915" s="247" t="s">
        <v>2821</v>
      </c>
    </row>
  </sheetData>
  <pageMargins left="0.7" right="0.7" top="0.75" bottom="0.75" header="0.3" footer="0.3"/>
  <pageSetup orientation="portrait" r:id="rId1"/>
  <headerFooter>
    <oddHeader>&amp;L&amp;08 pareem\home\My Documents\ICS\Index_Report_Aug_2011.xlsx &amp;A &amp;D &amp;T</oddHead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948"/>
  <sheetViews>
    <sheetView topLeftCell="A1619" zoomScale="80" zoomScaleNormal="80" workbookViewId="0">
      <selection activeCell="A1619" sqref="A1619"/>
    </sheetView>
  </sheetViews>
  <sheetFormatPr defaultColWidth="8.77734375" defaultRowHeight="14.4" x14ac:dyDescent="0.3"/>
  <cols>
    <col min="1" max="1" width="9.109375" style="132"/>
    <col min="2" max="2" width="203.44140625" bestFit="1" customWidth="1"/>
    <col min="5" max="5" width="26.109375" customWidth="1"/>
    <col min="13" max="13" width="9.109375" style="132"/>
  </cols>
  <sheetData>
    <row r="1" spans="1:16" s="132" customFormat="1" x14ac:dyDescent="0.3">
      <c r="E1" s="10" t="s">
        <v>292</v>
      </c>
    </row>
    <row r="2" spans="1:16" s="132" customFormat="1" x14ac:dyDescent="0.3">
      <c r="E2" s="141">
        <v>40542</v>
      </c>
    </row>
    <row r="3" spans="1:16" s="132" customFormat="1" ht="15" thickBot="1" x14ac:dyDescent="0.35"/>
    <row r="4" spans="1:16" s="132" customFormat="1" ht="24.6" thickBot="1" x14ac:dyDescent="0.35">
      <c r="F4" s="11" t="s">
        <v>23</v>
      </c>
      <c r="G4" s="5" t="s">
        <v>18</v>
      </c>
      <c r="H4" s="5" t="s">
        <v>16</v>
      </c>
      <c r="I4" s="5" t="s">
        <v>17</v>
      </c>
      <c r="J4" s="5" t="s">
        <v>19</v>
      </c>
      <c r="K4" s="6" t="s">
        <v>114</v>
      </c>
    </row>
    <row r="5" spans="1:16" s="132" customFormat="1" ht="15" customHeight="1" x14ac:dyDescent="0.3">
      <c r="F5" s="267" t="s">
        <v>201</v>
      </c>
      <c r="G5" s="268"/>
      <c r="H5" s="268"/>
      <c r="I5" s="268"/>
      <c r="J5" s="268"/>
      <c r="K5" s="6"/>
    </row>
    <row r="6" spans="1:16" s="132" customFormat="1" ht="43.8" thickBot="1" x14ac:dyDescent="0.35">
      <c r="A6" s="142" t="s">
        <v>294</v>
      </c>
      <c r="B6" s="142" t="s">
        <v>295</v>
      </c>
      <c r="C6" s="101" t="s">
        <v>440</v>
      </c>
      <c r="D6" s="142" t="s">
        <v>441</v>
      </c>
      <c r="E6" s="8" t="s">
        <v>30</v>
      </c>
      <c r="F6" s="12">
        <f>Falling_fast</f>
        <v>-0.2</v>
      </c>
      <c r="G6" s="13">
        <f>Falling</f>
        <v>0</v>
      </c>
      <c r="H6" s="14">
        <f>Static</f>
        <v>0</v>
      </c>
      <c r="I6" s="13">
        <f>Rising</f>
        <v>0</v>
      </c>
      <c r="J6" s="15">
        <f>Rising_fast</f>
        <v>0.2</v>
      </c>
      <c r="K6" s="19">
        <v>0</v>
      </c>
      <c r="L6" s="8" t="s">
        <v>28</v>
      </c>
      <c r="M6" s="9" t="s">
        <v>29</v>
      </c>
      <c r="N6" s="143" t="s">
        <v>296</v>
      </c>
      <c r="O6" s="142" t="s">
        <v>297</v>
      </c>
      <c r="P6" s="142" t="s">
        <v>298</v>
      </c>
    </row>
    <row r="7" spans="1:16" s="132" customFormat="1" x14ac:dyDescent="0.3">
      <c r="C7" s="2"/>
      <c r="E7" s="82"/>
      <c r="F7" s="103" t="s">
        <v>151</v>
      </c>
      <c r="G7" s="104" t="s">
        <v>149</v>
      </c>
      <c r="H7" s="104" t="s">
        <v>16</v>
      </c>
      <c r="I7" s="104" t="s">
        <v>148</v>
      </c>
      <c r="J7" s="104" t="s">
        <v>150</v>
      </c>
      <c r="K7" s="105" t="s">
        <v>114</v>
      </c>
      <c r="L7" s="2"/>
      <c r="M7" s="7"/>
      <c r="N7" s="2"/>
    </row>
    <row r="8" spans="1:16" s="132" customFormat="1" x14ac:dyDescent="0.3">
      <c r="A8" s="132">
        <f>MATCH(Calcs!B8,Paste_Report_Here!$1:$1,0) -1</f>
        <v>5</v>
      </c>
      <c r="B8" s="132" t="s">
        <v>124</v>
      </c>
      <c r="C8" s="2">
        <f ca="1">RANK(N8,N8:N32)</f>
        <v>12</v>
      </c>
      <c r="D8" s="166">
        <f ca="1">RANK(P8,P8:P32)</f>
        <v>15</v>
      </c>
      <c r="E8" s="77" t="s">
        <v>152</v>
      </c>
      <c r="F8" s="16">
        <f ca="1">COUNTIFS(Paste_Report_Here!$E$1:$E$2000,E2, OFFSET(Paste_Report_Here!$A$1,0,$A8,2000,1),F$75)</f>
        <v>0</v>
      </c>
      <c r="G8" s="17">
        <f ca="1">COUNTIFS(Paste_Report_Here!$E$1:$E$2000,E2, OFFSET(Paste_Report_Here!$A$1,0,$A8,2000,1),G$75)</f>
        <v>3</v>
      </c>
      <c r="H8" s="17">
        <f ca="1">COUNTIFS(Paste_Report_Here!$E$1:$E$2000,E2, OFFSET(Paste_Report_Here!$A$1,0,$A8,2000,1),H$75)</f>
        <v>26</v>
      </c>
      <c r="I8" s="17">
        <f ca="1">COUNTIFS(Paste_Report_Here!$E$1:$E$2000,E2, OFFSET(Paste_Report_Here!$A$1,0,$A8,2000,1),I$75)</f>
        <v>8</v>
      </c>
      <c r="J8" s="17">
        <f ca="1">COUNTIFS(Paste_Report_Here!$E$1:$E$2000,E2, OFFSET(Paste_Report_Here!$A$1,0,$A8,2000,1),J$75)</f>
        <v>1</v>
      </c>
      <c r="K8" s="18">
        <f ca="1">COUNTIFS(Paste_Report_Here!$E$1:$E$2000,E2, OFFSET(Paste_Report_Here!$A$1,0,$A8,2000,1),K$75)</f>
        <v>0</v>
      </c>
      <c r="L8" s="2">
        <f t="shared" ref="L8:L25" ca="1" si="0">SUM(F8:K8)</f>
        <v>38</v>
      </c>
      <c r="M8" s="183">
        <f ca="1">SUMPRODUCT(F8:K8,F6:K6)/L:L</f>
        <v>5.263157894736842E-3</v>
      </c>
      <c r="N8" s="2">
        <f t="shared" ref="N8:N33" ca="1" si="1">EXP(M8)</f>
        <v>1.0052770326412299</v>
      </c>
      <c r="O8" s="152">
        <v>2020.9073861566831</v>
      </c>
      <c r="P8" s="132">
        <f t="shared" ref="P8:P33" ca="1" si="2">O8*N8</f>
        <v>2031.5717803983346</v>
      </c>
    </row>
    <row r="9" spans="1:16" s="132" customFormat="1" x14ac:dyDescent="0.3">
      <c r="A9" s="132">
        <f>MATCH(Calcs!B9,Paste_Report_Here!$1:$1,0) -1</f>
        <v>6</v>
      </c>
      <c r="B9" s="132" t="s">
        <v>125</v>
      </c>
      <c r="C9" s="2">
        <f ca="1">RANK(N9,N8:N32)</f>
        <v>4</v>
      </c>
      <c r="D9" s="166">
        <f ca="1">RANK(P9,P8:P32)</f>
        <v>13</v>
      </c>
      <c r="E9" s="77" t="s">
        <v>153</v>
      </c>
      <c r="F9" s="16">
        <f ca="1">COUNTIFS(Paste_Report_Here!$E$1:$E$2000,E2, OFFSET(Paste_Report_Here!$A$1,0,$A9,2000,1),F$75)</f>
        <v>0</v>
      </c>
      <c r="G9" s="17">
        <f ca="1">COUNTIFS(Paste_Report_Here!$E$1:$E$2000,E2, OFFSET(Paste_Report_Here!$A$1,0,$A9,2000,1),G$75)</f>
        <v>3</v>
      </c>
      <c r="H9" s="17">
        <f ca="1">COUNTIFS(Paste_Report_Here!$E$1:$E$2000,E2, OFFSET(Paste_Report_Here!$A$1,0,$A9,2000,1),H$75)</f>
        <v>27</v>
      </c>
      <c r="I9" s="17">
        <f ca="1">COUNTIFS(Paste_Report_Here!$E$1:$E$2000,E2, OFFSET(Paste_Report_Here!$A$1,0,$A9,2000,1),I$75)</f>
        <v>5</v>
      </c>
      <c r="J9" s="17">
        <f ca="1">COUNTIFS(Paste_Report_Here!$E$1:$E$2000,E2, OFFSET(Paste_Report_Here!$A$1,0,$A9,2000,1),J$75)</f>
        <v>3</v>
      </c>
      <c r="K9" s="18">
        <f ca="1">COUNTIFS(Paste_Report_Here!$E$1:$E$2000,E2, OFFSET(Paste_Report_Here!$A$1,0,$A9,2000,1),K$75)</f>
        <v>0</v>
      </c>
      <c r="L9" s="2">
        <f t="shared" ca="1" si="0"/>
        <v>38</v>
      </c>
      <c r="M9" s="183">
        <f ca="1">SUMPRODUCT(F9:K9,F6:K6)/L:L</f>
        <v>1.578947368421053E-2</v>
      </c>
      <c r="N9" s="2">
        <f t="shared" ca="1" si="1"/>
        <v>1.0159147860940954</v>
      </c>
      <c r="O9" s="152">
        <v>2089.3537045559938</v>
      </c>
      <c r="P9" s="165">
        <f t="shared" ca="1" si="2"/>
        <v>2122.6053218389079</v>
      </c>
    </row>
    <row r="10" spans="1:16" s="132" customFormat="1" x14ac:dyDescent="0.3">
      <c r="A10" s="132">
        <f>MATCH(Calcs!B10,Paste_Report_Here!$1:$1,0) -1</f>
        <v>7</v>
      </c>
      <c r="B10" s="132" t="s">
        <v>126</v>
      </c>
      <c r="C10" s="2">
        <f ca="1">RANK(N10,N8:N32)</f>
        <v>4</v>
      </c>
      <c r="D10" s="166">
        <f ca="1">RANK(P10,P8:P32)</f>
        <v>6</v>
      </c>
      <c r="E10" s="77" t="s">
        <v>154</v>
      </c>
      <c r="F10" s="16">
        <f ca="1">COUNTIFS(Paste_Report_Here!$E$1:$E$2000,E2, OFFSET(Paste_Report_Here!$A$1,0,$A10,2000,1),F$75)</f>
        <v>0</v>
      </c>
      <c r="G10" s="17">
        <f ca="1">COUNTIFS(Paste_Report_Here!$E$1:$E$2000,E2, OFFSET(Paste_Report_Here!$A$1,0,$A10,2000,1),G$75)</f>
        <v>1</v>
      </c>
      <c r="H10" s="17">
        <f ca="1">COUNTIFS(Paste_Report_Here!$E$1:$E$2000,E2, OFFSET(Paste_Report_Here!$A$1,0,$A10,2000,1),H$75)</f>
        <v>15</v>
      </c>
      <c r="I10" s="17">
        <f ca="1">COUNTIFS(Paste_Report_Here!$E$1:$E$2000,E2, OFFSET(Paste_Report_Here!$A$1,0,$A10,2000,1),I$75)</f>
        <v>18</v>
      </c>
      <c r="J10" s="17">
        <f ca="1">COUNTIFS(Paste_Report_Here!$E$1:$E$2000,E2, OFFSET(Paste_Report_Here!$A$1,0,$A10,2000,1),J$75)</f>
        <v>3</v>
      </c>
      <c r="K10" s="18">
        <f ca="1">COUNTIFS(Paste_Report_Here!$E$1:$E$2000,E2, OFFSET(Paste_Report_Here!$A$1,0,$A10,2000,1),K$75)</f>
        <v>1</v>
      </c>
      <c r="L10" s="2">
        <f t="shared" ca="1" si="0"/>
        <v>38</v>
      </c>
      <c r="M10" s="183">
        <f ca="1">SUMPRODUCT(F10:K10,F6:K6)/L:L</f>
        <v>1.578947368421053E-2</v>
      </c>
      <c r="N10" s="2">
        <f t="shared" ca="1" si="1"/>
        <v>1.0159147860940954</v>
      </c>
      <c r="O10" s="152">
        <v>2761.2272801959684</v>
      </c>
      <c r="P10" s="165">
        <f t="shared" ca="1" si="2"/>
        <v>2805.171621717468</v>
      </c>
    </row>
    <row r="11" spans="1:16" s="132" customFormat="1" x14ac:dyDescent="0.3">
      <c r="A11" s="132">
        <f>MATCH(Calcs!B11,Paste_Report_Here!$1:$1,0) -1</f>
        <v>8</v>
      </c>
      <c r="B11" s="132" t="s">
        <v>127</v>
      </c>
      <c r="C11" s="2">
        <f ca="1">RANK(N11,N8:N32)</f>
        <v>3</v>
      </c>
      <c r="D11" s="166">
        <f ca="1">RANK(P11,P8:P32)</f>
        <v>9</v>
      </c>
      <c r="E11" s="77" t="s">
        <v>155</v>
      </c>
      <c r="F11" s="16">
        <f ca="1">COUNTIFS(Paste_Report_Here!$E$1:$E$2000,E2, OFFSET(Paste_Report_Here!$A$1,0,$A11,2000,1),F$75)</f>
        <v>0</v>
      </c>
      <c r="G11" s="17">
        <f ca="1">COUNTIFS(Paste_Report_Here!$E$1:$E$2000,E2, OFFSET(Paste_Report_Here!$A$1,0,$A11,2000,1),G$75)</f>
        <v>2</v>
      </c>
      <c r="H11" s="17">
        <f ca="1">COUNTIFS(Paste_Report_Here!$E$1:$E$2000,E2, OFFSET(Paste_Report_Here!$A$1,0,$A11,2000,1),H$75)</f>
        <v>21</v>
      </c>
      <c r="I11" s="17">
        <f ca="1">COUNTIFS(Paste_Report_Here!$E$1:$E$2000,E2, OFFSET(Paste_Report_Here!$A$1,0,$A11,2000,1),I$75)</f>
        <v>10</v>
      </c>
      <c r="J11" s="17">
        <f ca="1">COUNTIFS(Paste_Report_Here!$E$1:$E$2000,E2, OFFSET(Paste_Report_Here!$A$1,0,$A11,2000,1),J$75)</f>
        <v>4</v>
      </c>
      <c r="K11" s="18">
        <f ca="1">COUNTIFS(Paste_Report_Here!$E$1:$E$2000,E2, OFFSET(Paste_Report_Here!$A$1,0,$A11,2000,1),K$75)</f>
        <v>1</v>
      </c>
      <c r="L11" s="2">
        <f t="shared" ca="1" si="0"/>
        <v>38</v>
      </c>
      <c r="M11" s="183">
        <f ca="1">SUMPRODUCT(F11:K11,F6:K6)/L:L</f>
        <v>2.1052631578947368E-2</v>
      </c>
      <c r="N11" s="2">
        <f t="shared" ca="1" si="1"/>
        <v>1.0212758015810219</v>
      </c>
      <c r="O11" s="152">
        <v>2265.1374898959471</v>
      </c>
      <c r="P11" s="165">
        <f t="shared" ca="1" si="2"/>
        <v>2313.3301056847072</v>
      </c>
    </row>
    <row r="12" spans="1:16" s="132" customFormat="1" x14ac:dyDescent="0.3">
      <c r="A12" s="132">
        <f>MATCH(Calcs!B12,Paste_Report_Here!$1:$1,0) -1</f>
        <v>9</v>
      </c>
      <c r="B12" s="132" t="s">
        <v>214</v>
      </c>
      <c r="C12" s="2">
        <f ca="1">RANK(N12,N8:N32)</f>
        <v>2</v>
      </c>
      <c r="D12" s="166">
        <f ca="1">RANK(P12,P8:P32)</f>
        <v>5</v>
      </c>
      <c r="E12" s="77" t="s">
        <v>156</v>
      </c>
      <c r="F12" s="16">
        <f ca="1">COUNTIFS(Paste_Report_Here!$E$1:$E$2000,E2, OFFSET(Paste_Report_Here!$A$1,0,$A12,2000,1),F$75)</f>
        <v>0</v>
      </c>
      <c r="G12" s="17">
        <f ca="1">COUNTIFS(Paste_Report_Here!$E$1:$E$2000,E2, OFFSET(Paste_Report_Here!$A$1,0,$A12,2000,1),G$75)</f>
        <v>1</v>
      </c>
      <c r="H12" s="17">
        <f ca="1">COUNTIFS(Paste_Report_Here!$E$1:$E$2000,E2, OFFSET(Paste_Report_Here!$A$1,0,$A12,2000,1),H$75)</f>
        <v>14</v>
      </c>
      <c r="I12" s="17">
        <f ca="1">COUNTIFS(Paste_Report_Here!$E$1:$E$2000,E2, OFFSET(Paste_Report_Here!$A$1,0,$A12,2000,1),I$75)</f>
        <v>16</v>
      </c>
      <c r="J12" s="17">
        <f ca="1">COUNTIFS(Paste_Report_Here!$E$1:$E$2000,E2, OFFSET(Paste_Report_Here!$A$1,0,$A12,2000,1),J$75)</f>
        <v>6</v>
      </c>
      <c r="K12" s="18">
        <f ca="1">COUNTIFS(Paste_Report_Here!$E$1:$E$2000,E2, OFFSET(Paste_Report_Here!$A$1,0,$A12,2000,1),K$75)</f>
        <v>1</v>
      </c>
      <c r="L12" s="2">
        <f t="shared" ca="1" si="0"/>
        <v>38</v>
      </c>
      <c r="M12" s="183">
        <f ca="1">SUMPRODUCT(F12:K12,F6:K6)/L:L</f>
        <v>3.1578947368421061E-2</v>
      </c>
      <c r="N12" s="2">
        <f t="shared" ca="1" si="1"/>
        <v>1.0320828526046115</v>
      </c>
      <c r="O12" s="152">
        <v>3095.596171213143</v>
      </c>
      <c r="P12" s="165">
        <f t="shared" ca="1" si="2"/>
        <v>3194.9117268975738</v>
      </c>
    </row>
    <row r="13" spans="1:16" s="132" customFormat="1" x14ac:dyDescent="0.3">
      <c r="A13" s="132">
        <f>MATCH(Calcs!B13,Paste_Report_Here!$1:$1,0) -1</f>
        <v>10</v>
      </c>
      <c r="B13" s="132" t="s">
        <v>128</v>
      </c>
      <c r="C13" s="2">
        <f ca="1">RANK(N13,N8:N32)</f>
        <v>12</v>
      </c>
      <c r="D13" s="166">
        <f ca="1">RANK(P13,P8:P32)</f>
        <v>21</v>
      </c>
      <c r="E13" s="77" t="s">
        <v>157</v>
      </c>
      <c r="F13" s="16">
        <f ca="1">COUNTIFS(Paste_Report_Here!$E$1:$E$2000,E2, OFFSET(Paste_Report_Here!$A$1,0,$A13,2000,1),F$75)</f>
        <v>0</v>
      </c>
      <c r="G13" s="17">
        <f ca="1">COUNTIFS(Paste_Report_Here!$E$1:$E$2000,E2, OFFSET(Paste_Report_Here!$A$1,0,$A13,2000,1),G$75)</f>
        <v>3</v>
      </c>
      <c r="H13" s="17">
        <f ca="1">COUNTIFS(Paste_Report_Here!$E$1:$E$2000,E2, OFFSET(Paste_Report_Here!$A$1,0,$A13,2000,1),H$75)</f>
        <v>28</v>
      </c>
      <c r="I13" s="17">
        <f ca="1">COUNTIFS(Paste_Report_Here!$E$1:$E$2000,E2, OFFSET(Paste_Report_Here!$A$1,0,$A13,2000,1),I$75)</f>
        <v>6</v>
      </c>
      <c r="J13" s="17">
        <f ca="1">COUNTIFS(Paste_Report_Here!$E$1:$E$2000,E2, OFFSET(Paste_Report_Here!$A$1,0,$A13,2000,1),J$75)</f>
        <v>1</v>
      </c>
      <c r="K13" s="18">
        <f ca="1">COUNTIFS(Paste_Report_Here!$E$1:$E$2000,E2, OFFSET(Paste_Report_Here!$A$1,0,$A13,2000,1),K$75)</f>
        <v>0</v>
      </c>
      <c r="L13" s="2">
        <f t="shared" ca="1" si="0"/>
        <v>38</v>
      </c>
      <c r="M13" s="183">
        <f ca="1">SUMPRODUCT(F13:K13,F6:K6)/L:L</f>
        <v>5.263157894736842E-3</v>
      </c>
      <c r="N13" s="2">
        <f t="shared" ca="1" si="1"/>
        <v>1.0052770326412299</v>
      </c>
      <c r="O13" s="152">
        <v>1518.5081729542653</v>
      </c>
      <c r="P13" s="165">
        <f t="shared" ca="1" si="2"/>
        <v>1526.5213901489194</v>
      </c>
    </row>
    <row r="14" spans="1:16" s="132" customFormat="1" x14ac:dyDescent="0.3">
      <c r="A14" s="132">
        <f>MATCH(Calcs!B14,Paste_Report_Here!$1:$1,0) -1</f>
        <v>11</v>
      </c>
      <c r="B14" s="132" t="s">
        <v>129</v>
      </c>
      <c r="C14" s="2">
        <f ca="1">RANK(N14,N8:N32)</f>
        <v>7</v>
      </c>
      <c r="D14" s="166">
        <f ca="1">RANK(P14,P8:P32)</f>
        <v>8</v>
      </c>
      <c r="E14" s="77" t="s">
        <v>158</v>
      </c>
      <c r="F14" s="16">
        <f ca="1">COUNTIFS(Paste_Report_Here!$E$1:$E$2000,E2, OFFSET(Paste_Report_Here!$A$1,0,$A14,2000,1),F$75)</f>
        <v>0</v>
      </c>
      <c r="G14" s="17">
        <f ca="1">COUNTIFS(Paste_Report_Here!$E$1:$E$2000,E2, OFFSET(Paste_Report_Here!$A$1,0,$A14,2000,1),G$75)</f>
        <v>2</v>
      </c>
      <c r="H14" s="17">
        <f ca="1">COUNTIFS(Paste_Report_Here!$E$1:$E$2000,E2, OFFSET(Paste_Report_Here!$A$1,0,$A14,2000,1),H$75)</f>
        <v>24</v>
      </c>
      <c r="I14" s="17">
        <f ca="1">COUNTIFS(Paste_Report_Here!$E$1:$E$2000,E2, OFFSET(Paste_Report_Here!$A$1,0,$A14,2000,1),I$75)</f>
        <v>10</v>
      </c>
      <c r="J14" s="17">
        <f ca="1">COUNTIFS(Paste_Report_Here!$E$1:$E$2000,E2, OFFSET(Paste_Report_Here!$A$1,0,$A14,2000,1),J$75)</f>
        <v>2</v>
      </c>
      <c r="K14" s="18">
        <f ca="1">COUNTIFS(Paste_Report_Here!$E$1:$E$2000,E2, OFFSET(Paste_Report_Here!$A$1,0,$A14,2000,1),K$75)</f>
        <v>0</v>
      </c>
      <c r="L14" s="2">
        <f t="shared" ca="1" si="0"/>
        <v>38</v>
      </c>
      <c r="M14" s="183">
        <f ca="1">SUMPRODUCT(F14:K14,F6:K6)/L:L</f>
        <v>1.0526315789473684E-2</v>
      </c>
      <c r="N14" s="2">
        <f t="shared" ca="1" si="1"/>
        <v>1.0105819123559565</v>
      </c>
      <c r="O14" s="152">
        <v>2355.141298623565</v>
      </c>
      <c r="P14" s="165">
        <f t="shared" ca="1" si="2"/>
        <v>2380.0631974314933</v>
      </c>
    </row>
    <row r="15" spans="1:16" s="132" customFormat="1" x14ac:dyDescent="0.3">
      <c r="A15" s="132">
        <f>MATCH(Calcs!B15,Paste_Report_Here!$1:$1,0) -1</f>
        <v>12</v>
      </c>
      <c r="B15" s="132" t="s">
        <v>130</v>
      </c>
      <c r="C15" s="2">
        <f ca="1">RANK(N15,N8:N32)</f>
        <v>12</v>
      </c>
      <c r="D15" s="166">
        <f ca="1">RANK(P15,P8:P32)</f>
        <v>12</v>
      </c>
      <c r="E15" s="77" t="s">
        <v>159</v>
      </c>
      <c r="F15" s="16">
        <f ca="1">COUNTIFS(Paste_Report_Here!$E$1:$E$2000,E2, OFFSET(Paste_Report_Here!$A$1,0,$A15,2000,1),F$75)</f>
        <v>0</v>
      </c>
      <c r="G15" s="17">
        <f ca="1">COUNTIFS(Paste_Report_Here!$E$1:$E$2000,E2, OFFSET(Paste_Report_Here!$A$1,0,$A15,2000,1),G$75)</f>
        <v>3</v>
      </c>
      <c r="H15" s="17">
        <f ca="1">COUNTIFS(Paste_Report_Here!$E$1:$E$2000,E2, OFFSET(Paste_Report_Here!$A$1,0,$A15,2000,1),H$75)</f>
        <v>26</v>
      </c>
      <c r="I15" s="17">
        <f ca="1">COUNTIFS(Paste_Report_Here!$E$1:$E$2000,E2, OFFSET(Paste_Report_Here!$A$1,0,$A15,2000,1),I$75)</f>
        <v>8</v>
      </c>
      <c r="J15" s="17">
        <f ca="1">COUNTIFS(Paste_Report_Here!$E$1:$E$2000,E2, OFFSET(Paste_Report_Here!$A$1,0,$A15,2000,1),J$75)</f>
        <v>1</v>
      </c>
      <c r="K15" s="18">
        <f ca="1">COUNTIFS(Paste_Report_Here!$E$1:$E$2000,E2, OFFSET(Paste_Report_Here!$A$1,0,$A15,2000,1),K$75)</f>
        <v>0</v>
      </c>
      <c r="L15" s="2">
        <f t="shared" ca="1" si="0"/>
        <v>38</v>
      </c>
      <c r="M15" s="183">
        <f ca="1">SUMPRODUCT(F15:K15,F6:K6)/L:L</f>
        <v>5.263157894736842E-3</v>
      </c>
      <c r="N15" s="2">
        <f t="shared" ca="1" si="1"/>
        <v>1.0052770326412299</v>
      </c>
      <c r="O15" s="152">
        <v>2233.7388594564472</v>
      </c>
      <c r="P15" s="165">
        <f t="shared" ca="1" si="2"/>
        <v>2245.5263723297826</v>
      </c>
    </row>
    <row r="16" spans="1:16" s="132" customFormat="1" x14ac:dyDescent="0.3">
      <c r="A16" s="132">
        <f>MATCH(Calcs!B16,Paste_Report_Here!$1:$1,0) -1</f>
        <v>13</v>
      </c>
      <c r="B16" s="132" t="s">
        <v>131</v>
      </c>
      <c r="C16" s="2">
        <f ca="1">RANK(N16,N8:N32)</f>
        <v>4</v>
      </c>
      <c r="D16" s="166">
        <f ca="1">RANK(P16,P8:P32)</f>
        <v>4</v>
      </c>
      <c r="E16" s="77" t="s">
        <v>160</v>
      </c>
      <c r="F16" s="16">
        <f ca="1">COUNTIFS(Paste_Report_Here!$E$1:$E$2000,E2, OFFSET(Paste_Report_Here!$A$1,0,$A16,2000,1),F$75)</f>
        <v>0</v>
      </c>
      <c r="G16" s="17">
        <f ca="1">COUNTIFS(Paste_Report_Here!$E$1:$E$2000,E2, OFFSET(Paste_Report_Here!$A$1,0,$A16,2000,1),G$75)</f>
        <v>1</v>
      </c>
      <c r="H16" s="17">
        <f ca="1">COUNTIFS(Paste_Report_Here!$E$1:$E$2000,E2, OFFSET(Paste_Report_Here!$A$1,0,$A16,2000,1),H$75)</f>
        <v>20</v>
      </c>
      <c r="I16" s="17">
        <f ca="1">COUNTIFS(Paste_Report_Here!$E$1:$E$2000,E2, OFFSET(Paste_Report_Here!$A$1,0,$A16,2000,1),I$75)</f>
        <v>14</v>
      </c>
      <c r="J16" s="17">
        <f ca="1">COUNTIFS(Paste_Report_Here!$E$1:$E$2000,E2, OFFSET(Paste_Report_Here!$A$1,0,$A16,2000,1),J$75)</f>
        <v>3</v>
      </c>
      <c r="K16" s="18">
        <f ca="1">COUNTIFS(Paste_Report_Here!$E$1:$E$2000,E2, OFFSET(Paste_Report_Here!$A$1,0,$A16,2000,1),K$75)</f>
        <v>0</v>
      </c>
      <c r="L16" s="2">
        <f t="shared" ca="1" si="0"/>
        <v>38</v>
      </c>
      <c r="M16" s="183">
        <f ca="1">SUMPRODUCT(F16:K16,F6:K6)/L:L</f>
        <v>1.578947368421053E-2</v>
      </c>
      <c r="N16" s="2">
        <f t="shared" ca="1" si="1"/>
        <v>1.0159147860940954</v>
      </c>
      <c r="O16" s="152">
        <v>3198.6977418188444</v>
      </c>
      <c r="P16" s="165">
        <f t="shared" ca="1" si="2"/>
        <v>3249.6043321595571</v>
      </c>
    </row>
    <row r="17" spans="1:16" s="132" customFormat="1" x14ac:dyDescent="0.3">
      <c r="A17" s="132">
        <f>MATCH(Calcs!B17,Paste_Report_Here!$1:$1,0) -1</f>
        <v>14</v>
      </c>
      <c r="B17" s="132" t="s">
        <v>132</v>
      </c>
      <c r="C17" s="2">
        <f ca="1">RANK(N17,N8:N32)</f>
        <v>23</v>
      </c>
      <c r="D17" s="166">
        <f ca="1">RANK(P17,P8:P32)</f>
        <v>19</v>
      </c>
      <c r="E17" s="77" t="s">
        <v>161</v>
      </c>
      <c r="F17" s="16">
        <f ca="1">COUNTIFS(Paste_Report_Here!$E$1:$E$2000,E2, OFFSET(Paste_Report_Here!$A$1,0,$A17,2000,1),F$75)</f>
        <v>1</v>
      </c>
      <c r="G17" s="17">
        <f ca="1">COUNTIFS(Paste_Report_Here!$E$1:$E$2000,E2, OFFSET(Paste_Report_Here!$A$1,0,$A17,2000,1),G$75)</f>
        <v>1</v>
      </c>
      <c r="H17" s="17">
        <f ca="1">COUNTIFS(Paste_Report_Here!$E$1:$E$2000,E2, OFFSET(Paste_Report_Here!$A$1,0,$A17,2000,1),H$75)</f>
        <v>25</v>
      </c>
      <c r="I17" s="17">
        <f ca="1">COUNTIFS(Paste_Report_Here!$E$1:$E$2000,E2, OFFSET(Paste_Report_Here!$A$1,0,$A17,2000,1),I$75)</f>
        <v>10</v>
      </c>
      <c r="J17" s="17">
        <f ca="1">COUNTIFS(Paste_Report_Here!$E$1:$E$2000,E2, OFFSET(Paste_Report_Here!$A$1,0,$A17,2000,1),J$75)</f>
        <v>1</v>
      </c>
      <c r="K17" s="18">
        <f ca="1">COUNTIFS(Paste_Report_Here!$E$1:$E$2000,E2, OFFSET(Paste_Report_Here!$A$1,0,$A17,2000,1),K$75)</f>
        <v>0</v>
      </c>
      <c r="L17" s="2">
        <f t="shared" ca="1" si="0"/>
        <v>38</v>
      </c>
      <c r="M17" s="183">
        <f ca="1">SUMPRODUCT(F17:K17,F6:K6)/L:L</f>
        <v>0</v>
      </c>
      <c r="N17" s="2">
        <f t="shared" ca="1" si="1"/>
        <v>1</v>
      </c>
      <c r="O17" s="152">
        <v>1854.5989802633883</v>
      </c>
      <c r="P17" s="165">
        <f t="shared" ca="1" si="2"/>
        <v>1854.5989802633883</v>
      </c>
    </row>
    <row r="18" spans="1:16" s="132" customFormat="1" x14ac:dyDescent="0.3">
      <c r="A18" s="132">
        <f>MATCH(Calcs!B18,Paste_Report_Here!$1:$1,0) -1</f>
        <v>15</v>
      </c>
      <c r="B18" s="132" t="s">
        <v>133</v>
      </c>
      <c r="C18" s="2">
        <f ca="1">RANK(N18,N8:N32)</f>
        <v>7</v>
      </c>
      <c r="D18" s="166">
        <f ca="1">RANK(P18,P8:P32)</f>
        <v>7</v>
      </c>
      <c r="E18" s="77" t="s">
        <v>162</v>
      </c>
      <c r="F18" s="16">
        <f ca="1">COUNTIFS(Paste_Report_Here!$E$1:$E$2000,E2, OFFSET(Paste_Report_Here!$A$1,0,$A18,2000,1),F$75)</f>
        <v>0</v>
      </c>
      <c r="G18" s="17">
        <f ca="1">COUNTIFS(Paste_Report_Here!$E$1:$E$2000,E2, OFFSET(Paste_Report_Here!$A$1,0,$A18,2000,1),G$75)</f>
        <v>0</v>
      </c>
      <c r="H18" s="17">
        <f ca="1">COUNTIFS(Paste_Report_Here!$E$1:$E$2000,E2, OFFSET(Paste_Report_Here!$A$1,0,$A18,2000,1),H$75)</f>
        <v>24</v>
      </c>
      <c r="I18" s="17">
        <f ca="1">COUNTIFS(Paste_Report_Here!$E$1:$E$2000,E2, OFFSET(Paste_Report_Here!$A$1,0,$A18,2000,1),I$75)</f>
        <v>12</v>
      </c>
      <c r="J18" s="17">
        <f ca="1">COUNTIFS(Paste_Report_Here!$E$1:$E$2000,E2, OFFSET(Paste_Report_Here!$A$1,0,$A18,2000,1),J$75)</f>
        <v>2</v>
      </c>
      <c r="K18" s="18">
        <f ca="1">COUNTIFS(Paste_Report_Here!$E$1:$E$2000,E2, OFFSET(Paste_Report_Here!$A$1,0,$A18,2000,1),K$75)</f>
        <v>0</v>
      </c>
      <c r="L18" s="2">
        <f t="shared" ca="1" si="0"/>
        <v>38</v>
      </c>
      <c r="M18" s="183">
        <f ca="1">SUMPRODUCT(F18:K18,F6:K6)/L:L</f>
        <v>1.0526315789473684E-2</v>
      </c>
      <c r="N18" s="2">
        <f t="shared" ca="1" si="1"/>
        <v>1.0105819123559565</v>
      </c>
      <c r="O18" s="152">
        <v>2475.1240835884087</v>
      </c>
      <c r="P18" s="165">
        <f t="shared" ca="1" si="2"/>
        <v>2501.3156297110586</v>
      </c>
    </row>
    <row r="19" spans="1:16" s="132" customFormat="1" x14ac:dyDescent="0.3">
      <c r="A19" s="132">
        <f>MATCH(Calcs!B19,Paste_Report_Here!$1:$1,0) -1</f>
        <v>16</v>
      </c>
      <c r="B19" s="132" t="s">
        <v>134</v>
      </c>
      <c r="C19" s="2">
        <f ca="1">RANK(N19,N8:N32)</f>
        <v>23</v>
      </c>
      <c r="D19" s="166">
        <f ca="1">RANK(P19,P8:P32)</f>
        <v>25</v>
      </c>
      <c r="E19" s="77" t="s">
        <v>163</v>
      </c>
      <c r="F19" s="16">
        <f ca="1">COUNTIFS(Paste_Report_Here!$E$1:$E$2000,E2, OFFSET(Paste_Report_Here!$A$1,0,$A19,2000,1),F$75)</f>
        <v>0</v>
      </c>
      <c r="G19" s="17">
        <f ca="1">COUNTIFS(Paste_Report_Here!$E$1:$E$2000,E2, OFFSET(Paste_Report_Here!$A$1,0,$A19,2000,1),G$75)</f>
        <v>2</v>
      </c>
      <c r="H19" s="17">
        <f ca="1">COUNTIFS(Paste_Report_Here!$E$1:$E$2000,E2, OFFSET(Paste_Report_Here!$A$1,0,$A19,2000,1),H$75)</f>
        <v>31</v>
      </c>
      <c r="I19" s="17">
        <f ca="1">COUNTIFS(Paste_Report_Here!$E$1:$E$2000,E2, OFFSET(Paste_Report_Here!$A$1,0,$A19,2000,1),I$75)</f>
        <v>5</v>
      </c>
      <c r="J19" s="17">
        <f ca="1">COUNTIFS(Paste_Report_Here!$E$1:$E$2000,E2, OFFSET(Paste_Report_Here!$A$1,0,$A19,2000,1),J$75)</f>
        <v>0</v>
      </c>
      <c r="K19" s="18">
        <f ca="1">COUNTIFS(Paste_Report_Here!$E$1:$E$2000,E2, OFFSET(Paste_Report_Here!$A$1,0,$A19,2000,1),K$75)</f>
        <v>0</v>
      </c>
      <c r="L19" s="2">
        <f t="shared" ca="1" si="0"/>
        <v>38</v>
      </c>
      <c r="M19" s="183">
        <f ca="1">SUMPRODUCT(F19:K19,F6:K6)/L:L</f>
        <v>0</v>
      </c>
      <c r="N19" s="2">
        <f t="shared" ca="1" si="1"/>
        <v>1</v>
      </c>
      <c r="O19" s="152">
        <v>1161.2422523843593</v>
      </c>
      <c r="P19" s="165">
        <f t="shared" ca="1" si="2"/>
        <v>1161.2422523843593</v>
      </c>
    </row>
    <row r="20" spans="1:16" s="132" customFormat="1" x14ac:dyDescent="0.3">
      <c r="A20" s="132">
        <f>MATCH(Calcs!B20,Paste_Report_Here!$1:$1,0) -1</f>
        <v>17</v>
      </c>
      <c r="B20" s="132" t="s">
        <v>135</v>
      </c>
      <c r="C20" s="2">
        <f ca="1">RANK(N20,N8:N32)</f>
        <v>7</v>
      </c>
      <c r="D20" s="166">
        <f ca="1">RANK(P20,P8:P32)</f>
        <v>20</v>
      </c>
      <c r="E20" s="77" t="s">
        <v>164</v>
      </c>
      <c r="F20" s="16">
        <f ca="1">COUNTIFS(Paste_Report_Here!$E$1:$E$2000,E2, OFFSET(Paste_Report_Here!$A$1,0,$A20,2000,1),F$75)</f>
        <v>0</v>
      </c>
      <c r="G20" s="17">
        <f ca="1">COUNTIFS(Paste_Report_Here!$E$1:$E$2000,E2, OFFSET(Paste_Report_Here!$A$1,0,$A20,2000,1),G$75)</f>
        <v>3</v>
      </c>
      <c r="H20" s="17">
        <f ca="1">COUNTIFS(Paste_Report_Here!$E$1:$E$2000,E2, OFFSET(Paste_Report_Here!$A$1,0,$A20,2000,1),H$75)</f>
        <v>26</v>
      </c>
      <c r="I20" s="17">
        <f ca="1">COUNTIFS(Paste_Report_Here!$E$1:$E$2000,E2, OFFSET(Paste_Report_Here!$A$1,0,$A20,2000,1),I$75)</f>
        <v>7</v>
      </c>
      <c r="J20" s="17">
        <f ca="1">COUNTIFS(Paste_Report_Here!$E$1:$E$2000,E2, OFFSET(Paste_Report_Here!$A$1,0,$A20,2000,1),J$75)</f>
        <v>2</v>
      </c>
      <c r="K20" s="18">
        <f ca="1">COUNTIFS(Paste_Report_Here!$E$1:$E$2000,E2, OFFSET(Paste_Report_Here!$A$1,0,$A20,2000,1),K$75)</f>
        <v>0</v>
      </c>
      <c r="L20" s="2">
        <f t="shared" ca="1" si="0"/>
        <v>38</v>
      </c>
      <c r="M20" s="183">
        <f ca="1">SUMPRODUCT(F20:K20,F6:K6)/L:L</f>
        <v>1.0526315789473684E-2</v>
      </c>
      <c r="N20" s="2">
        <f t="shared" ca="1" si="1"/>
        <v>1.0105819123559565</v>
      </c>
      <c r="O20" s="152">
        <v>1708.7452539438107</v>
      </c>
      <c r="P20" s="165">
        <f t="shared" ca="1" si="2"/>
        <v>1726.8270464597008</v>
      </c>
    </row>
    <row r="21" spans="1:16" s="132" customFormat="1" x14ac:dyDescent="0.3">
      <c r="A21" s="132">
        <f>MATCH(Calcs!B21,Paste_Report_Here!$1:$1,0) -1</f>
        <v>18</v>
      </c>
      <c r="B21" s="132" t="s">
        <v>136</v>
      </c>
      <c r="C21" s="2">
        <f ca="1">RANK(N21,N8:N32)</f>
        <v>12</v>
      </c>
      <c r="D21" s="166">
        <f ca="1">RANK(P21,P8:P32)</f>
        <v>3</v>
      </c>
      <c r="E21" s="77" t="s">
        <v>165</v>
      </c>
      <c r="F21" s="16">
        <f ca="1">COUNTIFS(Paste_Report_Here!$E$1:$E$2000,E2, OFFSET(Paste_Report_Here!$A$1,0,$A21,2000,1),F$75)</f>
        <v>0</v>
      </c>
      <c r="G21" s="17">
        <f ca="1">COUNTIFS(Paste_Report_Here!$E$1:$E$2000,E2, OFFSET(Paste_Report_Here!$A$1,0,$A21,2000,1),G$75)</f>
        <v>0</v>
      </c>
      <c r="H21" s="17">
        <f ca="1">COUNTIFS(Paste_Report_Here!$E$1:$E$2000,E2, OFFSET(Paste_Report_Here!$A$1,0,$A21,2000,1),H$75)</f>
        <v>27</v>
      </c>
      <c r="I21" s="17">
        <f ca="1">COUNTIFS(Paste_Report_Here!$E$1:$E$2000,E2, OFFSET(Paste_Report_Here!$A$1,0,$A21,2000,1),I$75)</f>
        <v>10</v>
      </c>
      <c r="J21" s="17">
        <f ca="1">COUNTIFS(Paste_Report_Here!$E$1:$E$2000,E2, OFFSET(Paste_Report_Here!$A$1,0,$A21,2000,1),J$75)</f>
        <v>1</v>
      </c>
      <c r="K21" s="18">
        <f ca="1">COUNTIFS(Paste_Report_Here!$E$1:$E$2000,E2, OFFSET(Paste_Report_Here!$A$1,0,$A21,2000,1),K$75)</f>
        <v>0</v>
      </c>
      <c r="L21" s="2">
        <f t="shared" ca="1" si="0"/>
        <v>38</v>
      </c>
      <c r="M21" s="183">
        <f ca="1">SUMPRODUCT(F21:K21,F6:K6)/L:L</f>
        <v>5.263157894736842E-3</v>
      </c>
      <c r="N21" s="2">
        <f t="shared" ca="1" si="1"/>
        <v>1.0052770326412299</v>
      </c>
      <c r="O21" s="152">
        <v>3457.6331338420046</v>
      </c>
      <c r="P21" s="165">
        <f t="shared" ca="1" si="2"/>
        <v>3475.8791767506868</v>
      </c>
    </row>
    <row r="22" spans="1:16" s="132" customFormat="1" x14ac:dyDescent="0.3">
      <c r="A22" s="132">
        <f>MATCH(Calcs!B22,Paste_Report_Here!$1:$1,0) -1</f>
        <v>19</v>
      </c>
      <c r="B22" s="132" t="s">
        <v>137</v>
      </c>
      <c r="C22" s="2">
        <f ca="1">RANK(N22,N8:N32)</f>
        <v>12</v>
      </c>
      <c r="D22" s="166">
        <f ca="1">RANK(P22,P8:P32)</f>
        <v>16</v>
      </c>
      <c r="E22" s="77" t="s">
        <v>166</v>
      </c>
      <c r="F22" s="16">
        <f ca="1">COUNTIFS(Paste_Report_Here!$E$1:$E$2000,E2, OFFSET(Paste_Report_Here!$A$1,0,$A22,2000,1),F$75)</f>
        <v>0</v>
      </c>
      <c r="G22" s="17">
        <f ca="1">COUNTIFS(Paste_Report_Here!$E$1:$E$2000,E2, OFFSET(Paste_Report_Here!$A$1,0,$A22,2000,1),G$75)</f>
        <v>1</v>
      </c>
      <c r="H22" s="17">
        <f ca="1">COUNTIFS(Paste_Report_Here!$E$1:$E$2000,E2, OFFSET(Paste_Report_Here!$A$1,0,$A22,2000,1),H$75)</f>
        <v>28</v>
      </c>
      <c r="I22" s="17">
        <f ca="1">COUNTIFS(Paste_Report_Here!$E$1:$E$2000,E2, OFFSET(Paste_Report_Here!$A$1,0,$A22,2000,1),I$75)</f>
        <v>8</v>
      </c>
      <c r="J22" s="17">
        <f ca="1">COUNTIFS(Paste_Report_Here!$E$1:$E$2000,E2, OFFSET(Paste_Report_Here!$A$1,0,$A22,2000,1),J$75)</f>
        <v>1</v>
      </c>
      <c r="K22" s="18">
        <f ca="1">COUNTIFS(Paste_Report_Here!$E$1:$E$2000,E2, OFFSET(Paste_Report_Here!$A$1,0,$A22,2000,1),K$75)</f>
        <v>0</v>
      </c>
      <c r="L22" s="2">
        <f t="shared" ca="1" si="0"/>
        <v>38</v>
      </c>
      <c r="M22" s="183">
        <f ca="1">SUMPRODUCT(F22:K22,F6:K6)/L:L</f>
        <v>5.263157894736842E-3</v>
      </c>
      <c r="N22" s="2">
        <f t="shared" ca="1" si="1"/>
        <v>1.0052770326412299</v>
      </c>
      <c r="O22" s="152">
        <v>2011.6755825295436</v>
      </c>
      <c r="P22" s="165">
        <f t="shared" ca="1" si="2"/>
        <v>2022.2912602421172</v>
      </c>
    </row>
    <row r="23" spans="1:16" s="132" customFormat="1" x14ac:dyDescent="0.3">
      <c r="A23" s="132">
        <f>MATCH(Calcs!B23,Paste_Report_Here!$1:$1,0) -1</f>
        <v>20</v>
      </c>
      <c r="B23" s="132" t="s">
        <v>138</v>
      </c>
      <c r="C23" s="2">
        <f ca="1">RANK(N23,N8:N32)</f>
        <v>7</v>
      </c>
      <c r="D23" s="166">
        <f ca="1">RANK(P23,P8:P32)</f>
        <v>18</v>
      </c>
      <c r="E23" s="77" t="s">
        <v>167</v>
      </c>
      <c r="F23" s="16">
        <f ca="1">COUNTIFS(Paste_Report_Here!$E$1:$E$2000,E2, OFFSET(Paste_Report_Here!$A$1,0,$A23,2000,1),F$75)</f>
        <v>0</v>
      </c>
      <c r="G23" s="17">
        <f ca="1">COUNTIFS(Paste_Report_Here!$E$1:$E$2000,E2, OFFSET(Paste_Report_Here!$A$1,0,$A23,2000,1),G$75)</f>
        <v>1</v>
      </c>
      <c r="H23" s="17">
        <f ca="1">COUNTIFS(Paste_Report_Here!$E$1:$E$2000,E2, OFFSET(Paste_Report_Here!$A$1,0,$A23,2000,1),H$75)</f>
        <v>25</v>
      </c>
      <c r="I23" s="17">
        <f ca="1">COUNTIFS(Paste_Report_Here!$E$1:$E$2000,E2, OFFSET(Paste_Report_Here!$A$1,0,$A23,2000,1),I$75)</f>
        <v>10</v>
      </c>
      <c r="J23" s="17">
        <f ca="1">COUNTIFS(Paste_Report_Here!$E$1:$E$2000,E2, OFFSET(Paste_Report_Here!$A$1,0,$A23,2000,1),J$75)</f>
        <v>2</v>
      </c>
      <c r="K23" s="18">
        <f ca="1">COUNTIFS(Paste_Report_Here!$E$1:$E$2000,E2, OFFSET(Paste_Report_Here!$A$1,0,$A23,2000,1),K$75)</f>
        <v>0</v>
      </c>
      <c r="L23" s="2">
        <f t="shared" ca="1" si="0"/>
        <v>38</v>
      </c>
      <c r="M23" s="183">
        <f ca="1">SUMPRODUCT(F23:K23,F6:K6)/L:L</f>
        <v>1.0526315789473684E-2</v>
      </c>
      <c r="N23" s="2">
        <f t="shared" ca="1" si="1"/>
        <v>1.0105819123559565</v>
      </c>
      <c r="O23" s="152">
        <v>1887.02759358611</v>
      </c>
      <c r="P23" s="165">
        <f t="shared" ca="1" si="2"/>
        <v>1906.9959541947098</v>
      </c>
    </row>
    <row r="24" spans="1:16" s="132" customFormat="1" x14ac:dyDescent="0.3">
      <c r="A24" s="132">
        <f>MATCH(Calcs!B24,Paste_Report_Here!$1:$1,0) -1</f>
        <v>21</v>
      </c>
      <c r="B24" s="132" t="s">
        <v>139</v>
      </c>
      <c r="C24" s="2">
        <f ca="1">RANK(N24,N8:N32)</f>
        <v>23</v>
      </c>
      <c r="D24" s="166">
        <f ca="1">RANK(P24,P8:P32)</f>
        <v>14</v>
      </c>
      <c r="E24" s="77" t="s">
        <v>168</v>
      </c>
      <c r="F24" s="16">
        <f ca="1">COUNTIFS(Paste_Report_Here!$E$1:$E$2000,E2, OFFSET(Paste_Report_Here!$A$1,0,$A24,2000,1),F$75)</f>
        <v>0</v>
      </c>
      <c r="G24" s="17">
        <f ca="1">COUNTIFS(Paste_Report_Here!$E$1:$E$2000,E2, OFFSET(Paste_Report_Here!$A$1,0,$A24,2000,1),G$75)</f>
        <v>1</v>
      </c>
      <c r="H24" s="17">
        <f ca="1">COUNTIFS(Paste_Report_Here!$E$1:$E$2000,E2, OFFSET(Paste_Report_Here!$A$1,0,$A24,2000,1),H$75)</f>
        <v>29</v>
      </c>
      <c r="I24" s="17">
        <f ca="1">COUNTIFS(Paste_Report_Here!$E$1:$E$2000,E2, OFFSET(Paste_Report_Here!$A$1,0,$A24,2000,1),I$75)</f>
        <v>8</v>
      </c>
      <c r="J24" s="17">
        <f ca="1">COUNTIFS(Paste_Report_Here!$E$1:$E$2000,E2, OFFSET(Paste_Report_Here!$A$1,0,$A24,2000,1),J$75)</f>
        <v>0</v>
      </c>
      <c r="K24" s="18">
        <f ca="1">COUNTIFS(Paste_Report_Here!$E$1:$E$2000,E2, OFFSET(Paste_Report_Here!$A$1,0,$A24,2000,1),K$75)</f>
        <v>0</v>
      </c>
      <c r="L24" s="2">
        <f t="shared" ca="1" si="0"/>
        <v>38</v>
      </c>
      <c r="M24" s="183">
        <f ca="1">SUMPRODUCT(F24:K24,F6:K6)/L:L</f>
        <v>0</v>
      </c>
      <c r="N24" s="2">
        <f t="shared" ca="1" si="1"/>
        <v>1</v>
      </c>
      <c r="O24" s="152">
        <v>2077.6419514264135</v>
      </c>
      <c r="P24" s="165">
        <f t="shared" ca="1" si="2"/>
        <v>2077.6419514264135</v>
      </c>
    </row>
    <row r="25" spans="1:16" s="132" customFormat="1" x14ac:dyDescent="0.3">
      <c r="A25" s="132">
        <f>MATCH(Calcs!B25,Paste_Report_Here!$1:$1,0) -1</f>
        <v>22</v>
      </c>
      <c r="B25" s="132" t="s">
        <v>140</v>
      </c>
      <c r="C25" s="2">
        <f ca="1">RANK(N25,N8:N32)</f>
        <v>12</v>
      </c>
      <c r="D25" s="166">
        <f ca="1">RANK(P25,P8:P32)</f>
        <v>17</v>
      </c>
      <c r="E25" s="77" t="s">
        <v>169</v>
      </c>
      <c r="F25" s="16">
        <f ca="1">COUNTIFS(Paste_Report_Here!$E$1:$E$2000,E2, OFFSET(Paste_Report_Here!$A$1,0,$A25,2000,1),F$75)</f>
        <v>0</v>
      </c>
      <c r="G25" s="17">
        <f ca="1">COUNTIFS(Paste_Report_Here!$E$1:$E$2000,E2, OFFSET(Paste_Report_Here!$A$1,0,$A25,2000,1),G$75)</f>
        <v>0</v>
      </c>
      <c r="H25" s="17">
        <f ca="1">COUNTIFS(Paste_Report_Here!$E$1:$E$2000,E2, OFFSET(Paste_Report_Here!$A$1,0,$A25,2000,1),H$75)</f>
        <v>30</v>
      </c>
      <c r="I25" s="17">
        <f ca="1">COUNTIFS(Paste_Report_Here!$E$1:$E$2000,E2, OFFSET(Paste_Report_Here!$A$1,0,$A25,2000,1),I$75)</f>
        <v>7</v>
      </c>
      <c r="J25" s="17">
        <f ca="1">COUNTIFS(Paste_Report_Here!$E$1:$E$2000,E2, OFFSET(Paste_Report_Here!$A$1,0,$A25,2000,1),J$75)</f>
        <v>1</v>
      </c>
      <c r="K25" s="18">
        <f ca="1">COUNTIFS(Paste_Report_Here!$E$1:$E$2000,E2, OFFSET(Paste_Report_Here!$A$1,0,$A25,2000,1),K$75)</f>
        <v>0</v>
      </c>
      <c r="L25" s="2">
        <f t="shared" ca="1" si="0"/>
        <v>38</v>
      </c>
      <c r="M25" s="183">
        <f ca="1">SUMPRODUCT(F25:K25,F6:K6)/L:L</f>
        <v>5.263157894736842E-3</v>
      </c>
      <c r="N25" s="2">
        <f t="shared" ca="1" si="1"/>
        <v>1.0052770326412299</v>
      </c>
      <c r="O25" s="152">
        <v>1918.1887345103837</v>
      </c>
      <c r="P25" s="165">
        <f t="shared" ca="1" si="2"/>
        <v>1928.3110790744345</v>
      </c>
    </row>
    <row r="26" spans="1:16" s="132" customFormat="1" x14ac:dyDescent="0.3">
      <c r="A26" s="132">
        <f>MATCH(Calcs!B26,Paste_Report_Here!$1:$1,0) -1</f>
        <v>23</v>
      </c>
      <c r="B26" s="132" t="s">
        <v>186</v>
      </c>
      <c r="C26" s="2">
        <f ca="1">RANK(N26,N8:N32)</f>
        <v>12</v>
      </c>
      <c r="D26" s="166">
        <f ca="1">RANK(P26,P8:P32)</f>
        <v>2</v>
      </c>
      <c r="E26" s="77" t="s">
        <v>180</v>
      </c>
      <c r="F26" s="16">
        <f ca="1">COUNTIFS(Paste_Report_Here!$E$1:$E$2000,E2, OFFSET(Paste_Report_Here!$A$1,0,$A26,2000,1),F$75)</f>
        <v>0</v>
      </c>
      <c r="G26" s="17">
        <f ca="1">COUNTIFS(Paste_Report_Here!$E$1:$E$2000,E2, OFFSET(Paste_Report_Here!$A$1,0,$A26,2000,1),G$75)</f>
        <v>0</v>
      </c>
      <c r="H26" s="17">
        <f ca="1">COUNTIFS(Paste_Report_Here!$E$1:$E$2000,E2, OFFSET(Paste_Report_Here!$A$1,0,$A26,2000,1),H$75)</f>
        <v>23</v>
      </c>
      <c r="I26" s="17">
        <f ca="1">COUNTIFS(Paste_Report_Here!$E$1:$E$2000,E2, OFFSET(Paste_Report_Here!$A$1,0,$A26,2000,1),I$75)</f>
        <v>13</v>
      </c>
      <c r="J26" s="17">
        <f ca="1">COUNTIFS(Paste_Report_Here!$E$1:$E$2000,E2, OFFSET(Paste_Report_Here!$A$1,0,$A26,2000,1),J$75)</f>
        <v>1</v>
      </c>
      <c r="K26" s="18">
        <f ca="1">COUNTIFS(Paste_Report_Here!$E$1:$E$2000,E2, OFFSET(Paste_Report_Here!$A$1,0,$A26,2000,1),K$75)</f>
        <v>1</v>
      </c>
      <c r="L26" s="2">
        <f t="shared" ref="L26:L32" ca="1" si="3">SUM(F26:K26)</f>
        <v>38</v>
      </c>
      <c r="M26" s="183">
        <f ca="1">SUMPRODUCT(F26:K26,F6:K6)/L:L</f>
        <v>5.263157894736842E-3</v>
      </c>
      <c r="N26" s="2">
        <f t="shared" ca="1" si="1"/>
        <v>1.0052770326412299</v>
      </c>
      <c r="O26" s="152">
        <v>3538.9375033869401</v>
      </c>
      <c r="P26" s="165">
        <f t="shared" ca="1" si="2"/>
        <v>3557.6125921075859</v>
      </c>
    </row>
    <row r="27" spans="1:16" s="132" customFormat="1" x14ac:dyDescent="0.3">
      <c r="A27" s="132">
        <f>MATCH(Calcs!B27,Paste_Report_Here!$1:$1,0) -1</f>
        <v>24</v>
      </c>
      <c r="B27" s="132" t="s">
        <v>209</v>
      </c>
      <c r="C27" s="2">
        <f ca="1">RANK(N27,N8:N32)</f>
        <v>7</v>
      </c>
      <c r="D27" s="166">
        <f ca="1">RANK(P27,P8:P32)</f>
        <v>23</v>
      </c>
      <c r="E27" s="125" t="s">
        <v>211</v>
      </c>
      <c r="F27" s="16">
        <f ca="1">COUNTIFS(Paste_Report_Here!$E$1:$E$2000,E2, OFFSET(Paste_Report_Here!$A$1,0,$A27,2000,1),F$75)</f>
        <v>0</v>
      </c>
      <c r="G27" s="17">
        <f ca="1">COUNTIFS(Paste_Report_Here!$E$1:$E$2000,E2, OFFSET(Paste_Report_Here!$A$1,0,$A27,2000,1),G$75)</f>
        <v>1</v>
      </c>
      <c r="H27" s="17">
        <f ca="1">COUNTIFS(Paste_Report_Here!$E$1:$E$2000,E2, OFFSET(Paste_Report_Here!$A$1,0,$A27,2000,1),H$75)</f>
        <v>29</v>
      </c>
      <c r="I27" s="17">
        <f ca="1">COUNTIFS(Paste_Report_Here!$E$1:$E$2000,E2, OFFSET(Paste_Report_Here!$A$1,0,$A27,2000,1),I$75)</f>
        <v>3</v>
      </c>
      <c r="J27" s="17">
        <f ca="1">COUNTIFS(Paste_Report_Here!$E$1:$E$2000,E2, OFFSET(Paste_Report_Here!$A$1,0,$A27,2000,1),J$75)</f>
        <v>2</v>
      </c>
      <c r="K27" s="18">
        <f ca="1">COUNTIFS(Paste_Report_Here!$E$1:$E$2000,E2, OFFSET(Paste_Report_Here!$A$1,0,$A27,2000,1),K$75)</f>
        <v>3</v>
      </c>
      <c r="L27" s="2">
        <f t="shared" ca="1" si="3"/>
        <v>38</v>
      </c>
      <c r="M27" s="183">
        <f ca="1">SUMPRODUCT(F27:K27,F6:K6)/L:L</f>
        <v>1.0526315789473684E-2</v>
      </c>
      <c r="N27" s="2">
        <f t="shared" ca="1" si="1"/>
        <v>1.0105819123559565</v>
      </c>
      <c r="O27" s="152">
        <v>1159.2324999118175</v>
      </c>
      <c r="P27" s="165">
        <f t="shared" ca="1" si="2"/>
        <v>1171.4993966260608</v>
      </c>
    </row>
    <row r="28" spans="1:16" s="132" customFormat="1" x14ac:dyDescent="0.3">
      <c r="A28" s="132">
        <f>MATCH(Calcs!B28,Paste_Report_Here!$1:$1,0) -1</f>
        <v>25</v>
      </c>
      <c r="B28" s="132" t="s">
        <v>141</v>
      </c>
      <c r="C28" s="2">
        <f ca="1">RANK(N28,N8:N32)</f>
        <v>12</v>
      </c>
      <c r="D28" s="166">
        <f ca="1">RANK(P28,P8:P32)</f>
        <v>22</v>
      </c>
      <c r="E28" s="77" t="s">
        <v>170</v>
      </c>
      <c r="F28" s="16">
        <f ca="1">COUNTIFS(Paste_Report_Here!$E$1:$E$2000,E2, OFFSET(Paste_Report_Here!$A$1,0,$A28,2000,1),F$75)</f>
        <v>0</v>
      </c>
      <c r="G28" s="17">
        <f ca="1">COUNTIFS(Paste_Report_Here!$E$1:$E$2000,E2, OFFSET(Paste_Report_Here!$A$1,0,$A28,2000,1),G$75)</f>
        <v>2</v>
      </c>
      <c r="H28" s="17">
        <f ca="1">COUNTIFS(Paste_Report_Here!$E$1:$E$2000,E2, OFFSET(Paste_Report_Here!$A$1,0,$A28,2000,1),H$75)</f>
        <v>30</v>
      </c>
      <c r="I28" s="17">
        <f ca="1">COUNTIFS(Paste_Report_Here!$E$1:$E$2000,E2, OFFSET(Paste_Report_Here!$A$1,0,$A28,2000,1),I$75)</f>
        <v>5</v>
      </c>
      <c r="J28" s="17">
        <f ca="1">COUNTIFS(Paste_Report_Here!$E$1:$E$2000,E2, OFFSET(Paste_Report_Here!$A$1,0,$A28,2000,1),J$75)</f>
        <v>1</v>
      </c>
      <c r="K28" s="18">
        <f ca="1">COUNTIFS(Paste_Report_Here!$E$1:$E$2000,E2, OFFSET(Paste_Report_Here!$A$1,0,$A28,2000,1),K$75)</f>
        <v>0</v>
      </c>
      <c r="L28" s="2">
        <f t="shared" ca="1" si="3"/>
        <v>38</v>
      </c>
      <c r="M28" s="183">
        <f ca="1">SUMPRODUCT(F28:K28,F6:K6)/L:L</f>
        <v>5.263157894736842E-3</v>
      </c>
      <c r="N28" s="2">
        <f t="shared" ca="1" si="1"/>
        <v>1.0052770326412299</v>
      </c>
      <c r="O28" s="152">
        <v>1374.7730237471837</v>
      </c>
      <c r="P28" s="165">
        <f t="shared" ca="1" si="2"/>
        <v>1382.0277458677799</v>
      </c>
    </row>
    <row r="29" spans="1:16" s="132" customFormat="1" x14ac:dyDescent="0.3">
      <c r="A29" s="132">
        <f>MATCH(Calcs!B29,Paste_Report_Here!$1:$1,0) -1</f>
        <v>26</v>
      </c>
      <c r="B29" s="132" t="s">
        <v>142</v>
      </c>
      <c r="C29" s="2">
        <f ca="1">RANK(N29,N8:N32)</f>
        <v>12</v>
      </c>
      <c r="D29" s="166">
        <f ca="1">RANK(P29,P8:P32)</f>
        <v>11</v>
      </c>
      <c r="E29" s="77" t="s">
        <v>171</v>
      </c>
      <c r="F29" s="16">
        <f ca="1">COUNTIFS(Paste_Report_Here!$E$1:$E$2000,E2, OFFSET(Paste_Report_Here!$A$1,0,$A29,2000,1),F$75)</f>
        <v>0</v>
      </c>
      <c r="G29" s="17">
        <f ca="1">COUNTIFS(Paste_Report_Here!$E$1:$E$2000,E2, OFFSET(Paste_Report_Here!$A$1,0,$A29,2000,1),G$75)</f>
        <v>1</v>
      </c>
      <c r="H29" s="17">
        <f ca="1">COUNTIFS(Paste_Report_Here!$E$1:$E$2000,E2, OFFSET(Paste_Report_Here!$A$1,0,$A29,2000,1),H$75)</f>
        <v>27</v>
      </c>
      <c r="I29" s="17">
        <f ca="1">COUNTIFS(Paste_Report_Here!$E$1:$E$2000,E2, OFFSET(Paste_Report_Here!$A$1,0,$A29,2000,1),I$75)</f>
        <v>9</v>
      </c>
      <c r="J29" s="17">
        <f ca="1">COUNTIFS(Paste_Report_Here!$E$1:$E$2000,E2, OFFSET(Paste_Report_Here!$A$1,0,$A29,2000,1),J$75)</f>
        <v>1</v>
      </c>
      <c r="K29" s="18">
        <f ca="1">COUNTIFS(Paste_Report_Here!$E$1:$E$2000,E2, OFFSET(Paste_Report_Here!$A$1,0,$A29,2000,1),K$75)</f>
        <v>0</v>
      </c>
      <c r="L29" s="2">
        <f t="shared" ca="1" si="3"/>
        <v>38</v>
      </c>
      <c r="M29" s="183">
        <f ca="1">SUMPRODUCT(F29:K29,F6:K6)/L:L</f>
        <v>5.263157894736842E-3</v>
      </c>
      <c r="N29" s="2">
        <f t="shared" ca="1" si="1"/>
        <v>1.0052770326412299</v>
      </c>
      <c r="O29" s="152">
        <v>2250.2618406890979</v>
      </c>
      <c r="P29" s="165">
        <f t="shared" ca="1" si="2"/>
        <v>2262.1365458737282</v>
      </c>
    </row>
    <row r="30" spans="1:16" s="132" customFormat="1" x14ac:dyDescent="0.3">
      <c r="A30" s="132">
        <f>MATCH(Calcs!B30,Paste_Report_Here!$1:$1,0) -1</f>
        <v>27</v>
      </c>
      <c r="B30" s="132" t="s">
        <v>210</v>
      </c>
      <c r="C30" s="2">
        <f ca="1">RANK(N30,N8:N32)</f>
        <v>12</v>
      </c>
      <c r="D30" s="166">
        <f ca="1">RANK(P30,P8:P32)</f>
        <v>24</v>
      </c>
      <c r="E30" s="125" t="s">
        <v>212</v>
      </c>
      <c r="F30" s="16">
        <f ca="1">COUNTIFS(Paste_Report_Here!$E$1:$E$2000,E2, OFFSET(Paste_Report_Here!$A$1,0,$A30,2000,1),F$75)</f>
        <v>0</v>
      </c>
      <c r="G30" s="17">
        <f ca="1">COUNTIFS(Paste_Report_Here!$E$1:$E$2000,E2, OFFSET(Paste_Report_Here!$A$1,0,$A30,2000,1),G$75)</f>
        <v>1</v>
      </c>
      <c r="H30" s="17">
        <f ca="1">COUNTIFS(Paste_Report_Here!$E$1:$E$2000,E2, OFFSET(Paste_Report_Here!$A$1,0,$A30,2000,1),H$75)</f>
        <v>32</v>
      </c>
      <c r="I30" s="17">
        <f ca="1">COUNTIFS(Paste_Report_Here!$E$1:$E$2000,E2, OFFSET(Paste_Report_Here!$A$1,0,$A30,2000,1),I$75)</f>
        <v>3</v>
      </c>
      <c r="J30" s="17">
        <f ca="1">COUNTIFS(Paste_Report_Here!$E$1:$E$2000,E2, OFFSET(Paste_Report_Here!$A$1,0,$A30,2000,1),J$75)</f>
        <v>1</v>
      </c>
      <c r="K30" s="18">
        <f ca="1">COUNTIFS(Paste_Report_Here!$E$1:$E$2000,E2, OFFSET(Paste_Report_Here!$A$1,0,$A30,2000,1),K$75)</f>
        <v>1</v>
      </c>
      <c r="L30" s="2">
        <f t="shared" ca="1" si="3"/>
        <v>38</v>
      </c>
      <c r="M30" s="183">
        <f ca="1">SUMPRODUCT(F30:K30,F6:K6)/L:L</f>
        <v>5.263157894736842E-3</v>
      </c>
      <c r="N30" s="2">
        <f t="shared" ca="1" si="1"/>
        <v>1.0052770326412299</v>
      </c>
      <c r="O30" s="152">
        <v>1161.3674380920518</v>
      </c>
      <c r="P30" s="165">
        <f t="shared" ca="1" si="2"/>
        <v>1167.4960119713251</v>
      </c>
    </row>
    <row r="31" spans="1:16" s="132" customFormat="1" x14ac:dyDescent="0.3">
      <c r="A31" s="132">
        <f>MATCH(Calcs!B31,Paste_Report_Here!$1:$1,0) -1</f>
        <v>28</v>
      </c>
      <c r="B31" s="132" t="s">
        <v>143</v>
      </c>
      <c r="C31" s="2">
        <f ca="1">RANK(N31,N8:N32)</f>
        <v>1</v>
      </c>
      <c r="D31" s="166">
        <f ca="1">RANK(P31,P8:P32)</f>
        <v>1</v>
      </c>
      <c r="E31" s="77" t="s">
        <v>172</v>
      </c>
      <c r="F31" s="16">
        <f ca="1">COUNTIFS(Paste_Report_Here!$E$1:$E$2000,E2, OFFSET(Paste_Report_Here!$A$1,0,$A31,2000,1),F$75)</f>
        <v>0</v>
      </c>
      <c r="G31" s="17">
        <f ca="1">COUNTIFS(Paste_Report_Here!$E$1:$E$2000,E2, OFFSET(Paste_Report_Here!$A$1,0,$A31,2000,1),G$75)</f>
        <v>0</v>
      </c>
      <c r="H31" s="17">
        <f ca="1">COUNTIFS(Paste_Report_Here!$E$1:$E$2000,E2, OFFSET(Paste_Report_Here!$A$1,0,$A31,2000,1),H$75)</f>
        <v>7</v>
      </c>
      <c r="I31" s="17">
        <f ca="1">COUNTIFS(Paste_Report_Here!$E$1:$E$2000,E2, OFFSET(Paste_Report_Here!$A$1,0,$A31,2000,1),I$75)</f>
        <v>17</v>
      </c>
      <c r="J31" s="17">
        <f ca="1">COUNTIFS(Paste_Report_Here!$E$1:$E$2000,E2, OFFSET(Paste_Report_Here!$A$1,0,$A31,2000,1),J$75)</f>
        <v>14</v>
      </c>
      <c r="K31" s="18">
        <f ca="1">COUNTIFS(Paste_Report_Here!$E$1:$E$2000,E2, OFFSET(Paste_Report_Here!$A$1,0,$A31,2000,1),K$75)</f>
        <v>0</v>
      </c>
      <c r="L31" s="2">
        <f t="shared" ca="1" si="3"/>
        <v>38</v>
      </c>
      <c r="M31" s="183">
        <f ca="1">SUMPRODUCT(F31:K31,F6:K6)/L:L</f>
        <v>7.3684210526315796E-2</v>
      </c>
      <c r="N31" s="2">
        <f t="shared" ca="1" si="1"/>
        <v>1.0764668149273995</v>
      </c>
      <c r="O31" s="152">
        <v>6021.9290340914531</v>
      </c>
      <c r="P31" s="165">
        <f t="shared" ca="1" si="2"/>
        <v>6482.4067670472577</v>
      </c>
    </row>
    <row r="32" spans="1:16" s="132" customFormat="1" x14ac:dyDescent="0.3">
      <c r="A32" s="132">
        <f>MATCH(Calcs!B32,Paste_Report_Here!$1:$1,0) -1</f>
        <v>29</v>
      </c>
      <c r="B32" s="73" t="s">
        <v>144</v>
      </c>
      <c r="C32" s="147">
        <f ca="1">RANK(N32,N8:N32)</f>
        <v>12</v>
      </c>
      <c r="D32" s="147">
        <f ca="1">RANK(P32,P8:P32)</f>
        <v>10</v>
      </c>
      <c r="E32" s="145" t="s">
        <v>173</v>
      </c>
      <c r="F32" s="146">
        <f ca="1">COUNTIFS(Paste_Report_Here!$E$1:$E$2000,E2, OFFSET(Paste_Report_Here!$A$1,0,$A32,2000,1),F$75)</f>
        <v>0</v>
      </c>
      <c r="G32" s="147">
        <f ca="1">COUNTIFS(Paste_Report_Here!$E$1:$E$2000,E2, OFFSET(Paste_Report_Here!$A$1,0,$A32,2000,1),G$75)</f>
        <v>1</v>
      </c>
      <c r="H32" s="147">
        <f ca="1">COUNTIFS(Paste_Report_Here!$E$1:$E$2000,E2, OFFSET(Paste_Report_Here!$A$1,0,$A32,2000,1),H$75)</f>
        <v>26</v>
      </c>
      <c r="I32" s="147">
        <f ca="1">COUNTIFS(Paste_Report_Here!$E$1:$E$2000,E2, OFFSET(Paste_Report_Here!$A$1,0,$A32,2000,1),I$75)</f>
        <v>10</v>
      </c>
      <c r="J32" s="147">
        <f ca="1">COUNTIFS(Paste_Report_Here!$E$1:$E$2000,E2, OFFSET(Paste_Report_Here!$A$1,0,$A32,2000,1),J$75)</f>
        <v>1</v>
      </c>
      <c r="K32" s="148">
        <f ca="1">COUNTIFS(Paste_Report_Here!$E$1:$E$2000,E2, OFFSET(Paste_Report_Here!$A$1,0,$A32,2000,1),K$75)</f>
        <v>0</v>
      </c>
      <c r="L32" s="147">
        <f t="shared" ca="1" si="3"/>
        <v>38</v>
      </c>
      <c r="M32" s="149">
        <f ca="1">SUMPRODUCT(F32:K32,F6:K6)/L:L</f>
        <v>5.263157894736842E-3</v>
      </c>
      <c r="N32" s="147">
        <f t="shared" ca="1" si="1"/>
        <v>1.0052770326412299</v>
      </c>
      <c r="O32" s="156">
        <v>2270.3370605478103</v>
      </c>
      <c r="P32" s="165">
        <f t="shared" ca="1" si="2"/>
        <v>2282.3177033229149</v>
      </c>
    </row>
    <row r="33" spans="1:16" s="132" customFormat="1" x14ac:dyDescent="0.3">
      <c r="C33" s="2"/>
      <c r="E33" s="140" t="s">
        <v>293</v>
      </c>
      <c r="F33" s="17">
        <f t="shared" ref="F33:L33" ca="1" si="4">SUM(F8:F32)</f>
        <v>1</v>
      </c>
      <c r="G33" s="17">
        <f t="shared" ca="1" si="4"/>
        <v>34</v>
      </c>
      <c r="H33" s="17">
        <f t="shared" ca="1" si="4"/>
        <v>620</v>
      </c>
      <c r="I33" s="17">
        <f t="shared" ca="1" si="4"/>
        <v>232</v>
      </c>
      <c r="J33" s="17">
        <f t="shared" ca="1" si="4"/>
        <v>55</v>
      </c>
      <c r="K33" s="17">
        <f t="shared" ca="1" si="4"/>
        <v>8</v>
      </c>
      <c r="L33" s="17">
        <f t="shared" ca="1" si="4"/>
        <v>950</v>
      </c>
      <c r="M33" s="144">
        <f ca="1">SUMPRODUCT(F33:K33,F6:K6)/L33</f>
        <v>1.136842105263158E-2</v>
      </c>
      <c r="N33" s="2">
        <f t="shared" ca="1" si="1"/>
        <v>1.0114332871264791</v>
      </c>
      <c r="O33" s="152">
        <v>2446.3698492065882</v>
      </c>
      <c r="P33" s="165">
        <f t="shared" ca="1" si="2"/>
        <v>2474.3398981101286</v>
      </c>
    </row>
    <row r="34" spans="1:16" s="132" customFormat="1" x14ac:dyDescent="0.3">
      <c r="A34" s="194"/>
      <c r="B34" s="194"/>
      <c r="C34" s="153"/>
      <c r="D34" s="194"/>
      <c r="E34" s="164"/>
      <c r="F34" s="151"/>
      <c r="G34" s="151"/>
      <c r="H34" s="151"/>
      <c r="I34" s="151"/>
      <c r="J34" s="151"/>
      <c r="K34" s="151"/>
      <c r="L34" s="151"/>
      <c r="M34" s="162"/>
      <c r="N34" s="153"/>
      <c r="O34" s="194"/>
      <c r="P34" s="194"/>
    </row>
    <row r="35" spans="1:16" s="132" customFormat="1" x14ac:dyDescent="0.3">
      <c r="A35" s="165"/>
      <c r="B35" s="165"/>
      <c r="C35" s="165"/>
      <c r="D35" s="165"/>
      <c r="E35" s="173" t="s">
        <v>292</v>
      </c>
      <c r="F35" s="165"/>
      <c r="G35" s="165"/>
      <c r="H35" s="165"/>
      <c r="I35" s="165"/>
      <c r="J35" s="165"/>
      <c r="K35" s="165"/>
      <c r="L35" s="165"/>
      <c r="M35" s="165"/>
      <c r="N35" s="165"/>
      <c r="O35" s="165"/>
      <c r="P35" s="165"/>
    </row>
    <row r="36" spans="1:16" s="132" customFormat="1" x14ac:dyDescent="0.3">
      <c r="A36" s="165"/>
      <c r="B36" s="165"/>
      <c r="C36" s="165"/>
      <c r="D36" s="165"/>
      <c r="E36" s="141">
        <v>40573</v>
      </c>
      <c r="F36" s="165"/>
      <c r="G36" s="165"/>
      <c r="H36" s="165"/>
      <c r="I36" s="165"/>
      <c r="J36" s="165"/>
      <c r="K36" s="165"/>
      <c r="L36" s="165"/>
      <c r="M36" s="165"/>
      <c r="N36" s="165"/>
      <c r="O36" s="165"/>
      <c r="P36" s="165"/>
    </row>
    <row r="37" spans="1:16" s="132" customFormat="1" ht="15" thickBot="1" x14ac:dyDescent="0.35">
      <c r="A37" s="165"/>
      <c r="B37" s="165"/>
      <c r="C37" s="165"/>
      <c r="D37" s="165"/>
      <c r="E37" s="165"/>
      <c r="F37" s="165"/>
      <c r="G37" s="165"/>
      <c r="H37" s="165"/>
      <c r="I37" s="165"/>
      <c r="J37" s="165"/>
      <c r="K37" s="165"/>
      <c r="L37" s="165"/>
      <c r="M37" s="165"/>
      <c r="N37" s="165"/>
      <c r="O37" s="165"/>
      <c r="P37" s="165"/>
    </row>
    <row r="38" spans="1:16" s="132" customFormat="1" ht="24.6" thickBot="1" x14ac:dyDescent="0.35">
      <c r="A38" s="165"/>
      <c r="B38" s="165"/>
      <c r="C38" s="165"/>
      <c r="D38" s="165"/>
      <c r="E38" s="165"/>
      <c r="F38" s="174" t="s">
        <v>23</v>
      </c>
      <c r="G38" s="168" t="s">
        <v>18</v>
      </c>
      <c r="H38" s="168" t="s">
        <v>16</v>
      </c>
      <c r="I38" s="168" t="s">
        <v>17</v>
      </c>
      <c r="J38" s="168" t="s">
        <v>19</v>
      </c>
      <c r="K38" s="169" t="s">
        <v>114</v>
      </c>
      <c r="L38" s="165"/>
      <c r="M38" s="165"/>
      <c r="N38" s="165"/>
      <c r="O38" s="165"/>
      <c r="P38" s="165"/>
    </row>
    <row r="39" spans="1:16" s="132" customFormat="1" ht="15" customHeight="1" x14ac:dyDescent="0.3">
      <c r="A39" s="165"/>
      <c r="B39" s="165"/>
      <c r="C39" s="165"/>
      <c r="D39" s="165"/>
      <c r="E39" s="165"/>
      <c r="F39" s="267" t="s">
        <v>201</v>
      </c>
      <c r="G39" s="268"/>
      <c r="H39" s="268"/>
      <c r="I39" s="268"/>
      <c r="J39" s="268"/>
      <c r="K39" s="169"/>
      <c r="L39" s="165"/>
      <c r="M39" s="165"/>
      <c r="N39" s="165"/>
      <c r="O39" s="165"/>
      <c r="P39" s="165"/>
    </row>
    <row r="40" spans="1:16" s="132" customFormat="1" ht="43.8" thickBot="1" x14ac:dyDescent="0.35">
      <c r="A40" s="142" t="s">
        <v>294</v>
      </c>
      <c r="B40" s="142" t="s">
        <v>295</v>
      </c>
      <c r="C40" s="197" t="s">
        <v>440</v>
      </c>
      <c r="D40" s="142" t="s">
        <v>441</v>
      </c>
      <c r="E40" s="171" t="s">
        <v>30</v>
      </c>
      <c r="F40" s="175">
        <f>Falling_fast</f>
        <v>-0.2</v>
      </c>
      <c r="G40" s="176">
        <f>Falling</f>
        <v>0</v>
      </c>
      <c r="H40" s="177">
        <f>Static</f>
        <v>0</v>
      </c>
      <c r="I40" s="176">
        <f>Rising</f>
        <v>0</v>
      </c>
      <c r="J40" s="178">
        <f>Rising_fast</f>
        <v>0.2</v>
      </c>
      <c r="K40" s="182">
        <v>0</v>
      </c>
      <c r="L40" s="171" t="s">
        <v>28</v>
      </c>
      <c r="M40" s="172" t="s">
        <v>29</v>
      </c>
      <c r="N40" s="143" t="s">
        <v>296</v>
      </c>
      <c r="O40" s="142" t="s">
        <v>297</v>
      </c>
      <c r="P40" s="142" t="s">
        <v>298</v>
      </c>
    </row>
    <row r="41" spans="1:16" s="132" customFormat="1" x14ac:dyDescent="0.3">
      <c r="A41" s="165"/>
      <c r="B41" s="165"/>
      <c r="C41" s="166"/>
      <c r="D41" s="165"/>
      <c r="E41" s="192"/>
      <c r="F41" s="198" t="s">
        <v>151</v>
      </c>
      <c r="G41" s="199" t="s">
        <v>149</v>
      </c>
      <c r="H41" s="199" t="s">
        <v>16</v>
      </c>
      <c r="I41" s="199" t="s">
        <v>148</v>
      </c>
      <c r="J41" s="199" t="s">
        <v>150</v>
      </c>
      <c r="K41" s="200" t="s">
        <v>114</v>
      </c>
      <c r="L41" s="166"/>
      <c r="M41" s="170"/>
      <c r="N41" s="166"/>
      <c r="O41" s="165"/>
      <c r="P41" s="165"/>
    </row>
    <row r="42" spans="1:16" s="132" customFormat="1" x14ac:dyDescent="0.3">
      <c r="A42" s="165">
        <f>MATCH(Calcs!B42,Paste_Report_Here!$1:$1,0) -1</f>
        <v>5</v>
      </c>
      <c r="B42" s="165" t="s">
        <v>124</v>
      </c>
      <c r="C42" s="166">
        <f ca="1">RANK(N42,N42:N66)</f>
        <v>25</v>
      </c>
      <c r="D42" s="166">
        <f ca="1">RANK(P42,P42:P66)</f>
        <v>16</v>
      </c>
      <c r="E42" s="189" t="s">
        <v>152</v>
      </c>
      <c r="F42" s="179">
        <f ca="1">COUNTIFS(Paste_Report_Here!$E$1:$E$2000,E36, OFFSET(Paste_Report_Here!$A$1,0,$A42,2000,1),F$75)</f>
        <v>1</v>
      </c>
      <c r="G42" s="180">
        <f ca="1">COUNTIFS(Paste_Report_Here!$E$1:$E$2000,E36, OFFSET(Paste_Report_Here!$A$1,0,$A42,2000,1),G$75)</f>
        <v>3</v>
      </c>
      <c r="H42" s="180">
        <f ca="1">COUNTIFS(Paste_Report_Here!$E$1:$E$2000,E36, OFFSET(Paste_Report_Here!$A$1,0,$A42,2000,1),H$75)</f>
        <v>38</v>
      </c>
      <c r="I42" s="180">
        <f ca="1">COUNTIFS(Paste_Report_Here!$E$1:$E$2000,E36, OFFSET(Paste_Report_Here!$A$1,0,$A42,2000,1),I$75)</f>
        <v>2</v>
      </c>
      <c r="J42" s="180">
        <f ca="1">COUNTIFS(Paste_Report_Here!$E$1:$E$2000,E36, OFFSET(Paste_Report_Here!$A$1,0,$A42,2000,1),J$75)</f>
        <v>0</v>
      </c>
      <c r="K42" s="181">
        <f ca="1">COUNTIFS(Paste_Report_Here!$E$1:$E$2000,E36, OFFSET(Paste_Report_Here!$A$1,0,$A42,2000,1),K$75)</f>
        <v>0</v>
      </c>
      <c r="L42" s="166">
        <f t="shared" ref="L42:L59" ca="1" si="5">SUM(F42:K42)</f>
        <v>44</v>
      </c>
      <c r="M42" s="183">
        <f ca="1">SUMPRODUCT(F42:K42,F40:K40)/L:L</f>
        <v>-4.5454545454545461E-3</v>
      </c>
      <c r="N42" s="166">
        <f t="shared" ref="N42:N67" ca="1" si="6">EXP(M42)</f>
        <v>0.99546486039843685</v>
      </c>
      <c r="O42" s="165">
        <f ca="1">P8</f>
        <v>2031.5717803983346</v>
      </c>
      <c r="P42" s="165">
        <f t="shared" ref="P42:P67" ca="1" si="7">O42*N42</f>
        <v>2022.3583187636318</v>
      </c>
    </row>
    <row r="43" spans="1:16" s="132" customFormat="1" x14ac:dyDescent="0.3">
      <c r="A43" s="165">
        <f>MATCH(Calcs!B43,Paste_Report_Here!$1:$1,0) -1</f>
        <v>6</v>
      </c>
      <c r="B43" s="165" t="s">
        <v>125</v>
      </c>
      <c r="C43" s="166">
        <f ca="1">RANK(N43,N42:N66)</f>
        <v>14</v>
      </c>
      <c r="D43" s="166">
        <f ca="1">RANK(P43,P42:P66)</f>
        <v>13</v>
      </c>
      <c r="E43" s="189" t="s">
        <v>153</v>
      </c>
      <c r="F43" s="179">
        <f ca="1">COUNTIFS(Paste_Report_Here!$E$1:$E$2000,E36, OFFSET(Paste_Report_Here!$A$1,0,$A43,2000,1),F$75)</f>
        <v>0</v>
      </c>
      <c r="G43" s="180">
        <f ca="1">COUNTIFS(Paste_Report_Here!$E$1:$E$2000,E36, OFFSET(Paste_Report_Here!$A$1,0,$A43,2000,1),G$75)</f>
        <v>4</v>
      </c>
      <c r="H43" s="180">
        <f ca="1">COUNTIFS(Paste_Report_Here!$E$1:$E$2000,E36, OFFSET(Paste_Report_Here!$A$1,0,$A43,2000,1),H$75)</f>
        <v>30</v>
      </c>
      <c r="I43" s="180">
        <f ca="1">COUNTIFS(Paste_Report_Here!$E$1:$E$2000,E36, OFFSET(Paste_Report_Here!$A$1,0,$A43,2000,1),I$75)</f>
        <v>9</v>
      </c>
      <c r="J43" s="180">
        <f ca="1">COUNTIFS(Paste_Report_Here!$E$1:$E$2000,E36, OFFSET(Paste_Report_Here!$A$1,0,$A43,2000,1),J$75)</f>
        <v>0</v>
      </c>
      <c r="K43" s="181">
        <f ca="1">COUNTIFS(Paste_Report_Here!$E$1:$E$2000,E36, OFFSET(Paste_Report_Here!$A$1,0,$A43,2000,1),K$75)</f>
        <v>1</v>
      </c>
      <c r="L43" s="166">
        <f t="shared" ca="1" si="5"/>
        <v>44</v>
      </c>
      <c r="M43" s="183">
        <f ca="1">SUMPRODUCT(F43:K43,F40:K40)/L:L</f>
        <v>0</v>
      </c>
      <c r="N43" s="166">
        <f t="shared" ca="1" si="6"/>
        <v>1</v>
      </c>
      <c r="O43" s="165">
        <f t="shared" ref="O43:O67" ca="1" si="8">P9</f>
        <v>2122.6053218389079</v>
      </c>
      <c r="P43" s="165">
        <f t="shared" ca="1" si="7"/>
        <v>2122.6053218389079</v>
      </c>
    </row>
    <row r="44" spans="1:16" s="132" customFormat="1" x14ac:dyDescent="0.3">
      <c r="A44" s="165">
        <f>MATCH(Calcs!B44,Paste_Report_Here!$1:$1,0) -1</f>
        <v>7</v>
      </c>
      <c r="B44" s="165" t="s">
        <v>126</v>
      </c>
      <c r="C44" s="166">
        <f ca="1">RANK(N44,N42:N66)</f>
        <v>14</v>
      </c>
      <c r="D44" s="166">
        <f ca="1">RANK(P44,P42:P66)</f>
        <v>6</v>
      </c>
      <c r="E44" s="189" t="s">
        <v>154</v>
      </c>
      <c r="F44" s="179">
        <f ca="1">COUNTIFS(Paste_Report_Here!$E$1:$E$2000,E36, OFFSET(Paste_Report_Here!$A$1,0,$A44,2000,1),F$75)</f>
        <v>0</v>
      </c>
      <c r="G44" s="180">
        <f ca="1">COUNTIFS(Paste_Report_Here!$E$1:$E$2000,E36, OFFSET(Paste_Report_Here!$A$1,0,$A44,2000,1),G$75)</f>
        <v>1</v>
      </c>
      <c r="H44" s="180">
        <f ca="1">COUNTIFS(Paste_Report_Here!$E$1:$E$2000,E36, OFFSET(Paste_Report_Here!$A$1,0,$A44,2000,1),H$75)</f>
        <v>26</v>
      </c>
      <c r="I44" s="180">
        <f ca="1">COUNTIFS(Paste_Report_Here!$E$1:$E$2000,E36, OFFSET(Paste_Report_Here!$A$1,0,$A44,2000,1),I$75)</f>
        <v>17</v>
      </c>
      <c r="J44" s="180">
        <f ca="1">COUNTIFS(Paste_Report_Here!$E$1:$E$2000,E36, OFFSET(Paste_Report_Here!$A$1,0,$A44,2000,1),J$75)</f>
        <v>0</v>
      </c>
      <c r="K44" s="181">
        <f ca="1">COUNTIFS(Paste_Report_Here!$E$1:$E$2000,E36, OFFSET(Paste_Report_Here!$A$1,0,$A44,2000,1),K$75)</f>
        <v>0</v>
      </c>
      <c r="L44" s="166">
        <f t="shared" ca="1" si="5"/>
        <v>44</v>
      </c>
      <c r="M44" s="183">
        <f ca="1">SUMPRODUCT(F44:K44,F40:K40)/L:L</f>
        <v>0</v>
      </c>
      <c r="N44" s="166">
        <f t="shared" ca="1" si="6"/>
        <v>1</v>
      </c>
      <c r="O44" s="165">
        <f t="shared" ca="1" si="8"/>
        <v>2805.171621717468</v>
      </c>
      <c r="P44" s="165">
        <f t="shared" ca="1" si="7"/>
        <v>2805.171621717468</v>
      </c>
    </row>
    <row r="45" spans="1:16" s="132" customFormat="1" x14ac:dyDescent="0.3">
      <c r="A45" s="165">
        <f>MATCH(Calcs!B45,Paste_Report_Here!$1:$1,0) -1</f>
        <v>8</v>
      </c>
      <c r="B45" s="165" t="s">
        <v>127</v>
      </c>
      <c r="C45" s="166">
        <f ca="1">RANK(N45,N42:N66)</f>
        <v>5</v>
      </c>
      <c r="D45" s="166">
        <f ca="1">RANK(P45,P42:P66)</f>
        <v>9</v>
      </c>
      <c r="E45" s="189" t="s">
        <v>155</v>
      </c>
      <c r="F45" s="179">
        <f ca="1">COUNTIFS(Paste_Report_Here!$E$1:$E$2000,E36, OFFSET(Paste_Report_Here!$A$1,0,$A45,2000,1),F$75)</f>
        <v>0</v>
      </c>
      <c r="G45" s="180">
        <f ca="1">COUNTIFS(Paste_Report_Here!$E$1:$E$2000,E36, OFFSET(Paste_Report_Here!$A$1,0,$A45,2000,1),G$75)</f>
        <v>2</v>
      </c>
      <c r="H45" s="180">
        <f ca="1">COUNTIFS(Paste_Report_Here!$E$1:$E$2000,E36, OFFSET(Paste_Report_Here!$A$1,0,$A45,2000,1),H$75)</f>
        <v>27</v>
      </c>
      <c r="I45" s="180">
        <f ca="1">COUNTIFS(Paste_Report_Here!$E$1:$E$2000,E36, OFFSET(Paste_Report_Here!$A$1,0,$A45,2000,1),I$75)</f>
        <v>13</v>
      </c>
      <c r="J45" s="180">
        <f ca="1">COUNTIFS(Paste_Report_Here!$E$1:$E$2000,E36, OFFSET(Paste_Report_Here!$A$1,0,$A45,2000,1),J$75)</f>
        <v>2</v>
      </c>
      <c r="K45" s="181">
        <f ca="1">COUNTIFS(Paste_Report_Here!$E$1:$E$2000,E36, OFFSET(Paste_Report_Here!$A$1,0,$A45,2000,1),K$75)</f>
        <v>0</v>
      </c>
      <c r="L45" s="166">
        <f t="shared" ca="1" si="5"/>
        <v>44</v>
      </c>
      <c r="M45" s="183">
        <f ca="1">SUMPRODUCT(F45:K45,F40:K40)/L:L</f>
        <v>9.0909090909090922E-3</v>
      </c>
      <c r="N45" s="166">
        <f t="shared" ca="1" si="6"/>
        <v>1.0091323569091992</v>
      </c>
      <c r="O45" s="165">
        <f t="shared" ca="1" si="8"/>
        <v>2313.3301056847072</v>
      </c>
      <c r="P45" s="165">
        <f t="shared" ca="1" si="7"/>
        <v>2334.4562618586156</v>
      </c>
    </row>
    <row r="46" spans="1:16" s="132" customFormat="1" x14ac:dyDescent="0.3">
      <c r="A46" s="165">
        <f>MATCH(Calcs!B46,Paste_Report_Here!$1:$1,0) -1</f>
        <v>9</v>
      </c>
      <c r="B46" s="165" t="s">
        <v>214</v>
      </c>
      <c r="C46" s="166">
        <f ca="1">RANK(N46,N42:N66)</f>
        <v>2</v>
      </c>
      <c r="D46" s="166">
        <f ca="1">RANK(P46,P42:P66)</f>
        <v>5</v>
      </c>
      <c r="E46" s="189" t="s">
        <v>156</v>
      </c>
      <c r="F46" s="179">
        <f ca="1">COUNTIFS(Paste_Report_Here!$E$1:$E$2000,E36, OFFSET(Paste_Report_Here!$A$1,0,$A46,2000,1),F$75)</f>
        <v>0</v>
      </c>
      <c r="G46" s="180">
        <f ca="1">COUNTIFS(Paste_Report_Here!$E$1:$E$2000,E36, OFFSET(Paste_Report_Here!$A$1,0,$A46,2000,1),G$75)</f>
        <v>3</v>
      </c>
      <c r="H46" s="180">
        <f ca="1">COUNTIFS(Paste_Report_Here!$E$1:$E$2000,E36, OFFSET(Paste_Report_Here!$A$1,0,$A46,2000,1),H$75)</f>
        <v>22</v>
      </c>
      <c r="I46" s="180">
        <f ca="1">COUNTIFS(Paste_Report_Here!$E$1:$E$2000,E36, OFFSET(Paste_Report_Here!$A$1,0,$A46,2000,1),I$75)</f>
        <v>16</v>
      </c>
      <c r="J46" s="180">
        <f ca="1">COUNTIFS(Paste_Report_Here!$E$1:$E$2000,E36, OFFSET(Paste_Report_Here!$A$1,0,$A46,2000,1),J$75)</f>
        <v>3</v>
      </c>
      <c r="K46" s="181">
        <f ca="1">COUNTIFS(Paste_Report_Here!$E$1:$E$2000,E36, OFFSET(Paste_Report_Here!$A$1,0,$A46,2000,1),K$75)</f>
        <v>0</v>
      </c>
      <c r="L46" s="166">
        <f t="shared" ca="1" si="5"/>
        <v>44</v>
      </c>
      <c r="M46" s="183">
        <f ca="1">SUMPRODUCT(F46:K46,F40:K40)/L:L</f>
        <v>1.3636363636363639E-2</v>
      </c>
      <c r="N46" s="166">
        <f t="shared" ca="1" si="6"/>
        <v>1.0137297629022204</v>
      </c>
      <c r="O46" s="165">
        <f t="shared" ca="1" si="8"/>
        <v>3194.9117268975738</v>
      </c>
      <c r="P46" s="165">
        <f t="shared" ca="1" si="7"/>
        <v>3238.7771074014008</v>
      </c>
    </row>
    <row r="47" spans="1:16" s="132" customFormat="1" x14ac:dyDescent="0.3">
      <c r="A47" s="165">
        <f>MATCH(Calcs!B47,Paste_Report_Here!$1:$1,0) -1</f>
        <v>10</v>
      </c>
      <c r="B47" s="165" t="s">
        <v>128</v>
      </c>
      <c r="C47" s="166">
        <f ca="1">RANK(N47,N42:N66)</f>
        <v>5</v>
      </c>
      <c r="D47" s="166">
        <f ca="1">RANK(P47,P42:P66)</f>
        <v>21</v>
      </c>
      <c r="E47" s="189" t="s">
        <v>157</v>
      </c>
      <c r="F47" s="179">
        <f ca="1">COUNTIFS(Paste_Report_Here!$E$1:$E$2000,E36, OFFSET(Paste_Report_Here!$A$1,0,$A47,2000,1),F$75)</f>
        <v>0</v>
      </c>
      <c r="G47" s="180">
        <f ca="1">COUNTIFS(Paste_Report_Here!$E$1:$E$2000,E36, OFFSET(Paste_Report_Here!$A$1,0,$A47,2000,1),G$75)</f>
        <v>2</v>
      </c>
      <c r="H47" s="180">
        <f ca="1">COUNTIFS(Paste_Report_Here!$E$1:$E$2000,E36, OFFSET(Paste_Report_Here!$A$1,0,$A47,2000,1),H$75)</f>
        <v>35</v>
      </c>
      <c r="I47" s="180">
        <f ca="1">COUNTIFS(Paste_Report_Here!$E$1:$E$2000,E36, OFFSET(Paste_Report_Here!$A$1,0,$A47,2000,1),I$75)</f>
        <v>5</v>
      </c>
      <c r="J47" s="180">
        <f ca="1">COUNTIFS(Paste_Report_Here!$E$1:$E$2000,E36, OFFSET(Paste_Report_Here!$A$1,0,$A47,2000,1),J$75)</f>
        <v>2</v>
      </c>
      <c r="K47" s="181">
        <f ca="1">COUNTIFS(Paste_Report_Here!$E$1:$E$2000,E36, OFFSET(Paste_Report_Here!$A$1,0,$A47,2000,1),K$75)</f>
        <v>0</v>
      </c>
      <c r="L47" s="166">
        <f t="shared" ca="1" si="5"/>
        <v>44</v>
      </c>
      <c r="M47" s="183">
        <f ca="1">SUMPRODUCT(F47:K47,F40:K40)/L:L</f>
        <v>9.0909090909090922E-3</v>
      </c>
      <c r="N47" s="166">
        <f t="shared" ca="1" si="6"/>
        <v>1.0091323569091992</v>
      </c>
      <c r="O47" s="165">
        <f t="shared" ca="1" si="8"/>
        <v>1526.5213901489194</v>
      </c>
      <c r="P47" s="165">
        <f t="shared" ca="1" si="7"/>
        <v>1540.4621283132863</v>
      </c>
    </row>
    <row r="48" spans="1:16" s="132" customFormat="1" x14ac:dyDescent="0.3">
      <c r="A48" s="165">
        <f>MATCH(Calcs!B48,Paste_Report_Here!$1:$1,0) -1</f>
        <v>11</v>
      </c>
      <c r="B48" s="165" t="s">
        <v>129</v>
      </c>
      <c r="C48" s="166">
        <f ca="1">RANK(N48,N42:N66)</f>
        <v>5</v>
      </c>
      <c r="D48" s="166">
        <f ca="1">RANK(P48,P42:P66)</f>
        <v>8</v>
      </c>
      <c r="E48" s="189" t="s">
        <v>158</v>
      </c>
      <c r="F48" s="179">
        <f ca="1">COUNTIFS(Paste_Report_Here!$E$1:$E$2000,E36, OFFSET(Paste_Report_Here!$A$1,0,$A48,2000,1),F$75)</f>
        <v>0</v>
      </c>
      <c r="G48" s="180">
        <f ca="1">COUNTIFS(Paste_Report_Here!$E$1:$E$2000,E36, OFFSET(Paste_Report_Here!$A$1,0,$A48,2000,1),G$75)</f>
        <v>2</v>
      </c>
      <c r="H48" s="180">
        <f ca="1">COUNTIFS(Paste_Report_Here!$E$1:$E$2000,E36, OFFSET(Paste_Report_Here!$A$1,0,$A48,2000,1),H$75)</f>
        <v>32</v>
      </c>
      <c r="I48" s="180">
        <f ca="1">COUNTIFS(Paste_Report_Here!$E$1:$E$2000,E36, OFFSET(Paste_Report_Here!$A$1,0,$A48,2000,1),I$75)</f>
        <v>8</v>
      </c>
      <c r="J48" s="180">
        <f ca="1">COUNTIFS(Paste_Report_Here!$E$1:$E$2000,E36, OFFSET(Paste_Report_Here!$A$1,0,$A48,2000,1),J$75)</f>
        <v>2</v>
      </c>
      <c r="K48" s="181">
        <f ca="1">COUNTIFS(Paste_Report_Here!$E$1:$E$2000,E36, OFFSET(Paste_Report_Here!$A$1,0,$A48,2000,1),K$75)</f>
        <v>0</v>
      </c>
      <c r="L48" s="166">
        <f t="shared" ca="1" si="5"/>
        <v>44</v>
      </c>
      <c r="M48" s="183">
        <f ca="1">SUMPRODUCT(F48:K48,F40:K40)/L:L</f>
        <v>9.0909090909090922E-3</v>
      </c>
      <c r="N48" s="166">
        <f t="shared" ca="1" si="6"/>
        <v>1.0091323569091992</v>
      </c>
      <c r="O48" s="165">
        <f t="shared" ca="1" si="8"/>
        <v>2380.0631974314933</v>
      </c>
      <c r="P48" s="165">
        <f t="shared" ca="1" si="7"/>
        <v>2401.7987840168876</v>
      </c>
    </row>
    <row r="49" spans="1:16" s="132" customFormat="1" x14ac:dyDescent="0.3">
      <c r="A49" s="165">
        <f>MATCH(Calcs!B49,Paste_Report_Here!$1:$1,0) -1</f>
        <v>12</v>
      </c>
      <c r="B49" s="165" t="s">
        <v>130</v>
      </c>
      <c r="C49" s="166">
        <f ca="1">RANK(N49,N42:N66)</f>
        <v>14</v>
      </c>
      <c r="D49" s="166">
        <f ca="1">RANK(P49,P42:P66)</f>
        <v>12</v>
      </c>
      <c r="E49" s="189" t="s">
        <v>159</v>
      </c>
      <c r="F49" s="179">
        <f ca="1">COUNTIFS(Paste_Report_Here!$E$1:$E$2000,E36, OFFSET(Paste_Report_Here!$A$1,0,$A49,2000,1),F$75)</f>
        <v>0</v>
      </c>
      <c r="G49" s="180">
        <f ca="1">COUNTIFS(Paste_Report_Here!$E$1:$E$2000,E36, OFFSET(Paste_Report_Here!$A$1,0,$A49,2000,1),G$75)</f>
        <v>3</v>
      </c>
      <c r="H49" s="180">
        <f ca="1">COUNTIFS(Paste_Report_Here!$E$1:$E$2000,E36, OFFSET(Paste_Report_Here!$A$1,0,$A49,2000,1),H$75)</f>
        <v>29</v>
      </c>
      <c r="I49" s="180">
        <f ca="1">COUNTIFS(Paste_Report_Here!$E$1:$E$2000,E36, OFFSET(Paste_Report_Here!$A$1,0,$A49,2000,1),I$75)</f>
        <v>12</v>
      </c>
      <c r="J49" s="180">
        <f ca="1">COUNTIFS(Paste_Report_Here!$E$1:$E$2000,E36, OFFSET(Paste_Report_Here!$A$1,0,$A49,2000,1),J$75)</f>
        <v>0</v>
      </c>
      <c r="K49" s="181">
        <f ca="1">COUNTIFS(Paste_Report_Here!$E$1:$E$2000,E36, OFFSET(Paste_Report_Here!$A$1,0,$A49,2000,1),K$75)</f>
        <v>0</v>
      </c>
      <c r="L49" s="166">
        <f t="shared" ca="1" si="5"/>
        <v>44</v>
      </c>
      <c r="M49" s="183">
        <f ca="1">SUMPRODUCT(F49:K49,F40:K40)/L:L</f>
        <v>0</v>
      </c>
      <c r="N49" s="166">
        <f t="shared" ca="1" si="6"/>
        <v>1</v>
      </c>
      <c r="O49" s="165">
        <f t="shared" ca="1" si="8"/>
        <v>2245.5263723297826</v>
      </c>
      <c r="P49" s="165">
        <f t="shared" ca="1" si="7"/>
        <v>2245.5263723297826</v>
      </c>
    </row>
    <row r="50" spans="1:16" s="132" customFormat="1" x14ac:dyDescent="0.3">
      <c r="A50" s="165">
        <f>MATCH(Calcs!B50,Paste_Report_Here!$1:$1,0) -1</f>
        <v>13</v>
      </c>
      <c r="B50" s="165" t="s">
        <v>131</v>
      </c>
      <c r="C50" s="166">
        <f ca="1">RANK(N50,N42:N66)</f>
        <v>9</v>
      </c>
      <c r="D50" s="166">
        <f ca="1">RANK(P50,P42:P66)</f>
        <v>4</v>
      </c>
      <c r="E50" s="189" t="s">
        <v>160</v>
      </c>
      <c r="F50" s="179">
        <f ca="1">COUNTIFS(Paste_Report_Here!$E$1:$E$2000,E36, OFFSET(Paste_Report_Here!$A$1,0,$A50,2000,1),F$75)</f>
        <v>0</v>
      </c>
      <c r="G50" s="180">
        <f ca="1">COUNTIFS(Paste_Report_Here!$E$1:$E$2000,E36, OFFSET(Paste_Report_Here!$A$1,0,$A50,2000,1),G$75)</f>
        <v>0</v>
      </c>
      <c r="H50" s="180">
        <f ca="1">COUNTIFS(Paste_Report_Here!$E$1:$E$2000,E36, OFFSET(Paste_Report_Here!$A$1,0,$A50,2000,1),H$75)</f>
        <v>25</v>
      </c>
      <c r="I50" s="180">
        <f ca="1">COUNTIFS(Paste_Report_Here!$E$1:$E$2000,E36, OFFSET(Paste_Report_Here!$A$1,0,$A50,2000,1),I$75)</f>
        <v>18</v>
      </c>
      <c r="J50" s="180">
        <f ca="1">COUNTIFS(Paste_Report_Here!$E$1:$E$2000,E36, OFFSET(Paste_Report_Here!$A$1,0,$A50,2000,1),J$75)</f>
        <v>1</v>
      </c>
      <c r="K50" s="181">
        <f ca="1">COUNTIFS(Paste_Report_Here!$E$1:$E$2000,E36, OFFSET(Paste_Report_Here!$A$1,0,$A50,2000,1),K$75)</f>
        <v>0</v>
      </c>
      <c r="L50" s="166">
        <f t="shared" ca="1" si="5"/>
        <v>44</v>
      </c>
      <c r="M50" s="183">
        <f ca="1">SUMPRODUCT(F50:K50,F40:K40)/L:L</f>
        <v>4.5454545454545461E-3</v>
      </c>
      <c r="N50" s="166">
        <f t="shared" ca="1" si="6"/>
        <v>1.0045558007941615</v>
      </c>
      <c r="O50" s="165">
        <f t="shared" ca="1" si="8"/>
        <v>3249.6043321595571</v>
      </c>
      <c r="P50" s="165">
        <f t="shared" ca="1" si="7"/>
        <v>3264.4088821567202</v>
      </c>
    </row>
    <row r="51" spans="1:16" s="132" customFormat="1" x14ac:dyDescent="0.3">
      <c r="A51" s="165">
        <f>MATCH(Calcs!B51,Paste_Report_Here!$1:$1,0) -1</f>
        <v>14</v>
      </c>
      <c r="B51" s="165" t="s">
        <v>132</v>
      </c>
      <c r="C51" s="166">
        <f ca="1">RANK(N51,N42:N66)</f>
        <v>14</v>
      </c>
      <c r="D51" s="166">
        <f ca="1">RANK(P51,P42:P66)</f>
        <v>19</v>
      </c>
      <c r="E51" s="189" t="s">
        <v>161</v>
      </c>
      <c r="F51" s="179">
        <f ca="1">COUNTIFS(Paste_Report_Here!$E$1:$E$2000,E36, OFFSET(Paste_Report_Here!$A$1,0,$A51,2000,1),F$75)</f>
        <v>1</v>
      </c>
      <c r="G51" s="180">
        <f ca="1">COUNTIFS(Paste_Report_Here!$E$1:$E$2000,E36, OFFSET(Paste_Report_Here!$A$1,0,$A51,2000,1),G$75)</f>
        <v>1</v>
      </c>
      <c r="H51" s="180">
        <f ca="1">COUNTIFS(Paste_Report_Here!$E$1:$E$2000,E36, OFFSET(Paste_Report_Here!$A$1,0,$A51,2000,1),H$75)</f>
        <v>35</v>
      </c>
      <c r="I51" s="180">
        <f ca="1">COUNTIFS(Paste_Report_Here!$E$1:$E$2000,E36, OFFSET(Paste_Report_Here!$A$1,0,$A51,2000,1),I$75)</f>
        <v>6</v>
      </c>
      <c r="J51" s="180">
        <f ca="1">COUNTIFS(Paste_Report_Here!$E$1:$E$2000,E36, OFFSET(Paste_Report_Here!$A$1,0,$A51,2000,1),J$75)</f>
        <v>1</v>
      </c>
      <c r="K51" s="181">
        <f ca="1">COUNTIFS(Paste_Report_Here!$E$1:$E$2000,E36, OFFSET(Paste_Report_Here!$A$1,0,$A51,2000,1),K$75)</f>
        <v>0</v>
      </c>
      <c r="L51" s="166">
        <f t="shared" ca="1" si="5"/>
        <v>44</v>
      </c>
      <c r="M51" s="183">
        <f ca="1">SUMPRODUCT(F51:K51,F40:K40)/L:L</f>
        <v>0</v>
      </c>
      <c r="N51" s="166">
        <f t="shared" ca="1" si="6"/>
        <v>1</v>
      </c>
      <c r="O51" s="165">
        <f t="shared" ca="1" si="8"/>
        <v>1854.5989802633883</v>
      </c>
      <c r="P51" s="165">
        <f t="shared" ca="1" si="7"/>
        <v>1854.5989802633883</v>
      </c>
    </row>
    <row r="52" spans="1:16" s="132" customFormat="1" x14ac:dyDescent="0.3">
      <c r="A52" s="165">
        <f>MATCH(Calcs!B52,Paste_Report_Here!$1:$1,0) -1</f>
        <v>15</v>
      </c>
      <c r="B52" s="165" t="s">
        <v>133</v>
      </c>
      <c r="C52" s="166">
        <f ca="1">RANK(N52,N42:N66)</f>
        <v>9</v>
      </c>
      <c r="D52" s="166">
        <f ca="1">RANK(P52,P42:P66)</f>
        <v>7</v>
      </c>
      <c r="E52" s="189" t="s">
        <v>162</v>
      </c>
      <c r="F52" s="179">
        <f ca="1">COUNTIFS(Paste_Report_Here!$E$1:$E$2000,E36, OFFSET(Paste_Report_Here!$A$1,0,$A52,2000,1),F$75)</f>
        <v>0</v>
      </c>
      <c r="G52" s="180">
        <f ca="1">COUNTIFS(Paste_Report_Here!$E$1:$E$2000,E36, OFFSET(Paste_Report_Here!$A$1,0,$A52,2000,1),G$75)</f>
        <v>0</v>
      </c>
      <c r="H52" s="180">
        <f ca="1">COUNTIFS(Paste_Report_Here!$E$1:$E$2000,E36, OFFSET(Paste_Report_Here!$A$1,0,$A52,2000,1),H$75)</f>
        <v>30</v>
      </c>
      <c r="I52" s="180">
        <f ca="1">COUNTIFS(Paste_Report_Here!$E$1:$E$2000,E36, OFFSET(Paste_Report_Here!$A$1,0,$A52,2000,1),I$75)</f>
        <v>13</v>
      </c>
      <c r="J52" s="180">
        <f ca="1">COUNTIFS(Paste_Report_Here!$E$1:$E$2000,E36, OFFSET(Paste_Report_Here!$A$1,0,$A52,2000,1),J$75)</f>
        <v>1</v>
      </c>
      <c r="K52" s="181">
        <f ca="1">COUNTIFS(Paste_Report_Here!$E$1:$E$2000,E36, OFFSET(Paste_Report_Here!$A$1,0,$A52,2000,1),K$75)</f>
        <v>0</v>
      </c>
      <c r="L52" s="166">
        <f t="shared" ca="1" si="5"/>
        <v>44</v>
      </c>
      <c r="M52" s="183">
        <f ca="1">SUMPRODUCT(F52:K52,F40:K40)/L:L</f>
        <v>4.5454545454545461E-3</v>
      </c>
      <c r="N52" s="166">
        <f t="shared" ca="1" si="6"/>
        <v>1.0045558007941615</v>
      </c>
      <c r="O52" s="165">
        <f t="shared" ca="1" si="8"/>
        <v>2501.3156297110586</v>
      </c>
      <c r="P52" s="165">
        <f t="shared" ca="1" si="7"/>
        <v>2512.7111254433448</v>
      </c>
    </row>
    <row r="53" spans="1:16" s="132" customFormat="1" x14ac:dyDescent="0.3">
      <c r="A53" s="165">
        <f>MATCH(Calcs!B53,Paste_Report_Here!$1:$1,0) -1</f>
        <v>16</v>
      </c>
      <c r="B53" s="165" t="s">
        <v>134</v>
      </c>
      <c r="C53" s="166">
        <f ca="1">RANK(N53,N42:N66)</f>
        <v>14</v>
      </c>
      <c r="D53" s="166">
        <f ca="1">RANK(P53,P42:P66)</f>
        <v>25</v>
      </c>
      <c r="E53" s="189" t="s">
        <v>163</v>
      </c>
      <c r="F53" s="179">
        <f ca="1">COUNTIFS(Paste_Report_Here!$E$1:$E$2000,E36, OFFSET(Paste_Report_Here!$A$1,0,$A53,2000,1),F$75)</f>
        <v>0</v>
      </c>
      <c r="G53" s="180">
        <f ca="1">COUNTIFS(Paste_Report_Here!$E$1:$E$2000,E36, OFFSET(Paste_Report_Here!$A$1,0,$A53,2000,1),G$75)</f>
        <v>2</v>
      </c>
      <c r="H53" s="180">
        <f ca="1">COUNTIFS(Paste_Report_Here!$E$1:$E$2000,E36, OFFSET(Paste_Report_Here!$A$1,0,$A53,2000,1),H$75)</f>
        <v>39</v>
      </c>
      <c r="I53" s="180">
        <f ca="1">COUNTIFS(Paste_Report_Here!$E$1:$E$2000,E36, OFFSET(Paste_Report_Here!$A$1,0,$A53,2000,1),I$75)</f>
        <v>2</v>
      </c>
      <c r="J53" s="180">
        <f ca="1">COUNTIFS(Paste_Report_Here!$E$1:$E$2000,E36, OFFSET(Paste_Report_Here!$A$1,0,$A53,2000,1),J$75)</f>
        <v>0</v>
      </c>
      <c r="K53" s="181">
        <f ca="1">COUNTIFS(Paste_Report_Here!$E$1:$E$2000,E36, OFFSET(Paste_Report_Here!$A$1,0,$A53,2000,1),K$75)</f>
        <v>1</v>
      </c>
      <c r="L53" s="166">
        <f t="shared" ca="1" si="5"/>
        <v>44</v>
      </c>
      <c r="M53" s="183">
        <f ca="1">SUMPRODUCT(F53:K53,F40:K40)/L:L</f>
        <v>0</v>
      </c>
      <c r="N53" s="166">
        <f t="shared" ca="1" si="6"/>
        <v>1</v>
      </c>
      <c r="O53" s="165">
        <f t="shared" ca="1" si="8"/>
        <v>1161.2422523843593</v>
      </c>
      <c r="P53" s="165">
        <f t="shared" ca="1" si="7"/>
        <v>1161.2422523843593</v>
      </c>
    </row>
    <row r="54" spans="1:16" s="132" customFormat="1" x14ac:dyDescent="0.3">
      <c r="A54" s="165">
        <f>MATCH(Calcs!B54,Paste_Report_Here!$1:$1,0) -1</f>
        <v>17</v>
      </c>
      <c r="B54" s="165" t="s">
        <v>135</v>
      </c>
      <c r="C54" s="166">
        <f ca="1">RANK(N54,N42:N66)</f>
        <v>2</v>
      </c>
      <c r="D54" s="166">
        <f ca="1">RANK(P54,P42:P66)</f>
        <v>20</v>
      </c>
      <c r="E54" s="189" t="s">
        <v>164</v>
      </c>
      <c r="F54" s="179">
        <f ca="1">COUNTIFS(Paste_Report_Here!$E$1:$E$2000,E36, OFFSET(Paste_Report_Here!$A$1,0,$A54,2000,1),F$75)</f>
        <v>0</v>
      </c>
      <c r="G54" s="180">
        <f ca="1">COUNTIFS(Paste_Report_Here!$E$1:$E$2000,E36, OFFSET(Paste_Report_Here!$A$1,0,$A54,2000,1),G$75)</f>
        <v>2</v>
      </c>
      <c r="H54" s="180">
        <f ca="1">COUNTIFS(Paste_Report_Here!$E$1:$E$2000,E36, OFFSET(Paste_Report_Here!$A$1,0,$A54,2000,1),H$75)</f>
        <v>30</v>
      </c>
      <c r="I54" s="180">
        <f ca="1">COUNTIFS(Paste_Report_Here!$E$1:$E$2000,E36, OFFSET(Paste_Report_Here!$A$1,0,$A54,2000,1),I$75)</f>
        <v>9</v>
      </c>
      <c r="J54" s="180">
        <f ca="1">COUNTIFS(Paste_Report_Here!$E$1:$E$2000,E36, OFFSET(Paste_Report_Here!$A$1,0,$A54,2000,1),J$75)</f>
        <v>3</v>
      </c>
      <c r="K54" s="181">
        <f ca="1">COUNTIFS(Paste_Report_Here!$E$1:$E$2000,E36, OFFSET(Paste_Report_Here!$A$1,0,$A54,2000,1),K$75)</f>
        <v>0</v>
      </c>
      <c r="L54" s="166">
        <f t="shared" ca="1" si="5"/>
        <v>44</v>
      </c>
      <c r="M54" s="183">
        <f ca="1">SUMPRODUCT(F54:K54,F40:K40)/L:L</f>
        <v>1.3636363636363639E-2</v>
      </c>
      <c r="N54" s="166">
        <f t="shared" ca="1" si="6"/>
        <v>1.0137297629022204</v>
      </c>
      <c r="O54" s="165">
        <f t="shared" ca="1" si="8"/>
        <v>1726.8270464597008</v>
      </c>
      <c r="P54" s="165">
        <f t="shared" ca="1" si="7"/>
        <v>1750.5359723807339</v>
      </c>
    </row>
    <row r="55" spans="1:16" s="132" customFormat="1" x14ac:dyDescent="0.3">
      <c r="A55" s="165">
        <f>MATCH(Calcs!B55,Paste_Report_Here!$1:$1,0) -1</f>
        <v>18</v>
      </c>
      <c r="B55" s="165" t="s">
        <v>136</v>
      </c>
      <c r="C55" s="166">
        <f ca="1">RANK(N55,N42:N66)</f>
        <v>14</v>
      </c>
      <c r="D55" s="166">
        <f ca="1">RANK(P55,P42:P66)</f>
        <v>3</v>
      </c>
      <c r="E55" s="189" t="s">
        <v>165</v>
      </c>
      <c r="F55" s="179">
        <f ca="1">COUNTIFS(Paste_Report_Here!$E$1:$E$2000,E36, OFFSET(Paste_Report_Here!$A$1,0,$A55,2000,1),F$75)</f>
        <v>0</v>
      </c>
      <c r="G55" s="180">
        <f ca="1">COUNTIFS(Paste_Report_Here!$E$1:$E$2000,E36, OFFSET(Paste_Report_Here!$A$1,0,$A55,2000,1),G$75)</f>
        <v>1</v>
      </c>
      <c r="H55" s="180">
        <f ca="1">COUNTIFS(Paste_Report_Here!$E$1:$E$2000,E36, OFFSET(Paste_Report_Here!$A$1,0,$A55,2000,1),H$75)</f>
        <v>32</v>
      </c>
      <c r="I55" s="180">
        <f ca="1">COUNTIFS(Paste_Report_Here!$E$1:$E$2000,E36, OFFSET(Paste_Report_Here!$A$1,0,$A55,2000,1),I$75)</f>
        <v>11</v>
      </c>
      <c r="J55" s="180">
        <f ca="1">COUNTIFS(Paste_Report_Here!$E$1:$E$2000,E36, OFFSET(Paste_Report_Here!$A$1,0,$A55,2000,1),J$75)</f>
        <v>0</v>
      </c>
      <c r="K55" s="181">
        <f ca="1">COUNTIFS(Paste_Report_Here!$E$1:$E$2000,E36, OFFSET(Paste_Report_Here!$A$1,0,$A55,2000,1),K$75)</f>
        <v>0</v>
      </c>
      <c r="L55" s="166">
        <f t="shared" ca="1" si="5"/>
        <v>44</v>
      </c>
      <c r="M55" s="183">
        <f ca="1">SUMPRODUCT(F55:K55,F40:K40)/L:L</f>
        <v>0</v>
      </c>
      <c r="N55" s="166">
        <f t="shared" ca="1" si="6"/>
        <v>1</v>
      </c>
      <c r="O55" s="165">
        <f t="shared" ca="1" si="8"/>
        <v>3475.8791767506868</v>
      </c>
      <c r="P55" s="165">
        <f t="shared" ca="1" si="7"/>
        <v>3475.8791767506868</v>
      </c>
    </row>
    <row r="56" spans="1:16" s="132" customFormat="1" x14ac:dyDescent="0.3">
      <c r="A56" s="165">
        <f>MATCH(Calcs!B56,Paste_Report_Here!$1:$1,0) -1</f>
        <v>19</v>
      </c>
      <c r="B56" s="165" t="s">
        <v>137</v>
      </c>
      <c r="C56" s="166">
        <f ca="1">RANK(N56,N42:N66)</f>
        <v>5</v>
      </c>
      <c r="D56" s="166">
        <f ca="1">RANK(P56,P42:P66)</f>
        <v>15</v>
      </c>
      <c r="E56" s="189" t="s">
        <v>166</v>
      </c>
      <c r="F56" s="179">
        <f ca="1">COUNTIFS(Paste_Report_Here!$E$1:$E$2000,E36, OFFSET(Paste_Report_Here!$A$1,0,$A56,2000,1),F$75)</f>
        <v>0</v>
      </c>
      <c r="G56" s="180">
        <f ca="1">COUNTIFS(Paste_Report_Here!$E$1:$E$2000,E36, OFFSET(Paste_Report_Here!$A$1,0,$A56,2000,1),G$75)</f>
        <v>2</v>
      </c>
      <c r="H56" s="180">
        <f ca="1">COUNTIFS(Paste_Report_Here!$E$1:$E$2000,E36, OFFSET(Paste_Report_Here!$A$1,0,$A56,2000,1),H$75)</f>
        <v>31</v>
      </c>
      <c r="I56" s="180">
        <f ca="1">COUNTIFS(Paste_Report_Here!$E$1:$E$2000,E36, OFFSET(Paste_Report_Here!$A$1,0,$A56,2000,1),I$75)</f>
        <v>9</v>
      </c>
      <c r="J56" s="180">
        <f ca="1">COUNTIFS(Paste_Report_Here!$E$1:$E$2000,E36, OFFSET(Paste_Report_Here!$A$1,0,$A56,2000,1),J$75)</f>
        <v>2</v>
      </c>
      <c r="K56" s="181">
        <f ca="1">COUNTIFS(Paste_Report_Here!$E$1:$E$2000,E36, OFFSET(Paste_Report_Here!$A$1,0,$A56,2000,1),K$75)</f>
        <v>0</v>
      </c>
      <c r="L56" s="166">
        <f t="shared" ca="1" si="5"/>
        <v>44</v>
      </c>
      <c r="M56" s="183">
        <f ca="1">SUMPRODUCT(F56:K56,F40:K40)/L:L</f>
        <v>9.0909090909090922E-3</v>
      </c>
      <c r="N56" s="166">
        <f t="shared" ca="1" si="6"/>
        <v>1.0091323569091992</v>
      </c>
      <c r="O56" s="165">
        <f t="shared" ca="1" si="8"/>
        <v>2022.2912602421172</v>
      </c>
      <c r="P56" s="165">
        <f t="shared" ca="1" si="7"/>
        <v>2040.7595458050025</v>
      </c>
    </row>
    <row r="57" spans="1:16" s="132" customFormat="1" x14ac:dyDescent="0.3">
      <c r="A57" s="165">
        <f>MATCH(Calcs!B57,Paste_Report_Here!$1:$1,0) -1</f>
        <v>20</v>
      </c>
      <c r="B57" s="165" t="s">
        <v>138</v>
      </c>
      <c r="C57" s="166">
        <f ca="1">RANK(N57,N42:N66)</f>
        <v>2</v>
      </c>
      <c r="D57" s="166">
        <f ca="1">RANK(P57,P42:P66)</f>
        <v>17</v>
      </c>
      <c r="E57" s="189" t="s">
        <v>167</v>
      </c>
      <c r="F57" s="179">
        <f ca="1">COUNTIFS(Paste_Report_Here!$E$1:$E$2000,E36, OFFSET(Paste_Report_Here!$A$1,0,$A57,2000,1),F$75)</f>
        <v>0</v>
      </c>
      <c r="G57" s="180">
        <f ca="1">COUNTIFS(Paste_Report_Here!$E$1:$E$2000,E36, OFFSET(Paste_Report_Here!$A$1,0,$A57,2000,1),G$75)</f>
        <v>4</v>
      </c>
      <c r="H57" s="180">
        <f ca="1">COUNTIFS(Paste_Report_Here!$E$1:$E$2000,E36, OFFSET(Paste_Report_Here!$A$1,0,$A57,2000,1),H$75)</f>
        <v>30</v>
      </c>
      <c r="I57" s="180">
        <f ca="1">COUNTIFS(Paste_Report_Here!$E$1:$E$2000,E36, OFFSET(Paste_Report_Here!$A$1,0,$A57,2000,1),I$75)</f>
        <v>7</v>
      </c>
      <c r="J57" s="180">
        <f ca="1">COUNTIFS(Paste_Report_Here!$E$1:$E$2000,E36, OFFSET(Paste_Report_Here!$A$1,0,$A57,2000,1),J$75)</f>
        <v>3</v>
      </c>
      <c r="K57" s="181">
        <f ca="1">COUNTIFS(Paste_Report_Here!$E$1:$E$2000,E36, OFFSET(Paste_Report_Here!$A$1,0,$A57,2000,1),K$75)</f>
        <v>0</v>
      </c>
      <c r="L57" s="166">
        <f t="shared" ca="1" si="5"/>
        <v>44</v>
      </c>
      <c r="M57" s="183">
        <f ca="1">SUMPRODUCT(F57:K57,F40:K40)/L:L</f>
        <v>1.3636363636363639E-2</v>
      </c>
      <c r="N57" s="166">
        <f t="shared" ca="1" si="6"/>
        <v>1.0137297629022204</v>
      </c>
      <c r="O57" s="165">
        <f t="shared" ca="1" si="8"/>
        <v>1906.9959541947098</v>
      </c>
      <c r="P57" s="165">
        <f t="shared" ca="1" si="7"/>
        <v>1933.1785565012967</v>
      </c>
    </row>
    <row r="58" spans="1:16" s="132" customFormat="1" x14ac:dyDescent="0.3">
      <c r="A58" s="165">
        <f>MATCH(Calcs!B58,Paste_Report_Here!$1:$1,0) -1</f>
        <v>21</v>
      </c>
      <c r="B58" s="165" t="s">
        <v>139</v>
      </c>
      <c r="C58" s="166">
        <f ca="1">RANK(N58,N42:N66)</f>
        <v>14</v>
      </c>
      <c r="D58" s="166">
        <f ca="1">RANK(P58,P42:P66)</f>
        <v>14</v>
      </c>
      <c r="E58" s="189" t="s">
        <v>168</v>
      </c>
      <c r="F58" s="179">
        <f ca="1">COUNTIFS(Paste_Report_Here!$E$1:$E$2000,E36, OFFSET(Paste_Report_Here!$A$1,0,$A58,2000,1),F$75)</f>
        <v>0</v>
      </c>
      <c r="G58" s="180">
        <f ca="1">COUNTIFS(Paste_Report_Here!$E$1:$E$2000,E36, OFFSET(Paste_Report_Here!$A$1,0,$A58,2000,1),G$75)</f>
        <v>1</v>
      </c>
      <c r="H58" s="180">
        <f ca="1">COUNTIFS(Paste_Report_Here!$E$1:$E$2000,E36, OFFSET(Paste_Report_Here!$A$1,0,$A58,2000,1),H$75)</f>
        <v>31</v>
      </c>
      <c r="I58" s="180">
        <f ca="1">COUNTIFS(Paste_Report_Here!$E$1:$E$2000,E36, OFFSET(Paste_Report_Here!$A$1,0,$A58,2000,1),I$75)</f>
        <v>11</v>
      </c>
      <c r="J58" s="180">
        <f ca="1">COUNTIFS(Paste_Report_Here!$E$1:$E$2000,E36, OFFSET(Paste_Report_Here!$A$1,0,$A58,2000,1),J$75)</f>
        <v>0</v>
      </c>
      <c r="K58" s="181">
        <f ca="1">COUNTIFS(Paste_Report_Here!$E$1:$E$2000,E36, OFFSET(Paste_Report_Here!$A$1,0,$A58,2000,1),K$75)</f>
        <v>1</v>
      </c>
      <c r="L58" s="166">
        <f t="shared" ca="1" si="5"/>
        <v>44</v>
      </c>
      <c r="M58" s="183">
        <f ca="1">SUMPRODUCT(F58:K58,F40:K40)/L:L</f>
        <v>0</v>
      </c>
      <c r="N58" s="166">
        <f t="shared" ca="1" si="6"/>
        <v>1</v>
      </c>
      <c r="O58" s="165">
        <f t="shared" ca="1" si="8"/>
        <v>2077.6419514264135</v>
      </c>
      <c r="P58" s="165">
        <f t="shared" ca="1" si="7"/>
        <v>2077.6419514264135</v>
      </c>
    </row>
    <row r="59" spans="1:16" s="132" customFormat="1" x14ac:dyDescent="0.3">
      <c r="A59" s="165">
        <f>MATCH(Calcs!B59,Paste_Report_Here!$1:$1,0) -1</f>
        <v>22</v>
      </c>
      <c r="B59" s="165" t="s">
        <v>140</v>
      </c>
      <c r="C59" s="166">
        <f ca="1">RANK(N59,N42:N66)</f>
        <v>14</v>
      </c>
      <c r="D59" s="166">
        <f ca="1">RANK(P59,P42:P66)</f>
        <v>18</v>
      </c>
      <c r="E59" s="189" t="s">
        <v>169</v>
      </c>
      <c r="F59" s="179">
        <f ca="1">COUNTIFS(Paste_Report_Here!$E$1:$E$2000,E36, OFFSET(Paste_Report_Here!$A$1,0,$A59,2000,1),F$75)</f>
        <v>0</v>
      </c>
      <c r="G59" s="180">
        <f ca="1">COUNTIFS(Paste_Report_Here!$E$1:$E$2000,E36, OFFSET(Paste_Report_Here!$A$1,0,$A59,2000,1),G$75)</f>
        <v>1</v>
      </c>
      <c r="H59" s="180">
        <f ca="1">COUNTIFS(Paste_Report_Here!$E$1:$E$2000,E36, OFFSET(Paste_Report_Here!$A$1,0,$A59,2000,1),H$75)</f>
        <v>36</v>
      </c>
      <c r="I59" s="180">
        <f ca="1">COUNTIFS(Paste_Report_Here!$E$1:$E$2000,E36, OFFSET(Paste_Report_Here!$A$1,0,$A59,2000,1),I$75)</f>
        <v>7</v>
      </c>
      <c r="J59" s="180">
        <f ca="1">COUNTIFS(Paste_Report_Here!$E$1:$E$2000,E36, OFFSET(Paste_Report_Here!$A$1,0,$A59,2000,1),J$75)</f>
        <v>0</v>
      </c>
      <c r="K59" s="181">
        <f ca="1">COUNTIFS(Paste_Report_Here!$E$1:$E$2000,E36, OFFSET(Paste_Report_Here!$A$1,0,$A59,2000,1),K$75)</f>
        <v>0</v>
      </c>
      <c r="L59" s="166">
        <f t="shared" ca="1" si="5"/>
        <v>44</v>
      </c>
      <c r="M59" s="183">
        <f ca="1">SUMPRODUCT(F59:K59,F40:K40)/L:L</f>
        <v>0</v>
      </c>
      <c r="N59" s="166">
        <f t="shared" ca="1" si="6"/>
        <v>1</v>
      </c>
      <c r="O59" s="165">
        <f t="shared" ca="1" si="8"/>
        <v>1928.3110790744345</v>
      </c>
      <c r="P59" s="165">
        <f t="shared" ca="1" si="7"/>
        <v>1928.3110790744345</v>
      </c>
    </row>
    <row r="60" spans="1:16" s="132" customFormat="1" x14ac:dyDescent="0.3">
      <c r="A60" s="165">
        <f>MATCH(Calcs!B60,Paste_Report_Here!$1:$1,0) -1</f>
        <v>23</v>
      </c>
      <c r="B60" s="165" t="s">
        <v>186</v>
      </c>
      <c r="C60" s="166">
        <f ca="1">RANK(N60,N42:N66)</f>
        <v>14</v>
      </c>
      <c r="D60" s="166">
        <f ca="1">RANK(P60,P42:P66)</f>
        <v>2</v>
      </c>
      <c r="E60" s="189" t="s">
        <v>180</v>
      </c>
      <c r="F60" s="179">
        <f ca="1">COUNTIFS(Paste_Report_Here!$E$1:$E$2000,E36, OFFSET(Paste_Report_Here!$A$1,0,$A60,2000,1),F$75)</f>
        <v>0</v>
      </c>
      <c r="G60" s="180">
        <f ca="1">COUNTIFS(Paste_Report_Here!$E$1:$E$2000,E36, OFFSET(Paste_Report_Here!$A$1,0,$A60,2000,1),G$75)</f>
        <v>0</v>
      </c>
      <c r="H60" s="180">
        <f ca="1">COUNTIFS(Paste_Report_Here!$E$1:$E$2000,E36, OFFSET(Paste_Report_Here!$A$1,0,$A60,2000,1),H$75)</f>
        <v>33</v>
      </c>
      <c r="I60" s="180">
        <f ca="1">COUNTIFS(Paste_Report_Here!$E$1:$E$2000,E36, OFFSET(Paste_Report_Here!$A$1,0,$A60,2000,1),I$75)</f>
        <v>9</v>
      </c>
      <c r="J60" s="180">
        <f ca="1">COUNTIFS(Paste_Report_Here!$E$1:$E$2000,E36, OFFSET(Paste_Report_Here!$A$1,0,$A60,2000,1),J$75)</f>
        <v>0</v>
      </c>
      <c r="K60" s="181">
        <f ca="1">COUNTIFS(Paste_Report_Here!$E$1:$E$2000,E36, OFFSET(Paste_Report_Here!$A$1,0,$A60,2000,1),K$75)</f>
        <v>2</v>
      </c>
      <c r="L60" s="166">
        <f t="shared" ref="L60:L66" ca="1" si="9">SUM(F60:K60)</f>
        <v>44</v>
      </c>
      <c r="M60" s="183">
        <f ca="1">SUMPRODUCT(F60:K60,F40:K40)/L:L</f>
        <v>0</v>
      </c>
      <c r="N60" s="166">
        <f t="shared" ca="1" si="6"/>
        <v>1</v>
      </c>
      <c r="O60" s="165">
        <f t="shared" ca="1" si="8"/>
        <v>3557.6125921075859</v>
      </c>
      <c r="P60" s="165">
        <f t="shared" ca="1" si="7"/>
        <v>3557.6125921075859</v>
      </c>
    </row>
    <row r="61" spans="1:16" s="132" customFormat="1" x14ac:dyDescent="0.3">
      <c r="A61" s="165">
        <f>MATCH(Calcs!B61,Paste_Report_Here!$1:$1,0) -1</f>
        <v>24</v>
      </c>
      <c r="B61" s="165" t="s">
        <v>209</v>
      </c>
      <c r="C61" s="166">
        <f ca="1">RANK(N61,N42:N66)</f>
        <v>14</v>
      </c>
      <c r="D61" s="166">
        <f ca="1">RANK(P61,P42:P66)</f>
        <v>23</v>
      </c>
      <c r="E61" s="202" t="s">
        <v>211</v>
      </c>
      <c r="F61" s="179">
        <f ca="1">COUNTIFS(Paste_Report_Here!$E$1:$E$2000,E36, OFFSET(Paste_Report_Here!$A$1,0,$A61,2000,1),F$75)</f>
        <v>0</v>
      </c>
      <c r="G61" s="180">
        <f ca="1">COUNTIFS(Paste_Report_Here!$E$1:$E$2000,E36, OFFSET(Paste_Report_Here!$A$1,0,$A61,2000,1),G$75)</f>
        <v>2</v>
      </c>
      <c r="H61" s="180">
        <f ca="1">COUNTIFS(Paste_Report_Here!$E$1:$E$2000,E36, OFFSET(Paste_Report_Here!$A$1,0,$A61,2000,1),H$75)</f>
        <v>34</v>
      </c>
      <c r="I61" s="180">
        <f ca="1">COUNTIFS(Paste_Report_Here!$E$1:$E$2000,E36, OFFSET(Paste_Report_Here!$A$1,0,$A61,2000,1),I$75)</f>
        <v>2</v>
      </c>
      <c r="J61" s="180">
        <f ca="1">COUNTIFS(Paste_Report_Here!$E$1:$E$2000,E36, OFFSET(Paste_Report_Here!$A$1,0,$A61,2000,1),J$75)</f>
        <v>0</v>
      </c>
      <c r="K61" s="181">
        <f ca="1">COUNTIFS(Paste_Report_Here!$E$1:$E$2000,E36, OFFSET(Paste_Report_Here!$A$1,0,$A61,2000,1),K$75)</f>
        <v>6</v>
      </c>
      <c r="L61" s="166">
        <f t="shared" ca="1" si="9"/>
        <v>44</v>
      </c>
      <c r="M61" s="183">
        <f ca="1">SUMPRODUCT(F61:K61,F40:K40)/L:L</f>
        <v>0</v>
      </c>
      <c r="N61" s="166">
        <f t="shared" ca="1" si="6"/>
        <v>1</v>
      </c>
      <c r="O61" s="165">
        <f t="shared" ca="1" si="8"/>
        <v>1171.4993966260608</v>
      </c>
      <c r="P61" s="165">
        <f t="shared" ca="1" si="7"/>
        <v>1171.4993966260608</v>
      </c>
    </row>
    <row r="62" spans="1:16" s="132" customFormat="1" x14ac:dyDescent="0.3">
      <c r="A62" s="165">
        <f>MATCH(Calcs!B62,Paste_Report_Here!$1:$1,0) -1</f>
        <v>25</v>
      </c>
      <c r="B62" s="165" t="s">
        <v>141</v>
      </c>
      <c r="C62" s="166">
        <f ca="1">RANK(N62,N42:N66)</f>
        <v>9</v>
      </c>
      <c r="D62" s="166">
        <f ca="1">RANK(P62,P42:P66)</f>
        <v>22</v>
      </c>
      <c r="E62" s="189" t="s">
        <v>170</v>
      </c>
      <c r="F62" s="179">
        <f ca="1">COUNTIFS(Paste_Report_Here!$E$1:$E$2000,E36, OFFSET(Paste_Report_Here!$A$1,0,$A62,2000,1),F$75)</f>
        <v>0</v>
      </c>
      <c r="G62" s="180">
        <f ca="1">COUNTIFS(Paste_Report_Here!$E$1:$E$2000,E36, OFFSET(Paste_Report_Here!$A$1,0,$A62,2000,1),G$75)</f>
        <v>3</v>
      </c>
      <c r="H62" s="180">
        <f ca="1">COUNTIFS(Paste_Report_Here!$E$1:$E$2000,E36, OFFSET(Paste_Report_Here!$A$1,0,$A62,2000,1),H$75)</f>
        <v>37</v>
      </c>
      <c r="I62" s="180">
        <f ca="1">COUNTIFS(Paste_Report_Here!$E$1:$E$2000,E36, OFFSET(Paste_Report_Here!$A$1,0,$A62,2000,1),I$75)</f>
        <v>3</v>
      </c>
      <c r="J62" s="180">
        <f ca="1">COUNTIFS(Paste_Report_Here!$E$1:$E$2000,E36, OFFSET(Paste_Report_Here!$A$1,0,$A62,2000,1),J$75)</f>
        <v>1</v>
      </c>
      <c r="K62" s="181">
        <f ca="1">COUNTIFS(Paste_Report_Here!$E$1:$E$2000,E36, OFFSET(Paste_Report_Here!$A$1,0,$A62,2000,1),K$75)</f>
        <v>0</v>
      </c>
      <c r="L62" s="166">
        <f t="shared" ca="1" si="9"/>
        <v>44</v>
      </c>
      <c r="M62" s="183">
        <f ca="1">SUMPRODUCT(F62:K62,F40:K40)/L:L</f>
        <v>4.5454545454545461E-3</v>
      </c>
      <c r="N62" s="166">
        <f t="shared" ca="1" si="6"/>
        <v>1.0045558007941615</v>
      </c>
      <c r="O62" s="165">
        <f t="shared" ca="1" si="8"/>
        <v>1382.0277458677799</v>
      </c>
      <c r="P62" s="165">
        <f t="shared" ca="1" si="7"/>
        <v>1388.3239889699576</v>
      </c>
    </row>
    <row r="63" spans="1:16" s="132" customFormat="1" x14ac:dyDescent="0.3">
      <c r="A63" s="165">
        <f>MATCH(Calcs!B63,Paste_Report_Here!$1:$1,0) -1</f>
        <v>26</v>
      </c>
      <c r="B63" s="165" t="s">
        <v>142</v>
      </c>
      <c r="C63" s="166">
        <f ca="1">RANK(N63,N42:N66)</f>
        <v>9</v>
      </c>
      <c r="D63" s="166">
        <f ca="1">RANK(P63,P42:P66)</f>
        <v>11</v>
      </c>
      <c r="E63" s="189" t="s">
        <v>171</v>
      </c>
      <c r="F63" s="179">
        <f ca="1">COUNTIFS(Paste_Report_Here!$E$1:$E$2000,E36, OFFSET(Paste_Report_Here!$A$1,0,$A63,2000,1),F$75)</f>
        <v>0</v>
      </c>
      <c r="G63" s="180">
        <f ca="1">COUNTIFS(Paste_Report_Here!$E$1:$E$2000,E36, OFFSET(Paste_Report_Here!$A$1,0,$A63,2000,1),G$75)</f>
        <v>2</v>
      </c>
      <c r="H63" s="180">
        <f ca="1">COUNTIFS(Paste_Report_Here!$E$1:$E$2000,E36, OFFSET(Paste_Report_Here!$A$1,0,$A63,2000,1),H$75)</f>
        <v>31</v>
      </c>
      <c r="I63" s="180">
        <f ca="1">COUNTIFS(Paste_Report_Here!$E$1:$E$2000,E36, OFFSET(Paste_Report_Here!$A$1,0,$A63,2000,1),I$75)</f>
        <v>10</v>
      </c>
      <c r="J63" s="180">
        <f ca="1">COUNTIFS(Paste_Report_Here!$E$1:$E$2000,E36, OFFSET(Paste_Report_Here!$A$1,0,$A63,2000,1),J$75)</f>
        <v>1</v>
      </c>
      <c r="K63" s="181">
        <f ca="1">COUNTIFS(Paste_Report_Here!$E$1:$E$2000,E36, OFFSET(Paste_Report_Here!$A$1,0,$A63,2000,1),K$75)</f>
        <v>0</v>
      </c>
      <c r="L63" s="166">
        <f t="shared" ca="1" si="9"/>
        <v>44</v>
      </c>
      <c r="M63" s="183">
        <f ca="1">SUMPRODUCT(F63:K63,F40:K40)/L:L</f>
        <v>4.5454545454545461E-3</v>
      </c>
      <c r="N63" s="166">
        <f t="shared" ca="1" si="6"/>
        <v>1.0045558007941615</v>
      </c>
      <c r="O63" s="165">
        <f t="shared" ca="1" si="8"/>
        <v>2262.1365458737282</v>
      </c>
      <c r="P63" s="165">
        <f t="shared" ca="1" si="7"/>
        <v>2272.4423893459216</v>
      </c>
    </row>
    <row r="64" spans="1:16" s="132" customFormat="1" x14ac:dyDescent="0.3">
      <c r="A64" s="165">
        <f>MATCH(Calcs!B64,Paste_Report_Here!$1:$1,0) -1</f>
        <v>27</v>
      </c>
      <c r="B64" s="165" t="s">
        <v>210</v>
      </c>
      <c r="C64" s="166">
        <f ca="1">RANK(N64,N42:N66)</f>
        <v>14</v>
      </c>
      <c r="D64" s="166">
        <f ca="1">RANK(P64,P42:P66)</f>
        <v>24</v>
      </c>
      <c r="E64" s="202" t="s">
        <v>212</v>
      </c>
      <c r="F64" s="179">
        <f ca="1">COUNTIFS(Paste_Report_Here!$E$1:$E$2000,E36, OFFSET(Paste_Report_Here!$A$1,0,$A64,2000,1),F$75)</f>
        <v>0</v>
      </c>
      <c r="G64" s="180">
        <f ca="1">COUNTIFS(Paste_Report_Here!$E$1:$E$2000,E36, OFFSET(Paste_Report_Here!$A$1,0,$A64,2000,1),G$75)</f>
        <v>1</v>
      </c>
      <c r="H64" s="180">
        <f ca="1">COUNTIFS(Paste_Report_Here!$E$1:$E$2000,E36, OFFSET(Paste_Report_Here!$A$1,0,$A64,2000,1),H$75)</f>
        <v>41</v>
      </c>
      <c r="I64" s="180">
        <f ca="1">COUNTIFS(Paste_Report_Here!$E$1:$E$2000,E36, OFFSET(Paste_Report_Here!$A$1,0,$A64,2000,1),I$75)</f>
        <v>2</v>
      </c>
      <c r="J64" s="180">
        <f ca="1">COUNTIFS(Paste_Report_Here!$E$1:$E$2000,E36, OFFSET(Paste_Report_Here!$A$1,0,$A64,2000,1),J$75)</f>
        <v>0</v>
      </c>
      <c r="K64" s="181">
        <f ca="1">COUNTIFS(Paste_Report_Here!$E$1:$E$2000,E36, OFFSET(Paste_Report_Here!$A$1,0,$A64,2000,1),K$75)</f>
        <v>0</v>
      </c>
      <c r="L64" s="166">
        <f t="shared" ca="1" si="9"/>
        <v>44</v>
      </c>
      <c r="M64" s="183">
        <f ca="1">SUMPRODUCT(F64:K64,F40:K40)/L:L</f>
        <v>0</v>
      </c>
      <c r="N64" s="166">
        <f t="shared" ca="1" si="6"/>
        <v>1</v>
      </c>
      <c r="O64" s="165">
        <f t="shared" ca="1" si="8"/>
        <v>1167.4960119713251</v>
      </c>
      <c r="P64" s="165">
        <f t="shared" ca="1" si="7"/>
        <v>1167.4960119713251</v>
      </c>
    </row>
    <row r="65" spans="1:17" s="132" customFormat="1" x14ac:dyDescent="0.3">
      <c r="A65" s="165">
        <f>MATCH(Calcs!B65,Paste_Report_Here!$1:$1,0) -1</f>
        <v>28</v>
      </c>
      <c r="B65" s="165" t="s">
        <v>143</v>
      </c>
      <c r="C65" s="166">
        <f ca="1">RANK(N65,N42:N66)</f>
        <v>1</v>
      </c>
      <c r="D65" s="166">
        <f ca="1">RANK(P65,P42:P66)</f>
        <v>1</v>
      </c>
      <c r="E65" s="189" t="s">
        <v>172</v>
      </c>
      <c r="F65" s="179">
        <f ca="1">COUNTIFS(Paste_Report_Here!$E$1:$E$2000,E36, OFFSET(Paste_Report_Here!$A$1,0,$A65,2000,1),F$75)</f>
        <v>1</v>
      </c>
      <c r="G65" s="180">
        <f ca="1">COUNTIFS(Paste_Report_Here!$E$1:$E$2000,E36, OFFSET(Paste_Report_Here!$A$1,0,$A65,2000,1),G$75)</f>
        <v>4</v>
      </c>
      <c r="H65" s="180">
        <f ca="1">COUNTIFS(Paste_Report_Here!$E$1:$E$2000,E36, OFFSET(Paste_Report_Here!$A$1,0,$A65,2000,1),H$75)</f>
        <v>13</v>
      </c>
      <c r="I65" s="180">
        <f ca="1">COUNTIFS(Paste_Report_Here!$E$1:$E$2000,E36, OFFSET(Paste_Report_Here!$A$1,0,$A65,2000,1),I$75)</f>
        <v>21</v>
      </c>
      <c r="J65" s="180">
        <f ca="1">COUNTIFS(Paste_Report_Here!$E$1:$E$2000,E36, OFFSET(Paste_Report_Here!$A$1,0,$A65,2000,1),J$75)</f>
        <v>5</v>
      </c>
      <c r="K65" s="181">
        <f ca="1">COUNTIFS(Paste_Report_Here!$E$1:$E$2000,E36, OFFSET(Paste_Report_Here!$A$1,0,$A65,2000,1),K$75)</f>
        <v>0</v>
      </c>
      <c r="L65" s="166">
        <f t="shared" ca="1" si="9"/>
        <v>44</v>
      </c>
      <c r="M65" s="183">
        <f ca="1">SUMPRODUCT(F65:K65,F40:K40)/L:L</f>
        <v>1.8181818181818184E-2</v>
      </c>
      <c r="N65" s="166">
        <f t="shared" ca="1" si="6"/>
        <v>1.0183481137611157</v>
      </c>
      <c r="O65" s="165">
        <f t="shared" ca="1" si="8"/>
        <v>6482.4067670472577</v>
      </c>
      <c r="P65" s="165">
        <f t="shared" ca="1" si="7"/>
        <v>6601.346703854867</v>
      </c>
    </row>
    <row r="66" spans="1:17" s="132" customFormat="1" x14ac:dyDescent="0.3">
      <c r="A66" s="165">
        <f>MATCH(Calcs!B66,Paste_Report_Here!$1:$1,0) -1</f>
        <v>29</v>
      </c>
      <c r="B66" s="187" t="s">
        <v>144</v>
      </c>
      <c r="C66" s="147">
        <f ca="1">RANK(N66,N42:N66)</f>
        <v>9</v>
      </c>
      <c r="D66" s="147">
        <f ca="1">RANK(P66,P42:P66)</f>
        <v>10</v>
      </c>
      <c r="E66" s="145" t="s">
        <v>173</v>
      </c>
      <c r="F66" s="146">
        <f ca="1">COUNTIFS(Paste_Report_Here!$E$1:$E$2000,E36, OFFSET(Paste_Report_Here!$A$1,0,$A66,2000,1),F$75)</f>
        <v>0</v>
      </c>
      <c r="G66" s="147">
        <f ca="1">COUNTIFS(Paste_Report_Here!$E$1:$E$2000,E36, OFFSET(Paste_Report_Here!$A$1,0,$A66,2000,1),G$75)</f>
        <v>3</v>
      </c>
      <c r="H66" s="147">
        <f ca="1">COUNTIFS(Paste_Report_Here!$E$1:$E$2000,E36, OFFSET(Paste_Report_Here!$A$1,0,$A66,2000,1),H$75)</f>
        <v>34</v>
      </c>
      <c r="I66" s="147">
        <f ca="1">COUNTIFS(Paste_Report_Here!$E$1:$E$2000,E36, OFFSET(Paste_Report_Here!$A$1,0,$A66,2000,1),I$75)</f>
        <v>6</v>
      </c>
      <c r="J66" s="147">
        <f ca="1">COUNTIFS(Paste_Report_Here!$E$1:$E$2000,E36, OFFSET(Paste_Report_Here!$A$1,0,$A66,2000,1),J$75)</f>
        <v>1</v>
      </c>
      <c r="K66" s="148">
        <f ca="1">COUNTIFS(Paste_Report_Here!$E$1:$E$2000,E36, OFFSET(Paste_Report_Here!$A$1,0,$A66,2000,1),K$75)</f>
        <v>0</v>
      </c>
      <c r="L66" s="147">
        <f t="shared" ca="1" si="9"/>
        <v>44</v>
      </c>
      <c r="M66" s="149">
        <f ca="1">SUMPRODUCT(F66:K66,F40:K40)/L:L</f>
        <v>4.5454545454545461E-3</v>
      </c>
      <c r="N66" s="147">
        <f t="shared" ca="1" si="6"/>
        <v>1.0045558007941615</v>
      </c>
      <c r="O66" s="187">
        <f t="shared" ca="1" si="8"/>
        <v>2282.3177033229149</v>
      </c>
      <c r="P66" s="165">
        <f t="shared" ca="1" si="7"/>
        <v>2292.7154881282422</v>
      </c>
    </row>
    <row r="67" spans="1:17" s="132" customFormat="1" x14ac:dyDescent="0.3">
      <c r="A67" s="165"/>
      <c r="B67" s="165"/>
      <c r="C67" s="166"/>
      <c r="D67" s="165"/>
      <c r="E67" s="140" t="s">
        <v>293</v>
      </c>
      <c r="F67" s="180">
        <f t="shared" ref="F67:L67" ca="1" si="10">SUM(F42:F66)</f>
        <v>3</v>
      </c>
      <c r="G67" s="180">
        <f t="shared" ca="1" si="10"/>
        <v>49</v>
      </c>
      <c r="H67" s="180">
        <f t="shared" ca="1" si="10"/>
        <v>781</v>
      </c>
      <c r="I67" s="180">
        <f t="shared" ca="1" si="10"/>
        <v>228</v>
      </c>
      <c r="J67" s="180">
        <f t="shared" ca="1" si="10"/>
        <v>28</v>
      </c>
      <c r="K67" s="180">
        <f t="shared" ca="1" si="10"/>
        <v>11</v>
      </c>
      <c r="L67" s="180">
        <f t="shared" ca="1" si="10"/>
        <v>1100</v>
      </c>
      <c r="M67" s="144">
        <f ca="1">SUMPRODUCT(F67:K67,F40:K40)/L67</f>
        <v>4.5454545454545452E-3</v>
      </c>
      <c r="N67" s="166">
        <f t="shared" ca="1" si="6"/>
        <v>1.0045558007941615</v>
      </c>
      <c r="O67" s="165">
        <f t="shared" ca="1" si="8"/>
        <v>2474.3398981101286</v>
      </c>
      <c r="P67" s="165">
        <f t="shared" ca="1" si="7"/>
        <v>2485.6124977829641</v>
      </c>
    </row>
    <row r="68" spans="1:17" s="132" customFormat="1" x14ac:dyDescent="0.3">
      <c r="A68" s="194"/>
      <c r="B68" s="194"/>
      <c r="C68" s="153"/>
      <c r="D68" s="194"/>
      <c r="E68" s="164"/>
      <c r="F68" s="151"/>
      <c r="G68" s="151"/>
      <c r="H68" s="151"/>
      <c r="I68" s="151"/>
      <c r="J68" s="151"/>
      <c r="K68" s="151"/>
      <c r="L68" s="151"/>
      <c r="M68" s="162"/>
      <c r="N68" s="153"/>
      <c r="O68" s="194"/>
      <c r="P68" s="194"/>
    </row>
    <row r="69" spans="1:17" x14ac:dyDescent="0.3">
      <c r="A69" s="165"/>
      <c r="B69" s="165"/>
      <c r="C69" s="165"/>
      <c r="D69" s="165"/>
      <c r="E69" s="173" t="s">
        <v>292</v>
      </c>
      <c r="F69" s="165"/>
      <c r="G69" s="165"/>
      <c r="H69" s="165"/>
      <c r="I69" s="165"/>
      <c r="J69" s="165"/>
      <c r="K69" s="165"/>
      <c r="L69" s="165"/>
      <c r="M69" s="165"/>
      <c r="N69" s="165"/>
      <c r="O69" s="165"/>
      <c r="P69" s="165"/>
    </row>
    <row r="70" spans="1:17" s="132" customFormat="1" x14ac:dyDescent="0.3">
      <c r="A70" s="165"/>
      <c r="B70" s="165"/>
      <c r="C70" s="165"/>
      <c r="D70" s="165"/>
      <c r="E70" s="141">
        <v>40601</v>
      </c>
      <c r="F70" s="165"/>
      <c r="G70" s="165"/>
      <c r="H70" s="165"/>
      <c r="I70" s="165"/>
      <c r="J70" s="165"/>
      <c r="K70" s="165"/>
      <c r="L70" s="165"/>
      <c r="M70" s="165"/>
      <c r="N70" s="165"/>
      <c r="O70" s="165"/>
      <c r="P70" s="165"/>
    </row>
    <row r="71" spans="1:17" s="132" customFormat="1" ht="15" thickBot="1" x14ac:dyDescent="0.35">
      <c r="A71" s="165"/>
      <c r="B71" s="165"/>
      <c r="C71" s="165"/>
      <c r="D71" s="165"/>
      <c r="E71" s="165"/>
      <c r="F71" s="165"/>
      <c r="G71" s="165"/>
      <c r="H71" s="165"/>
      <c r="I71" s="165"/>
      <c r="J71" s="165"/>
      <c r="K71" s="165"/>
      <c r="L71" s="165"/>
      <c r="M71" s="165"/>
      <c r="N71" s="165"/>
      <c r="O71" s="165"/>
      <c r="P71" s="165"/>
    </row>
    <row r="72" spans="1:17" ht="24.6" thickBot="1" x14ac:dyDescent="0.35">
      <c r="A72" s="165"/>
      <c r="B72" s="165"/>
      <c r="C72" s="165"/>
      <c r="D72" s="165"/>
      <c r="E72" s="165"/>
      <c r="F72" s="174" t="s">
        <v>23</v>
      </c>
      <c r="G72" s="168" t="s">
        <v>18</v>
      </c>
      <c r="H72" s="168" t="s">
        <v>16</v>
      </c>
      <c r="I72" s="168" t="s">
        <v>17</v>
      </c>
      <c r="J72" s="168" t="s">
        <v>19</v>
      </c>
      <c r="K72" s="169" t="s">
        <v>114</v>
      </c>
      <c r="L72" s="165"/>
      <c r="M72" s="165"/>
      <c r="N72" s="165"/>
      <c r="O72" s="165"/>
      <c r="P72" s="165"/>
    </row>
    <row r="73" spans="1:17" ht="15" customHeight="1" x14ac:dyDescent="0.3">
      <c r="A73" s="165"/>
      <c r="B73" s="165"/>
      <c r="C73" s="165"/>
      <c r="D73" s="165"/>
      <c r="E73" s="165"/>
      <c r="F73" s="267" t="s">
        <v>201</v>
      </c>
      <c r="G73" s="268"/>
      <c r="H73" s="268"/>
      <c r="I73" s="268"/>
      <c r="J73" s="268"/>
      <c r="K73" s="169"/>
      <c r="L73" s="165"/>
      <c r="M73" s="165"/>
      <c r="N73" s="165"/>
      <c r="O73" s="165"/>
      <c r="P73" s="165"/>
    </row>
    <row r="74" spans="1:17" ht="43.8" thickBot="1" x14ac:dyDescent="0.35">
      <c r="A74" s="142" t="s">
        <v>294</v>
      </c>
      <c r="B74" s="142" t="s">
        <v>295</v>
      </c>
      <c r="C74" s="197" t="s">
        <v>440</v>
      </c>
      <c r="D74" s="142" t="s">
        <v>441</v>
      </c>
      <c r="E74" s="171" t="s">
        <v>30</v>
      </c>
      <c r="F74" s="175">
        <f>Falling_fast</f>
        <v>-0.2</v>
      </c>
      <c r="G74" s="176">
        <f>Falling</f>
        <v>0</v>
      </c>
      <c r="H74" s="177">
        <f>Static</f>
        <v>0</v>
      </c>
      <c r="I74" s="176">
        <f>Rising</f>
        <v>0</v>
      </c>
      <c r="J74" s="178">
        <f>Rising_fast</f>
        <v>0.2</v>
      </c>
      <c r="K74" s="182">
        <v>0</v>
      </c>
      <c r="L74" s="171" t="s">
        <v>28</v>
      </c>
      <c r="M74" s="172" t="s">
        <v>29</v>
      </c>
      <c r="N74" s="143" t="s">
        <v>296</v>
      </c>
      <c r="O74" s="142" t="s">
        <v>297</v>
      </c>
      <c r="P74" s="142" t="s">
        <v>298</v>
      </c>
    </row>
    <row r="75" spans="1:17" x14ac:dyDescent="0.3">
      <c r="A75" s="165"/>
      <c r="B75" s="165"/>
      <c r="C75" s="166"/>
      <c r="D75" s="165"/>
      <c r="E75" s="192"/>
      <c r="F75" s="198" t="s">
        <v>151</v>
      </c>
      <c r="G75" s="199" t="s">
        <v>149</v>
      </c>
      <c r="H75" s="199" t="s">
        <v>16</v>
      </c>
      <c r="I75" s="199" t="s">
        <v>148</v>
      </c>
      <c r="J75" s="199" t="s">
        <v>150</v>
      </c>
      <c r="K75" s="200" t="s">
        <v>114</v>
      </c>
      <c r="L75" s="166"/>
      <c r="M75" s="170"/>
      <c r="N75" s="166"/>
      <c r="O75" s="165"/>
      <c r="P75" s="165"/>
    </row>
    <row r="76" spans="1:17" x14ac:dyDescent="0.3">
      <c r="A76" s="165">
        <f>MATCH(Calcs!B76,Paste_Report_Here!$1:$1,0) -1</f>
        <v>5</v>
      </c>
      <c r="B76" s="165" t="s">
        <v>124</v>
      </c>
      <c r="C76" s="166">
        <f ca="1">RANK(N76,N76:N100)</f>
        <v>12</v>
      </c>
      <c r="D76" s="166">
        <f ca="1">RANK(P76,P76:P100)</f>
        <v>16</v>
      </c>
      <c r="E76" s="189" t="s">
        <v>152</v>
      </c>
      <c r="F76" s="179">
        <f ca="1">COUNTIFS(Paste_Report_Here!$E$1:$E$2000,E70, OFFSET(Paste_Report_Here!$A$1,0,$A76,2000,1),F$75)</f>
        <v>0</v>
      </c>
      <c r="G76" s="180">
        <f ca="1">COUNTIFS(Paste_Report_Here!$E$1:$E$2000,E70, OFFSET(Paste_Report_Here!$A$1,0,$A76,2000,1),G$75)</f>
        <v>0</v>
      </c>
      <c r="H76" s="180">
        <f ca="1">COUNTIFS(Paste_Report_Here!$E$1:$E$2000,E70, OFFSET(Paste_Report_Here!$A$1,0,$A76,2000,1),H$75)</f>
        <v>32</v>
      </c>
      <c r="I76" s="180">
        <f ca="1">COUNTIFS(Paste_Report_Here!$E$1:$E$2000,E70, OFFSET(Paste_Report_Here!$A$1,0,$A76,2000,1),I$75)</f>
        <v>6</v>
      </c>
      <c r="J76" s="180">
        <f ca="1">COUNTIFS(Paste_Report_Here!$E$1:$E$2000,E70, OFFSET(Paste_Report_Here!$A$1,0,$A76,2000,1),J$75)</f>
        <v>0</v>
      </c>
      <c r="K76" s="181">
        <f ca="1">COUNTIFS(Paste_Report_Here!$E$1:$E$2000,E70, OFFSET(Paste_Report_Here!$A$1,0,$A76,2000,1),K$75)</f>
        <v>0</v>
      </c>
      <c r="L76" s="166">
        <f t="shared" ref="L76:L93" ca="1" si="11">SUM(F76:K76)</f>
        <v>38</v>
      </c>
      <c r="M76" s="183">
        <f ca="1">SUMPRODUCT(F76:K76,F74:K74)/L:L</f>
        <v>0</v>
      </c>
      <c r="N76" s="166">
        <f t="shared" ref="N76:N101" ca="1" si="12">EXP(M76)</f>
        <v>1</v>
      </c>
      <c r="O76" s="165">
        <f ca="1">P42</f>
        <v>2022.3583187636318</v>
      </c>
      <c r="P76" s="165">
        <f t="shared" ref="P76:P101" ca="1" si="13">O76*N76</f>
        <v>2022.3583187636318</v>
      </c>
    </row>
    <row r="77" spans="1:17" x14ac:dyDescent="0.3">
      <c r="A77" s="165">
        <f>MATCH(Calcs!B77,Paste_Report_Here!$1:$1,0) -1</f>
        <v>6</v>
      </c>
      <c r="B77" s="165" t="s">
        <v>125</v>
      </c>
      <c r="C77" s="166">
        <f ca="1">RANK(N77,N76:N100)</f>
        <v>12</v>
      </c>
      <c r="D77" s="166">
        <f ca="1">RANK(P77,P76:P100)</f>
        <v>13</v>
      </c>
      <c r="E77" s="189" t="s">
        <v>153</v>
      </c>
      <c r="F77" s="179">
        <f ca="1">COUNTIFS(Paste_Report_Here!$E$1:$E$2000,E70, OFFSET(Paste_Report_Here!$A$1,0,$A77,2000,1),F$75)</f>
        <v>0</v>
      </c>
      <c r="G77" s="180">
        <f ca="1">COUNTIFS(Paste_Report_Here!$E$1:$E$2000,E70, OFFSET(Paste_Report_Here!$A$1,0,$A77,2000,1),G$75)</f>
        <v>4</v>
      </c>
      <c r="H77" s="180">
        <f ca="1">COUNTIFS(Paste_Report_Here!$E$1:$E$2000,E70, OFFSET(Paste_Report_Here!$A$1,0,$A77,2000,1),H$75)</f>
        <v>25</v>
      </c>
      <c r="I77" s="180">
        <f ca="1">COUNTIFS(Paste_Report_Here!$E$1:$E$2000,E70, OFFSET(Paste_Report_Here!$A$1,0,$A77,2000,1),I$75)</f>
        <v>9</v>
      </c>
      <c r="J77" s="180">
        <f ca="1">COUNTIFS(Paste_Report_Here!$E$1:$E$2000,E70, OFFSET(Paste_Report_Here!$A$1,0,$A77,2000,1),J$75)</f>
        <v>0</v>
      </c>
      <c r="K77" s="181">
        <f ca="1">COUNTIFS(Paste_Report_Here!$E$1:$E$2000,E70, OFFSET(Paste_Report_Here!$A$1,0,$A77,2000,1),K$75)</f>
        <v>0</v>
      </c>
      <c r="L77" s="166">
        <f t="shared" ca="1" si="11"/>
        <v>38</v>
      </c>
      <c r="M77" s="183">
        <f ca="1">SUMPRODUCT(F77:K77,F74:K74)/L:L</f>
        <v>0</v>
      </c>
      <c r="N77" s="166">
        <f t="shared" ca="1" si="12"/>
        <v>1</v>
      </c>
      <c r="O77" s="165">
        <f t="shared" ref="O77:O101" ca="1" si="14">P43</f>
        <v>2122.6053218389079</v>
      </c>
      <c r="P77" s="165">
        <f t="shared" ca="1" si="13"/>
        <v>2122.6053218389079</v>
      </c>
      <c r="Q77" s="165"/>
    </row>
    <row r="78" spans="1:17" x14ac:dyDescent="0.3">
      <c r="A78" s="165">
        <f>MATCH(Calcs!B78,Paste_Report_Here!$1:$1,0) -1</f>
        <v>7</v>
      </c>
      <c r="B78" s="165" t="s">
        <v>126</v>
      </c>
      <c r="C78" s="166">
        <f ca="1">RANK(N78,N76:N100)</f>
        <v>23</v>
      </c>
      <c r="D78" s="166">
        <f ca="1">RANK(P78,P76:P100)</f>
        <v>6</v>
      </c>
      <c r="E78" s="189" t="s">
        <v>154</v>
      </c>
      <c r="F78" s="179">
        <f ca="1">COUNTIFS(Paste_Report_Here!$E$1:$E$2000,E70, OFFSET(Paste_Report_Here!$A$1,0,$A78,2000,1),F$75)</f>
        <v>2</v>
      </c>
      <c r="G78" s="180">
        <f ca="1">COUNTIFS(Paste_Report_Here!$E$1:$E$2000,E70, OFFSET(Paste_Report_Here!$A$1,0,$A78,2000,1),G$75)</f>
        <v>0</v>
      </c>
      <c r="H78" s="180">
        <f ca="1">COUNTIFS(Paste_Report_Here!$E$1:$E$2000,E70, OFFSET(Paste_Report_Here!$A$1,0,$A78,2000,1),H$75)</f>
        <v>26</v>
      </c>
      <c r="I78" s="180">
        <f ca="1">COUNTIFS(Paste_Report_Here!$E$1:$E$2000,E70, OFFSET(Paste_Report_Here!$A$1,0,$A78,2000,1),I$75)</f>
        <v>9</v>
      </c>
      <c r="J78" s="180">
        <f ca="1">COUNTIFS(Paste_Report_Here!$E$1:$E$2000,E70, OFFSET(Paste_Report_Here!$A$1,0,$A78,2000,1),J$75)</f>
        <v>1</v>
      </c>
      <c r="K78" s="181">
        <f ca="1">COUNTIFS(Paste_Report_Here!$E$1:$E$2000,E70, OFFSET(Paste_Report_Here!$A$1,0,$A78,2000,1),K$75)</f>
        <v>0</v>
      </c>
      <c r="L78" s="166">
        <f t="shared" ca="1" si="11"/>
        <v>38</v>
      </c>
      <c r="M78" s="183">
        <f ca="1">SUMPRODUCT(F78:K78,F74:K74)/L:L</f>
        <v>-5.263157894736842E-3</v>
      </c>
      <c r="N78" s="166">
        <f t="shared" ca="1" si="12"/>
        <v>0.9947506682537397</v>
      </c>
      <c r="O78" s="165">
        <f t="shared" ca="1" si="14"/>
        <v>2805.171621717468</v>
      </c>
      <c r="P78" s="165">
        <f t="shared" ca="1" si="13"/>
        <v>2790.4463452698778</v>
      </c>
      <c r="Q78" s="165"/>
    </row>
    <row r="79" spans="1:17" x14ac:dyDescent="0.3">
      <c r="A79" s="165">
        <f>MATCH(Calcs!B79,Paste_Report_Here!$1:$1,0) -1</f>
        <v>8</v>
      </c>
      <c r="B79" s="165" t="s">
        <v>127</v>
      </c>
      <c r="C79" s="166">
        <f ca="1">RANK(N79,N76:N100)</f>
        <v>1</v>
      </c>
      <c r="D79" s="166">
        <f ca="1">RANK(P79,P76:P100)</f>
        <v>9</v>
      </c>
      <c r="E79" s="189" t="s">
        <v>155</v>
      </c>
      <c r="F79" s="179">
        <f ca="1">COUNTIFS(Paste_Report_Here!$E$1:$E$2000,E70, OFFSET(Paste_Report_Here!$A$1,0,$A79,2000,1),F$75)</f>
        <v>1</v>
      </c>
      <c r="G79" s="180">
        <f ca="1">COUNTIFS(Paste_Report_Here!$E$1:$E$2000,E70, OFFSET(Paste_Report_Here!$A$1,0,$A79,2000,1),G$75)</f>
        <v>0</v>
      </c>
      <c r="H79" s="180">
        <f ca="1">COUNTIFS(Paste_Report_Here!$E$1:$E$2000,E70, OFFSET(Paste_Report_Here!$A$1,0,$A79,2000,1),H$75)</f>
        <v>18</v>
      </c>
      <c r="I79" s="180">
        <f ca="1">COUNTIFS(Paste_Report_Here!$E$1:$E$2000,E70, OFFSET(Paste_Report_Here!$A$1,0,$A79,2000,1),I$75)</f>
        <v>14</v>
      </c>
      <c r="J79" s="180">
        <f ca="1">COUNTIFS(Paste_Report_Here!$E$1:$E$2000,E70, OFFSET(Paste_Report_Here!$A$1,0,$A79,2000,1),J$75)</f>
        <v>5</v>
      </c>
      <c r="K79" s="181">
        <f ca="1">COUNTIFS(Paste_Report_Here!$E$1:$E$2000,E70, OFFSET(Paste_Report_Here!$A$1,0,$A79,2000,1),K$75)</f>
        <v>0</v>
      </c>
      <c r="L79" s="166">
        <f t="shared" ca="1" si="11"/>
        <v>38</v>
      </c>
      <c r="M79" s="183">
        <f ca="1">SUMPRODUCT(F79:K79,F74:K74)/L:L</f>
        <v>2.1052631578947368E-2</v>
      </c>
      <c r="N79" s="166">
        <f t="shared" ca="1" si="12"/>
        <v>1.0212758015810219</v>
      </c>
      <c r="O79" s="165">
        <f t="shared" ca="1" si="14"/>
        <v>2334.4562618586156</v>
      </c>
      <c r="P79" s="165">
        <f t="shared" ca="1" si="13"/>
        <v>2384.1236900854938</v>
      </c>
      <c r="Q79" s="165"/>
    </row>
    <row r="80" spans="1:17" x14ac:dyDescent="0.3">
      <c r="A80" s="165">
        <f>MATCH(Calcs!B80,Paste_Report_Here!$1:$1,0) -1</f>
        <v>9</v>
      </c>
      <c r="B80" s="165" t="s">
        <v>214</v>
      </c>
      <c r="C80" s="166">
        <f ca="1">RANK(N80,N76:N100)</f>
        <v>3</v>
      </c>
      <c r="D80" s="166">
        <f ca="1">RANK(P80,P76:P100)</f>
        <v>5</v>
      </c>
      <c r="E80" s="189" t="s">
        <v>156</v>
      </c>
      <c r="F80" s="179">
        <f ca="1">COUNTIFS(Paste_Report_Here!$E$1:$E$2000,E70, OFFSET(Paste_Report_Here!$A$1,0,$A80,2000,1),F$75)</f>
        <v>0</v>
      </c>
      <c r="G80" s="180">
        <f ca="1">COUNTIFS(Paste_Report_Here!$E$1:$E$2000,E70, OFFSET(Paste_Report_Here!$A$1,0,$A80,2000,1),G$75)</f>
        <v>1</v>
      </c>
      <c r="H80" s="180">
        <f ca="1">COUNTIFS(Paste_Report_Here!$E$1:$E$2000,E70, OFFSET(Paste_Report_Here!$A$1,0,$A80,2000,1),H$75)</f>
        <v>23</v>
      </c>
      <c r="I80" s="180">
        <f ca="1">COUNTIFS(Paste_Report_Here!$E$1:$E$2000,E70, OFFSET(Paste_Report_Here!$A$1,0,$A80,2000,1),I$75)</f>
        <v>11</v>
      </c>
      <c r="J80" s="180">
        <f ca="1">COUNTIFS(Paste_Report_Here!$E$1:$E$2000,E70, OFFSET(Paste_Report_Here!$A$1,0,$A80,2000,1),J$75)</f>
        <v>3</v>
      </c>
      <c r="K80" s="181">
        <f ca="1">COUNTIFS(Paste_Report_Here!$E$1:$E$2000,E70, OFFSET(Paste_Report_Here!$A$1,0,$A80,2000,1),K$75)</f>
        <v>0</v>
      </c>
      <c r="L80" s="166">
        <f t="shared" ca="1" si="11"/>
        <v>38</v>
      </c>
      <c r="M80" s="183">
        <f ca="1">SUMPRODUCT(F80:K80,F74:K74)/L:L</f>
        <v>1.578947368421053E-2</v>
      </c>
      <c r="N80" s="166">
        <f t="shared" ca="1" si="12"/>
        <v>1.0159147860940954</v>
      </c>
      <c r="O80" s="165">
        <f t="shared" ca="1" si="14"/>
        <v>3238.7771074014008</v>
      </c>
      <c r="P80" s="165">
        <f t="shared" ca="1" si="13"/>
        <v>3290.3215522721471</v>
      </c>
      <c r="Q80" s="165"/>
    </row>
    <row r="81" spans="1:17" x14ac:dyDescent="0.3">
      <c r="A81" s="165">
        <f>MATCH(Calcs!B81,Paste_Report_Here!$1:$1,0) -1</f>
        <v>10</v>
      </c>
      <c r="B81" s="165" t="s">
        <v>128</v>
      </c>
      <c r="C81" s="166">
        <f ca="1">RANK(N81,N76:N100)</f>
        <v>23</v>
      </c>
      <c r="D81" s="166">
        <f ca="1">RANK(P81,P76:P100)</f>
        <v>21</v>
      </c>
      <c r="E81" s="189" t="s">
        <v>157</v>
      </c>
      <c r="F81" s="179">
        <f ca="1">COUNTIFS(Paste_Report_Here!$E$1:$E$2000,E70, OFFSET(Paste_Report_Here!$A$1,0,$A81,2000,1),F$75)</f>
        <v>1</v>
      </c>
      <c r="G81" s="180">
        <f ca="1">COUNTIFS(Paste_Report_Here!$E$1:$E$2000,E70, OFFSET(Paste_Report_Here!$A$1,0,$A81,2000,1),G$75)</f>
        <v>3</v>
      </c>
      <c r="H81" s="180">
        <f ca="1">COUNTIFS(Paste_Report_Here!$E$1:$E$2000,E70, OFFSET(Paste_Report_Here!$A$1,0,$A81,2000,1),H$75)</f>
        <v>26</v>
      </c>
      <c r="I81" s="180">
        <f ca="1">COUNTIFS(Paste_Report_Here!$E$1:$E$2000,E70, OFFSET(Paste_Report_Here!$A$1,0,$A81,2000,1),I$75)</f>
        <v>8</v>
      </c>
      <c r="J81" s="180">
        <f ca="1">COUNTIFS(Paste_Report_Here!$E$1:$E$2000,E70, OFFSET(Paste_Report_Here!$A$1,0,$A81,2000,1),J$75)</f>
        <v>0</v>
      </c>
      <c r="K81" s="181">
        <f ca="1">COUNTIFS(Paste_Report_Here!$E$1:$E$2000,E70, OFFSET(Paste_Report_Here!$A$1,0,$A81,2000,1),K$75)</f>
        <v>0</v>
      </c>
      <c r="L81" s="166">
        <f t="shared" ca="1" si="11"/>
        <v>38</v>
      </c>
      <c r="M81" s="183">
        <f ca="1">SUMPRODUCT(F81:K81,F74:K74)/L:L</f>
        <v>-5.263157894736842E-3</v>
      </c>
      <c r="N81" s="166">
        <f t="shared" ca="1" si="12"/>
        <v>0.9947506682537397</v>
      </c>
      <c r="O81" s="165">
        <f t="shared" ca="1" si="14"/>
        <v>1540.4621283132863</v>
      </c>
      <c r="P81" s="165">
        <f t="shared" ca="1" si="13"/>
        <v>1532.3757315592197</v>
      </c>
      <c r="Q81" s="165"/>
    </row>
    <row r="82" spans="1:17" x14ac:dyDescent="0.3">
      <c r="A82" s="165">
        <f>MATCH(Calcs!B82,Paste_Report_Here!$1:$1,0) -1</f>
        <v>11</v>
      </c>
      <c r="B82" s="165" t="s">
        <v>129</v>
      </c>
      <c r="C82" s="166">
        <f ca="1">RANK(N82,N76:N100)</f>
        <v>12</v>
      </c>
      <c r="D82" s="166">
        <f ca="1">RANK(P82,P76:P100)</f>
        <v>8</v>
      </c>
      <c r="E82" s="189" t="s">
        <v>158</v>
      </c>
      <c r="F82" s="179">
        <f ca="1">COUNTIFS(Paste_Report_Here!$E$1:$E$2000,E70, OFFSET(Paste_Report_Here!$A$1,0,$A82,2000,1),F$75)</f>
        <v>0</v>
      </c>
      <c r="G82" s="180">
        <f ca="1">COUNTIFS(Paste_Report_Here!$E$1:$E$2000,E70, OFFSET(Paste_Report_Here!$A$1,0,$A82,2000,1),G$75)</f>
        <v>0</v>
      </c>
      <c r="H82" s="180">
        <f ca="1">COUNTIFS(Paste_Report_Here!$E$1:$E$2000,E70, OFFSET(Paste_Report_Here!$A$1,0,$A82,2000,1),H$75)</f>
        <v>30</v>
      </c>
      <c r="I82" s="180">
        <f ca="1">COUNTIFS(Paste_Report_Here!$E$1:$E$2000,E70, OFFSET(Paste_Report_Here!$A$1,0,$A82,2000,1),I$75)</f>
        <v>8</v>
      </c>
      <c r="J82" s="180">
        <f ca="1">COUNTIFS(Paste_Report_Here!$E$1:$E$2000,E70, OFFSET(Paste_Report_Here!$A$1,0,$A82,2000,1),J$75)</f>
        <v>0</v>
      </c>
      <c r="K82" s="181">
        <f ca="1">COUNTIFS(Paste_Report_Here!$E$1:$E$2000,E70, OFFSET(Paste_Report_Here!$A$1,0,$A82,2000,1),K$75)</f>
        <v>0</v>
      </c>
      <c r="L82" s="166">
        <f t="shared" ca="1" si="11"/>
        <v>38</v>
      </c>
      <c r="M82" s="183">
        <f ca="1">SUMPRODUCT(F82:K82,F74:K74)/L:L</f>
        <v>0</v>
      </c>
      <c r="N82" s="166">
        <f t="shared" ca="1" si="12"/>
        <v>1</v>
      </c>
      <c r="O82" s="165">
        <f t="shared" ca="1" si="14"/>
        <v>2401.7987840168876</v>
      </c>
      <c r="P82" s="165">
        <f t="shared" ca="1" si="13"/>
        <v>2401.7987840168876</v>
      </c>
      <c r="Q82" s="165"/>
    </row>
    <row r="83" spans="1:17" x14ac:dyDescent="0.3">
      <c r="A83" s="165">
        <f>MATCH(Calcs!B83,Paste_Report_Here!$1:$1,0) -1</f>
        <v>12</v>
      </c>
      <c r="B83" s="165" t="s">
        <v>130</v>
      </c>
      <c r="C83" s="166">
        <f ca="1">RANK(N83,N76:N100)</f>
        <v>12</v>
      </c>
      <c r="D83" s="166">
        <f ca="1">RANK(P83,P76:P100)</f>
        <v>12</v>
      </c>
      <c r="E83" s="189" t="s">
        <v>159</v>
      </c>
      <c r="F83" s="179">
        <f ca="1">COUNTIFS(Paste_Report_Here!$E$1:$E$2000,E70, OFFSET(Paste_Report_Here!$A$1,0,$A83,2000,1),F$75)</f>
        <v>0</v>
      </c>
      <c r="G83" s="180">
        <f ca="1">COUNTIFS(Paste_Report_Here!$E$1:$E$2000,E70, OFFSET(Paste_Report_Here!$A$1,0,$A83,2000,1),G$75)</f>
        <v>2</v>
      </c>
      <c r="H83" s="180">
        <f ca="1">COUNTIFS(Paste_Report_Here!$E$1:$E$2000,E70, OFFSET(Paste_Report_Here!$A$1,0,$A83,2000,1),H$75)</f>
        <v>30</v>
      </c>
      <c r="I83" s="180">
        <f ca="1">COUNTIFS(Paste_Report_Here!$E$1:$E$2000,E70, OFFSET(Paste_Report_Here!$A$1,0,$A83,2000,1),I$75)</f>
        <v>6</v>
      </c>
      <c r="J83" s="180">
        <f ca="1">COUNTIFS(Paste_Report_Here!$E$1:$E$2000,E70, OFFSET(Paste_Report_Here!$A$1,0,$A83,2000,1),J$75)</f>
        <v>0</v>
      </c>
      <c r="K83" s="181">
        <f ca="1">COUNTIFS(Paste_Report_Here!$E$1:$E$2000,E70, OFFSET(Paste_Report_Here!$A$1,0,$A83,2000,1),K$75)</f>
        <v>0</v>
      </c>
      <c r="L83" s="166">
        <f t="shared" ca="1" si="11"/>
        <v>38</v>
      </c>
      <c r="M83" s="183">
        <f ca="1">SUMPRODUCT(F83:K83,F74:K74)/L:L</f>
        <v>0</v>
      </c>
      <c r="N83" s="166">
        <f t="shared" ca="1" si="12"/>
        <v>1</v>
      </c>
      <c r="O83" s="165">
        <f t="shared" ca="1" si="14"/>
        <v>2245.5263723297826</v>
      </c>
      <c r="P83" s="165">
        <f t="shared" ca="1" si="13"/>
        <v>2245.5263723297826</v>
      </c>
      <c r="Q83" s="165"/>
    </row>
    <row r="84" spans="1:17" x14ac:dyDescent="0.3">
      <c r="A84" s="165">
        <f>MATCH(Calcs!B84,Paste_Report_Here!$1:$1,0) -1</f>
        <v>13</v>
      </c>
      <c r="B84" s="165" t="s">
        <v>131</v>
      </c>
      <c r="C84" s="166">
        <f ca="1">RANK(N84,N76:N100)</f>
        <v>1</v>
      </c>
      <c r="D84" s="166">
        <f ca="1">RANK(P84,P76:P100)</f>
        <v>4</v>
      </c>
      <c r="E84" s="189" t="s">
        <v>160</v>
      </c>
      <c r="F84" s="179">
        <f ca="1">COUNTIFS(Paste_Report_Here!$E$1:$E$2000,E70, OFFSET(Paste_Report_Here!$A$1,0,$A84,2000,1),F$75)</f>
        <v>0</v>
      </c>
      <c r="G84" s="180">
        <f ca="1">COUNTIFS(Paste_Report_Here!$E$1:$E$2000,E70, OFFSET(Paste_Report_Here!$A$1,0,$A84,2000,1),G$75)</f>
        <v>1</v>
      </c>
      <c r="H84" s="180">
        <f ca="1">COUNTIFS(Paste_Report_Here!$E$1:$E$2000,E70, OFFSET(Paste_Report_Here!$A$1,0,$A84,2000,1),H$75)</f>
        <v>22</v>
      </c>
      <c r="I84" s="180">
        <f ca="1">COUNTIFS(Paste_Report_Here!$E$1:$E$2000,E70, OFFSET(Paste_Report_Here!$A$1,0,$A84,2000,1),I$75)</f>
        <v>11</v>
      </c>
      <c r="J84" s="180">
        <f ca="1">COUNTIFS(Paste_Report_Here!$E$1:$E$2000,E70, OFFSET(Paste_Report_Here!$A$1,0,$A84,2000,1),J$75)</f>
        <v>4</v>
      </c>
      <c r="K84" s="181">
        <f ca="1">COUNTIFS(Paste_Report_Here!$E$1:$E$2000,E70, OFFSET(Paste_Report_Here!$A$1,0,$A84,2000,1),K$75)</f>
        <v>0</v>
      </c>
      <c r="L84" s="166">
        <f t="shared" ca="1" si="11"/>
        <v>38</v>
      </c>
      <c r="M84" s="183">
        <f ca="1">SUMPRODUCT(F84:K84,F74:K74)/L:L</f>
        <v>2.1052631578947368E-2</v>
      </c>
      <c r="N84" s="166">
        <f t="shared" ca="1" si="12"/>
        <v>1.0212758015810219</v>
      </c>
      <c r="O84" s="165">
        <f t="shared" ca="1" si="14"/>
        <v>3264.4088821567202</v>
      </c>
      <c r="P84" s="165">
        <f t="shared" ca="1" si="13"/>
        <v>3333.8617978128123</v>
      </c>
      <c r="Q84" s="165"/>
    </row>
    <row r="85" spans="1:17" x14ac:dyDescent="0.3">
      <c r="A85" s="165">
        <f>MATCH(Calcs!B85,Paste_Report_Here!$1:$1,0) -1</f>
        <v>14</v>
      </c>
      <c r="B85" s="165" t="s">
        <v>132</v>
      </c>
      <c r="C85" s="166">
        <f ca="1">RANK(N85,N76:N100)</f>
        <v>7</v>
      </c>
      <c r="D85" s="166">
        <f ca="1">RANK(P85,P76:P100)</f>
        <v>19</v>
      </c>
      <c r="E85" s="189" t="s">
        <v>161</v>
      </c>
      <c r="F85" s="179">
        <f ca="1">COUNTIFS(Paste_Report_Here!$E$1:$E$2000,E70, OFFSET(Paste_Report_Here!$A$1,0,$A85,2000,1),F$75)</f>
        <v>0</v>
      </c>
      <c r="G85" s="180">
        <f ca="1">COUNTIFS(Paste_Report_Here!$E$1:$E$2000,E70, OFFSET(Paste_Report_Here!$A$1,0,$A85,2000,1),G$75)</f>
        <v>1</v>
      </c>
      <c r="H85" s="180">
        <f ca="1">COUNTIFS(Paste_Report_Here!$E$1:$E$2000,E70, OFFSET(Paste_Report_Here!$A$1,0,$A85,2000,1),H$75)</f>
        <v>27</v>
      </c>
      <c r="I85" s="180">
        <f ca="1">COUNTIFS(Paste_Report_Here!$E$1:$E$2000,E70, OFFSET(Paste_Report_Here!$A$1,0,$A85,2000,1),I$75)</f>
        <v>9</v>
      </c>
      <c r="J85" s="180">
        <f ca="1">COUNTIFS(Paste_Report_Here!$E$1:$E$2000,E70, OFFSET(Paste_Report_Here!$A$1,0,$A85,2000,1),J$75)</f>
        <v>1</v>
      </c>
      <c r="K85" s="181">
        <f ca="1">COUNTIFS(Paste_Report_Here!$E$1:$E$2000,E70, OFFSET(Paste_Report_Here!$A$1,0,$A85,2000,1),K$75)</f>
        <v>0</v>
      </c>
      <c r="L85" s="166">
        <f t="shared" ca="1" si="11"/>
        <v>38</v>
      </c>
      <c r="M85" s="183">
        <f ca="1">SUMPRODUCT(F85:K85,F74:K74)/L:L</f>
        <v>5.263157894736842E-3</v>
      </c>
      <c r="N85" s="166">
        <f t="shared" ca="1" si="12"/>
        <v>1.0052770326412299</v>
      </c>
      <c r="O85" s="165">
        <f t="shared" ca="1" si="14"/>
        <v>1854.5989802633883</v>
      </c>
      <c r="P85" s="165">
        <f t="shared" ca="1" si="13"/>
        <v>1864.3857596186299</v>
      </c>
      <c r="Q85" s="165"/>
    </row>
    <row r="86" spans="1:17" x14ac:dyDescent="0.3">
      <c r="A86" s="165">
        <f>MATCH(Calcs!B86,Paste_Report_Here!$1:$1,0) -1</f>
        <v>15</v>
      </c>
      <c r="B86" s="165" t="s">
        <v>133</v>
      </c>
      <c r="C86" s="166">
        <f ca="1">RANK(N86,N76:N100)</f>
        <v>5</v>
      </c>
      <c r="D86" s="166">
        <f ca="1">RANK(P86,P76:P100)</f>
        <v>7</v>
      </c>
      <c r="E86" s="189" t="s">
        <v>162</v>
      </c>
      <c r="F86" s="179">
        <f ca="1">COUNTIFS(Paste_Report_Here!$E$1:$E$2000,E70, OFFSET(Paste_Report_Here!$A$1,0,$A86,2000,1),F$75)</f>
        <v>0</v>
      </c>
      <c r="G86" s="180">
        <f ca="1">COUNTIFS(Paste_Report_Here!$E$1:$E$2000,E70, OFFSET(Paste_Report_Here!$A$1,0,$A86,2000,1),G$75)</f>
        <v>1</v>
      </c>
      <c r="H86" s="180">
        <f ca="1">COUNTIFS(Paste_Report_Here!$E$1:$E$2000,E70, OFFSET(Paste_Report_Here!$A$1,0,$A86,2000,1),H$75)</f>
        <v>20</v>
      </c>
      <c r="I86" s="180">
        <f ca="1">COUNTIFS(Paste_Report_Here!$E$1:$E$2000,E70, OFFSET(Paste_Report_Here!$A$1,0,$A86,2000,1),I$75)</f>
        <v>15</v>
      </c>
      <c r="J86" s="180">
        <f ca="1">COUNTIFS(Paste_Report_Here!$E$1:$E$2000,E70, OFFSET(Paste_Report_Here!$A$1,0,$A86,2000,1),J$75)</f>
        <v>2</v>
      </c>
      <c r="K86" s="181">
        <f ca="1">COUNTIFS(Paste_Report_Here!$E$1:$E$2000,E70, OFFSET(Paste_Report_Here!$A$1,0,$A86,2000,1),K$75)</f>
        <v>0</v>
      </c>
      <c r="L86" s="166">
        <f t="shared" ca="1" si="11"/>
        <v>38</v>
      </c>
      <c r="M86" s="183">
        <f ca="1">SUMPRODUCT(F86:K86,F74:K74)/L:L</f>
        <v>1.0526315789473684E-2</v>
      </c>
      <c r="N86" s="166">
        <f t="shared" ca="1" si="12"/>
        <v>1.0105819123559565</v>
      </c>
      <c r="O86" s="165">
        <f t="shared" ca="1" si="14"/>
        <v>2512.7111254433448</v>
      </c>
      <c r="P86" s="165">
        <f t="shared" ca="1" si="13"/>
        <v>2539.3004143486232</v>
      </c>
      <c r="Q86" s="165"/>
    </row>
    <row r="87" spans="1:17" x14ac:dyDescent="0.3">
      <c r="A87" s="165">
        <f>MATCH(Calcs!B87,Paste_Report_Here!$1:$1,0) -1</f>
        <v>16</v>
      </c>
      <c r="B87" s="165" t="s">
        <v>134</v>
      </c>
      <c r="C87" s="166">
        <f ca="1">RANK(N87,N76:N100)</f>
        <v>12</v>
      </c>
      <c r="D87" s="166">
        <f ca="1">RANK(P87,P76:P100)</f>
        <v>25</v>
      </c>
      <c r="E87" s="189" t="s">
        <v>163</v>
      </c>
      <c r="F87" s="179">
        <f ca="1">COUNTIFS(Paste_Report_Here!$E$1:$E$2000,E70, OFFSET(Paste_Report_Here!$A$1,0,$A87,2000,1),F$75)</f>
        <v>0</v>
      </c>
      <c r="G87" s="180">
        <f ca="1">COUNTIFS(Paste_Report_Here!$E$1:$E$2000,E70, OFFSET(Paste_Report_Here!$A$1,0,$A87,2000,1),G$75)</f>
        <v>2</v>
      </c>
      <c r="H87" s="180">
        <f ca="1">COUNTIFS(Paste_Report_Here!$E$1:$E$2000,E70, OFFSET(Paste_Report_Here!$A$1,0,$A87,2000,1),H$75)</f>
        <v>32</v>
      </c>
      <c r="I87" s="180">
        <f ca="1">COUNTIFS(Paste_Report_Here!$E$1:$E$2000,E70, OFFSET(Paste_Report_Here!$A$1,0,$A87,2000,1),I$75)</f>
        <v>4</v>
      </c>
      <c r="J87" s="180">
        <f ca="1">COUNTIFS(Paste_Report_Here!$E$1:$E$2000,E70, OFFSET(Paste_Report_Here!$A$1,0,$A87,2000,1),J$75)</f>
        <v>0</v>
      </c>
      <c r="K87" s="181">
        <f ca="1">COUNTIFS(Paste_Report_Here!$E$1:$E$2000,E70, OFFSET(Paste_Report_Here!$A$1,0,$A87,2000,1),K$75)</f>
        <v>0</v>
      </c>
      <c r="L87" s="166">
        <f t="shared" ca="1" si="11"/>
        <v>38</v>
      </c>
      <c r="M87" s="183">
        <f ca="1">SUMPRODUCT(F87:K87,F74:K74)/L:L</f>
        <v>0</v>
      </c>
      <c r="N87" s="166">
        <f t="shared" ca="1" si="12"/>
        <v>1</v>
      </c>
      <c r="O87" s="165">
        <f t="shared" ca="1" si="14"/>
        <v>1161.2422523843593</v>
      </c>
      <c r="P87" s="165">
        <f t="shared" ca="1" si="13"/>
        <v>1161.2422523843593</v>
      </c>
      <c r="Q87" s="165"/>
    </row>
    <row r="88" spans="1:17" x14ac:dyDescent="0.3">
      <c r="A88" s="165">
        <f>MATCH(Calcs!B88,Paste_Report_Here!$1:$1,0) -1</f>
        <v>17</v>
      </c>
      <c r="B88" s="165" t="s">
        <v>135</v>
      </c>
      <c r="C88" s="166">
        <f ca="1">RANK(N88,N76:N100)</f>
        <v>12</v>
      </c>
      <c r="D88" s="166">
        <f ca="1">RANK(P88,P76:P100)</f>
        <v>20</v>
      </c>
      <c r="E88" s="189" t="s">
        <v>164</v>
      </c>
      <c r="F88" s="179">
        <f ca="1">COUNTIFS(Paste_Report_Here!$E$1:$E$2000,E70, OFFSET(Paste_Report_Here!$A$1,0,$A88,2000,1),F$75)</f>
        <v>0</v>
      </c>
      <c r="G88" s="180">
        <f ca="1">COUNTIFS(Paste_Report_Here!$E$1:$E$2000,E70, OFFSET(Paste_Report_Here!$A$1,0,$A88,2000,1),G$75)</f>
        <v>2</v>
      </c>
      <c r="H88" s="180">
        <f ca="1">COUNTIFS(Paste_Report_Here!$E$1:$E$2000,E70, OFFSET(Paste_Report_Here!$A$1,0,$A88,2000,1),H$75)</f>
        <v>28</v>
      </c>
      <c r="I88" s="180">
        <f ca="1">COUNTIFS(Paste_Report_Here!$E$1:$E$2000,E70, OFFSET(Paste_Report_Here!$A$1,0,$A88,2000,1),I$75)</f>
        <v>8</v>
      </c>
      <c r="J88" s="180">
        <f ca="1">COUNTIFS(Paste_Report_Here!$E$1:$E$2000,E70, OFFSET(Paste_Report_Here!$A$1,0,$A88,2000,1),J$75)</f>
        <v>0</v>
      </c>
      <c r="K88" s="181">
        <f ca="1">COUNTIFS(Paste_Report_Here!$E$1:$E$2000,E70, OFFSET(Paste_Report_Here!$A$1,0,$A88,2000,1),K$75)</f>
        <v>0</v>
      </c>
      <c r="L88" s="166">
        <f t="shared" ca="1" si="11"/>
        <v>38</v>
      </c>
      <c r="M88" s="183">
        <f ca="1">SUMPRODUCT(F88:K88,F74:K74)/L:L</f>
        <v>0</v>
      </c>
      <c r="N88" s="166">
        <f t="shared" ca="1" si="12"/>
        <v>1</v>
      </c>
      <c r="O88" s="165">
        <f t="shared" ca="1" si="14"/>
        <v>1750.5359723807339</v>
      </c>
      <c r="P88" s="165">
        <f t="shared" ca="1" si="13"/>
        <v>1750.5359723807339</v>
      </c>
      <c r="Q88" s="165"/>
    </row>
    <row r="89" spans="1:17" x14ac:dyDescent="0.3">
      <c r="A89" s="165">
        <f>MATCH(Calcs!B89,Paste_Report_Here!$1:$1,0) -1</f>
        <v>18</v>
      </c>
      <c r="B89" s="165" t="s">
        <v>136</v>
      </c>
      <c r="C89" s="166">
        <f ca="1">RANK(N89,N76:N100)</f>
        <v>12</v>
      </c>
      <c r="D89" s="166">
        <f ca="1">RANK(P89,P76:P100)</f>
        <v>3</v>
      </c>
      <c r="E89" s="189" t="s">
        <v>165</v>
      </c>
      <c r="F89" s="179">
        <f ca="1">COUNTIFS(Paste_Report_Here!$E$1:$E$2000,E70, OFFSET(Paste_Report_Here!$A$1,0,$A89,2000,1),F$75)</f>
        <v>0</v>
      </c>
      <c r="G89" s="180">
        <f ca="1">COUNTIFS(Paste_Report_Here!$E$1:$E$2000,E70, OFFSET(Paste_Report_Here!$A$1,0,$A89,2000,1),G$75)</f>
        <v>1</v>
      </c>
      <c r="H89" s="180">
        <f ca="1">COUNTIFS(Paste_Report_Here!$E$1:$E$2000,E70, OFFSET(Paste_Report_Here!$A$1,0,$A89,2000,1),H$75)</f>
        <v>23</v>
      </c>
      <c r="I89" s="180">
        <f ca="1">COUNTIFS(Paste_Report_Here!$E$1:$E$2000,E70, OFFSET(Paste_Report_Here!$A$1,0,$A89,2000,1),I$75)</f>
        <v>14</v>
      </c>
      <c r="J89" s="180">
        <f ca="1">COUNTIFS(Paste_Report_Here!$E$1:$E$2000,E70, OFFSET(Paste_Report_Here!$A$1,0,$A89,2000,1),J$75)</f>
        <v>0</v>
      </c>
      <c r="K89" s="181">
        <f ca="1">COUNTIFS(Paste_Report_Here!$E$1:$E$2000,E70, OFFSET(Paste_Report_Here!$A$1,0,$A89,2000,1),K$75)</f>
        <v>0</v>
      </c>
      <c r="L89" s="166">
        <f t="shared" ca="1" si="11"/>
        <v>38</v>
      </c>
      <c r="M89" s="183">
        <f ca="1">SUMPRODUCT(F89:K89,F74:K74)/L:L</f>
        <v>0</v>
      </c>
      <c r="N89" s="166">
        <f t="shared" ca="1" si="12"/>
        <v>1</v>
      </c>
      <c r="O89" s="165">
        <f t="shared" ca="1" si="14"/>
        <v>3475.8791767506868</v>
      </c>
      <c r="P89" s="165">
        <f t="shared" ca="1" si="13"/>
        <v>3475.8791767506868</v>
      </c>
      <c r="Q89" s="165"/>
    </row>
    <row r="90" spans="1:17" x14ac:dyDescent="0.3">
      <c r="A90" s="165">
        <f>MATCH(Calcs!B90,Paste_Report_Here!$1:$1,0) -1</f>
        <v>19</v>
      </c>
      <c r="B90" s="165" t="s">
        <v>137</v>
      </c>
      <c r="C90" s="166">
        <f ca="1">RANK(N90,N76:N100)</f>
        <v>7</v>
      </c>
      <c r="D90" s="166">
        <f ca="1">RANK(P90,P76:P100)</f>
        <v>15</v>
      </c>
      <c r="E90" s="189" t="s">
        <v>166</v>
      </c>
      <c r="F90" s="179">
        <f ca="1">COUNTIFS(Paste_Report_Here!$E$1:$E$2000,E70, OFFSET(Paste_Report_Here!$A$1,0,$A90,2000,1),F$75)</f>
        <v>0</v>
      </c>
      <c r="G90" s="180">
        <f ca="1">COUNTIFS(Paste_Report_Here!$E$1:$E$2000,E70, OFFSET(Paste_Report_Here!$A$1,0,$A90,2000,1),G$75)</f>
        <v>2</v>
      </c>
      <c r="H90" s="180">
        <f ca="1">COUNTIFS(Paste_Report_Here!$E$1:$E$2000,E70, OFFSET(Paste_Report_Here!$A$1,0,$A90,2000,1),H$75)</f>
        <v>29</v>
      </c>
      <c r="I90" s="180">
        <f ca="1">COUNTIFS(Paste_Report_Here!$E$1:$E$2000,E70, OFFSET(Paste_Report_Here!$A$1,0,$A90,2000,1),I$75)</f>
        <v>6</v>
      </c>
      <c r="J90" s="180">
        <f ca="1">COUNTIFS(Paste_Report_Here!$E$1:$E$2000,E70, OFFSET(Paste_Report_Here!$A$1,0,$A90,2000,1),J$75)</f>
        <v>1</v>
      </c>
      <c r="K90" s="181">
        <f ca="1">COUNTIFS(Paste_Report_Here!$E$1:$E$2000,E70, OFFSET(Paste_Report_Here!$A$1,0,$A90,2000,1),K$75)</f>
        <v>0</v>
      </c>
      <c r="L90" s="166">
        <f t="shared" ca="1" si="11"/>
        <v>38</v>
      </c>
      <c r="M90" s="183">
        <f ca="1">SUMPRODUCT(F90:K90,F74:K74)/L:L</f>
        <v>5.263157894736842E-3</v>
      </c>
      <c r="N90" s="166">
        <f t="shared" ca="1" si="12"/>
        <v>1.0052770326412299</v>
      </c>
      <c r="O90" s="165">
        <f t="shared" ca="1" si="14"/>
        <v>2040.7595458050025</v>
      </c>
      <c r="P90" s="165">
        <f t="shared" ca="1" si="13"/>
        <v>2051.5287005411169</v>
      </c>
      <c r="Q90" s="165"/>
    </row>
    <row r="91" spans="1:17" x14ac:dyDescent="0.3">
      <c r="A91" s="165">
        <f>MATCH(Calcs!B91,Paste_Report_Here!$1:$1,0) -1</f>
        <v>20</v>
      </c>
      <c r="B91" s="165" t="s">
        <v>138</v>
      </c>
      <c r="C91" s="166">
        <f ca="1">RANK(N91,N76:N100)</f>
        <v>7</v>
      </c>
      <c r="D91" s="166">
        <f ca="1">RANK(P91,P76:P100)</f>
        <v>17</v>
      </c>
      <c r="E91" s="189" t="s">
        <v>167</v>
      </c>
      <c r="F91" s="179">
        <f ca="1">COUNTIFS(Paste_Report_Here!$E$1:$E$2000,E70, OFFSET(Paste_Report_Here!$A$1,0,$A91,2000,1),F$75)</f>
        <v>1</v>
      </c>
      <c r="G91" s="180">
        <f ca="1">COUNTIFS(Paste_Report_Here!$E$1:$E$2000,E70, OFFSET(Paste_Report_Here!$A$1,0,$A91,2000,1),G$75)</f>
        <v>1</v>
      </c>
      <c r="H91" s="180">
        <f ca="1">COUNTIFS(Paste_Report_Here!$E$1:$E$2000,E70, OFFSET(Paste_Report_Here!$A$1,0,$A91,2000,1),H$75)</f>
        <v>25</v>
      </c>
      <c r="I91" s="180">
        <f ca="1">COUNTIFS(Paste_Report_Here!$E$1:$E$2000,E70, OFFSET(Paste_Report_Here!$A$1,0,$A91,2000,1),I$75)</f>
        <v>9</v>
      </c>
      <c r="J91" s="180">
        <f ca="1">COUNTIFS(Paste_Report_Here!$E$1:$E$2000,E70, OFFSET(Paste_Report_Here!$A$1,0,$A91,2000,1),J$75)</f>
        <v>2</v>
      </c>
      <c r="K91" s="181">
        <f ca="1">COUNTIFS(Paste_Report_Here!$E$1:$E$2000,E70, OFFSET(Paste_Report_Here!$A$1,0,$A91,2000,1),K$75)</f>
        <v>0</v>
      </c>
      <c r="L91" s="166">
        <f t="shared" ca="1" si="11"/>
        <v>38</v>
      </c>
      <c r="M91" s="183">
        <f ca="1">SUMPRODUCT(F91:K91,F74:K74)/L:L</f>
        <v>5.263157894736842E-3</v>
      </c>
      <c r="N91" s="166">
        <f t="shared" ca="1" si="12"/>
        <v>1.0052770326412299</v>
      </c>
      <c r="O91" s="165">
        <f t="shared" ca="1" si="14"/>
        <v>1933.1785565012967</v>
      </c>
      <c r="P91" s="165">
        <f t="shared" ca="1" si="13"/>
        <v>1943.3800028452797</v>
      </c>
      <c r="Q91" s="165"/>
    </row>
    <row r="92" spans="1:17" x14ac:dyDescent="0.3">
      <c r="A92" s="165">
        <f>MATCH(Calcs!B92,Paste_Report_Here!$1:$1,0) -1</f>
        <v>21</v>
      </c>
      <c r="B92" s="165" t="s">
        <v>139</v>
      </c>
      <c r="C92" s="166">
        <f ca="1">RANK(N92,N76:N100)</f>
        <v>12</v>
      </c>
      <c r="D92" s="166">
        <f ca="1">RANK(P92,P76:P100)</f>
        <v>14</v>
      </c>
      <c r="E92" s="189" t="s">
        <v>168</v>
      </c>
      <c r="F92" s="179">
        <f ca="1">COUNTIFS(Paste_Report_Here!$E$1:$E$2000,E70, OFFSET(Paste_Report_Here!$A$1,0,$A92,2000,1),F$75)</f>
        <v>0</v>
      </c>
      <c r="G92" s="180">
        <f ca="1">COUNTIFS(Paste_Report_Here!$E$1:$E$2000,E70, OFFSET(Paste_Report_Here!$A$1,0,$A92,2000,1),G$75)</f>
        <v>1</v>
      </c>
      <c r="H92" s="180">
        <f ca="1">COUNTIFS(Paste_Report_Here!$E$1:$E$2000,E70, OFFSET(Paste_Report_Here!$A$1,0,$A92,2000,1),H$75)</f>
        <v>29</v>
      </c>
      <c r="I92" s="180">
        <f ca="1">COUNTIFS(Paste_Report_Here!$E$1:$E$2000,E70, OFFSET(Paste_Report_Here!$A$1,0,$A92,2000,1),I$75)</f>
        <v>8</v>
      </c>
      <c r="J92" s="180">
        <f ca="1">COUNTIFS(Paste_Report_Here!$E$1:$E$2000,E70, OFFSET(Paste_Report_Here!$A$1,0,$A92,2000,1),J$75)</f>
        <v>0</v>
      </c>
      <c r="K92" s="181">
        <f ca="1">COUNTIFS(Paste_Report_Here!$E$1:$E$2000,E70, OFFSET(Paste_Report_Here!$A$1,0,$A92,2000,1),K$75)</f>
        <v>0</v>
      </c>
      <c r="L92" s="166">
        <f t="shared" ca="1" si="11"/>
        <v>38</v>
      </c>
      <c r="M92" s="183">
        <f ca="1">SUMPRODUCT(F92:K92,F74:K74)/L:L</f>
        <v>0</v>
      </c>
      <c r="N92" s="166">
        <f t="shared" ca="1" si="12"/>
        <v>1</v>
      </c>
      <c r="O92" s="165">
        <f t="shared" ca="1" si="14"/>
        <v>2077.6419514264135</v>
      </c>
      <c r="P92" s="165">
        <f t="shared" ca="1" si="13"/>
        <v>2077.6419514264135</v>
      </c>
      <c r="Q92" s="165"/>
    </row>
    <row r="93" spans="1:17" x14ac:dyDescent="0.3">
      <c r="A93" s="165">
        <f>MATCH(Calcs!B93,Paste_Report_Here!$1:$1,0) -1</f>
        <v>22</v>
      </c>
      <c r="B93" s="165" t="s">
        <v>140</v>
      </c>
      <c r="C93" s="166">
        <f ca="1">RANK(N93,N76:N100)</f>
        <v>12</v>
      </c>
      <c r="D93" s="166">
        <f ca="1">RANK(P93,P76:P100)</f>
        <v>18</v>
      </c>
      <c r="E93" s="189" t="s">
        <v>169</v>
      </c>
      <c r="F93" s="179">
        <f ca="1">COUNTIFS(Paste_Report_Here!$E$1:$E$2000,E70, OFFSET(Paste_Report_Here!$A$1,0,$A93,2000,1),F$75)</f>
        <v>0</v>
      </c>
      <c r="G93" s="180">
        <f ca="1">COUNTIFS(Paste_Report_Here!$E$1:$E$2000,E70, OFFSET(Paste_Report_Here!$A$1,0,$A93,2000,1),G$75)</f>
        <v>0</v>
      </c>
      <c r="H93" s="180">
        <f ca="1">COUNTIFS(Paste_Report_Here!$E$1:$E$2000,E70, OFFSET(Paste_Report_Here!$A$1,0,$A93,2000,1),H$75)</f>
        <v>33</v>
      </c>
      <c r="I93" s="180">
        <f ca="1">COUNTIFS(Paste_Report_Here!$E$1:$E$2000,E70, OFFSET(Paste_Report_Here!$A$1,0,$A93,2000,1),I$75)</f>
        <v>5</v>
      </c>
      <c r="J93" s="180">
        <f ca="1">COUNTIFS(Paste_Report_Here!$E$1:$E$2000,E70, OFFSET(Paste_Report_Here!$A$1,0,$A93,2000,1),J$75)</f>
        <v>0</v>
      </c>
      <c r="K93" s="181">
        <f ca="1">COUNTIFS(Paste_Report_Here!$E$1:$E$2000,E70, OFFSET(Paste_Report_Here!$A$1,0,$A93,2000,1),K$75)</f>
        <v>0</v>
      </c>
      <c r="L93" s="166">
        <f t="shared" ca="1" si="11"/>
        <v>38</v>
      </c>
      <c r="M93" s="183">
        <f ca="1">SUMPRODUCT(F93:K93,F74:K74)/L:L</f>
        <v>0</v>
      </c>
      <c r="N93" s="166">
        <f t="shared" ca="1" si="12"/>
        <v>1</v>
      </c>
      <c r="O93" s="165">
        <f t="shared" ca="1" si="14"/>
        <v>1928.3110790744345</v>
      </c>
      <c r="P93" s="165">
        <f t="shared" ca="1" si="13"/>
        <v>1928.3110790744345</v>
      </c>
      <c r="Q93" s="165"/>
    </row>
    <row r="94" spans="1:17" x14ac:dyDescent="0.3">
      <c r="A94" s="165">
        <f>MATCH(Calcs!B94,Paste_Report_Here!$1:$1,0) -1</f>
        <v>23</v>
      </c>
      <c r="B94" s="165" t="s">
        <v>186</v>
      </c>
      <c r="C94" s="166">
        <f ca="1">RANK(N94,N76:N100)</f>
        <v>7</v>
      </c>
      <c r="D94" s="166">
        <f ca="1">RANK(P94,P76:P100)</f>
        <v>2</v>
      </c>
      <c r="E94" s="189" t="s">
        <v>180</v>
      </c>
      <c r="F94" s="179">
        <f ca="1">COUNTIFS(Paste_Report_Here!$E$1:$E$2000,E70, OFFSET(Paste_Report_Here!$A$1,0,$A94,2000,1),F$75)</f>
        <v>0</v>
      </c>
      <c r="G94" s="180">
        <f ca="1">COUNTIFS(Paste_Report_Here!$E$1:$E$2000,E70, OFFSET(Paste_Report_Here!$A$1,0,$A94,2000,1),G$75)</f>
        <v>0</v>
      </c>
      <c r="H94" s="180">
        <f ca="1">COUNTIFS(Paste_Report_Here!$E$1:$E$2000,E70, OFFSET(Paste_Report_Here!$A$1,0,$A94,2000,1),H$75)</f>
        <v>26</v>
      </c>
      <c r="I94" s="180">
        <f ca="1">COUNTIFS(Paste_Report_Here!$E$1:$E$2000,E70, OFFSET(Paste_Report_Here!$A$1,0,$A94,2000,1),I$75)</f>
        <v>10</v>
      </c>
      <c r="J94" s="180">
        <f ca="1">COUNTIFS(Paste_Report_Here!$E$1:$E$2000,E70, OFFSET(Paste_Report_Here!$A$1,0,$A94,2000,1),J$75)</f>
        <v>1</v>
      </c>
      <c r="K94" s="181">
        <f ca="1">COUNTIFS(Paste_Report_Here!$E$1:$E$2000,E70, OFFSET(Paste_Report_Here!$A$1,0,$A94,2000,1),K$75)</f>
        <v>1</v>
      </c>
      <c r="L94" s="166">
        <f t="shared" ref="L94:L100" ca="1" si="15">SUM(F94:K94)</f>
        <v>38</v>
      </c>
      <c r="M94" s="183">
        <f ca="1">SUMPRODUCT(F94:K94,F74:K74)/L:L</f>
        <v>5.263157894736842E-3</v>
      </c>
      <c r="N94" s="166">
        <f t="shared" ca="1" si="12"/>
        <v>1.0052770326412299</v>
      </c>
      <c r="O94" s="165">
        <f t="shared" ca="1" si="14"/>
        <v>3557.6125921075859</v>
      </c>
      <c r="P94" s="165">
        <f t="shared" ca="1" si="13"/>
        <v>3576.3862298809881</v>
      </c>
      <c r="Q94" s="165"/>
    </row>
    <row r="95" spans="1:17" x14ac:dyDescent="0.3">
      <c r="A95" s="165">
        <f>MATCH(Calcs!B95,Paste_Report_Here!$1:$1,0) -1</f>
        <v>24</v>
      </c>
      <c r="B95" s="165" t="s">
        <v>209</v>
      </c>
      <c r="C95" s="166">
        <f ca="1">RANK(N95,N76:N100)</f>
        <v>12</v>
      </c>
      <c r="D95" s="166">
        <f ca="1">RANK(P95,P76:P100)</f>
        <v>24</v>
      </c>
      <c r="E95" s="202" t="s">
        <v>211</v>
      </c>
      <c r="F95" s="179">
        <f ca="1">COUNTIFS(Paste_Report_Here!$E$1:$E$2000,E70, OFFSET(Paste_Report_Here!$A$1,0,$A95,2000,1),F$75)</f>
        <v>0</v>
      </c>
      <c r="G95" s="180">
        <f ca="1">COUNTIFS(Paste_Report_Here!$E$1:$E$2000,E70, OFFSET(Paste_Report_Here!$A$1,0,$A95,2000,1),G$75)</f>
        <v>1</v>
      </c>
      <c r="H95" s="180">
        <f ca="1">COUNTIFS(Paste_Report_Here!$E$1:$E$2000,E70, OFFSET(Paste_Report_Here!$A$1,0,$A95,2000,1),H$75)</f>
        <v>33</v>
      </c>
      <c r="I95" s="180">
        <f ca="1">COUNTIFS(Paste_Report_Here!$E$1:$E$2000,E70, OFFSET(Paste_Report_Here!$A$1,0,$A95,2000,1),I$75)</f>
        <v>2</v>
      </c>
      <c r="J95" s="180">
        <f ca="1">COUNTIFS(Paste_Report_Here!$E$1:$E$2000,E70, OFFSET(Paste_Report_Here!$A$1,0,$A95,2000,1),J$75)</f>
        <v>0</v>
      </c>
      <c r="K95" s="181">
        <f ca="1">COUNTIFS(Paste_Report_Here!$E$1:$E$2000,E70, OFFSET(Paste_Report_Here!$A$1,0,$A95,2000,1),K$75)</f>
        <v>2</v>
      </c>
      <c r="L95" s="166">
        <f t="shared" ca="1" si="15"/>
        <v>38</v>
      </c>
      <c r="M95" s="183">
        <f ca="1">SUMPRODUCT(F95:K95,F74:K74)/L:L</f>
        <v>0</v>
      </c>
      <c r="N95" s="166">
        <f t="shared" ca="1" si="12"/>
        <v>1</v>
      </c>
      <c r="O95" s="165">
        <f t="shared" ca="1" si="14"/>
        <v>1171.4993966260608</v>
      </c>
      <c r="P95" s="165">
        <f t="shared" ca="1" si="13"/>
        <v>1171.4993966260608</v>
      </c>
      <c r="Q95" s="165"/>
    </row>
    <row r="96" spans="1:17" x14ac:dyDescent="0.3">
      <c r="A96" s="165">
        <f>MATCH(Calcs!B96,Paste_Report_Here!$1:$1,0) -1</f>
        <v>25</v>
      </c>
      <c r="B96" s="165" t="s">
        <v>141</v>
      </c>
      <c r="C96" s="166">
        <f ca="1">RANK(N96,N76:N100)</f>
        <v>23</v>
      </c>
      <c r="D96" s="166">
        <f ca="1">RANK(P96,P76:P100)</f>
        <v>22</v>
      </c>
      <c r="E96" s="189" t="s">
        <v>170</v>
      </c>
      <c r="F96" s="179">
        <f ca="1">COUNTIFS(Paste_Report_Here!$E$1:$E$2000,E70, OFFSET(Paste_Report_Here!$A$1,0,$A96,2000,1),F$75)</f>
        <v>1</v>
      </c>
      <c r="G96" s="180">
        <f ca="1">COUNTIFS(Paste_Report_Here!$E$1:$E$2000,E70, OFFSET(Paste_Report_Here!$A$1,0,$A96,2000,1),G$75)</f>
        <v>5</v>
      </c>
      <c r="H96" s="180">
        <f ca="1">COUNTIFS(Paste_Report_Here!$E$1:$E$2000,E70, OFFSET(Paste_Report_Here!$A$1,0,$A96,2000,1),H$75)</f>
        <v>29</v>
      </c>
      <c r="I96" s="180">
        <f ca="1">COUNTIFS(Paste_Report_Here!$E$1:$E$2000,E70, OFFSET(Paste_Report_Here!$A$1,0,$A96,2000,1),I$75)</f>
        <v>3</v>
      </c>
      <c r="J96" s="180">
        <f ca="1">COUNTIFS(Paste_Report_Here!$E$1:$E$2000,E70, OFFSET(Paste_Report_Here!$A$1,0,$A96,2000,1),J$75)</f>
        <v>0</v>
      </c>
      <c r="K96" s="181">
        <f ca="1">COUNTIFS(Paste_Report_Here!$E$1:$E$2000,E70, OFFSET(Paste_Report_Here!$A$1,0,$A96,2000,1),K$75)</f>
        <v>0</v>
      </c>
      <c r="L96" s="166">
        <f t="shared" ca="1" si="15"/>
        <v>38</v>
      </c>
      <c r="M96" s="183">
        <f ca="1">SUMPRODUCT(F96:K96,F74:K74)/L:L</f>
        <v>-5.263157894736842E-3</v>
      </c>
      <c r="N96" s="166">
        <f t="shared" ca="1" si="12"/>
        <v>0.9947506682537397</v>
      </c>
      <c r="O96" s="165">
        <f t="shared" ca="1" si="14"/>
        <v>1388.3239889699576</v>
      </c>
      <c r="P96" s="165">
        <f t="shared" ca="1" si="13"/>
        <v>1381.0362157805628</v>
      </c>
      <c r="Q96" s="165"/>
    </row>
    <row r="97" spans="1:18" x14ac:dyDescent="0.3">
      <c r="A97" s="165">
        <f>MATCH(Calcs!B97,Paste_Report_Here!$1:$1,0) -1</f>
        <v>26</v>
      </c>
      <c r="B97" s="165" t="s">
        <v>142</v>
      </c>
      <c r="C97" s="166">
        <f ca="1">RANK(N97,N76:N100)</f>
        <v>3</v>
      </c>
      <c r="D97" s="166">
        <f ca="1">RANK(P97,P76:P100)</f>
        <v>10</v>
      </c>
      <c r="E97" s="189" t="s">
        <v>171</v>
      </c>
      <c r="F97" s="179">
        <f ca="1">COUNTIFS(Paste_Report_Here!$E$1:$E$2000,E70, OFFSET(Paste_Report_Here!$A$1,0,$A97,2000,1),F$75)</f>
        <v>0</v>
      </c>
      <c r="G97" s="180">
        <f ca="1">COUNTIFS(Paste_Report_Here!$E$1:$E$2000,E70, OFFSET(Paste_Report_Here!$A$1,0,$A97,2000,1),G$75)</f>
        <v>3</v>
      </c>
      <c r="H97" s="180">
        <f ca="1">COUNTIFS(Paste_Report_Here!$E$1:$E$2000,E70, OFFSET(Paste_Report_Here!$A$1,0,$A97,2000,1),H$75)</f>
        <v>23</v>
      </c>
      <c r="I97" s="180">
        <f ca="1">COUNTIFS(Paste_Report_Here!$E$1:$E$2000,E70, OFFSET(Paste_Report_Here!$A$1,0,$A97,2000,1),I$75)</f>
        <v>9</v>
      </c>
      <c r="J97" s="180">
        <f ca="1">COUNTIFS(Paste_Report_Here!$E$1:$E$2000,E70, OFFSET(Paste_Report_Here!$A$1,0,$A97,2000,1),J$75)</f>
        <v>3</v>
      </c>
      <c r="K97" s="181">
        <f ca="1">COUNTIFS(Paste_Report_Here!$E$1:$E$2000,E70, OFFSET(Paste_Report_Here!$A$1,0,$A97,2000,1),K$75)</f>
        <v>0</v>
      </c>
      <c r="L97" s="166">
        <f t="shared" ca="1" si="15"/>
        <v>38</v>
      </c>
      <c r="M97" s="183">
        <f ca="1">SUMPRODUCT(F97:K97,F74:K74)/L:L</f>
        <v>1.578947368421053E-2</v>
      </c>
      <c r="N97" s="166">
        <f t="shared" ca="1" si="12"/>
        <v>1.0159147860940954</v>
      </c>
      <c r="O97" s="165">
        <f t="shared" ca="1" si="14"/>
        <v>2272.4423893459216</v>
      </c>
      <c r="P97" s="165">
        <f t="shared" ca="1" si="13"/>
        <v>2308.6078238835171</v>
      </c>
      <c r="Q97" s="165"/>
    </row>
    <row r="98" spans="1:18" x14ac:dyDescent="0.3">
      <c r="A98" s="165">
        <f>MATCH(Calcs!B98,Paste_Report_Here!$1:$1,0) -1</f>
        <v>27</v>
      </c>
      <c r="B98" s="165" t="s">
        <v>210</v>
      </c>
      <c r="C98" s="166">
        <f ca="1">RANK(N98,N76:N100)</f>
        <v>7</v>
      </c>
      <c r="D98" s="166">
        <f ca="1">RANK(P98,P76:P100)</f>
        <v>23</v>
      </c>
      <c r="E98" s="202" t="s">
        <v>212</v>
      </c>
      <c r="F98" s="179">
        <f ca="1">COUNTIFS(Paste_Report_Here!$E$1:$E$2000,E70, OFFSET(Paste_Report_Here!$A$1,0,$A98,2000,1),F$75)</f>
        <v>0</v>
      </c>
      <c r="G98" s="180">
        <f ca="1">COUNTIFS(Paste_Report_Here!$E$1:$E$2000,E70, OFFSET(Paste_Report_Here!$A$1,0,$A98,2000,1),G$75)</f>
        <v>0</v>
      </c>
      <c r="H98" s="180">
        <f ca="1">COUNTIFS(Paste_Report_Here!$E$1:$E$2000,E70, OFFSET(Paste_Report_Here!$A$1,0,$A98,2000,1),H$75)</f>
        <v>32</v>
      </c>
      <c r="I98" s="180">
        <f ca="1">COUNTIFS(Paste_Report_Here!$E$1:$E$2000,E70, OFFSET(Paste_Report_Here!$A$1,0,$A98,2000,1),I$75)</f>
        <v>4</v>
      </c>
      <c r="J98" s="180">
        <f ca="1">COUNTIFS(Paste_Report_Here!$E$1:$E$2000,E70, OFFSET(Paste_Report_Here!$A$1,0,$A98,2000,1),J$75)</f>
        <v>1</v>
      </c>
      <c r="K98" s="181">
        <f ca="1">COUNTIFS(Paste_Report_Here!$E$1:$E$2000,E70, OFFSET(Paste_Report_Here!$A$1,0,$A98,2000,1),K$75)</f>
        <v>1</v>
      </c>
      <c r="L98" s="166">
        <f t="shared" ca="1" si="15"/>
        <v>38</v>
      </c>
      <c r="M98" s="183">
        <f ca="1">SUMPRODUCT(F98:K98,F74:K74)/L:L</f>
        <v>5.263157894736842E-3</v>
      </c>
      <c r="N98" s="166">
        <f t="shared" ca="1" si="12"/>
        <v>1.0052770326412299</v>
      </c>
      <c r="O98" s="165">
        <f t="shared" ca="1" si="14"/>
        <v>1167.4960119713251</v>
      </c>
      <c r="P98" s="165">
        <f t="shared" ca="1" si="13"/>
        <v>1173.6569265350035</v>
      </c>
      <c r="Q98" s="165"/>
    </row>
    <row r="99" spans="1:18" x14ac:dyDescent="0.3">
      <c r="A99" s="165">
        <f>MATCH(Calcs!B99,Paste_Report_Here!$1:$1,0) -1</f>
        <v>28</v>
      </c>
      <c r="B99" s="165" t="s">
        <v>143</v>
      </c>
      <c r="C99" s="166">
        <f ca="1">RANK(N99,N76:N100)</f>
        <v>5</v>
      </c>
      <c r="D99" s="166">
        <f ca="1">RANK(P99,P76:P100)</f>
        <v>1</v>
      </c>
      <c r="E99" s="189" t="s">
        <v>172</v>
      </c>
      <c r="F99" s="179">
        <f ca="1">COUNTIFS(Paste_Report_Here!$E$1:$E$2000,E70, OFFSET(Paste_Report_Here!$A$1,0,$A99,2000,1),F$75)</f>
        <v>1</v>
      </c>
      <c r="G99" s="180">
        <f ca="1">COUNTIFS(Paste_Report_Here!$E$1:$E$2000,E70, OFFSET(Paste_Report_Here!$A$1,0,$A99,2000,1),G$75)</f>
        <v>0</v>
      </c>
      <c r="H99" s="180">
        <f ca="1">COUNTIFS(Paste_Report_Here!$E$1:$E$2000,E70, OFFSET(Paste_Report_Here!$A$1,0,$A99,2000,1),H$75)</f>
        <v>18</v>
      </c>
      <c r="I99" s="180">
        <f ca="1">COUNTIFS(Paste_Report_Here!$E$1:$E$2000,E70, OFFSET(Paste_Report_Here!$A$1,0,$A99,2000,1),I$75)</f>
        <v>16</v>
      </c>
      <c r="J99" s="180">
        <f ca="1">COUNTIFS(Paste_Report_Here!$E$1:$E$2000,E70, OFFSET(Paste_Report_Here!$A$1,0,$A99,2000,1),J$75)</f>
        <v>3</v>
      </c>
      <c r="K99" s="181">
        <f ca="1">COUNTIFS(Paste_Report_Here!$E$1:$E$2000,E70, OFFSET(Paste_Report_Here!$A$1,0,$A99,2000,1),K$75)</f>
        <v>0</v>
      </c>
      <c r="L99" s="166">
        <f t="shared" ca="1" si="15"/>
        <v>38</v>
      </c>
      <c r="M99" s="183">
        <f ca="1">SUMPRODUCT(F99:K99,F74:K74)/L:L</f>
        <v>1.0526315789473686E-2</v>
      </c>
      <c r="N99" s="166">
        <f t="shared" ca="1" si="12"/>
        <v>1.0105819123559565</v>
      </c>
      <c r="O99" s="165">
        <f t="shared" ca="1" si="14"/>
        <v>6601.346703854867</v>
      </c>
      <c r="P99" s="165">
        <f t="shared" ca="1" si="13"/>
        <v>6671.2015761063412</v>
      </c>
      <c r="Q99" s="165"/>
    </row>
    <row r="100" spans="1:18" x14ac:dyDescent="0.3">
      <c r="A100" s="165">
        <f>MATCH(Calcs!B100,Paste_Report_Here!$1:$1,0) -1</f>
        <v>29</v>
      </c>
      <c r="B100" s="187" t="s">
        <v>144</v>
      </c>
      <c r="C100" s="147">
        <f ca="1">RANK(N100,N76:N100)</f>
        <v>12</v>
      </c>
      <c r="D100" s="147">
        <f ca="1">RANK(P100,P76:P100)</f>
        <v>11</v>
      </c>
      <c r="E100" s="145" t="s">
        <v>173</v>
      </c>
      <c r="F100" s="146">
        <f ca="1">COUNTIFS(Paste_Report_Here!$E$1:$E$2000,E70, OFFSET(Paste_Report_Here!$A$1,0,$A100,2000,1),F$75)</f>
        <v>0</v>
      </c>
      <c r="G100" s="147">
        <f ca="1">COUNTIFS(Paste_Report_Here!$E$1:$E$2000,E70, OFFSET(Paste_Report_Here!$A$1,0,$A100,2000,1),G$75)</f>
        <v>1</v>
      </c>
      <c r="H100" s="147">
        <f ca="1">COUNTIFS(Paste_Report_Here!$E$1:$E$2000,E70, OFFSET(Paste_Report_Here!$A$1,0,$A100,2000,1),H$75)</f>
        <v>25</v>
      </c>
      <c r="I100" s="147">
        <f ca="1">COUNTIFS(Paste_Report_Here!$E$1:$E$2000,E70, OFFSET(Paste_Report_Here!$A$1,0,$A100,2000,1),I$75)</f>
        <v>12</v>
      </c>
      <c r="J100" s="147">
        <f ca="1">COUNTIFS(Paste_Report_Here!$E$1:$E$2000,E70, OFFSET(Paste_Report_Here!$A$1,0,$A100,2000,1),J$75)</f>
        <v>0</v>
      </c>
      <c r="K100" s="148">
        <f ca="1">COUNTIFS(Paste_Report_Here!$E$1:$E$2000,E70, OFFSET(Paste_Report_Here!$A$1,0,$A100,2000,1),K$75)</f>
        <v>0</v>
      </c>
      <c r="L100" s="147">
        <f t="shared" ca="1" si="15"/>
        <v>38</v>
      </c>
      <c r="M100" s="149">
        <f ca="1">SUMPRODUCT(F100:K100,F74:K74)/L:L</f>
        <v>0</v>
      </c>
      <c r="N100" s="147">
        <f t="shared" ca="1" si="12"/>
        <v>1</v>
      </c>
      <c r="O100" s="187">
        <f t="shared" ca="1" si="14"/>
        <v>2292.7154881282422</v>
      </c>
      <c r="P100" s="165">
        <f t="shared" ca="1" si="13"/>
        <v>2292.7154881282422</v>
      </c>
      <c r="Q100" s="165"/>
      <c r="R100" s="132"/>
    </row>
    <row r="101" spans="1:18" s="132" customFormat="1" x14ac:dyDescent="0.3">
      <c r="A101" s="165"/>
      <c r="B101" s="165"/>
      <c r="C101" s="166"/>
      <c r="D101" s="165"/>
      <c r="E101" s="140" t="s">
        <v>293</v>
      </c>
      <c r="F101" s="180">
        <f t="shared" ref="F101:L101" ca="1" si="16">SUM(F76:F100)</f>
        <v>7</v>
      </c>
      <c r="G101" s="180">
        <f t="shared" ca="1" si="16"/>
        <v>32</v>
      </c>
      <c r="H101" s="180">
        <f t="shared" ca="1" si="16"/>
        <v>664</v>
      </c>
      <c r="I101" s="180">
        <f t="shared" ca="1" si="16"/>
        <v>216</v>
      </c>
      <c r="J101" s="180">
        <f t="shared" ca="1" si="16"/>
        <v>27</v>
      </c>
      <c r="K101" s="180">
        <f t="shared" ca="1" si="16"/>
        <v>4</v>
      </c>
      <c r="L101" s="180">
        <f t="shared" ca="1" si="16"/>
        <v>950</v>
      </c>
      <c r="M101" s="144">
        <f ca="1">SUMPRODUCT(F101:K101,F74:K74)/L101</f>
        <v>4.2105263157894736E-3</v>
      </c>
      <c r="N101" s="166">
        <f t="shared" ca="1" si="12"/>
        <v>1.0042194030358993</v>
      </c>
      <c r="O101" s="165">
        <f t="shared" ca="1" si="14"/>
        <v>2485.6124977829641</v>
      </c>
      <c r="P101" s="165">
        <f t="shared" ca="1" si="13"/>
        <v>2496.1002987021789</v>
      </c>
      <c r="Q101" s="165"/>
      <c r="R101"/>
    </row>
    <row r="102" spans="1:18" x14ac:dyDescent="0.3">
      <c r="A102" s="194"/>
      <c r="B102" s="194"/>
      <c r="C102" s="153"/>
      <c r="D102" s="194"/>
      <c r="E102" s="164"/>
      <c r="F102" s="151"/>
      <c r="G102" s="151"/>
      <c r="H102" s="151"/>
      <c r="I102" s="151"/>
      <c r="J102" s="151"/>
      <c r="K102" s="151"/>
      <c r="L102" s="151"/>
      <c r="M102" s="162"/>
      <c r="N102" s="153"/>
      <c r="O102" s="194"/>
      <c r="P102" s="194"/>
    </row>
    <row r="103" spans="1:18" s="165" customFormat="1" x14ac:dyDescent="0.3">
      <c r="E103" s="173" t="s">
        <v>292</v>
      </c>
    </row>
    <row r="104" spans="1:18" s="165" customFormat="1" x14ac:dyDescent="0.3">
      <c r="E104" s="141">
        <v>40632</v>
      </c>
    </row>
    <row r="105" spans="1:18" s="165" customFormat="1" ht="15" thickBot="1" x14ac:dyDescent="0.35"/>
    <row r="106" spans="1:18" s="165" customFormat="1" ht="24.6" thickBot="1" x14ac:dyDescent="0.35">
      <c r="F106" s="174" t="s">
        <v>23</v>
      </c>
      <c r="G106" s="168" t="s">
        <v>18</v>
      </c>
      <c r="H106" s="168" t="s">
        <v>16</v>
      </c>
      <c r="I106" s="168" t="s">
        <v>17</v>
      </c>
      <c r="J106" s="168" t="s">
        <v>19</v>
      </c>
      <c r="K106" s="169" t="s">
        <v>114</v>
      </c>
    </row>
    <row r="107" spans="1:18" s="165" customFormat="1" ht="15" customHeight="1" x14ac:dyDescent="0.3">
      <c r="F107" s="267" t="s">
        <v>201</v>
      </c>
      <c r="G107" s="268"/>
      <c r="H107" s="268"/>
      <c r="I107" s="268"/>
      <c r="J107" s="268"/>
      <c r="K107" s="169"/>
      <c r="M107" s="203">
        <f ca="1">(H135+K135)/L135</f>
        <v>0.72599999999999998</v>
      </c>
      <c r="N107" s="204" t="s">
        <v>501</v>
      </c>
    </row>
    <row r="108" spans="1:18" s="165" customFormat="1" ht="43.8" thickBot="1" x14ac:dyDescent="0.35">
      <c r="A108" s="142" t="s">
        <v>294</v>
      </c>
      <c r="B108" s="142" t="s">
        <v>295</v>
      </c>
      <c r="C108" s="197" t="s">
        <v>440</v>
      </c>
      <c r="D108" s="142" t="s">
        <v>441</v>
      </c>
      <c r="E108" s="171" t="s">
        <v>30</v>
      </c>
      <c r="F108" s="175">
        <f>Falling_fast</f>
        <v>-0.2</v>
      </c>
      <c r="G108" s="176">
        <f>Falling</f>
        <v>0</v>
      </c>
      <c r="H108" s="177">
        <f>Static</f>
        <v>0</v>
      </c>
      <c r="I108" s="176">
        <f>Rising</f>
        <v>0</v>
      </c>
      <c r="J108" s="178">
        <f>Rising_fast</f>
        <v>0.2</v>
      </c>
      <c r="K108" s="182">
        <v>0</v>
      </c>
      <c r="L108" s="171" t="s">
        <v>28</v>
      </c>
      <c r="M108" s="172" t="s">
        <v>29</v>
      </c>
      <c r="N108" s="143" t="s">
        <v>296</v>
      </c>
      <c r="O108" s="142" t="s">
        <v>297</v>
      </c>
      <c r="P108" s="142" t="s">
        <v>298</v>
      </c>
    </row>
    <row r="109" spans="1:18" s="165" customFormat="1" x14ac:dyDescent="0.3">
      <c r="C109" s="166"/>
      <c r="E109" s="192"/>
      <c r="F109" s="198" t="s">
        <v>151</v>
      </c>
      <c r="G109" s="199" t="s">
        <v>149</v>
      </c>
      <c r="H109" s="199" t="s">
        <v>16</v>
      </c>
      <c r="I109" s="199" t="s">
        <v>148</v>
      </c>
      <c r="J109" s="199" t="s">
        <v>150</v>
      </c>
      <c r="K109" s="200" t="s">
        <v>114</v>
      </c>
      <c r="L109" s="166"/>
      <c r="M109" s="170"/>
      <c r="N109" s="166"/>
    </row>
    <row r="110" spans="1:18" s="165" customFormat="1" x14ac:dyDescent="0.3">
      <c r="A110" s="165">
        <f>MATCH(Calcs!B110,Paste_Report_Here!$1:$1,0) -1</f>
        <v>5</v>
      </c>
      <c r="B110" s="165" t="s">
        <v>124</v>
      </c>
      <c r="C110" s="166">
        <f ca="1">RANK(N110,N110:N134)</f>
        <v>10</v>
      </c>
      <c r="D110" s="166">
        <f ca="1">RANK(P110,P110:P134)</f>
        <v>16</v>
      </c>
      <c r="E110" s="189" t="s">
        <v>152</v>
      </c>
      <c r="F110" s="179">
        <f ca="1">COUNTIFS(Paste_Report_Here!$E$1:$E$2000,E104, OFFSET(Paste_Report_Here!$A$1,0,$A110,2000,1),F$75)</f>
        <v>0</v>
      </c>
      <c r="G110" s="180">
        <f ca="1">COUNTIFS(Paste_Report_Here!$E$1:$E$2000,E104, OFFSET(Paste_Report_Here!$A$1,0,$A110,2000,1),G$75)</f>
        <v>3</v>
      </c>
      <c r="H110" s="180">
        <f ca="1">COUNTIFS(Paste_Report_Here!$E$1:$E$2000,E104, OFFSET(Paste_Report_Here!$A$1,0,$A110,2000,1),H$75)</f>
        <v>33</v>
      </c>
      <c r="I110" s="180">
        <f ca="1">COUNTIFS(Paste_Report_Here!$E$1:$E$2000,E104, OFFSET(Paste_Report_Here!$A$1,0,$A110,2000,1),I$75)</f>
        <v>4</v>
      </c>
      <c r="J110" s="180">
        <f ca="1">COUNTIFS(Paste_Report_Here!$E$1:$E$2000,E104, OFFSET(Paste_Report_Here!$A$1,0,$A110,2000,1),J$75)</f>
        <v>0</v>
      </c>
      <c r="K110" s="181">
        <f ca="1">COUNTIFS(Paste_Report_Here!$E$1:$E$2000,E104, OFFSET(Paste_Report_Here!$A$1,0,$A110,2000,1),K$75)</f>
        <v>0</v>
      </c>
      <c r="L110" s="166">
        <f t="shared" ref="L110:L134" ca="1" si="17">SUM(F110:K110)</f>
        <v>40</v>
      </c>
      <c r="M110" s="183">
        <f ca="1">SUMPRODUCT(F110:K110,F108:K108)/L:L</f>
        <v>0</v>
      </c>
      <c r="N110" s="166">
        <f t="shared" ref="N110:N135" ca="1" si="18">EXP(M110)</f>
        <v>1</v>
      </c>
      <c r="O110" s="165">
        <f ca="1">P76</f>
        <v>2022.3583187636318</v>
      </c>
      <c r="P110" s="165">
        <f t="shared" ref="P110:P135" ca="1" si="19">O110*N110</f>
        <v>2022.3583187636318</v>
      </c>
    </row>
    <row r="111" spans="1:18" s="165" customFormat="1" x14ac:dyDescent="0.3">
      <c r="A111" s="165">
        <f>MATCH(Calcs!B111,Paste_Report_Here!$1:$1,0) -1</f>
        <v>6</v>
      </c>
      <c r="B111" s="165" t="s">
        <v>125</v>
      </c>
      <c r="C111" s="166">
        <f ca="1">RANK(N111,N110:N134)</f>
        <v>10</v>
      </c>
      <c r="D111" s="166">
        <f ca="1">RANK(P111,P110:P134)</f>
        <v>13</v>
      </c>
      <c r="E111" s="189" t="s">
        <v>153</v>
      </c>
      <c r="F111" s="179">
        <f ca="1">COUNTIFS(Paste_Report_Here!$E$1:$E$2000,E104, OFFSET(Paste_Report_Here!$A$1,0,$A111,2000,1),F$75)</f>
        <v>0</v>
      </c>
      <c r="G111" s="180">
        <f ca="1">COUNTIFS(Paste_Report_Here!$E$1:$E$2000,E104, OFFSET(Paste_Report_Here!$A$1,0,$A111,2000,1),G$75)</f>
        <v>4</v>
      </c>
      <c r="H111" s="180">
        <f ca="1">COUNTIFS(Paste_Report_Here!$E$1:$E$2000,E104, OFFSET(Paste_Report_Here!$A$1,0,$A111,2000,1),H$75)</f>
        <v>30</v>
      </c>
      <c r="I111" s="180">
        <f ca="1">COUNTIFS(Paste_Report_Here!$E$1:$E$2000,E104, OFFSET(Paste_Report_Here!$A$1,0,$A111,2000,1),I$75)</f>
        <v>6</v>
      </c>
      <c r="J111" s="180">
        <f ca="1">COUNTIFS(Paste_Report_Here!$E$1:$E$2000,E104, OFFSET(Paste_Report_Here!$A$1,0,$A111,2000,1),J$75)</f>
        <v>0</v>
      </c>
      <c r="K111" s="181">
        <f ca="1">COUNTIFS(Paste_Report_Here!$E$1:$E$2000,E104, OFFSET(Paste_Report_Here!$A$1,0,$A111,2000,1),K$75)</f>
        <v>0</v>
      </c>
      <c r="L111" s="166">
        <f t="shared" ca="1" si="17"/>
        <v>40</v>
      </c>
      <c r="M111" s="183">
        <f ca="1">SUMPRODUCT(F111:K111,F108:K108)/L:L</f>
        <v>0</v>
      </c>
      <c r="N111" s="166">
        <f t="shared" ca="1" si="18"/>
        <v>1</v>
      </c>
      <c r="O111" s="165">
        <f t="shared" ref="O111:O135" ca="1" si="20">P77</f>
        <v>2122.6053218389079</v>
      </c>
      <c r="P111" s="165">
        <f t="shared" ca="1" si="19"/>
        <v>2122.6053218389079</v>
      </c>
    </row>
    <row r="112" spans="1:18" s="165" customFormat="1" x14ac:dyDescent="0.3">
      <c r="A112" s="165">
        <f>MATCH(Calcs!B112,Paste_Report_Here!$1:$1,0) -1</f>
        <v>7</v>
      </c>
      <c r="B112" s="165" t="s">
        <v>126</v>
      </c>
      <c r="C112" s="166">
        <f ca="1">RANK(N112,N110:N134)</f>
        <v>10</v>
      </c>
      <c r="D112" s="166">
        <f ca="1">RANK(P112,P110:P134)</f>
        <v>6</v>
      </c>
      <c r="E112" s="189" t="s">
        <v>154</v>
      </c>
      <c r="F112" s="179">
        <f ca="1">COUNTIFS(Paste_Report_Here!$E$1:$E$2000,E104, OFFSET(Paste_Report_Here!$A$1,0,$A112,2000,1),F$75)</f>
        <v>0</v>
      </c>
      <c r="G112" s="180">
        <f ca="1">COUNTIFS(Paste_Report_Here!$E$1:$E$2000,E104, OFFSET(Paste_Report_Here!$A$1,0,$A112,2000,1),G$75)</f>
        <v>3</v>
      </c>
      <c r="H112" s="180">
        <f ca="1">COUNTIFS(Paste_Report_Here!$E$1:$E$2000,E104, OFFSET(Paste_Report_Here!$A$1,0,$A112,2000,1),H$75)</f>
        <v>28</v>
      </c>
      <c r="I112" s="180">
        <f ca="1">COUNTIFS(Paste_Report_Here!$E$1:$E$2000,E104, OFFSET(Paste_Report_Here!$A$1,0,$A112,2000,1),I$75)</f>
        <v>9</v>
      </c>
      <c r="J112" s="180">
        <f ca="1">COUNTIFS(Paste_Report_Here!$E$1:$E$2000,E104, OFFSET(Paste_Report_Here!$A$1,0,$A112,2000,1),J$75)</f>
        <v>0</v>
      </c>
      <c r="K112" s="181">
        <f ca="1">COUNTIFS(Paste_Report_Here!$E$1:$E$2000,E104, OFFSET(Paste_Report_Here!$A$1,0,$A112,2000,1),K$75)</f>
        <v>0</v>
      </c>
      <c r="L112" s="166">
        <f t="shared" ca="1" si="17"/>
        <v>40</v>
      </c>
      <c r="M112" s="183">
        <f ca="1">SUMPRODUCT(F112:K112,F108:K108)/L:L</f>
        <v>0</v>
      </c>
      <c r="N112" s="166">
        <f t="shared" ca="1" si="18"/>
        <v>1</v>
      </c>
      <c r="O112" s="165">
        <f t="shared" ca="1" si="20"/>
        <v>2790.4463452698778</v>
      </c>
      <c r="P112" s="165">
        <f t="shared" ca="1" si="19"/>
        <v>2790.4463452698778</v>
      </c>
    </row>
    <row r="113" spans="1:16" s="165" customFormat="1" x14ac:dyDescent="0.3">
      <c r="A113" s="165">
        <f>MATCH(Calcs!B113,Paste_Report_Here!$1:$1,0) -1</f>
        <v>8</v>
      </c>
      <c r="B113" s="165" t="s">
        <v>127</v>
      </c>
      <c r="C113" s="166">
        <f ca="1">RANK(N113,N110:N134)</f>
        <v>1</v>
      </c>
      <c r="D113" s="166">
        <f ca="1">RANK(P113,P110:P134)</f>
        <v>9</v>
      </c>
      <c r="E113" s="189" t="s">
        <v>155</v>
      </c>
      <c r="F113" s="179">
        <f ca="1">COUNTIFS(Paste_Report_Here!$E$1:$E$2000,E104, OFFSET(Paste_Report_Here!$A$1,0,$A113,2000,1),F$75)</f>
        <v>0</v>
      </c>
      <c r="G113" s="180">
        <f ca="1">COUNTIFS(Paste_Report_Here!$E$1:$E$2000,E104, OFFSET(Paste_Report_Here!$A$1,0,$A113,2000,1),G$75)</f>
        <v>1</v>
      </c>
      <c r="H113" s="180">
        <f ca="1">COUNTIFS(Paste_Report_Here!$E$1:$E$2000,E104, OFFSET(Paste_Report_Here!$A$1,0,$A113,2000,1),H$75)</f>
        <v>22</v>
      </c>
      <c r="I113" s="180">
        <f ca="1">COUNTIFS(Paste_Report_Here!$E$1:$E$2000,E104, OFFSET(Paste_Report_Here!$A$1,0,$A113,2000,1),I$75)</f>
        <v>13</v>
      </c>
      <c r="J113" s="180">
        <f ca="1">COUNTIFS(Paste_Report_Here!$E$1:$E$2000,E104, OFFSET(Paste_Report_Here!$A$1,0,$A113,2000,1),J$75)</f>
        <v>3</v>
      </c>
      <c r="K113" s="181">
        <f ca="1">COUNTIFS(Paste_Report_Here!$E$1:$E$2000,E104, OFFSET(Paste_Report_Here!$A$1,0,$A113,2000,1),K$75)</f>
        <v>1</v>
      </c>
      <c r="L113" s="166">
        <f t="shared" ca="1" si="17"/>
        <v>40</v>
      </c>
      <c r="M113" s="183">
        <f ca="1">SUMPRODUCT(F113:K113,F108:K108)/L:L</f>
        <v>1.5000000000000003E-2</v>
      </c>
      <c r="N113" s="166">
        <f t="shared" ca="1" si="18"/>
        <v>1.0151130646157189</v>
      </c>
      <c r="O113" s="165">
        <f t="shared" ca="1" si="20"/>
        <v>2384.1236900854938</v>
      </c>
      <c r="P113" s="165">
        <f t="shared" ca="1" si="19"/>
        <v>2420.155105465622</v>
      </c>
    </row>
    <row r="114" spans="1:16" s="165" customFormat="1" x14ac:dyDescent="0.3">
      <c r="A114" s="165">
        <f>MATCH(Calcs!B114,Paste_Report_Here!$1:$1,0) -1</f>
        <v>9</v>
      </c>
      <c r="B114" s="165" t="s">
        <v>214</v>
      </c>
      <c r="C114" s="166">
        <f ca="1">RANK(N114,N110:N134)</f>
        <v>5</v>
      </c>
      <c r="D114" s="166">
        <f ca="1">RANK(P114,P110:P134)</f>
        <v>5</v>
      </c>
      <c r="E114" s="189" t="s">
        <v>156</v>
      </c>
      <c r="F114" s="179">
        <f ca="1">COUNTIFS(Paste_Report_Here!$E$1:$E$2000,E104, OFFSET(Paste_Report_Here!$A$1,0,$A114,2000,1),F$75)</f>
        <v>0</v>
      </c>
      <c r="G114" s="180">
        <f ca="1">COUNTIFS(Paste_Report_Here!$E$1:$E$2000,E104, OFFSET(Paste_Report_Here!$A$1,0,$A114,2000,1),G$75)</f>
        <v>0</v>
      </c>
      <c r="H114" s="180">
        <f ca="1">COUNTIFS(Paste_Report_Here!$E$1:$E$2000,E104, OFFSET(Paste_Report_Here!$A$1,0,$A114,2000,1),H$75)</f>
        <v>25</v>
      </c>
      <c r="I114" s="180">
        <f ca="1">COUNTIFS(Paste_Report_Here!$E$1:$E$2000,E104, OFFSET(Paste_Report_Here!$A$1,0,$A114,2000,1),I$75)</f>
        <v>12</v>
      </c>
      <c r="J114" s="180">
        <f ca="1">COUNTIFS(Paste_Report_Here!$E$1:$E$2000,E104, OFFSET(Paste_Report_Here!$A$1,0,$A114,2000,1),J$75)</f>
        <v>1</v>
      </c>
      <c r="K114" s="181">
        <f ca="1">COUNTIFS(Paste_Report_Here!$E$1:$E$2000,E104, OFFSET(Paste_Report_Here!$A$1,0,$A114,2000,1),K$75)</f>
        <v>2</v>
      </c>
      <c r="L114" s="166">
        <f t="shared" ca="1" si="17"/>
        <v>40</v>
      </c>
      <c r="M114" s="183">
        <f ca="1">SUMPRODUCT(F114:K114,F108:K108)/L:L</f>
        <v>5.0000000000000001E-3</v>
      </c>
      <c r="N114" s="166">
        <f t="shared" ca="1" si="18"/>
        <v>1.005012520859401</v>
      </c>
      <c r="O114" s="165">
        <f t="shared" ca="1" si="20"/>
        <v>3290.3215522721471</v>
      </c>
      <c r="P114" s="165">
        <f t="shared" ca="1" si="19"/>
        <v>3306.814357687048</v>
      </c>
    </row>
    <row r="115" spans="1:16" s="165" customFormat="1" x14ac:dyDescent="0.3">
      <c r="A115" s="165">
        <f>MATCH(Calcs!B115,Paste_Report_Here!$1:$1,0) -1</f>
        <v>10</v>
      </c>
      <c r="B115" s="165" t="s">
        <v>128</v>
      </c>
      <c r="C115" s="166">
        <f ca="1">RANK(N115,N110:N134)</f>
        <v>3</v>
      </c>
      <c r="D115" s="166">
        <f ca="1">RANK(P115,P110:P134)</f>
        <v>21</v>
      </c>
      <c r="E115" s="189" t="s">
        <v>157</v>
      </c>
      <c r="F115" s="179">
        <f ca="1">COUNTIFS(Paste_Report_Here!$E$1:$E$2000,E104, OFFSET(Paste_Report_Here!$A$1,0,$A115,2000,1),F$75)</f>
        <v>0</v>
      </c>
      <c r="G115" s="180">
        <f ca="1">COUNTIFS(Paste_Report_Here!$E$1:$E$2000,E104, OFFSET(Paste_Report_Here!$A$1,0,$A115,2000,1),G$75)</f>
        <v>2</v>
      </c>
      <c r="H115" s="180">
        <f ca="1">COUNTIFS(Paste_Report_Here!$E$1:$E$2000,E104, OFFSET(Paste_Report_Here!$A$1,0,$A115,2000,1),H$75)</f>
        <v>35</v>
      </c>
      <c r="I115" s="180">
        <f ca="1">COUNTIFS(Paste_Report_Here!$E$1:$E$2000,E104, OFFSET(Paste_Report_Here!$A$1,0,$A115,2000,1),I$75)</f>
        <v>1</v>
      </c>
      <c r="J115" s="180">
        <f ca="1">COUNTIFS(Paste_Report_Here!$E$1:$E$2000,E104, OFFSET(Paste_Report_Here!$A$1,0,$A115,2000,1),J$75)</f>
        <v>2</v>
      </c>
      <c r="K115" s="181">
        <f ca="1">COUNTIFS(Paste_Report_Here!$E$1:$E$2000,E104, OFFSET(Paste_Report_Here!$A$1,0,$A115,2000,1),K$75)</f>
        <v>0</v>
      </c>
      <c r="L115" s="166">
        <f t="shared" ca="1" si="17"/>
        <v>40</v>
      </c>
      <c r="M115" s="183">
        <f ca="1">SUMPRODUCT(F115:K115,F108:K108)/L:L</f>
        <v>0.01</v>
      </c>
      <c r="N115" s="166">
        <f t="shared" ca="1" si="18"/>
        <v>1.0100501670841679</v>
      </c>
      <c r="O115" s="165">
        <f t="shared" ca="1" si="20"/>
        <v>1532.3757315592197</v>
      </c>
      <c r="P115" s="165">
        <f t="shared" ca="1" si="19"/>
        <v>1547.776363697114</v>
      </c>
    </row>
    <row r="116" spans="1:16" s="165" customFormat="1" x14ac:dyDescent="0.3">
      <c r="A116" s="165">
        <f>MATCH(Calcs!B116,Paste_Report_Here!$1:$1,0) -1</f>
        <v>11</v>
      </c>
      <c r="B116" s="165" t="s">
        <v>129</v>
      </c>
      <c r="C116" s="166">
        <f ca="1">RANK(N116,N110:N134)</f>
        <v>3</v>
      </c>
      <c r="D116" s="166">
        <f ca="1">RANK(P116,P110:P134)</f>
        <v>8</v>
      </c>
      <c r="E116" s="189" t="s">
        <v>158</v>
      </c>
      <c r="F116" s="179">
        <f ca="1">COUNTIFS(Paste_Report_Here!$E$1:$E$2000,E104, OFFSET(Paste_Report_Here!$A$1,0,$A116,2000,1),F$75)</f>
        <v>0</v>
      </c>
      <c r="G116" s="180">
        <f ca="1">COUNTIFS(Paste_Report_Here!$E$1:$E$2000,E104, OFFSET(Paste_Report_Here!$A$1,0,$A116,2000,1),G$75)</f>
        <v>1</v>
      </c>
      <c r="H116" s="180">
        <f ca="1">COUNTIFS(Paste_Report_Here!$E$1:$E$2000,E104, OFFSET(Paste_Report_Here!$A$1,0,$A116,2000,1),H$75)</f>
        <v>36</v>
      </c>
      <c r="I116" s="180">
        <f ca="1">COUNTIFS(Paste_Report_Here!$E$1:$E$2000,E104, OFFSET(Paste_Report_Here!$A$1,0,$A116,2000,1),I$75)</f>
        <v>1</v>
      </c>
      <c r="J116" s="180">
        <f ca="1">COUNTIFS(Paste_Report_Here!$E$1:$E$2000,E104, OFFSET(Paste_Report_Here!$A$1,0,$A116,2000,1),J$75)</f>
        <v>2</v>
      </c>
      <c r="K116" s="181">
        <f ca="1">COUNTIFS(Paste_Report_Here!$E$1:$E$2000,E104, OFFSET(Paste_Report_Here!$A$1,0,$A116,2000,1),K$75)</f>
        <v>0</v>
      </c>
      <c r="L116" s="166">
        <f t="shared" ca="1" si="17"/>
        <v>40</v>
      </c>
      <c r="M116" s="183">
        <f ca="1">SUMPRODUCT(F116:K116,F108:K108)/L:L</f>
        <v>0.01</v>
      </c>
      <c r="N116" s="166">
        <f t="shared" ca="1" si="18"/>
        <v>1.0100501670841679</v>
      </c>
      <c r="O116" s="165">
        <f t="shared" ca="1" si="20"/>
        <v>2401.7987840168876</v>
      </c>
      <c r="P116" s="165">
        <f t="shared" ca="1" si="19"/>
        <v>2425.9372630988087</v>
      </c>
    </row>
    <row r="117" spans="1:16" s="165" customFormat="1" x14ac:dyDescent="0.3">
      <c r="A117" s="165">
        <f>MATCH(Calcs!B117,Paste_Report_Here!$1:$1,0) -1</f>
        <v>12</v>
      </c>
      <c r="B117" s="165" t="s">
        <v>130</v>
      </c>
      <c r="C117" s="166">
        <f ca="1">RANK(N117,N110:N134)</f>
        <v>10</v>
      </c>
      <c r="D117" s="166">
        <f ca="1">RANK(P117,P110:P134)</f>
        <v>12</v>
      </c>
      <c r="E117" s="189" t="s">
        <v>159</v>
      </c>
      <c r="F117" s="179">
        <f ca="1">COUNTIFS(Paste_Report_Here!$E$1:$E$2000,E104, OFFSET(Paste_Report_Here!$A$1,0,$A117,2000,1),F$75)</f>
        <v>0</v>
      </c>
      <c r="G117" s="180">
        <f ca="1">COUNTIFS(Paste_Report_Here!$E$1:$E$2000,E104, OFFSET(Paste_Report_Here!$A$1,0,$A117,2000,1),G$75)</f>
        <v>3</v>
      </c>
      <c r="H117" s="180">
        <f ca="1">COUNTIFS(Paste_Report_Here!$E$1:$E$2000,E104, OFFSET(Paste_Report_Here!$A$1,0,$A117,2000,1),H$75)</f>
        <v>23</v>
      </c>
      <c r="I117" s="180">
        <f ca="1">COUNTIFS(Paste_Report_Here!$E$1:$E$2000,E104, OFFSET(Paste_Report_Here!$A$1,0,$A117,2000,1),I$75)</f>
        <v>14</v>
      </c>
      <c r="J117" s="180">
        <f ca="1">COUNTIFS(Paste_Report_Here!$E$1:$E$2000,E104, OFFSET(Paste_Report_Here!$A$1,0,$A117,2000,1),J$75)</f>
        <v>0</v>
      </c>
      <c r="K117" s="181">
        <f ca="1">COUNTIFS(Paste_Report_Here!$E$1:$E$2000,E104, OFFSET(Paste_Report_Here!$A$1,0,$A117,2000,1),K$75)</f>
        <v>0</v>
      </c>
      <c r="L117" s="166">
        <f t="shared" ca="1" si="17"/>
        <v>40</v>
      </c>
      <c r="M117" s="183">
        <f ca="1">SUMPRODUCT(F117:K117,F108:K108)/L:L</f>
        <v>0</v>
      </c>
      <c r="N117" s="166">
        <f t="shared" ca="1" si="18"/>
        <v>1</v>
      </c>
      <c r="O117" s="165">
        <f t="shared" ca="1" si="20"/>
        <v>2245.5263723297826</v>
      </c>
      <c r="P117" s="165">
        <f t="shared" ca="1" si="19"/>
        <v>2245.5263723297826</v>
      </c>
    </row>
    <row r="118" spans="1:16" s="165" customFormat="1" x14ac:dyDescent="0.3">
      <c r="A118" s="165">
        <f>MATCH(Calcs!B118,Paste_Report_Here!$1:$1,0) -1</f>
        <v>13</v>
      </c>
      <c r="B118" s="165" t="s">
        <v>131</v>
      </c>
      <c r="C118" s="166">
        <f ca="1">RANK(N118,N110:N134)</f>
        <v>5</v>
      </c>
      <c r="D118" s="166">
        <f ca="1">RANK(P118,P110:P134)</f>
        <v>4</v>
      </c>
      <c r="E118" s="189" t="s">
        <v>160</v>
      </c>
      <c r="F118" s="179">
        <f ca="1">COUNTIFS(Paste_Report_Here!$E$1:$E$2000,E104, OFFSET(Paste_Report_Here!$A$1,0,$A118,2000,1),F$75)</f>
        <v>0</v>
      </c>
      <c r="G118" s="180">
        <f ca="1">COUNTIFS(Paste_Report_Here!$E$1:$E$2000,E104, OFFSET(Paste_Report_Here!$A$1,0,$A118,2000,1),G$75)</f>
        <v>1</v>
      </c>
      <c r="H118" s="180">
        <f ca="1">COUNTIFS(Paste_Report_Here!$E$1:$E$2000,E104, OFFSET(Paste_Report_Here!$A$1,0,$A118,2000,1),H$75)</f>
        <v>21</v>
      </c>
      <c r="I118" s="180">
        <f ca="1">COUNTIFS(Paste_Report_Here!$E$1:$E$2000,E104, OFFSET(Paste_Report_Here!$A$1,0,$A118,2000,1),I$75)</f>
        <v>17</v>
      </c>
      <c r="J118" s="180">
        <f ca="1">COUNTIFS(Paste_Report_Here!$E$1:$E$2000,E104, OFFSET(Paste_Report_Here!$A$1,0,$A118,2000,1),J$75)</f>
        <v>1</v>
      </c>
      <c r="K118" s="181">
        <f ca="1">COUNTIFS(Paste_Report_Here!$E$1:$E$2000,E104, OFFSET(Paste_Report_Here!$A$1,0,$A118,2000,1),K$75)</f>
        <v>0</v>
      </c>
      <c r="L118" s="166">
        <f t="shared" ca="1" si="17"/>
        <v>40</v>
      </c>
      <c r="M118" s="183">
        <f ca="1">SUMPRODUCT(F118:K118,F108:K108)/L:L</f>
        <v>5.0000000000000001E-3</v>
      </c>
      <c r="N118" s="166">
        <f t="shared" ca="1" si="18"/>
        <v>1.005012520859401</v>
      </c>
      <c r="O118" s="165">
        <f t="shared" ca="1" si="20"/>
        <v>3333.8617978128123</v>
      </c>
      <c r="P118" s="165">
        <f t="shared" ca="1" si="19"/>
        <v>3350.5728496167089</v>
      </c>
    </row>
    <row r="119" spans="1:16" s="165" customFormat="1" x14ac:dyDescent="0.3">
      <c r="A119" s="165">
        <f>MATCH(Calcs!B119,Paste_Report_Here!$1:$1,0) -1</f>
        <v>14</v>
      </c>
      <c r="B119" s="165" t="s">
        <v>132</v>
      </c>
      <c r="C119" s="166">
        <f ca="1">RANK(N119,N110:N134)</f>
        <v>10</v>
      </c>
      <c r="D119" s="166">
        <f ca="1">RANK(P119,P110:P134)</f>
        <v>19</v>
      </c>
      <c r="E119" s="189" t="s">
        <v>161</v>
      </c>
      <c r="F119" s="179">
        <f ca="1">COUNTIFS(Paste_Report_Here!$E$1:$E$2000,E104, OFFSET(Paste_Report_Here!$A$1,0,$A119,2000,1),F$75)</f>
        <v>0</v>
      </c>
      <c r="G119" s="180">
        <f ca="1">COUNTIFS(Paste_Report_Here!$E$1:$E$2000,E104, OFFSET(Paste_Report_Here!$A$1,0,$A119,2000,1),G$75)</f>
        <v>2</v>
      </c>
      <c r="H119" s="180">
        <f ca="1">COUNTIFS(Paste_Report_Here!$E$1:$E$2000,E104, OFFSET(Paste_Report_Here!$A$1,0,$A119,2000,1),H$75)</f>
        <v>29</v>
      </c>
      <c r="I119" s="180">
        <f ca="1">COUNTIFS(Paste_Report_Here!$E$1:$E$2000,E104, OFFSET(Paste_Report_Here!$A$1,0,$A119,2000,1),I$75)</f>
        <v>9</v>
      </c>
      <c r="J119" s="180">
        <f ca="1">COUNTIFS(Paste_Report_Here!$E$1:$E$2000,E104, OFFSET(Paste_Report_Here!$A$1,0,$A119,2000,1),J$75)</f>
        <v>0</v>
      </c>
      <c r="K119" s="181">
        <f ca="1">COUNTIFS(Paste_Report_Here!$E$1:$E$2000,E104, OFFSET(Paste_Report_Here!$A$1,0,$A119,2000,1),K$75)</f>
        <v>0</v>
      </c>
      <c r="L119" s="166">
        <f t="shared" ca="1" si="17"/>
        <v>40</v>
      </c>
      <c r="M119" s="183">
        <f ca="1">SUMPRODUCT(F119:K119,F108:K108)/L:L</f>
        <v>0</v>
      </c>
      <c r="N119" s="166">
        <f t="shared" ca="1" si="18"/>
        <v>1</v>
      </c>
      <c r="O119" s="165">
        <f t="shared" ca="1" si="20"/>
        <v>1864.3857596186299</v>
      </c>
      <c r="P119" s="165">
        <f t="shared" ca="1" si="19"/>
        <v>1864.3857596186299</v>
      </c>
    </row>
    <row r="120" spans="1:16" s="165" customFormat="1" x14ac:dyDescent="0.3">
      <c r="A120" s="165">
        <f>MATCH(Calcs!B120,Paste_Report_Here!$1:$1,0) -1</f>
        <v>15</v>
      </c>
      <c r="B120" s="165" t="s">
        <v>133</v>
      </c>
      <c r="C120" s="166">
        <f ca="1">RANK(N120,N110:N134)</f>
        <v>1</v>
      </c>
      <c r="D120" s="166">
        <f ca="1">RANK(P120,P110:P134)</f>
        <v>7</v>
      </c>
      <c r="E120" s="189" t="s">
        <v>162</v>
      </c>
      <c r="F120" s="179">
        <f ca="1">COUNTIFS(Paste_Report_Here!$E$1:$E$2000,E104, OFFSET(Paste_Report_Here!$A$1,0,$A120,2000,1),F$75)</f>
        <v>0</v>
      </c>
      <c r="G120" s="180">
        <f ca="1">COUNTIFS(Paste_Report_Here!$E$1:$E$2000,E104, OFFSET(Paste_Report_Here!$A$1,0,$A120,2000,1),G$75)</f>
        <v>0</v>
      </c>
      <c r="H120" s="180">
        <f ca="1">COUNTIFS(Paste_Report_Here!$E$1:$E$2000,E104, OFFSET(Paste_Report_Here!$A$1,0,$A120,2000,1),H$75)</f>
        <v>23</v>
      </c>
      <c r="I120" s="180">
        <f ca="1">COUNTIFS(Paste_Report_Here!$E$1:$E$2000,E104, OFFSET(Paste_Report_Here!$A$1,0,$A120,2000,1),I$75)</f>
        <v>14</v>
      </c>
      <c r="J120" s="180">
        <f ca="1">COUNTIFS(Paste_Report_Here!$E$1:$E$2000,E104, OFFSET(Paste_Report_Here!$A$1,0,$A120,2000,1),J$75)</f>
        <v>3</v>
      </c>
      <c r="K120" s="181">
        <f ca="1">COUNTIFS(Paste_Report_Here!$E$1:$E$2000,E104, OFFSET(Paste_Report_Here!$A$1,0,$A120,2000,1),K$75)</f>
        <v>0</v>
      </c>
      <c r="L120" s="166">
        <f t="shared" ca="1" si="17"/>
        <v>40</v>
      </c>
      <c r="M120" s="183">
        <f ca="1">SUMPRODUCT(F120:K120,F108:K108)/L:L</f>
        <v>1.5000000000000003E-2</v>
      </c>
      <c r="N120" s="166">
        <f t="shared" ca="1" si="18"/>
        <v>1.0151130646157189</v>
      </c>
      <c r="O120" s="165">
        <f t="shared" ca="1" si="20"/>
        <v>2539.3004143486232</v>
      </c>
      <c r="P120" s="165">
        <f t="shared" ca="1" si="19"/>
        <v>2577.6770255893957</v>
      </c>
    </row>
    <row r="121" spans="1:16" s="165" customFormat="1" x14ac:dyDescent="0.3">
      <c r="A121" s="165">
        <f>MATCH(Calcs!B121,Paste_Report_Here!$1:$1,0) -1</f>
        <v>16</v>
      </c>
      <c r="B121" s="165" t="s">
        <v>134</v>
      </c>
      <c r="C121" s="166">
        <f ca="1">RANK(N121,N110:N134)</f>
        <v>10</v>
      </c>
      <c r="D121" s="166">
        <f ca="1">RANK(P121,P110:P134)</f>
        <v>25</v>
      </c>
      <c r="E121" s="189" t="s">
        <v>163</v>
      </c>
      <c r="F121" s="179">
        <f ca="1">COUNTIFS(Paste_Report_Here!$E$1:$E$2000,E104, OFFSET(Paste_Report_Here!$A$1,0,$A121,2000,1),F$75)</f>
        <v>0</v>
      </c>
      <c r="G121" s="180">
        <f ca="1">COUNTIFS(Paste_Report_Here!$E$1:$E$2000,E104, OFFSET(Paste_Report_Here!$A$1,0,$A121,2000,1),G$75)</f>
        <v>1</v>
      </c>
      <c r="H121" s="180">
        <f ca="1">COUNTIFS(Paste_Report_Here!$E$1:$E$2000,E104, OFFSET(Paste_Report_Here!$A$1,0,$A121,2000,1),H$75)</f>
        <v>39</v>
      </c>
      <c r="I121" s="180">
        <f ca="1">COUNTIFS(Paste_Report_Here!$E$1:$E$2000,E104, OFFSET(Paste_Report_Here!$A$1,0,$A121,2000,1),I$75)</f>
        <v>0</v>
      </c>
      <c r="J121" s="180">
        <f ca="1">COUNTIFS(Paste_Report_Here!$E$1:$E$2000,E104, OFFSET(Paste_Report_Here!$A$1,0,$A121,2000,1),J$75)</f>
        <v>0</v>
      </c>
      <c r="K121" s="181">
        <f ca="1">COUNTIFS(Paste_Report_Here!$E$1:$E$2000,E104, OFFSET(Paste_Report_Here!$A$1,0,$A121,2000,1),K$75)</f>
        <v>0</v>
      </c>
      <c r="L121" s="166">
        <f t="shared" ca="1" si="17"/>
        <v>40</v>
      </c>
      <c r="M121" s="183">
        <f ca="1">SUMPRODUCT(F121:K121,F108:K108)/L:L</f>
        <v>0</v>
      </c>
      <c r="N121" s="166">
        <f t="shared" ca="1" si="18"/>
        <v>1</v>
      </c>
      <c r="O121" s="165">
        <f t="shared" ca="1" si="20"/>
        <v>1161.2422523843593</v>
      </c>
      <c r="P121" s="165">
        <f t="shared" ca="1" si="19"/>
        <v>1161.2422523843593</v>
      </c>
    </row>
    <row r="122" spans="1:16" s="165" customFormat="1" x14ac:dyDescent="0.3">
      <c r="A122" s="165">
        <f>MATCH(Calcs!B122,Paste_Report_Here!$1:$1,0) -1</f>
        <v>17</v>
      </c>
      <c r="B122" s="165" t="s">
        <v>135</v>
      </c>
      <c r="C122" s="166">
        <f ca="1">RANK(N122,N110:N134)</f>
        <v>10</v>
      </c>
      <c r="D122" s="166">
        <f ca="1">RANK(P122,P110:P134)</f>
        <v>20</v>
      </c>
      <c r="E122" s="189" t="s">
        <v>164</v>
      </c>
      <c r="F122" s="179">
        <f ca="1">COUNTIFS(Paste_Report_Here!$E$1:$E$2000,E104, OFFSET(Paste_Report_Here!$A$1,0,$A122,2000,1),F$75)</f>
        <v>0</v>
      </c>
      <c r="G122" s="180">
        <f ca="1">COUNTIFS(Paste_Report_Here!$E$1:$E$2000,E104, OFFSET(Paste_Report_Here!$A$1,0,$A122,2000,1),G$75)</f>
        <v>2</v>
      </c>
      <c r="H122" s="180">
        <f ca="1">COUNTIFS(Paste_Report_Here!$E$1:$E$2000,E104, OFFSET(Paste_Report_Here!$A$1,0,$A122,2000,1),H$75)</f>
        <v>33</v>
      </c>
      <c r="I122" s="180">
        <f ca="1">COUNTIFS(Paste_Report_Here!$E$1:$E$2000,E104, OFFSET(Paste_Report_Here!$A$1,0,$A122,2000,1),I$75)</f>
        <v>5</v>
      </c>
      <c r="J122" s="180">
        <f ca="1">COUNTIFS(Paste_Report_Here!$E$1:$E$2000,E104, OFFSET(Paste_Report_Here!$A$1,0,$A122,2000,1),J$75)</f>
        <v>0</v>
      </c>
      <c r="K122" s="181">
        <f ca="1">COUNTIFS(Paste_Report_Here!$E$1:$E$2000,E104, OFFSET(Paste_Report_Here!$A$1,0,$A122,2000,1),K$75)</f>
        <v>0</v>
      </c>
      <c r="L122" s="166">
        <f t="shared" ca="1" si="17"/>
        <v>40</v>
      </c>
      <c r="M122" s="183">
        <f ca="1">SUMPRODUCT(F122:K122,F108:K108)/L:L</f>
        <v>0</v>
      </c>
      <c r="N122" s="166">
        <f t="shared" ca="1" si="18"/>
        <v>1</v>
      </c>
      <c r="O122" s="165">
        <f t="shared" ca="1" si="20"/>
        <v>1750.5359723807339</v>
      </c>
      <c r="P122" s="165">
        <f t="shared" ca="1" si="19"/>
        <v>1750.5359723807339</v>
      </c>
    </row>
    <row r="123" spans="1:16" s="165" customFormat="1" x14ac:dyDescent="0.3">
      <c r="A123" s="165">
        <f>MATCH(Calcs!B123,Paste_Report_Here!$1:$1,0) -1</f>
        <v>18</v>
      </c>
      <c r="B123" s="165" t="s">
        <v>136</v>
      </c>
      <c r="C123" s="166">
        <f ca="1">RANK(N123,N110:N134)</f>
        <v>5</v>
      </c>
      <c r="D123" s="166">
        <f ca="1">RANK(P123,P110:P134)</f>
        <v>3</v>
      </c>
      <c r="E123" s="189" t="s">
        <v>165</v>
      </c>
      <c r="F123" s="179">
        <f ca="1">COUNTIFS(Paste_Report_Here!$E$1:$E$2000,E104, OFFSET(Paste_Report_Here!$A$1,0,$A123,2000,1),F$75)</f>
        <v>0</v>
      </c>
      <c r="G123" s="180">
        <f ca="1">COUNTIFS(Paste_Report_Here!$E$1:$E$2000,E104, OFFSET(Paste_Report_Here!$A$1,0,$A123,2000,1),G$75)</f>
        <v>1</v>
      </c>
      <c r="H123" s="180">
        <f ca="1">COUNTIFS(Paste_Report_Here!$E$1:$E$2000,E104, OFFSET(Paste_Report_Here!$A$1,0,$A123,2000,1),H$75)</f>
        <v>29</v>
      </c>
      <c r="I123" s="180">
        <f ca="1">COUNTIFS(Paste_Report_Here!$E$1:$E$2000,E104, OFFSET(Paste_Report_Here!$A$1,0,$A123,2000,1),I$75)</f>
        <v>9</v>
      </c>
      <c r="J123" s="180">
        <f ca="1">COUNTIFS(Paste_Report_Here!$E$1:$E$2000,E104, OFFSET(Paste_Report_Here!$A$1,0,$A123,2000,1),J$75)</f>
        <v>1</v>
      </c>
      <c r="K123" s="181">
        <f ca="1">COUNTIFS(Paste_Report_Here!$E$1:$E$2000,E104, OFFSET(Paste_Report_Here!$A$1,0,$A123,2000,1),K$75)</f>
        <v>0</v>
      </c>
      <c r="L123" s="166">
        <f t="shared" ca="1" si="17"/>
        <v>40</v>
      </c>
      <c r="M123" s="183">
        <f ca="1">SUMPRODUCT(F123:K123,F108:K108)/L:L</f>
        <v>5.0000000000000001E-3</v>
      </c>
      <c r="N123" s="166">
        <f t="shared" ca="1" si="18"/>
        <v>1.005012520859401</v>
      </c>
      <c r="O123" s="165">
        <f t="shared" ca="1" si="20"/>
        <v>3475.8791767506868</v>
      </c>
      <c r="P123" s="165">
        <f t="shared" ca="1" si="19"/>
        <v>3493.3020936289072</v>
      </c>
    </row>
    <row r="124" spans="1:16" s="165" customFormat="1" x14ac:dyDescent="0.3">
      <c r="A124" s="165">
        <f>MATCH(Calcs!B124,Paste_Report_Here!$1:$1,0) -1</f>
        <v>19</v>
      </c>
      <c r="B124" s="165" t="s">
        <v>137</v>
      </c>
      <c r="C124" s="166">
        <f ca="1">RANK(N124,N110:N134)</f>
        <v>5</v>
      </c>
      <c r="D124" s="166">
        <f ca="1">RANK(P124,P110:P134)</f>
        <v>15</v>
      </c>
      <c r="E124" s="189" t="s">
        <v>166</v>
      </c>
      <c r="F124" s="179">
        <f ca="1">COUNTIFS(Paste_Report_Here!$E$1:$E$2000,E104, OFFSET(Paste_Report_Here!$A$1,0,$A124,2000,1),F$75)</f>
        <v>0</v>
      </c>
      <c r="G124" s="180">
        <f ca="1">COUNTIFS(Paste_Report_Here!$E$1:$E$2000,E104, OFFSET(Paste_Report_Here!$A$1,0,$A124,2000,1),G$75)</f>
        <v>2</v>
      </c>
      <c r="H124" s="180">
        <f ca="1">COUNTIFS(Paste_Report_Here!$E$1:$E$2000,E104, OFFSET(Paste_Report_Here!$A$1,0,$A124,2000,1),H$75)</f>
        <v>30</v>
      </c>
      <c r="I124" s="180">
        <f ca="1">COUNTIFS(Paste_Report_Here!$E$1:$E$2000,E104, OFFSET(Paste_Report_Here!$A$1,0,$A124,2000,1),I$75)</f>
        <v>7</v>
      </c>
      <c r="J124" s="180">
        <f ca="1">COUNTIFS(Paste_Report_Here!$E$1:$E$2000,E104, OFFSET(Paste_Report_Here!$A$1,0,$A124,2000,1),J$75)</f>
        <v>1</v>
      </c>
      <c r="K124" s="181">
        <f ca="1">COUNTIFS(Paste_Report_Here!$E$1:$E$2000,E104, OFFSET(Paste_Report_Here!$A$1,0,$A124,2000,1),K$75)</f>
        <v>0</v>
      </c>
      <c r="L124" s="166">
        <f t="shared" ca="1" si="17"/>
        <v>40</v>
      </c>
      <c r="M124" s="183">
        <f ca="1">SUMPRODUCT(F124:K124,F108:K108)/L:L</f>
        <v>5.0000000000000001E-3</v>
      </c>
      <c r="N124" s="166">
        <f t="shared" ca="1" si="18"/>
        <v>1.005012520859401</v>
      </c>
      <c r="O124" s="165">
        <f t="shared" ca="1" si="20"/>
        <v>2051.5287005411169</v>
      </c>
      <c r="P124" s="165">
        <f t="shared" ca="1" si="19"/>
        <v>2061.8120309462388</v>
      </c>
    </row>
    <row r="125" spans="1:16" s="165" customFormat="1" x14ac:dyDescent="0.3">
      <c r="A125" s="165">
        <f>MATCH(Calcs!B125,Paste_Report_Here!$1:$1,0) -1</f>
        <v>20</v>
      </c>
      <c r="B125" s="165" t="s">
        <v>138</v>
      </c>
      <c r="C125" s="166">
        <f ca="1">RANK(N125,N110:N134)</f>
        <v>10</v>
      </c>
      <c r="D125" s="166">
        <f ca="1">RANK(P125,P110:P134)</f>
        <v>17</v>
      </c>
      <c r="E125" s="189" t="s">
        <v>167</v>
      </c>
      <c r="F125" s="179">
        <f ca="1">COUNTIFS(Paste_Report_Here!$E$1:$E$2000,E104, OFFSET(Paste_Report_Here!$A$1,0,$A125,2000,1),F$75)</f>
        <v>0</v>
      </c>
      <c r="G125" s="180">
        <f ca="1">COUNTIFS(Paste_Report_Here!$E$1:$E$2000,E104, OFFSET(Paste_Report_Here!$A$1,0,$A125,2000,1),G$75)</f>
        <v>1</v>
      </c>
      <c r="H125" s="180">
        <f ca="1">COUNTIFS(Paste_Report_Here!$E$1:$E$2000,E104, OFFSET(Paste_Report_Here!$A$1,0,$A125,2000,1),H$75)</f>
        <v>28</v>
      </c>
      <c r="I125" s="180">
        <f ca="1">COUNTIFS(Paste_Report_Here!$E$1:$E$2000,E104, OFFSET(Paste_Report_Here!$A$1,0,$A125,2000,1),I$75)</f>
        <v>11</v>
      </c>
      <c r="J125" s="180">
        <f ca="1">COUNTIFS(Paste_Report_Here!$E$1:$E$2000,E104, OFFSET(Paste_Report_Here!$A$1,0,$A125,2000,1),J$75)</f>
        <v>0</v>
      </c>
      <c r="K125" s="181">
        <f ca="1">COUNTIFS(Paste_Report_Here!$E$1:$E$2000,E104, OFFSET(Paste_Report_Here!$A$1,0,$A125,2000,1),K$75)</f>
        <v>0</v>
      </c>
      <c r="L125" s="166">
        <f t="shared" ca="1" si="17"/>
        <v>40</v>
      </c>
      <c r="M125" s="183">
        <f ca="1">SUMPRODUCT(F125:K125,F108:K108)/L:L</f>
        <v>0</v>
      </c>
      <c r="N125" s="166">
        <f t="shared" ca="1" si="18"/>
        <v>1</v>
      </c>
      <c r="O125" s="165">
        <f t="shared" ca="1" si="20"/>
        <v>1943.3800028452797</v>
      </c>
      <c r="P125" s="165">
        <f t="shared" ca="1" si="19"/>
        <v>1943.3800028452797</v>
      </c>
    </row>
    <row r="126" spans="1:16" s="165" customFormat="1" x14ac:dyDescent="0.3">
      <c r="A126" s="165">
        <f>MATCH(Calcs!B126,Paste_Report_Here!$1:$1,0) -1</f>
        <v>21</v>
      </c>
      <c r="B126" s="165" t="s">
        <v>139</v>
      </c>
      <c r="C126" s="166">
        <f ca="1">RANK(N126,N110:N134)</f>
        <v>10</v>
      </c>
      <c r="D126" s="166">
        <f ca="1">RANK(P126,P110:P134)</f>
        <v>14</v>
      </c>
      <c r="E126" s="189" t="s">
        <v>168</v>
      </c>
      <c r="F126" s="179">
        <f ca="1">COUNTIFS(Paste_Report_Here!$E$1:$E$2000,E104, OFFSET(Paste_Report_Here!$A$1,0,$A126,2000,1),F$75)</f>
        <v>0</v>
      </c>
      <c r="G126" s="180">
        <f ca="1">COUNTIFS(Paste_Report_Here!$E$1:$E$2000,E104, OFFSET(Paste_Report_Here!$A$1,0,$A126,2000,1),G$75)</f>
        <v>2</v>
      </c>
      <c r="H126" s="180">
        <f ca="1">COUNTIFS(Paste_Report_Here!$E$1:$E$2000,E104, OFFSET(Paste_Report_Here!$A$1,0,$A126,2000,1),H$75)</f>
        <v>34</v>
      </c>
      <c r="I126" s="180">
        <f ca="1">COUNTIFS(Paste_Report_Here!$E$1:$E$2000,E104, OFFSET(Paste_Report_Here!$A$1,0,$A126,2000,1),I$75)</f>
        <v>4</v>
      </c>
      <c r="J126" s="180">
        <f ca="1">COUNTIFS(Paste_Report_Here!$E$1:$E$2000,E104, OFFSET(Paste_Report_Here!$A$1,0,$A126,2000,1),J$75)</f>
        <v>0</v>
      </c>
      <c r="K126" s="181">
        <f ca="1">COUNTIFS(Paste_Report_Here!$E$1:$E$2000,E104, OFFSET(Paste_Report_Here!$A$1,0,$A126,2000,1),K$75)</f>
        <v>0</v>
      </c>
      <c r="L126" s="166">
        <f t="shared" ca="1" si="17"/>
        <v>40</v>
      </c>
      <c r="M126" s="183">
        <f ca="1">SUMPRODUCT(F126:K126,F108:K108)/L:L</f>
        <v>0</v>
      </c>
      <c r="N126" s="166">
        <f t="shared" ca="1" si="18"/>
        <v>1</v>
      </c>
      <c r="O126" s="165">
        <f t="shared" ca="1" si="20"/>
        <v>2077.6419514264135</v>
      </c>
      <c r="P126" s="165">
        <f t="shared" ca="1" si="19"/>
        <v>2077.6419514264135</v>
      </c>
    </row>
    <row r="127" spans="1:16" s="165" customFormat="1" x14ac:dyDescent="0.3">
      <c r="A127" s="165">
        <f>MATCH(Calcs!B127,Paste_Report_Here!$1:$1,0) -1</f>
        <v>22</v>
      </c>
      <c r="B127" s="165" t="s">
        <v>140</v>
      </c>
      <c r="C127" s="166">
        <f ca="1">RANK(N127,N110:N134)</f>
        <v>5</v>
      </c>
      <c r="D127" s="166">
        <f ca="1">RANK(P127,P110:P134)</f>
        <v>18</v>
      </c>
      <c r="E127" s="189" t="s">
        <v>169</v>
      </c>
      <c r="F127" s="179">
        <f ca="1">COUNTIFS(Paste_Report_Here!$E$1:$E$2000,E104, OFFSET(Paste_Report_Here!$A$1,0,$A127,2000,1),F$75)</f>
        <v>0</v>
      </c>
      <c r="G127" s="180">
        <f ca="1">COUNTIFS(Paste_Report_Here!$E$1:$E$2000,E104, OFFSET(Paste_Report_Here!$A$1,0,$A127,2000,1),G$75)</f>
        <v>1</v>
      </c>
      <c r="H127" s="180">
        <f ca="1">COUNTIFS(Paste_Report_Here!$E$1:$E$2000,E104, OFFSET(Paste_Report_Here!$A$1,0,$A127,2000,1),H$75)</f>
        <v>32</v>
      </c>
      <c r="I127" s="180">
        <f ca="1">COUNTIFS(Paste_Report_Here!$E$1:$E$2000,E104, OFFSET(Paste_Report_Here!$A$1,0,$A127,2000,1),I$75)</f>
        <v>6</v>
      </c>
      <c r="J127" s="180">
        <f ca="1">COUNTIFS(Paste_Report_Here!$E$1:$E$2000,E104, OFFSET(Paste_Report_Here!$A$1,0,$A127,2000,1),J$75)</f>
        <v>1</v>
      </c>
      <c r="K127" s="181">
        <f ca="1">COUNTIFS(Paste_Report_Here!$E$1:$E$2000,E104, OFFSET(Paste_Report_Here!$A$1,0,$A127,2000,1),K$75)</f>
        <v>0</v>
      </c>
      <c r="L127" s="166">
        <f t="shared" ca="1" si="17"/>
        <v>40</v>
      </c>
      <c r="M127" s="183">
        <f ca="1">SUMPRODUCT(F127:K127,F108:K108)/L:L</f>
        <v>5.0000000000000001E-3</v>
      </c>
      <c r="N127" s="166">
        <f t="shared" ca="1" si="18"/>
        <v>1.005012520859401</v>
      </c>
      <c r="O127" s="165">
        <f t="shared" ca="1" si="20"/>
        <v>1928.3110790744345</v>
      </c>
      <c r="P127" s="165">
        <f t="shared" ca="1" si="19"/>
        <v>1937.9767785817091</v>
      </c>
    </row>
    <row r="128" spans="1:16" s="165" customFormat="1" x14ac:dyDescent="0.3">
      <c r="A128" s="165">
        <f>MATCH(Calcs!B128,Paste_Report_Here!$1:$1,0) -1</f>
        <v>23</v>
      </c>
      <c r="B128" s="165" t="s">
        <v>186</v>
      </c>
      <c r="C128" s="166">
        <f ca="1">RANK(N128,N110:N134)</f>
        <v>10</v>
      </c>
      <c r="D128" s="166">
        <f ca="1">RANK(P128,P110:P134)</f>
        <v>2</v>
      </c>
      <c r="E128" s="189" t="s">
        <v>180</v>
      </c>
      <c r="F128" s="179">
        <f ca="1">COUNTIFS(Paste_Report_Here!$E$1:$E$2000,E104, OFFSET(Paste_Report_Here!$A$1,0,$A128,2000,1),F$75)</f>
        <v>0</v>
      </c>
      <c r="G128" s="180">
        <f ca="1">COUNTIFS(Paste_Report_Here!$E$1:$E$2000,E104, OFFSET(Paste_Report_Here!$A$1,0,$A128,2000,1),G$75)</f>
        <v>0</v>
      </c>
      <c r="H128" s="180">
        <f ca="1">COUNTIFS(Paste_Report_Here!$E$1:$E$2000,E104, OFFSET(Paste_Report_Here!$A$1,0,$A128,2000,1),H$75)</f>
        <v>27</v>
      </c>
      <c r="I128" s="180">
        <f ca="1">COUNTIFS(Paste_Report_Here!$E$1:$E$2000,E104, OFFSET(Paste_Report_Here!$A$1,0,$A128,2000,1),I$75)</f>
        <v>12</v>
      </c>
      <c r="J128" s="180">
        <f ca="1">COUNTIFS(Paste_Report_Here!$E$1:$E$2000,E104, OFFSET(Paste_Report_Here!$A$1,0,$A128,2000,1),J$75)</f>
        <v>0</v>
      </c>
      <c r="K128" s="181">
        <f ca="1">COUNTIFS(Paste_Report_Here!$E$1:$E$2000,E104, OFFSET(Paste_Report_Here!$A$1,0,$A128,2000,1),K$75)</f>
        <v>1</v>
      </c>
      <c r="L128" s="166">
        <f t="shared" ca="1" si="17"/>
        <v>40</v>
      </c>
      <c r="M128" s="183">
        <f ca="1">SUMPRODUCT(F128:K128,F108:K108)/L:L</f>
        <v>0</v>
      </c>
      <c r="N128" s="166">
        <f t="shared" ca="1" si="18"/>
        <v>1</v>
      </c>
      <c r="O128" s="165">
        <f t="shared" ca="1" si="20"/>
        <v>3576.3862298809881</v>
      </c>
      <c r="P128" s="165">
        <f t="shared" ca="1" si="19"/>
        <v>3576.3862298809881</v>
      </c>
    </row>
    <row r="129" spans="1:26" s="165" customFormat="1" x14ac:dyDescent="0.3">
      <c r="A129" s="165">
        <f>MATCH(Calcs!B129,Paste_Report_Here!$1:$1,0) -1</f>
        <v>24</v>
      </c>
      <c r="B129" s="165" t="s">
        <v>209</v>
      </c>
      <c r="C129" s="166">
        <f ca="1">RANK(N129,N110:N134)</f>
        <v>10</v>
      </c>
      <c r="D129" s="166">
        <f ca="1">RANK(P129,P110:P134)</f>
        <v>24</v>
      </c>
      <c r="E129" s="202" t="s">
        <v>211</v>
      </c>
      <c r="F129" s="179">
        <f ca="1">COUNTIFS(Paste_Report_Here!$E$1:$E$2000,E104, OFFSET(Paste_Report_Here!$A$1,0,$A129,2000,1),F$75)</f>
        <v>0</v>
      </c>
      <c r="G129" s="180">
        <f ca="1">COUNTIFS(Paste_Report_Here!$E$1:$E$2000,E104, OFFSET(Paste_Report_Here!$A$1,0,$A129,2000,1),G$75)</f>
        <v>2</v>
      </c>
      <c r="H129" s="180">
        <f ca="1">COUNTIFS(Paste_Report_Here!$E$1:$E$2000,E104, OFFSET(Paste_Report_Here!$A$1,0,$A129,2000,1),H$75)</f>
        <v>32</v>
      </c>
      <c r="I129" s="180">
        <f ca="1">COUNTIFS(Paste_Report_Here!$E$1:$E$2000,E104, OFFSET(Paste_Report_Here!$A$1,0,$A129,2000,1),I$75)</f>
        <v>3</v>
      </c>
      <c r="J129" s="180">
        <f ca="1">COUNTIFS(Paste_Report_Here!$E$1:$E$2000,E104, OFFSET(Paste_Report_Here!$A$1,0,$A129,2000,1),J$75)</f>
        <v>0</v>
      </c>
      <c r="K129" s="181">
        <f ca="1">COUNTIFS(Paste_Report_Here!$E$1:$E$2000,E104, OFFSET(Paste_Report_Here!$A$1,0,$A129,2000,1),K$75)</f>
        <v>3</v>
      </c>
      <c r="L129" s="166">
        <f t="shared" ca="1" si="17"/>
        <v>40</v>
      </c>
      <c r="M129" s="183">
        <f ca="1">SUMPRODUCT(F129:K129,F108:K108)/L:L</f>
        <v>0</v>
      </c>
      <c r="N129" s="166">
        <f t="shared" ca="1" si="18"/>
        <v>1</v>
      </c>
      <c r="O129" s="165">
        <f t="shared" ca="1" si="20"/>
        <v>1171.4993966260608</v>
      </c>
      <c r="P129" s="165">
        <f t="shared" ca="1" si="19"/>
        <v>1171.4993966260608</v>
      </c>
    </row>
    <row r="130" spans="1:26" s="165" customFormat="1" x14ac:dyDescent="0.3">
      <c r="A130" s="165">
        <f>MATCH(Calcs!B130,Paste_Report_Here!$1:$1,0) -1</f>
        <v>25</v>
      </c>
      <c r="B130" s="165" t="s">
        <v>141</v>
      </c>
      <c r="C130" s="166">
        <f ca="1">RANK(N130,N110:N134)</f>
        <v>10</v>
      </c>
      <c r="D130" s="166">
        <f ca="1">RANK(P130,P110:P134)</f>
        <v>22</v>
      </c>
      <c r="E130" s="189" t="s">
        <v>170</v>
      </c>
      <c r="F130" s="179">
        <f ca="1">COUNTIFS(Paste_Report_Here!$E$1:$E$2000,E104, OFFSET(Paste_Report_Here!$A$1,0,$A130,2000,1),F$75)</f>
        <v>0</v>
      </c>
      <c r="G130" s="180">
        <f ca="1">COUNTIFS(Paste_Report_Here!$E$1:$E$2000,E104, OFFSET(Paste_Report_Here!$A$1,0,$A130,2000,1),G$75)</f>
        <v>6</v>
      </c>
      <c r="H130" s="180">
        <f ca="1">COUNTIFS(Paste_Report_Here!$E$1:$E$2000,E104, OFFSET(Paste_Report_Here!$A$1,0,$A130,2000,1),H$75)</f>
        <v>27</v>
      </c>
      <c r="I130" s="180">
        <f ca="1">COUNTIFS(Paste_Report_Here!$E$1:$E$2000,E104, OFFSET(Paste_Report_Here!$A$1,0,$A130,2000,1),I$75)</f>
        <v>7</v>
      </c>
      <c r="J130" s="180">
        <f ca="1">COUNTIFS(Paste_Report_Here!$E$1:$E$2000,E104, OFFSET(Paste_Report_Here!$A$1,0,$A130,2000,1),J$75)</f>
        <v>0</v>
      </c>
      <c r="K130" s="181">
        <f ca="1">COUNTIFS(Paste_Report_Here!$E$1:$E$2000,E104, OFFSET(Paste_Report_Here!$A$1,0,$A130,2000,1),K$75)</f>
        <v>0</v>
      </c>
      <c r="L130" s="166">
        <f t="shared" ca="1" si="17"/>
        <v>40</v>
      </c>
      <c r="M130" s="183">
        <f ca="1">SUMPRODUCT(F130:K130,F108:K108)/L:L</f>
        <v>0</v>
      </c>
      <c r="N130" s="166">
        <f t="shared" ca="1" si="18"/>
        <v>1</v>
      </c>
      <c r="O130" s="165">
        <f t="shared" ca="1" si="20"/>
        <v>1381.0362157805628</v>
      </c>
      <c r="P130" s="165">
        <f t="shared" ca="1" si="19"/>
        <v>1381.0362157805628</v>
      </c>
    </row>
    <row r="131" spans="1:26" s="165" customFormat="1" x14ac:dyDescent="0.3">
      <c r="A131" s="165">
        <f>MATCH(Calcs!B131,Paste_Report_Here!$1:$1,0) -1</f>
        <v>26</v>
      </c>
      <c r="B131" s="165" t="s">
        <v>142</v>
      </c>
      <c r="C131" s="166">
        <f ca="1">RANK(N131,N110:N134)</f>
        <v>10</v>
      </c>
      <c r="D131" s="166">
        <f ca="1">RANK(P131,P110:P134)</f>
        <v>10</v>
      </c>
      <c r="E131" s="189" t="s">
        <v>171</v>
      </c>
      <c r="F131" s="179">
        <f ca="1">COUNTIFS(Paste_Report_Here!$E$1:$E$2000,E104, OFFSET(Paste_Report_Here!$A$1,0,$A131,2000,1),F$75)</f>
        <v>0</v>
      </c>
      <c r="G131" s="180">
        <f ca="1">COUNTIFS(Paste_Report_Here!$E$1:$E$2000,E104, OFFSET(Paste_Report_Here!$A$1,0,$A131,2000,1),G$75)</f>
        <v>2</v>
      </c>
      <c r="H131" s="180">
        <f ca="1">COUNTIFS(Paste_Report_Here!$E$1:$E$2000,E104, OFFSET(Paste_Report_Here!$A$1,0,$A131,2000,1),H$75)</f>
        <v>22</v>
      </c>
      <c r="I131" s="180">
        <f ca="1">COUNTIFS(Paste_Report_Here!$E$1:$E$2000,E104, OFFSET(Paste_Report_Here!$A$1,0,$A131,2000,1),I$75)</f>
        <v>16</v>
      </c>
      <c r="J131" s="180">
        <f ca="1">COUNTIFS(Paste_Report_Here!$E$1:$E$2000,E104, OFFSET(Paste_Report_Here!$A$1,0,$A131,2000,1),J$75)</f>
        <v>0</v>
      </c>
      <c r="K131" s="181">
        <f ca="1">COUNTIFS(Paste_Report_Here!$E$1:$E$2000,E104, OFFSET(Paste_Report_Here!$A$1,0,$A131,2000,1),K$75)</f>
        <v>0</v>
      </c>
      <c r="L131" s="166">
        <f t="shared" ca="1" si="17"/>
        <v>40</v>
      </c>
      <c r="M131" s="183">
        <f ca="1">SUMPRODUCT(F131:K131,F108:K108)/L:L</f>
        <v>0</v>
      </c>
      <c r="N131" s="166">
        <f t="shared" ca="1" si="18"/>
        <v>1</v>
      </c>
      <c r="O131" s="165">
        <f t="shared" ca="1" si="20"/>
        <v>2308.6078238835171</v>
      </c>
      <c r="P131" s="165">
        <f t="shared" ca="1" si="19"/>
        <v>2308.6078238835171</v>
      </c>
    </row>
    <row r="132" spans="1:26" s="165" customFormat="1" x14ac:dyDescent="0.3">
      <c r="A132" s="165">
        <f>MATCH(Calcs!B132,Paste_Report_Here!$1:$1,0) -1</f>
        <v>27</v>
      </c>
      <c r="B132" s="165" t="s">
        <v>210</v>
      </c>
      <c r="C132" s="166">
        <f ca="1">RANK(N132,N110:N134)</f>
        <v>10</v>
      </c>
      <c r="D132" s="166">
        <f ca="1">RANK(P132,P110:P134)</f>
        <v>23</v>
      </c>
      <c r="E132" s="202" t="s">
        <v>212</v>
      </c>
      <c r="F132" s="179">
        <f ca="1">COUNTIFS(Paste_Report_Here!$E$1:$E$2000,E104, OFFSET(Paste_Report_Here!$A$1,0,$A132,2000,1),F$75)</f>
        <v>0</v>
      </c>
      <c r="G132" s="180">
        <f ca="1">COUNTIFS(Paste_Report_Here!$E$1:$E$2000,E104, OFFSET(Paste_Report_Here!$A$1,0,$A132,2000,1),G$75)</f>
        <v>2</v>
      </c>
      <c r="H132" s="180">
        <f ca="1">COUNTIFS(Paste_Report_Here!$E$1:$E$2000,E104, OFFSET(Paste_Report_Here!$A$1,0,$A132,2000,1),H$75)</f>
        <v>30</v>
      </c>
      <c r="I132" s="180">
        <f ca="1">COUNTIFS(Paste_Report_Here!$E$1:$E$2000,E104, OFFSET(Paste_Report_Here!$A$1,0,$A132,2000,1),I$75)</f>
        <v>8</v>
      </c>
      <c r="J132" s="180">
        <f ca="1">COUNTIFS(Paste_Report_Here!$E$1:$E$2000,E104, OFFSET(Paste_Report_Here!$A$1,0,$A132,2000,1),J$75)</f>
        <v>0</v>
      </c>
      <c r="K132" s="181">
        <f ca="1">COUNTIFS(Paste_Report_Here!$E$1:$E$2000,E104, OFFSET(Paste_Report_Here!$A$1,0,$A132,2000,1),K$75)</f>
        <v>0</v>
      </c>
      <c r="L132" s="166">
        <f t="shared" ca="1" si="17"/>
        <v>40</v>
      </c>
      <c r="M132" s="183">
        <f ca="1">SUMPRODUCT(F132:K132,F108:K108)/L:L</f>
        <v>0</v>
      </c>
      <c r="N132" s="166">
        <f t="shared" ca="1" si="18"/>
        <v>1</v>
      </c>
      <c r="O132" s="165">
        <f t="shared" ca="1" si="20"/>
        <v>1173.6569265350035</v>
      </c>
      <c r="P132" s="165">
        <f t="shared" ca="1" si="19"/>
        <v>1173.6569265350035</v>
      </c>
    </row>
    <row r="133" spans="1:26" s="165" customFormat="1" x14ac:dyDescent="0.3">
      <c r="A133" s="165">
        <f>MATCH(Calcs!B133,Paste_Report_Here!$1:$1,0) -1</f>
        <v>28</v>
      </c>
      <c r="B133" s="165" t="s">
        <v>143</v>
      </c>
      <c r="C133" s="166">
        <f ca="1">RANK(N133,N110:N134)</f>
        <v>10</v>
      </c>
      <c r="D133" s="166">
        <f ca="1">RANK(P133,P110:P134)</f>
        <v>1</v>
      </c>
      <c r="E133" s="189" t="s">
        <v>172</v>
      </c>
      <c r="F133" s="179">
        <f ca="1">COUNTIFS(Paste_Report_Here!$E$1:$E$2000,E104, OFFSET(Paste_Report_Here!$A$1,0,$A133,2000,1),F$75)</f>
        <v>0</v>
      </c>
      <c r="G133" s="180">
        <f ca="1">COUNTIFS(Paste_Report_Here!$E$1:$E$2000,E104, OFFSET(Paste_Report_Here!$A$1,0,$A133,2000,1),G$75)</f>
        <v>1</v>
      </c>
      <c r="H133" s="180">
        <f ca="1">COUNTIFS(Paste_Report_Here!$E$1:$E$2000,E104, OFFSET(Paste_Report_Here!$A$1,0,$A133,2000,1),H$75)</f>
        <v>20</v>
      </c>
      <c r="I133" s="180">
        <f ca="1">COUNTIFS(Paste_Report_Here!$E$1:$E$2000,E104, OFFSET(Paste_Report_Here!$A$1,0,$A133,2000,1),I$75)</f>
        <v>19</v>
      </c>
      <c r="J133" s="180">
        <f ca="1">COUNTIFS(Paste_Report_Here!$E$1:$E$2000,E104, OFFSET(Paste_Report_Here!$A$1,0,$A133,2000,1),J$75)</f>
        <v>0</v>
      </c>
      <c r="K133" s="181">
        <f ca="1">COUNTIFS(Paste_Report_Here!$E$1:$E$2000,E104, OFFSET(Paste_Report_Here!$A$1,0,$A133,2000,1),K$75)</f>
        <v>0</v>
      </c>
      <c r="L133" s="166">
        <f t="shared" ca="1" si="17"/>
        <v>40</v>
      </c>
      <c r="M133" s="183">
        <f ca="1">SUMPRODUCT(F133:K133,F108:K108)/L:L</f>
        <v>0</v>
      </c>
      <c r="N133" s="166">
        <f t="shared" ca="1" si="18"/>
        <v>1</v>
      </c>
      <c r="O133" s="165">
        <f t="shared" ca="1" si="20"/>
        <v>6671.2015761063412</v>
      </c>
      <c r="P133" s="165">
        <f t="shared" ca="1" si="19"/>
        <v>6671.2015761063412</v>
      </c>
    </row>
    <row r="134" spans="1:26" s="165" customFormat="1" x14ac:dyDescent="0.3">
      <c r="A134" s="165">
        <f>MATCH(Calcs!B134,Paste_Report_Here!$1:$1,0) -1</f>
        <v>29</v>
      </c>
      <c r="B134" s="187" t="s">
        <v>144</v>
      </c>
      <c r="C134" s="147">
        <f ca="1">RANK(N134,N110:N134)</f>
        <v>10</v>
      </c>
      <c r="D134" s="147">
        <f ca="1">RANK(P134,P110:P134)</f>
        <v>11</v>
      </c>
      <c r="E134" s="145" t="s">
        <v>173</v>
      </c>
      <c r="F134" s="146">
        <f ca="1">COUNTIFS(Paste_Report_Here!$E$1:$E$2000,E104, OFFSET(Paste_Report_Here!$A$1,0,$A134,2000,1),F$75)</f>
        <v>0</v>
      </c>
      <c r="G134" s="147">
        <f ca="1">COUNTIFS(Paste_Report_Here!$E$1:$E$2000,E104, OFFSET(Paste_Report_Here!$A$1,0,$A134,2000,1),G$75)</f>
        <v>1</v>
      </c>
      <c r="H134" s="147">
        <f ca="1">COUNTIFS(Paste_Report_Here!$E$1:$E$2000,E104, OFFSET(Paste_Report_Here!$A$1,0,$A134,2000,1),H$75)</f>
        <v>31</v>
      </c>
      <c r="I134" s="147">
        <f ca="1">COUNTIFS(Paste_Report_Here!$E$1:$E$2000,E104, OFFSET(Paste_Report_Here!$A$1,0,$A134,2000,1),I$75)</f>
        <v>8</v>
      </c>
      <c r="J134" s="147">
        <f ca="1">COUNTIFS(Paste_Report_Here!$E$1:$E$2000,E104, OFFSET(Paste_Report_Here!$A$1,0,$A134,2000,1),J$75)</f>
        <v>0</v>
      </c>
      <c r="K134" s="148">
        <f ca="1">COUNTIFS(Paste_Report_Here!$E$1:$E$2000,E104, OFFSET(Paste_Report_Here!$A$1,0,$A134,2000,1),K$75)</f>
        <v>0</v>
      </c>
      <c r="L134" s="147">
        <f t="shared" ca="1" si="17"/>
        <v>40</v>
      </c>
      <c r="M134" s="149">
        <f ca="1">SUMPRODUCT(F134:K134,F108:K108)/L:L</f>
        <v>0</v>
      </c>
      <c r="N134" s="147">
        <f t="shared" ca="1" si="18"/>
        <v>1</v>
      </c>
      <c r="O134" s="187">
        <f t="shared" ca="1" si="20"/>
        <v>2292.7154881282422</v>
      </c>
      <c r="P134" s="165">
        <f t="shared" ca="1" si="19"/>
        <v>2292.7154881282422</v>
      </c>
    </row>
    <row r="135" spans="1:26" s="165" customFormat="1" x14ac:dyDescent="0.3">
      <c r="C135" s="166"/>
      <c r="E135" s="140" t="s">
        <v>293</v>
      </c>
      <c r="F135" s="180">
        <f ca="1">SUM(F110:F134)</f>
        <v>0</v>
      </c>
      <c r="G135" s="180">
        <f t="shared" ref="G135:L135" ca="1" si="21">SUM(G110:G134)</f>
        <v>44</v>
      </c>
      <c r="H135" s="180">
        <f t="shared" ca="1" si="21"/>
        <v>719</v>
      </c>
      <c r="I135" s="180">
        <f t="shared" ca="1" si="21"/>
        <v>215</v>
      </c>
      <c r="J135" s="180">
        <f t="shared" ca="1" si="21"/>
        <v>15</v>
      </c>
      <c r="K135" s="180">
        <f t="shared" ca="1" si="21"/>
        <v>7</v>
      </c>
      <c r="L135" s="180">
        <f t="shared" ca="1" si="21"/>
        <v>1000</v>
      </c>
      <c r="M135" s="144">
        <f ca="1">SUMPRODUCT(F135:K135,F108:K108)/L135</f>
        <v>3.0000000000000001E-3</v>
      </c>
      <c r="N135" s="166">
        <f t="shared" ca="1" si="18"/>
        <v>1.0030045045033771</v>
      </c>
      <c r="O135" s="165">
        <f t="shared" ca="1" si="20"/>
        <v>2496.1002987021789</v>
      </c>
      <c r="P135" s="165">
        <f t="shared" ca="1" si="19"/>
        <v>2503.5998432905103</v>
      </c>
    </row>
    <row r="136" spans="1:26" s="165" customFormat="1" x14ac:dyDescent="0.3">
      <c r="A136" s="194"/>
      <c r="B136" s="194"/>
      <c r="C136" s="153"/>
      <c r="D136" s="194"/>
      <c r="E136" s="164"/>
      <c r="F136" s="151"/>
      <c r="G136" s="151"/>
      <c r="H136" s="151"/>
      <c r="I136" s="151"/>
      <c r="J136" s="151"/>
      <c r="K136" s="151"/>
      <c r="L136" s="151"/>
      <c r="M136" s="162"/>
      <c r="N136" s="153"/>
      <c r="O136" s="194"/>
      <c r="P136" s="194"/>
    </row>
    <row r="137" spans="1:26" s="165" customFormat="1" x14ac:dyDescent="0.3">
      <c r="E137" s="173" t="s">
        <v>292</v>
      </c>
    </row>
    <row r="138" spans="1:26" s="165" customFormat="1" x14ac:dyDescent="0.3">
      <c r="E138" s="141">
        <v>40662</v>
      </c>
    </row>
    <row r="139" spans="1:26" s="165" customFormat="1" ht="15" thickBot="1" x14ac:dyDescent="0.35">
      <c r="Z139" s="165" t="s">
        <v>561</v>
      </c>
    </row>
    <row r="140" spans="1:26" s="165" customFormat="1" ht="24.6" thickBot="1" x14ac:dyDescent="0.35">
      <c r="F140" s="174" t="s">
        <v>23</v>
      </c>
      <c r="G140" s="168" t="s">
        <v>18</v>
      </c>
      <c r="H140" s="168" t="s">
        <v>16</v>
      </c>
      <c r="I140" s="168" t="s">
        <v>17</v>
      </c>
      <c r="J140" s="168" t="s">
        <v>19</v>
      </c>
      <c r="K140" s="169" t="s">
        <v>114</v>
      </c>
    </row>
    <row r="141" spans="1:26" s="165" customFormat="1" ht="15" customHeight="1" x14ac:dyDescent="0.3">
      <c r="F141" s="267" t="s">
        <v>201</v>
      </c>
      <c r="G141" s="268"/>
      <c r="H141" s="268"/>
      <c r="I141" s="268"/>
      <c r="J141" s="268"/>
      <c r="K141" s="169"/>
      <c r="M141" s="203">
        <f ca="1">(H169+K169)/L169</f>
        <v>0.72</v>
      </c>
      <c r="N141" s="204" t="s">
        <v>501</v>
      </c>
    </row>
    <row r="142" spans="1:26" s="165" customFormat="1" ht="43.8" thickBot="1" x14ac:dyDescent="0.35">
      <c r="A142" s="142" t="s">
        <v>294</v>
      </c>
      <c r="B142" s="142" t="s">
        <v>295</v>
      </c>
      <c r="C142" s="197" t="s">
        <v>440</v>
      </c>
      <c r="D142" s="142" t="s">
        <v>441</v>
      </c>
      <c r="E142" s="171" t="s">
        <v>30</v>
      </c>
      <c r="F142" s="175">
        <f>Falling_fast</f>
        <v>-0.2</v>
      </c>
      <c r="G142" s="176">
        <f>Falling</f>
        <v>0</v>
      </c>
      <c r="H142" s="177">
        <f>Static</f>
        <v>0</v>
      </c>
      <c r="I142" s="176">
        <f>Rising</f>
        <v>0</v>
      </c>
      <c r="J142" s="178">
        <f>Rising_fast</f>
        <v>0.2</v>
      </c>
      <c r="K142" s="182">
        <v>0</v>
      </c>
      <c r="L142" s="171" t="s">
        <v>28</v>
      </c>
      <c r="M142" s="172" t="s">
        <v>29</v>
      </c>
      <c r="N142" s="143" t="s">
        <v>296</v>
      </c>
      <c r="O142" s="142" t="s">
        <v>297</v>
      </c>
      <c r="P142" s="142" t="s">
        <v>298</v>
      </c>
    </row>
    <row r="143" spans="1:26" s="165" customFormat="1" x14ac:dyDescent="0.3">
      <c r="C143" s="166"/>
      <c r="E143" s="192"/>
      <c r="F143" s="198" t="s">
        <v>151</v>
      </c>
      <c r="G143" s="199" t="s">
        <v>149</v>
      </c>
      <c r="H143" s="199" t="s">
        <v>16</v>
      </c>
      <c r="I143" s="199" t="s">
        <v>148</v>
      </c>
      <c r="J143" s="199" t="s">
        <v>150</v>
      </c>
      <c r="K143" s="200" t="s">
        <v>114</v>
      </c>
      <c r="L143" s="166"/>
      <c r="M143" s="170"/>
      <c r="N143" s="166"/>
    </row>
    <row r="144" spans="1:26" s="165" customFormat="1" x14ac:dyDescent="0.3">
      <c r="A144" s="165">
        <f>MATCH(Calcs!B144,Paste_Report_Here!$1:$1,0) -1</f>
        <v>5</v>
      </c>
      <c r="B144" s="165" t="s">
        <v>124</v>
      </c>
      <c r="C144" s="166">
        <f ca="1">RANK(N144,N144:N168)</f>
        <v>12</v>
      </c>
      <c r="D144" s="166">
        <f ca="1">RANK(P144,P144:P168)</f>
        <v>16</v>
      </c>
      <c r="E144" s="189" t="s">
        <v>152</v>
      </c>
      <c r="F144" s="179">
        <f ca="1">COUNTIFS(Paste_Report_Here!$E$1:$E$2000,E138, OFFSET(Paste_Report_Here!$A$1,0,$A144,2000,1),F$75)</f>
        <v>0</v>
      </c>
      <c r="G144" s="180">
        <f ca="1">COUNTIFS(Paste_Report_Here!$E$1:$E$2000,E138, OFFSET(Paste_Report_Here!$A$1,0,$A144,2000,1),G$75)</f>
        <v>3</v>
      </c>
      <c r="H144" s="180">
        <f ca="1">COUNTIFS(Paste_Report_Here!$E$1:$E$2000,E138, OFFSET(Paste_Report_Here!$A$1,0,$A144,2000,1),H$75)</f>
        <v>28</v>
      </c>
      <c r="I144" s="180">
        <f ca="1">COUNTIFS(Paste_Report_Here!$E$1:$E$2000,E138, OFFSET(Paste_Report_Here!$A$1,0,$A144,2000,1),I$75)</f>
        <v>7</v>
      </c>
      <c r="J144" s="180">
        <f ca="1">COUNTIFS(Paste_Report_Here!$E$1:$E$2000,E138, OFFSET(Paste_Report_Here!$A$1,0,$A144,2000,1),J$75)</f>
        <v>0</v>
      </c>
      <c r="K144" s="181">
        <f ca="1">COUNTIFS(Paste_Report_Here!$E$1:$E$2000,E138, OFFSET(Paste_Report_Here!$A$1,0,$A144,2000,1),K$75)</f>
        <v>0</v>
      </c>
      <c r="L144" s="166">
        <f t="shared" ref="L144:L168" ca="1" si="22">SUM(F144:K144)</f>
        <v>38</v>
      </c>
      <c r="M144" s="183">
        <f ca="1">SUMPRODUCT(F144:K144,F142:K142)/L:L</f>
        <v>0</v>
      </c>
      <c r="N144" s="166">
        <f t="shared" ref="N144:N169" ca="1" si="23">EXP(M144)</f>
        <v>1</v>
      </c>
      <c r="O144" s="165">
        <f ca="1">P110</f>
        <v>2022.3583187636318</v>
      </c>
      <c r="P144" s="165">
        <f t="shared" ref="P144:P169" ca="1" si="24">O144*N144</f>
        <v>2022.3583187636318</v>
      </c>
    </row>
    <row r="145" spans="1:16" s="165" customFormat="1" x14ac:dyDescent="0.3">
      <c r="A145" s="165">
        <f>MATCH(Calcs!B145,Paste_Report_Here!$1:$1,0) -1</f>
        <v>6</v>
      </c>
      <c r="B145" s="165" t="s">
        <v>125</v>
      </c>
      <c r="C145" s="166">
        <f ca="1">RANK(N145,N144:N168)</f>
        <v>4</v>
      </c>
      <c r="D145" s="166">
        <f ca="1">RANK(P145,P144:P168)</f>
        <v>13</v>
      </c>
      <c r="E145" s="189" t="s">
        <v>153</v>
      </c>
      <c r="F145" s="179">
        <f ca="1">COUNTIFS(Paste_Report_Here!$E$1:$E$2000,E138, OFFSET(Paste_Report_Here!$A$1,0,$A145,2000,1),F$75)</f>
        <v>0</v>
      </c>
      <c r="G145" s="180">
        <f ca="1">COUNTIFS(Paste_Report_Here!$E$1:$E$2000,E138, OFFSET(Paste_Report_Here!$A$1,0,$A145,2000,1),G$75)</f>
        <v>3</v>
      </c>
      <c r="H145" s="180">
        <f ca="1">COUNTIFS(Paste_Report_Here!$E$1:$E$2000,E138, OFFSET(Paste_Report_Here!$A$1,0,$A145,2000,1),H$75)</f>
        <v>30</v>
      </c>
      <c r="I145" s="180">
        <f ca="1">COUNTIFS(Paste_Report_Here!$E$1:$E$2000,E138, OFFSET(Paste_Report_Here!$A$1,0,$A145,2000,1),I$75)</f>
        <v>4</v>
      </c>
      <c r="J145" s="180">
        <f ca="1">COUNTIFS(Paste_Report_Here!$E$1:$E$2000,E138, OFFSET(Paste_Report_Here!$A$1,0,$A145,2000,1),J$75)</f>
        <v>1</v>
      </c>
      <c r="K145" s="181">
        <f ca="1">COUNTIFS(Paste_Report_Here!$E$1:$E$2000,E138, OFFSET(Paste_Report_Here!$A$1,0,$A145,2000,1),K$75)</f>
        <v>0</v>
      </c>
      <c r="L145" s="166">
        <f t="shared" ca="1" si="22"/>
        <v>38</v>
      </c>
      <c r="M145" s="183">
        <f ca="1">SUMPRODUCT(F145:K145,F142:K142)/L:L</f>
        <v>5.263157894736842E-3</v>
      </c>
      <c r="N145" s="166">
        <f t="shared" ca="1" si="23"/>
        <v>1.0052770326412299</v>
      </c>
      <c r="O145" s="165">
        <f t="shared" ref="O145:O169" ca="1" si="25">P111</f>
        <v>2122.6053218389079</v>
      </c>
      <c r="P145" s="165">
        <f t="shared" ca="1" si="24"/>
        <v>2133.8063794067002</v>
      </c>
    </row>
    <row r="146" spans="1:16" s="165" customFormat="1" x14ac:dyDescent="0.3">
      <c r="A146" s="165">
        <f>MATCH(Calcs!B146,Paste_Report_Here!$1:$1,0) -1</f>
        <v>7</v>
      </c>
      <c r="B146" s="165" t="s">
        <v>126</v>
      </c>
      <c r="C146" s="166">
        <f ca="1">RANK(N146,N144:N168)</f>
        <v>1</v>
      </c>
      <c r="D146" s="166">
        <f ca="1">RANK(P146,P144:P168)</f>
        <v>6</v>
      </c>
      <c r="E146" s="189" t="s">
        <v>154</v>
      </c>
      <c r="F146" s="179">
        <f ca="1">COUNTIFS(Paste_Report_Here!$E$1:$E$2000,E138, OFFSET(Paste_Report_Here!$A$1,0,$A146,2000,1),F$75)</f>
        <v>0</v>
      </c>
      <c r="G146" s="180">
        <f ca="1">COUNTIFS(Paste_Report_Here!$E$1:$E$2000,E138, OFFSET(Paste_Report_Here!$A$1,0,$A146,2000,1),G$75)</f>
        <v>7</v>
      </c>
      <c r="H146" s="180">
        <f ca="1">COUNTIFS(Paste_Report_Here!$E$1:$E$2000,E138, OFFSET(Paste_Report_Here!$A$1,0,$A146,2000,1),H$75)</f>
        <v>26</v>
      </c>
      <c r="I146" s="180">
        <f ca="1">COUNTIFS(Paste_Report_Here!$E$1:$E$2000,E138, OFFSET(Paste_Report_Here!$A$1,0,$A146,2000,1),I$75)</f>
        <v>3</v>
      </c>
      <c r="J146" s="180">
        <f ca="1">COUNTIFS(Paste_Report_Here!$E$1:$E$2000,E138, OFFSET(Paste_Report_Here!$A$1,0,$A146,2000,1),J$75)</f>
        <v>2</v>
      </c>
      <c r="K146" s="181">
        <f ca="1">COUNTIFS(Paste_Report_Here!$E$1:$E$2000,E138, OFFSET(Paste_Report_Here!$A$1,0,$A146,2000,1),K$75)</f>
        <v>0</v>
      </c>
      <c r="L146" s="166">
        <f t="shared" ca="1" si="22"/>
        <v>38</v>
      </c>
      <c r="M146" s="183">
        <f ca="1">SUMPRODUCT(F146:K146,F142:K142)/L:L</f>
        <v>1.0526315789473684E-2</v>
      </c>
      <c r="N146" s="166">
        <f t="shared" ca="1" si="23"/>
        <v>1.0105819123559565</v>
      </c>
      <c r="O146" s="165">
        <f t="shared" ca="1" si="25"/>
        <v>2790.4463452698778</v>
      </c>
      <c r="P146" s="165">
        <f t="shared" ca="1" si="24"/>
        <v>2819.9746039295228</v>
      </c>
    </row>
    <row r="147" spans="1:16" s="165" customFormat="1" x14ac:dyDescent="0.3">
      <c r="A147" s="165">
        <f>MATCH(Calcs!B147,Paste_Report_Here!$1:$1,0) -1</f>
        <v>8</v>
      </c>
      <c r="B147" s="165" t="s">
        <v>127</v>
      </c>
      <c r="C147" s="166">
        <f ca="1">RANK(N147,N144:N168)</f>
        <v>12</v>
      </c>
      <c r="D147" s="166">
        <f ca="1">RANK(P147,P144:P168)</f>
        <v>9</v>
      </c>
      <c r="E147" s="189" t="s">
        <v>155</v>
      </c>
      <c r="F147" s="179">
        <f ca="1">COUNTIFS(Paste_Report_Here!$E$1:$E$2000,E138, OFFSET(Paste_Report_Here!$A$1,0,$A147,2000,1),F$75)</f>
        <v>0</v>
      </c>
      <c r="G147" s="180">
        <f ca="1">COUNTIFS(Paste_Report_Here!$E$1:$E$2000,E138, OFFSET(Paste_Report_Here!$A$1,0,$A147,2000,1),G$75)</f>
        <v>3</v>
      </c>
      <c r="H147" s="180">
        <f ca="1">COUNTIFS(Paste_Report_Here!$E$1:$E$2000,E138, OFFSET(Paste_Report_Here!$A$1,0,$A147,2000,1),H$75)</f>
        <v>25</v>
      </c>
      <c r="I147" s="180">
        <f ca="1">COUNTIFS(Paste_Report_Here!$E$1:$E$2000,E138, OFFSET(Paste_Report_Here!$A$1,0,$A147,2000,1),I$75)</f>
        <v>10</v>
      </c>
      <c r="J147" s="180">
        <f ca="1">COUNTIFS(Paste_Report_Here!$E$1:$E$2000,E138, OFFSET(Paste_Report_Here!$A$1,0,$A147,2000,1),J$75)</f>
        <v>0</v>
      </c>
      <c r="K147" s="181">
        <f ca="1">COUNTIFS(Paste_Report_Here!$E$1:$E$2000,E138, OFFSET(Paste_Report_Here!$A$1,0,$A147,2000,1),K$75)</f>
        <v>0</v>
      </c>
      <c r="L147" s="166">
        <f t="shared" ca="1" si="22"/>
        <v>38</v>
      </c>
      <c r="M147" s="183">
        <f ca="1">SUMPRODUCT(F147:K147,F142:K142)/L:L</f>
        <v>0</v>
      </c>
      <c r="N147" s="166">
        <f t="shared" ca="1" si="23"/>
        <v>1</v>
      </c>
      <c r="O147" s="165">
        <f t="shared" ca="1" si="25"/>
        <v>2420.155105465622</v>
      </c>
      <c r="P147" s="165">
        <f t="shared" ca="1" si="24"/>
        <v>2420.155105465622</v>
      </c>
    </row>
    <row r="148" spans="1:16" s="165" customFormat="1" x14ac:dyDescent="0.3">
      <c r="A148" s="165">
        <f>MATCH(Calcs!B148,Paste_Report_Here!$1:$1,0) -1</f>
        <v>9</v>
      </c>
      <c r="B148" s="165" t="s">
        <v>214</v>
      </c>
      <c r="C148" s="166">
        <f ca="1">RANK(N148,N144:N168)</f>
        <v>12</v>
      </c>
      <c r="D148" s="166">
        <f ca="1">RANK(P148,P144:P168)</f>
        <v>5</v>
      </c>
      <c r="E148" s="189" t="s">
        <v>156</v>
      </c>
      <c r="F148" s="179">
        <f ca="1">COUNTIFS(Paste_Report_Here!$E$1:$E$2000,E138, OFFSET(Paste_Report_Here!$A$1,0,$A148,2000,1),F$75)</f>
        <v>0</v>
      </c>
      <c r="G148" s="180">
        <f ca="1">COUNTIFS(Paste_Report_Here!$E$1:$E$2000,E138, OFFSET(Paste_Report_Here!$A$1,0,$A148,2000,1),G$75)</f>
        <v>2</v>
      </c>
      <c r="H148" s="180">
        <f ca="1">COUNTIFS(Paste_Report_Here!$E$1:$E$2000,E138, OFFSET(Paste_Report_Here!$A$1,0,$A148,2000,1),H$75)</f>
        <v>31</v>
      </c>
      <c r="I148" s="180">
        <f ca="1">COUNTIFS(Paste_Report_Here!$E$1:$E$2000,E138, OFFSET(Paste_Report_Here!$A$1,0,$A148,2000,1),I$75)</f>
        <v>5</v>
      </c>
      <c r="J148" s="180">
        <f ca="1">COUNTIFS(Paste_Report_Here!$E$1:$E$2000,E138, OFFSET(Paste_Report_Here!$A$1,0,$A148,2000,1),J$75)</f>
        <v>0</v>
      </c>
      <c r="K148" s="181">
        <f ca="1">COUNTIFS(Paste_Report_Here!$E$1:$E$2000,E138, OFFSET(Paste_Report_Here!$A$1,0,$A148,2000,1),K$75)</f>
        <v>0</v>
      </c>
      <c r="L148" s="166">
        <f t="shared" ca="1" si="22"/>
        <v>38</v>
      </c>
      <c r="M148" s="183">
        <f ca="1">SUMPRODUCT(F148:K148,F142:K142)/L:L</f>
        <v>0</v>
      </c>
      <c r="N148" s="166">
        <f t="shared" ca="1" si="23"/>
        <v>1</v>
      </c>
      <c r="O148" s="165">
        <f t="shared" ca="1" si="25"/>
        <v>3306.814357687048</v>
      </c>
      <c r="P148" s="165">
        <f t="shared" ca="1" si="24"/>
        <v>3306.814357687048</v>
      </c>
    </row>
    <row r="149" spans="1:16" s="165" customFormat="1" x14ac:dyDescent="0.3">
      <c r="A149" s="165">
        <f>MATCH(Calcs!B149,Paste_Report_Here!$1:$1,0) -1</f>
        <v>10</v>
      </c>
      <c r="B149" s="165" t="s">
        <v>128</v>
      </c>
      <c r="C149" s="166">
        <f ca="1">RANK(N149,N144:N168)</f>
        <v>4</v>
      </c>
      <c r="D149" s="166">
        <f ca="1">RANK(P149,P144:P168)</f>
        <v>21</v>
      </c>
      <c r="E149" s="189" t="s">
        <v>157</v>
      </c>
      <c r="F149" s="179">
        <f ca="1">COUNTIFS(Paste_Report_Here!$E$1:$E$2000,E138, OFFSET(Paste_Report_Here!$A$1,0,$A149,2000,1),F$75)</f>
        <v>0</v>
      </c>
      <c r="G149" s="180">
        <f ca="1">COUNTIFS(Paste_Report_Here!$E$1:$E$2000,E138, OFFSET(Paste_Report_Here!$A$1,0,$A149,2000,1),G$75)</f>
        <v>3</v>
      </c>
      <c r="H149" s="180">
        <f ca="1">COUNTIFS(Paste_Report_Here!$E$1:$E$2000,E138, OFFSET(Paste_Report_Here!$A$1,0,$A149,2000,1),H$75)</f>
        <v>32</v>
      </c>
      <c r="I149" s="180">
        <f ca="1">COUNTIFS(Paste_Report_Here!$E$1:$E$2000,E138, OFFSET(Paste_Report_Here!$A$1,0,$A149,2000,1),I$75)</f>
        <v>2</v>
      </c>
      <c r="J149" s="180">
        <f ca="1">COUNTIFS(Paste_Report_Here!$E$1:$E$2000,E138, OFFSET(Paste_Report_Here!$A$1,0,$A149,2000,1),J$75)</f>
        <v>1</v>
      </c>
      <c r="K149" s="181">
        <f ca="1">COUNTIFS(Paste_Report_Here!$E$1:$E$2000,E138, OFFSET(Paste_Report_Here!$A$1,0,$A149,2000,1),K$75)</f>
        <v>0</v>
      </c>
      <c r="L149" s="166">
        <f t="shared" ca="1" si="22"/>
        <v>38</v>
      </c>
      <c r="M149" s="183">
        <f ca="1">SUMPRODUCT(F149:K149,F142:K142)/L:L</f>
        <v>5.263157894736842E-3</v>
      </c>
      <c r="N149" s="166">
        <f t="shared" ca="1" si="23"/>
        <v>1.0052770326412299</v>
      </c>
      <c r="O149" s="165">
        <f t="shared" ca="1" si="25"/>
        <v>1547.776363697114</v>
      </c>
      <c r="P149" s="165">
        <f t="shared" ca="1" si="24"/>
        <v>1555.9440300896679</v>
      </c>
    </row>
    <row r="150" spans="1:16" s="165" customFormat="1" x14ac:dyDescent="0.3">
      <c r="A150" s="165">
        <f>MATCH(Calcs!B150,Paste_Report_Here!$1:$1,0) -1</f>
        <v>11</v>
      </c>
      <c r="B150" s="165" t="s">
        <v>129</v>
      </c>
      <c r="C150" s="166">
        <f ca="1">RANK(N150,N144:N168)</f>
        <v>12</v>
      </c>
      <c r="D150" s="166">
        <f ca="1">RANK(P150,P144:P168)</f>
        <v>8</v>
      </c>
      <c r="E150" s="189" t="s">
        <v>158</v>
      </c>
      <c r="F150" s="179">
        <f ca="1">COUNTIFS(Paste_Report_Here!$E$1:$E$2000,E138, OFFSET(Paste_Report_Here!$A$1,0,$A150,2000,1),F$75)</f>
        <v>0</v>
      </c>
      <c r="G150" s="180">
        <f ca="1">COUNTIFS(Paste_Report_Here!$E$1:$E$2000,E138, OFFSET(Paste_Report_Here!$A$1,0,$A150,2000,1),G$75)</f>
        <v>5</v>
      </c>
      <c r="H150" s="180">
        <f ca="1">COUNTIFS(Paste_Report_Here!$E$1:$E$2000,E138, OFFSET(Paste_Report_Here!$A$1,0,$A150,2000,1),H$75)</f>
        <v>29</v>
      </c>
      <c r="I150" s="180">
        <f ca="1">COUNTIFS(Paste_Report_Here!$E$1:$E$2000,E138, OFFSET(Paste_Report_Here!$A$1,0,$A150,2000,1),I$75)</f>
        <v>4</v>
      </c>
      <c r="J150" s="180">
        <f ca="1">COUNTIFS(Paste_Report_Here!$E$1:$E$2000,E138, OFFSET(Paste_Report_Here!$A$1,0,$A150,2000,1),J$75)</f>
        <v>0</v>
      </c>
      <c r="K150" s="181">
        <f ca="1">COUNTIFS(Paste_Report_Here!$E$1:$E$2000,E138, OFFSET(Paste_Report_Here!$A$1,0,$A150,2000,1),K$75)</f>
        <v>0</v>
      </c>
      <c r="L150" s="166">
        <f t="shared" ca="1" si="22"/>
        <v>38</v>
      </c>
      <c r="M150" s="183">
        <f ca="1">SUMPRODUCT(F150:K150,F142:K142)/L:L</f>
        <v>0</v>
      </c>
      <c r="N150" s="166">
        <f t="shared" ca="1" si="23"/>
        <v>1</v>
      </c>
      <c r="O150" s="165">
        <f t="shared" ca="1" si="25"/>
        <v>2425.9372630988087</v>
      </c>
      <c r="P150" s="165">
        <f t="shared" ca="1" si="24"/>
        <v>2425.9372630988087</v>
      </c>
    </row>
    <row r="151" spans="1:16" s="165" customFormat="1" x14ac:dyDescent="0.3">
      <c r="A151" s="165">
        <f>MATCH(Calcs!B151,Paste_Report_Here!$1:$1,0) -1</f>
        <v>12</v>
      </c>
      <c r="B151" s="165" t="s">
        <v>130</v>
      </c>
      <c r="C151" s="166">
        <f ca="1">RANK(N151,N144:N168)</f>
        <v>12</v>
      </c>
      <c r="D151" s="166">
        <f ca="1">RANK(P151,P144:P168)</f>
        <v>12</v>
      </c>
      <c r="E151" s="189" t="s">
        <v>159</v>
      </c>
      <c r="F151" s="179">
        <f ca="1">COUNTIFS(Paste_Report_Here!$E$1:$E$2000,E138, OFFSET(Paste_Report_Here!$A$1,0,$A151,2000,1),F$75)</f>
        <v>0</v>
      </c>
      <c r="G151" s="180">
        <f ca="1">COUNTIFS(Paste_Report_Here!$E$1:$E$2000,E138, OFFSET(Paste_Report_Here!$A$1,0,$A151,2000,1),G$75)</f>
        <v>2</v>
      </c>
      <c r="H151" s="180">
        <f ca="1">COUNTIFS(Paste_Report_Here!$E$1:$E$2000,E138, OFFSET(Paste_Report_Here!$A$1,0,$A151,2000,1),H$75)</f>
        <v>22</v>
      </c>
      <c r="I151" s="180">
        <f ca="1">COUNTIFS(Paste_Report_Here!$E$1:$E$2000,E138, OFFSET(Paste_Report_Here!$A$1,0,$A151,2000,1),I$75)</f>
        <v>14</v>
      </c>
      <c r="J151" s="180">
        <f ca="1">COUNTIFS(Paste_Report_Here!$E$1:$E$2000,E138, OFFSET(Paste_Report_Here!$A$1,0,$A151,2000,1),J$75)</f>
        <v>0</v>
      </c>
      <c r="K151" s="181">
        <f ca="1">COUNTIFS(Paste_Report_Here!$E$1:$E$2000,E138, OFFSET(Paste_Report_Here!$A$1,0,$A151,2000,1),K$75)</f>
        <v>0</v>
      </c>
      <c r="L151" s="166">
        <f t="shared" ca="1" si="22"/>
        <v>38</v>
      </c>
      <c r="M151" s="183">
        <f ca="1">SUMPRODUCT(F151:K151,F142:K142)/L:L</f>
        <v>0</v>
      </c>
      <c r="N151" s="166">
        <f t="shared" ca="1" si="23"/>
        <v>1</v>
      </c>
      <c r="O151" s="165">
        <f t="shared" ca="1" si="25"/>
        <v>2245.5263723297826</v>
      </c>
      <c r="P151" s="165">
        <f t="shared" ca="1" si="24"/>
        <v>2245.5263723297826</v>
      </c>
    </row>
    <row r="152" spans="1:16" s="165" customFormat="1" x14ac:dyDescent="0.3">
      <c r="A152" s="165">
        <f>MATCH(Calcs!B152,Paste_Report_Here!$1:$1,0) -1</f>
        <v>13</v>
      </c>
      <c r="B152" s="165" t="s">
        <v>131</v>
      </c>
      <c r="C152" s="166">
        <f ca="1">RANK(N152,N144:N168)</f>
        <v>1</v>
      </c>
      <c r="D152" s="166">
        <f ca="1">RANK(P152,P144:P168)</f>
        <v>4</v>
      </c>
      <c r="E152" s="189" t="s">
        <v>160</v>
      </c>
      <c r="F152" s="179">
        <f ca="1">COUNTIFS(Paste_Report_Here!$E$1:$E$2000,E138, OFFSET(Paste_Report_Here!$A$1,0,$A152,2000,1),F$75)</f>
        <v>0</v>
      </c>
      <c r="G152" s="180">
        <f ca="1">COUNTIFS(Paste_Report_Here!$E$1:$E$2000,E138, OFFSET(Paste_Report_Here!$A$1,0,$A152,2000,1),G$75)</f>
        <v>2</v>
      </c>
      <c r="H152" s="180">
        <f ca="1">COUNTIFS(Paste_Report_Here!$E$1:$E$2000,E138, OFFSET(Paste_Report_Here!$A$1,0,$A152,2000,1),H$75)</f>
        <v>25</v>
      </c>
      <c r="I152" s="180">
        <f ca="1">COUNTIFS(Paste_Report_Here!$E$1:$E$2000,E138, OFFSET(Paste_Report_Here!$A$1,0,$A152,2000,1),I$75)</f>
        <v>9</v>
      </c>
      <c r="J152" s="180">
        <f ca="1">COUNTIFS(Paste_Report_Here!$E$1:$E$2000,E138, OFFSET(Paste_Report_Here!$A$1,0,$A152,2000,1),J$75)</f>
        <v>2</v>
      </c>
      <c r="K152" s="181">
        <f ca="1">COUNTIFS(Paste_Report_Here!$E$1:$E$2000,E138, OFFSET(Paste_Report_Here!$A$1,0,$A152,2000,1),K$75)</f>
        <v>0</v>
      </c>
      <c r="L152" s="166">
        <f t="shared" ca="1" si="22"/>
        <v>38</v>
      </c>
      <c r="M152" s="183">
        <f ca="1">SUMPRODUCT(F152:K152,F142:K142)/L:L</f>
        <v>1.0526315789473684E-2</v>
      </c>
      <c r="N152" s="166">
        <f t="shared" ca="1" si="23"/>
        <v>1.0105819123559565</v>
      </c>
      <c r="O152" s="165">
        <f t="shared" ca="1" si="25"/>
        <v>3350.5728496167089</v>
      </c>
      <c r="P152" s="165">
        <f t="shared" ca="1" si="24"/>
        <v>3386.0283178536006</v>
      </c>
    </row>
    <row r="153" spans="1:16" s="165" customFormat="1" x14ac:dyDescent="0.3">
      <c r="A153" s="165">
        <f>MATCH(Calcs!B153,Paste_Report_Here!$1:$1,0) -1</f>
        <v>14</v>
      </c>
      <c r="B153" s="165" t="s">
        <v>132</v>
      </c>
      <c r="C153" s="166">
        <f ca="1">RANK(N153,N144:N168)</f>
        <v>12</v>
      </c>
      <c r="D153" s="166">
        <f ca="1">RANK(P153,P144:P168)</f>
        <v>19</v>
      </c>
      <c r="E153" s="189" t="s">
        <v>161</v>
      </c>
      <c r="F153" s="179">
        <f ca="1">COUNTIFS(Paste_Report_Here!$E$1:$E$2000,E138, OFFSET(Paste_Report_Here!$A$1,0,$A153,2000,1),F$75)</f>
        <v>0</v>
      </c>
      <c r="G153" s="180">
        <f ca="1">COUNTIFS(Paste_Report_Here!$E$1:$E$2000,E138, OFFSET(Paste_Report_Here!$A$1,0,$A153,2000,1),G$75)</f>
        <v>1</v>
      </c>
      <c r="H153" s="180">
        <f ca="1">COUNTIFS(Paste_Report_Here!$E$1:$E$2000,E138, OFFSET(Paste_Report_Here!$A$1,0,$A153,2000,1),H$75)</f>
        <v>26</v>
      </c>
      <c r="I153" s="180">
        <f ca="1">COUNTIFS(Paste_Report_Here!$E$1:$E$2000,E138, OFFSET(Paste_Report_Here!$A$1,0,$A153,2000,1),I$75)</f>
        <v>10</v>
      </c>
      <c r="J153" s="180">
        <f ca="1">COUNTIFS(Paste_Report_Here!$E$1:$E$2000,E138, OFFSET(Paste_Report_Here!$A$1,0,$A153,2000,1),J$75)</f>
        <v>0</v>
      </c>
      <c r="K153" s="181">
        <f ca="1">COUNTIFS(Paste_Report_Here!$E$1:$E$2000,E138, OFFSET(Paste_Report_Here!$A$1,0,$A153,2000,1),K$75)</f>
        <v>1</v>
      </c>
      <c r="L153" s="166">
        <f t="shared" ca="1" si="22"/>
        <v>38</v>
      </c>
      <c r="M153" s="183">
        <f ca="1">SUMPRODUCT(F153:K153,F142:K142)/L:L</f>
        <v>0</v>
      </c>
      <c r="N153" s="166">
        <f t="shared" ca="1" si="23"/>
        <v>1</v>
      </c>
      <c r="O153" s="165">
        <f t="shared" ca="1" si="25"/>
        <v>1864.3857596186299</v>
      </c>
      <c r="P153" s="165">
        <f t="shared" ca="1" si="24"/>
        <v>1864.3857596186299</v>
      </c>
    </row>
    <row r="154" spans="1:16" s="165" customFormat="1" x14ac:dyDescent="0.3">
      <c r="A154" s="165">
        <f>MATCH(Calcs!B154,Paste_Report_Here!$1:$1,0) -1</f>
        <v>15</v>
      </c>
      <c r="B154" s="165" t="s">
        <v>133</v>
      </c>
      <c r="C154" s="166">
        <v>2</v>
      </c>
      <c r="D154" s="166">
        <f ca="1">RANK(P154,P144:P168)</f>
        <v>7</v>
      </c>
      <c r="E154" s="189" t="s">
        <v>162</v>
      </c>
      <c r="F154" s="179">
        <f ca="1">COUNTIFS(Paste_Report_Here!$E$1:$E$2000,E138, OFFSET(Paste_Report_Here!$A$1,0,$A154,2000,1),F$75)</f>
        <v>0</v>
      </c>
      <c r="G154" s="180">
        <f ca="1">COUNTIFS(Paste_Report_Here!$E$1:$E$2000,E138, OFFSET(Paste_Report_Here!$A$1,0,$A154,2000,1),G$75)</f>
        <v>1</v>
      </c>
      <c r="H154" s="180">
        <f ca="1">COUNTIFS(Paste_Report_Here!$E$1:$E$2000,E138, OFFSET(Paste_Report_Here!$A$1,0,$A154,2000,1),H$75)</f>
        <v>24</v>
      </c>
      <c r="I154" s="180">
        <f ca="1">COUNTIFS(Paste_Report_Here!$E$1:$E$2000,E138, OFFSET(Paste_Report_Here!$A$1,0,$A154,2000,1),I$75)</f>
        <v>12</v>
      </c>
      <c r="J154" s="180">
        <f ca="1">COUNTIFS(Paste_Report_Here!$E$1:$E$2000,E138, OFFSET(Paste_Report_Here!$A$1,0,$A154,2000,1),J$75)</f>
        <v>1</v>
      </c>
      <c r="K154" s="181">
        <f ca="1">COUNTIFS(Paste_Report_Here!$E$1:$E$2000,E138, OFFSET(Paste_Report_Here!$A$1,0,$A154,2000,1),K$75)</f>
        <v>0</v>
      </c>
      <c r="L154" s="166">
        <f t="shared" ca="1" si="22"/>
        <v>38</v>
      </c>
      <c r="M154" s="183">
        <f ca="1">SUMPRODUCT(F154:K154,F142:K142)/L:L</f>
        <v>5.263157894736842E-3</v>
      </c>
      <c r="N154" s="166">
        <f t="shared" ca="1" si="23"/>
        <v>1.0052770326412299</v>
      </c>
      <c r="O154" s="165">
        <f t="shared" ca="1" si="25"/>
        <v>2577.6770255893957</v>
      </c>
      <c r="P154" s="165">
        <f t="shared" ca="1" si="24"/>
        <v>2591.2795113919792</v>
      </c>
    </row>
    <row r="155" spans="1:16" s="165" customFormat="1" x14ac:dyDescent="0.3">
      <c r="A155" s="165">
        <f>MATCH(Calcs!B155,Paste_Report_Here!$1:$1,0) -1</f>
        <v>16</v>
      </c>
      <c r="B155" s="165" t="s">
        <v>134</v>
      </c>
      <c r="C155" s="166">
        <f ca="1">RANK(N155,N144:N168)</f>
        <v>12</v>
      </c>
      <c r="D155" s="166">
        <f ca="1">RANK(P155,P144:P168)</f>
        <v>25</v>
      </c>
      <c r="E155" s="189" t="s">
        <v>163</v>
      </c>
      <c r="F155" s="179">
        <f ca="1">COUNTIFS(Paste_Report_Here!$E$1:$E$2000,E138, OFFSET(Paste_Report_Here!$A$1,0,$A155,2000,1),F$75)</f>
        <v>0</v>
      </c>
      <c r="G155" s="180">
        <f ca="1">COUNTIFS(Paste_Report_Here!$E$1:$E$2000,E138, OFFSET(Paste_Report_Here!$A$1,0,$A155,2000,1),G$75)</f>
        <v>4</v>
      </c>
      <c r="H155" s="180">
        <f ca="1">COUNTIFS(Paste_Report_Here!$E$1:$E$2000,E138, OFFSET(Paste_Report_Here!$A$1,0,$A155,2000,1),H$75)</f>
        <v>30</v>
      </c>
      <c r="I155" s="180">
        <f ca="1">COUNTIFS(Paste_Report_Here!$E$1:$E$2000,E138, OFFSET(Paste_Report_Here!$A$1,0,$A155,2000,1),I$75)</f>
        <v>4</v>
      </c>
      <c r="J155" s="180">
        <f ca="1">COUNTIFS(Paste_Report_Here!$E$1:$E$2000,E138, OFFSET(Paste_Report_Here!$A$1,0,$A155,2000,1),J$75)</f>
        <v>0</v>
      </c>
      <c r="K155" s="181">
        <f ca="1">COUNTIFS(Paste_Report_Here!$E$1:$E$2000,E138, OFFSET(Paste_Report_Here!$A$1,0,$A155,2000,1),K$75)</f>
        <v>0</v>
      </c>
      <c r="L155" s="166">
        <f t="shared" ca="1" si="22"/>
        <v>38</v>
      </c>
      <c r="M155" s="183">
        <f ca="1">SUMPRODUCT(F155:K155,F142:K142)/L:L</f>
        <v>0</v>
      </c>
      <c r="N155" s="166">
        <f t="shared" ca="1" si="23"/>
        <v>1</v>
      </c>
      <c r="O155" s="165">
        <f t="shared" ca="1" si="25"/>
        <v>1161.2422523843593</v>
      </c>
      <c r="P155" s="165">
        <f t="shared" ca="1" si="24"/>
        <v>1161.2422523843593</v>
      </c>
    </row>
    <row r="156" spans="1:16" s="165" customFormat="1" x14ac:dyDescent="0.3">
      <c r="A156" s="165">
        <f>MATCH(Calcs!B156,Paste_Report_Here!$1:$1,0) -1</f>
        <v>17</v>
      </c>
      <c r="B156" s="165" t="s">
        <v>135</v>
      </c>
      <c r="C156" s="166">
        <f ca="1">RANK(N156,N144:N168)</f>
        <v>4</v>
      </c>
      <c r="D156" s="166">
        <f ca="1">RANK(P156,P144:P168)</f>
        <v>20</v>
      </c>
      <c r="E156" s="189" t="s">
        <v>164</v>
      </c>
      <c r="F156" s="179">
        <f ca="1">COUNTIFS(Paste_Report_Here!$E$1:$E$2000,E138, OFFSET(Paste_Report_Here!$A$1,0,$A156,2000,1),F$75)</f>
        <v>0</v>
      </c>
      <c r="G156" s="180">
        <f ca="1">COUNTIFS(Paste_Report_Here!$E$1:$E$2000,E138, OFFSET(Paste_Report_Here!$A$1,0,$A156,2000,1),G$75)</f>
        <v>4</v>
      </c>
      <c r="H156" s="180">
        <f ca="1">COUNTIFS(Paste_Report_Here!$E$1:$E$2000,E138, OFFSET(Paste_Report_Here!$A$1,0,$A156,2000,1),H$75)</f>
        <v>23</v>
      </c>
      <c r="I156" s="180">
        <f ca="1">COUNTIFS(Paste_Report_Here!$E$1:$E$2000,E138, OFFSET(Paste_Report_Here!$A$1,0,$A156,2000,1),I$75)</f>
        <v>10</v>
      </c>
      <c r="J156" s="180">
        <f ca="1">COUNTIFS(Paste_Report_Here!$E$1:$E$2000,E138, OFFSET(Paste_Report_Here!$A$1,0,$A156,2000,1),J$75)</f>
        <v>1</v>
      </c>
      <c r="K156" s="181">
        <f ca="1">COUNTIFS(Paste_Report_Here!$E$1:$E$2000,E138, OFFSET(Paste_Report_Here!$A$1,0,$A156,2000,1),K$75)</f>
        <v>0</v>
      </c>
      <c r="L156" s="166">
        <f t="shared" ca="1" si="22"/>
        <v>38</v>
      </c>
      <c r="M156" s="183">
        <f ca="1">SUMPRODUCT(F156:K156,F142:K142)/L:L</f>
        <v>5.263157894736842E-3</v>
      </c>
      <c r="N156" s="166">
        <f t="shared" ca="1" si="23"/>
        <v>1.0052770326412299</v>
      </c>
      <c r="O156" s="165">
        <f t="shared" ca="1" si="25"/>
        <v>1750.5359723807339</v>
      </c>
      <c r="P156" s="165">
        <f t="shared" ca="1" si="24"/>
        <v>1759.7736078466341</v>
      </c>
    </row>
    <row r="157" spans="1:16" s="165" customFormat="1" x14ac:dyDescent="0.3">
      <c r="A157" s="165">
        <f>MATCH(Calcs!B157,Paste_Report_Here!$1:$1,0) -1</f>
        <v>18</v>
      </c>
      <c r="B157" s="165" t="s">
        <v>136</v>
      </c>
      <c r="C157" s="166">
        <f ca="1">RANK(N157,N144:N168)</f>
        <v>1</v>
      </c>
      <c r="D157" s="166">
        <f ca="1">RANK(P157,P144:P168)</f>
        <v>3</v>
      </c>
      <c r="E157" s="189" t="s">
        <v>165</v>
      </c>
      <c r="F157" s="179">
        <f ca="1">COUNTIFS(Paste_Report_Here!$E$1:$E$2000,E138, OFFSET(Paste_Report_Here!$A$1,0,$A157,2000,1),F$75)</f>
        <v>0</v>
      </c>
      <c r="G157" s="180">
        <f ca="1">COUNTIFS(Paste_Report_Here!$E$1:$E$2000,E138, OFFSET(Paste_Report_Here!$A$1,0,$A157,2000,1),G$75)</f>
        <v>2</v>
      </c>
      <c r="H157" s="180">
        <f ca="1">COUNTIFS(Paste_Report_Here!$E$1:$E$2000,E138, OFFSET(Paste_Report_Here!$A$1,0,$A157,2000,1),H$75)</f>
        <v>26</v>
      </c>
      <c r="I157" s="180">
        <f ca="1">COUNTIFS(Paste_Report_Here!$E$1:$E$2000,E138, OFFSET(Paste_Report_Here!$A$1,0,$A157,2000,1),I$75)</f>
        <v>8</v>
      </c>
      <c r="J157" s="180">
        <f ca="1">COUNTIFS(Paste_Report_Here!$E$1:$E$2000,E138, OFFSET(Paste_Report_Here!$A$1,0,$A157,2000,1),J$75)</f>
        <v>2</v>
      </c>
      <c r="K157" s="181">
        <f ca="1">COUNTIFS(Paste_Report_Here!$E$1:$E$2000,E138, OFFSET(Paste_Report_Here!$A$1,0,$A157,2000,1),K$75)</f>
        <v>0</v>
      </c>
      <c r="L157" s="166">
        <f t="shared" ca="1" si="22"/>
        <v>38</v>
      </c>
      <c r="M157" s="183">
        <f ca="1">SUMPRODUCT(F157:K157,F142:K142)/L:L</f>
        <v>1.0526315789473684E-2</v>
      </c>
      <c r="N157" s="166">
        <f t="shared" ca="1" si="23"/>
        <v>1.0105819123559565</v>
      </c>
      <c r="O157" s="165">
        <f t="shared" ca="1" si="25"/>
        <v>3493.3020936289072</v>
      </c>
      <c r="P157" s="165">
        <f t="shared" ca="1" si="24"/>
        <v>3530.2679102165675</v>
      </c>
    </row>
    <row r="158" spans="1:16" s="165" customFormat="1" x14ac:dyDescent="0.3">
      <c r="A158" s="165">
        <f>MATCH(Calcs!B158,Paste_Report_Here!$1:$1,0) -1</f>
        <v>19</v>
      </c>
      <c r="B158" s="165" t="s">
        <v>137</v>
      </c>
      <c r="C158" s="166">
        <f ca="1">RANK(N158,N144:N168)</f>
        <v>4</v>
      </c>
      <c r="D158" s="166">
        <f ca="1">RANK(P158,P144:P168)</f>
        <v>15</v>
      </c>
      <c r="E158" s="189" t="s">
        <v>166</v>
      </c>
      <c r="F158" s="179">
        <f ca="1">COUNTIFS(Paste_Report_Here!$E$1:$E$2000,E138, OFFSET(Paste_Report_Here!$A$1,0,$A158,2000,1),F$75)</f>
        <v>0</v>
      </c>
      <c r="G158" s="180">
        <f ca="1">COUNTIFS(Paste_Report_Here!$E$1:$E$2000,E138, OFFSET(Paste_Report_Here!$A$1,0,$A158,2000,1),G$75)</f>
        <v>0</v>
      </c>
      <c r="H158" s="180">
        <f ca="1">COUNTIFS(Paste_Report_Here!$E$1:$E$2000,E138, OFFSET(Paste_Report_Here!$A$1,0,$A158,2000,1),H$75)</f>
        <v>31</v>
      </c>
      <c r="I158" s="180">
        <f ca="1">COUNTIFS(Paste_Report_Here!$E$1:$E$2000,E138, OFFSET(Paste_Report_Here!$A$1,0,$A158,2000,1),I$75)</f>
        <v>6</v>
      </c>
      <c r="J158" s="180">
        <f ca="1">COUNTIFS(Paste_Report_Here!$E$1:$E$2000,E138, OFFSET(Paste_Report_Here!$A$1,0,$A158,2000,1),J$75)</f>
        <v>1</v>
      </c>
      <c r="K158" s="181">
        <f ca="1">COUNTIFS(Paste_Report_Here!$E$1:$E$2000,E138, OFFSET(Paste_Report_Here!$A$1,0,$A158,2000,1),K$75)</f>
        <v>0</v>
      </c>
      <c r="L158" s="166">
        <f t="shared" ca="1" si="22"/>
        <v>38</v>
      </c>
      <c r="M158" s="183">
        <f ca="1">SUMPRODUCT(F158:K158,F142:K142)/L:L</f>
        <v>5.263157894736842E-3</v>
      </c>
      <c r="N158" s="166">
        <f t="shared" ca="1" si="23"/>
        <v>1.0052770326412299</v>
      </c>
      <c r="O158" s="165">
        <f t="shared" ca="1" si="25"/>
        <v>2061.8120309462388</v>
      </c>
      <c r="P158" s="165">
        <f t="shared" ca="1" si="24"/>
        <v>2072.6922803336224</v>
      </c>
    </row>
    <row r="159" spans="1:16" s="165" customFormat="1" x14ac:dyDescent="0.3">
      <c r="A159" s="165">
        <f>MATCH(Calcs!B159,Paste_Report_Here!$1:$1,0) -1</f>
        <v>20</v>
      </c>
      <c r="B159" s="165" t="s">
        <v>138</v>
      </c>
      <c r="C159" s="166">
        <f ca="1">RANK(N159,N144:N168)</f>
        <v>12</v>
      </c>
      <c r="D159" s="166">
        <f ca="1">RANK(P159,P144:P168)</f>
        <v>17</v>
      </c>
      <c r="E159" s="189" t="s">
        <v>167</v>
      </c>
      <c r="F159" s="179">
        <f ca="1">COUNTIFS(Paste_Report_Here!$E$1:$E$2000,E138, OFFSET(Paste_Report_Here!$A$1,0,$A159,2000,1),F$75)</f>
        <v>0</v>
      </c>
      <c r="G159" s="180">
        <f ca="1">COUNTIFS(Paste_Report_Here!$E$1:$E$2000,E138, OFFSET(Paste_Report_Here!$A$1,0,$A159,2000,1),G$75)</f>
        <v>4</v>
      </c>
      <c r="H159" s="180">
        <f ca="1">COUNTIFS(Paste_Report_Here!$E$1:$E$2000,E138, OFFSET(Paste_Report_Here!$A$1,0,$A159,2000,1),H$75)</f>
        <v>27</v>
      </c>
      <c r="I159" s="180">
        <f ca="1">COUNTIFS(Paste_Report_Here!$E$1:$E$2000,E138, OFFSET(Paste_Report_Here!$A$1,0,$A159,2000,1),I$75)</f>
        <v>7</v>
      </c>
      <c r="J159" s="180">
        <f ca="1">COUNTIFS(Paste_Report_Here!$E$1:$E$2000,E138, OFFSET(Paste_Report_Here!$A$1,0,$A159,2000,1),J$75)</f>
        <v>0</v>
      </c>
      <c r="K159" s="181">
        <f ca="1">COUNTIFS(Paste_Report_Here!$E$1:$E$2000,E138, OFFSET(Paste_Report_Here!$A$1,0,$A159,2000,1),K$75)</f>
        <v>0</v>
      </c>
      <c r="L159" s="166">
        <f t="shared" ca="1" si="22"/>
        <v>38</v>
      </c>
      <c r="M159" s="183">
        <f ca="1">SUMPRODUCT(F159:K159,F142:K142)/L:L</f>
        <v>0</v>
      </c>
      <c r="N159" s="166">
        <f t="shared" ca="1" si="23"/>
        <v>1</v>
      </c>
      <c r="O159" s="165">
        <f t="shared" ca="1" si="25"/>
        <v>1943.3800028452797</v>
      </c>
      <c r="P159" s="165">
        <f t="shared" ca="1" si="24"/>
        <v>1943.3800028452797</v>
      </c>
    </row>
    <row r="160" spans="1:16" s="165" customFormat="1" x14ac:dyDescent="0.3">
      <c r="A160" s="165">
        <f>MATCH(Calcs!B160,Paste_Report_Here!$1:$1,0) -1</f>
        <v>21</v>
      </c>
      <c r="B160" s="165" t="s">
        <v>139</v>
      </c>
      <c r="C160" s="166">
        <f ca="1">RANK(N160,N144:N168)</f>
        <v>12</v>
      </c>
      <c r="D160" s="166">
        <f ca="1">RANK(P160,P144:P168)</f>
        <v>14</v>
      </c>
      <c r="E160" s="189" t="s">
        <v>168</v>
      </c>
      <c r="F160" s="179">
        <f ca="1">COUNTIFS(Paste_Report_Here!$E$1:$E$2000,E138, OFFSET(Paste_Report_Here!$A$1,0,$A160,2000,1),F$75)</f>
        <v>0</v>
      </c>
      <c r="G160" s="180">
        <f ca="1">COUNTIFS(Paste_Report_Here!$E$1:$E$2000,E138, OFFSET(Paste_Report_Here!$A$1,0,$A160,2000,1),G$75)</f>
        <v>5</v>
      </c>
      <c r="H160" s="180">
        <f ca="1">COUNTIFS(Paste_Report_Here!$E$1:$E$2000,E138, OFFSET(Paste_Report_Here!$A$1,0,$A160,2000,1),H$75)</f>
        <v>29</v>
      </c>
      <c r="I160" s="180">
        <f ca="1">COUNTIFS(Paste_Report_Here!$E$1:$E$2000,E138, OFFSET(Paste_Report_Here!$A$1,0,$A160,2000,1),I$75)</f>
        <v>4</v>
      </c>
      <c r="J160" s="180">
        <f ca="1">COUNTIFS(Paste_Report_Here!$E$1:$E$2000,E138, OFFSET(Paste_Report_Here!$A$1,0,$A160,2000,1),J$75)</f>
        <v>0</v>
      </c>
      <c r="K160" s="181">
        <f ca="1">COUNTIFS(Paste_Report_Here!$E$1:$E$2000,E138, OFFSET(Paste_Report_Here!$A$1,0,$A160,2000,1),K$75)</f>
        <v>0</v>
      </c>
      <c r="L160" s="166">
        <f t="shared" ca="1" si="22"/>
        <v>38</v>
      </c>
      <c r="M160" s="183">
        <f ca="1">SUMPRODUCT(F160:K160,F142:K142)/L:L</f>
        <v>0</v>
      </c>
      <c r="N160" s="166">
        <f t="shared" ca="1" si="23"/>
        <v>1</v>
      </c>
      <c r="O160" s="165">
        <f t="shared" ca="1" si="25"/>
        <v>2077.6419514264135</v>
      </c>
      <c r="P160" s="165">
        <f t="shared" ca="1" si="24"/>
        <v>2077.6419514264135</v>
      </c>
    </row>
    <row r="161" spans="1:26" s="165" customFormat="1" x14ac:dyDescent="0.3">
      <c r="A161" s="165">
        <f>MATCH(Calcs!B161,Paste_Report_Here!$1:$1,0) -1</f>
        <v>22</v>
      </c>
      <c r="B161" s="165" t="s">
        <v>140</v>
      </c>
      <c r="C161" s="166">
        <f ca="1">RANK(N161,N144:N168)</f>
        <v>12</v>
      </c>
      <c r="D161" s="166">
        <f ca="1">RANK(P161,P144:P168)</f>
        <v>18</v>
      </c>
      <c r="E161" s="189" t="s">
        <v>169</v>
      </c>
      <c r="F161" s="179">
        <f ca="1">COUNTIFS(Paste_Report_Here!$E$1:$E$2000,E138, OFFSET(Paste_Report_Here!$A$1,0,$A161,2000,1),F$75)</f>
        <v>0</v>
      </c>
      <c r="G161" s="180">
        <f ca="1">COUNTIFS(Paste_Report_Here!$E$1:$E$2000,E138, OFFSET(Paste_Report_Here!$A$1,0,$A161,2000,1),G$75)</f>
        <v>3</v>
      </c>
      <c r="H161" s="180">
        <f ca="1">COUNTIFS(Paste_Report_Here!$E$1:$E$2000,E138, OFFSET(Paste_Report_Here!$A$1,0,$A161,2000,1),H$75)</f>
        <v>29</v>
      </c>
      <c r="I161" s="180">
        <f ca="1">COUNTIFS(Paste_Report_Here!$E$1:$E$2000,E138, OFFSET(Paste_Report_Here!$A$1,0,$A161,2000,1),I$75)</f>
        <v>6</v>
      </c>
      <c r="J161" s="180">
        <f ca="1">COUNTIFS(Paste_Report_Here!$E$1:$E$2000,E138, OFFSET(Paste_Report_Here!$A$1,0,$A161,2000,1),J$75)</f>
        <v>0</v>
      </c>
      <c r="K161" s="181">
        <f ca="1">COUNTIFS(Paste_Report_Here!$E$1:$E$2000,E138, OFFSET(Paste_Report_Here!$A$1,0,$A161,2000,1),K$75)</f>
        <v>0</v>
      </c>
      <c r="L161" s="166">
        <f t="shared" ca="1" si="22"/>
        <v>38</v>
      </c>
      <c r="M161" s="183">
        <f ca="1">SUMPRODUCT(F161:K161,F142:K142)/L:L</f>
        <v>0</v>
      </c>
      <c r="N161" s="166">
        <f t="shared" ca="1" si="23"/>
        <v>1</v>
      </c>
      <c r="O161" s="165">
        <f t="shared" ca="1" si="25"/>
        <v>1937.9767785817091</v>
      </c>
      <c r="P161" s="165">
        <f t="shared" ca="1" si="24"/>
        <v>1937.9767785817091</v>
      </c>
    </row>
    <row r="162" spans="1:26" s="165" customFormat="1" x14ac:dyDescent="0.3">
      <c r="A162" s="165">
        <f>MATCH(Calcs!B162,Paste_Report_Here!$1:$1,0) -1</f>
        <v>23</v>
      </c>
      <c r="B162" s="165" t="s">
        <v>186</v>
      </c>
      <c r="C162" s="166">
        <f ca="1">RANK(N162,N144:N168)</f>
        <v>12</v>
      </c>
      <c r="D162" s="166">
        <f ca="1">RANK(P162,P144:P168)</f>
        <v>2</v>
      </c>
      <c r="E162" s="189" t="s">
        <v>180</v>
      </c>
      <c r="F162" s="179">
        <f ca="1">COUNTIFS(Paste_Report_Here!$E$1:$E$2000,E138, OFFSET(Paste_Report_Here!$A$1,0,$A162,2000,1),F$75)</f>
        <v>0</v>
      </c>
      <c r="G162" s="180">
        <f ca="1">COUNTIFS(Paste_Report_Here!$E$1:$E$2000,E138, OFFSET(Paste_Report_Here!$A$1,0,$A162,2000,1),G$75)</f>
        <v>3</v>
      </c>
      <c r="H162" s="180">
        <f ca="1">COUNTIFS(Paste_Report_Here!$E$1:$E$2000,E138, OFFSET(Paste_Report_Here!$A$1,0,$A162,2000,1),H$75)</f>
        <v>26</v>
      </c>
      <c r="I162" s="180">
        <f ca="1">COUNTIFS(Paste_Report_Here!$E$1:$E$2000,E138, OFFSET(Paste_Report_Here!$A$1,0,$A162,2000,1),I$75)</f>
        <v>8</v>
      </c>
      <c r="J162" s="180">
        <f ca="1">COUNTIFS(Paste_Report_Here!$E$1:$E$2000,E138, OFFSET(Paste_Report_Here!$A$1,0,$A162,2000,1),J$75)</f>
        <v>0</v>
      </c>
      <c r="K162" s="181">
        <f ca="1">COUNTIFS(Paste_Report_Here!$E$1:$E$2000,E138, OFFSET(Paste_Report_Here!$A$1,0,$A162,2000,1),K$75)</f>
        <v>1</v>
      </c>
      <c r="L162" s="166">
        <f t="shared" ca="1" si="22"/>
        <v>38</v>
      </c>
      <c r="M162" s="183">
        <f ca="1">SUMPRODUCT(F162:K162,F142:K142)/L:L</f>
        <v>0</v>
      </c>
      <c r="N162" s="166">
        <f t="shared" ca="1" si="23"/>
        <v>1</v>
      </c>
      <c r="O162" s="165">
        <f t="shared" ca="1" si="25"/>
        <v>3576.3862298809881</v>
      </c>
      <c r="P162" s="165">
        <f t="shared" ca="1" si="24"/>
        <v>3576.3862298809881</v>
      </c>
    </row>
    <row r="163" spans="1:26" s="165" customFormat="1" x14ac:dyDescent="0.3">
      <c r="A163" s="165">
        <f>MATCH(Calcs!B163,Paste_Report_Here!$1:$1,0) -1</f>
        <v>24</v>
      </c>
      <c r="B163" s="165" t="s">
        <v>209</v>
      </c>
      <c r="C163" s="166">
        <f ca="1">RANK(N163,N144:N168)</f>
        <v>25</v>
      </c>
      <c r="D163" s="166">
        <f ca="1">RANK(P163,P144:P168)</f>
        <v>24</v>
      </c>
      <c r="E163" s="202" t="s">
        <v>211</v>
      </c>
      <c r="F163" s="179">
        <f ca="1">COUNTIFS(Paste_Report_Here!$E$1:$E$2000,E138, OFFSET(Paste_Report_Here!$A$1,0,$A163,2000,1),F$75)</f>
        <v>1</v>
      </c>
      <c r="G163" s="180">
        <f ca="1">COUNTIFS(Paste_Report_Here!$E$1:$E$2000,E138, OFFSET(Paste_Report_Here!$A$1,0,$A163,2000,1),G$75)</f>
        <v>1</v>
      </c>
      <c r="H163" s="180">
        <f ca="1">COUNTIFS(Paste_Report_Here!$E$1:$E$2000,E138, OFFSET(Paste_Report_Here!$A$1,0,$A163,2000,1),H$75)</f>
        <v>30</v>
      </c>
      <c r="I163" s="180">
        <f ca="1">COUNTIFS(Paste_Report_Here!$E$1:$E$2000,E138, OFFSET(Paste_Report_Here!$A$1,0,$A163,2000,1),I$75)</f>
        <v>2</v>
      </c>
      <c r="J163" s="180">
        <f ca="1">COUNTIFS(Paste_Report_Here!$E$1:$E$2000,E138, OFFSET(Paste_Report_Here!$A$1,0,$A163,2000,1),J$75)</f>
        <v>0</v>
      </c>
      <c r="K163" s="181">
        <f ca="1">COUNTIFS(Paste_Report_Here!$E$1:$E$2000,E138, OFFSET(Paste_Report_Here!$A$1,0,$A163,2000,1),K$75)</f>
        <v>4</v>
      </c>
      <c r="L163" s="166">
        <f t="shared" ca="1" si="22"/>
        <v>38</v>
      </c>
      <c r="M163" s="183">
        <f ca="1">SUMPRODUCT(F163:K163,F142:K142)/L:L</f>
        <v>-5.263157894736842E-3</v>
      </c>
      <c r="N163" s="166">
        <f t="shared" ca="1" si="23"/>
        <v>0.9947506682537397</v>
      </c>
      <c r="O163" s="165">
        <f t="shared" ca="1" si="25"/>
        <v>1171.4993966260608</v>
      </c>
      <c r="P163" s="165">
        <f t="shared" ca="1" si="24"/>
        <v>1165.3498076526269</v>
      </c>
    </row>
    <row r="164" spans="1:26" s="165" customFormat="1" x14ac:dyDescent="0.3">
      <c r="A164" s="165">
        <f>MATCH(Calcs!B164,Paste_Report_Here!$1:$1,0) -1</f>
        <v>25</v>
      </c>
      <c r="B164" s="165" t="s">
        <v>141</v>
      </c>
      <c r="C164" s="166">
        <f ca="1">RANK(N164,N144:N168)</f>
        <v>4</v>
      </c>
      <c r="D164" s="166">
        <f ca="1">RANK(P164,P144:P168)</f>
        <v>22</v>
      </c>
      <c r="E164" s="189" t="s">
        <v>170</v>
      </c>
      <c r="F164" s="179">
        <f ca="1">COUNTIFS(Paste_Report_Here!$E$1:$E$2000,E138, OFFSET(Paste_Report_Here!$A$1,0,$A164,2000,1),F$75)</f>
        <v>0</v>
      </c>
      <c r="G164" s="180">
        <f ca="1">COUNTIFS(Paste_Report_Here!$E$1:$E$2000,E138, OFFSET(Paste_Report_Here!$A$1,0,$A164,2000,1),G$75)</f>
        <v>7</v>
      </c>
      <c r="H164" s="180">
        <f ca="1">COUNTIFS(Paste_Report_Here!$E$1:$E$2000,E138, OFFSET(Paste_Report_Here!$A$1,0,$A164,2000,1),H$75)</f>
        <v>22</v>
      </c>
      <c r="I164" s="180">
        <f ca="1">COUNTIFS(Paste_Report_Here!$E$1:$E$2000,E138, OFFSET(Paste_Report_Here!$A$1,0,$A164,2000,1),I$75)</f>
        <v>8</v>
      </c>
      <c r="J164" s="180">
        <f ca="1">COUNTIFS(Paste_Report_Here!$E$1:$E$2000,E138, OFFSET(Paste_Report_Here!$A$1,0,$A164,2000,1),J$75)</f>
        <v>1</v>
      </c>
      <c r="K164" s="181">
        <f ca="1">COUNTIFS(Paste_Report_Here!$E$1:$E$2000,E138, OFFSET(Paste_Report_Here!$A$1,0,$A164,2000,1),K$75)</f>
        <v>0</v>
      </c>
      <c r="L164" s="166">
        <f t="shared" ca="1" si="22"/>
        <v>38</v>
      </c>
      <c r="M164" s="183">
        <f ca="1">SUMPRODUCT(F164:K164,F142:K142)/L:L</f>
        <v>5.263157894736842E-3</v>
      </c>
      <c r="N164" s="166">
        <f t="shared" ca="1" si="23"/>
        <v>1.0052770326412299</v>
      </c>
      <c r="O164" s="165">
        <f t="shared" ca="1" si="25"/>
        <v>1381.0362157805628</v>
      </c>
      <c r="P164" s="165">
        <f t="shared" ca="1" si="24"/>
        <v>1388.3239889699576</v>
      </c>
    </row>
    <row r="165" spans="1:26" s="165" customFormat="1" x14ac:dyDescent="0.3">
      <c r="A165" s="165">
        <f>MATCH(Calcs!B165,Paste_Report_Here!$1:$1,0) -1</f>
        <v>26</v>
      </c>
      <c r="B165" s="165" t="s">
        <v>142</v>
      </c>
      <c r="C165" s="166">
        <f ca="1">RANK(N165,N144:N168)</f>
        <v>4</v>
      </c>
      <c r="D165" s="166">
        <f ca="1">RANK(P165,P144:P168)</f>
        <v>10</v>
      </c>
      <c r="E165" s="189" t="s">
        <v>171</v>
      </c>
      <c r="F165" s="179">
        <f ca="1">COUNTIFS(Paste_Report_Here!$E$1:$E$2000,E138, OFFSET(Paste_Report_Here!$A$1,0,$A165,2000,1),F$75)</f>
        <v>0</v>
      </c>
      <c r="G165" s="180">
        <f ca="1">COUNTIFS(Paste_Report_Here!$E$1:$E$2000,E138, OFFSET(Paste_Report_Here!$A$1,0,$A165,2000,1),G$75)</f>
        <v>4</v>
      </c>
      <c r="H165" s="180">
        <f ca="1">COUNTIFS(Paste_Report_Here!$E$1:$E$2000,E138, OFFSET(Paste_Report_Here!$A$1,0,$A165,2000,1),H$75)</f>
        <v>21</v>
      </c>
      <c r="I165" s="180">
        <f ca="1">COUNTIFS(Paste_Report_Here!$E$1:$E$2000,E138, OFFSET(Paste_Report_Here!$A$1,0,$A165,2000,1),I$75)</f>
        <v>12</v>
      </c>
      <c r="J165" s="180">
        <f ca="1">COUNTIFS(Paste_Report_Here!$E$1:$E$2000,E138, OFFSET(Paste_Report_Here!$A$1,0,$A165,2000,1),J$75)</f>
        <v>1</v>
      </c>
      <c r="K165" s="181">
        <f ca="1">COUNTIFS(Paste_Report_Here!$E$1:$E$2000,E138, OFFSET(Paste_Report_Here!$A$1,0,$A165,2000,1),K$75)</f>
        <v>0</v>
      </c>
      <c r="L165" s="166">
        <f t="shared" ca="1" si="22"/>
        <v>38</v>
      </c>
      <c r="M165" s="183">
        <f ca="1">SUMPRODUCT(F165:K165,F142:K142)/L:L</f>
        <v>5.263157894736842E-3</v>
      </c>
      <c r="N165" s="166">
        <f t="shared" ca="1" si="23"/>
        <v>1.0052770326412299</v>
      </c>
      <c r="O165" s="165">
        <f t="shared" ca="1" si="25"/>
        <v>2308.6078238835171</v>
      </c>
      <c r="P165" s="165">
        <f t="shared" ca="1" si="24"/>
        <v>2320.7904227259492</v>
      </c>
    </row>
    <row r="166" spans="1:26" s="165" customFormat="1" x14ac:dyDescent="0.3">
      <c r="A166" s="165">
        <f>MATCH(Calcs!B166,Paste_Report_Here!$1:$1,0) -1</f>
        <v>27</v>
      </c>
      <c r="B166" s="165" t="s">
        <v>210</v>
      </c>
      <c r="C166" s="166">
        <f ca="1">RANK(N166,N144:N168)</f>
        <v>12</v>
      </c>
      <c r="D166" s="166">
        <f ca="1">RANK(P166,P144:P168)</f>
        <v>23</v>
      </c>
      <c r="E166" s="202" t="s">
        <v>212</v>
      </c>
      <c r="F166" s="179">
        <f ca="1">COUNTIFS(Paste_Report_Here!$E$1:$E$2000,E138, OFFSET(Paste_Report_Here!$A$1,0,$A166,2000,1),F$75)</f>
        <v>0</v>
      </c>
      <c r="G166" s="180">
        <f ca="1">COUNTIFS(Paste_Report_Here!$E$1:$E$2000,E138, OFFSET(Paste_Report_Here!$A$1,0,$A166,2000,1),G$75)</f>
        <v>2</v>
      </c>
      <c r="H166" s="180">
        <f ca="1">COUNTIFS(Paste_Report_Here!$E$1:$E$2000,E138, OFFSET(Paste_Report_Here!$A$1,0,$A166,2000,1),H$75)</f>
        <v>34</v>
      </c>
      <c r="I166" s="180">
        <f ca="1">COUNTIFS(Paste_Report_Here!$E$1:$E$2000,E138, OFFSET(Paste_Report_Here!$A$1,0,$A166,2000,1),I$75)</f>
        <v>2</v>
      </c>
      <c r="J166" s="180">
        <f ca="1">COUNTIFS(Paste_Report_Here!$E$1:$E$2000,E138, OFFSET(Paste_Report_Here!$A$1,0,$A166,2000,1),J$75)</f>
        <v>0</v>
      </c>
      <c r="K166" s="181">
        <f ca="1">COUNTIFS(Paste_Report_Here!$E$1:$E$2000,E138, OFFSET(Paste_Report_Here!$A$1,0,$A166,2000,1),K$75)</f>
        <v>0</v>
      </c>
      <c r="L166" s="166">
        <f t="shared" ca="1" si="22"/>
        <v>38</v>
      </c>
      <c r="M166" s="183">
        <f ca="1">SUMPRODUCT(F166:K166,F142:K142)/L:L</f>
        <v>0</v>
      </c>
      <c r="N166" s="166">
        <f t="shared" ca="1" si="23"/>
        <v>1</v>
      </c>
      <c r="O166" s="165">
        <f t="shared" ca="1" si="25"/>
        <v>1173.6569265350035</v>
      </c>
      <c r="P166" s="165">
        <f t="shared" ca="1" si="24"/>
        <v>1173.6569265350035</v>
      </c>
    </row>
    <row r="167" spans="1:26" s="165" customFormat="1" x14ac:dyDescent="0.3">
      <c r="A167" s="165">
        <f>MATCH(Calcs!B167,Paste_Report_Here!$1:$1,0) -1</f>
        <v>28</v>
      </c>
      <c r="B167" s="165" t="s">
        <v>143</v>
      </c>
      <c r="C167" s="166">
        <f ca="1">RANK(N167,N144:N168)</f>
        <v>4</v>
      </c>
      <c r="D167" s="166">
        <f ca="1">RANK(P167,P144:P168)</f>
        <v>1</v>
      </c>
      <c r="E167" s="189" t="s">
        <v>172</v>
      </c>
      <c r="F167" s="179">
        <f ca="1">COUNTIFS(Paste_Report_Here!$E$1:$E$2000,E138, OFFSET(Paste_Report_Here!$A$1,0,$A167,2000,1),F$75)</f>
        <v>0</v>
      </c>
      <c r="G167" s="180">
        <f ca="1">COUNTIFS(Paste_Report_Here!$E$1:$E$2000,E138, OFFSET(Paste_Report_Here!$A$1,0,$A167,2000,1),G$75)</f>
        <v>2</v>
      </c>
      <c r="H167" s="180">
        <f ca="1">COUNTIFS(Paste_Report_Here!$E$1:$E$2000,E138, OFFSET(Paste_Report_Here!$A$1,0,$A167,2000,1),H$75)</f>
        <v>22</v>
      </c>
      <c r="I167" s="180">
        <f ca="1">COUNTIFS(Paste_Report_Here!$E$1:$E$2000,E138, OFFSET(Paste_Report_Here!$A$1,0,$A167,2000,1),I$75)</f>
        <v>13</v>
      </c>
      <c r="J167" s="180">
        <f ca="1">COUNTIFS(Paste_Report_Here!$E$1:$E$2000,E138, OFFSET(Paste_Report_Here!$A$1,0,$A167,2000,1),J$75)</f>
        <v>1</v>
      </c>
      <c r="K167" s="181">
        <f ca="1">COUNTIFS(Paste_Report_Here!$E$1:$E$2000,E138, OFFSET(Paste_Report_Here!$A$1,0,$A167,2000,1),K$75)</f>
        <v>0</v>
      </c>
      <c r="L167" s="166">
        <f t="shared" ca="1" si="22"/>
        <v>38</v>
      </c>
      <c r="M167" s="183">
        <f ca="1">SUMPRODUCT(F167:K167,F142:K142)/L:L</f>
        <v>5.263157894736842E-3</v>
      </c>
      <c r="N167" s="166">
        <f t="shared" ca="1" si="23"/>
        <v>1.0052770326412299</v>
      </c>
      <c r="O167" s="165">
        <f t="shared" ca="1" si="25"/>
        <v>6671.2015761063412</v>
      </c>
      <c r="P167" s="165">
        <f t="shared" ca="1" si="24"/>
        <v>6706.4057245796785</v>
      </c>
    </row>
    <row r="168" spans="1:26" s="165" customFormat="1" x14ac:dyDescent="0.3">
      <c r="A168" s="165">
        <f>MATCH(Calcs!B168,Paste_Report_Here!$1:$1,0) -1</f>
        <v>29</v>
      </c>
      <c r="B168" s="187" t="s">
        <v>144</v>
      </c>
      <c r="C168" s="147">
        <f ca="1">RANK(N168,N144:N168)</f>
        <v>12</v>
      </c>
      <c r="D168" s="147">
        <f ca="1">RANK(P168,P144:P168)</f>
        <v>11</v>
      </c>
      <c r="E168" s="145" t="s">
        <v>173</v>
      </c>
      <c r="F168" s="146">
        <f ca="1">COUNTIFS(Paste_Report_Here!$E$1:$E$2000,E138, OFFSET(Paste_Report_Here!$A$1,0,$A168,2000,1),F$75)</f>
        <v>0</v>
      </c>
      <c r="G168" s="147">
        <f ca="1">COUNTIFS(Paste_Report_Here!$E$1:$E$2000,E138, OFFSET(Paste_Report_Here!$A$1,0,$A168,2000,1),G$75)</f>
        <v>2</v>
      </c>
      <c r="H168" s="147">
        <f ca="1">COUNTIFS(Paste_Report_Here!$E$1:$E$2000,E138, OFFSET(Paste_Report_Here!$A$1,0,$A168,2000,1),H$75)</f>
        <v>30</v>
      </c>
      <c r="I168" s="147">
        <f ca="1">COUNTIFS(Paste_Report_Here!$E$1:$E$2000,E138, OFFSET(Paste_Report_Here!$A$1,0,$A168,2000,1),I$75)</f>
        <v>6</v>
      </c>
      <c r="J168" s="147">
        <f ca="1">COUNTIFS(Paste_Report_Here!$E$1:$E$2000,E138, OFFSET(Paste_Report_Here!$A$1,0,$A168,2000,1),J$75)</f>
        <v>0</v>
      </c>
      <c r="K168" s="148">
        <f ca="1">COUNTIFS(Paste_Report_Here!$E$1:$E$2000,E138, OFFSET(Paste_Report_Here!$A$1,0,$A168,2000,1),K$75)</f>
        <v>0</v>
      </c>
      <c r="L168" s="147">
        <f t="shared" ca="1" si="22"/>
        <v>38</v>
      </c>
      <c r="M168" s="149">
        <f ca="1">SUMPRODUCT(F168:K168,F142:K142)/L:L</f>
        <v>0</v>
      </c>
      <c r="N168" s="147">
        <f t="shared" ca="1" si="23"/>
        <v>1</v>
      </c>
      <c r="O168" s="187">
        <f t="shared" ca="1" si="25"/>
        <v>2292.7154881282422</v>
      </c>
      <c r="P168" s="165">
        <f t="shared" ca="1" si="24"/>
        <v>2292.7154881282422</v>
      </c>
    </row>
    <row r="169" spans="1:26" s="165" customFormat="1" x14ac:dyDescent="0.3">
      <c r="C169" s="166"/>
      <c r="E169" s="140" t="s">
        <v>293</v>
      </c>
      <c r="F169" s="180">
        <f ca="1">SUM(F144:F168)</f>
        <v>1</v>
      </c>
      <c r="G169" s="180">
        <f t="shared" ref="G169:L169" ca="1" si="26">SUM(G144:G168)</f>
        <v>75</v>
      </c>
      <c r="H169" s="180">
        <f t="shared" ca="1" si="26"/>
        <v>678</v>
      </c>
      <c r="I169" s="180">
        <f t="shared" ca="1" si="26"/>
        <v>176</v>
      </c>
      <c r="J169" s="180">
        <f t="shared" ca="1" si="26"/>
        <v>14</v>
      </c>
      <c r="K169" s="180">
        <f t="shared" ca="1" si="26"/>
        <v>6</v>
      </c>
      <c r="L169" s="180">
        <f t="shared" ca="1" si="26"/>
        <v>950</v>
      </c>
      <c r="M169" s="144">
        <f ca="1">SUMPRODUCT(F169:K169,F142:K142)/L169</f>
        <v>2.7368421052631582E-3</v>
      </c>
      <c r="N169" s="166">
        <f t="shared" ca="1" si="23"/>
        <v>1.0027405906765869</v>
      </c>
      <c r="O169" s="165">
        <f t="shared" ca="1" si="25"/>
        <v>2503.5998432905103</v>
      </c>
      <c r="P169" s="165">
        <f t="shared" ca="1" si="24"/>
        <v>2510.461185678937</v>
      </c>
    </row>
    <row r="170" spans="1:26" s="165" customFormat="1" x14ac:dyDescent="0.3">
      <c r="A170" s="194"/>
      <c r="B170" s="194"/>
      <c r="C170" s="153"/>
      <c r="D170" s="194"/>
      <c r="E170" s="164"/>
      <c r="F170" s="151"/>
      <c r="G170" s="151"/>
      <c r="H170" s="151"/>
      <c r="I170" s="151"/>
      <c r="J170" s="151"/>
      <c r="K170" s="151"/>
      <c r="L170" s="151"/>
      <c r="M170" s="162"/>
      <c r="N170" s="153"/>
      <c r="O170" s="194"/>
      <c r="P170" s="194"/>
    </row>
    <row r="171" spans="1:26" s="165" customFormat="1" x14ac:dyDescent="0.3">
      <c r="E171" s="173" t="s">
        <v>292</v>
      </c>
    </row>
    <row r="172" spans="1:26" s="165" customFormat="1" x14ac:dyDescent="0.3">
      <c r="E172" s="141">
        <v>40693</v>
      </c>
    </row>
    <row r="173" spans="1:26" s="165" customFormat="1" ht="15" thickBot="1" x14ac:dyDescent="0.35">
      <c r="Z173" s="165" t="s">
        <v>561</v>
      </c>
    </row>
    <row r="174" spans="1:26" s="165" customFormat="1" ht="24.6" thickBot="1" x14ac:dyDescent="0.35">
      <c r="F174" s="174" t="s">
        <v>23</v>
      </c>
      <c r="G174" s="168" t="s">
        <v>18</v>
      </c>
      <c r="H174" s="168" t="s">
        <v>16</v>
      </c>
      <c r="I174" s="168" t="s">
        <v>17</v>
      </c>
      <c r="J174" s="168" t="s">
        <v>19</v>
      </c>
      <c r="K174" s="169" t="s">
        <v>114</v>
      </c>
    </row>
    <row r="175" spans="1:26" s="165" customFormat="1" ht="15" customHeight="1" x14ac:dyDescent="0.3">
      <c r="F175" s="267" t="s">
        <v>201</v>
      </c>
      <c r="G175" s="268"/>
      <c r="H175" s="268"/>
      <c r="I175" s="268"/>
      <c r="J175" s="268"/>
      <c r="K175" s="169"/>
      <c r="M175" s="203">
        <f ca="1">(H203+K203)/L203</f>
        <v>0.7014634146341463</v>
      </c>
      <c r="N175" s="204" t="s">
        <v>501</v>
      </c>
    </row>
    <row r="176" spans="1:26" s="165" customFormat="1" ht="43.8" thickBot="1" x14ac:dyDescent="0.35">
      <c r="A176" s="142" t="s">
        <v>294</v>
      </c>
      <c r="B176" s="142" t="s">
        <v>295</v>
      </c>
      <c r="C176" s="197" t="s">
        <v>440</v>
      </c>
      <c r="D176" s="142" t="s">
        <v>441</v>
      </c>
      <c r="E176" s="171" t="s">
        <v>30</v>
      </c>
      <c r="F176" s="175">
        <f>Falling_fast</f>
        <v>-0.2</v>
      </c>
      <c r="G176" s="176">
        <f>Falling</f>
        <v>0</v>
      </c>
      <c r="H176" s="177">
        <f>Static</f>
        <v>0</v>
      </c>
      <c r="I176" s="176">
        <f>Rising</f>
        <v>0</v>
      </c>
      <c r="J176" s="178">
        <f>Rising_fast</f>
        <v>0.2</v>
      </c>
      <c r="K176" s="182">
        <v>0</v>
      </c>
      <c r="L176" s="171" t="s">
        <v>28</v>
      </c>
      <c r="M176" s="172" t="s">
        <v>29</v>
      </c>
      <c r="N176" s="143" t="s">
        <v>296</v>
      </c>
      <c r="O176" s="142" t="s">
        <v>297</v>
      </c>
      <c r="P176" s="142" t="s">
        <v>298</v>
      </c>
    </row>
    <row r="177" spans="1:16" s="165" customFormat="1" x14ac:dyDescent="0.3">
      <c r="C177" s="166"/>
      <c r="E177" s="192"/>
      <c r="F177" s="198" t="s">
        <v>151</v>
      </c>
      <c r="G177" s="199" t="s">
        <v>149</v>
      </c>
      <c r="H177" s="199" t="s">
        <v>16</v>
      </c>
      <c r="I177" s="199" t="s">
        <v>148</v>
      </c>
      <c r="J177" s="199" t="s">
        <v>150</v>
      </c>
      <c r="K177" s="200" t="s">
        <v>114</v>
      </c>
      <c r="L177" s="166"/>
      <c r="M177" s="170"/>
      <c r="N177" s="166"/>
    </row>
    <row r="178" spans="1:16" s="165" customFormat="1" x14ac:dyDescent="0.3">
      <c r="A178" s="165">
        <f>MATCH(Calcs!B178,Paste_Report_Here!$1:$1,0) -1</f>
        <v>5</v>
      </c>
      <c r="B178" s="165" t="s">
        <v>124</v>
      </c>
      <c r="C178" s="166">
        <f ca="1">RANK(N178,N178:N202)</f>
        <v>8</v>
      </c>
      <c r="D178" s="166">
        <f ca="1">RANK(P178,P178:P202)</f>
        <v>16</v>
      </c>
      <c r="E178" s="189" t="s">
        <v>152</v>
      </c>
      <c r="F178" s="179">
        <f ca="1">COUNTIFS(Paste_Report_Here!$E$1:$E$2000,E172, OFFSET(Paste_Report_Here!$A$1,0,$A178,2000,1),F$75)</f>
        <v>0</v>
      </c>
      <c r="G178" s="180">
        <f ca="1">COUNTIFS(Paste_Report_Here!$E$1:$E$2000,E172, OFFSET(Paste_Report_Here!$A$1,0,$A178,2000,1),G$75)</f>
        <v>3</v>
      </c>
      <c r="H178" s="180">
        <f ca="1">COUNTIFS(Paste_Report_Here!$E$1:$E$2000,E172, OFFSET(Paste_Report_Here!$A$1,0,$A178,2000,1),H$75)</f>
        <v>29</v>
      </c>
      <c r="I178" s="180">
        <f ca="1">COUNTIFS(Paste_Report_Here!$E$1:$E$2000,E172, OFFSET(Paste_Report_Here!$A$1,0,$A178,2000,1),I$75)</f>
        <v>9</v>
      </c>
      <c r="J178" s="180">
        <f ca="1">COUNTIFS(Paste_Report_Here!$E$1:$E$2000,E172, OFFSET(Paste_Report_Here!$A$1,0,$A178,2000,1),J$75)</f>
        <v>0</v>
      </c>
      <c r="K178" s="181">
        <f ca="1">COUNTIFS(Paste_Report_Here!$E$1:$E$2000,E172, OFFSET(Paste_Report_Here!$A$1,0,$A178,2000,1),K$75)</f>
        <v>0</v>
      </c>
      <c r="L178" s="166">
        <f t="shared" ref="L178:L202" ca="1" si="27">SUM(F178:K178)</f>
        <v>41</v>
      </c>
      <c r="M178" s="183">
        <f ca="1">SUMPRODUCT(F178:K178,F176:K176)/L:L</f>
        <v>0</v>
      </c>
      <c r="N178" s="166">
        <f t="shared" ref="N178:N203" ca="1" si="28">EXP(M178)</f>
        <v>1</v>
      </c>
      <c r="O178" s="165">
        <f ca="1">P144</f>
        <v>2022.3583187636318</v>
      </c>
      <c r="P178" s="165">
        <f t="shared" ref="P178:P203" ca="1" si="29">O178*N178</f>
        <v>2022.3583187636318</v>
      </c>
    </row>
    <row r="179" spans="1:16" s="165" customFormat="1" x14ac:dyDescent="0.3">
      <c r="A179" s="165">
        <f>MATCH(Calcs!B179,Paste_Report_Here!$1:$1,0) -1</f>
        <v>6</v>
      </c>
      <c r="B179" s="165" t="s">
        <v>125</v>
      </c>
      <c r="C179" s="166">
        <f ca="1">RANK(N179,N178:N202)</f>
        <v>3</v>
      </c>
      <c r="D179" s="166">
        <f ca="1">RANK(P179,P178:P202)</f>
        <v>13</v>
      </c>
      <c r="E179" s="189" t="s">
        <v>153</v>
      </c>
      <c r="F179" s="179">
        <f ca="1">COUNTIFS(Paste_Report_Here!$E$1:$E$2000,E172, OFFSET(Paste_Report_Here!$A$1,0,$A179,2000,1),F$75)</f>
        <v>0</v>
      </c>
      <c r="G179" s="180">
        <f ca="1">COUNTIFS(Paste_Report_Here!$E$1:$E$2000,E172, OFFSET(Paste_Report_Here!$A$1,0,$A179,2000,1),G$75)</f>
        <v>5</v>
      </c>
      <c r="H179" s="180">
        <f ca="1">COUNTIFS(Paste_Report_Here!$E$1:$E$2000,E172, OFFSET(Paste_Report_Here!$A$1,0,$A179,2000,1),H$75)</f>
        <v>30</v>
      </c>
      <c r="I179" s="180">
        <f ca="1">COUNTIFS(Paste_Report_Here!$E$1:$E$2000,E172, OFFSET(Paste_Report_Here!$A$1,0,$A179,2000,1),I$75)</f>
        <v>4</v>
      </c>
      <c r="J179" s="180">
        <f ca="1">COUNTIFS(Paste_Report_Here!$E$1:$E$2000,E172, OFFSET(Paste_Report_Here!$A$1,0,$A179,2000,1),J$75)</f>
        <v>1</v>
      </c>
      <c r="K179" s="181">
        <f ca="1">COUNTIFS(Paste_Report_Here!$E$1:$E$2000,E172, OFFSET(Paste_Report_Here!$A$1,0,$A179,2000,1),K$75)</f>
        <v>1</v>
      </c>
      <c r="L179" s="166">
        <f t="shared" ca="1" si="27"/>
        <v>41</v>
      </c>
      <c r="M179" s="183">
        <f ca="1">SUMPRODUCT(F179:K179,F176:K176)/L:L</f>
        <v>4.8780487804878049E-3</v>
      </c>
      <c r="N179" s="166">
        <f t="shared" ca="1" si="28"/>
        <v>1.0048899658298769</v>
      </c>
      <c r="O179" s="165">
        <f t="shared" ref="O179:O203" ca="1" si="30">P145</f>
        <v>2133.8063794067002</v>
      </c>
      <c r="P179" s="165">
        <f t="shared" ca="1" si="29"/>
        <v>2144.2406196895722</v>
      </c>
    </row>
    <row r="180" spans="1:16" s="165" customFormat="1" x14ac:dyDescent="0.3">
      <c r="A180" s="165">
        <f>MATCH(Calcs!B180,Paste_Report_Here!$1:$1,0) -1</f>
        <v>7</v>
      </c>
      <c r="B180" s="165" t="s">
        <v>126</v>
      </c>
      <c r="C180" s="166">
        <f ca="1">RANK(N180,N178:N202)</f>
        <v>8</v>
      </c>
      <c r="D180" s="166">
        <f ca="1">RANK(P180,P178:P202)</f>
        <v>6</v>
      </c>
      <c r="E180" s="189" t="s">
        <v>154</v>
      </c>
      <c r="F180" s="179">
        <f ca="1">COUNTIFS(Paste_Report_Here!$E$1:$E$2000,E172, OFFSET(Paste_Report_Here!$A$1,0,$A180,2000,1),F$75)</f>
        <v>0</v>
      </c>
      <c r="G180" s="180">
        <f ca="1">COUNTIFS(Paste_Report_Here!$E$1:$E$2000,E172, OFFSET(Paste_Report_Here!$A$1,0,$A180,2000,1),G$75)</f>
        <v>3</v>
      </c>
      <c r="H180" s="180">
        <f ca="1">COUNTIFS(Paste_Report_Here!$E$1:$E$2000,E172, OFFSET(Paste_Report_Here!$A$1,0,$A180,2000,1),H$75)</f>
        <v>30</v>
      </c>
      <c r="I180" s="180">
        <f ca="1">COUNTIFS(Paste_Report_Here!$E$1:$E$2000,E172, OFFSET(Paste_Report_Here!$A$1,0,$A180,2000,1),I$75)</f>
        <v>8</v>
      </c>
      <c r="J180" s="180">
        <f ca="1">COUNTIFS(Paste_Report_Here!$E$1:$E$2000,E172, OFFSET(Paste_Report_Here!$A$1,0,$A180,2000,1),J$75)</f>
        <v>0</v>
      </c>
      <c r="K180" s="181">
        <f ca="1">COUNTIFS(Paste_Report_Here!$E$1:$E$2000,E172, OFFSET(Paste_Report_Here!$A$1,0,$A180,2000,1),K$75)</f>
        <v>0</v>
      </c>
      <c r="L180" s="166">
        <f t="shared" ca="1" si="27"/>
        <v>41</v>
      </c>
      <c r="M180" s="183">
        <f ca="1">SUMPRODUCT(F180:K180,F176:K176)/L:L</f>
        <v>0</v>
      </c>
      <c r="N180" s="166">
        <f t="shared" ca="1" si="28"/>
        <v>1</v>
      </c>
      <c r="O180" s="165">
        <f t="shared" ca="1" si="30"/>
        <v>2819.9746039295228</v>
      </c>
      <c r="P180" s="165">
        <f t="shared" ca="1" si="29"/>
        <v>2819.9746039295228</v>
      </c>
    </row>
    <row r="181" spans="1:16" s="165" customFormat="1" x14ac:dyDescent="0.3">
      <c r="A181" s="165">
        <f>MATCH(Calcs!B181,Paste_Report_Here!$1:$1,0) -1</f>
        <v>8</v>
      </c>
      <c r="B181" s="165" t="s">
        <v>127</v>
      </c>
      <c r="C181" s="166">
        <f ca="1">RANK(N181,N178:N202)</f>
        <v>8</v>
      </c>
      <c r="D181" s="166">
        <f ca="1">RANK(P181,P178:P202)</f>
        <v>9</v>
      </c>
      <c r="E181" s="189" t="s">
        <v>155</v>
      </c>
      <c r="F181" s="179">
        <f ca="1">COUNTIFS(Paste_Report_Here!$E$1:$E$2000,E172, OFFSET(Paste_Report_Here!$A$1,0,$A181,2000,1),F$75)</f>
        <v>0</v>
      </c>
      <c r="G181" s="180">
        <f ca="1">COUNTIFS(Paste_Report_Here!$E$1:$E$2000,E172, OFFSET(Paste_Report_Here!$A$1,0,$A181,2000,1),G$75)</f>
        <v>2</v>
      </c>
      <c r="H181" s="180">
        <f ca="1">COUNTIFS(Paste_Report_Here!$E$1:$E$2000,E172, OFFSET(Paste_Report_Here!$A$1,0,$A181,2000,1),H$75)</f>
        <v>29</v>
      </c>
      <c r="I181" s="180">
        <f ca="1">COUNTIFS(Paste_Report_Here!$E$1:$E$2000,E172, OFFSET(Paste_Report_Here!$A$1,0,$A181,2000,1),I$75)</f>
        <v>10</v>
      </c>
      <c r="J181" s="180">
        <f ca="1">COUNTIFS(Paste_Report_Here!$E$1:$E$2000,E172, OFFSET(Paste_Report_Here!$A$1,0,$A181,2000,1),J$75)</f>
        <v>0</v>
      </c>
      <c r="K181" s="181">
        <f ca="1">COUNTIFS(Paste_Report_Here!$E$1:$E$2000,E172, OFFSET(Paste_Report_Here!$A$1,0,$A181,2000,1),K$75)</f>
        <v>0</v>
      </c>
      <c r="L181" s="166">
        <f t="shared" ca="1" si="27"/>
        <v>41</v>
      </c>
      <c r="M181" s="183">
        <f ca="1">SUMPRODUCT(F181:K181,F176:K176)/L:L</f>
        <v>0</v>
      </c>
      <c r="N181" s="166">
        <f t="shared" ca="1" si="28"/>
        <v>1</v>
      </c>
      <c r="O181" s="165">
        <f t="shared" ca="1" si="30"/>
        <v>2420.155105465622</v>
      </c>
      <c r="P181" s="165">
        <f t="shared" ca="1" si="29"/>
        <v>2420.155105465622</v>
      </c>
    </row>
    <row r="182" spans="1:16" s="165" customFormat="1" x14ac:dyDescent="0.3">
      <c r="A182" s="165">
        <f>MATCH(Calcs!B182,Paste_Report_Here!$1:$1,0) -1</f>
        <v>9</v>
      </c>
      <c r="B182" s="165" t="s">
        <v>214</v>
      </c>
      <c r="C182" s="166">
        <f ca="1">RANK(N182,N178:N202)</f>
        <v>8</v>
      </c>
      <c r="D182" s="166">
        <f ca="1">RANK(P182,P178:P202)</f>
        <v>5</v>
      </c>
      <c r="E182" s="189" t="s">
        <v>156</v>
      </c>
      <c r="F182" s="179">
        <f ca="1">COUNTIFS(Paste_Report_Here!$E$1:$E$2000,E172, OFFSET(Paste_Report_Here!$A$1,0,$A182,2000,1),F$75)</f>
        <v>0</v>
      </c>
      <c r="G182" s="180">
        <f ca="1">COUNTIFS(Paste_Report_Here!$E$1:$E$2000,E172, OFFSET(Paste_Report_Here!$A$1,0,$A182,2000,1),G$75)</f>
        <v>0</v>
      </c>
      <c r="H182" s="180">
        <f ca="1">COUNTIFS(Paste_Report_Here!$E$1:$E$2000,E172, OFFSET(Paste_Report_Here!$A$1,0,$A182,2000,1),H$75)</f>
        <v>25</v>
      </c>
      <c r="I182" s="180">
        <f ca="1">COUNTIFS(Paste_Report_Here!$E$1:$E$2000,E172, OFFSET(Paste_Report_Here!$A$1,0,$A182,2000,1),I$75)</f>
        <v>16</v>
      </c>
      <c r="J182" s="180">
        <f ca="1">COUNTIFS(Paste_Report_Here!$E$1:$E$2000,E172, OFFSET(Paste_Report_Here!$A$1,0,$A182,2000,1),J$75)</f>
        <v>0</v>
      </c>
      <c r="K182" s="181">
        <f ca="1">COUNTIFS(Paste_Report_Here!$E$1:$E$2000,E172, OFFSET(Paste_Report_Here!$A$1,0,$A182,2000,1),K$75)</f>
        <v>0</v>
      </c>
      <c r="L182" s="166">
        <f t="shared" ca="1" si="27"/>
        <v>41</v>
      </c>
      <c r="M182" s="183">
        <f ca="1">SUMPRODUCT(F182:K182,F176:K176)/L:L</f>
        <v>0</v>
      </c>
      <c r="N182" s="166">
        <f t="shared" ca="1" si="28"/>
        <v>1</v>
      </c>
      <c r="O182" s="165">
        <f t="shared" ca="1" si="30"/>
        <v>3306.814357687048</v>
      </c>
      <c r="P182" s="165">
        <f t="shared" ca="1" si="29"/>
        <v>3306.814357687048</v>
      </c>
    </row>
    <row r="183" spans="1:16" s="165" customFormat="1" x14ac:dyDescent="0.3">
      <c r="A183" s="165">
        <f>MATCH(Calcs!B183,Paste_Report_Here!$1:$1,0) -1</f>
        <v>10</v>
      </c>
      <c r="B183" s="165" t="s">
        <v>128</v>
      </c>
      <c r="C183" s="166">
        <f ca="1">RANK(N183,N178:N202)</f>
        <v>3</v>
      </c>
      <c r="D183" s="166">
        <f ca="1">RANK(P183,P178:P202)</f>
        <v>21</v>
      </c>
      <c r="E183" s="189" t="s">
        <v>157</v>
      </c>
      <c r="F183" s="179">
        <f ca="1">COUNTIFS(Paste_Report_Here!$E$1:$E$2000,E172, OFFSET(Paste_Report_Here!$A$1,0,$A183,2000,1),F$75)</f>
        <v>0</v>
      </c>
      <c r="G183" s="180">
        <f ca="1">COUNTIFS(Paste_Report_Here!$E$1:$E$2000,E172, OFFSET(Paste_Report_Here!$A$1,0,$A183,2000,1),G$75)</f>
        <v>5</v>
      </c>
      <c r="H183" s="180">
        <f ca="1">COUNTIFS(Paste_Report_Here!$E$1:$E$2000,E172, OFFSET(Paste_Report_Here!$A$1,0,$A183,2000,1),H$75)</f>
        <v>32</v>
      </c>
      <c r="I183" s="180">
        <f ca="1">COUNTIFS(Paste_Report_Here!$E$1:$E$2000,E172, OFFSET(Paste_Report_Here!$A$1,0,$A183,2000,1),I$75)</f>
        <v>3</v>
      </c>
      <c r="J183" s="180">
        <f ca="1">COUNTIFS(Paste_Report_Here!$E$1:$E$2000,E172, OFFSET(Paste_Report_Here!$A$1,0,$A183,2000,1),J$75)</f>
        <v>1</v>
      </c>
      <c r="K183" s="181">
        <f ca="1">COUNTIFS(Paste_Report_Here!$E$1:$E$2000,E172, OFFSET(Paste_Report_Here!$A$1,0,$A183,2000,1),K$75)</f>
        <v>0</v>
      </c>
      <c r="L183" s="166">
        <f t="shared" ca="1" si="27"/>
        <v>41</v>
      </c>
      <c r="M183" s="183">
        <f ca="1">SUMPRODUCT(F183:K183,F176:K176)/L:L</f>
        <v>4.8780487804878049E-3</v>
      </c>
      <c r="N183" s="166">
        <f t="shared" ca="1" si="28"/>
        <v>1.0048899658298769</v>
      </c>
      <c r="O183" s="165">
        <f t="shared" ca="1" si="30"/>
        <v>1555.9440300896679</v>
      </c>
      <c r="P183" s="165">
        <f t="shared" ca="1" si="29"/>
        <v>1563.5525432300074</v>
      </c>
    </row>
    <row r="184" spans="1:16" s="165" customFormat="1" x14ac:dyDescent="0.3">
      <c r="A184" s="165">
        <f>MATCH(Calcs!B184,Paste_Report_Here!$1:$1,0) -1</f>
        <v>11</v>
      </c>
      <c r="B184" s="165" t="s">
        <v>129</v>
      </c>
      <c r="C184" s="166">
        <f ca="1">RANK(N184,N178:N202)</f>
        <v>3</v>
      </c>
      <c r="D184" s="166">
        <f ca="1">RANK(P184,P178:P202)</f>
        <v>8</v>
      </c>
      <c r="E184" s="189" t="s">
        <v>158</v>
      </c>
      <c r="F184" s="179">
        <f ca="1">COUNTIFS(Paste_Report_Here!$E$1:$E$2000,E172, OFFSET(Paste_Report_Here!$A$1,0,$A184,2000,1),F$75)</f>
        <v>0</v>
      </c>
      <c r="G184" s="180">
        <f ca="1">COUNTIFS(Paste_Report_Here!$E$1:$E$2000,E172, OFFSET(Paste_Report_Here!$A$1,0,$A184,2000,1),G$75)</f>
        <v>3</v>
      </c>
      <c r="H184" s="180">
        <f ca="1">COUNTIFS(Paste_Report_Here!$E$1:$E$2000,E172, OFFSET(Paste_Report_Here!$A$1,0,$A184,2000,1),H$75)</f>
        <v>33</v>
      </c>
      <c r="I184" s="180">
        <f ca="1">COUNTIFS(Paste_Report_Here!$E$1:$E$2000,E172, OFFSET(Paste_Report_Here!$A$1,0,$A184,2000,1),I$75)</f>
        <v>4</v>
      </c>
      <c r="J184" s="180">
        <f ca="1">COUNTIFS(Paste_Report_Here!$E$1:$E$2000,E172, OFFSET(Paste_Report_Here!$A$1,0,$A184,2000,1),J$75)</f>
        <v>1</v>
      </c>
      <c r="K184" s="181">
        <f ca="1">COUNTIFS(Paste_Report_Here!$E$1:$E$2000,E172, OFFSET(Paste_Report_Here!$A$1,0,$A184,2000,1),K$75)</f>
        <v>0</v>
      </c>
      <c r="L184" s="166">
        <f t="shared" ca="1" si="27"/>
        <v>41</v>
      </c>
      <c r="M184" s="183">
        <f ca="1">SUMPRODUCT(F184:K184,F176:K176)/L:L</f>
        <v>4.8780487804878049E-3</v>
      </c>
      <c r="N184" s="166">
        <f t="shared" ca="1" si="28"/>
        <v>1.0048899658298769</v>
      </c>
      <c r="O184" s="165">
        <f t="shared" ca="1" si="30"/>
        <v>2425.9372630988087</v>
      </c>
      <c r="P184" s="165">
        <f t="shared" ca="1" si="29"/>
        <v>2437.8000134207869</v>
      </c>
    </row>
    <row r="185" spans="1:16" s="165" customFormat="1" x14ac:dyDescent="0.3">
      <c r="A185" s="165">
        <f>MATCH(Calcs!B185,Paste_Report_Here!$1:$1,0) -1</f>
        <v>12</v>
      </c>
      <c r="B185" s="165" t="s">
        <v>130</v>
      </c>
      <c r="C185" s="166">
        <f ca="1">RANK(N185,N178:N202)</f>
        <v>8</v>
      </c>
      <c r="D185" s="166">
        <f ca="1">RANK(P185,P178:P202)</f>
        <v>12</v>
      </c>
      <c r="E185" s="189" t="s">
        <v>159</v>
      </c>
      <c r="F185" s="179">
        <f ca="1">COUNTIFS(Paste_Report_Here!$E$1:$E$2000,E172, OFFSET(Paste_Report_Here!$A$1,0,$A185,2000,1),F$75)</f>
        <v>0</v>
      </c>
      <c r="G185" s="180">
        <f ca="1">COUNTIFS(Paste_Report_Here!$E$1:$E$2000,E172, OFFSET(Paste_Report_Here!$A$1,0,$A185,2000,1),G$75)</f>
        <v>1</v>
      </c>
      <c r="H185" s="180">
        <f ca="1">COUNTIFS(Paste_Report_Here!$E$1:$E$2000,E172, OFFSET(Paste_Report_Here!$A$1,0,$A185,2000,1),H$75)</f>
        <v>32</v>
      </c>
      <c r="I185" s="180">
        <f ca="1">COUNTIFS(Paste_Report_Here!$E$1:$E$2000,E172, OFFSET(Paste_Report_Here!$A$1,0,$A185,2000,1),I$75)</f>
        <v>8</v>
      </c>
      <c r="J185" s="180">
        <f ca="1">COUNTIFS(Paste_Report_Here!$E$1:$E$2000,E172, OFFSET(Paste_Report_Here!$A$1,0,$A185,2000,1),J$75)</f>
        <v>0</v>
      </c>
      <c r="K185" s="181">
        <f ca="1">COUNTIFS(Paste_Report_Here!$E$1:$E$2000,E172, OFFSET(Paste_Report_Here!$A$1,0,$A185,2000,1),K$75)</f>
        <v>0</v>
      </c>
      <c r="L185" s="166">
        <f t="shared" ca="1" si="27"/>
        <v>41</v>
      </c>
      <c r="M185" s="183">
        <f ca="1">SUMPRODUCT(F185:K185,F176:K176)/L:L</f>
        <v>0</v>
      </c>
      <c r="N185" s="166">
        <f t="shared" ca="1" si="28"/>
        <v>1</v>
      </c>
      <c r="O185" s="165">
        <f t="shared" ca="1" si="30"/>
        <v>2245.5263723297826</v>
      </c>
      <c r="P185" s="165">
        <f t="shared" ca="1" si="29"/>
        <v>2245.5263723297826</v>
      </c>
    </row>
    <row r="186" spans="1:16" s="165" customFormat="1" x14ac:dyDescent="0.3">
      <c r="A186" s="165">
        <f>MATCH(Calcs!B186,Paste_Report_Here!$1:$1,0) -1</f>
        <v>13</v>
      </c>
      <c r="B186" s="165" t="s">
        <v>131</v>
      </c>
      <c r="C186" s="166">
        <f ca="1">RANK(N186,N178:N202)</f>
        <v>8</v>
      </c>
      <c r="D186" s="166">
        <f ca="1">RANK(P186,P178:P202)</f>
        <v>4</v>
      </c>
      <c r="E186" s="189" t="s">
        <v>160</v>
      </c>
      <c r="F186" s="179">
        <f ca="1">COUNTIFS(Paste_Report_Here!$E$1:$E$2000,E172, OFFSET(Paste_Report_Here!$A$1,0,$A186,2000,1),F$75)</f>
        <v>0</v>
      </c>
      <c r="G186" s="180">
        <f ca="1">COUNTIFS(Paste_Report_Here!$E$1:$E$2000,E172, OFFSET(Paste_Report_Here!$A$1,0,$A186,2000,1),G$75)</f>
        <v>1</v>
      </c>
      <c r="H186" s="180">
        <f ca="1">COUNTIFS(Paste_Report_Here!$E$1:$E$2000,E172, OFFSET(Paste_Report_Here!$A$1,0,$A186,2000,1),H$75)</f>
        <v>22</v>
      </c>
      <c r="I186" s="180">
        <f ca="1">COUNTIFS(Paste_Report_Here!$E$1:$E$2000,E172, OFFSET(Paste_Report_Here!$A$1,0,$A186,2000,1),I$75)</f>
        <v>18</v>
      </c>
      <c r="J186" s="180">
        <f ca="1">COUNTIFS(Paste_Report_Here!$E$1:$E$2000,E172, OFFSET(Paste_Report_Here!$A$1,0,$A186,2000,1),J$75)</f>
        <v>0</v>
      </c>
      <c r="K186" s="181">
        <f ca="1">COUNTIFS(Paste_Report_Here!$E$1:$E$2000,E172, OFFSET(Paste_Report_Here!$A$1,0,$A186,2000,1),K$75)</f>
        <v>0</v>
      </c>
      <c r="L186" s="166">
        <f t="shared" ca="1" si="27"/>
        <v>41</v>
      </c>
      <c r="M186" s="183">
        <f ca="1">SUMPRODUCT(F186:K186,F176:K176)/L:L</f>
        <v>0</v>
      </c>
      <c r="N186" s="166">
        <f t="shared" ca="1" si="28"/>
        <v>1</v>
      </c>
      <c r="O186" s="165">
        <f t="shared" ca="1" si="30"/>
        <v>3386.0283178536006</v>
      </c>
      <c r="P186" s="165">
        <f t="shared" ca="1" si="29"/>
        <v>3386.0283178536006</v>
      </c>
    </row>
    <row r="187" spans="1:16" s="165" customFormat="1" x14ac:dyDescent="0.3">
      <c r="A187" s="165">
        <f>MATCH(Calcs!B187,Paste_Report_Here!$1:$1,0) -1</f>
        <v>14</v>
      </c>
      <c r="B187" s="165" t="s">
        <v>132</v>
      </c>
      <c r="C187" s="166">
        <f ca="1">RANK(N187,N178:N202)</f>
        <v>8</v>
      </c>
      <c r="D187" s="166">
        <f ca="1">RANK(P187,P178:P202)</f>
        <v>19</v>
      </c>
      <c r="E187" s="189" t="s">
        <v>161</v>
      </c>
      <c r="F187" s="179">
        <f ca="1">COUNTIFS(Paste_Report_Here!$E$1:$E$2000,E172, OFFSET(Paste_Report_Here!$A$1,0,$A187,2000,1),F$75)</f>
        <v>0</v>
      </c>
      <c r="G187" s="180">
        <f ca="1">COUNTIFS(Paste_Report_Here!$E$1:$E$2000,E172, OFFSET(Paste_Report_Here!$A$1,0,$A187,2000,1),G$75)</f>
        <v>2</v>
      </c>
      <c r="H187" s="180">
        <f ca="1">COUNTIFS(Paste_Report_Here!$E$1:$E$2000,E172, OFFSET(Paste_Report_Here!$A$1,0,$A187,2000,1),H$75)</f>
        <v>29</v>
      </c>
      <c r="I187" s="180">
        <f ca="1">COUNTIFS(Paste_Report_Here!$E$1:$E$2000,E172, OFFSET(Paste_Report_Here!$A$1,0,$A187,2000,1),I$75)</f>
        <v>10</v>
      </c>
      <c r="J187" s="180">
        <f ca="1">COUNTIFS(Paste_Report_Here!$E$1:$E$2000,E172, OFFSET(Paste_Report_Here!$A$1,0,$A187,2000,1),J$75)</f>
        <v>0</v>
      </c>
      <c r="K187" s="181">
        <f ca="1">COUNTIFS(Paste_Report_Here!$E$1:$E$2000,E172, OFFSET(Paste_Report_Here!$A$1,0,$A187,2000,1),K$75)</f>
        <v>0</v>
      </c>
      <c r="L187" s="166">
        <f t="shared" ca="1" si="27"/>
        <v>41</v>
      </c>
      <c r="M187" s="183">
        <f ca="1">SUMPRODUCT(F187:K187,F176:K176)/L:L</f>
        <v>0</v>
      </c>
      <c r="N187" s="166">
        <f t="shared" ca="1" si="28"/>
        <v>1</v>
      </c>
      <c r="O187" s="165">
        <f t="shared" ca="1" si="30"/>
        <v>1864.3857596186299</v>
      </c>
      <c r="P187" s="165">
        <f t="shared" ca="1" si="29"/>
        <v>1864.3857596186299</v>
      </c>
    </row>
    <row r="188" spans="1:16" s="165" customFormat="1" x14ac:dyDescent="0.3">
      <c r="A188" s="165">
        <f>MATCH(Calcs!B188,Paste_Report_Here!$1:$1,0) -1</f>
        <v>15</v>
      </c>
      <c r="B188" s="165" t="s">
        <v>133</v>
      </c>
      <c r="C188" s="166">
        <f ca="1">RANK(N188,N177:N201)</f>
        <v>7</v>
      </c>
      <c r="D188" s="166">
        <f ca="1">RANK(P188,P178:P202)</f>
        <v>7</v>
      </c>
      <c r="E188" s="189" t="s">
        <v>162</v>
      </c>
      <c r="F188" s="179">
        <f ca="1">COUNTIFS(Paste_Report_Here!$E$1:$E$2000,E172, OFFSET(Paste_Report_Here!$A$1,0,$A188,2000,1),F$75)</f>
        <v>0</v>
      </c>
      <c r="G188" s="180">
        <f ca="1">COUNTIFS(Paste_Report_Here!$E$1:$E$2000,E172, OFFSET(Paste_Report_Here!$A$1,0,$A188,2000,1),G$75)</f>
        <v>1</v>
      </c>
      <c r="H188" s="180">
        <f ca="1">COUNTIFS(Paste_Report_Here!$E$1:$E$2000,E172, OFFSET(Paste_Report_Here!$A$1,0,$A188,2000,1),H$75)</f>
        <v>27</v>
      </c>
      <c r="I188" s="180">
        <f ca="1">COUNTIFS(Paste_Report_Here!$E$1:$E$2000,E172, OFFSET(Paste_Report_Here!$A$1,0,$A188,2000,1),I$75)</f>
        <v>13</v>
      </c>
      <c r="J188" s="180">
        <f ca="1">COUNTIFS(Paste_Report_Here!$E$1:$E$2000,E172, OFFSET(Paste_Report_Here!$A$1,0,$A188,2000,1),J$75)</f>
        <v>0</v>
      </c>
      <c r="K188" s="181">
        <f ca="1">COUNTIFS(Paste_Report_Here!$E$1:$E$2000,E172, OFFSET(Paste_Report_Here!$A$1,0,$A188,2000,1),K$75)</f>
        <v>0</v>
      </c>
      <c r="L188" s="166">
        <f t="shared" ca="1" si="27"/>
        <v>41</v>
      </c>
      <c r="M188" s="183">
        <f ca="1">SUMPRODUCT(F188:K188,F176:K176)/L:L</f>
        <v>0</v>
      </c>
      <c r="N188" s="166">
        <f t="shared" ca="1" si="28"/>
        <v>1</v>
      </c>
      <c r="O188" s="165">
        <f t="shared" ca="1" si="30"/>
        <v>2591.2795113919792</v>
      </c>
      <c r="P188" s="165">
        <f t="shared" ca="1" si="29"/>
        <v>2591.2795113919792</v>
      </c>
    </row>
    <row r="189" spans="1:16" s="165" customFormat="1" x14ac:dyDescent="0.3">
      <c r="A189" s="165">
        <f>MATCH(Calcs!B189,Paste_Report_Here!$1:$1,0) -1</f>
        <v>16</v>
      </c>
      <c r="B189" s="165" t="s">
        <v>134</v>
      </c>
      <c r="C189" s="166">
        <f ca="1">RANK(N189,N178:N202)</f>
        <v>8</v>
      </c>
      <c r="D189" s="166">
        <f ca="1">RANK(P189,P178:P202)</f>
        <v>25</v>
      </c>
      <c r="E189" s="189" t="s">
        <v>163</v>
      </c>
      <c r="F189" s="179">
        <f ca="1">COUNTIFS(Paste_Report_Here!$E$1:$E$2000,E172, OFFSET(Paste_Report_Here!$A$1,0,$A189,2000,1),F$75)</f>
        <v>0</v>
      </c>
      <c r="G189" s="180">
        <f ca="1">COUNTIFS(Paste_Report_Here!$E$1:$E$2000,E172, OFFSET(Paste_Report_Here!$A$1,0,$A189,2000,1),G$75)</f>
        <v>1</v>
      </c>
      <c r="H189" s="180">
        <f ca="1">COUNTIFS(Paste_Report_Here!$E$1:$E$2000,E172, OFFSET(Paste_Report_Here!$A$1,0,$A189,2000,1),H$75)</f>
        <v>35</v>
      </c>
      <c r="I189" s="180">
        <f ca="1">COUNTIFS(Paste_Report_Here!$E$1:$E$2000,E172, OFFSET(Paste_Report_Here!$A$1,0,$A189,2000,1),I$75)</f>
        <v>5</v>
      </c>
      <c r="J189" s="180">
        <f ca="1">COUNTIFS(Paste_Report_Here!$E$1:$E$2000,E172, OFFSET(Paste_Report_Here!$A$1,0,$A189,2000,1),J$75)</f>
        <v>0</v>
      </c>
      <c r="K189" s="181">
        <f ca="1">COUNTIFS(Paste_Report_Here!$E$1:$E$2000,E172, OFFSET(Paste_Report_Here!$A$1,0,$A189,2000,1),K$75)</f>
        <v>0</v>
      </c>
      <c r="L189" s="166">
        <f t="shared" ca="1" si="27"/>
        <v>41</v>
      </c>
      <c r="M189" s="183">
        <f ca="1">SUMPRODUCT(F189:K189,F176:K176)/L:L</f>
        <v>0</v>
      </c>
      <c r="N189" s="166">
        <f t="shared" ca="1" si="28"/>
        <v>1</v>
      </c>
      <c r="O189" s="165">
        <f t="shared" ca="1" si="30"/>
        <v>1161.2422523843593</v>
      </c>
      <c r="P189" s="165">
        <f t="shared" ca="1" si="29"/>
        <v>1161.2422523843593</v>
      </c>
    </row>
    <row r="190" spans="1:16" s="165" customFormat="1" x14ac:dyDescent="0.3">
      <c r="A190" s="165">
        <f>MATCH(Calcs!B190,Paste_Report_Here!$1:$1,0) -1</f>
        <v>17</v>
      </c>
      <c r="B190" s="165" t="s">
        <v>135</v>
      </c>
      <c r="C190" s="166">
        <f ca="1">RANK(N190,N178:N202)</f>
        <v>8</v>
      </c>
      <c r="D190" s="166">
        <f ca="1">RANK(P190,P178:P202)</f>
        <v>20</v>
      </c>
      <c r="E190" s="189" t="s">
        <v>164</v>
      </c>
      <c r="F190" s="179">
        <f ca="1">COUNTIFS(Paste_Report_Here!$E$1:$E$2000,E172, OFFSET(Paste_Report_Here!$A$1,0,$A190,2000,1),F$75)</f>
        <v>0</v>
      </c>
      <c r="G190" s="180">
        <f ca="1">COUNTIFS(Paste_Report_Here!$E$1:$E$2000,E172, OFFSET(Paste_Report_Here!$A$1,0,$A190,2000,1),G$75)</f>
        <v>2</v>
      </c>
      <c r="H190" s="180">
        <f ca="1">COUNTIFS(Paste_Report_Here!$E$1:$E$2000,E172, OFFSET(Paste_Report_Here!$A$1,0,$A190,2000,1),H$75)</f>
        <v>31</v>
      </c>
      <c r="I190" s="180">
        <f ca="1">COUNTIFS(Paste_Report_Here!$E$1:$E$2000,E172, OFFSET(Paste_Report_Here!$A$1,0,$A190,2000,1),I$75)</f>
        <v>8</v>
      </c>
      <c r="J190" s="180">
        <f ca="1">COUNTIFS(Paste_Report_Here!$E$1:$E$2000,E172, OFFSET(Paste_Report_Here!$A$1,0,$A190,2000,1),J$75)</f>
        <v>0</v>
      </c>
      <c r="K190" s="181">
        <f ca="1">COUNTIFS(Paste_Report_Here!$E$1:$E$2000,E172, OFFSET(Paste_Report_Here!$A$1,0,$A190,2000,1),K$75)</f>
        <v>0</v>
      </c>
      <c r="L190" s="166">
        <f t="shared" ca="1" si="27"/>
        <v>41</v>
      </c>
      <c r="M190" s="183">
        <f ca="1">SUMPRODUCT(F190:K190,F176:K176)/L:L</f>
        <v>0</v>
      </c>
      <c r="N190" s="166">
        <f t="shared" ca="1" si="28"/>
        <v>1</v>
      </c>
      <c r="O190" s="165">
        <f t="shared" ca="1" si="30"/>
        <v>1759.7736078466341</v>
      </c>
      <c r="P190" s="165">
        <f t="shared" ca="1" si="29"/>
        <v>1759.7736078466341</v>
      </c>
    </row>
    <row r="191" spans="1:16" s="165" customFormat="1" x14ac:dyDescent="0.3">
      <c r="A191" s="165">
        <f>MATCH(Calcs!B191,Paste_Report_Here!$1:$1,0) -1</f>
        <v>18</v>
      </c>
      <c r="B191" s="165" t="s">
        <v>136</v>
      </c>
      <c r="C191" s="166">
        <f ca="1">RANK(N191,N178:N202)</f>
        <v>8</v>
      </c>
      <c r="D191" s="166">
        <f ca="1">RANK(P191,P178:P202)</f>
        <v>3</v>
      </c>
      <c r="E191" s="189" t="s">
        <v>165</v>
      </c>
      <c r="F191" s="179">
        <f ca="1">COUNTIFS(Paste_Report_Here!$E$1:$E$2000,E172, OFFSET(Paste_Report_Here!$A$1,0,$A191,2000,1),F$75)</f>
        <v>0</v>
      </c>
      <c r="G191" s="180">
        <f ca="1">COUNTIFS(Paste_Report_Here!$E$1:$E$2000,E172, OFFSET(Paste_Report_Here!$A$1,0,$A191,2000,1),G$75)</f>
        <v>1</v>
      </c>
      <c r="H191" s="180">
        <f ca="1">COUNTIFS(Paste_Report_Here!$E$1:$E$2000,E172, OFFSET(Paste_Report_Here!$A$1,0,$A191,2000,1),H$75)</f>
        <v>25</v>
      </c>
      <c r="I191" s="180">
        <f ca="1">COUNTIFS(Paste_Report_Here!$E$1:$E$2000,E172, OFFSET(Paste_Report_Here!$A$1,0,$A191,2000,1),I$75)</f>
        <v>14</v>
      </c>
      <c r="J191" s="180">
        <f ca="1">COUNTIFS(Paste_Report_Here!$E$1:$E$2000,E172, OFFSET(Paste_Report_Here!$A$1,0,$A191,2000,1),J$75)</f>
        <v>0</v>
      </c>
      <c r="K191" s="181">
        <f ca="1">COUNTIFS(Paste_Report_Here!$E$1:$E$2000,E172, OFFSET(Paste_Report_Here!$A$1,0,$A191,2000,1),K$75)</f>
        <v>1</v>
      </c>
      <c r="L191" s="166">
        <f t="shared" ca="1" si="27"/>
        <v>41</v>
      </c>
      <c r="M191" s="183">
        <f ca="1">SUMPRODUCT(F191:K191,F176:K176)/L:L</f>
        <v>0</v>
      </c>
      <c r="N191" s="166">
        <f t="shared" ca="1" si="28"/>
        <v>1</v>
      </c>
      <c r="O191" s="165">
        <f t="shared" ca="1" si="30"/>
        <v>3530.2679102165675</v>
      </c>
      <c r="P191" s="165">
        <f t="shared" ca="1" si="29"/>
        <v>3530.2679102165675</v>
      </c>
    </row>
    <row r="192" spans="1:16" s="165" customFormat="1" x14ac:dyDescent="0.3">
      <c r="A192" s="165">
        <f>MATCH(Calcs!B192,Paste_Report_Here!$1:$1,0) -1</f>
        <v>19</v>
      </c>
      <c r="B192" s="165" t="s">
        <v>137</v>
      </c>
      <c r="C192" s="166">
        <f ca="1">RANK(N192,N178:N202)</f>
        <v>8</v>
      </c>
      <c r="D192" s="166">
        <f ca="1">RANK(P192,P178:P202)</f>
        <v>15</v>
      </c>
      <c r="E192" s="189" t="s">
        <v>166</v>
      </c>
      <c r="F192" s="179">
        <f ca="1">COUNTIFS(Paste_Report_Here!$E$1:$E$2000,E172, OFFSET(Paste_Report_Here!$A$1,0,$A192,2000,1),F$75)</f>
        <v>0</v>
      </c>
      <c r="G192" s="180">
        <f ca="1">COUNTIFS(Paste_Report_Here!$E$1:$E$2000,E172, OFFSET(Paste_Report_Here!$A$1,0,$A192,2000,1),G$75)</f>
        <v>2</v>
      </c>
      <c r="H192" s="180">
        <f ca="1">COUNTIFS(Paste_Report_Here!$E$1:$E$2000,E172, OFFSET(Paste_Report_Here!$A$1,0,$A192,2000,1),H$75)</f>
        <v>30</v>
      </c>
      <c r="I192" s="180">
        <f ca="1">COUNTIFS(Paste_Report_Here!$E$1:$E$2000,E172, OFFSET(Paste_Report_Here!$A$1,0,$A192,2000,1),I$75)</f>
        <v>9</v>
      </c>
      <c r="J192" s="180">
        <f ca="1">COUNTIFS(Paste_Report_Here!$E$1:$E$2000,E172, OFFSET(Paste_Report_Here!$A$1,0,$A192,2000,1),J$75)</f>
        <v>0</v>
      </c>
      <c r="K192" s="181">
        <f ca="1">COUNTIFS(Paste_Report_Here!$E$1:$E$2000,E172, OFFSET(Paste_Report_Here!$A$1,0,$A192,2000,1),K$75)</f>
        <v>0</v>
      </c>
      <c r="L192" s="166">
        <f t="shared" ca="1" si="27"/>
        <v>41</v>
      </c>
      <c r="M192" s="183">
        <f ca="1">SUMPRODUCT(F192:K192,F176:K176)/L:L</f>
        <v>0</v>
      </c>
      <c r="N192" s="166">
        <f t="shared" ca="1" si="28"/>
        <v>1</v>
      </c>
      <c r="O192" s="165">
        <f t="shared" ca="1" si="30"/>
        <v>2072.6922803336224</v>
      </c>
      <c r="P192" s="165">
        <f t="shared" ca="1" si="29"/>
        <v>2072.6922803336224</v>
      </c>
    </row>
    <row r="193" spans="1:16" s="165" customFormat="1" x14ac:dyDescent="0.3">
      <c r="A193" s="165">
        <f>MATCH(Calcs!B193,Paste_Report_Here!$1:$1,0) -1</f>
        <v>20</v>
      </c>
      <c r="B193" s="165" t="s">
        <v>138</v>
      </c>
      <c r="C193" s="166">
        <f ca="1">RANK(N193,N178:N202)</f>
        <v>8</v>
      </c>
      <c r="D193" s="166">
        <f ca="1">RANK(P193,P178:P202)</f>
        <v>18</v>
      </c>
      <c r="E193" s="189" t="s">
        <v>167</v>
      </c>
      <c r="F193" s="179">
        <f ca="1">COUNTIFS(Paste_Report_Here!$E$1:$E$2000,E172, OFFSET(Paste_Report_Here!$A$1,0,$A193,2000,1),F$75)</f>
        <v>0</v>
      </c>
      <c r="G193" s="180">
        <f ca="1">COUNTIFS(Paste_Report_Here!$E$1:$E$2000,E172, OFFSET(Paste_Report_Here!$A$1,0,$A193,2000,1),G$75)</f>
        <v>4</v>
      </c>
      <c r="H193" s="180">
        <f ca="1">COUNTIFS(Paste_Report_Here!$E$1:$E$2000,E172, OFFSET(Paste_Report_Here!$A$1,0,$A193,2000,1),H$75)</f>
        <v>23</v>
      </c>
      <c r="I193" s="180">
        <f ca="1">COUNTIFS(Paste_Report_Here!$E$1:$E$2000,E172, OFFSET(Paste_Report_Here!$A$1,0,$A193,2000,1),I$75)</f>
        <v>14</v>
      </c>
      <c r="J193" s="180">
        <f ca="1">COUNTIFS(Paste_Report_Here!$E$1:$E$2000,E172, OFFSET(Paste_Report_Here!$A$1,0,$A193,2000,1),J$75)</f>
        <v>0</v>
      </c>
      <c r="K193" s="181">
        <f ca="1">COUNTIFS(Paste_Report_Here!$E$1:$E$2000,E172, OFFSET(Paste_Report_Here!$A$1,0,$A193,2000,1),K$75)</f>
        <v>0</v>
      </c>
      <c r="L193" s="166">
        <f t="shared" ca="1" si="27"/>
        <v>41</v>
      </c>
      <c r="M193" s="183">
        <f ca="1">SUMPRODUCT(F193:K193,F176:K176)/L:L</f>
        <v>0</v>
      </c>
      <c r="N193" s="166">
        <f t="shared" ca="1" si="28"/>
        <v>1</v>
      </c>
      <c r="O193" s="165">
        <f t="shared" ca="1" si="30"/>
        <v>1943.3800028452797</v>
      </c>
      <c r="P193" s="165">
        <f t="shared" ca="1" si="29"/>
        <v>1943.3800028452797</v>
      </c>
    </row>
    <row r="194" spans="1:16" s="165" customFormat="1" x14ac:dyDescent="0.3">
      <c r="A194" s="165">
        <f>MATCH(Calcs!B194,Paste_Report_Here!$1:$1,0) -1</f>
        <v>21</v>
      </c>
      <c r="B194" s="165" t="s">
        <v>139</v>
      </c>
      <c r="C194" s="166">
        <f ca="1">RANK(N194,N178:N202)</f>
        <v>8</v>
      </c>
      <c r="D194" s="166">
        <f ca="1">RANK(P194,P178:P202)</f>
        <v>14</v>
      </c>
      <c r="E194" s="189" t="s">
        <v>168</v>
      </c>
      <c r="F194" s="179">
        <f ca="1">COUNTIFS(Paste_Report_Here!$E$1:$E$2000,E172, OFFSET(Paste_Report_Here!$A$1,0,$A194,2000,1),F$75)</f>
        <v>0</v>
      </c>
      <c r="G194" s="180">
        <f ca="1">COUNTIFS(Paste_Report_Here!$E$1:$E$2000,E172, OFFSET(Paste_Report_Here!$A$1,0,$A194,2000,1),G$75)</f>
        <v>1</v>
      </c>
      <c r="H194" s="180">
        <f ca="1">COUNTIFS(Paste_Report_Here!$E$1:$E$2000,E172, OFFSET(Paste_Report_Here!$A$1,0,$A194,2000,1),H$75)</f>
        <v>32</v>
      </c>
      <c r="I194" s="180">
        <f ca="1">COUNTIFS(Paste_Report_Here!$E$1:$E$2000,E172, OFFSET(Paste_Report_Here!$A$1,0,$A194,2000,1),I$75)</f>
        <v>8</v>
      </c>
      <c r="J194" s="180">
        <f ca="1">COUNTIFS(Paste_Report_Here!$E$1:$E$2000,E172, OFFSET(Paste_Report_Here!$A$1,0,$A194,2000,1),J$75)</f>
        <v>0</v>
      </c>
      <c r="K194" s="181">
        <f ca="1">COUNTIFS(Paste_Report_Here!$E$1:$E$2000,E172, OFFSET(Paste_Report_Here!$A$1,0,$A194,2000,1),K$75)</f>
        <v>0</v>
      </c>
      <c r="L194" s="166">
        <f t="shared" ca="1" si="27"/>
        <v>41</v>
      </c>
      <c r="M194" s="183">
        <f ca="1">SUMPRODUCT(F194:K194,F176:K176)/L:L</f>
        <v>0</v>
      </c>
      <c r="N194" s="166">
        <f t="shared" ca="1" si="28"/>
        <v>1</v>
      </c>
      <c r="O194" s="165">
        <f t="shared" ca="1" si="30"/>
        <v>2077.6419514264135</v>
      </c>
      <c r="P194" s="165">
        <f t="shared" ca="1" si="29"/>
        <v>2077.6419514264135</v>
      </c>
    </row>
    <row r="195" spans="1:16" s="165" customFormat="1" x14ac:dyDescent="0.3">
      <c r="A195" s="165">
        <f>MATCH(Calcs!B195,Paste_Report_Here!$1:$1,0) -1</f>
        <v>22</v>
      </c>
      <c r="B195" s="165" t="s">
        <v>140</v>
      </c>
      <c r="C195" s="166">
        <f ca="1">RANK(N195,N178:N202)</f>
        <v>3</v>
      </c>
      <c r="D195" s="166">
        <f ca="1">RANK(P195,P178:P202)</f>
        <v>17</v>
      </c>
      <c r="E195" s="189" t="s">
        <v>169</v>
      </c>
      <c r="F195" s="179">
        <f ca="1">COUNTIFS(Paste_Report_Here!$E$1:$E$2000,E172, OFFSET(Paste_Report_Here!$A$1,0,$A195,2000,1),F$75)</f>
        <v>0</v>
      </c>
      <c r="G195" s="180">
        <f ca="1">COUNTIFS(Paste_Report_Here!$E$1:$E$2000,E172, OFFSET(Paste_Report_Here!$A$1,0,$A195,2000,1),G$75)</f>
        <v>0</v>
      </c>
      <c r="H195" s="180">
        <f ca="1">COUNTIFS(Paste_Report_Here!$E$1:$E$2000,E172, OFFSET(Paste_Report_Here!$A$1,0,$A195,2000,1),H$75)</f>
        <v>30</v>
      </c>
      <c r="I195" s="180">
        <f ca="1">COUNTIFS(Paste_Report_Here!$E$1:$E$2000,E172, OFFSET(Paste_Report_Here!$A$1,0,$A195,2000,1),I$75)</f>
        <v>10</v>
      </c>
      <c r="J195" s="180">
        <f ca="1">COUNTIFS(Paste_Report_Here!$E$1:$E$2000,E172, OFFSET(Paste_Report_Here!$A$1,0,$A195,2000,1),J$75)</f>
        <v>1</v>
      </c>
      <c r="K195" s="181">
        <f ca="1">COUNTIFS(Paste_Report_Here!$E$1:$E$2000,E172, OFFSET(Paste_Report_Here!$A$1,0,$A195,2000,1),K$75)</f>
        <v>0</v>
      </c>
      <c r="L195" s="166">
        <f t="shared" ca="1" si="27"/>
        <v>41</v>
      </c>
      <c r="M195" s="183">
        <f ca="1">SUMPRODUCT(F195:K195,F176:K176)/L:L</f>
        <v>4.8780487804878049E-3</v>
      </c>
      <c r="N195" s="166">
        <f t="shared" ca="1" si="28"/>
        <v>1.0048899658298769</v>
      </c>
      <c r="O195" s="165">
        <f t="shared" ca="1" si="30"/>
        <v>1937.9767785817091</v>
      </c>
      <c r="P195" s="165">
        <f t="shared" ca="1" si="29"/>
        <v>1947.4534188080686</v>
      </c>
    </row>
    <row r="196" spans="1:16" s="165" customFormat="1" x14ac:dyDescent="0.3">
      <c r="A196" s="165">
        <f>MATCH(Calcs!B196,Paste_Report_Here!$1:$1,0) -1</f>
        <v>23</v>
      </c>
      <c r="B196" s="165" t="s">
        <v>186</v>
      </c>
      <c r="C196" s="166">
        <f ca="1">RANK(N196,N178:N202)</f>
        <v>2</v>
      </c>
      <c r="D196" s="166">
        <f ca="1">RANK(P196,P178:P202)</f>
        <v>2</v>
      </c>
      <c r="E196" s="189" t="s">
        <v>180</v>
      </c>
      <c r="F196" s="179">
        <f ca="1">COUNTIFS(Paste_Report_Here!$E$1:$E$2000,E172, OFFSET(Paste_Report_Here!$A$1,0,$A196,2000,1),F$75)</f>
        <v>0</v>
      </c>
      <c r="G196" s="180">
        <f ca="1">COUNTIFS(Paste_Report_Here!$E$1:$E$2000,E172, OFFSET(Paste_Report_Here!$A$1,0,$A196,2000,1),G$75)</f>
        <v>0</v>
      </c>
      <c r="H196" s="180">
        <f ca="1">COUNTIFS(Paste_Report_Here!$E$1:$E$2000,E172, OFFSET(Paste_Report_Here!$A$1,0,$A196,2000,1),H$75)</f>
        <v>23</v>
      </c>
      <c r="I196" s="180">
        <f ca="1">COUNTIFS(Paste_Report_Here!$E$1:$E$2000,E172, OFFSET(Paste_Report_Here!$A$1,0,$A196,2000,1),I$75)</f>
        <v>16</v>
      </c>
      <c r="J196" s="180">
        <f ca="1">COUNTIFS(Paste_Report_Here!$E$1:$E$2000,E172, OFFSET(Paste_Report_Here!$A$1,0,$A196,2000,1),J$75)</f>
        <v>2</v>
      </c>
      <c r="K196" s="181">
        <f ca="1">COUNTIFS(Paste_Report_Here!$E$1:$E$2000,E172, OFFSET(Paste_Report_Here!$A$1,0,$A196,2000,1),K$75)</f>
        <v>0</v>
      </c>
      <c r="L196" s="166">
        <f t="shared" ca="1" si="27"/>
        <v>41</v>
      </c>
      <c r="M196" s="183">
        <f ca="1">SUMPRODUCT(F196:K196,F176:K176)/L:L</f>
        <v>9.7560975609756097E-3</v>
      </c>
      <c r="N196" s="166">
        <f t="shared" ca="1" si="28"/>
        <v>1.0098038434255709</v>
      </c>
      <c r="O196" s="165">
        <f t="shared" ca="1" si="30"/>
        <v>3576.3862298809881</v>
      </c>
      <c r="P196" s="165">
        <f t="shared" ca="1" si="29"/>
        <v>3611.4485605081095</v>
      </c>
    </row>
    <row r="197" spans="1:16" s="165" customFormat="1" x14ac:dyDescent="0.3">
      <c r="A197" s="165">
        <f>MATCH(Calcs!B197,Paste_Report_Here!$1:$1,0) -1</f>
        <v>24</v>
      </c>
      <c r="B197" s="165" t="s">
        <v>209</v>
      </c>
      <c r="C197" s="166">
        <f ca="1">RANK(N197,N178:N202)</f>
        <v>8</v>
      </c>
      <c r="D197" s="166">
        <f ca="1">RANK(P197,P178:P202)</f>
        <v>24</v>
      </c>
      <c r="E197" s="202" t="s">
        <v>211</v>
      </c>
      <c r="F197" s="179">
        <f ca="1">COUNTIFS(Paste_Report_Here!$E$1:$E$2000,E172, OFFSET(Paste_Report_Here!$A$1,0,$A197,2000,1),F$75)</f>
        <v>0</v>
      </c>
      <c r="G197" s="180">
        <f ca="1">COUNTIFS(Paste_Report_Here!$E$1:$E$2000,E172, OFFSET(Paste_Report_Here!$A$1,0,$A197,2000,1),G$75)</f>
        <v>1</v>
      </c>
      <c r="H197" s="180">
        <f ca="1">COUNTIFS(Paste_Report_Here!$E$1:$E$2000,E172, OFFSET(Paste_Report_Here!$A$1,0,$A197,2000,1),H$75)</f>
        <v>29</v>
      </c>
      <c r="I197" s="180">
        <f ca="1">COUNTIFS(Paste_Report_Here!$E$1:$E$2000,E172, OFFSET(Paste_Report_Here!$A$1,0,$A197,2000,1),I$75)</f>
        <v>7</v>
      </c>
      <c r="J197" s="180">
        <f ca="1">COUNTIFS(Paste_Report_Here!$E$1:$E$2000,E172, OFFSET(Paste_Report_Here!$A$1,0,$A197,2000,1),J$75)</f>
        <v>0</v>
      </c>
      <c r="K197" s="181">
        <f ca="1">COUNTIFS(Paste_Report_Here!$E$1:$E$2000,E172, OFFSET(Paste_Report_Here!$A$1,0,$A197,2000,1),K$75)</f>
        <v>4</v>
      </c>
      <c r="L197" s="166">
        <f t="shared" ca="1" si="27"/>
        <v>41</v>
      </c>
      <c r="M197" s="183">
        <f ca="1">SUMPRODUCT(F197:K197,F176:K176)/L:L</f>
        <v>0</v>
      </c>
      <c r="N197" s="166">
        <f t="shared" ca="1" si="28"/>
        <v>1</v>
      </c>
      <c r="O197" s="165">
        <f t="shared" ca="1" si="30"/>
        <v>1165.3498076526269</v>
      </c>
      <c r="P197" s="165">
        <f t="shared" ca="1" si="29"/>
        <v>1165.3498076526269</v>
      </c>
    </row>
    <row r="198" spans="1:16" s="165" customFormat="1" x14ac:dyDescent="0.3">
      <c r="A198" s="165">
        <f>MATCH(Calcs!B198,Paste_Report_Here!$1:$1,0) -1</f>
        <v>25</v>
      </c>
      <c r="B198" s="165" t="s">
        <v>141</v>
      </c>
      <c r="C198" s="166">
        <f ca="1">RANK(N198,N178:N202)</f>
        <v>8</v>
      </c>
      <c r="D198" s="166">
        <f ca="1">RANK(P198,P178:P202)</f>
        <v>22</v>
      </c>
      <c r="E198" s="189" t="s">
        <v>170</v>
      </c>
      <c r="F198" s="179">
        <f ca="1">COUNTIFS(Paste_Report_Here!$E$1:$E$2000,E172, OFFSET(Paste_Report_Here!$A$1,0,$A198,2000,1),F$75)</f>
        <v>0</v>
      </c>
      <c r="G198" s="180">
        <f ca="1">COUNTIFS(Paste_Report_Here!$E$1:$E$2000,E172, OFFSET(Paste_Report_Here!$A$1,0,$A198,2000,1),G$75)</f>
        <v>2</v>
      </c>
      <c r="H198" s="180">
        <f ca="1">COUNTIFS(Paste_Report_Here!$E$1:$E$2000,E172, OFFSET(Paste_Report_Here!$A$1,0,$A198,2000,1),H$75)</f>
        <v>34</v>
      </c>
      <c r="I198" s="180">
        <f ca="1">COUNTIFS(Paste_Report_Here!$E$1:$E$2000,E172, OFFSET(Paste_Report_Here!$A$1,0,$A198,2000,1),I$75)</f>
        <v>5</v>
      </c>
      <c r="J198" s="180">
        <f ca="1">COUNTIFS(Paste_Report_Here!$E$1:$E$2000,E172, OFFSET(Paste_Report_Here!$A$1,0,$A198,2000,1),J$75)</f>
        <v>0</v>
      </c>
      <c r="K198" s="181">
        <f ca="1">COUNTIFS(Paste_Report_Here!$E$1:$E$2000,E172, OFFSET(Paste_Report_Here!$A$1,0,$A198,2000,1),K$75)</f>
        <v>0</v>
      </c>
      <c r="L198" s="166">
        <f t="shared" ca="1" si="27"/>
        <v>41</v>
      </c>
      <c r="M198" s="183">
        <f ca="1">SUMPRODUCT(F198:K198,F176:K176)/L:L</f>
        <v>0</v>
      </c>
      <c r="N198" s="166">
        <f t="shared" ca="1" si="28"/>
        <v>1</v>
      </c>
      <c r="O198" s="165">
        <f t="shared" ca="1" si="30"/>
        <v>1388.3239889699576</v>
      </c>
      <c r="P198" s="165">
        <f t="shared" ca="1" si="29"/>
        <v>1388.3239889699576</v>
      </c>
    </row>
    <row r="199" spans="1:16" s="165" customFormat="1" x14ac:dyDescent="0.3">
      <c r="A199" s="165">
        <f>MATCH(Calcs!B199,Paste_Report_Here!$1:$1,0) -1</f>
        <v>26</v>
      </c>
      <c r="B199" s="165" t="s">
        <v>142</v>
      </c>
      <c r="C199" s="166">
        <f ca="1">RANK(N199,N178:N202)</f>
        <v>8</v>
      </c>
      <c r="D199" s="166">
        <f ca="1">RANK(P199,P178:P202)</f>
        <v>10</v>
      </c>
      <c r="E199" s="189" t="s">
        <v>171</v>
      </c>
      <c r="F199" s="179">
        <f ca="1">COUNTIFS(Paste_Report_Here!$E$1:$E$2000,E172, OFFSET(Paste_Report_Here!$A$1,0,$A199,2000,1),F$75)</f>
        <v>0</v>
      </c>
      <c r="G199" s="180">
        <f ca="1">COUNTIFS(Paste_Report_Here!$E$1:$E$2000,E172, OFFSET(Paste_Report_Here!$A$1,0,$A199,2000,1),G$75)</f>
        <v>2</v>
      </c>
      <c r="H199" s="180">
        <f ca="1">COUNTIFS(Paste_Report_Here!$E$1:$E$2000,E172, OFFSET(Paste_Report_Here!$A$1,0,$A199,2000,1),H$75)</f>
        <v>29</v>
      </c>
      <c r="I199" s="180">
        <f ca="1">COUNTIFS(Paste_Report_Here!$E$1:$E$2000,E172, OFFSET(Paste_Report_Here!$A$1,0,$A199,2000,1),I$75)</f>
        <v>10</v>
      </c>
      <c r="J199" s="180">
        <f ca="1">COUNTIFS(Paste_Report_Here!$E$1:$E$2000,E172, OFFSET(Paste_Report_Here!$A$1,0,$A199,2000,1),J$75)</f>
        <v>0</v>
      </c>
      <c r="K199" s="181">
        <f ca="1">COUNTIFS(Paste_Report_Here!$E$1:$E$2000,E172, OFFSET(Paste_Report_Here!$A$1,0,$A199,2000,1),K$75)</f>
        <v>0</v>
      </c>
      <c r="L199" s="166">
        <f t="shared" ca="1" si="27"/>
        <v>41</v>
      </c>
      <c r="M199" s="183">
        <f ca="1">SUMPRODUCT(F199:K199,F176:K176)/L:L</f>
        <v>0</v>
      </c>
      <c r="N199" s="166">
        <f t="shared" ca="1" si="28"/>
        <v>1</v>
      </c>
      <c r="O199" s="165">
        <f t="shared" ca="1" si="30"/>
        <v>2320.7904227259492</v>
      </c>
      <c r="P199" s="165">
        <f t="shared" ca="1" si="29"/>
        <v>2320.7904227259492</v>
      </c>
    </row>
    <row r="200" spans="1:16" s="165" customFormat="1" x14ac:dyDescent="0.3">
      <c r="A200" s="165">
        <f>MATCH(Calcs!B200,Paste_Report_Here!$1:$1,0) -1</f>
        <v>27</v>
      </c>
      <c r="B200" s="165" t="s">
        <v>210</v>
      </c>
      <c r="C200" s="166">
        <f ca="1">RANK(N200,N178:N202)</f>
        <v>8</v>
      </c>
      <c r="D200" s="166">
        <f ca="1">RANK(P200,P178:P202)</f>
        <v>23</v>
      </c>
      <c r="E200" s="202" t="s">
        <v>212</v>
      </c>
      <c r="F200" s="179">
        <f ca="1">COUNTIFS(Paste_Report_Here!$E$1:$E$2000,E172, OFFSET(Paste_Report_Here!$A$1,0,$A200,2000,1),F$75)</f>
        <v>0</v>
      </c>
      <c r="G200" s="180">
        <f ca="1">COUNTIFS(Paste_Report_Here!$E$1:$E$2000,E172, OFFSET(Paste_Report_Here!$A$1,0,$A200,2000,1),G$75)</f>
        <v>4</v>
      </c>
      <c r="H200" s="180">
        <f ca="1">COUNTIFS(Paste_Report_Here!$E$1:$E$2000,E172, OFFSET(Paste_Report_Here!$A$1,0,$A200,2000,1),H$75)</f>
        <v>34</v>
      </c>
      <c r="I200" s="180">
        <f ca="1">COUNTIFS(Paste_Report_Here!$E$1:$E$2000,E172, OFFSET(Paste_Report_Here!$A$1,0,$A200,2000,1),I$75)</f>
        <v>3</v>
      </c>
      <c r="J200" s="180">
        <f ca="1">COUNTIFS(Paste_Report_Here!$E$1:$E$2000,E172, OFFSET(Paste_Report_Here!$A$1,0,$A200,2000,1),J$75)</f>
        <v>0</v>
      </c>
      <c r="K200" s="181">
        <f ca="1">COUNTIFS(Paste_Report_Here!$E$1:$E$2000,E172, OFFSET(Paste_Report_Here!$A$1,0,$A200,2000,1),K$75)</f>
        <v>0</v>
      </c>
      <c r="L200" s="166">
        <f t="shared" ca="1" si="27"/>
        <v>41</v>
      </c>
      <c r="M200" s="183">
        <f ca="1">SUMPRODUCT(F200:K200,F176:K176)/L:L</f>
        <v>0</v>
      </c>
      <c r="N200" s="166">
        <f t="shared" ca="1" si="28"/>
        <v>1</v>
      </c>
      <c r="O200" s="165">
        <f t="shared" ca="1" si="30"/>
        <v>1173.6569265350035</v>
      </c>
      <c r="P200" s="165">
        <f t="shared" ca="1" si="29"/>
        <v>1173.6569265350035</v>
      </c>
    </row>
    <row r="201" spans="1:16" s="165" customFormat="1" x14ac:dyDescent="0.3">
      <c r="A201" s="165">
        <f>MATCH(Calcs!B201,Paste_Report_Here!$1:$1,0) -1</f>
        <v>28</v>
      </c>
      <c r="B201" s="165" t="s">
        <v>143</v>
      </c>
      <c r="C201" s="166">
        <f ca="1">RANK(N201,N178:N202)</f>
        <v>1</v>
      </c>
      <c r="D201" s="166">
        <f ca="1">RANK(P201,P178:P202)</f>
        <v>1</v>
      </c>
      <c r="E201" s="189" t="s">
        <v>172</v>
      </c>
      <c r="F201" s="179">
        <f ca="1">COUNTIFS(Paste_Report_Here!$E$1:$E$2000,E172, OFFSET(Paste_Report_Here!$A$1,0,$A201,2000,1),F$75)</f>
        <v>0</v>
      </c>
      <c r="G201" s="180">
        <f ca="1">COUNTIFS(Paste_Report_Here!$E$1:$E$2000,E172, OFFSET(Paste_Report_Here!$A$1,0,$A201,2000,1),G$75)</f>
        <v>2</v>
      </c>
      <c r="H201" s="180">
        <f ca="1">COUNTIFS(Paste_Report_Here!$E$1:$E$2000,E172, OFFSET(Paste_Report_Here!$A$1,0,$A201,2000,1),H$75)</f>
        <v>17</v>
      </c>
      <c r="I201" s="180">
        <f ca="1">COUNTIFS(Paste_Report_Here!$E$1:$E$2000,E172, OFFSET(Paste_Report_Here!$A$1,0,$A201,2000,1),I$75)</f>
        <v>18</v>
      </c>
      <c r="J201" s="180">
        <f ca="1">COUNTIFS(Paste_Report_Here!$E$1:$E$2000,E172, OFFSET(Paste_Report_Here!$A$1,0,$A201,2000,1),J$75)</f>
        <v>4</v>
      </c>
      <c r="K201" s="181">
        <f ca="1">COUNTIFS(Paste_Report_Here!$E$1:$E$2000,E172, OFFSET(Paste_Report_Here!$A$1,0,$A201,2000,1),K$75)</f>
        <v>0</v>
      </c>
      <c r="L201" s="166">
        <f t="shared" ca="1" si="27"/>
        <v>41</v>
      </c>
      <c r="M201" s="183">
        <f ca="1">SUMPRODUCT(F201:K201,F176:K176)/L:L</f>
        <v>1.9512195121951219E-2</v>
      </c>
      <c r="N201" s="166">
        <f t="shared" ca="1" si="28"/>
        <v>1.019703802197055</v>
      </c>
      <c r="O201" s="165">
        <f t="shared" ca="1" si="30"/>
        <v>6706.4057245796785</v>
      </c>
      <c r="P201" s="165">
        <f t="shared" ca="1" si="29"/>
        <v>6838.547416429994</v>
      </c>
    </row>
    <row r="202" spans="1:16" s="165" customFormat="1" x14ac:dyDescent="0.3">
      <c r="A202" s="165">
        <f>MATCH(Calcs!B202,Paste_Report_Here!$1:$1,0) -1</f>
        <v>29</v>
      </c>
      <c r="B202" s="187" t="s">
        <v>144</v>
      </c>
      <c r="C202" s="147">
        <f ca="1">RANK(N202,N178:N202)</f>
        <v>3</v>
      </c>
      <c r="D202" s="147">
        <f ca="1">RANK(P202,P178:P202)</f>
        <v>11</v>
      </c>
      <c r="E202" s="145" t="s">
        <v>173</v>
      </c>
      <c r="F202" s="146">
        <f ca="1">COUNTIFS(Paste_Report_Here!$E$1:$E$2000,E172, OFFSET(Paste_Report_Here!$A$1,0,$A202,2000,1),F$75)</f>
        <v>0</v>
      </c>
      <c r="G202" s="147">
        <f ca="1">COUNTIFS(Paste_Report_Here!$E$1:$E$2000,E172, OFFSET(Paste_Report_Here!$A$1,0,$A202,2000,1),G$75)</f>
        <v>5</v>
      </c>
      <c r="H202" s="147">
        <f ca="1">COUNTIFS(Paste_Report_Here!$E$1:$E$2000,E172, OFFSET(Paste_Report_Here!$A$1,0,$A202,2000,1),H$75)</f>
        <v>23</v>
      </c>
      <c r="I202" s="147">
        <f ca="1">COUNTIFS(Paste_Report_Here!$E$1:$E$2000,E172, OFFSET(Paste_Report_Here!$A$1,0,$A202,2000,1),I$75)</f>
        <v>12</v>
      </c>
      <c r="J202" s="147">
        <f ca="1">COUNTIFS(Paste_Report_Here!$E$1:$E$2000,E172, OFFSET(Paste_Report_Here!$A$1,0,$A202,2000,1),J$75)</f>
        <v>1</v>
      </c>
      <c r="K202" s="148">
        <f ca="1">COUNTIFS(Paste_Report_Here!$E$1:$E$2000,E172, OFFSET(Paste_Report_Here!$A$1,0,$A202,2000,1),K$75)</f>
        <v>0</v>
      </c>
      <c r="L202" s="147">
        <f t="shared" ca="1" si="27"/>
        <v>41</v>
      </c>
      <c r="M202" s="149">
        <f ca="1">SUMPRODUCT(F202:K202,F176:K176)/L:L</f>
        <v>4.8780487804878049E-3</v>
      </c>
      <c r="N202" s="147">
        <f t="shared" ca="1" si="28"/>
        <v>1.0048899658298769</v>
      </c>
      <c r="O202" s="187">
        <f t="shared" ca="1" si="30"/>
        <v>2292.7154881282422</v>
      </c>
      <c r="P202" s="165">
        <f t="shared" ca="1" si="29"/>
        <v>2303.9267885228187</v>
      </c>
    </row>
    <row r="203" spans="1:16" s="165" customFormat="1" x14ac:dyDescent="0.3">
      <c r="C203" s="166"/>
      <c r="E203" s="140" t="s">
        <v>293</v>
      </c>
      <c r="F203" s="180">
        <f ca="1">SUM(F178:F202)</f>
        <v>0</v>
      </c>
      <c r="G203" s="180">
        <f t="shared" ref="G203:L203" ca="1" si="31">SUM(G178:G202)</f>
        <v>53</v>
      </c>
      <c r="H203" s="180">
        <f t="shared" ca="1" si="31"/>
        <v>713</v>
      </c>
      <c r="I203" s="180">
        <f t="shared" ca="1" si="31"/>
        <v>242</v>
      </c>
      <c r="J203" s="180">
        <f t="shared" ca="1" si="31"/>
        <v>11</v>
      </c>
      <c r="K203" s="180">
        <f t="shared" ca="1" si="31"/>
        <v>6</v>
      </c>
      <c r="L203" s="180">
        <f t="shared" ca="1" si="31"/>
        <v>1025</v>
      </c>
      <c r="M203" s="144">
        <f ca="1">SUMPRODUCT(F203:K203,F176:K176)/L203</f>
        <v>2.1463414634146343E-3</v>
      </c>
      <c r="N203" s="166">
        <f t="shared" ca="1" si="28"/>
        <v>1.0021486465030924</v>
      </c>
      <c r="O203" s="165">
        <f t="shared" ca="1" si="30"/>
        <v>2510.461185678937</v>
      </c>
      <c r="P203" s="165">
        <f t="shared" ca="1" si="29"/>
        <v>2515.8552793266954</v>
      </c>
    </row>
    <row r="204" spans="1:16" s="165" customFormat="1" x14ac:dyDescent="0.3">
      <c r="A204" s="194"/>
      <c r="B204" s="194"/>
      <c r="C204" s="153"/>
      <c r="D204" s="194"/>
      <c r="E204" s="164"/>
      <c r="F204" s="151"/>
      <c r="G204" s="151"/>
      <c r="H204" s="151"/>
      <c r="I204" s="151"/>
      <c r="J204" s="151"/>
      <c r="K204" s="151"/>
      <c r="L204" s="151"/>
      <c r="M204" s="162"/>
      <c r="N204" s="153"/>
      <c r="O204" s="194"/>
      <c r="P204" s="194"/>
    </row>
    <row r="205" spans="1:16" x14ac:dyDescent="0.3">
      <c r="A205" s="165"/>
      <c r="B205" s="165"/>
      <c r="C205" s="165"/>
      <c r="D205" s="165"/>
      <c r="E205" s="173" t="s">
        <v>292</v>
      </c>
      <c r="F205" s="165"/>
      <c r="G205" s="165"/>
      <c r="H205" s="165"/>
      <c r="I205" s="165"/>
      <c r="J205" s="165"/>
      <c r="K205" s="165"/>
      <c r="L205" s="165"/>
      <c r="M205" s="165"/>
      <c r="N205" s="165"/>
      <c r="O205" s="165"/>
      <c r="P205" s="165"/>
    </row>
    <row r="206" spans="1:16" x14ac:dyDescent="0.3">
      <c r="A206" s="165"/>
      <c r="B206" s="165"/>
      <c r="C206" s="165"/>
      <c r="D206" s="165"/>
      <c r="E206" s="141">
        <v>40723</v>
      </c>
      <c r="F206" s="165"/>
      <c r="G206" s="165"/>
      <c r="H206" s="165"/>
      <c r="I206" s="165"/>
      <c r="J206" s="165"/>
      <c r="K206" s="165"/>
      <c r="L206" s="165"/>
      <c r="M206" s="165"/>
      <c r="N206" s="165"/>
      <c r="O206" s="165"/>
      <c r="P206" s="165"/>
    </row>
    <row r="207" spans="1:16" ht="15" thickBot="1" x14ac:dyDescent="0.35">
      <c r="A207" s="165"/>
      <c r="B207" s="165"/>
      <c r="C207" s="165"/>
      <c r="D207" s="165"/>
      <c r="E207" s="165"/>
      <c r="F207" s="165"/>
      <c r="G207" s="165"/>
      <c r="H207" s="165"/>
      <c r="I207" s="165"/>
      <c r="J207" s="165"/>
      <c r="K207" s="165"/>
      <c r="L207" s="165"/>
      <c r="M207" s="165"/>
      <c r="N207" s="165"/>
      <c r="O207" s="165"/>
      <c r="P207" s="165"/>
    </row>
    <row r="208" spans="1:16" ht="24.6" thickBot="1" x14ac:dyDescent="0.35">
      <c r="A208" s="165"/>
      <c r="B208" s="165"/>
      <c r="C208" s="165"/>
      <c r="D208" s="165"/>
      <c r="E208" s="165"/>
      <c r="F208" s="174" t="s">
        <v>23</v>
      </c>
      <c r="G208" s="168" t="s">
        <v>18</v>
      </c>
      <c r="H208" s="168" t="s">
        <v>16</v>
      </c>
      <c r="I208" s="168" t="s">
        <v>17</v>
      </c>
      <c r="J208" s="168" t="s">
        <v>19</v>
      </c>
      <c r="K208" s="169" t="s">
        <v>114</v>
      </c>
      <c r="L208" s="165"/>
      <c r="M208" s="165"/>
      <c r="N208" s="165"/>
      <c r="O208" s="165"/>
      <c r="P208" s="165"/>
    </row>
    <row r="209" spans="1:16" x14ac:dyDescent="0.3">
      <c r="A209" s="165"/>
      <c r="B209" s="165"/>
      <c r="C209" s="165"/>
      <c r="D209" s="165"/>
      <c r="E209" s="165"/>
      <c r="F209" s="267" t="s">
        <v>201</v>
      </c>
      <c r="G209" s="268"/>
      <c r="H209" s="268"/>
      <c r="I209" s="268"/>
      <c r="J209" s="268"/>
      <c r="K209" s="169"/>
      <c r="L209" s="165"/>
      <c r="M209" s="203">
        <f ca="1">(H237+K237)/L237</f>
        <v>0.69170731707317068</v>
      </c>
      <c r="N209" s="204" t="s">
        <v>501</v>
      </c>
      <c r="O209" s="165"/>
      <c r="P209" s="165"/>
    </row>
    <row r="210" spans="1:16" ht="43.8" thickBot="1" x14ac:dyDescent="0.35">
      <c r="A210" s="142" t="s">
        <v>294</v>
      </c>
      <c r="B210" s="142" t="s">
        <v>295</v>
      </c>
      <c r="C210" s="197" t="s">
        <v>440</v>
      </c>
      <c r="D210" s="142" t="s">
        <v>441</v>
      </c>
      <c r="E210" s="171" t="s">
        <v>30</v>
      </c>
      <c r="F210" s="175">
        <f>Falling_fast</f>
        <v>-0.2</v>
      </c>
      <c r="G210" s="176">
        <f>Falling</f>
        <v>0</v>
      </c>
      <c r="H210" s="177">
        <f>Static</f>
        <v>0</v>
      </c>
      <c r="I210" s="176">
        <f>Rising</f>
        <v>0</v>
      </c>
      <c r="J210" s="178">
        <f>Rising_fast</f>
        <v>0.2</v>
      </c>
      <c r="K210" s="182">
        <v>0</v>
      </c>
      <c r="L210" s="171" t="s">
        <v>28</v>
      </c>
      <c r="M210" s="172" t="s">
        <v>29</v>
      </c>
      <c r="N210" s="143" t="s">
        <v>296</v>
      </c>
      <c r="O210" s="142" t="s">
        <v>297</v>
      </c>
      <c r="P210" s="142" t="s">
        <v>298</v>
      </c>
    </row>
    <row r="211" spans="1:16" x14ac:dyDescent="0.3">
      <c r="A211" s="165"/>
      <c r="B211" s="165"/>
      <c r="C211" s="166"/>
      <c r="D211" s="165"/>
      <c r="E211" s="192"/>
      <c r="F211" s="198" t="s">
        <v>151</v>
      </c>
      <c r="G211" s="199" t="s">
        <v>149</v>
      </c>
      <c r="H211" s="199" t="s">
        <v>16</v>
      </c>
      <c r="I211" s="199" t="s">
        <v>148</v>
      </c>
      <c r="J211" s="199" t="s">
        <v>150</v>
      </c>
      <c r="K211" s="200" t="s">
        <v>114</v>
      </c>
      <c r="L211" s="166"/>
      <c r="M211" s="170"/>
      <c r="N211" s="166"/>
      <c r="O211" s="165"/>
      <c r="P211" s="165"/>
    </row>
    <row r="212" spans="1:16" x14ac:dyDescent="0.3">
      <c r="A212" s="165">
        <f>MATCH(Calcs!B212,Paste_Report_Here!$1:$1,0) -1</f>
        <v>5</v>
      </c>
      <c r="B212" s="165" t="s">
        <v>124</v>
      </c>
      <c r="C212" s="166">
        <f ca="1">RANK(N212,N212:N236)</f>
        <v>20</v>
      </c>
      <c r="D212" s="166">
        <f ca="1">RANK(P212,P212:P236)</f>
        <v>16</v>
      </c>
      <c r="E212" s="189" t="s">
        <v>152</v>
      </c>
      <c r="F212" s="179">
        <f ca="1">COUNTIFS(Paste_Report_Here!$E$1:$E$2000,E206, OFFSET(Paste_Report_Here!$A$1,0,$A212,2000,1),F$75)</f>
        <v>0</v>
      </c>
      <c r="G212" s="180">
        <f ca="1">COUNTIFS(Paste_Report_Here!$E$1:$E$2000,E206, OFFSET(Paste_Report_Here!$A$1,0,$A212,2000,1),G$75)</f>
        <v>6</v>
      </c>
      <c r="H212" s="180">
        <f ca="1">COUNTIFS(Paste_Report_Here!$E$1:$E$2000,E206, OFFSET(Paste_Report_Here!$A$1,0,$A212,2000,1),H$75)</f>
        <v>31</v>
      </c>
      <c r="I212" s="180">
        <f ca="1">COUNTIFS(Paste_Report_Here!$E$1:$E$2000,E206, OFFSET(Paste_Report_Here!$A$1,0,$A212,2000,1),I$75)</f>
        <v>4</v>
      </c>
      <c r="J212" s="180">
        <f ca="1">COUNTIFS(Paste_Report_Here!$E$1:$E$2000,E206, OFFSET(Paste_Report_Here!$A$1,0,$A212,2000,1),J$75)</f>
        <v>0</v>
      </c>
      <c r="K212" s="181">
        <f ca="1">COUNTIFS(Paste_Report_Here!$E$1:$E$2000,E206, OFFSET(Paste_Report_Here!$A$1,0,$A212,2000,1),K$75)</f>
        <v>0</v>
      </c>
      <c r="L212" s="166">
        <f t="shared" ref="L212:L236" ca="1" si="32">SUM(F212:K212)</f>
        <v>41</v>
      </c>
      <c r="M212" s="183">
        <f ca="1">SUMPRODUCT(F212:K212,F210:K210)/L:L</f>
        <v>0</v>
      </c>
      <c r="N212" s="166">
        <f t="shared" ref="N212:N237" ca="1" si="33">EXP(M212)</f>
        <v>1</v>
      </c>
      <c r="O212" s="165">
        <f ca="1">P178</f>
        <v>2022.3583187636318</v>
      </c>
      <c r="P212" s="165">
        <f t="shared" ref="P212:P237" ca="1" si="34">O212*N212</f>
        <v>2022.3583187636318</v>
      </c>
    </row>
    <row r="213" spans="1:16" x14ac:dyDescent="0.3">
      <c r="A213" s="165">
        <f>MATCH(Calcs!B213,Paste_Report_Here!$1:$1,0) -1</f>
        <v>6</v>
      </c>
      <c r="B213" s="165" t="s">
        <v>125</v>
      </c>
      <c r="C213" s="166">
        <f ca="1">RANK(N213,N212:N236)</f>
        <v>20</v>
      </c>
      <c r="D213" s="166">
        <f ca="1">RANK(P213,P212:P236)</f>
        <v>13</v>
      </c>
      <c r="E213" s="189" t="s">
        <v>153</v>
      </c>
      <c r="F213" s="179">
        <f ca="1">COUNTIFS(Paste_Report_Here!$E$1:$E$2000,E206, OFFSET(Paste_Report_Here!$A$1,0,$A213,2000,1),F$75)</f>
        <v>1</v>
      </c>
      <c r="G213" s="180">
        <f ca="1">COUNTIFS(Paste_Report_Here!$E$1:$E$2000,E206, OFFSET(Paste_Report_Here!$A$1,0,$A213,2000,1),G$75)</f>
        <v>2</v>
      </c>
      <c r="H213" s="180">
        <f ca="1">COUNTIFS(Paste_Report_Here!$E$1:$E$2000,E206, OFFSET(Paste_Report_Here!$A$1,0,$A213,2000,1),H$75)</f>
        <v>27</v>
      </c>
      <c r="I213" s="180">
        <f ca="1">COUNTIFS(Paste_Report_Here!$E$1:$E$2000,E206, OFFSET(Paste_Report_Here!$A$1,0,$A213,2000,1),I$75)</f>
        <v>8</v>
      </c>
      <c r="J213" s="180">
        <f ca="1">COUNTIFS(Paste_Report_Here!$E$1:$E$2000,E206, OFFSET(Paste_Report_Here!$A$1,0,$A213,2000,1),J$75)</f>
        <v>1</v>
      </c>
      <c r="K213" s="181">
        <f ca="1">COUNTIFS(Paste_Report_Here!$E$1:$E$2000,E206, OFFSET(Paste_Report_Here!$A$1,0,$A213,2000,1),K$75)</f>
        <v>2</v>
      </c>
      <c r="L213" s="166">
        <f t="shared" ca="1" si="32"/>
        <v>41</v>
      </c>
      <c r="M213" s="183">
        <f ca="1">SUMPRODUCT(F213:K213,F210:K210)/L:L</f>
        <v>0</v>
      </c>
      <c r="N213" s="166">
        <f t="shared" ca="1" si="33"/>
        <v>1</v>
      </c>
      <c r="O213" s="165">
        <f t="shared" ref="O213:O237" ca="1" si="35">P179</f>
        <v>2144.2406196895722</v>
      </c>
      <c r="P213" s="165">
        <f t="shared" ca="1" si="34"/>
        <v>2144.2406196895722</v>
      </c>
    </row>
    <row r="214" spans="1:16" x14ac:dyDescent="0.3">
      <c r="A214" s="165">
        <f>MATCH(Calcs!B214,Paste_Report_Here!$1:$1,0) -1</f>
        <v>7</v>
      </c>
      <c r="B214" s="165" t="s">
        <v>126</v>
      </c>
      <c r="C214" s="166">
        <f ca="1">RANK(N214,N212:N236)</f>
        <v>25</v>
      </c>
      <c r="D214" s="166">
        <f ca="1">RANK(P214,P212:P236)</f>
        <v>6</v>
      </c>
      <c r="E214" s="189" t="s">
        <v>154</v>
      </c>
      <c r="F214" s="179">
        <f ca="1">COUNTIFS(Paste_Report_Here!$E$1:$E$2000,E206, OFFSET(Paste_Report_Here!$A$1,0,$A214,2000,1),F$75)</f>
        <v>2</v>
      </c>
      <c r="G214" s="180">
        <f ca="1">COUNTIFS(Paste_Report_Here!$E$1:$E$2000,E206, OFFSET(Paste_Report_Here!$A$1,0,$A214,2000,1),G$75)</f>
        <v>4</v>
      </c>
      <c r="H214" s="180">
        <f ca="1">COUNTIFS(Paste_Report_Here!$E$1:$E$2000,E206, OFFSET(Paste_Report_Here!$A$1,0,$A214,2000,1),H$75)</f>
        <v>26</v>
      </c>
      <c r="I214" s="180">
        <f ca="1">COUNTIFS(Paste_Report_Here!$E$1:$E$2000,E206, OFFSET(Paste_Report_Here!$A$1,0,$A214,2000,1),I$75)</f>
        <v>9</v>
      </c>
      <c r="J214" s="180">
        <f ca="1">COUNTIFS(Paste_Report_Here!$E$1:$E$2000,E206, OFFSET(Paste_Report_Here!$A$1,0,$A214,2000,1),J$75)</f>
        <v>0</v>
      </c>
      <c r="K214" s="181">
        <f ca="1">COUNTIFS(Paste_Report_Here!$E$1:$E$2000,E206, OFFSET(Paste_Report_Here!$A$1,0,$A214,2000,1),K$75)</f>
        <v>0</v>
      </c>
      <c r="L214" s="166">
        <f t="shared" ca="1" si="32"/>
        <v>41</v>
      </c>
      <c r="M214" s="183">
        <f ca="1">SUMPRODUCT(F214:K214,F210:K210)/L:L</f>
        <v>-9.7560975609756097E-3</v>
      </c>
      <c r="N214" s="166">
        <f t="shared" ca="1" si="33"/>
        <v>0.99029133876900965</v>
      </c>
      <c r="O214" s="165">
        <f t="shared" ca="1" si="35"/>
        <v>2819.9746039295228</v>
      </c>
      <c r="P214" s="165">
        <f t="shared" ca="1" si="34"/>
        <v>2792.5964258199747</v>
      </c>
    </row>
    <row r="215" spans="1:16" x14ac:dyDescent="0.3">
      <c r="A215" s="165">
        <f>MATCH(Calcs!B215,Paste_Report_Here!$1:$1,0) -1</f>
        <v>8</v>
      </c>
      <c r="B215" s="165" t="s">
        <v>127</v>
      </c>
      <c r="C215" s="166">
        <f ca="1">RANK(N215,N212:N236)</f>
        <v>5</v>
      </c>
      <c r="D215" s="166">
        <f ca="1">RANK(P215,P212:P236)</f>
        <v>9</v>
      </c>
      <c r="E215" s="189" t="s">
        <v>155</v>
      </c>
      <c r="F215" s="179">
        <f ca="1">COUNTIFS(Paste_Report_Here!$E$1:$E$2000,E206, OFFSET(Paste_Report_Here!$A$1,0,$A215,2000,1),F$75)</f>
        <v>0</v>
      </c>
      <c r="G215" s="180">
        <f ca="1">COUNTIFS(Paste_Report_Here!$E$1:$E$2000,E206, OFFSET(Paste_Report_Here!$A$1,0,$A215,2000,1),G$75)</f>
        <v>1</v>
      </c>
      <c r="H215" s="180">
        <f ca="1">COUNTIFS(Paste_Report_Here!$E$1:$E$2000,E206, OFFSET(Paste_Report_Here!$A$1,0,$A215,2000,1),H$75)</f>
        <v>27</v>
      </c>
      <c r="I215" s="180">
        <f ca="1">COUNTIFS(Paste_Report_Here!$E$1:$E$2000,E206, OFFSET(Paste_Report_Here!$A$1,0,$A215,2000,1),I$75)</f>
        <v>11</v>
      </c>
      <c r="J215" s="180">
        <f ca="1">COUNTIFS(Paste_Report_Here!$E$1:$E$2000,E206, OFFSET(Paste_Report_Here!$A$1,0,$A215,2000,1),J$75)</f>
        <v>2</v>
      </c>
      <c r="K215" s="181">
        <f ca="1">COUNTIFS(Paste_Report_Here!$E$1:$E$2000,E206, OFFSET(Paste_Report_Here!$A$1,0,$A215,2000,1),K$75)</f>
        <v>0</v>
      </c>
      <c r="L215" s="166">
        <f t="shared" ca="1" si="32"/>
        <v>41</v>
      </c>
      <c r="M215" s="183">
        <f ca="1">SUMPRODUCT(F215:K215,F210:K210)/L:L</f>
        <v>9.7560975609756097E-3</v>
      </c>
      <c r="N215" s="166">
        <f t="shared" ca="1" si="33"/>
        <v>1.0098038434255709</v>
      </c>
      <c r="O215" s="165">
        <f t="shared" ca="1" si="35"/>
        <v>2420.155105465622</v>
      </c>
      <c r="P215" s="165">
        <f t="shared" ca="1" si="34"/>
        <v>2443.881927185203</v>
      </c>
    </row>
    <row r="216" spans="1:16" x14ac:dyDescent="0.3">
      <c r="A216" s="165">
        <f>MATCH(Calcs!B216,Paste_Report_Here!$1:$1,0) -1</f>
        <v>9</v>
      </c>
      <c r="B216" s="165" t="s">
        <v>214</v>
      </c>
      <c r="C216" s="166">
        <f ca="1">RANK(N216,N212:N236)</f>
        <v>2</v>
      </c>
      <c r="D216" s="166">
        <f ca="1">RANK(P216,P212:P236)</f>
        <v>5</v>
      </c>
      <c r="E216" s="189" t="s">
        <v>156</v>
      </c>
      <c r="F216" s="179">
        <f ca="1">COUNTIFS(Paste_Report_Here!$E$1:$E$2000,E206, OFFSET(Paste_Report_Here!$A$1,0,$A216,2000,1),F$75)</f>
        <v>0</v>
      </c>
      <c r="G216" s="180">
        <f ca="1">COUNTIFS(Paste_Report_Here!$E$1:$E$2000,E206, OFFSET(Paste_Report_Here!$A$1,0,$A216,2000,1),G$75)</f>
        <v>1</v>
      </c>
      <c r="H216" s="180">
        <f ca="1">COUNTIFS(Paste_Report_Here!$E$1:$E$2000,E206, OFFSET(Paste_Report_Here!$A$1,0,$A216,2000,1),H$75)</f>
        <v>21</v>
      </c>
      <c r="I216" s="180">
        <f ca="1">COUNTIFS(Paste_Report_Here!$E$1:$E$2000,E206, OFFSET(Paste_Report_Here!$A$1,0,$A216,2000,1),I$75)</f>
        <v>15</v>
      </c>
      <c r="J216" s="180">
        <f ca="1">COUNTIFS(Paste_Report_Here!$E$1:$E$2000,E206, OFFSET(Paste_Report_Here!$A$1,0,$A216,2000,1),J$75)</f>
        <v>3</v>
      </c>
      <c r="K216" s="181">
        <f ca="1">COUNTIFS(Paste_Report_Here!$E$1:$E$2000,E206, OFFSET(Paste_Report_Here!$A$1,0,$A216,2000,1),K$75)</f>
        <v>1</v>
      </c>
      <c r="L216" s="166">
        <f t="shared" ca="1" si="32"/>
        <v>41</v>
      </c>
      <c r="M216" s="183">
        <f ca="1">SUMPRODUCT(F216:K216,F210:K210)/L:L</f>
        <v>1.4634146341463417E-2</v>
      </c>
      <c r="N216" s="166">
        <f t="shared" ca="1" si="33"/>
        <v>1.0147417497148001</v>
      </c>
      <c r="O216" s="165">
        <f t="shared" ca="1" si="35"/>
        <v>3306.814357687048</v>
      </c>
      <c r="P216" s="165">
        <f t="shared" ca="1" si="34"/>
        <v>3355.5625873013778</v>
      </c>
    </row>
    <row r="217" spans="1:16" x14ac:dyDescent="0.3">
      <c r="A217" s="165">
        <f>MATCH(Calcs!B217,Paste_Report_Here!$1:$1,0) -1</f>
        <v>10</v>
      </c>
      <c r="B217" s="165" t="s">
        <v>128</v>
      </c>
      <c r="C217" s="166">
        <f ca="1">RANK(N217,N212:N236)</f>
        <v>5</v>
      </c>
      <c r="D217" s="166">
        <f ca="1">RANK(P217,P212:P236)</f>
        <v>21</v>
      </c>
      <c r="E217" s="189" t="s">
        <v>157</v>
      </c>
      <c r="F217" s="179">
        <f ca="1">COUNTIFS(Paste_Report_Here!$E$1:$E$2000,E206, OFFSET(Paste_Report_Here!$A$1,0,$A217,2000,1),F$75)</f>
        <v>0</v>
      </c>
      <c r="G217" s="180">
        <f ca="1">COUNTIFS(Paste_Report_Here!$E$1:$E$2000,E206, OFFSET(Paste_Report_Here!$A$1,0,$A217,2000,1),G$75)</f>
        <v>4</v>
      </c>
      <c r="H217" s="180">
        <f ca="1">COUNTIFS(Paste_Report_Here!$E$1:$E$2000,E206, OFFSET(Paste_Report_Here!$A$1,0,$A217,2000,1),H$75)</f>
        <v>30</v>
      </c>
      <c r="I217" s="180">
        <f ca="1">COUNTIFS(Paste_Report_Here!$E$1:$E$2000,E206, OFFSET(Paste_Report_Here!$A$1,0,$A217,2000,1),I$75)</f>
        <v>5</v>
      </c>
      <c r="J217" s="180">
        <f ca="1">COUNTIFS(Paste_Report_Here!$E$1:$E$2000,E206, OFFSET(Paste_Report_Here!$A$1,0,$A217,2000,1),J$75)</f>
        <v>2</v>
      </c>
      <c r="K217" s="181">
        <f ca="1">COUNTIFS(Paste_Report_Here!$E$1:$E$2000,E206, OFFSET(Paste_Report_Here!$A$1,0,$A217,2000,1),K$75)</f>
        <v>0</v>
      </c>
      <c r="L217" s="166">
        <f t="shared" ca="1" si="32"/>
        <v>41</v>
      </c>
      <c r="M217" s="183">
        <f ca="1">SUMPRODUCT(F217:K217,F210:K210)/L:L</f>
        <v>9.7560975609756097E-3</v>
      </c>
      <c r="N217" s="166">
        <f t="shared" ca="1" si="33"/>
        <v>1.0098038434255709</v>
      </c>
      <c r="O217" s="165">
        <f t="shared" ca="1" si="35"/>
        <v>1563.5525432300074</v>
      </c>
      <c r="P217" s="165">
        <f t="shared" ca="1" si="34"/>
        <v>1578.8813675514875</v>
      </c>
    </row>
    <row r="218" spans="1:16" x14ac:dyDescent="0.3">
      <c r="A218" s="165">
        <f>MATCH(Calcs!B218,Paste_Report_Here!$1:$1,0) -1</f>
        <v>11</v>
      </c>
      <c r="B218" s="165" t="s">
        <v>129</v>
      </c>
      <c r="C218" s="166">
        <f ca="1">RANK(N218,N212:N236)</f>
        <v>5</v>
      </c>
      <c r="D218" s="166">
        <f ca="1">RANK(P218,P212:P236)</f>
        <v>8</v>
      </c>
      <c r="E218" s="189" t="s">
        <v>158</v>
      </c>
      <c r="F218" s="179">
        <f ca="1">COUNTIFS(Paste_Report_Here!$E$1:$E$2000,E206, OFFSET(Paste_Report_Here!$A$1,0,$A218,2000,1),F$75)</f>
        <v>0</v>
      </c>
      <c r="G218" s="180">
        <f ca="1">COUNTIFS(Paste_Report_Here!$E$1:$E$2000,E206, OFFSET(Paste_Report_Here!$A$1,0,$A218,2000,1),G$75)</f>
        <v>5</v>
      </c>
      <c r="H218" s="180">
        <f ca="1">COUNTIFS(Paste_Report_Here!$E$1:$E$2000,E206, OFFSET(Paste_Report_Here!$A$1,0,$A218,2000,1),H$75)</f>
        <v>24</v>
      </c>
      <c r="I218" s="180">
        <f ca="1">COUNTIFS(Paste_Report_Here!$E$1:$E$2000,E206, OFFSET(Paste_Report_Here!$A$1,0,$A218,2000,1),I$75)</f>
        <v>10</v>
      </c>
      <c r="J218" s="180">
        <f ca="1">COUNTIFS(Paste_Report_Here!$E$1:$E$2000,E206, OFFSET(Paste_Report_Here!$A$1,0,$A218,2000,1),J$75)</f>
        <v>2</v>
      </c>
      <c r="K218" s="181">
        <f ca="1">COUNTIFS(Paste_Report_Here!$E$1:$E$2000,E206, OFFSET(Paste_Report_Here!$A$1,0,$A218,2000,1),K$75)</f>
        <v>0</v>
      </c>
      <c r="L218" s="166">
        <f t="shared" ca="1" si="32"/>
        <v>41</v>
      </c>
      <c r="M218" s="183">
        <f ca="1">SUMPRODUCT(F218:K218,F210:K210)/L:L</f>
        <v>9.7560975609756097E-3</v>
      </c>
      <c r="N218" s="166">
        <f t="shared" ca="1" si="33"/>
        <v>1.0098038434255709</v>
      </c>
      <c r="O218" s="165">
        <f t="shared" ca="1" si="35"/>
        <v>2437.8000134207869</v>
      </c>
      <c r="P218" s="165">
        <f t="shared" ca="1" si="34"/>
        <v>2461.699823055219</v>
      </c>
    </row>
    <row r="219" spans="1:16" x14ac:dyDescent="0.3">
      <c r="A219" s="165">
        <f>MATCH(Calcs!B219,Paste_Report_Here!$1:$1,0) -1</f>
        <v>12</v>
      </c>
      <c r="B219" s="165" t="s">
        <v>130</v>
      </c>
      <c r="C219" s="166">
        <f ca="1">RANK(N219,N212:N236)</f>
        <v>5</v>
      </c>
      <c r="D219" s="166">
        <f ca="1">RANK(P219,P212:P236)</f>
        <v>12</v>
      </c>
      <c r="E219" s="189" t="s">
        <v>159</v>
      </c>
      <c r="F219" s="179">
        <f ca="1">COUNTIFS(Paste_Report_Here!$E$1:$E$2000,E206, OFFSET(Paste_Report_Here!$A$1,0,$A219,2000,1),F$75)</f>
        <v>0</v>
      </c>
      <c r="G219" s="180">
        <f ca="1">COUNTIFS(Paste_Report_Here!$E$1:$E$2000,E206, OFFSET(Paste_Report_Here!$A$1,0,$A219,2000,1),G$75)</f>
        <v>4</v>
      </c>
      <c r="H219" s="180">
        <f ca="1">COUNTIFS(Paste_Report_Here!$E$1:$E$2000,E206, OFFSET(Paste_Report_Here!$A$1,0,$A219,2000,1),H$75)</f>
        <v>28</v>
      </c>
      <c r="I219" s="180">
        <f ca="1">COUNTIFS(Paste_Report_Here!$E$1:$E$2000,E206, OFFSET(Paste_Report_Here!$A$1,0,$A219,2000,1),I$75)</f>
        <v>7</v>
      </c>
      <c r="J219" s="180">
        <f ca="1">COUNTIFS(Paste_Report_Here!$E$1:$E$2000,E206, OFFSET(Paste_Report_Here!$A$1,0,$A219,2000,1),J$75)</f>
        <v>2</v>
      </c>
      <c r="K219" s="181">
        <f ca="1">COUNTIFS(Paste_Report_Here!$E$1:$E$2000,E206, OFFSET(Paste_Report_Here!$A$1,0,$A219,2000,1),K$75)</f>
        <v>0</v>
      </c>
      <c r="L219" s="166">
        <f t="shared" ca="1" si="32"/>
        <v>41</v>
      </c>
      <c r="M219" s="183">
        <f ca="1">SUMPRODUCT(F219:K219,F210:K210)/L:L</f>
        <v>9.7560975609756097E-3</v>
      </c>
      <c r="N219" s="166">
        <f t="shared" ca="1" si="33"/>
        <v>1.0098038434255709</v>
      </c>
      <c r="O219" s="165">
        <f t="shared" ca="1" si="35"/>
        <v>2245.5263723297826</v>
      </c>
      <c r="P219" s="165">
        <f t="shared" ca="1" si="34"/>
        <v>2267.5411612920943</v>
      </c>
    </row>
    <row r="220" spans="1:16" x14ac:dyDescent="0.3">
      <c r="A220" s="165">
        <f>MATCH(Calcs!B220,Paste_Report_Here!$1:$1,0) -1</f>
        <v>13</v>
      </c>
      <c r="B220" s="165" t="s">
        <v>131</v>
      </c>
      <c r="C220" s="166">
        <f ca="1">RANK(N220,N212:N236)</f>
        <v>5</v>
      </c>
      <c r="D220" s="166">
        <f ca="1">RANK(P220,P212:P236)</f>
        <v>4</v>
      </c>
      <c r="E220" s="189" t="s">
        <v>160</v>
      </c>
      <c r="F220" s="179">
        <f ca="1">COUNTIFS(Paste_Report_Here!$E$1:$E$2000,E206, OFFSET(Paste_Report_Here!$A$1,0,$A220,2000,1),F$75)</f>
        <v>0</v>
      </c>
      <c r="G220" s="180">
        <f ca="1">COUNTIFS(Paste_Report_Here!$E$1:$E$2000,E206, OFFSET(Paste_Report_Here!$A$1,0,$A220,2000,1),G$75)</f>
        <v>0</v>
      </c>
      <c r="H220" s="180">
        <f ca="1">COUNTIFS(Paste_Report_Here!$E$1:$E$2000,E206, OFFSET(Paste_Report_Here!$A$1,0,$A220,2000,1),H$75)</f>
        <v>27</v>
      </c>
      <c r="I220" s="180">
        <f ca="1">COUNTIFS(Paste_Report_Here!$E$1:$E$2000,E206, OFFSET(Paste_Report_Here!$A$1,0,$A220,2000,1),I$75)</f>
        <v>12</v>
      </c>
      <c r="J220" s="180">
        <f ca="1">COUNTIFS(Paste_Report_Here!$E$1:$E$2000,E206, OFFSET(Paste_Report_Here!$A$1,0,$A220,2000,1),J$75)</f>
        <v>2</v>
      </c>
      <c r="K220" s="181">
        <f ca="1">COUNTIFS(Paste_Report_Here!$E$1:$E$2000,E206, OFFSET(Paste_Report_Here!$A$1,0,$A220,2000,1),K$75)</f>
        <v>0</v>
      </c>
      <c r="L220" s="166">
        <f t="shared" ca="1" si="32"/>
        <v>41</v>
      </c>
      <c r="M220" s="183">
        <f ca="1">SUMPRODUCT(F220:K220,F210:K210)/L:L</f>
        <v>9.7560975609756097E-3</v>
      </c>
      <c r="N220" s="166">
        <f t="shared" ca="1" si="33"/>
        <v>1.0098038434255709</v>
      </c>
      <c r="O220" s="165">
        <f t="shared" ca="1" si="35"/>
        <v>3386.0283178536006</v>
      </c>
      <c r="P220" s="165">
        <f t="shared" ca="1" si="34"/>
        <v>3419.2244093163868</v>
      </c>
    </row>
    <row r="221" spans="1:16" x14ac:dyDescent="0.3">
      <c r="A221" s="165">
        <f>MATCH(Calcs!B221,Paste_Report_Here!$1:$1,0) -1</f>
        <v>14</v>
      </c>
      <c r="B221" s="165" t="s">
        <v>132</v>
      </c>
      <c r="C221" s="166">
        <f ca="1">RANK(N221,N212:N236)</f>
        <v>13</v>
      </c>
      <c r="D221" s="166">
        <f ca="1">RANK(P221,P212:P236)</f>
        <v>19</v>
      </c>
      <c r="E221" s="189" t="s">
        <v>161</v>
      </c>
      <c r="F221" s="179">
        <f ca="1">COUNTIFS(Paste_Report_Here!$E$1:$E$2000,E206, OFFSET(Paste_Report_Here!$A$1,0,$A221,2000,1),F$75)</f>
        <v>1</v>
      </c>
      <c r="G221" s="180">
        <f ca="1">COUNTIFS(Paste_Report_Here!$E$1:$E$2000,E206, OFFSET(Paste_Report_Here!$A$1,0,$A221,2000,1),G$75)</f>
        <v>2</v>
      </c>
      <c r="H221" s="180">
        <f ca="1">COUNTIFS(Paste_Report_Here!$E$1:$E$2000,E206, OFFSET(Paste_Report_Here!$A$1,0,$A221,2000,1),H$75)</f>
        <v>28</v>
      </c>
      <c r="I221" s="180">
        <f ca="1">COUNTIFS(Paste_Report_Here!$E$1:$E$2000,E206, OFFSET(Paste_Report_Here!$A$1,0,$A221,2000,1),I$75)</f>
        <v>7</v>
      </c>
      <c r="J221" s="180">
        <f ca="1">COUNTIFS(Paste_Report_Here!$E$1:$E$2000,E206, OFFSET(Paste_Report_Here!$A$1,0,$A221,2000,1),J$75)</f>
        <v>2</v>
      </c>
      <c r="K221" s="181">
        <f ca="1">COUNTIFS(Paste_Report_Here!$E$1:$E$2000,E206, OFFSET(Paste_Report_Here!$A$1,0,$A221,2000,1),K$75)</f>
        <v>1</v>
      </c>
      <c r="L221" s="166">
        <f t="shared" ca="1" si="32"/>
        <v>41</v>
      </c>
      <c r="M221" s="183">
        <f ca="1">SUMPRODUCT(F221:K221,F210:K210)/L:L</f>
        <v>4.8780487804878049E-3</v>
      </c>
      <c r="N221" s="166">
        <f t="shared" ca="1" si="33"/>
        <v>1.0048899658298769</v>
      </c>
      <c r="O221" s="165">
        <f t="shared" ca="1" si="35"/>
        <v>1864.3857596186299</v>
      </c>
      <c r="P221" s="165">
        <f t="shared" ca="1" si="34"/>
        <v>1873.502542276874</v>
      </c>
    </row>
    <row r="222" spans="1:16" x14ac:dyDescent="0.3">
      <c r="A222" s="165">
        <f>MATCH(Calcs!B222,Paste_Report_Here!$1:$1,0) -1</f>
        <v>15</v>
      </c>
      <c r="B222" s="165" t="s">
        <v>133</v>
      </c>
      <c r="C222" s="166">
        <f ca="1">RANK(N222,N211:N235)</f>
        <v>2</v>
      </c>
      <c r="D222" s="166">
        <f ca="1">RANK(P222,P212:P236)</f>
        <v>7</v>
      </c>
      <c r="E222" s="189" t="s">
        <v>162</v>
      </c>
      <c r="F222" s="179">
        <f ca="1">COUNTIFS(Paste_Report_Here!$E$1:$E$2000,E206, OFFSET(Paste_Report_Here!$A$1,0,$A222,2000,1),F$75)</f>
        <v>0</v>
      </c>
      <c r="G222" s="180">
        <f ca="1">COUNTIFS(Paste_Report_Here!$E$1:$E$2000,E206, OFFSET(Paste_Report_Here!$A$1,0,$A222,2000,1),G$75)</f>
        <v>1</v>
      </c>
      <c r="H222" s="180">
        <f ca="1">COUNTIFS(Paste_Report_Here!$E$1:$E$2000,E206, OFFSET(Paste_Report_Here!$A$1,0,$A222,2000,1),H$75)</f>
        <v>26</v>
      </c>
      <c r="I222" s="180">
        <f ca="1">COUNTIFS(Paste_Report_Here!$E$1:$E$2000,E206, OFFSET(Paste_Report_Here!$A$1,0,$A222,2000,1),I$75)</f>
        <v>11</v>
      </c>
      <c r="J222" s="180">
        <f ca="1">COUNTIFS(Paste_Report_Here!$E$1:$E$2000,E206, OFFSET(Paste_Report_Here!$A$1,0,$A222,2000,1),J$75)</f>
        <v>3</v>
      </c>
      <c r="K222" s="181">
        <f ca="1">COUNTIFS(Paste_Report_Here!$E$1:$E$2000,E206, OFFSET(Paste_Report_Here!$A$1,0,$A222,2000,1),K$75)</f>
        <v>0</v>
      </c>
      <c r="L222" s="166">
        <f t="shared" ca="1" si="32"/>
        <v>41</v>
      </c>
      <c r="M222" s="183">
        <f ca="1">SUMPRODUCT(F222:K222,F210:K210)/L:L</f>
        <v>1.4634146341463417E-2</v>
      </c>
      <c r="N222" s="166">
        <f t="shared" ca="1" si="33"/>
        <v>1.0147417497148001</v>
      </c>
      <c r="O222" s="165">
        <f t="shared" ca="1" si="35"/>
        <v>2591.2795113919792</v>
      </c>
      <c r="P222" s="165">
        <f t="shared" ca="1" si="34"/>
        <v>2629.4795053900093</v>
      </c>
    </row>
    <row r="223" spans="1:16" x14ac:dyDescent="0.3">
      <c r="A223" s="165">
        <f>MATCH(Calcs!B223,Paste_Report_Here!$1:$1,0) -1</f>
        <v>16</v>
      </c>
      <c r="B223" s="165" t="s">
        <v>134</v>
      </c>
      <c r="C223" s="166">
        <f ca="1">RANK(N223,N212:N236)</f>
        <v>13</v>
      </c>
      <c r="D223" s="166">
        <f ca="1">RANK(P223,P212:P236)</f>
        <v>24</v>
      </c>
      <c r="E223" s="189" t="s">
        <v>163</v>
      </c>
      <c r="F223" s="179">
        <f ca="1">COUNTIFS(Paste_Report_Here!$E$1:$E$2000,E206, OFFSET(Paste_Report_Here!$A$1,0,$A223,2000,1),F$75)</f>
        <v>0</v>
      </c>
      <c r="G223" s="180">
        <f ca="1">COUNTIFS(Paste_Report_Here!$E$1:$E$2000,E206, OFFSET(Paste_Report_Here!$A$1,0,$A223,2000,1),G$75)</f>
        <v>2</v>
      </c>
      <c r="H223" s="180">
        <f ca="1">COUNTIFS(Paste_Report_Here!$E$1:$E$2000,E206, OFFSET(Paste_Report_Here!$A$1,0,$A223,2000,1),H$75)</f>
        <v>35</v>
      </c>
      <c r="I223" s="180">
        <f ca="1">COUNTIFS(Paste_Report_Here!$E$1:$E$2000,E206, OFFSET(Paste_Report_Here!$A$1,0,$A223,2000,1),I$75)</f>
        <v>3</v>
      </c>
      <c r="J223" s="180">
        <f ca="1">COUNTIFS(Paste_Report_Here!$E$1:$E$2000,E206, OFFSET(Paste_Report_Here!$A$1,0,$A223,2000,1),J$75)</f>
        <v>1</v>
      </c>
      <c r="K223" s="181">
        <f ca="1">COUNTIFS(Paste_Report_Here!$E$1:$E$2000,E206, OFFSET(Paste_Report_Here!$A$1,0,$A223,2000,1),K$75)</f>
        <v>0</v>
      </c>
      <c r="L223" s="166">
        <f t="shared" ca="1" si="32"/>
        <v>41</v>
      </c>
      <c r="M223" s="183">
        <f ca="1">SUMPRODUCT(F223:K223,F210:K210)/L:L</f>
        <v>4.8780487804878049E-3</v>
      </c>
      <c r="N223" s="166">
        <f t="shared" ca="1" si="33"/>
        <v>1.0048899658298769</v>
      </c>
      <c r="O223" s="165">
        <f t="shared" ca="1" si="35"/>
        <v>1161.2422523843593</v>
      </c>
      <c r="P223" s="165">
        <f t="shared" ca="1" si="34"/>
        <v>1166.9206873187281</v>
      </c>
    </row>
    <row r="224" spans="1:16" x14ac:dyDescent="0.3">
      <c r="A224" s="165">
        <f>MATCH(Calcs!B224,Paste_Report_Here!$1:$1,0) -1</f>
        <v>17</v>
      </c>
      <c r="B224" s="165" t="s">
        <v>135</v>
      </c>
      <c r="C224" s="166">
        <f ca="1">RANK(N224,N212:N236)</f>
        <v>5</v>
      </c>
      <c r="D224" s="166">
        <f ca="1">RANK(P224,P212:P236)</f>
        <v>20</v>
      </c>
      <c r="E224" s="189" t="s">
        <v>164</v>
      </c>
      <c r="F224" s="179">
        <f ca="1">COUNTIFS(Paste_Report_Here!$E$1:$E$2000,E206, OFFSET(Paste_Report_Here!$A$1,0,$A224,2000,1),F$75)</f>
        <v>0</v>
      </c>
      <c r="G224" s="180">
        <f ca="1">COUNTIFS(Paste_Report_Here!$E$1:$E$2000,E206, OFFSET(Paste_Report_Here!$A$1,0,$A224,2000,1),G$75)</f>
        <v>1</v>
      </c>
      <c r="H224" s="180">
        <f ca="1">COUNTIFS(Paste_Report_Here!$E$1:$E$2000,E206, OFFSET(Paste_Report_Here!$A$1,0,$A224,2000,1),H$75)</f>
        <v>34</v>
      </c>
      <c r="I224" s="180">
        <f ca="1">COUNTIFS(Paste_Report_Here!$E$1:$E$2000,E206, OFFSET(Paste_Report_Here!$A$1,0,$A224,2000,1),I$75)</f>
        <v>4</v>
      </c>
      <c r="J224" s="180">
        <f ca="1">COUNTIFS(Paste_Report_Here!$E$1:$E$2000,E206, OFFSET(Paste_Report_Here!$A$1,0,$A224,2000,1),J$75)</f>
        <v>2</v>
      </c>
      <c r="K224" s="181">
        <f ca="1">COUNTIFS(Paste_Report_Here!$E$1:$E$2000,E206, OFFSET(Paste_Report_Here!$A$1,0,$A224,2000,1),K$75)</f>
        <v>0</v>
      </c>
      <c r="L224" s="166">
        <f t="shared" ca="1" si="32"/>
        <v>41</v>
      </c>
      <c r="M224" s="183">
        <f ca="1">SUMPRODUCT(F224:K224,F210:K210)/L:L</f>
        <v>9.7560975609756097E-3</v>
      </c>
      <c r="N224" s="166">
        <f t="shared" ca="1" si="33"/>
        <v>1.0098038434255709</v>
      </c>
      <c r="O224" s="165">
        <f t="shared" ca="1" si="35"/>
        <v>1759.7736078466341</v>
      </c>
      <c r="P224" s="165">
        <f t="shared" ca="1" si="34"/>
        <v>1777.0261527624145</v>
      </c>
    </row>
    <row r="225" spans="1:16" x14ac:dyDescent="0.3">
      <c r="A225" s="165">
        <f>MATCH(Calcs!B225,Paste_Report_Here!$1:$1,0) -1</f>
        <v>18</v>
      </c>
      <c r="B225" s="165" t="s">
        <v>136</v>
      </c>
      <c r="C225" s="166">
        <f ca="1">RANK(N225,N212:N236)</f>
        <v>5</v>
      </c>
      <c r="D225" s="166">
        <f ca="1">RANK(P225,P212:P236)</f>
        <v>3</v>
      </c>
      <c r="E225" s="189" t="s">
        <v>165</v>
      </c>
      <c r="F225" s="179">
        <f ca="1">COUNTIFS(Paste_Report_Here!$E$1:$E$2000,E206, OFFSET(Paste_Report_Here!$A$1,0,$A225,2000,1),F$75)</f>
        <v>0</v>
      </c>
      <c r="G225" s="180">
        <f ca="1">COUNTIFS(Paste_Report_Here!$E$1:$E$2000,E206, OFFSET(Paste_Report_Here!$A$1,0,$A225,2000,1),G$75)</f>
        <v>2</v>
      </c>
      <c r="H225" s="180">
        <f ca="1">COUNTIFS(Paste_Report_Here!$E$1:$E$2000,E206, OFFSET(Paste_Report_Here!$A$1,0,$A225,2000,1),H$75)</f>
        <v>30</v>
      </c>
      <c r="I225" s="180">
        <f ca="1">COUNTIFS(Paste_Report_Here!$E$1:$E$2000,E206, OFFSET(Paste_Report_Here!$A$1,0,$A225,2000,1),I$75)</f>
        <v>7</v>
      </c>
      <c r="J225" s="180">
        <f ca="1">COUNTIFS(Paste_Report_Here!$E$1:$E$2000,E206, OFFSET(Paste_Report_Here!$A$1,0,$A225,2000,1),J$75)</f>
        <v>2</v>
      </c>
      <c r="K225" s="181">
        <f ca="1">COUNTIFS(Paste_Report_Here!$E$1:$E$2000,E206, OFFSET(Paste_Report_Here!$A$1,0,$A225,2000,1),K$75)</f>
        <v>0</v>
      </c>
      <c r="L225" s="166">
        <f t="shared" ca="1" si="32"/>
        <v>41</v>
      </c>
      <c r="M225" s="183">
        <f ca="1">SUMPRODUCT(F225:K225,F210:K210)/L:L</f>
        <v>9.7560975609756097E-3</v>
      </c>
      <c r="N225" s="166">
        <f t="shared" ca="1" si="33"/>
        <v>1.0098038434255709</v>
      </c>
      <c r="O225" s="165">
        <f t="shared" ca="1" si="35"/>
        <v>3530.2679102165675</v>
      </c>
      <c r="P225" s="165">
        <f t="shared" ca="1" si="34"/>
        <v>3564.8781040586482</v>
      </c>
    </row>
    <row r="226" spans="1:16" x14ac:dyDescent="0.3">
      <c r="A226" s="165">
        <f>MATCH(Calcs!B226,Paste_Report_Here!$1:$1,0) -1</f>
        <v>19</v>
      </c>
      <c r="B226" s="165" t="s">
        <v>137</v>
      </c>
      <c r="C226" s="166">
        <f ca="1">RANK(N226,N212:N236)</f>
        <v>5</v>
      </c>
      <c r="D226" s="166">
        <f ca="1">RANK(P226,P212:P236)</f>
        <v>14</v>
      </c>
      <c r="E226" s="189" t="s">
        <v>166</v>
      </c>
      <c r="F226" s="179">
        <f ca="1">COUNTIFS(Paste_Report_Here!$E$1:$E$2000,E206, OFFSET(Paste_Report_Here!$A$1,0,$A226,2000,1),F$75)</f>
        <v>0</v>
      </c>
      <c r="G226" s="180">
        <f ca="1">COUNTIFS(Paste_Report_Here!$E$1:$E$2000,E206, OFFSET(Paste_Report_Here!$A$1,0,$A226,2000,1),G$75)</f>
        <v>2</v>
      </c>
      <c r="H226" s="180">
        <f ca="1">COUNTIFS(Paste_Report_Here!$E$1:$E$2000,E206, OFFSET(Paste_Report_Here!$A$1,0,$A226,2000,1),H$75)</f>
        <v>30</v>
      </c>
      <c r="I226" s="180">
        <f ca="1">COUNTIFS(Paste_Report_Here!$E$1:$E$2000,E206, OFFSET(Paste_Report_Here!$A$1,0,$A226,2000,1),I$75)</f>
        <v>7</v>
      </c>
      <c r="J226" s="180">
        <f ca="1">COUNTIFS(Paste_Report_Here!$E$1:$E$2000,E206, OFFSET(Paste_Report_Here!$A$1,0,$A226,2000,1),J$75)</f>
        <v>2</v>
      </c>
      <c r="K226" s="181">
        <f ca="1">COUNTIFS(Paste_Report_Here!$E$1:$E$2000,E206, OFFSET(Paste_Report_Here!$A$1,0,$A226,2000,1),K$75)</f>
        <v>0</v>
      </c>
      <c r="L226" s="166">
        <f t="shared" ca="1" si="32"/>
        <v>41</v>
      </c>
      <c r="M226" s="183">
        <f ca="1">SUMPRODUCT(F226:K226,F210:K210)/L:L</f>
        <v>9.7560975609756097E-3</v>
      </c>
      <c r="N226" s="166">
        <f t="shared" ca="1" si="33"/>
        <v>1.0098038434255709</v>
      </c>
      <c r="O226" s="165">
        <f t="shared" ca="1" si="35"/>
        <v>2072.6922803336224</v>
      </c>
      <c r="P226" s="165">
        <f t="shared" ca="1" si="34"/>
        <v>2093.0126309194029</v>
      </c>
    </row>
    <row r="227" spans="1:16" x14ac:dyDescent="0.3">
      <c r="A227" s="165">
        <f>MATCH(Calcs!B227,Paste_Report_Here!$1:$1,0) -1</f>
        <v>20</v>
      </c>
      <c r="B227" s="165" t="s">
        <v>138</v>
      </c>
      <c r="C227" s="166">
        <f ca="1">RANK(N227,N212:N236)</f>
        <v>2</v>
      </c>
      <c r="D227" s="166">
        <f ca="1">RANK(P227,P212:P236)</f>
        <v>17</v>
      </c>
      <c r="E227" s="189" t="s">
        <v>167</v>
      </c>
      <c r="F227" s="179">
        <f ca="1">COUNTIFS(Paste_Report_Here!$E$1:$E$2000,E206, OFFSET(Paste_Report_Here!$A$1,0,$A227,2000,1),F$75)</f>
        <v>0</v>
      </c>
      <c r="G227" s="180">
        <f ca="1">COUNTIFS(Paste_Report_Here!$E$1:$E$2000,E206, OFFSET(Paste_Report_Here!$A$1,0,$A227,2000,1),G$75)</f>
        <v>3</v>
      </c>
      <c r="H227" s="180">
        <f ca="1">COUNTIFS(Paste_Report_Here!$E$1:$E$2000,E206, OFFSET(Paste_Report_Here!$A$1,0,$A227,2000,1),H$75)</f>
        <v>26</v>
      </c>
      <c r="I227" s="180">
        <f ca="1">COUNTIFS(Paste_Report_Here!$E$1:$E$2000,E206, OFFSET(Paste_Report_Here!$A$1,0,$A227,2000,1),I$75)</f>
        <v>9</v>
      </c>
      <c r="J227" s="180">
        <f ca="1">COUNTIFS(Paste_Report_Here!$E$1:$E$2000,E206, OFFSET(Paste_Report_Here!$A$1,0,$A227,2000,1),J$75)</f>
        <v>3</v>
      </c>
      <c r="K227" s="181">
        <f ca="1">COUNTIFS(Paste_Report_Here!$E$1:$E$2000,E206, OFFSET(Paste_Report_Here!$A$1,0,$A227,2000,1),K$75)</f>
        <v>0</v>
      </c>
      <c r="L227" s="166">
        <f t="shared" ca="1" si="32"/>
        <v>41</v>
      </c>
      <c r="M227" s="183">
        <f ca="1">SUMPRODUCT(F227:K227,F210:K210)/L:L</f>
        <v>1.4634146341463417E-2</v>
      </c>
      <c r="N227" s="166">
        <f t="shared" ca="1" si="33"/>
        <v>1.0147417497148001</v>
      </c>
      <c r="O227" s="165">
        <f t="shared" ca="1" si="35"/>
        <v>1943.3800028452797</v>
      </c>
      <c r="P227" s="165">
        <f t="shared" ca="1" si="34"/>
        <v>1972.0288244479723</v>
      </c>
    </row>
    <row r="228" spans="1:16" x14ac:dyDescent="0.3">
      <c r="A228" s="165">
        <f>MATCH(Calcs!B228,Paste_Report_Here!$1:$1,0) -1</f>
        <v>21</v>
      </c>
      <c r="B228" s="165" t="s">
        <v>139</v>
      </c>
      <c r="C228" s="166">
        <f ca="1">RANK(N228,N212:N236)</f>
        <v>13</v>
      </c>
      <c r="D228" s="166">
        <f ca="1">RANK(P228,P212:P236)</f>
        <v>15</v>
      </c>
      <c r="E228" s="189" t="s">
        <v>168</v>
      </c>
      <c r="F228" s="179">
        <f ca="1">COUNTIFS(Paste_Report_Here!$E$1:$E$2000,E206, OFFSET(Paste_Report_Here!$A$1,0,$A228,2000,1),F$75)</f>
        <v>0</v>
      </c>
      <c r="G228" s="180">
        <f ca="1">COUNTIFS(Paste_Report_Here!$E$1:$E$2000,E206, OFFSET(Paste_Report_Here!$A$1,0,$A228,2000,1),G$75)</f>
        <v>3</v>
      </c>
      <c r="H228" s="180">
        <f ca="1">COUNTIFS(Paste_Report_Here!$E$1:$E$2000,E206, OFFSET(Paste_Report_Here!$A$1,0,$A228,2000,1),H$75)</f>
        <v>29</v>
      </c>
      <c r="I228" s="180">
        <f ca="1">COUNTIFS(Paste_Report_Here!$E$1:$E$2000,E206, OFFSET(Paste_Report_Here!$A$1,0,$A228,2000,1),I$75)</f>
        <v>8</v>
      </c>
      <c r="J228" s="180">
        <f ca="1">COUNTIFS(Paste_Report_Here!$E$1:$E$2000,E206, OFFSET(Paste_Report_Here!$A$1,0,$A228,2000,1),J$75)</f>
        <v>1</v>
      </c>
      <c r="K228" s="181">
        <f ca="1">COUNTIFS(Paste_Report_Here!$E$1:$E$2000,E206, OFFSET(Paste_Report_Here!$A$1,0,$A228,2000,1),K$75)</f>
        <v>0</v>
      </c>
      <c r="L228" s="166">
        <f t="shared" ca="1" si="32"/>
        <v>41</v>
      </c>
      <c r="M228" s="183">
        <f ca="1">SUMPRODUCT(F228:K228,F210:K210)/L:L</f>
        <v>4.8780487804878049E-3</v>
      </c>
      <c r="N228" s="166">
        <f t="shared" ca="1" si="33"/>
        <v>1.0048899658298769</v>
      </c>
      <c r="O228" s="165">
        <f t="shared" ca="1" si="35"/>
        <v>2077.6419514264135</v>
      </c>
      <c r="P228" s="165">
        <f t="shared" ca="1" si="34"/>
        <v>2087.8015495756072</v>
      </c>
    </row>
    <row r="229" spans="1:16" x14ac:dyDescent="0.3">
      <c r="A229" s="165">
        <f>MATCH(Calcs!B229,Paste_Report_Here!$1:$1,0) -1</f>
        <v>22</v>
      </c>
      <c r="B229" s="165" t="s">
        <v>140</v>
      </c>
      <c r="C229" s="166">
        <f ca="1">RANK(N229,N212:N236)</f>
        <v>13</v>
      </c>
      <c r="D229" s="166">
        <f ca="1">RANK(P229,P212:P236)</f>
        <v>18</v>
      </c>
      <c r="E229" s="189" t="s">
        <v>169</v>
      </c>
      <c r="F229" s="179">
        <f ca="1">COUNTIFS(Paste_Report_Here!$E$1:$E$2000,E206, OFFSET(Paste_Report_Here!$A$1,0,$A229,2000,1),F$75)</f>
        <v>0</v>
      </c>
      <c r="G229" s="180">
        <f ca="1">COUNTIFS(Paste_Report_Here!$E$1:$E$2000,E206, OFFSET(Paste_Report_Here!$A$1,0,$A229,2000,1),G$75)</f>
        <v>2</v>
      </c>
      <c r="H229" s="180">
        <f ca="1">COUNTIFS(Paste_Report_Here!$E$1:$E$2000,E206, OFFSET(Paste_Report_Here!$A$1,0,$A229,2000,1),H$75)</f>
        <v>30</v>
      </c>
      <c r="I229" s="180">
        <f ca="1">COUNTIFS(Paste_Report_Here!$E$1:$E$2000,E206, OFFSET(Paste_Report_Here!$A$1,0,$A229,2000,1),I$75)</f>
        <v>8</v>
      </c>
      <c r="J229" s="180">
        <f ca="1">COUNTIFS(Paste_Report_Here!$E$1:$E$2000,E206, OFFSET(Paste_Report_Here!$A$1,0,$A229,2000,1),J$75)</f>
        <v>1</v>
      </c>
      <c r="K229" s="181">
        <f ca="1">COUNTIFS(Paste_Report_Here!$E$1:$E$2000,E206, OFFSET(Paste_Report_Here!$A$1,0,$A229,2000,1),K$75)</f>
        <v>0</v>
      </c>
      <c r="L229" s="166">
        <f t="shared" ca="1" si="32"/>
        <v>41</v>
      </c>
      <c r="M229" s="183">
        <f ca="1">SUMPRODUCT(F229:K229,F210:K210)/L:L</f>
        <v>4.8780487804878049E-3</v>
      </c>
      <c r="N229" s="166">
        <f t="shared" ca="1" si="33"/>
        <v>1.0048899658298769</v>
      </c>
      <c r="O229" s="165">
        <f t="shared" ca="1" si="35"/>
        <v>1947.4534188080686</v>
      </c>
      <c r="P229" s="165">
        <f t="shared" ca="1" si="34"/>
        <v>1956.976399481317</v>
      </c>
    </row>
    <row r="230" spans="1:16" x14ac:dyDescent="0.3">
      <c r="A230" s="165">
        <f>MATCH(Calcs!B230,Paste_Report_Here!$1:$1,0) -1</f>
        <v>23</v>
      </c>
      <c r="B230" s="165" t="s">
        <v>186</v>
      </c>
      <c r="C230" s="166">
        <f ca="1">RANK(N230,N212:N236)</f>
        <v>13</v>
      </c>
      <c r="D230" s="166">
        <f ca="1">RANK(P230,P212:P236)</f>
        <v>2</v>
      </c>
      <c r="E230" s="189" t="s">
        <v>180</v>
      </c>
      <c r="F230" s="179">
        <f ca="1">COUNTIFS(Paste_Report_Here!$E$1:$E$2000,E206, OFFSET(Paste_Report_Here!$A$1,0,$A230,2000,1),F$75)</f>
        <v>0</v>
      </c>
      <c r="G230" s="180">
        <f ca="1">COUNTIFS(Paste_Report_Here!$E$1:$E$2000,E206, OFFSET(Paste_Report_Here!$A$1,0,$A230,2000,1),G$75)</f>
        <v>1</v>
      </c>
      <c r="H230" s="180">
        <f ca="1">COUNTIFS(Paste_Report_Here!$E$1:$E$2000,E206, OFFSET(Paste_Report_Here!$A$1,0,$A230,2000,1),H$75)</f>
        <v>28</v>
      </c>
      <c r="I230" s="180">
        <f ca="1">COUNTIFS(Paste_Report_Here!$E$1:$E$2000,E206, OFFSET(Paste_Report_Here!$A$1,0,$A230,2000,1),I$75)</f>
        <v>11</v>
      </c>
      <c r="J230" s="180">
        <f ca="1">COUNTIFS(Paste_Report_Here!$E$1:$E$2000,E206, OFFSET(Paste_Report_Here!$A$1,0,$A230,2000,1),J$75)</f>
        <v>1</v>
      </c>
      <c r="K230" s="181">
        <f ca="1">COUNTIFS(Paste_Report_Here!$E$1:$E$2000,E206, OFFSET(Paste_Report_Here!$A$1,0,$A230,2000,1),K$75)</f>
        <v>0</v>
      </c>
      <c r="L230" s="166">
        <f t="shared" ca="1" si="32"/>
        <v>41</v>
      </c>
      <c r="M230" s="183">
        <f ca="1">SUMPRODUCT(F230:K230,F210:K210)/L:L</f>
        <v>4.8780487804878049E-3</v>
      </c>
      <c r="N230" s="166">
        <f t="shared" ca="1" si="33"/>
        <v>1.0048899658298769</v>
      </c>
      <c r="O230" s="165">
        <f t="shared" ca="1" si="35"/>
        <v>3611.4485605081095</v>
      </c>
      <c r="P230" s="165">
        <f t="shared" ca="1" si="34"/>
        <v>3629.1084205653524</v>
      </c>
    </row>
    <row r="231" spans="1:16" x14ac:dyDescent="0.3">
      <c r="A231" s="165">
        <f>MATCH(Calcs!B231,Paste_Report_Here!$1:$1,0) -1</f>
        <v>24</v>
      </c>
      <c r="B231" s="165" t="s">
        <v>209</v>
      </c>
      <c r="C231" s="166">
        <f ca="1">RANK(N231,N212:N236)</f>
        <v>20</v>
      </c>
      <c r="D231" s="166">
        <f ca="1">RANK(P231,P212:P236)</f>
        <v>25</v>
      </c>
      <c r="E231" s="202" t="s">
        <v>211</v>
      </c>
      <c r="F231" s="179">
        <f ca="1">COUNTIFS(Paste_Report_Here!$E$1:$E$2000,E206, OFFSET(Paste_Report_Here!$A$1,0,$A231,2000,1),F$75)</f>
        <v>0</v>
      </c>
      <c r="G231" s="180">
        <f ca="1">COUNTIFS(Paste_Report_Here!$E$1:$E$2000,E206, OFFSET(Paste_Report_Here!$A$1,0,$A231,2000,1),G$75)</f>
        <v>2</v>
      </c>
      <c r="H231" s="180">
        <f ca="1">COUNTIFS(Paste_Report_Here!$E$1:$E$2000,E206, OFFSET(Paste_Report_Here!$A$1,0,$A231,2000,1),H$75)</f>
        <v>32</v>
      </c>
      <c r="I231" s="180">
        <f ca="1">COUNTIFS(Paste_Report_Here!$E$1:$E$2000,E206, OFFSET(Paste_Report_Here!$A$1,0,$A231,2000,1),I$75)</f>
        <v>5</v>
      </c>
      <c r="J231" s="180">
        <f ca="1">COUNTIFS(Paste_Report_Here!$E$1:$E$2000,E206, OFFSET(Paste_Report_Here!$A$1,0,$A231,2000,1),J$75)</f>
        <v>0</v>
      </c>
      <c r="K231" s="181">
        <f ca="1">COUNTIFS(Paste_Report_Here!$E$1:$E$2000,E206, OFFSET(Paste_Report_Here!$A$1,0,$A231,2000,1),K$75)</f>
        <v>2</v>
      </c>
      <c r="L231" s="166">
        <f t="shared" ca="1" si="32"/>
        <v>41</v>
      </c>
      <c r="M231" s="183">
        <f ca="1">SUMPRODUCT(F231:K231,F210:K210)/L:L</f>
        <v>0</v>
      </c>
      <c r="N231" s="166">
        <f t="shared" ca="1" si="33"/>
        <v>1</v>
      </c>
      <c r="O231" s="165">
        <f t="shared" ca="1" si="35"/>
        <v>1165.3498076526269</v>
      </c>
      <c r="P231" s="165">
        <f t="shared" ca="1" si="34"/>
        <v>1165.3498076526269</v>
      </c>
    </row>
    <row r="232" spans="1:16" x14ac:dyDescent="0.3">
      <c r="A232" s="165">
        <f>MATCH(Calcs!B232,Paste_Report_Here!$1:$1,0) -1</f>
        <v>25</v>
      </c>
      <c r="B232" s="165" t="s">
        <v>141</v>
      </c>
      <c r="C232" s="166">
        <f ca="1">RANK(N232,N212:N236)</f>
        <v>20</v>
      </c>
      <c r="D232" s="166">
        <f ca="1">RANK(P232,P212:P236)</f>
        <v>22</v>
      </c>
      <c r="E232" s="189" t="s">
        <v>170</v>
      </c>
      <c r="F232" s="179">
        <f ca="1">COUNTIFS(Paste_Report_Here!$E$1:$E$2000,E206, OFFSET(Paste_Report_Here!$A$1,0,$A232,2000,1),F$75)</f>
        <v>0</v>
      </c>
      <c r="G232" s="180">
        <f ca="1">COUNTIFS(Paste_Report_Here!$E$1:$E$2000,E206, OFFSET(Paste_Report_Here!$A$1,0,$A232,2000,1),G$75)</f>
        <v>5</v>
      </c>
      <c r="H232" s="180">
        <f ca="1">COUNTIFS(Paste_Report_Here!$E$1:$E$2000,E206, OFFSET(Paste_Report_Here!$A$1,0,$A232,2000,1),H$75)</f>
        <v>31</v>
      </c>
      <c r="I232" s="180">
        <f ca="1">COUNTIFS(Paste_Report_Here!$E$1:$E$2000,E206, OFFSET(Paste_Report_Here!$A$1,0,$A232,2000,1),I$75)</f>
        <v>5</v>
      </c>
      <c r="J232" s="180">
        <f ca="1">COUNTIFS(Paste_Report_Here!$E$1:$E$2000,E206, OFFSET(Paste_Report_Here!$A$1,0,$A232,2000,1),J$75)</f>
        <v>0</v>
      </c>
      <c r="K232" s="181">
        <f ca="1">COUNTIFS(Paste_Report_Here!$E$1:$E$2000,E206, OFFSET(Paste_Report_Here!$A$1,0,$A232,2000,1),K$75)</f>
        <v>0</v>
      </c>
      <c r="L232" s="166">
        <f t="shared" ca="1" si="32"/>
        <v>41</v>
      </c>
      <c r="M232" s="183">
        <f ca="1">SUMPRODUCT(F232:K232,F210:K210)/L:L</f>
        <v>0</v>
      </c>
      <c r="N232" s="166">
        <f t="shared" ca="1" si="33"/>
        <v>1</v>
      </c>
      <c r="O232" s="165">
        <f t="shared" ca="1" si="35"/>
        <v>1388.3239889699576</v>
      </c>
      <c r="P232" s="165">
        <f t="shared" ca="1" si="34"/>
        <v>1388.3239889699576</v>
      </c>
    </row>
    <row r="233" spans="1:16" x14ac:dyDescent="0.3">
      <c r="A233" s="165">
        <f>MATCH(Calcs!B233,Paste_Report_Here!$1:$1,0) -1</f>
        <v>26</v>
      </c>
      <c r="B233" s="165" t="s">
        <v>142</v>
      </c>
      <c r="C233" s="166">
        <f ca="1">RANK(N233,N212:N236)</f>
        <v>13</v>
      </c>
      <c r="D233" s="166">
        <f ca="1">RANK(P233,P212:P236)</f>
        <v>10</v>
      </c>
      <c r="E233" s="189" t="s">
        <v>171</v>
      </c>
      <c r="F233" s="179">
        <f ca="1">COUNTIFS(Paste_Report_Here!$E$1:$E$2000,E206, OFFSET(Paste_Report_Here!$A$1,0,$A233,2000,1),F$75)</f>
        <v>0</v>
      </c>
      <c r="G233" s="180">
        <f ca="1">COUNTIFS(Paste_Report_Here!$E$1:$E$2000,E206, OFFSET(Paste_Report_Here!$A$1,0,$A233,2000,1),G$75)</f>
        <v>2</v>
      </c>
      <c r="H233" s="180">
        <f ca="1">COUNTIFS(Paste_Report_Here!$E$1:$E$2000,E206, OFFSET(Paste_Report_Here!$A$1,0,$A233,2000,1),H$75)</f>
        <v>29</v>
      </c>
      <c r="I233" s="180">
        <f ca="1">COUNTIFS(Paste_Report_Here!$E$1:$E$2000,E206, OFFSET(Paste_Report_Here!$A$1,0,$A233,2000,1),I$75)</f>
        <v>9</v>
      </c>
      <c r="J233" s="180">
        <f ca="1">COUNTIFS(Paste_Report_Here!$E$1:$E$2000,E206, OFFSET(Paste_Report_Here!$A$1,0,$A233,2000,1),J$75)</f>
        <v>1</v>
      </c>
      <c r="K233" s="181">
        <f ca="1">COUNTIFS(Paste_Report_Here!$E$1:$E$2000,E206, OFFSET(Paste_Report_Here!$A$1,0,$A233,2000,1),K$75)</f>
        <v>0</v>
      </c>
      <c r="L233" s="166">
        <f t="shared" ca="1" si="32"/>
        <v>41</v>
      </c>
      <c r="M233" s="183">
        <f ca="1">SUMPRODUCT(F233:K233,F210:K210)/L:L</f>
        <v>4.8780487804878049E-3</v>
      </c>
      <c r="N233" s="166">
        <f t="shared" ca="1" si="33"/>
        <v>1.0048899658298769</v>
      </c>
      <c r="O233" s="165">
        <f t="shared" ca="1" si="35"/>
        <v>2320.7904227259492</v>
      </c>
      <c r="P233" s="165">
        <f t="shared" ca="1" si="34"/>
        <v>2332.1390085913845</v>
      </c>
    </row>
    <row r="234" spans="1:16" x14ac:dyDescent="0.3">
      <c r="A234" s="165">
        <f>MATCH(Calcs!B234,Paste_Report_Here!$1:$1,0) -1</f>
        <v>27</v>
      </c>
      <c r="B234" s="165" t="s">
        <v>210</v>
      </c>
      <c r="C234" s="166">
        <f ca="1">RANK(N234,N212:N236)</f>
        <v>20</v>
      </c>
      <c r="D234" s="166">
        <f ca="1">RANK(P234,P212:P236)</f>
        <v>23</v>
      </c>
      <c r="E234" s="202" t="s">
        <v>212</v>
      </c>
      <c r="F234" s="179">
        <f ca="1">COUNTIFS(Paste_Report_Here!$E$1:$E$2000,E206, OFFSET(Paste_Report_Here!$A$1,0,$A234,2000,1),F$75)</f>
        <v>0</v>
      </c>
      <c r="G234" s="180">
        <f ca="1">COUNTIFS(Paste_Report_Here!$E$1:$E$2000,E206, OFFSET(Paste_Report_Here!$A$1,0,$A234,2000,1),G$75)</f>
        <v>8</v>
      </c>
      <c r="H234" s="180">
        <f ca="1">COUNTIFS(Paste_Report_Here!$E$1:$E$2000,E206, OFFSET(Paste_Report_Here!$A$1,0,$A234,2000,1),H$75)</f>
        <v>27</v>
      </c>
      <c r="I234" s="180">
        <f ca="1">COUNTIFS(Paste_Report_Here!$E$1:$E$2000,E206, OFFSET(Paste_Report_Here!$A$1,0,$A234,2000,1),I$75)</f>
        <v>6</v>
      </c>
      <c r="J234" s="180">
        <f ca="1">COUNTIFS(Paste_Report_Here!$E$1:$E$2000,E206, OFFSET(Paste_Report_Here!$A$1,0,$A234,2000,1),J$75)</f>
        <v>0</v>
      </c>
      <c r="K234" s="181">
        <f ca="1">COUNTIFS(Paste_Report_Here!$E$1:$E$2000,E206, OFFSET(Paste_Report_Here!$A$1,0,$A234,2000,1),K$75)</f>
        <v>0</v>
      </c>
      <c r="L234" s="166">
        <f t="shared" ca="1" si="32"/>
        <v>41</v>
      </c>
      <c r="M234" s="183">
        <f ca="1">SUMPRODUCT(F234:K234,F210:K210)/L:L</f>
        <v>0</v>
      </c>
      <c r="N234" s="166">
        <f t="shared" ca="1" si="33"/>
        <v>1</v>
      </c>
      <c r="O234" s="165">
        <f t="shared" ca="1" si="35"/>
        <v>1173.6569265350035</v>
      </c>
      <c r="P234" s="165">
        <f t="shared" ca="1" si="34"/>
        <v>1173.6569265350035</v>
      </c>
    </row>
    <row r="235" spans="1:16" x14ac:dyDescent="0.3">
      <c r="A235" s="165">
        <f>MATCH(Calcs!B235,Paste_Report_Here!$1:$1,0) -1</f>
        <v>28</v>
      </c>
      <c r="B235" s="165" t="s">
        <v>143</v>
      </c>
      <c r="C235" s="166">
        <f ca="1">RANK(N235,N212:N236)</f>
        <v>1</v>
      </c>
      <c r="D235" s="166">
        <f ca="1">RANK(P235,P212:P236)</f>
        <v>1</v>
      </c>
      <c r="E235" s="189" t="s">
        <v>172</v>
      </c>
      <c r="F235" s="179">
        <f ca="1">COUNTIFS(Paste_Report_Here!$E$1:$E$2000,E206, OFFSET(Paste_Report_Here!$A$1,0,$A235,2000,1),F$75)</f>
        <v>0</v>
      </c>
      <c r="G235" s="180">
        <f ca="1">COUNTIFS(Paste_Report_Here!$E$1:$E$2000,E206, OFFSET(Paste_Report_Here!$A$1,0,$A235,2000,1),G$75)</f>
        <v>1</v>
      </c>
      <c r="H235" s="180">
        <f ca="1">COUNTIFS(Paste_Report_Here!$E$1:$E$2000,E206, OFFSET(Paste_Report_Here!$A$1,0,$A235,2000,1),H$75)</f>
        <v>20</v>
      </c>
      <c r="I235" s="180">
        <f ca="1">COUNTIFS(Paste_Report_Here!$E$1:$E$2000,E206, OFFSET(Paste_Report_Here!$A$1,0,$A235,2000,1),I$75)</f>
        <v>16</v>
      </c>
      <c r="J235" s="180">
        <f ca="1">COUNTIFS(Paste_Report_Here!$E$1:$E$2000,E206, OFFSET(Paste_Report_Here!$A$1,0,$A235,2000,1),J$75)</f>
        <v>4</v>
      </c>
      <c r="K235" s="181">
        <f ca="1">COUNTIFS(Paste_Report_Here!$E$1:$E$2000,E206, OFFSET(Paste_Report_Here!$A$1,0,$A235,2000,1),K$75)</f>
        <v>0</v>
      </c>
      <c r="L235" s="166">
        <f t="shared" ca="1" si="32"/>
        <v>41</v>
      </c>
      <c r="M235" s="183">
        <f ca="1">SUMPRODUCT(F235:K235,F210:K210)/L:L</f>
        <v>1.9512195121951219E-2</v>
      </c>
      <c r="N235" s="166">
        <f t="shared" ca="1" si="33"/>
        <v>1.019703802197055</v>
      </c>
      <c r="O235" s="165">
        <f t="shared" ca="1" si="35"/>
        <v>6838.547416429994</v>
      </c>
      <c r="P235" s="165">
        <f t="shared" ca="1" si="34"/>
        <v>6973.2928020385125</v>
      </c>
    </row>
    <row r="236" spans="1:16" x14ac:dyDescent="0.3">
      <c r="A236" s="165">
        <f>MATCH(Calcs!B236,Paste_Report_Here!$1:$1,0) -1</f>
        <v>29</v>
      </c>
      <c r="B236" s="187" t="s">
        <v>144</v>
      </c>
      <c r="C236" s="147">
        <f ca="1">RANK(N236,N212:N236)</f>
        <v>13</v>
      </c>
      <c r="D236" s="147">
        <f ca="1">RANK(P236,P212:P236)</f>
        <v>11</v>
      </c>
      <c r="E236" s="145" t="s">
        <v>173</v>
      </c>
      <c r="F236" s="146">
        <f ca="1">COUNTIFS(Paste_Report_Here!$E$1:$E$2000,E206, OFFSET(Paste_Report_Here!$A$1,0,$A236,2000,1),F$75)</f>
        <v>0</v>
      </c>
      <c r="G236" s="147">
        <f ca="1">COUNTIFS(Paste_Report_Here!$E$1:$E$2000,E206, OFFSET(Paste_Report_Here!$A$1,0,$A236,2000,1),G$75)</f>
        <v>2</v>
      </c>
      <c r="H236" s="147">
        <f ca="1">COUNTIFS(Paste_Report_Here!$E$1:$E$2000,E206, OFFSET(Paste_Report_Here!$A$1,0,$A236,2000,1),H$75)</f>
        <v>27</v>
      </c>
      <c r="I236" s="147">
        <f ca="1">COUNTIFS(Paste_Report_Here!$E$1:$E$2000,E206, OFFSET(Paste_Report_Here!$A$1,0,$A236,2000,1),I$75)</f>
        <v>11</v>
      </c>
      <c r="J236" s="147">
        <f ca="1">COUNTIFS(Paste_Report_Here!$E$1:$E$2000,E206, OFFSET(Paste_Report_Here!$A$1,0,$A236,2000,1),J$75)</f>
        <v>1</v>
      </c>
      <c r="K236" s="148">
        <f ca="1">COUNTIFS(Paste_Report_Here!$E$1:$E$2000,E206, OFFSET(Paste_Report_Here!$A$1,0,$A236,2000,1),K$75)</f>
        <v>0</v>
      </c>
      <c r="L236" s="147">
        <f t="shared" ca="1" si="32"/>
        <v>41</v>
      </c>
      <c r="M236" s="149">
        <f ca="1">SUMPRODUCT(F236:K236,F210:K210)/L:L</f>
        <v>4.8780487804878049E-3</v>
      </c>
      <c r="N236" s="147">
        <f t="shared" ca="1" si="33"/>
        <v>1.0048899658298769</v>
      </c>
      <c r="O236" s="187">
        <f t="shared" ca="1" si="35"/>
        <v>2303.9267885228187</v>
      </c>
      <c r="P236" s="165">
        <f t="shared" ca="1" si="34"/>
        <v>2315.1929117932332</v>
      </c>
    </row>
    <row r="237" spans="1:16" x14ac:dyDescent="0.3">
      <c r="A237" s="165"/>
      <c r="B237" s="165"/>
      <c r="C237" s="166"/>
      <c r="D237" s="165"/>
      <c r="E237" s="140" t="s">
        <v>293</v>
      </c>
      <c r="F237" s="180">
        <f ca="1">SUM(F212:F236)</f>
        <v>4</v>
      </c>
      <c r="G237" s="180">
        <f t="shared" ref="G237:L237" ca="1" si="36">SUM(G212:G236)</f>
        <v>66</v>
      </c>
      <c r="H237" s="180">
        <f t="shared" ca="1" si="36"/>
        <v>703</v>
      </c>
      <c r="I237" s="180">
        <f t="shared" ca="1" si="36"/>
        <v>208</v>
      </c>
      <c r="J237" s="180">
        <f t="shared" ca="1" si="36"/>
        <v>38</v>
      </c>
      <c r="K237" s="180">
        <f t="shared" ca="1" si="36"/>
        <v>6</v>
      </c>
      <c r="L237" s="180">
        <f t="shared" ca="1" si="36"/>
        <v>1025</v>
      </c>
      <c r="M237" s="144">
        <f ca="1">SUMPRODUCT(F237:K237,F210:K210)/L237</f>
        <v>6.6341463414634153E-3</v>
      </c>
      <c r="N237" s="166">
        <f t="shared" ca="1" si="33"/>
        <v>1.0066562010346825</v>
      </c>
      <c r="O237" s="165">
        <f t="shared" ca="1" si="35"/>
        <v>2515.8552793266954</v>
      </c>
      <c r="P237" s="165">
        <f t="shared" ca="1" si="34"/>
        <v>2532.6013178400613</v>
      </c>
    </row>
    <row r="238" spans="1:16" x14ac:dyDescent="0.3">
      <c r="A238" s="194"/>
      <c r="B238" s="194"/>
      <c r="C238" s="153"/>
      <c r="D238" s="194"/>
      <c r="E238" s="164"/>
      <c r="F238" s="151"/>
      <c r="G238" s="151"/>
      <c r="H238" s="151"/>
      <c r="I238" s="151"/>
      <c r="J238" s="151"/>
      <c r="K238" s="151"/>
      <c r="L238" s="151"/>
      <c r="M238" s="162"/>
      <c r="N238" s="153"/>
      <c r="O238" s="194"/>
      <c r="P238" s="194"/>
    </row>
    <row r="239" spans="1:16" s="165" customFormat="1" x14ac:dyDescent="0.3">
      <c r="E239" s="173" t="s">
        <v>292</v>
      </c>
    </row>
    <row r="240" spans="1:16" s="165" customFormat="1" x14ac:dyDescent="0.3">
      <c r="E240" s="141">
        <v>40754</v>
      </c>
    </row>
    <row r="241" spans="1:16" s="165" customFormat="1" ht="15" thickBot="1" x14ac:dyDescent="0.35"/>
    <row r="242" spans="1:16" s="165" customFormat="1" ht="24.6" thickBot="1" x14ac:dyDescent="0.35">
      <c r="F242" s="174" t="s">
        <v>23</v>
      </c>
      <c r="G242" s="168" t="s">
        <v>18</v>
      </c>
      <c r="H242" s="168" t="s">
        <v>16</v>
      </c>
      <c r="I242" s="168" t="s">
        <v>17</v>
      </c>
      <c r="J242" s="168" t="s">
        <v>19</v>
      </c>
      <c r="K242" s="169" t="s">
        <v>114</v>
      </c>
    </row>
    <row r="243" spans="1:16" s="165" customFormat="1" x14ac:dyDescent="0.3">
      <c r="F243" s="267" t="s">
        <v>201</v>
      </c>
      <c r="G243" s="268"/>
      <c r="H243" s="268"/>
      <c r="I243" s="268"/>
      <c r="J243" s="268"/>
      <c r="K243" s="169"/>
      <c r="M243" s="203">
        <f ca="1">(H271+K271)/L271</f>
        <v>0.69621621621621621</v>
      </c>
      <c r="N243" s="204" t="s">
        <v>501</v>
      </c>
    </row>
    <row r="244" spans="1:16" s="165" customFormat="1" ht="43.8" thickBot="1" x14ac:dyDescent="0.35">
      <c r="A244" s="142" t="s">
        <v>294</v>
      </c>
      <c r="B244" s="142" t="s">
        <v>295</v>
      </c>
      <c r="C244" s="197" t="s">
        <v>440</v>
      </c>
      <c r="D244" s="142" t="s">
        <v>441</v>
      </c>
      <c r="E244" s="171" t="s">
        <v>30</v>
      </c>
      <c r="F244" s="175">
        <f>Falling_fast</f>
        <v>-0.2</v>
      </c>
      <c r="G244" s="176">
        <f>Falling</f>
        <v>0</v>
      </c>
      <c r="H244" s="177">
        <f>Static</f>
        <v>0</v>
      </c>
      <c r="I244" s="176">
        <f>Rising</f>
        <v>0</v>
      </c>
      <c r="J244" s="178">
        <f>Rising_fast</f>
        <v>0.2</v>
      </c>
      <c r="K244" s="182">
        <v>0</v>
      </c>
      <c r="L244" s="171" t="s">
        <v>28</v>
      </c>
      <c r="M244" s="172" t="s">
        <v>29</v>
      </c>
      <c r="N244" s="143" t="s">
        <v>296</v>
      </c>
      <c r="O244" s="142" t="s">
        <v>297</v>
      </c>
      <c r="P244" s="142" t="s">
        <v>298</v>
      </c>
    </row>
    <row r="245" spans="1:16" s="165" customFormat="1" x14ac:dyDescent="0.3">
      <c r="C245" s="166"/>
      <c r="E245" s="192"/>
      <c r="F245" s="198" t="s">
        <v>151</v>
      </c>
      <c r="G245" s="199" t="s">
        <v>149</v>
      </c>
      <c r="H245" s="199" t="s">
        <v>16</v>
      </c>
      <c r="I245" s="199" t="s">
        <v>148</v>
      </c>
      <c r="J245" s="199" t="s">
        <v>150</v>
      </c>
      <c r="K245" s="200" t="s">
        <v>114</v>
      </c>
      <c r="L245" s="166"/>
      <c r="M245" s="170"/>
      <c r="N245" s="166"/>
    </row>
    <row r="246" spans="1:16" s="165" customFormat="1" x14ac:dyDescent="0.3">
      <c r="A246" s="165">
        <f>MATCH(Calcs!B246,Paste_Report_Here!$1:$1,0) -1</f>
        <v>5</v>
      </c>
      <c r="B246" s="165" t="s">
        <v>124</v>
      </c>
      <c r="C246" s="166">
        <f ca="1">RANK(N246,N246:N270)</f>
        <v>16</v>
      </c>
      <c r="D246" s="166">
        <f ca="1">RANK(P246,P246:P270)</f>
        <v>16</v>
      </c>
      <c r="E246" s="189" t="s">
        <v>152</v>
      </c>
      <c r="F246" s="179">
        <f ca="1">COUNTIFS(Paste_Report_Here!$E$1:$E$2000,E240, OFFSET(Paste_Report_Here!$A$1,0,$A246,2000,1),F$75)</f>
        <v>0</v>
      </c>
      <c r="G246" s="180">
        <f ca="1">COUNTIFS(Paste_Report_Here!$E$1:$E$2000,E240, OFFSET(Paste_Report_Here!$A$1,0,$A246,2000,1),G$75)</f>
        <v>1</v>
      </c>
      <c r="H246" s="180">
        <f ca="1">COUNTIFS(Paste_Report_Here!$E$1:$E$2000,E240, OFFSET(Paste_Report_Here!$A$1,0,$A246,2000,1),H$75)</f>
        <v>28</v>
      </c>
      <c r="I246" s="180">
        <f ca="1">COUNTIFS(Paste_Report_Here!$E$1:$E$2000,E240, OFFSET(Paste_Report_Here!$A$1,0,$A246,2000,1),I$75)</f>
        <v>8</v>
      </c>
      <c r="J246" s="180">
        <f ca="1">COUNTIFS(Paste_Report_Here!$E$1:$E$2000,E240, OFFSET(Paste_Report_Here!$A$1,0,$A246,2000,1),J$75)</f>
        <v>0</v>
      </c>
      <c r="K246" s="181">
        <f ca="1">COUNTIFS(Paste_Report_Here!$E$1:$E$2000,E240, OFFSET(Paste_Report_Here!$A$1,0,$A246,2000,1),K$75)</f>
        <v>0</v>
      </c>
      <c r="L246" s="166">
        <f t="shared" ref="L246:L270" ca="1" si="37">SUM(F246:K246)</f>
        <v>37</v>
      </c>
      <c r="M246" s="183">
        <f ca="1">SUMPRODUCT(F246:K246,F244:K244)/L:L</f>
        <v>0</v>
      </c>
      <c r="N246" s="166">
        <f t="shared" ref="N246:N271" ca="1" si="38">EXP(M246)</f>
        <v>1</v>
      </c>
      <c r="O246" s="165">
        <f ca="1">P212</f>
        <v>2022.3583187636318</v>
      </c>
      <c r="P246" s="165">
        <f t="shared" ref="P246:P271" ca="1" si="39">O246*N246</f>
        <v>2022.3583187636318</v>
      </c>
    </row>
    <row r="247" spans="1:16" s="165" customFormat="1" x14ac:dyDescent="0.3">
      <c r="A247" s="165">
        <f>MATCH(Calcs!B247,Paste_Report_Here!$1:$1,0) -1</f>
        <v>6</v>
      </c>
      <c r="B247" s="165" t="s">
        <v>125</v>
      </c>
      <c r="C247" s="166">
        <f ca="1">RANK(N247,N246:N270)</f>
        <v>7</v>
      </c>
      <c r="D247" s="166">
        <f ca="1">RANK(P247,P246:P270)</f>
        <v>13</v>
      </c>
      <c r="E247" s="189" t="s">
        <v>153</v>
      </c>
      <c r="F247" s="179">
        <f ca="1">COUNTIFS(Paste_Report_Here!$E$1:$E$2000,E240, OFFSET(Paste_Report_Here!$A$1,0,$A247,2000,1),F$75)</f>
        <v>0</v>
      </c>
      <c r="G247" s="180">
        <f ca="1">COUNTIFS(Paste_Report_Here!$E$1:$E$2000,E240, OFFSET(Paste_Report_Here!$A$1,0,$A247,2000,1),G$75)</f>
        <v>3</v>
      </c>
      <c r="H247" s="180">
        <f ca="1">COUNTIFS(Paste_Report_Here!$E$1:$E$2000,E240, OFFSET(Paste_Report_Here!$A$1,0,$A247,2000,1),H$75)</f>
        <v>28</v>
      </c>
      <c r="I247" s="180">
        <f ca="1">COUNTIFS(Paste_Report_Here!$E$1:$E$2000,E240, OFFSET(Paste_Report_Here!$A$1,0,$A247,2000,1),I$75)</f>
        <v>5</v>
      </c>
      <c r="J247" s="180">
        <f ca="1">COUNTIFS(Paste_Report_Here!$E$1:$E$2000,E240, OFFSET(Paste_Report_Here!$A$1,0,$A247,2000,1),J$75)</f>
        <v>1</v>
      </c>
      <c r="K247" s="181">
        <f ca="1">COUNTIFS(Paste_Report_Here!$E$1:$E$2000,E240, OFFSET(Paste_Report_Here!$A$1,0,$A247,2000,1),K$75)</f>
        <v>0</v>
      </c>
      <c r="L247" s="166">
        <f t="shared" ca="1" si="37"/>
        <v>37</v>
      </c>
      <c r="M247" s="183">
        <f ca="1">SUMPRODUCT(F247:K247,F244:K244)/L:L</f>
        <v>5.4054054054054057E-3</v>
      </c>
      <c r="N247" s="166">
        <f t="shared" ca="1" si="38"/>
        <v>1.0054200409677034</v>
      </c>
      <c r="O247" s="165">
        <f t="shared" ref="O247:O271" ca="1" si="40">P213</f>
        <v>2144.2406196895722</v>
      </c>
      <c r="P247" s="165">
        <f t="shared" ca="1" si="39"/>
        <v>2155.8624916929034</v>
      </c>
    </row>
    <row r="248" spans="1:16" s="165" customFormat="1" x14ac:dyDescent="0.3">
      <c r="A248" s="165">
        <f>MATCH(Calcs!B248,Paste_Report_Here!$1:$1,0) -1</f>
        <v>7</v>
      </c>
      <c r="B248" s="165" t="s">
        <v>126</v>
      </c>
      <c r="C248" s="166">
        <f ca="1">RANK(N248,N246:N270)</f>
        <v>1</v>
      </c>
      <c r="D248" s="166">
        <f ca="1">RANK(P248,P246:P270)</f>
        <v>6</v>
      </c>
      <c r="E248" s="189" t="s">
        <v>154</v>
      </c>
      <c r="F248" s="179">
        <f ca="1">COUNTIFS(Paste_Report_Here!$E$1:$E$2000,E240, OFFSET(Paste_Report_Here!$A$1,0,$A248,2000,1),F$75)</f>
        <v>0</v>
      </c>
      <c r="G248" s="180">
        <f ca="1">COUNTIFS(Paste_Report_Here!$E$1:$E$2000,E240, OFFSET(Paste_Report_Here!$A$1,0,$A248,2000,1),G$75)</f>
        <v>2</v>
      </c>
      <c r="H248" s="180">
        <f ca="1">COUNTIFS(Paste_Report_Here!$E$1:$E$2000,E240, OFFSET(Paste_Report_Here!$A$1,0,$A248,2000,1),H$75)</f>
        <v>27</v>
      </c>
      <c r="I248" s="180">
        <f ca="1">COUNTIFS(Paste_Report_Here!$E$1:$E$2000,E240, OFFSET(Paste_Report_Here!$A$1,0,$A248,2000,1),I$75)</f>
        <v>6</v>
      </c>
      <c r="J248" s="180">
        <f ca="1">COUNTIFS(Paste_Report_Here!$E$1:$E$2000,E240, OFFSET(Paste_Report_Here!$A$1,0,$A248,2000,1),J$75)</f>
        <v>2</v>
      </c>
      <c r="K248" s="181">
        <f ca="1">COUNTIFS(Paste_Report_Here!$E$1:$E$2000,E240, OFFSET(Paste_Report_Here!$A$1,0,$A248,2000,1),K$75)</f>
        <v>0</v>
      </c>
      <c r="L248" s="166">
        <f t="shared" ca="1" si="37"/>
        <v>37</v>
      </c>
      <c r="M248" s="183">
        <f ca="1">SUMPRODUCT(F248:K248,F244:K244)/L:L</f>
        <v>1.0810810810810811E-2</v>
      </c>
      <c r="N248" s="166">
        <f t="shared" ca="1" si="38"/>
        <v>1.0108694587794986</v>
      </c>
      <c r="O248" s="165">
        <f t="shared" ca="1" si="40"/>
        <v>2792.5964258199747</v>
      </c>
      <c r="P248" s="165">
        <f t="shared" ca="1" si="39"/>
        <v>2822.9504375582001</v>
      </c>
    </row>
    <row r="249" spans="1:16" s="165" customFormat="1" x14ac:dyDescent="0.3">
      <c r="A249" s="165">
        <f>MATCH(Calcs!B249,Paste_Report_Here!$1:$1,0) -1</f>
        <v>8</v>
      </c>
      <c r="B249" s="165" t="s">
        <v>127</v>
      </c>
      <c r="C249" s="166">
        <f ca="1">RANK(N249,N246:N270)</f>
        <v>7</v>
      </c>
      <c r="D249" s="166">
        <f ca="1">RANK(P249,P246:P270)</f>
        <v>9</v>
      </c>
      <c r="E249" s="189" t="s">
        <v>155</v>
      </c>
      <c r="F249" s="179">
        <f ca="1">COUNTIFS(Paste_Report_Here!$E$1:$E$2000,E240, OFFSET(Paste_Report_Here!$A$1,0,$A249,2000,1),F$75)</f>
        <v>0</v>
      </c>
      <c r="G249" s="180">
        <f ca="1">COUNTIFS(Paste_Report_Here!$E$1:$E$2000,E240, OFFSET(Paste_Report_Here!$A$1,0,$A249,2000,1),G$75)</f>
        <v>2</v>
      </c>
      <c r="H249" s="180">
        <f ca="1">COUNTIFS(Paste_Report_Here!$E$1:$E$2000,E240, OFFSET(Paste_Report_Here!$A$1,0,$A249,2000,1),H$75)</f>
        <v>24</v>
      </c>
      <c r="I249" s="180">
        <f ca="1">COUNTIFS(Paste_Report_Here!$E$1:$E$2000,E240, OFFSET(Paste_Report_Here!$A$1,0,$A249,2000,1),I$75)</f>
        <v>10</v>
      </c>
      <c r="J249" s="180">
        <f ca="1">COUNTIFS(Paste_Report_Here!$E$1:$E$2000,E240, OFFSET(Paste_Report_Here!$A$1,0,$A249,2000,1),J$75)</f>
        <v>1</v>
      </c>
      <c r="K249" s="181">
        <f ca="1">COUNTIFS(Paste_Report_Here!$E$1:$E$2000,E240, OFFSET(Paste_Report_Here!$A$1,0,$A249,2000,1),K$75)</f>
        <v>0</v>
      </c>
      <c r="L249" s="166">
        <f t="shared" ca="1" si="37"/>
        <v>37</v>
      </c>
      <c r="M249" s="183">
        <f ca="1">SUMPRODUCT(F249:K249,F244:K244)/L:L</f>
        <v>5.4054054054054057E-3</v>
      </c>
      <c r="N249" s="166">
        <f t="shared" ca="1" si="38"/>
        <v>1.0054200409677034</v>
      </c>
      <c r="O249" s="165">
        <f t="shared" ca="1" si="40"/>
        <v>2443.881927185203</v>
      </c>
      <c r="P249" s="165">
        <f t="shared" ca="1" si="39"/>
        <v>2457.1278673507768</v>
      </c>
    </row>
    <row r="250" spans="1:16" s="165" customFormat="1" x14ac:dyDescent="0.3">
      <c r="A250" s="165">
        <f>MATCH(Calcs!B250,Paste_Report_Here!$1:$1,0) -1</f>
        <v>9</v>
      </c>
      <c r="B250" s="165" t="s">
        <v>214</v>
      </c>
      <c r="C250" s="166">
        <f ca="1">RANK(N250,N246:N270)</f>
        <v>1</v>
      </c>
      <c r="D250" s="166">
        <f ca="1">RANK(P250,P246:P270)</f>
        <v>5</v>
      </c>
      <c r="E250" s="189" t="s">
        <v>156</v>
      </c>
      <c r="F250" s="179">
        <f ca="1">COUNTIFS(Paste_Report_Here!$E$1:$E$2000,E240, OFFSET(Paste_Report_Here!$A$1,0,$A250,2000,1),F$75)</f>
        <v>0</v>
      </c>
      <c r="G250" s="180">
        <f ca="1">COUNTIFS(Paste_Report_Here!$E$1:$E$2000,E240, OFFSET(Paste_Report_Here!$A$1,0,$A250,2000,1),G$75)</f>
        <v>1</v>
      </c>
      <c r="H250" s="180">
        <f ca="1">COUNTIFS(Paste_Report_Here!$E$1:$E$2000,E240, OFFSET(Paste_Report_Here!$A$1,0,$A250,2000,1),H$75)</f>
        <v>26</v>
      </c>
      <c r="I250" s="180">
        <f ca="1">COUNTIFS(Paste_Report_Here!$E$1:$E$2000,E240, OFFSET(Paste_Report_Here!$A$1,0,$A250,2000,1),I$75)</f>
        <v>8</v>
      </c>
      <c r="J250" s="180">
        <f ca="1">COUNTIFS(Paste_Report_Here!$E$1:$E$2000,E240, OFFSET(Paste_Report_Here!$A$1,0,$A250,2000,1),J$75)</f>
        <v>2</v>
      </c>
      <c r="K250" s="181">
        <f ca="1">COUNTIFS(Paste_Report_Here!$E$1:$E$2000,E240, OFFSET(Paste_Report_Here!$A$1,0,$A250,2000,1),K$75)</f>
        <v>0</v>
      </c>
      <c r="L250" s="166">
        <f t="shared" ca="1" si="37"/>
        <v>37</v>
      </c>
      <c r="M250" s="183">
        <f ca="1">SUMPRODUCT(F250:K250,F244:K244)/L:L</f>
        <v>1.0810810810810811E-2</v>
      </c>
      <c r="N250" s="166">
        <f t="shared" ca="1" si="38"/>
        <v>1.0108694587794986</v>
      </c>
      <c r="O250" s="165">
        <f t="shared" ca="1" si="40"/>
        <v>3355.5625873013778</v>
      </c>
      <c r="P250" s="165">
        <f t="shared" ca="1" si="39"/>
        <v>3392.0357365260779</v>
      </c>
    </row>
    <row r="251" spans="1:16" s="165" customFormat="1" x14ac:dyDescent="0.3">
      <c r="A251" s="165">
        <f>MATCH(Calcs!B251,Paste_Report_Here!$1:$1,0) -1</f>
        <v>10</v>
      </c>
      <c r="B251" s="165" t="s">
        <v>128</v>
      </c>
      <c r="C251" s="166">
        <f ca="1">RANK(N251,N246:N270)</f>
        <v>16</v>
      </c>
      <c r="D251" s="166">
        <f ca="1">RANK(P251,P246:P270)</f>
        <v>21</v>
      </c>
      <c r="E251" s="189" t="s">
        <v>157</v>
      </c>
      <c r="F251" s="179">
        <f ca="1">COUNTIFS(Paste_Report_Here!$E$1:$E$2000,E240, OFFSET(Paste_Report_Here!$A$1,0,$A251,2000,1),F$75)</f>
        <v>1</v>
      </c>
      <c r="G251" s="180">
        <f ca="1">COUNTIFS(Paste_Report_Here!$E$1:$E$2000,E240, OFFSET(Paste_Report_Here!$A$1,0,$A251,2000,1),G$75)</f>
        <v>2</v>
      </c>
      <c r="H251" s="180">
        <f ca="1">COUNTIFS(Paste_Report_Here!$E$1:$E$2000,E240, OFFSET(Paste_Report_Here!$A$1,0,$A251,2000,1),H$75)</f>
        <v>26</v>
      </c>
      <c r="I251" s="180">
        <f ca="1">COUNTIFS(Paste_Report_Here!$E$1:$E$2000,E240, OFFSET(Paste_Report_Here!$A$1,0,$A251,2000,1),I$75)</f>
        <v>7</v>
      </c>
      <c r="J251" s="180">
        <f ca="1">COUNTIFS(Paste_Report_Here!$E$1:$E$2000,E240, OFFSET(Paste_Report_Here!$A$1,0,$A251,2000,1),J$75)</f>
        <v>1</v>
      </c>
      <c r="K251" s="181">
        <f ca="1">COUNTIFS(Paste_Report_Here!$E$1:$E$2000,E240, OFFSET(Paste_Report_Here!$A$1,0,$A251,2000,1),K$75)</f>
        <v>0</v>
      </c>
      <c r="L251" s="166">
        <f t="shared" ca="1" si="37"/>
        <v>37</v>
      </c>
      <c r="M251" s="183">
        <f ca="1">SUMPRODUCT(F251:K251,F244:K244)/L:L</f>
        <v>0</v>
      </c>
      <c r="N251" s="166">
        <f t="shared" ca="1" si="38"/>
        <v>1</v>
      </c>
      <c r="O251" s="165">
        <f t="shared" ca="1" si="40"/>
        <v>1578.8813675514875</v>
      </c>
      <c r="P251" s="165">
        <f t="shared" ca="1" si="39"/>
        <v>1578.8813675514875</v>
      </c>
    </row>
    <row r="252" spans="1:16" s="165" customFormat="1" x14ac:dyDescent="0.3">
      <c r="A252" s="165">
        <f>MATCH(Calcs!B252,Paste_Report_Here!$1:$1,0) -1</f>
        <v>11</v>
      </c>
      <c r="B252" s="165" t="s">
        <v>129</v>
      </c>
      <c r="C252" s="166">
        <f ca="1">RANK(N252,N246:N270)</f>
        <v>16</v>
      </c>
      <c r="D252" s="166">
        <f ca="1">RANK(P252,P246:P270)</f>
        <v>8</v>
      </c>
      <c r="E252" s="189" t="s">
        <v>158</v>
      </c>
      <c r="F252" s="179">
        <f ca="1">COUNTIFS(Paste_Report_Here!$E$1:$E$2000,E240, OFFSET(Paste_Report_Here!$A$1,0,$A252,2000,1),F$75)</f>
        <v>0</v>
      </c>
      <c r="G252" s="180">
        <f ca="1">COUNTIFS(Paste_Report_Here!$E$1:$E$2000,E240, OFFSET(Paste_Report_Here!$A$1,0,$A252,2000,1),G$75)</f>
        <v>1</v>
      </c>
      <c r="H252" s="180">
        <f ca="1">COUNTIFS(Paste_Report_Here!$E$1:$E$2000,E240, OFFSET(Paste_Report_Here!$A$1,0,$A252,2000,1),H$75)</f>
        <v>27</v>
      </c>
      <c r="I252" s="180">
        <f ca="1">COUNTIFS(Paste_Report_Here!$E$1:$E$2000,E240, OFFSET(Paste_Report_Here!$A$1,0,$A252,2000,1),I$75)</f>
        <v>9</v>
      </c>
      <c r="J252" s="180">
        <f ca="1">COUNTIFS(Paste_Report_Here!$E$1:$E$2000,E240, OFFSET(Paste_Report_Here!$A$1,0,$A252,2000,1),J$75)</f>
        <v>0</v>
      </c>
      <c r="K252" s="181">
        <f ca="1">COUNTIFS(Paste_Report_Here!$E$1:$E$2000,E240, OFFSET(Paste_Report_Here!$A$1,0,$A252,2000,1),K$75)</f>
        <v>0</v>
      </c>
      <c r="L252" s="166">
        <f t="shared" ca="1" si="37"/>
        <v>37</v>
      </c>
      <c r="M252" s="183">
        <f ca="1">SUMPRODUCT(F252:K252,F244:K244)/L:L</f>
        <v>0</v>
      </c>
      <c r="N252" s="166">
        <f t="shared" ca="1" si="38"/>
        <v>1</v>
      </c>
      <c r="O252" s="165">
        <f t="shared" ca="1" si="40"/>
        <v>2461.699823055219</v>
      </c>
      <c r="P252" s="165">
        <f t="shared" ca="1" si="39"/>
        <v>2461.699823055219</v>
      </c>
    </row>
    <row r="253" spans="1:16" s="165" customFormat="1" x14ac:dyDescent="0.3">
      <c r="A253" s="165">
        <f>MATCH(Calcs!B253,Paste_Report_Here!$1:$1,0) -1</f>
        <v>12</v>
      </c>
      <c r="B253" s="165" t="s">
        <v>130</v>
      </c>
      <c r="C253" s="166">
        <f ca="1">RANK(N253,N246:N270)</f>
        <v>1</v>
      </c>
      <c r="D253" s="166">
        <f ca="1">RANK(P253,P246:P270)</f>
        <v>12</v>
      </c>
      <c r="E253" s="189" t="s">
        <v>159</v>
      </c>
      <c r="F253" s="179">
        <f ca="1">COUNTIFS(Paste_Report_Here!$E$1:$E$2000,E240, OFFSET(Paste_Report_Here!$A$1,0,$A253,2000,1),F$75)</f>
        <v>0</v>
      </c>
      <c r="G253" s="180">
        <f ca="1">COUNTIFS(Paste_Report_Here!$E$1:$E$2000,E240, OFFSET(Paste_Report_Here!$A$1,0,$A253,2000,1),G$75)</f>
        <v>1</v>
      </c>
      <c r="H253" s="180">
        <f ca="1">COUNTIFS(Paste_Report_Here!$E$1:$E$2000,E240, OFFSET(Paste_Report_Here!$A$1,0,$A253,2000,1),H$75)</f>
        <v>22</v>
      </c>
      <c r="I253" s="180">
        <f ca="1">COUNTIFS(Paste_Report_Here!$E$1:$E$2000,E240, OFFSET(Paste_Report_Here!$A$1,0,$A253,2000,1),I$75)</f>
        <v>12</v>
      </c>
      <c r="J253" s="180">
        <f ca="1">COUNTIFS(Paste_Report_Here!$E$1:$E$2000,E240, OFFSET(Paste_Report_Here!$A$1,0,$A253,2000,1),J$75)</f>
        <v>2</v>
      </c>
      <c r="K253" s="181">
        <f ca="1">COUNTIFS(Paste_Report_Here!$E$1:$E$2000,E240, OFFSET(Paste_Report_Here!$A$1,0,$A253,2000,1),K$75)</f>
        <v>0</v>
      </c>
      <c r="L253" s="166">
        <f t="shared" ca="1" si="37"/>
        <v>37</v>
      </c>
      <c r="M253" s="183">
        <f ca="1">SUMPRODUCT(F253:K253,F244:K244)/L:L</f>
        <v>1.0810810810810811E-2</v>
      </c>
      <c r="N253" s="166">
        <f t="shared" ca="1" si="38"/>
        <v>1.0108694587794986</v>
      </c>
      <c r="O253" s="165">
        <f t="shared" ca="1" si="40"/>
        <v>2267.5411612920943</v>
      </c>
      <c r="P253" s="165">
        <f t="shared" ca="1" si="39"/>
        <v>2292.1881064755753</v>
      </c>
    </row>
    <row r="254" spans="1:16" s="165" customFormat="1" x14ac:dyDescent="0.3">
      <c r="A254" s="165">
        <f>MATCH(Calcs!B254,Paste_Report_Here!$1:$1,0) -1</f>
        <v>13</v>
      </c>
      <c r="B254" s="165" t="s">
        <v>131</v>
      </c>
      <c r="C254" s="166">
        <f ca="1">RANK(N254,N246:N270)</f>
        <v>1</v>
      </c>
      <c r="D254" s="166">
        <f ca="1">RANK(P254,P246:P270)</f>
        <v>4</v>
      </c>
      <c r="E254" s="189" t="s">
        <v>160</v>
      </c>
      <c r="F254" s="179">
        <f ca="1">COUNTIFS(Paste_Report_Here!$E$1:$E$2000,E240, OFFSET(Paste_Report_Here!$A$1,0,$A254,2000,1),F$75)</f>
        <v>0</v>
      </c>
      <c r="G254" s="180">
        <f ca="1">COUNTIFS(Paste_Report_Here!$E$1:$E$2000,E240, OFFSET(Paste_Report_Here!$A$1,0,$A254,2000,1),G$75)</f>
        <v>0</v>
      </c>
      <c r="H254" s="180">
        <f ca="1">COUNTIFS(Paste_Report_Here!$E$1:$E$2000,E240, OFFSET(Paste_Report_Here!$A$1,0,$A254,2000,1),H$75)</f>
        <v>22</v>
      </c>
      <c r="I254" s="180">
        <f ca="1">COUNTIFS(Paste_Report_Here!$E$1:$E$2000,E240, OFFSET(Paste_Report_Here!$A$1,0,$A254,2000,1),I$75)</f>
        <v>13</v>
      </c>
      <c r="J254" s="180">
        <f ca="1">COUNTIFS(Paste_Report_Here!$E$1:$E$2000,E240, OFFSET(Paste_Report_Here!$A$1,0,$A254,2000,1),J$75)</f>
        <v>2</v>
      </c>
      <c r="K254" s="181">
        <f ca="1">COUNTIFS(Paste_Report_Here!$E$1:$E$2000,E240, OFFSET(Paste_Report_Here!$A$1,0,$A254,2000,1),K$75)</f>
        <v>0</v>
      </c>
      <c r="L254" s="166">
        <f t="shared" ca="1" si="37"/>
        <v>37</v>
      </c>
      <c r="M254" s="183">
        <f ca="1">SUMPRODUCT(F254:K254,F244:K244)/L:L</f>
        <v>1.0810810810810811E-2</v>
      </c>
      <c r="N254" s="166">
        <f t="shared" ca="1" si="38"/>
        <v>1.0108694587794986</v>
      </c>
      <c r="O254" s="165">
        <f t="shared" ca="1" si="40"/>
        <v>3419.2244093163868</v>
      </c>
      <c r="P254" s="165">
        <f t="shared" ca="1" si="39"/>
        <v>3456.3895280913066</v>
      </c>
    </row>
    <row r="255" spans="1:16" s="165" customFormat="1" x14ac:dyDescent="0.3">
      <c r="A255" s="165">
        <f>MATCH(Calcs!B255,Paste_Report_Here!$1:$1,0) -1</f>
        <v>14</v>
      </c>
      <c r="B255" s="165" t="s">
        <v>132</v>
      </c>
      <c r="C255" s="166">
        <f ca="1">RANK(N255,N246:N270)</f>
        <v>25</v>
      </c>
      <c r="D255" s="166">
        <f ca="1">RANK(P255,P246:P270)</f>
        <v>19</v>
      </c>
      <c r="E255" s="189" t="s">
        <v>161</v>
      </c>
      <c r="F255" s="179">
        <f ca="1">COUNTIFS(Paste_Report_Here!$E$1:$E$2000,E240, OFFSET(Paste_Report_Here!$A$1,0,$A255,2000,1),F$75)</f>
        <v>1</v>
      </c>
      <c r="G255" s="180">
        <f ca="1">COUNTIFS(Paste_Report_Here!$E$1:$E$2000,E240, OFFSET(Paste_Report_Here!$A$1,0,$A255,2000,1),G$75)</f>
        <v>0</v>
      </c>
      <c r="H255" s="180">
        <f ca="1">COUNTIFS(Paste_Report_Here!$E$1:$E$2000,E240, OFFSET(Paste_Report_Here!$A$1,0,$A255,2000,1),H$75)</f>
        <v>30</v>
      </c>
      <c r="I255" s="180">
        <f ca="1">COUNTIFS(Paste_Report_Here!$E$1:$E$2000,E240, OFFSET(Paste_Report_Here!$A$1,0,$A255,2000,1),I$75)</f>
        <v>6</v>
      </c>
      <c r="J255" s="180">
        <f ca="1">COUNTIFS(Paste_Report_Here!$E$1:$E$2000,E240, OFFSET(Paste_Report_Here!$A$1,0,$A255,2000,1),J$75)</f>
        <v>0</v>
      </c>
      <c r="K255" s="181">
        <f ca="1">COUNTIFS(Paste_Report_Here!$E$1:$E$2000,E240, OFFSET(Paste_Report_Here!$A$1,0,$A255,2000,1),K$75)</f>
        <v>0</v>
      </c>
      <c r="L255" s="166">
        <f t="shared" ca="1" si="37"/>
        <v>37</v>
      </c>
      <c r="M255" s="183">
        <f ca="1">SUMPRODUCT(F255:K255,F244:K244)/L:L</f>
        <v>-5.4054054054054057E-3</v>
      </c>
      <c r="N255" s="166">
        <f t="shared" ca="1" si="38"/>
        <v>0.99460917751103628</v>
      </c>
      <c r="O255" s="165">
        <f t="shared" ca="1" si="40"/>
        <v>1873.502542276874</v>
      </c>
      <c r="P255" s="165">
        <f t="shared" ca="1" si="39"/>
        <v>1863.4028226388371</v>
      </c>
    </row>
    <row r="256" spans="1:16" s="165" customFormat="1" x14ac:dyDescent="0.3">
      <c r="A256" s="165">
        <f>MATCH(Calcs!B256,Paste_Report_Here!$1:$1,0) -1</f>
        <v>15</v>
      </c>
      <c r="B256" s="165" t="s">
        <v>133</v>
      </c>
      <c r="C256" s="166">
        <f ca="1">RANK(N256,N245:N269)</f>
        <v>7</v>
      </c>
      <c r="D256" s="166">
        <f ca="1">RANK(P256,P246:P270)</f>
        <v>7</v>
      </c>
      <c r="E256" s="189" t="s">
        <v>162</v>
      </c>
      <c r="F256" s="179">
        <f ca="1">COUNTIFS(Paste_Report_Here!$E$1:$E$2000,E240, OFFSET(Paste_Report_Here!$A$1,0,$A256,2000,1),F$75)</f>
        <v>0</v>
      </c>
      <c r="G256" s="180">
        <f ca="1">COUNTIFS(Paste_Report_Here!$E$1:$E$2000,E240, OFFSET(Paste_Report_Here!$A$1,0,$A256,2000,1),G$75)</f>
        <v>0</v>
      </c>
      <c r="H256" s="180">
        <f ca="1">COUNTIFS(Paste_Report_Here!$E$1:$E$2000,E240, OFFSET(Paste_Report_Here!$A$1,0,$A256,2000,1),H$75)</f>
        <v>22</v>
      </c>
      <c r="I256" s="180">
        <f ca="1">COUNTIFS(Paste_Report_Here!$E$1:$E$2000,E240, OFFSET(Paste_Report_Here!$A$1,0,$A256,2000,1),I$75)</f>
        <v>14</v>
      </c>
      <c r="J256" s="180">
        <f ca="1">COUNTIFS(Paste_Report_Here!$E$1:$E$2000,E240, OFFSET(Paste_Report_Here!$A$1,0,$A256,2000,1),J$75)</f>
        <v>1</v>
      </c>
      <c r="K256" s="181">
        <f ca="1">COUNTIFS(Paste_Report_Here!$E$1:$E$2000,E240, OFFSET(Paste_Report_Here!$A$1,0,$A256,2000,1),K$75)</f>
        <v>0</v>
      </c>
      <c r="L256" s="166">
        <f t="shared" ca="1" si="37"/>
        <v>37</v>
      </c>
      <c r="M256" s="183">
        <f ca="1">SUMPRODUCT(F256:K256,F244:K244)/L:L</f>
        <v>5.4054054054054057E-3</v>
      </c>
      <c r="N256" s="166">
        <f t="shared" ca="1" si="38"/>
        <v>1.0054200409677034</v>
      </c>
      <c r="O256" s="165">
        <f t="shared" ca="1" si="40"/>
        <v>2629.4795053900093</v>
      </c>
      <c r="P256" s="165">
        <f t="shared" ca="1" si="39"/>
        <v>2643.7313920329598</v>
      </c>
    </row>
    <row r="257" spans="1:16" s="165" customFormat="1" x14ac:dyDescent="0.3">
      <c r="A257" s="165">
        <f>MATCH(Calcs!B257,Paste_Report_Here!$1:$1,0) -1</f>
        <v>16</v>
      </c>
      <c r="B257" s="165" t="s">
        <v>134</v>
      </c>
      <c r="C257" s="166">
        <f ca="1">RANK(N257,N246:N270)</f>
        <v>7</v>
      </c>
      <c r="D257" s="166">
        <f ca="1">RANK(P257,P246:P270)</f>
        <v>24</v>
      </c>
      <c r="E257" s="189" t="s">
        <v>163</v>
      </c>
      <c r="F257" s="179">
        <f ca="1">COUNTIFS(Paste_Report_Here!$E$1:$E$2000,E240, OFFSET(Paste_Report_Here!$A$1,0,$A257,2000,1),F$75)</f>
        <v>0</v>
      </c>
      <c r="G257" s="180">
        <f ca="1">COUNTIFS(Paste_Report_Here!$E$1:$E$2000,E240, OFFSET(Paste_Report_Here!$A$1,0,$A257,2000,1),G$75)</f>
        <v>1</v>
      </c>
      <c r="H257" s="180">
        <f ca="1">COUNTIFS(Paste_Report_Here!$E$1:$E$2000,E240, OFFSET(Paste_Report_Here!$A$1,0,$A257,2000,1),H$75)</f>
        <v>32</v>
      </c>
      <c r="I257" s="180">
        <f ca="1">COUNTIFS(Paste_Report_Here!$E$1:$E$2000,E240, OFFSET(Paste_Report_Here!$A$1,0,$A257,2000,1),I$75)</f>
        <v>3</v>
      </c>
      <c r="J257" s="180">
        <f ca="1">COUNTIFS(Paste_Report_Here!$E$1:$E$2000,E240, OFFSET(Paste_Report_Here!$A$1,0,$A257,2000,1),J$75)</f>
        <v>1</v>
      </c>
      <c r="K257" s="181">
        <f ca="1">COUNTIFS(Paste_Report_Here!$E$1:$E$2000,E240, OFFSET(Paste_Report_Here!$A$1,0,$A257,2000,1),K$75)</f>
        <v>0</v>
      </c>
      <c r="L257" s="166">
        <f t="shared" ca="1" si="37"/>
        <v>37</v>
      </c>
      <c r="M257" s="183">
        <f ca="1">SUMPRODUCT(F257:K257,F244:K244)/L:L</f>
        <v>5.4054054054054057E-3</v>
      </c>
      <c r="N257" s="166">
        <f t="shared" ca="1" si="38"/>
        <v>1.0054200409677034</v>
      </c>
      <c r="O257" s="165">
        <f t="shared" ca="1" si="40"/>
        <v>1166.9206873187281</v>
      </c>
      <c r="P257" s="165">
        <f t="shared" ca="1" si="39"/>
        <v>1173.2454452500563</v>
      </c>
    </row>
    <row r="258" spans="1:16" s="165" customFormat="1" x14ac:dyDescent="0.3">
      <c r="A258" s="165">
        <f>MATCH(Calcs!B258,Paste_Report_Here!$1:$1,0) -1</f>
        <v>17</v>
      </c>
      <c r="B258" s="165" t="s">
        <v>135</v>
      </c>
      <c r="C258" s="166">
        <f ca="1">RANK(N258,N246:N270)</f>
        <v>7</v>
      </c>
      <c r="D258" s="166">
        <f ca="1">RANK(P258,P246:P270)</f>
        <v>20</v>
      </c>
      <c r="E258" s="189" t="s">
        <v>164</v>
      </c>
      <c r="F258" s="179">
        <f ca="1">COUNTIFS(Paste_Report_Here!$E$1:$E$2000,E240, OFFSET(Paste_Report_Here!$A$1,0,$A258,2000,1),F$75)</f>
        <v>0</v>
      </c>
      <c r="G258" s="180">
        <f ca="1">COUNTIFS(Paste_Report_Here!$E$1:$E$2000,E240, OFFSET(Paste_Report_Here!$A$1,0,$A258,2000,1),G$75)</f>
        <v>3</v>
      </c>
      <c r="H258" s="180">
        <f ca="1">COUNTIFS(Paste_Report_Here!$E$1:$E$2000,E240, OFFSET(Paste_Report_Here!$A$1,0,$A258,2000,1),H$75)</f>
        <v>25</v>
      </c>
      <c r="I258" s="180">
        <f ca="1">COUNTIFS(Paste_Report_Here!$E$1:$E$2000,E240, OFFSET(Paste_Report_Here!$A$1,0,$A258,2000,1),I$75)</f>
        <v>8</v>
      </c>
      <c r="J258" s="180">
        <f ca="1">COUNTIFS(Paste_Report_Here!$E$1:$E$2000,E240, OFFSET(Paste_Report_Here!$A$1,0,$A258,2000,1),J$75)</f>
        <v>1</v>
      </c>
      <c r="K258" s="181">
        <f ca="1">COUNTIFS(Paste_Report_Here!$E$1:$E$2000,E240, OFFSET(Paste_Report_Here!$A$1,0,$A258,2000,1),K$75)</f>
        <v>0</v>
      </c>
      <c r="L258" s="166">
        <f t="shared" ca="1" si="37"/>
        <v>37</v>
      </c>
      <c r="M258" s="183">
        <f ca="1">SUMPRODUCT(F258:K258,F244:K244)/L:L</f>
        <v>5.4054054054054057E-3</v>
      </c>
      <c r="N258" s="166">
        <f t="shared" ca="1" si="38"/>
        <v>1.0054200409677034</v>
      </c>
      <c r="O258" s="165">
        <f t="shared" ca="1" si="40"/>
        <v>1777.0261527624145</v>
      </c>
      <c r="P258" s="165">
        <f t="shared" ca="1" si="39"/>
        <v>1786.6577073110673</v>
      </c>
    </row>
    <row r="259" spans="1:16" s="165" customFormat="1" x14ac:dyDescent="0.3">
      <c r="A259" s="165">
        <f>MATCH(Calcs!B259,Paste_Report_Here!$1:$1,0) -1</f>
        <v>18</v>
      </c>
      <c r="B259" s="165" t="s">
        <v>136</v>
      </c>
      <c r="C259" s="166">
        <f ca="1">RANK(N259,N246:N270)</f>
        <v>7</v>
      </c>
      <c r="D259" s="166">
        <f ca="1">RANK(P259,P246:P270)</f>
        <v>3</v>
      </c>
      <c r="E259" s="189" t="s">
        <v>165</v>
      </c>
      <c r="F259" s="179">
        <f ca="1">COUNTIFS(Paste_Report_Here!$E$1:$E$2000,E240, OFFSET(Paste_Report_Here!$A$1,0,$A259,2000,1),F$75)</f>
        <v>0</v>
      </c>
      <c r="G259" s="180">
        <f ca="1">COUNTIFS(Paste_Report_Here!$E$1:$E$2000,E240, OFFSET(Paste_Report_Here!$A$1,0,$A259,2000,1),G$75)</f>
        <v>2</v>
      </c>
      <c r="H259" s="180">
        <f ca="1">COUNTIFS(Paste_Report_Here!$E$1:$E$2000,E240, OFFSET(Paste_Report_Here!$A$1,0,$A259,2000,1),H$75)</f>
        <v>28</v>
      </c>
      <c r="I259" s="180">
        <f ca="1">COUNTIFS(Paste_Report_Here!$E$1:$E$2000,E240, OFFSET(Paste_Report_Here!$A$1,0,$A259,2000,1),I$75)</f>
        <v>6</v>
      </c>
      <c r="J259" s="180">
        <f ca="1">COUNTIFS(Paste_Report_Here!$E$1:$E$2000,E240, OFFSET(Paste_Report_Here!$A$1,0,$A259,2000,1),J$75)</f>
        <v>1</v>
      </c>
      <c r="K259" s="181">
        <f ca="1">COUNTIFS(Paste_Report_Here!$E$1:$E$2000,E240, OFFSET(Paste_Report_Here!$A$1,0,$A259,2000,1),K$75)</f>
        <v>0</v>
      </c>
      <c r="L259" s="166">
        <f t="shared" ca="1" si="37"/>
        <v>37</v>
      </c>
      <c r="M259" s="183">
        <f ca="1">SUMPRODUCT(F259:K259,F244:K244)/L:L</f>
        <v>5.4054054054054057E-3</v>
      </c>
      <c r="N259" s="166">
        <f t="shared" ca="1" si="38"/>
        <v>1.0054200409677034</v>
      </c>
      <c r="O259" s="165">
        <f t="shared" ca="1" si="40"/>
        <v>3564.8781040586482</v>
      </c>
      <c r="P259" s="165">
        <f t="shared" ca="1" si="39"/>
        <v>3584.1998894275148</v>
      </c>
    </row>
    <row r="260" spans="1:16" s="165" customFormat="1" x14ac:dyDescent="0.3">
      <c r="A260" s="165">
        <f>MATCH(Calcs!B260,Paste_Report_Here!$1:$1,0) -1</f>
        <v>19</v>
      </c>
      <c r="B260" s="165" t="s">
        <v>137</v>
      </c>
      <c r="C260" s="166">
        <f ca="1">RANK(N260,N246:N270)</f>
        <v>16</v>
      </c>
      <c r="D260" s="166">
        <f ca="1">RANK(P260,P246:P270)</f>
        <v>15</v>
      </c>
      <c r="E260" s="189" t="s">
        <v>166</v>
      </c>
      <c r="F260" s="179">
        <f ca="1">COUNTIFS(Paste_Report_Here!$E$1:$E$2000,E240, OFFSET(Paste_Report_Here!$A$1,0,$A260,2000,1),F$75)</f>
        <v>0</v>
      </c>
      <c r="G260" s="180">
        <f ca="1">COUNTIFS(Paste_Report_Here!$E$1:$E$2000,E240, OFFSET(Paste_Report_Here!$A$1,0,$A260,2000,1),G$75)</f>
        <v>3</v>
      </c>
      <c r="H260" s="180">
        <f ca="1">COUNTIFS(Paste_Report_Here!$E$1:$E$2000,E240, OFFSET(Paste_Report_Here!$A$1,0,$A260,2000,1),H$75)</f>
        <v>26</v>
      </c>
      <c r="I260" s="180">
        <f ca="1">COUNTIFS(Paste_Report_Here!$E$1:$E$2000,E240, OFFSET(Paste_Report_Here!$A$1,0,$A260,2000,1),I$75)</f>
        <v>8</v>
      </c>
      <c r="J260" s="180">
        <f ca="1">COUNTIFS(Paste_Report_Here!$E$1:$E$2000,E240, OFFSET(Paste_Report_Here!$A$1,0,$A260,2000,1),J$75)</f>
        <v>0</v>
      </c>
      <c r="K260" s="181">
        <f ca="1">COUNTIFS(Paste_Report_Here!$E$1:$E$2000,E240, OFFSET(Paste_Report_Here!$A$1,0,$A260,2000,1),K$75)</f>
        <v>0</v>
      </c>
      <c r="L260" s="166">
        <f t="shared" ca="1" si="37"/>
        <v>37</v>
      </c>
      <c r="M260" s="183">
        <f ca="1">SUMPRODUCT(F260:K260,F244:K244)/L:L</f>
        <v>0</v>
      </c>
      <c r="N260" s="166">
        <f t="shared" ca="1" si="38"/>
        <v>1</v>
      </c>
      <c r="O260" s="165">
        <f t="shared" ca="1" si="40"/>
        <v>2093.0126309194029</v>
      </c>
      <c r="P260" s="165">
        <f t="shared" ca="1" si="39"/>
        <v>2093.0126309194029</v>
      </c>
    </row>
    <row r="261" spans="1:16" s="165" customFormat="1" x14ac:dyDescent="0.3">
      <c r="A261" s="165">
        <f>MATCH(Calcs!B261,Paste_Report_Here!$1:$1,0) -1</f>
        <v>20</v>
      </c>
      <c r="B261" s="165" t="s">
        <v>138</v>
      </c>
      <c r="C261" s="166">
        <f ca="1">RANK(N261,N246:N270)</f>
        <v>16</v>
      </c>
      <c r="D261" s="166">
        <f ca="1">RANK(P261,P246:P270)</f>
        <v>17</v>
      </c>
      <c r="E261" s="189" t="s">
        <v>167</v>
      </c>
      <c r="F261" s="179">
        <f ca="1">COUNTIFS(Paste_Report_Here!$E$1:$E$2000,E240, OFFSET(Paste_Report_Here!$A$1,0,$A261,2000,1),F$75)</f>
        <v>0</v>
      </c>
      <c r="G261" s="180">
        <f ca="1">COUNTIFS(Paste_Report_Here!$E$1:$E$2000,E240, OFFSET(Paste_Report_Here!$A$1,0,$A261,2000,1),G$75)</f>
        <v>1</v>
      </c>
      <c r="H261" s="180">
        <f ca="1">COUNTIFS(Paste_Report_Here!$E$1:$E$2000,E240, OFFSET(Paste_Report_Here!$A$1,0,$A261,2000,1),H$75)</f>
        <v>19</v>
      </c>
      <c r="I261" s="180">
        <f ca="1">COUNTIFS(Paste_Report_Here!$E$1:$E$2000,E240, OFFSET(Paste_Report_Here!$A$1,0,$A261,2000,1),I$75)</f>
        <v>17</v>
      </c>
      <c r="J261" s="180">
        <f ca="1">COUNTIFS(Paste_Report_Here!$E$1:$E$2000,E240, OFFSET(Paste_Report_Here!$A$1,0,$A261,2000,1),J$75)</f>
        <v>0</v>
      </c>
      <c r="K261" s="181">
        <f ca="1">COUNTIFS(Paste_Report_Here!$E$1:$E$2000,E240, OFFSET(Paste_Report_Here!$A$1,0,$A261,2000,1),K$75)</f>
        <v>0</v>
      </c>
      <c r="L261" s="166">
        <f t="shared" ca="1" si="37"/>
        <v>37</v>
      </c>
      <c r="M261" s="183">
        <f ca="1">SUMPRODUCT(F261:K261,F244:K244)/L:L</f>
        <v>0</v>
      </c>
      <c r="N261" s="166">
        <f t="shared" ca="1" si="38"/>
        <v>1</v>
      </c>
      <c r="O261" s="165">
        <f t="shared" ca="1" si="40"/>
        <v>1972.0288244479723</v>
      </c>
      <c r="P261" s="165">
        <f t="shared" ca="1" si="39"/>
        <v>1972.0288244479723</v>
      </c>
    </row>
    <row r="262" spans="1:16" s="165" customFormat="1" x14ac:dyDescent="0.3">
      <c r="A262" s="165">
        <f>MATCH(Calcs!B262,Paste_Report_Here!$1:$1,0) -1</f>
        <v>21</v>
      </c>
      <c r="B262" s="165" t="s">
        <v>139</v>
      </c>
      <c r="C262" s="166">
        <f ca="1">RANK(N262,N246:N270)</f>
        <v>7</v>
      </c>
      <c r="D262" s="166">
        <f ca="1">RANK(P262,P246:P270)</f>
        <v>14</v>
      </c>
      <c r="E262" s="189" t="s">
        <v>168</v>
      </c>
      <c r="F262" s="179">
        <f ca="1">COUNTIFS(Paste_Report_Here!$E$1:$E$2000,E240, OFFSET(Paste_Report_Here!$A$1,0,$A262,2000,1),F$75)</f>
        <v>0</v>
      </c>
      <c r="G262" s="180">
        <f ca="1">COUNTIFS(Paste_Report_Here!$E$1:$E$2000,E240, OFFSET(Paste_Report_Here!$A$1,0,$A262,2000,1),G$75)</f>
        <v>2</v>
      </c>
      <c r="H262" s="180">
        <f ca="1">COUNTIFS(Paste_Report_Here!$E$1:$E$2000,E240, OFFSET(Paste_Report_Here!$A$1,0,$A262,2000,1),H$75)</f>
        <v>25</v>
      </c>
      <c r="I262" s="180">
        <f ca="1">COUNTIFS(Paste_Report_Here!$E$1:$E$2000,E240, OFFSET(Paste_Report_Here!$A$1,0,$A262,2000,1),I$75)</f>
        <v>9</v>
      </c>
      <c r="J262" s="180">
        <f ca="1">COUNTIFS(Paste_Report_Here!$E$1:$E$2000,E240, OFFSET(Paste_Report_Here!$A$1,0,$A262,2000,1),J$75)</f>
        <v>1</v>
      </c>
      <c r="K262" s="181">
        <f ca="1">COUNTIFS(Paste_Report_Here!$E$1:$E$2000,E240, OFFSET(Paste_Report_Here!$A$1,0,$A262,2000,1),K$75)</f>
        <v>0</v>
      </c>
      <c r="L262" s="166">
        <f t="shared" ca="1" si="37"/>
        <v>37</v>
      </c>
      <c r="M262" s="183">
        <f ca="1">SUMPRODUCT(F262:K262,F244:K244)/L:L</f>
        <v>5.4054054054054057E-3</v>
      </c>
      <c r="N262" s="166">
        <f t="shared" ca="1" si="38"/>
        <v>1.0054200409677034</v>
      </c>
      <c r="O262" s="165">
        <f t="shared" ca="1" si="40"/>
        <v>2087.8015495756072</v>
      </c>
      <c r="P262" s="165">
        <f t="shared" ca="1" si="39"/>
        <v>2099.1175195067417</v>
      </c>
    </row>
    <row r="263" spans="1:16" s="165" customFormat="1" x14ac:dyDescent="0.3">
      <c r="A263" s="165">
        <f>MATCH(Calcs!B263,Paste_Report_Here!$1:$1,0) -1</f>
        <v>22</v>
      </c>
      <c r="B263" s="165" t="s">
        <v>140</v>
      </c>
      <c r="C263" s="166">
        <f ca="1">RANK(N263,N246:N270)</f>
        <v>7</v>
      </c>
      <c r="D263" s="166">
        <f ca="1">RANK(P263,P246:P270)</f>
        <v>18</v>
      </c>
      <c r="E263" s="189" t="s">
        <v>169</v>
      </c>
      <c r="F263" s="179">
        <f ca="1">COUNTIFS(Paste_Report_Here!$E$1:$E$2000,E240, OFFSET(Paste_Report_Here!$A$1,0,$A263,2000,1),F$75)</f>
        <v>0</v>
      </c>
      <c r="G263" s="180">
        <f ca="1">COUNTIFS(Paste_Report_Here!$E$1:$E$2000,E240, OFFSET(Paste_Report_Here!$A$1,0,$A263,2000,1),G$75)</f>
        <v>2</v>
      </c>
      <c r="H263" s="180">
        <f ca="1">COUNTIFS(Paste_Report_Here!$E$1:$E$2000,E240, OFFSET(Paste_Report_Here!$A$1,0,$A263,2000,1),H$75)</f>
        <v>26</v>
      </c>
      <c r="I263" s="180">
        <f ca="1">COUNTIFS(Paste_Report_Here!$E$1:$E$2000,E240, OFFSET(Paste_Report_Here!$A$1,0,$A263,2000,1),I$75)</f>
        <v>8</v>
      </c>
      <c r="J263" s="180">
        <f ca="1">COUNTIFS(Paste_Report_Here!$E$1:$E$2000,E240, OFFSET(Paste_Report_Here!$A$1,0,$A263,2000,1),J$75)</f>
        <v>1</v>
      </c>
      <c r="K263" s="181">
        <f ca="1">COUNTIFS(Paste_Report_Here!$E$1:$E$2000,E240, OFFSET(Paste_Report_Here!$A$1,0,$A263,2000,1),K$75)</f>
        <v>0</v>
      </c>
      <c r="L263" s="166">
        <f t="shared" ca="1" si="37"/>
        <v>37</v>
      </c>
      <c r="M263" s="183">
        <f ca="1">SUMPRODUCT(F263:K263,F244:K244)/L:L</f>
        <v>5.4054054054054057E-3</v>
      </c>
      <c r="N263" s="166">
        <f t="shared" ca="1" si="38"/>
        <v>1.0054200409677034</v>
      </c>
      <c r="O263" s="165">
        <f t="shared" ca="1" si="40"/>
        <v>1956.976399481317</v>
      </c>
      <c r="P263" s="165">
        <f t="shared" ca="1" si="39"/>
        <v>1967.5832917393345</v>
      </c>
    </row>
    <row r="264" spans="1:16" s="165" customFormat="1" x14ac:dyDescent="0.3">
      <c r="A264" s="165">
        <f>MATCH(Calcs!B264,Paste_Report_Here!$1:$1,0) -1</f>
        <v>23</v>
      </c>
      <c r="B264" s="165" t="s">
        <v>186</v>
      </c>
      <c r="C264" s="166">
        <f ca="1">RANK(N264,N246:N270)</f>
        <v>7</v>
      </c>
      <c r="D264" s="166">
        <f ca="1">RANK(P264,P246:P270)</f>
        <v>2</v>
      </c>
      <c r="E264" s="189" t="s">
        <v>180</v>
      </c>
      <c r="F264" s="179">
        <f ca="1">COUNTIFS(Paste_Report_Here!$E$1:$E$2000,E240, OFFSET(Paste_Report_Here!$A$1,0,$A264,2000,1),F$75)</f>
        <v>0</v>
      </c>
      <c r="G264" s="180">
        <f ca="1">COUNTIFS(Paste_Report_Here!$E$1:$E$2000,E240, OFFSET(Paste_Report_Here!$A$1,0,$A264,2000,1),G$75)</f>
        <v>1</v>
      </c>
      <c r="H264" s="180">
        <f ca="1">COUNTIFS(Paste_Report_Here!$E$1:$E$2000,E240, OFFSET(Paste_Report_Here!$A$1,0,$A264,2000,1),H$75)</f>
        <v>27</v>
      </c>
      <c r="I264" s="180">
        <f ca="1">COUNTIFS(Paste_Report_Here!$E$1:$E$2000,E240, OFFSET(Paste_Report_Here!$A$1,0,$A264,2000,1),I$75)</f>
        <v>8</v>
      </c>
      <c r="J264" s="180">
        <f ca="1">COUNTIFS(Paste_Report_Here!$E$1:$E$2000,E240, OFFSET(Paste_Report_Here!$A$1,0,$A264,2000,1),J$75)</f>
        <v>1</v>
      </c>
      <c r="K264" s="181">
        <f ca="1">COUNTIFS(Paste_Report_Here!$E$1:$E$2000,E240, OFFSET(Paste_Report_Here!$A$1,0,$A264,2000,1),K$75)</f>
        <v>0</v>
      </c>
      <c r="L264" s="166">
        <f t="shared" ca="1" si="37"/>
        <v>37</v>
      </c>
      <c r="M264" s="183">
        <f ca="1">SUMPRODUCT(F264:K264,F244:K244)/L:L</f>
        <v>5.4054054054054057E-3</v>
      </c>
      <c r="N264" s="166">
        <f t="shared" ca="1" si="38"/>
        <v>1.0054200409677034</v>
      </c>
      <c r="O264" s="165">
        <f t="shared" ca="1" si="40"/>
        <v>3629.1084205653524</v>
      </c>
      <c r="P264" s="165">
        <f t="shared" ca="1" si="39"/>
        <v>3648.7783368810542</v>
      </c>
    </row>
    <row r="265" spans="1:16" s="165" customFormat="1" x14ac:dyDescent="0.3">
      <c r="A265" s="165">
        <f>MATCH(Calcs!B265,Paste_Report_Here!$1:$1,0) -1</f>
        <v>24</v>
      </c>
      <c r="B265" s="165" t="s">
        <v>209</v>
      </c>
      <c r="C265" s="166">
        <f ca="1">RANK(N265,N246:N270)</f>
        <v>16</v>
      </c>
      <c r="D265" s="166">
        <f ca="1">RANK(P265,P246:P270)</f>
        <v>25</v>
      </c>
      <c r="E265" s="202" t="s">
        <v>211</v>
      </c>
      <c r="F265" s="179">
        <f ca="1">COUNTIFS(Paste_Report_Here!$E$1:$E$2000,E240, OFFSET(Paste_Report_Here!$A$1,0,$A265,2000,1),F$75)</f>
        <v>0</v>
      </c>
      <c r="G265" s="180">
        <f ca="1">COUNTIFS(Paste_Report_Here!$E$1:$E$2000,E240, OFFSET(Paste_Report_Here!$A$1,0,$A265,2000,1),G$75)</f>
        <v>2</v>
      </c>
      <c r="H265" s="180">
        <f ca="1">COUNTIFS(Paste_Report_Here!$E$1:$E$2000,E240, OFFSET(Paste_Report_Here!$A$1,0,$A265,2000,1),H$75)</f>
        <v>30</v>
      </c>
      <c r="I265" s="180">
        <f ca="1">COUNTIFS(Paste_Report_Here!$E$1:$E$2000,E240, OFFSET(Paste_Report_Here!$A$1,0,$A265,2000,1),I$75)</f>
        <v>4</v>
      </c>
      <c r="J265" s="180">
        <f ca="1">COUNTIFS(Paste_Report_Here!$E$1:$E$2000,E240, OFFSET(Paste_Report_Here!$A$1,0,$A265,2000,1),J$75)</f>
        <v>0</v>
      </c>
      <c r="K265" s="181">
        <f ca="1">COUNTIFS(Paste_Report_Here!$E$1:$E$2000,E240, OFFSET(Paste_Report_Here!$A$1,0,$A265,2000,1),K$75)</f>
        <v>1</v>
      </c>
      <c r="L265" s="166">
        <f t="shared" ca="1" si="37"/>
        <v>37</v>
      </c>
      <c r="M265" s="183">
        <f ca="1">SUMPRODUCT(F265:K265,F244:K244)/L:L</f>
        <v>0</v>
      </c>
      <c r="N265" s="166">
        <f t="shared" ca="1" si="38"/>
        <v>1</v>
      </c>
      <c r="O265" s="165">
        <f t="shared" ca="1" si="40"/>
        <v>1165.3498076526269</v>
      </c>
      <c r="P265" s="165">
        <f t="shared" ca="1" si="39"/>
        <v>1165.3498076526269</v>
      </c>
    </row>
    <row r="266" spans="1:16" s="165" customFormat="1" x14ac:dyDescent="0.3">
      <c r="A266" s="165">
        <f>MATCH(Calcs!B266,Paste_Report_Here!$1:$1,0) -1</f>
        <v>25</v>
      </c>
      <c r="B266" s="165" t="s">
        <v>141</v>
      </c>
      <c r="C266" s="166">
        <f ca="1">RANK(N266,N246:N270)</f>
        <v>1</v>
      </c>
      <c r="D266" s="166">
        <f ca="1">RANK(P266,P246:P270)</f>
        <v>22</v>
      </c>
      <c r="E266" s="189" t="s">
        <v>170</v>
      </c>
      <c r="F266" s="179">
        <f ca="1">COUNTIFS(Paste_Report_Here!$E$1:$E$2000,E240, OFFSET(Paste_Report_Here!$A$1,0,$A266,2000,1),F$75)</f>
        <v>0</v>
      </c>
      <c r="G266" s="180">
        <f ca="1">COUNTIFS(Paste_Report_Here!$E$1:$E$2000,E240, OFFSET(Paste_Report_Here!$A$1,0,$A266,2000,1),G$75)</f>
        <v>4</v>
      </c>
      <c r="H266" s="180">
        <f ca="1">COUNTIFS(Paste_Report_Here!$E$1:$E$2000,E240, OFFSET(Paste_Report_Here!$A$1,0,$A266,2000,1),H$75)</f>
        <v>23</v>
      </c>
      <c r="I266" s="180">
        <f ca="1">COUNTIFS(Paste_Report_Here!$E$1:$E$2000,E240, OFFSET(Paste_Report_Here!$A$1,0,$A266,2000,1),I$75)</f>
        <v>8</v>
      </c>
      <c r="J266" s="180">
        <f ca="1">COUNTIFS(Paste_Report_Here!$E$1:$E$2000,E240, OFFSET(Paste_Report_Here!$A$1,0,$A266,2000,1),J$75)</f>
        <v>2</v>
      </c>
      <c r="K266" s="181">
        <f ca="1">COUNTIFS(Paste_Report_Here!$E$1:$E$2000,E240, OFFSET(Paste_Report_Here!$A$1,0,$A266,2000,1),K$75)</f>
        <v>0</v>
      </c>
      <c r="L266" s="166">
        <f t="shared" ca="1" si="37"/>
        <v>37</v>
      </c>
      <c r="M266" s="183">
        <f ca="1">SUMPRODUCT(F266:K266,F244:K244)/L:L</f>
        <v>1.0810810810810811E-2</v>
      </c>
      <c r="N266" s="166">
        <f t="shared" ca="1" si="38"/>
        <v>1.0108694587794986</v>
      </c>
      <c r="O266" s="165">
        <f t="shared" ca="1" si="40"/>
        <v>1388.3239889699576</v>
      </c>
      <c r="P266" s="165">
        <f t="shared" ca="1" si="39"/>
        <v>1403.4143193406555</v>
      </c>
    </row>
    <row r="267" spans="1:16" s="165" customFormat="1" x14ac:dyDescent="0.3">
      <c r="A267" s="165">
        <f>MATCH(Calcs!B267,Paste_Report_Here!$1:$1,0) -1</f>
        <v>26</v>
      </c>
      <c r="B267" s="165" t="s">
        <v>142</v>
      </c>
      <c r="C267" s="166">
        <f ca="1">RANK(N267,N246:N270)</f>
        <v>16</v>
      </c>
      <c r="D267" s="166">
        <f ca="1">RANK(P267,P246:P270)</f>
        <v>10</v>
      </c>
      <c r="E267" s="189" t="s">
        <v>171</v>
      </c>
      <c r="F267" s="179">
        <f ca="1">COUNTIFS(Paste_Report_Here!$E$1:$E$2000,E240, OFFSET(Paste_Report_Here!$A$1,0,$A267,2000,1),F$75)</f>
        <v>0</v>
      </c>
      <c r="G267" s="180">
        <f ca="1">COUNTIFS(Paste_Report_Here!$E$1:$E$2000,E240, OFFSET(Paste_Report_Here!$A$1,0,$A267,2000,1),G$75)</f>
        <v>1</v>
      </c>
      <c r="H267" s="180">
        <f ca="1">COUNTIFS(Paste_Report_Here!$E$1:$E$2000,E240, OFFSET(Paste_Report_Here!$A$1,0,$A267,2000,1),H$75)</f>
        <v>24</v>
      </c>
      <c r="I267" s="180">
        <f ca="1">COUNTIFS(Paste_Report_Here!$E$1:$E$2000,E240, OFFSET(Paste_Report_Here!$A$1,0,$A267,2000,1),I$75)</f>
        <v>12</v>
      </c>
      <c r="J267" s="180">
        <f ca="1">COUNTIFS(Paste_Report_Here!$E$1:$E$2000,E240, OFFSET(Paste_Report_Here!$A$1,0,$A267,2000,1),J$75)</f>
        <v>0</v>
      </c>
      <c r="K267" s="181">
        <f ca="1">COUNTIFS(Paste_Report_Here!$E$1:$E$2000,E240, OFFSET(Paste_Report_Here!$A$1,0,$A267,2000,1),K$75)</f>
        <v>0</v>
      </c>
      <c r="L267" s="166">
        <f t="shared" ca="1" si="37"/>
        <v>37</v>
      </c>
      <c r="M267" s="183">
        <f ca="1">SUMPRODUCT(F267:K267,F244:K244)/L:L</f>
        <v>0</v>
      </c>
      <c r="N267" s="166">
        <f t="shared" ca="1" si="38"/>
        <v>1</v>
      </c>
      <c r="O267" s="165">
        <f t="shared" ca="1" si="40"/>
        <v>2332.1390085913845</v>
      </c>
      <c r="P267" s="165">
        <f t="shared" ca="1" si="39"/>
        <v>2332.1390085913845</v>
      </c>
    </row>
    <row r="268" spans="1:16" s="165" customFormat="1" x14ac:dyDescent="0.3">
      <c r="A268" s="165">
        <f>MATCH(Calcs!B268,Paste_Report_Here!$1:$1,0) -1</f>
        <v>27</v>
      </c>
      <c r="B268" s="165" t="s">
        <v>210</v>
      </c>
      <c r="C268" s="166">
        <f ca="1">RANK(N268,N246:N270)</f>
        <v>16</v>
      </c>
      <c r="D268" s="166">
        <f ca="1">RANK(P268,P246:P270)</f>
        <v>23</v>
      </c>
      <c r="E268" s="202" t="s">
        <v>212</v>
      </c>
      <c r="F268" s="179">
        <f ca="1">COUNTIFS(Paste_Report_Here!$E$1:$E$2000,E240, OFFSET(Paste_Report_Here!$A$1,0,$A268,2000,1),F$75)</f>
        <v>0</v>
      </c>
      <c r="G268" s="180">
        <f ca="1">COUNTIFS(Paste_Report_Here!$E$1:$E$2000,E240, OFFSET(Paste_Report_Here!$A$1,0,$A268,2000,1),G$75)</f>
        <v>2</v>
      </c>
      <c r="H268" s="180">
        <f ca="1">COUNTIFS(Paste_Report_Here!$E$1:$E$2000,E240, OFFSET(Paste_Report_Here!$A$1,0,$A268,2000,1),H$75)</f>
        <v>28</v>
      </c>
      <c r="I268" s="180">
        <f ca="1">COUNTIFS(Paste_Report_Here!$E$1:$E$2000,E240, OFFSET(Paste_Report_Here!$A$1,0,$A268,2000,1),I$75)</f>
        <v>7</v>
      </c>
      <c r="J268" s="180">
        <f ca="1">COUNTIFS(Paste_Report_Here!$E$1:$E$2000,E240, OFFSET(Paste_Report_Here!$A$1,0,$A268,2000,1),J$75)</f>
        <v>0</v>
      </c>
      <c r="K268" s="181">
        <f ca="1">COUNTIFS(Paste_Report_Here!$E$1:$E$2000,E240, OFFSET(Paste_Report_Here!$A$1,0,$A268,2000,1),K$75)</f>
        <v>0</v>
      </c>
      <c r="L268" s="166">
        <f t="shared" ca="1" si="37"/>
        <v>37</v>
      </c>
      <c r="M268" s="183">
        <f ca="1">SUMPRODUCT(F268:K268,F244:K244)/L:L</f>
        <v>0</v>
      </c>
      <c r="N268" s="166">
        <f t="shared" ca="1" si="38"/>
        <v>1</v>
      </c>
      <c r="O268" s="165">
        <f t="shared" ca="1" si="40"/>
        <v>1173.6569265350035</v>
      </c>
      <c r="P268" s="165">
        <f t="shared" ca="1" si="39"/>
        <v>1173.6569265350035</v>
      </c>
    </row>
    <row r="269" spans="1:16" s="165" customFormat="1" x14ac:dyDescent="0.3">
      <c r="A269" s="165">
        <f>MATCH(Calcs!B269,Paste_Report_Here!$1:$1,0) -1</f>
        <v>28</v>
      </c>
      <c r="B269" s="165" t="s">
        <v>143</v>
      </c>
      <c r="C269" s="166">
        <f ca="1">RANK(N269,N246:N270)</f>
        <v>1</v>
      </c>
      <c r="D269" s="166">
        <f ca="1">RANK(P269,P246:P270)</f>
        <v>1</v>
      </c>
      <c r="E269" s="189" t="s">
        <v>172</v>
      </c>
      <c r="F269" s="179">
        <f ca="1">COUNTIFS(Paste_Report_Here!$E$1:$E$2000,E240, OFFSET(Paste_Report_Here!$A$1,0,$A269,2000,1),F$75)</f>
        <v>0</v>
      </c>
      <c r="G269" s="180">
        <f ca="1">COUNTIFS(Paste_Report_Here!$E$1:$E$2000,E240, OFFSET(Paste_Report_Here!$A$1,0,$A269,2000,1),G$75)</f>
        <v>0</v>
      </c>
      <c r="H269" s="180">
        <f ca="1">COUNTIFS(Paste_Report_Here!$E$1:$E$2000,E240, OFFSET(Paste_Report_Here!$A$1,0,$A269,2000,1),H$75)</f>
        <v>19</v>
      </c>
      <c r="I269" s="180">
        <f ca="1">COUNTIFS(Paste_Report_Here!$E$1:$E$2000,E240, OFFSET(Paste_Report_Here!$A$1,0,$A269,2000,1),I$75)</f>
        <v>16</v>
      </c>
      <c r="J269" s="180">
        <f ca="1">COUNTIFS(Paste_Report_Here!$E$1:$E$2000,E240, OFFSET(Paste_Report_Here!$A$1,0,$A269,2000,1),J$75)</f>
        <v>2</v>
      </c>
      <c r="K269" s="181">
        <f ca="1">COUNTIFS(Paste_Report_Here!$E$1:$E$2000,E240, OFFSET(Paste_Report_Here!$A$1,0,$A269,2000,1),K$75)</f>
        <v>0</v>
      </c>
      <c r="L269" s="166">
        <f t="shared" ca="1" si="37"/>
        <v>37</v>
      </c>
      <c r="M269" s="183">
        <f ca="1">SUMPRODUCT(F269:K269,F244:K244)/L:L</f>
        <v>1.0810810810810811E-2</v>
      </c>
      <c r="N269" s="166">
        <f t="shared" ca="1" si="38"/>
        <v>1.0108694587794986</v>
      </c>
      <c r="O269" s="165">
        <f t="shared" ca="1" si="40"/>
        <v>6973.2928020385125</v>
      </c>
      <c r="P269" s="165">
        <f t="shared" ca="1" si="39"/>
        <v>7049.0887207076448</v>
      </c>
    </row>
    <row r="270" spans="1:16" s="165" customFormat="1" x14ac:dyDescent="0.3">
      <c r="A270" s="165">
        <f>MATCH(Calcs!B270,Paste_Report_Here!$1:$1,0) -1</f>
        <v>29</v>
      </c>
      <c r="B270" s="187" t="s">
        <v>144</v>
      </c>
      <c r="C270" s="147">
        <f ca="1">RANK(N270,N246:N270)</f>
        <v>16</v>
      </c>
      <c r="D270" s="147">
        <f ca="1">RANK(P270,P246:P270)</f>
        <v>11</v>
      </c>
      <c r="E270" s="145" t="s">
        <v>173</v>
      </c>
      <c r="F270" s="146">
        <f ca="1">COUNTIFS(Paste_Report_Here!$E$1:$E$2000,E240, OFFSET(Paste_Report_Here!$A$1,0,$A270,2000,1),F$75)</f>
        <v>0</v>
      </c>
      <c r="G270" s="147">
        <f ca="1">COUNTIFS(Paste_Report_Here!$E$1:$E$2000,E240, OFFSET(Paste_Report_Here!$A$1,0,$A270,2000,1),G$75)</f>
        <v>0</v>
      </c>
      <c r="H270" s="147">
        <f ca="1">COUNTIFS(Paste_Report_Here!$E$1:$E$2000,E240, OFFSET(Paste_Report_Here!$A$1,0,$A270,2000,1),H$75)</f>
        <v>29</v>
      </c>
      <c r="I270" s="147">
        <f ca="1">COUNTIFS(Paste_Report_Here!$E$1:$E$2000,E240, OFFSET(Paste_Report_Here!$A$1,0,$A270,2000,1),I$75)</f>
        <v>8</v>
      </c>
      <c r="J270" s="147">
        <f ca="1">COUNTIFS(Paste_Report_Here!$E$1:$E$2000,E240, OFFSET(Paste_Report_Here!$A$1,0,$A270,2000,1),J$75)</f>
        <v>0</v>
      </c>
      <c r="K270" s="148">
        <f ca="1">COUNTIFS(Paste_Report_Here!$E$1:$E$2000,E240, OFFSET(Paste_Report_Here!$A$1,0,$A270,2000,1),K$75)</f>
        <v>0</v>
      </c>
      <c r="L270" s="147">
        <f t="shared" ca="1" si="37"/>
        <v>37</v>
      </c>
      <c r="M270" s="149">
        <f ca="1">SUMPRODUCT(F270:K270,F244:K244)/L:L</f>
        <v>0</v>
      </c>
      <c r="N270" s="147">
        <f t="shared" ca="1" si="38"/>
        <v>1</v>
      </c>
      <c r="O270" s="187">
        <f t="shared" ca="1" si="40"/>
        <v>2315.1929117932332</v>
      </c>
      <c r="P270" s="165">
        <f t="shared" ca="1" si="39"/>
        <v>2315.1929117932332</v>
      </c>
    </row>
    <row r="271" spans="1:16" s="165" customFormat="1" x14ac:dyDescent="0.3">
      <c r="C271" s="166"/>
      <c r="E271" s="140" t="s">
        <v>293</v>
      </c>
      <c r="F271" s="180">
        <f ca="1">SUM(F246:F270)</f>
        <v>2</v>
      </c>
      <c r="G271" s="180">
        <f t="shared" ref="G271:L271" ca="1" si="41">SUM(G246:G270)</f>
        <v>37</v>
      </c>
      <c r="H271" s="180">
        <f t="shared" ca="1" si="41"/>
        <v>643</v>
      </c>
      <c r="I271" s="180">
        <f t="shared" ca="1" si="41"/>
        <v>220</v>
      </c>
      <c r="J271" s="180">
        <f t="shared" ca="1" si="41"/>
        <v>22</v>
      </c>
      <c r="K271" s="180">
        <f t="shared" ca="1" si="41"/>
        <v>1</v>
      </c>
      <c r="L271" s="180">
        <f t="shared" ca="1" si="41"/>
        <v>925</v>
      </c>
      <c r="M271" s="144">
        <f ca="1">SUMPRODUCT(F271:K271,F244:K244)/L271</f>
        <v>4.3243243243243244E-3</v>
      </c>
      <c r="N271" s="166">
        <f t="shared" ca="1" si="38"/>
        <v>1.0043336877066575</v>
      </c>
      <c r="O271" s="165">
        <f t="shared" ca="1" si="40"/>
        <v>2532.6013178400613</v>
      </c>
      <c r="P271" s="165">
        <f t="shared" ca="1" si="39"/>
        <v>2543.5768210370493</v>
      </c>
    </row>
    <row r="272" spans="1:16" s="165" customFormat="1" x14ac:dyDescent="0.3">
      <c r="A272" s="194"/>
      <c r="B272" s="194"/>
      <c r="C272" s="153"/>
      <c r="D272" s="194"/>
      <c r="E272" s="164"/>
      <c r="F272" s="151"/>
      <c r="G272" s="151"/>
      <c r="H272" s="151"/>
      <c r="I272" s="151"/>
      <c r="J272" s="151"/>
      <c r="K272" s="151"/>
      <c r="L272" s="151"/>
      <c r="M272" s="162"/>
      <c r="N272" s="153"/>
      <c r="O272" s="194"/>
      <c r="P272" s="194"/>
    </row>
    <row r="273" spans="1:16" s="165" customFormat="1" x14ac:dyDescent="0.3">
      <c r="E273" s="173" t="s">
        <v>292</v>
      </c>
    </row>
    <row r="274" spans="1:16" s="165" customFormat="1" x14ac:dyDescent="0.3">
      <c r="E274" s="141">
        <v>40785</v>
      </c>
    </row>
    <row r="275" spans="1:16" s="165" customFormat="1" ht="15" thickBot="1" x14ac:dyDescent="0.35"/>
    <row r="276" spans="1:16" s="165" customFormat="1" ht="24.6" thickBot="1" x14ac:dyDescent="0.35">
      <c r="F276" s="174" t="s">
        <v>23</v>
      </c>
      <c r="G276" s="168" t="s">
        <v>18</v>
      </c>
      <c r="H276" s="168" t="s">
        <v>16</v>
      </c>
      <c r="I276" s="168" t="s">
        <v>17</v>
      </c>
      <c r="J276" s="168" t="s">
        <v>19</v>
      </c>
      <c r="K276" s="169" t="s">
        <v>114</v>
      </c>
    </row>
    <row r="277" spans="1:16" s="165" customFormat="1" x14ac:dyDescent="0.3">
      <c r="F277" s="267" t="s">
        <v>201</v>
      </c>
      <c r="G277" s="268"/>
      <c r="H277" s="268"/>
      <c r="I277" s="268"/>
      <c r="J277" s="268"/>
      <c r="K277" s="169"/>
      <c r="M277" s="203">
        <f ca="1">(H305+K305)/L305</f>
        <v>0.69411764705882351</v>
      </c>
      <c r="N277" s="204" t="s">
        <v>501</v>
      </c>
    </row>
    <row r="278" spans="1:16" s="165" customFormat="1" ht="43.8" thickBot="1" x14ac:dyDescent="0.35">
      <c r="A278" s="142" t="s">
        <v>294</v>
      </c>
      <c r="B278" s="142" t="s">
        <v>295</v>
      </c>
      <c r="C278" s="197" t="s">
        <v>440</v>
      </c>
      <c r="D278" s="142" t="s">
        <v>441</v>
      </c>
      <c r="E278" s="171" t="s">
        <v>30</v>
      </c>
      <c r="F278" s="175">
        <f>Falling_fast</f>
        <v>-0.2</v>
      </c>
      <c r="G278" s="176">
        <f>Falling</f>
        <v>0</v>
      </c>
      <c r="H278" s="177">
        <f>Static</f>
        <v>0</v>
      </c>
      <c r="I278" s="176">
        <f>Rising</f>
        <v>0</v>
      </c>
      <c r="J278" s="178">
        <f>Rising_fast</f>
        <v>0.2</v>
      </c>
      <c r="K278" s="182">
        <v>0</v>
      </c>
      <c r="L278" s="171" t="s">
        <v>28</v>
      </c>
      <c r="M278" s="172" t="s">
        <v>29</v>
      </c>
      <c r="N278" s="143" t="s">
        <v>296</v>
      </c>
      <c r="O278" s="142" t="s">
        <v>297</v>
      </c>
      <c r="P278" s="142" t="s">
        <v>298</v>
      </c>
    </row>
    <row r="279" spans="1:16" s="165" customFormat="1" x14ac:dyDescent="0.3">
      <c r="C279" s="166"/>
      <c r="E279" s="192"/>
      <c r="F279" s="198" t="s">
        <v>151</v>
      </c>
      <c r="G279" s="199" t="s">
        <v>149</v>
      </c>
      <c r="H279" s="199" t="s">
        <v>16</v>
      </c>
      <c r="I279" s="199" t="s">
        <v>148</v>
      </c>
      <c r="J279" s="199" t="s">
        <v>150</v>
      </c>
      <c r="K279" s="200" t="s">
        <v>114</v>
      </c>
      <c r="L279" s="166"/>
      <c r="M279" s="170"/>
      <c r="N279" s="166"/>
    </row>
    <row r="280" spans="1:16" s="165" customFormat="1" x14ac:dyDescent="0.3">
      <c r="A280" s="165">
        <f>MATCH(Calcs!B280,Paste_Report_Here!$1:$1,0) -1</f>
        <v>5</v>
      </c>
      <c r="B280" s="165" t="s">
        <v>124</v>
      </c>
      <c r="C280" s="166">
        <f ca="1">RANK(N280,N280:N304)</f>
        <v>6</v>
      </c>
      <c r="D280" s="166">
        <f ca="1">RANK(P280,P280:P304)</f>
        <v>16</v>
      </c>
      <c r="E280" s="189" t="s">
        <v>152</v>
      </c>
      <c r="F280" s="179">
        <f ca="1">COUNTIFS(Paste_Report_Here!$E$1:$E$2000,E274, OFFSET(Paste_Report_Here!$A$1,0,$A280,2000,1),F$75)</f>
        <v>0</v>
      </c>
      <c r="G280" s="180">
        <f ca="1">COUNTIFS(Paste_Report_Here!$E$1:$E$2000,E274, OFFSET(Paste_Report_Here!$A$1,0,$A280,2000,1),G$75)</f>
        <v>5</v>
      </c>
      <c r="H280" s="180">
        <f ca="1">COUNTIFS(Paste_Report_Here!$E$1:$E$2000,E274, OFFSET(Paste_Report_Here!$A$1,0,$A280,2000,1),H$75)</f>
        <v>20</v>
      </c>
      <c r="I280" s="180">
        <f ca="1">COUNTIFS(Paste_Report_Here!$E$1:$E$2000,E274, OFFSET(Paste_Report_Here!$A$1,0,$A280,2000,1),I$75)</f>
        <v>8</v>
      </c>
      <c r="J280" s="180">
        <f ca="1">COUNTIFS(Paste_Report_Here!$E$1:$E$2000,E274, OFFSET(Paste_Report_Here!$A$1,0,$A280,2000,1),J$75)</f>
        <v>1</v>
      </c>
      <c r="K280" s="181">
        <f ca="1">COUNTIFS(Paste_Report_Here!$E$1:$E$2000,E274, OFFSET(Paste_Report_Here!$A$1,0,$A280,2000,1),K$75)</f>
        <v>0</v>
      </c>
      <c r="L280" s="166">
        <f t="shared" ref="L280:L304" ca="1" si="42">SUM(F280:K280)</f>
        <v>34</v>
      </c>
      <c r="M280" s="183">
        <f ca="1">SUMPRODUCT(F280:K280,F278:K278)/L:L</f>
        <v>5.8823529411764705E-3</v>
      </c>
      <c r="N280" s="166">
        <f t="shared" ref="N280:N305" ca="1" si="43">EXP(M280)</f>
        <v>1.0058996879527893</v>
      </c>
      <c r="O280" s="165">
        <f ca="1">P246</f>
        <v>2022.3583187636318</v>
      </c>
      <c r="P280" s="165">
        <f t="shared" ref="P280:P305" ca="1" si="44">O280*N280</f>
        <v>2034.2896017730648</v>
      </c>
    </row>
    <row r="281" spans="1:16" s="165" customFormat="1" x14ac:dyDescent="0.3">
      <c r="A281" s="165">
        <f>MATCH(Calcs!B281,Paste_Report_Here!$1:$1,0) -1</f>
        <v>6</v>
      </c>
      <c r="B281" s="165" t="s">
        <v>125</v>
      </c>
      <c r="C281" s="166">
        <f ca="1">RANK(N281,N280:N304)</f>
        <v>6</v>
      </c>
      <c r="D281" s="166">
        <f ca="1">RANK(P281,P280:P304)</f>
        <v>13</v>
      </c>
      <c r="E281" s="189" t="s">
        <v>153</v>
      </c>
      <c r="F281" s="179">
        <f ca="1">COUNTIFS(Paste_Report_Here!$E$1:$E$2000,E274, OFFSET(Paste_Report_Here!$A$1,0,$A281,2000,1),F$75)</f>
        <v>0</v>
      </c>
      <c r="G281" s="180">
        <f ca="1">COUNTIFS(Paste_Report_Here!$E$1:$E$2000,E274, OFFSET(Paste_Report_Here!$A$1,0,$A281,2000,1),G$75)</f>
        <v>2</v>
      </c>
      <c r="H281" s="180">
        <f ca="1">COUNTIFS(Paste_Report_Here!$E$1:$E$2000,E274, OFFSET(Paste_Report_Here!$A$1,0,$A281,2000,1),H$75)</f>
        <v>28</v>
      </c>
      <c r="I281" s="180">
        <f ca="1">COUNTIFS(Paste_Report_Here!$E$1:$E$2000,E274, OFFSET(Paste_Report_Here!$A$1,0,$A281,2000,1),I$75)</f>
        <v>2</v>
      </c>
      <c r="J281" s="180">
        <f ca="1">COUNTIFS(Paste_Report_Here!$E$1:$E$2000,E274, OFFSET(Paste_Report_Here!$A$1,0,$A281,2000,1),J$75)</f>
        <v>1</v>
      </c>
      <c r="K281" s="181">
        <f ca="1">COUNTIFS(Paste_Report_Here!$E$1:$E$2000,E274, OFFSET(Paste_Report_Here!$A$1,0,$A281,2000,1),K$75)</f>
        <v>1</v>
      </c>
      <c r="L281" s="166">
        <f t="shared" ca="1" si="42"/>
        <v>34</v>
      </c>
      <c r="M281" s="183">
        <f ca="1">SUMPRODUCT(F281:K281,F278:K278)/L:L</f>
        <v>5.8823529411764705E-3</v>
      </c>
      <c r="N281" s="166">
        <f t="shared" ca="1" si="43"/>
        <v>1.0058996879527893</v>
      </c>
      <c r="O281" s="165">
        <f t="shared" ref="O281:O305" ca="1" si="45">P247</f>
        <v>2155.8624916929034</v>
      </c>
      <c r="P281" s="165">
        <f t="shared" ca="1" si="44"/>
        <v>2168.5814076630145</v>
      </c>
    </row>
    <row r="282" spans="1:16" s="165" customFormat="1" x14ac:dyDescent="0.3">
      <c r="A282" s="165">
        <f>MATCH(Calcs!B282,Paste_Report_Here!$1:$1,0) -1</f>
        <v>7</v>
      </c>
      <c r="B282" s="165" t="s">
        <v>126</v>
      </c>
      <c r="C282" s="166">
        <f ca="1">RANK(N282,N280:N304)</f>
        <v>15</v>
      </c>
      <c r="D282" s="166">
        <f ca="1">RANK(P282,P280:P304)</f>
        <v>6</v>
      </c>
      <c r="E282" s="189" t="s">
        <v>154</v>
      </c>
      <c r="F282" s="179">
        <f ca="1">COUNTIFS(Paste_Report_Here!$E$1:$E$2000,E274, OFFSET(Paste_Report_Here!$A$1,0,$A282,2000,1),F$75)</f>
        <v>0</v>
      </c>
      <c r="G282" s="180">
        <f ca="1">COUNTIFS(Paste_Report_Here!$E$1:$E$2000,E274, OFFSET(Paste_Report_Here!$A$1,0,$A282,2000,1),G$75)</f>
        <v>2</v>
      </c>
      <c r="H282" s="180">
        <f ca="1">COUNTIFS(Paste_Report_Here!$E$1:$E$2000,E274, OFFSET(Paste_Report_Here!$A$1,0,$A282,2000,1),H$75)</f>
        <v>24</v>
      </c>
      <c r="I282" s="180">
        <f ca="1">COUNTIFS(Paste_Report_Here!$E$1:$E$2000,E274, OFFSET(Paste_Report_Here!$A$1,0,$A282,2000,1),I$75)</f>
        <v>8</v>
      </c>
      <c r="J282" s="180">
        <f ca="1">COUNTIFS(Paste_Report_Here!$E$1:$E$2000,E274, OFFSET(Paste_Report_Here!$A$1,0,$A282,2000,1),J$75)</f>
        <v>0</v>
      </c>
      <c r="K282" s="181">
        <f ca="1">COUNTIFS(Paste_Report_Here!$E$1:$E$2000,E274, OFFSET(Paste_Report_Here!$A$1,0,$A282,2000,1),K$75)</f>
        <v>0</v>
      </c>
      <c r="L282" s="166">
        <f t="shared" ca="1" si="42"/>
        <v>34</v>
      </c>
      <c r="M282" s="183">
        <f ca="1">SUMPRODUCT(F282:K282,F278:K278)/L:L</f>
        <v>0</v>
      </c>
      <c r="N282" s="166">
        <f t="shared" ca="1" si="43"/>
        <v>1</v>
      </c>
      <c r="O282" s="165">
        <f t="shared" ca="1" si="45"/>
        <v>2822.9504375582001</v>
      </c>
      <c r="P282" s="165">
        <f t="shared" ca="1" si="44"/>
        <v>2822.9504375582001</v>
      </c>
    </row>
    <row r="283" spans="1:16" s="165" customFormat="1" x14ac:dyDescent="0.3">
      <c r="A283" s="165">
        <f>MATCH(Calcs!B283,Paste_Report_Here!$1:$1,0) -1</f>
        <v>8</v>
      </c>
      <c r="B283" s="165" t="s">
        <v>127</v>
      </c>
      <c r="C283" s="166">
        <f ca="1">RANK(N283,N280:N304)</f>
        <v>1</v>
      </c>
      <c r="D283" s="166">
        <f ca="1">RANK(P283,P280:P304)</f>
        <v>8</v>
      </c>
      <c r="E283" s="189" t="s">
        <v>155</v>
      </c>
      <c r="F283" s="179">
        <f ca="1">COUNTIFS(Paste_Report_Here!$E$1:$E$2000,E274, OFFSET(Paste_Report_Here!$A$1,0,$A283,2000,1),F$75)</f>
        <v>0</v>
      </c>
      <c r="G283" s="180">
        <f ca="1">COUNTIFS(Paste_Report_Here!$E$1:$E$2000,E274, OFFSET(Paste_Report_Here!$A$1,0,$A283,2000,1),G$75)</f>
        <v>1</v>
      </c>
      <c r="H283" s="180">
        <f ca="1">COUNTIFS(Paste_Report_Here!$E$1:$E$2000,E274, OFFSET(Paste_Report_Here!$A$1,0,$A283,2000,1),H$75)</f>
        <v>19</v>
      </c>
      <c r="I283" s="180">
        <f ca="1">COUNTIFS(Paste_Report_Here!$E$1:$E$2000,E274, OFFSET(Paste_Report_Here!$A$1,0,$A283,2000,1),I$75)</f>
        <v>12</v>
      </c>
      <c r="J283" s="180">
        <f ca="1">COUNTIFS(Paste_Report_Here!$E$1:$E$2000,E274, OFFSET(Paste_Report_Here!$A$1,0,$A283,2000,1),J$75)</f>
        <v>2</v>
      </c>
      <c r="K283" s="181">
        <f ca="1">COUNTIFS(Paste_Report_Here!$E$1:$E$2000,E274, OFFSET(Paste_Report_Here!$A$1,0,$A283,2000,1),K$75)</f>
        <v>0</v>
      </c>
      <c r="L283" s="166">
        <f t="shared" ca="1" si="42"/>
        <v>34</v>
      </c>
      <c r="M283" s="183">
        <f ca="1">SUMPRODUCT(F283:K283,F278:K278)/L:L</f>
        <v>1.1764705882352941E-2</v>
      </c>
      <c r="N283" s="166">
        <f t="shared" ca="1" si="43"/>
        <v>1.0118341822235186</v>
      </c>
      <c r="O283" s="165">
        <f t="shared" ca="1" si="45"/>
        <v>2457.1278673507768</v>
      </c>
      <c r="P283" s="165">
        <f t="shared" ca="1" si="44"/>
        <v>2486.2059662794913</v>
      </c>
    </row>
    <row r="284" spans="1:16" s="165" customFormat="1" x14ac:dyDescent="0.3">
      <c r="A284" s="165">
        <f>MATCH(Calcs!B284,Paste_Report_Here!$1:$1,0) -1</f>
        <v>9</v>
      </c>
      <c r="B284" s="165" t="s">
        <v>214</v>
      </c>
      <c r="C284" s="166">
        <f ca="1">RANK(N284,N280:N304)</f>
        <v>6</v>
      </c>
      <c r="D284" s="166">
        <f ca="1">RANK(P284,P280:P304)</f>
        <v>5</v>
      </c>
      <c r="E284" s="189" t="s">
        <v>156</v>
      </c>
      <c r="F284" s="179">
        <f ca="1">COUNTIFS(Paste_Report_Here!$E$1:$E$2000,E274, OFFSET(Paste_Report_Here!$A$1,0,$A284,2000,1),F$75)</f>
        <v>0</v>
      </c>
      <c r="G284" s="180">
        <f ca="1">COUNTIFS(Paste_Report_Here!$E$1:$E$2000,E274, OFFSET(Paste_Report_Here!$A$1,0,$A284,2000,1),G$75)</f>
        <v>1</v>
      </c>
      <c r="H284" s="180">
        <f ca="1">COUNTIFS(Paste_Report_Here!$E$1:$E$2000,E274, OFFSET(Paste_Report_Here!$A$1,0,$A284,2000,1),H$75)</f>
        <v>25</v>
      </c>
      <c r="I284" s="180">
        <f ca="1">COUNTIFS(Paste_Report_Here!$E$1:$E$2000,E274, OFFSET(Paste_Report_Here!$A$1,0,$A284,2000,1),I$75)</f>
        <v>7</v>
      </c>
      <c r="J284" s="180">
        <f ca="1">COUNTIFS(Paste_Report_Here!$E$1:$E$2000,E274, OFFSET(Paste_Report_Here!$A$1,0,$A284,2000,1),J$75)</f>
        <v>1</v>
      </c>
      <c r="K284" s="181">
        <f ca="1">COUNTIFS(Paste_Report_Here!$E$1:$E$2000,E274, OFFSET(Paste_Report_Here!$A$1,0,$A284,2000,1),K$75)</f>
        <v>0</v>
      </c>
      <c r="L284" s="166">
        <f t="shared" ca="1" si="42"/>
        <v>34</v>
      </c>
      <c r="M284" s="183">
        <f ca="1">SUMPRODUCT(F284:K284,F278:K278)/L:L</f>
        <v>5.8823529411764705E-3</v>
      </c>
      <c r="N284" s="166">
        <f t="shared" ca="1" si="43"/>
        <v>1.0058996879527893</v>
      </c>
      <c r="O284" s="165">
        <f t="shared" ca="1" si="45"/>
        <v>3392.0357365260779</v>
      </c>
      <c r="P284" s="165">
        <f t="shared" ca="1" si="44"/>
        <v>3412.0476888962917</v>
      </c>
    </row>
    <row r="285" spans="1:16" s="165" customFormat="1" x14ac:dyDescent="0.3">
      <c r="A285" s="165">
        <f>MATCH(Calcs!B285,Paste_Report_Here!$1:$1,0) -1</f>
        <v>10</v>
      </c>
      <c r="B285" s="165" t="s">
        <v>128</v>
      </c>
      <c r="C285" s="166">
        <f ca="1">RANK(N285,N280:N304)</f>
        <v>6</v>
      </c>
      <c r="D285" s="166">
        <f ca="1">RANK(P285,P280:P304)</f>
        <v>21</v>
      </c>
      <c r="E285" s="189" t="s">
        <v>157</v>
      </c>
      <c r="F285" s="179">
        <f ca="1">COUNTIFS(Paste_Report_Here!$E$1:$E$2000,E274, OFFSET(Paste_Report_Here!$A$1,0,$A285,2000,1),F$75)</f>
        <v>0</v>
      </c>
      <c r="G285" s="180">
        <f ca="1">COUNTIFS(Paste_Report_Here!$E$1:$E$2000,E274, OFFSET(Paste_Report_Here!$A$1,0,$A285,2000,1),G$75)</f>
        <v>3</v>
      </c>
      <c r="H285" s="180">
        <f ca="1">COUNTIFS(Paste_Report_Here!$E$1:$E$2000,E274, OFFSET(Paste_Report_Here!$A$1,0,$A285,2000,1),H$75)</f>
        <v>26</v>
      </c>
      <c r="I285" s="180">
        <f ca="1">COUNTIFS(Paste_Report_Here!$E$1:$E$2000,E274, OFFSET(Paste_Report_Here!$A$1,0,$A285,2000,1),I$75)</f>
        <v>4</v>
      </c>
      <c r="J285" s="180">
        <f ca="1">COUNTIFS(Paste_Report_Here!$E$1:$E$2000,E274, OFFSET(Paste_Report_Here!$A$1,0,$A285,2000,1),J$75)</f>
        <v>1</v>
      </c>
      <c r="K285" s="181">
        <f ca="1">COUNTIFS(Paste_Report_Here!$E$1:$E$2000,E274, OFFSET(Paste_Report_Here!$A$1,0,$A285,2000,1),K$75)</f>
        <v>0</v>
      </c>
      <c r="L285" s="166">
        <f t="shared" ca="1" si="42"/>
        <v>34</v>
      </c>
      <c r="M285" s="183">
        <f ca="1">SUMPRODUCT(F285:K285,F278:K278)/L:L</f>
        <v>5.8823529411764705E-3</v>
      </c>
      <c r="N285" s="166">
        <f t="shared" ca="1" si="43"/>
        <v>1.0058996879527893</v>
      </c>
      <c r="O285" s="165">
        <f t="shared" ca="1" si="45"/>
        <v>1578.8813675514875</v>
      </c>
      <c r="P285" s="165">
        <f t="shared" ca="1" si="44"/>
        <v>1588.1962749345146</v>
      </c>
    </row>
    <row r="286" spans="1:16" s="165" customFormat="1" x14ac:dyDescent="0.3">
      <c r="A286" s="165">
        <f>MATCH(Calcs!B286,Paste_Report_Here!$1:$1,0) -1</f>
        <v>11</v>
      </c>
      <c r="B286" s="165" t="s">
        <v>129</v>
      </c>
      <c r="C286" s="166">
        <f ca="1">RANK(N286,N280:N304)</f>
        <v>6</v>
      </c>
      <c r="D286" s="166">
        <f ca="1">RANK(P286,P280:P304)</f>
        <v>9</v>
      </c>
      <c r="E286" s="189" t="s">
        <v>158</v>
      </c>
      <c r="F286" s="179">
        <f ca="1">COUNTIFS(Paste_Report_Here!$E$1:$E$2000,E274, OFFSET(Paste_Report_Here!$A$1,0,$A286,2000,1),F$75)</f>
        <v>0</v>
      </c>
      <c r="G286" s="180">
        <f ca="1">COUNTIFS(Paste_Report_Here!$E$1:$E$2000,E274, OFFSET(Paste_Report_Here!$A$1,0,$A286,2000,1),G$75)</f>
        <v>3</v>
      </c>
      <c r="H286" s="180">
        <f ca="1">COUNTIFS(Paste_Report_Here!$E$1:$E$2000,E274, OFFSET(Paste_Report_Here!$A$1,0,$A286,2000,1),H$75)</f>
        <v>24</v>
      </c>
      <c r="I286" s="180">
        <f ca="1">COUNTIFS(Paste_Report_Here!$E$1:$E$2000,E274, OFFSET(Paste_Report_Here!$A$1,0,$A286,2000,1),I$75)</f>
        <v>6</v>
      </c>
      <c r="J286" s="180">
        <f ca="1">COUNTIFS(Paste_Report_Here!$E$1:$E$2000,E274, OFFSET(Paste_Report_Here!$A$1,0,$A286,2000,1),J$75)</f>
        <v>1</v>
      </c>
      <c r="K286" s="181">
        <f ca="1">COUNTIFS(Paste_Report_Here!$E$1:$E$2000,E274, OFFSET(Paste_Report_Here!$A$1,0,$A286,2000,1),K$75)</f>
        <v>0</v>
      </c>
      <c r="L286" s="166">
        <f t="shared" ca="1" si="42"/>
        <v>34</v>
      </c>
      <c r="M286" s="183">
        <f ca="1">SUMPRODUCT(F286:K286,F278:K278)/L:L</f>
        <v>5.8823529411764705E-3</v>
      </c>
      <c r="N286" s="166">
        <f t="shared" ca="1" si="43"/>
        <v>1.0058996879527893</v>
      </c>
      <c r="O286" s="165">
        <f t="shared" ca="1" si="45"/>
        <v>2461.699823055219</v>
      </c>
      <c r="P286" s="165">
        <f t="shared" ca="1" si="44"/>
        <v>2476.2230838446812</v>
      </c>
    </row>
    <row r="287" spans="1:16" s="165" customFormat="1" x14ac:dyDescent="0.3">
      <c r="A287" s="165">
        <f>MATCH(Calcs!B287,Paste_Report_Here!$1:$1,0) -1</f>
        <v>12</v>
      </c>
      <c r="B287" s="165" t="s">
        <v>130</v>
      </c>
      <c r="C287" s="166">
        <f ca="1">RANK(N287,N280:N304)</f>
        <v>1</v>
      </c>
      <c r="D287" s="166">
        <f ca="1">RANK(P287,P280:P304)</f>
        <v>10</v>
      </c>
      <c r="E287" s="189" t="s">
        <v>159</v>
      </c>
      <c r="F287" s="179">
        <f ca="1">COUNTIFS(Paste_Report_Here!$E$1:$E$2000,E274, OFFSET(Paste_Report_Here!$A$1,0,$A287,2000,1),F$75)</f>
        <v>0</v>
      </c>
      <c r="G287" s="180">
        <f ca="1">COUNTIFS(Paste_Report_Here!$E$1:$E$2000,E274, OFFSET(Paste_Report_Here!$A$1,0,$A287,2000,1),G$75)</f>
        <v>2</v>
      </c>
      <c r="H287" s="180">
        <f ca="1">COUNTIFS(Paste_Report_Here!$E$1:$E$2000,E274, OFFSET(Paste_Report_Here!$A$1,0,$A287,2000,1),H$75)</f>
        <v>22</v>
      </c>
      <c r="I287" s="180">
        <f ca="1">COUNTIFS(Paste_Report_Here!$E$1:$E$2000,E274, OFFSET(Paste_Report_Here!$A$1,0,$A287,2000,1),I$75)</f>
        <v>8</v>
      </c>
      <c r="J287" s="180">
        <f ca="1">COUNTIFS(Paste_Report_Here!$E$1:$E$2000,E274, OFFSET(Paste_Report_Here!$A$1,0,$A287,2000,1),J$75)</f>
        <v>2</v>
      </c>
      <c r="K287" s="181">
        <f ca="1">COUNTIFS(Paste_Report_Here!$E$1:$E$2000,E274, OFFSET(Paste_Report_Here!$A$1,0,$A287,2000,1),K$75)</f>
        <v>0</v>
      </c>
      <c r="L287" s="166">
        <f t="shared" ca="1" si="42"/>
        <v>34</v>
      </c>
      <c r="M287" s="183">
        <f ca="1">SUMPRODUCT(F287:K287,F278:K278)/L:L</f>
        <v>1.1764705882352941E-2</v>
      </c>
      <c r="N287" s="166">
        <f t="shared" ca="1" si="43"/>
        <v>1.0118341822235186</v>
      </c>
      <c r="O287" s="165">
        <f t="shared" ca="1" si="45"/>
        <v>2292.1881064755753</v>
      </c>
      <c r="P287" s="165">
        <f t="shared" ca="1" si="44"/>
        <v>2319.3142782181894</v>
      </c>
    </row>
    <row r="288" spans="1:16" s="165" customFormat="1" x14ac:dyDescent="0.3">
      <c r="A288" s="165">
        <f>MATCH(Calcs!B288,Paste_Report_Here!$1:$1,0) -1</f>
        <v>13</v>
      </c>
      <c r="B288" s="165" t="s">
        <v>131</v>
      </c>
      <c r="C288" s="166">
        <f ca="1">RANK(N288,N280:N304)</f>
        <v>1</v>
      </c>
      <c r="D288" s="166">
        <f ca="1">RANK(P288,P280:P304)</f>
        <v>4</v>
      </c>
      <c r="E288" s="189" t="s">
        <v>160</v>
      </c>
      <c r="F288" s="179">
        <f ca="1">COUNTIFS(Paste_Report_Here!$E$1:$E$2000,E274, OFFSET(Paste_Report_Here!$A$1,0,$A288,2000,1),F$75)</f>
        <v>0</v>
      </c>
      <c r="G288" s="180">
        <f ca="1">COUNTIFS(Paste_Report_Here!$E$1:$E$2000,E274, OFFSET(Paste_Report_Here!$A$1,0,$A288,2000,1),G$75)</f>
        <v>0</v>
      </c>
      <c r="H288" s="180">
        <f ca="1">COUNTIFS(Paste_Report_Here!$E$1:$E$2000,E274, OFFSET(Paste_Report_Here!$A$1,0,$A288,2000,1),H$75)</f>
        <v>15</v>
      </c>
      <c r="I288" s="180">
        <f ca="1">COUNTIFS(Paste_Report_Here!$E$1:$E$2000,E274, OFFSET(Paste_Report_Here!$A$1,0,$A288,2000,1),I$75)</f>
        <v>17</v>
      </c>
      <c r="J288" s="180">
        <f ca="1">COUNTIFS(Paste_Report_Here!$E$1:$E$2000,E274, OFFSET(Paste_Report_Here!$A$1,0,$A288,2000,1),J$75)</f>
        <v>2</v>
      </c>
      <c r="K288" s="181">
        <f ca="1">COUNTIFS(Paste_Report_Here!$E$1:$E$2000,E274, OFFSET(Paste_Report_Here!$A$1,0,$A288,2000,1),K$75)</f>
        <v>0</v>
      </c>
      <c r="L288" s="166">
        <f t="shared" ca="1" si="42"/>
        <v>34</v>
      </c>
      <c r="M288" s="183">
        <f ca="1">SUMPRODUCT(F288:K288,F278:K278)/L:L</f>
        <v>1.1764705882352941E-2</v>
      </c>
      <c r="N288" s="166">
        <f t="shared" ca="1" si="43"/>
        <v>1.0118341822235186</v>
      </c>
      <c r="O288" s="165">
        <f t="shared" ca="1" si="45"/>
        <v>3456.3895280913066</v>
      </c>
      <c r="P288" s="165">
        <f t="shared" ca="1" si="44"/>
        <v>3497.2930716022006</v>
      </c>
    </row>
    <row r="289" spans="1:16" s="165" customFormat="1" x14ac:dyDescent="0.3">
      <c r="A289" s="165">
        <f>MATCH(Calcs!B289,Paste_Report_Here!$1:$1,0) -1</f>
        <v>14</v>
      </c>
      <c r="B289" s="165" t="s">
        <v>132</v>
      </c>
      <c r="C289" s="166">
        <f ca="1">RANK(N289,N280:N304)</f>
        <v>6</v>
      </c>
      <c r="D289" s="166">
        <f ca="1">RANK(P289,P280:P304)</f>
        <v>19</v>
      </c>
      <c r="E289" s="189" t="s">
        <v>161</v>
      </c>
      <c r="F289" s="179">
        <f ca="1">COUNTIFS(Paste_Report_Here!$E$1:$E$2000,E274, OFFSET(Paste_Report_Here!$A$1,0,$A289,2000,1),F$75)</f>
        <v>0</v>
      </c>
      <c r="G289" s="180">
        <f ca="1">COUNTIFS(Paste_Report_Here!$E$1:$E$2000,E274, OFFSET(Paste_Report_Here!$A$1,0,$A289,2000,1),G$75)</f>
        <v>2</v>
      </c>
      <c r="H289" s="180">
        <f ca="1">COUNTIFS(Paste_Report_Here!$E$1:$E$2000,E274, OFFSET(Paste_Report_Here!$A$1,0,$A289,2000,1),H$75)</f>
        <v>22</v>
      </c>
      <c r="I289" s="180">
        <f ca="1">COUNTIFS(Paste_Report_Here!$E$1:$E$2000,E274, OFFSET(Paste_Report_Here!$A$1,0,$A289,2000,1),I$75)</f>
        <v>9</v>
      </c>
      <c r="J289" s="180">
        <f ca="1">COUNTIFS(Paste_Report_Here!$E$1:$E$2000,E274, OFFSET(Paste_Report_Here!$A$1,0,$A289,2000,1),J$75)</f>
        <v>1</v>
      </c>
      <c r="K289" s="181">
        <f ca="1">COUNTIFS(Paste_Report_Here!$E$1:$E$2000,E274, OFFSET(Paste_Report_Here!$A$1,0,$A289,2000,1),K$75)</f>
        <v>0</v>
      </c>
      <c r="L289" s="166">
        <f t="shared" ca="1" si="42"/>
        <v>34</v>
      </c>
      <c r="M289" s="183">
        <f ca="1">SUMPRODUCT(F289:K289,F278:K278)/L:L</f>
        <v>5.8823529411764705E-3</v>
      </c>
      <c r="N289" s="166">
        <f t="shared" ca="1" si="43"/>
        <v>1.0058996879527893</v>
      </c>
      <c r="O289" s="165">
        <f t="shared" ca="1" si="45"/>
        <v>1863.4028226388371</v>
      </c>
      <c r="P289" s="165">
        <f t="shared" ca="1" si="44"/>
        <v>1874.396317822753</v>
      </c>
    </row>
    <row r="290" spans="1:16" s="165" customFormat="1" x14ac:dyDescent="0.3">
      <c r="A290" s="165">
        <f>MATCH(Calcs!B290,Paste_Report_Here!$1:$1,0) -1</f>
        <v>15</v>
      </c>
      <c r="B290" s="165" t="s">
        <v>133</v>
      </c>
      <c r="C290" s="166">
        <f ca="1">RANK(N290,N279:N303)</f>
        <v>1</v>
      </c>
      <c r="D290" s="166">
        <f ca="1">RANK(P290,P280:P304)</f>
        <v>7</v>
      </c>
      <c r="E290" s="189" t="s">
        <v>162</v>
      </c>
      <c r="F290" s="179">
        <f ca="1">COUNTIFS(Paste_Report_Here!$E$1:$E$2000,E274, OFFSET(Paste_Report_Here!$A$1,0,$A290,2000,1),F$75)</f>
        <v>0</v>
      </c>
      <c r="G290" s="180">
        <f ca="1">COUNTIFS(Paste_Report_Here!$E$1:$E$2000,E274, OFFSET(Paste_Report_Here!$A$1,0,$A290,2000,1),G$75)</f>
        <v>0</v>
      </c>
      <c r="H290" s="180">
        <f ca="1">COUNTIFS(Paste_Report_Here!$E$1:$E$2000,E274, OFFSET(Paste_Report_Here!$A$1,0,$A290,2000,1),H$75)</f>
        <v>24</v>
      </c>
      <c r="I290" s="180">
        <f ca="1">COUNTIFS(Paste_Report_Here!$E$1:$E$2000,E274, OFFSET(Paste_Report_Here!$A$1,0,$A290,2000,1),I$75)</f>
        <v>8</v>
      </c>
      <c r="J290" s="180">
        <f ca="1">COUNTIFS(Paste_Report_Here!$E$1:$E$2000,E274, OFFSET(Paste_Report_Here!$A$1,0,$A290,2000,1),J$75)</f>
        <v>2</v>
      </c>
      <c r="K290" s="181">
        <f ca="1">COUNTIFS(Paste_Report_Here!$E$1:$E$2000,E274, OFFSET(Paste_Report_Here!$A$1,0,$A290,2000,1),K$75)</f>
        <v>0</v>
      </c>
      <c r="L290" s="166">
        <f t="shared" ca="1" si="42"/>
        <v>34</v>
      </c>
      <c r="M290" s="183">
        <f ca="1">SUMPRODUCT(F290:K290,F278:K278)/L:L</f>
        <v>1.1764705882352941E-2</v>
      </c>
      <c r="N290" s="166">
        <f t="shared" ca="1" si="43"/>
        <v>1.0118341822235186</v>
      </c>
      <c r="O290" s="165">
        <f t="shared" ca="1" si="45"/>
        <v>2643.7313920329598</v>
      </c>
      <c r="P290" s="165">
        <f t="shared" ca="1" si="44"/>
        <v>2675.0177910763146</v>
      </c>
    </row>
    <row r="291" spans="1:16" s="165" customFormat="1" x14ac:dyDescent="0.3">
      <c r="A291" s="165">
        <f>MATCH(Calcs!B291,Paste_Report_Here!$1:$1,0) -1</f>
        <v>16</v>
      </c>
      <c r="B291" s="165" t="s">
        <v>134</v>
      </c>
      <c r="C291" s="166">
        <f ca="1">RANK(N291,N280:N304)</f>
        <v>15</v>
      </c>
      <c r="D291" s="166">
        <f ca="1">RANK(P291,P280:P304)</f>
        <v>23</v>
      </c>
      <c r="E291" s="189" t="s">
        <v>163</v>
      </c>
      <c r="F291" s="179">
        <f ca="1">COUNTIFS(Paste_Report_Here!$E$1:$E$2000,E274, OFFSET(Paste_Report_Here!$A$1,0,$A291,2000,1),F$75)</f>
        <v>0</v>
      </c>
      <c r="G291" s="180">
        <f ca="1">COUNTIFS(Paste_Report_Here!$E$1:$E$2000,E274, OFFSET(Paste_Report_Here!$A$1,0,$A291,2000,1),G$75)</f>
        <v>2</v>
      </c>
      <c r="H291" s="180">
        <f ca="1">COUNTIFS(Paste_Report_Here!$E$1:$E$2000,E274, OFFSET(Paste_Report_Here!$A$1,0,$A291,2000,1),H$75)</f>
        <v>27</v>
      </c>
      <c r="I291" s="180">
        <f ca="1">COUNTIFS(Paste_Report_Here!$E$1:$E$2000,E274, OFFSET(Paste_Report_Here!$A$1,0,$A291,2000,1),I$75)</f>
        <v>5</v>
      </c>
      <c r="J291" s="180">
        <f ca="1">COUNTIFS(Paste_Report_Here!$E$1:$E$2000,E274, OFFSET(Paste_Report_Here!$A$1,0,$A291,2000,1),J$75)</f>
        <v>0</v>
      </c>
      <c r="K291" s="181">
        <f ca="1">COUNTIFS(Paste_Report_Here!$E$1:$E$2000,E274, OFFSET(Paste_Report_Here!$A$1,0,$A291,2000,1),K$75)</f>
        <v>0</v>
      </c>
      <c r="L291" s="166">
        <f t="shared" ca="1" si="42"/>
        <v>34</v>
      </c>
      <c r="M291" s="183">
        <f ca="1">SUMPRODUCT(F291:K291,F278:K278)/L:L</f>
        <v>0</v>
      </c>
      <c r="N291" s="166">
        <f t="shared" ca="1" si="43"/>
        <v>1</v>
      </c>
      <c r="O291" s="165">
        <f t="shared" ca="1" si="45"/>
        <v>1173.2454452500563</v>
      </c>
      <c r="P291" s="165">
        <f t="shared" ca="1" si="44"/>
        <v>1173.2454452500563</v>
      </c>
    </row>
    <row r="292" spans="1:16" s="165" customFormat="1" x14ac:dyDescent="0.3">
      <c r="A292" s="165">
        <f>MATCH(Calcs!B292,Paste_Report_Here!$1:$1,0) -1</f>
        <v>17</v>
      </c>
      <c r="B292" s="165" t="s">
        <v>135</v>
      </c>
      <c r="C292" s="166">
        <f ca="1">RANK(N292,N280:N304)</f>
        <v>15</v>
      </c>
      <c r="D292" s="166">
        <f ca="1">RANK(P292,P280:P304)</f>
        <v>20</v>
      </c>
      <c r="E292" s="189" t="s">
        <v>164</v>
      </c>
      <c r="F292" s="179">
        <f ca="1">COUNTIFS(Paste_Report_Here!$E$1:$E$2000,E274, OFFSET(Paste_Report_Here!$A$1,0,$A292,2000,1),F$75)</f>
        <v>0</v>
      </c>
      <c r="G292" s="180">
        <f ca="1">COUNTIFS(Paste_Report_Here!$E$1:$E$2000,E274, OFFSET(Paste_Report_Here!$A$1,0,$A292,2000,1),G$75)</f>
        <v>1</v>
      </c>
      <c r="H292" s="180">
        <f ca="1">COUNTIFS(Paste_Report_Here!$E$1:$E$2000,E274, OFFSET(Paste_Report_Here!$A$1,0,$A292,2000,1),H$75)</f>
        <v>25</v>
      </c>
      <c r="I292" s="180">
        <f ca="1">COUNTIFS(Paste_Report_Here!$E$1:$E$2000,E274, OFFSET(Paste_Report_Here!$A$1,0,$A292,2000,1),I$75)</f>
        <v>8</v>
      </c>
      <c r="J292" s="180">
        <f ca="1">COUNTIFS(Paste_Report_Here!$E$1:$E$2000,E274, OFFSET(Paste_Report_Here!$A$1,0,$A292,2000,1),J$75)</f>
        <v>0</v>
      </c>
      <c r="K292" s="181">
        <f ca="1">COUNTIFS(Paste_Report_Here!$E$1:$E$2000,E274, OFFSET(Paste_Report_Here!$A$1,0,$A292,2000,1),K$75)</f>
        <v>0</v>
      </c>
      <c r="L292" s="166">
        <f t="shared" ca="1" si="42"/>
        <v>34</v>
      </c>
      <c r="M292" s="183">
        <f ca="1">SUMPRODUCT(F292:K292,F278:K278)/L:L</f>
        <v>0</v>
      </c>
      <c r="N292" s="166">
        <f t="shared" ca="1" si="43"/>
        <v>1</v>
      </c>
      <c r="O292" s="165">
        <f t="shared" ca="1" si="45"/>
        <v>1786.6577073110673</v>
      </c>
      <c r="P292" s="165">
        <f t="shared" ca="1" si="44"/>
        <v>1786.6577073110673</v>
      </c>
    </row>
    <row r="293" spans="1:16" s="165" customFormat="1" x14ac:dyDescent="0.3">
      <c r="A293" s="165">
        <f>MATCH(Calcs!B293,Paste_Report_Here!$1:$1,0) -1</f>
        <v>18</v>
      </c>
      <c r="B293" s="165" t="s">
        <v>136</v>
      </c>
      <c r="C293" s="166">
        <f ca="1">RANK(N293,N280:N304)</f>
        <v>6</v>
      </c>
      <c r="D293" s="166">
        <f ca="1">RANK(P293,P280:P304)</f>
        <v>3</v>
      </c>
      <c r="E293" s="189" t="s">
        <v>165</v>
      </c>
      <c r="F293" s="179">
        <f ca="1">COUNTIFS(Paste_Report_Here!$E$1:$E$2000,E274, OFFSET(Paste_Report_Here!$A$1,0,$A293,2000,1),F$75)</f>
        <v>0</v>
      </c>
      <c r="G293" s="180">
        <f ca="1">COUNTIFS(Paste_Report_Here!$E$1:$E$2000,E274, OFFSET(Paste_Report_Here!$A$1,0,$A293,2000,1),G$75)</f>
        <v>0</v>
      </c>
      <c r="H293" s="180">
        <f ca="1">COUNTIFS(Paste_Report_Here!$E$1:$E$2000,E274, OFFSET(Paste_Report_Here!$A$1,0,$A293,2000,1),H$75)</f>
        <v>27</v>
      </c>
      <c r="I293" s="180">
        <f ca="1">COUNTIFS(Paste_Report_Here!$E$1:$E$2000,E274, OFFSET(Paste_Report_Here!$A$1,0,$A293,2000,1),I$75)</f>
        <v>6</v>
      </c>
      <c r="J293" s="180">
        <f ca="1">COUNTIFS(Paste_Report_Here!$E$1:$E$2000,E274, OFFSET(Paste_Report_Here!$A$1,0,$A293,2000,1),J$75)</f>
        <v>1</v>
      </c>
      <c r="K293" s="181">
        <f ca="1">COUNTIFS(Paste_Report_Here!$E$1:$E$2000,E274, OFFSET(Paste_Report_Here!$A$1,0,$A293,2000,1),K$75)</f>
        <v>0</v>
      </c>
      <c r="L293" s="166">
        <f t="shared" ca="1" si="42"/>
        <v>34</v>
      </c>
      <c r="M293" s="183">
        <f ca="1">SUMPRODUCT(F293:K293,F278:K278)/L:L</f>
        <v>5.8823529411764705E-3</v>
      </c>
      <c r="N293" s="166">
        <f t="shared" ca="1" si="43"/>
        <v>1.0058996879527893</v>
      </c>
      <c r="O293" s="165">
        <f t="shared" ca="1" si="45"/>
        <v>3584.1998894275148</v>
      </c>
      <c r="P293" s="165">
        <f t="shared" ca="1" si="44"/>
        <v>3605.345550335559</v>
      </c>
    </row>
    <row r="294" spans="1:16" s="165" customFormat="1" x14ac:dyDescent="0.3">
      <c r="A294" s="165">
        <f>MATCH(Calcs!B294,Paste_Report_Here!$1:$1,0) -1</f>
        <v>19</v>
      </c>
      <c r="B294" s="165" t="s">
        <v>137</v>
      </c>
      <c r="C294" s="166">
        <f ca="1">RANK(N294,N280:N304)</f>
        <v>15</v>
      </c>
      <c r="D294" s="166">
        <f ca="1">RANK(P294,P280:P304)</f>
        <v>15</v>
      </c>
      <c r="E294" s="189" t="s">
        <v>166</v>
      </c>
      <c r="F294" s="179">
        <f ca="1">COUNTIFS(Paste_Report_Here!$E$1:$E$2000,E274, OFFSET(Paste_Report_Here!$A$1,0,$A294,2000,1),F$75)</f>
        <v>0</v>
      </c>
      <c r="G294" s="180">
        <f ca="1">COUNTIFS(Paste_Report_Here!$E$1:$E$2000,E274, OFFSET(Paste_Report_Here!$A$1,0,$A294,2000,1),G$75)</f>
        <v>1</v>
      </c>
      <c r="H294" s="180">
        <f ca="1">COUNTIFS(Paste_Report_Here!$E$1:$E$2000,E274, OFFSET(Paste_Report_Here!$A$1,0,$A294,2000,1),H$75)</f>
        <v>28</v>
      </c>
      <c r="I294" s="180">
        <f ca="1">COUNTIFS(Paste_Report_Here!$E$1:$E$2000,E274, OFFSET(Paste_Report_Here!$A$1,0,$A294,2000,1),I$75)</f>
        <v>5</v>
      </c>
      <c r="J294" s="180">
        <f ca="1">COUNTIFS(Paste_Report_Here!$E$1:$E$2000,E274, OFFSET(Paste_Report_Here!$A$1,0,$A294,2000,1),J$75)</f>
        <v>0</v>
      </c>
      <c r="K294" s="181">
        <f ca="1">COUNTIFS(Paste_Report_Here!$E$1:$E$2000,E274, OFFSET(Paste_Report_Here!$A$1,0,$A294,2000,1),K$75)</f>
        <v>0</v>
      </c>
      <c r="L294" s="166">
        <f t="shared" ca="1" si="42"/>
        <v>34</v>
      </c>
      <c r="M294" s="183">
        <f ca="1">SUMPRODUCT(F294:K294,F278:K278)/L:L</f>
        <v>0</v>
      </c>
      <c r="N294" s="166">
        <f t="shared" ca="1" si="43"/>
        <v>1</v>
      </c>
      <c r="O294" s="165">
        <f t="shared" ca="1" si="45"/>
        <v>2093.0126309194029</v>
      </c>
      <c r="P294" s="165">
        <f t="shared" ca="1" si="44"/>
        <v>2093.0126309194029</v>
      </c>
    </row>
    <row r="295" spans="1:16" s="165" customFormat="1" x14ac:dyDescent="0.3">
      <c r="A295" s="165">
        <f>MATCH(Calcs!B295,Paste_Report_Here!$1:$1,0) -1</f>
        <v>20</v>
      </c>
      <c r="B295" s="165" t="s">
        <v>138</v>
      </c>
      <c r="C295" s="166">
        <f ca="1">RANK(N295,N280:N304)</f>
        <v>15</v>
      </c>
      <c r="D295" s="166">
        <f ca="1">RANK(P295,P280:P304)</f>
        <v>18</v>
      </c>
      <c r="E295" s="189" t="s">
        <v>167</v>
      </c>
      <c r="F295" s="179">
        <f ca="1">COUNTIFS(Paste_Report_Here!$E$1:$E$2000,E274, OFFSET(Paste_Report_Here!$A$1,0,$A295,2000,1),F$75)</f>
        <v>0</v>
      </c>
      <c r="G295" s="180">
        <f ca="1">COUNTIFS(Paste_Report_Here!$E$1:$E$2000,E274, OFFSET(Paste_Report_Here!$A$1,0,$A295,2000,1),G$75)</f>
        <v>1</v>
      </c>
      <c r="H295" s="180">
        <f ca="1">COUNTIFS(Paste_Report_Here!$E$1:$E$2000,E274, OFFSET(Paste_Report_Here!$A$1,0,$A295,2000,1),H$75)</f>
        <v>22</v>
      </c>
      <c r="I295" s="180">
        <f ca="1">COUNTIFS(Paste_Report_Here!$E$1:$E$2000,E274, OFFSET(Paste_Report_Here!$A$1,0,$A295,2000,1),I$75)</f>
        <v>11</v>
      </c>
      <c r="J295" s="180">
        <f ca="1">COUNTIFS(Paste_Report_Here!$E$1:$E$2000,E274, OFFSET(Paste_Report_Here!$A$1,0,$A295,2000,1),J$75)</f>
        <v>0</v>
      </c>
      <c r="K295" s="181">
        <f ca="1">COUNTIFS(Paste_Report_Here!$E$1:$E$2000,E274, OFFSET(Paste_Report_Here!$A$1,0,$A295,2000,1),K$75)</f>
        <v>0</v>
      </c>
      <c r="L295" s="166">
        <f t="shared" ca="1" si="42"/>
        <v>34</v>
      </c>
      <c r="M295" s="183">
        <f ca="1">SUMPRODUCT(F295:K295,F278:K278)/L:L</f>
        <v>0</v>
      </c>
      <c r="N295" s="166">
        <f t="shared" ca="1" si="43"/>
        <v>1</v>
      </c>
      <c r="O295" s="165">
        <f t="shared" ca="1" si="45"/>
        <v>1972.0288244479723</v>
      </c>
      <c r="P295" s="165">
        <f t="shared" ca="1" si="44"/>
        <v>1972.0288244479723</v>
      </c>
    </row>
    <row r="296" spans="1:16" s="165" customFormat="1" x14ac:dyDescent="0.3">
      <c r="A296" s="165">
        <f>MATCH(Calcs!B296,Paste_Report_Here!$1:$1,0) -1</f>
        <v>21</v>
      </c>
      <c r="B296" s="165" t="s">
        <v>139</v>
      </c>
      <c r="C296" s="166">
        <f ca="1">RANK(N296,N280:N304)</f>
        <v>6</v>
      </c>
      <c r="D296" s="166">
        <f ca="1">RANK(P296,P280:P304)</f>
        <v>14</v>
      </c>
      <c r="E296" s="189" t="s">
        <v>168</v>
      </c>
      <c r="F296" s="179">
        <f ca="1">COUNTIFS(Paste_Report_Here!$E$1:$E$2000,E274, OFFSET(Paste_Report_Here!$A$1,0,$A296,2000,1),F$75)</f>
        <v>0</v>
      </c>
      <c r="G296" s="180">
        <f ca="1">COUNTIFS(Paste_Report_Here!$E$1:$E$2000,E274, OFFSET(Paste_Report_Here!$A$1,0,$A296,2000,1),G$75)</f>
        <v>1</v>
      </c>
      <c r="H296" s="180">
        <f ca="1">COUNTIFS(Paste_Report_Here!$E$1:$E$2000,E274, OFFSET(Paste_Report_Here!$A$1,0,$A296,2000,1),H$75)</f>
        <v>26</v>
      </c>
      <c r="I296" s="180">
        <f ca="1">COUNTIFS(Paste_Report_Here!$E$1:$E$2000,E274, OFFSET(Paste_Report_Here!$A$1,0,$A296,2000,1),I$75)</f>
        <v>6</v>
      </c>
      <c r="J296" s="180">
        <f ca="1">COUNTIFS(Paste_Report_Here!$E$1:$E$2000,E274, OFFSET(Paste_Report_Here!$A$1,0,$A296,2000,1),J$75)</f>
        <v>1</v>
      </c>
      <c r="K296" s="181">
        <f ca="1">COUNTIFS(Paste_Report_Here!$E$1:$E$2000,E274, OFFSET(Paste_Report_Here!$A$1,0,$A296,2000,1),K$75)</f>
        <v>0</v>
      </c>
      <c r="L296" s="166">
        <f t="shared" ca="1" si="42"/>
        <v>34</v>
      </c>
      <c r="M296" s="183">
        <f ca="1">SUMPRODUCT(F296:K296,F278:K278)/L:L</f>
        <v>5.8823529411764705E-3</v>
      </c>
      <c r="N296" s="166">
        <f t="shared" ca="1" si="43"/>
        <v>1.0058996879527893</v>
      </c>
      <c r="O296" s="165">
        <f t="shared" ca="1" si="45"/>
        <v>2099.1175195067417</v>
      </c>
      <c r="P296" s="165">
        <f t="shared" ca="1" si="44"/>
        <v>2111.5016578480645</v>
      </c>
    </row>
    <row r="297" spans="1:16" s="165" customFormat="1" x14ac:dyDescent="0.3">
      <c r="A297" s="165">
        <f>MATCH(Calcs!B297,Paste_Report_Here!$1:$1,0) -1</f>
        <v>22</v>
      </c>
      <c r="B297" s="165" t="s">
        <v>140</v>
      </c>
      <c r="C297" s="166">
        <f ca="1">RANK(N297,N280:N304)</f>
        <v>6</v>
      </c>
      <c r="D297" s="166">
        <f ca="1">RANK(P297,P280:P304)</f>
        <v>17</v>
      </c>
      <c r="E297" s="189" t="s">
        <v>169</v>
      </c>
      <c r="F297" s="179">
        <f ca="1">COUNTIFS(Paste_Report_Here!$E$1:$E$2000,E274, OFFSET(Paste_Report_Here!$A$1,0,$A297,2000,1),F$75)</f>
        <v>0</v>
      </c>
      <c r="G297" s="180">
        <f ca="1">COUNTIFS(Paste_Report_Here!$E$1:$E$2000,E274, OFFSET(Paste_Report_Here!$A$1,0,$A297,2000,1),G$75)</f>
        <v>0</v>
      </c>
      <c r="H297" s="180">
        <f ca="1">COUNTIFS(Paste_Report_Here!$E$1:$E$2000,E274, OFFSET(Paste_Report_Here!$A$1,0,$A297,2000,1),H$75)</f>
        <v>25</v>
      </c>
      <c r="I297" s="180">
        <f ca="1">COUNTIFS(Paste_Report_Here!$E$1:$E$2000,E274, OFFSET(Paste_Report_Here!$A$1,0,$A297,2000,1),I$75)</f>
        <v>8</v>
      </c>
      <c r="J297" s="180">
        <f ca="1">COUNTIFS(Paste_Report_Here!$E$1:$E$2000,E274, OFFSET(Paste_Report_Here!$A$1,0,$A297,2000,1),J$75)</f>
        <v>1</v>
      </c>
      <c r="K297" s="181">
        <f ca="1">COUNTIFS(Paste_Report_Here!$E$1:$E$2000,E274, OFFSET(Paste_Report_Here!$A$1,0,$A297,2000,1),K$75)</f>
        <v>0</v>
      </c>
      <c r="L297" s="166">
        <f t="shared" ca="1" si="42"/>
        <v>34</v>
      </c>
      <c r="M297" s="183">
        <f ca="1">SUMPRODUCT(F297:K297,F278:K278)/L:L</f>
        <v>5.8823529411764705E-3</v>
      </c>
      <c r="N297" s="166">
        <f t="shared" ca="1" si="43"/>
        <v>1.0058996879527893</v>
      </c>
      <c r="O297" s="165">
        <f t="shared" ca="1" si="45"/>
        <v>1967.5832917393345</v>
      </c>
      <c r="P297" s="165">
        <f t="shared" ca="1" si="44"/>
        <v>1979.1914191817186</v>
      </c>
    </row>
    <row r="298" spans="1:16" s="165" customFormat="1" x14ac:dyDescent="0.3">
      <c r="A298" s="165">
        <f>MATCH(Calcs!B298,Paste_Report_Here!$1:$1,0) -1</f>
        <v>23</v>
      </c>
      <c r="B298" s="165" t="s">
        <v>186</v>
      </c>
      <c r="C298" s="166">
        <f ca="1">RANK(N298,N280:N304)</f>
        <v>15</v>
      </c>
      <c r="D298" s="166">
        <f ca="1">RANK(P298,P280:P304)</f>
        <v>2</v>
      </c>
      <c r="E298" s="189" t="s">
        <v>180</v>
      </c>
      <c r="F298" s="179">
        <f ca="1">COUNTIFS(Paste_Report_Here!$E$1:$E$2000,E274, OFFSET(Paste_Report_Here!$A$1,0,$A298,2000,1),F$75)</f>
        <v>0</v>
      </c>
      <c r="G298" s="180">
        <f ca="1">COUNTIFS(Paste_Report_Here!$E$1:$E$2000,E274, OFFSET(Paste_Report_Here!$A$1,0,$A298,2000,1),G$75)</f>
        <v>0</v>
      </c>
      <c r="H298" s="180">
        <f ca="1">COUNTIFS(Paste_Report_Here!$E$1:$E$2000,E274, OFFSET(Paste_Report_Here!$A$1,0,$A298,2000,1),H$75)</f>
        <v>25</v>
      </c>
      <c r="I298" s="180">
        <f ca="1">COUNTIFS(Paste_Report_Here!$E$1:$E$2000,E274, OFFSET(Paste_Report_Here!$A$1,0,$A298,2000,1),I$75)</f>
        <v>9</v>
      </c>
      <c r="J298" s="180">
        <f ca="1">COUNTIFS(Paste_Report_Here!$E$1:$E$2000,E274, OFFSET(Paste_Report_Here!$A$1,0,$A298,2000,1),J$75)</f>
        <v>0</v>
      </c>
      <c r="K298" s="181">
        <f ca="1">COUNTIFS(Paste_Report_Here!$E$1:$E$2000,E274, OFFSET(Paste_Report_Here!$A$1,0,$A298,2000,1),K$75)</f>
        <v>0</v>
      </c>
      <c r="L298" s="166">
        <f t="shared" ca="1" si="42"/>
        <v>34</v>
      </c>
      <c r="M298" s="183">
        <f ca="1">SUMPRODUCT(F298:K298,F278:K278)/L:L</f>
        <v>0</v>
      </c>
      <c r="N298" s="166">
        <f t="shared" ca="1" si="43"/>
        <v>1</v>
      </c>
      <c r="O298" s="165">
        <f t="shared" ca="1" si="45"/>
        <v>3648.7783368810542</v>
      </c>
      <c r="P298" s="165">
        <f t="shared" ca="1" si="44"/>
        <v>3648.7783368810542</v>
      </c>
    </row>
    <row r="299" spans="1:16" s="165" customFormat="1" x14ac:dyDescent="0.3">
      <c r="A299" s="165">
        <f>MATCH(Calcs!B299,Paste_Report_Here!$1:$1,0) -1</f>
        <v>24</v>
      </c>
      <c r="B299" s="165" t="s">
        <v>209</v>
      </c>
      <c r="C299" s="166">
        <f ca="1">RANK(N299,N280:N304)</f>
        <v>15</v>
      </c>
      <c r="D299" s="166">
        <f ca="1">RANK(P299,P280:P304)</f>
        <v>25</v>
      </c>
      <c r="E299" s="202" t="s">
        <v>211</v>
      </c>
      <c r="F299" s="179">
        <f ca="1">COUNTIFS(Paste_Report_Here!$E$1:$E$2000,E274, OFFSET(Paste_Report_Here!$A$1,0,$A299,2000,1),F$75)</f>
        <v>0</v>
      </c>
      <c r="G299" s="180">
        <f ca="1">COUNTIFS(Paste_Report_Here!$E$1:$E$2000,E274, OFFSET(Paste_Report_Here!$A$1,0,$A299,2000,1),G$75)</f>
        <v>1</v>
      </c>
      <c r="H299" s="180">
        <f ca="1">COUNTIFS(Paste_Report_Here!$E$1:$E$2000,E274, OFFSET(Paste_Report_Here!$A$1,0,$A299,2000,1),H$75)</f>
        <v>27</v>
      </c>
      <c r="I299" s="180">
        <f ca="1">COUNTIFS(Paste_Report_Here!$E$1:$E$2000,E274, OFFSET(Paste_Report_Here!$A$1,0,$A299,2000,1),I$75)</f>
        <v>4</v>
      </c>
      <c r="J299" s="180">
        <f ca="1">COUNTIFS(Paste_Report_Here!$E$1:$E$2000,E274, OFFSET(Paste_Report_Here!$A$1,0,$A299,2000,1),J$75)</f>
        <v>0</v>
      </c>
      <c r="K299" s="181">
        <f ca="1">COUNTIFS(Paste_Report_Here!$E$1:$E$2000,E274, OFFSET(Paste_Report_Here!$A$1,0,$A299,2000,1),K$75)</f>
        <v>2</v>
      </c>
      <c r="L299" s="166">
        <f t="shared" ca="1" si="42"/>
        <v>34</v>
      </c>
      <c r="M299" s="183">
        <f ca="1">SUMPRODUCT(F299:K299,F278:K278)/L:L</f>
        <v>0</v>
      </c>
      <c r="N299" s="166">
        <f t="shared" ca="1" si="43"/>
        <v>1</v>
      </c>
      <c r="O299" s="165">
        <f t="shared" ca="1" si="45"/>
        <v>1165.3498076526269</v>
      </c>
      <c r="P299" s="165">
        <f t="shared" ca="1" si="44"/>
        <v>1165.3498076526269</v>
      </c>
    </row>
    <row r="300" spans="1:16" s="165" customFormat="1" x14ac:dyDescent="0.3">
      <c r="A300" s="165">
        <f>MATCH(Calcs!B300,Paste_Report_Here!$1:$1,0) -1</f>
        <v>25</v>
      </c>
      <c r="B300" s="165" t="s">
        <v>141</v>
      </c>
      <c r="C300" s="166">
        <f ca="1">RANK(N300,N280:N304)</f>
        <v>23</v>
      </c>
      <c r="D300" s="166">
        <f ca="1">RANK(P300,P280:P304)</f>
        <v>22</v>
      </c>
      <c r="E300" s="189" t="s">
        <v>170</v>
      </c>
      <c r="F300" s="179">
        <f ca="1">COUNTIFS(Paste_Report_Here!$E$1:$E$2000,E274, OFFSET(Paste_Report_Here!$A$1,0,$A300,2000,1),F$75)</f>
        <v>1</v>
      </c>
      <c r="G300" s="180">
        <f ca="1">COUNTIFS(Paste_Report_Here!$E$1:$E$2000,E274, OFFSET(Paste_Report_Here!$A$1,0,$A300,2000,1),G$75)</f>
        <v>4</v>
      </c>
      <c r="H300" s="180">
        <f ca="1">COUNTIFS(Paste_Report_Here!$E$1:$E$2000,E274, OFFSET(Paste_Report_Here!$A$1,0,$A300,2000,1),H$75)</f>
        <v>22</v>
      </c>
      <c r="I300" s="180">
        <f ca="1">COUNTIFS(Paste_Report_Here!$E$1:$E$2000,E274, OFFSET(Paste_Report_Here!$A$1,0,$A300,2000,1),I$75)</f>
        <v>7</v>
      </c>
      <c r="J300" s="180">
        <f ca="1">COUNTIFS(Paste_Report_Here!$E$1:$E$2000,E274, OFFSET(Paste_Report_Here!$A$1,0,$A300,2000,1),J$75)</f>
        <v>0</v>
      </c>
      <c r="K300" s="181">
        <f ca="1">COUNTIFS(Paste_Report_Here!$E$1:$E$2000,E274, OFFSET(Paste_Report_Here!$A$1,0,$A300,2000,1),K$75)</f>
        <v>0</v>
      </c>
      <c r="L300" s="166">
        <f t="shared" ca="1" si="42"/>
        <v>34</v>
      </c>
      <c r="M300" s="183">
        <f ca="1">SUMPRODUCT(F300:K300,F278:K278)/L:L</f>
        <v>-5.8823529411764705E-3</v>
      </c>
      <c r="N300" s="166">
        <f t="shared" ca="1" si="43"/>
        <v>0.99413491422311084</v>
      </c>
      <c r="O300" s="165">
        <f t="shared" ca="1" si="45"/>
        <v>1403.4143193406555</v>
      </c>
      <c r="P300" s="165">
        <f t="shared" ca="1" si="44"/>
        <v>1395.1831739772081</v>
      </c>
    </row>
    <row r="301" spans="1:16" s="165" customFormat="1" x14ac:dyDescent="0.3">
      <c r="A301" s="165">
        <f>MATCH(Calcs!B301,Paste_Report_Here!$1:$1,0) -1</f>
        <v>26</v>
      </c>
      <c r="B301" s="165" t="s">
        <v>142</v>
      </c>
      <c r="C301" s="166">
        <f ca="1">RANK(N301,N280:N304)</f>
        <v>25</v>
      </c>
      <c r="D301" s="166">
        <f ca="1">RANK(P301,P280:P304)</f>
        <v>12</v>
      </c>
      <c r="E301" s="189" t="s">
        <v>171</v>
      </c>
      <c r="F301" s="179">
        <f ca="1">COUNTIFS(Paste_Report_Here!$E$1:$E$2000,E274, OFFSET(Paste_Report_Here!$A$1,0,$A301,2000,1),F$75)</f>
        <v>2</v>
      </c>
      <c r="G301" s="180">
        <f ca="1">COUNTIFS(Paste_Report_Here!$E$1:$E$2000,E274, OFFSET(Paste_Report_Here!$A$1,0,$A301,2000,1),G$75)</f>
        <v>2</v>
      </c>
      <c r="H301" s="180">
        <f ca="1">COUNTIFS(Paste_Report_Here!$E$1:$E$2000,E274, OFFSET(Paste_Report_Here!$A$1,0,$A301,2000,1),H$75)</f>
        <v>21</v>
      </c>
      <c r="I301" s="180">
        <f ca="1">COUNTIFS(Paste_Report_Here!$E$1:$E$2000,E274, OFFSET(Paste_Report_Here!$A$1,0,$A301,2000,1),I$75)</f>
        <v>9</v>
      </c>
      <c r="J301" s="180">
        <f ca="1">COUNTIFS(Paste_Report_Here!$E$1:$E$2000,E274, OFFSET(Paste_Report_Here!$A$1,0,$A301,2000,1),J$75)</f>
        <v>0</v>
      </c>
      <c r="K301" s="181">
        <f ca="1">COUNTIFS(Paste_Report_Here!$E$1:$E$2000,E274, OFFSET(Paste_Report_Here!$A$1,0,$A301,2000,1),K$75)</f>
        <v>0</v>
      </c>
      <c r="L301" s="166">
        <f t="shared" ca="1" si="42"/>
        <v>34</v>
      </c>
      <c r="M301" s="183">
        <f ca="1">SUMPRODUCT(F301:K301,F278:K278)/L:L</f>
        <v>-1.1764705882352941E-2</v>
      </c>
      <c r="N301" s="166">
        <f t="shared" ca="1" si="43"/>
        <v>0.9883042276773919</v>
      </c>
      <c r="O301" s="165">
        <f t="shared" ca="1" si="45"/>
        <v>2332.1390085913845</v>
      </c>
      <c r="P301" s="165">
        <f t="shared" ca="1" si="44"/>
        <v>2304.8628417222267</v>
      </c>
    </row>
    <row r="302" spans="1:16" s="165" customFormat="1" x14ac:dyDescent="0.3">
      <c r="A302" s="165">
        <f>MATCH(Calcs!B302,Paste_Report_Here!$1:$1,0) -1</f>
        <v>27</v>
      </c>
      <c r="B302" s="165" t="s">
        <v>210</v>
      </c>
      <c r="C302" s="166">
        <f ca="1">RANK(N302,N280:N304)</f>
        <v>23</v>
      </c>
      <c r="D302" s="166">
        <f ca="1">RANK(P302,P280:P304)</f>
        <v>24</v>
      </c>
      <c r="E302" s="202" t="s">
        <v>212</v>
      </c>
      <c r="F302" s="179">
        <f ca="1">COUNTIFS(Paste_Report_Here!$E$1:$E$2000,E274, OFFSET(Paste_Report_Here!$A$1,0,$A302,2000,1),F$75)</f>
        <v>1</v>
      </c>
      <c r="G302" s="180">
        <f ca="1">COUNTIFS(Paste_Report_Here!$E$1:$E$2000,E274, OFFSET(Paste_Report_Here!$A$1,0,$A302,2000,1),G$75)</f>
        <v>3</v>
      </c>
      <c r="H302" s="180">
        <f ca="1">COUNTIFS(Paste_Report_Here!$E$1:$E$2000,E274, OFFSET(Paste_Report_Here!$A$1,0,$A302,2000,1),H$75)</f>
        <v>26</v>
      </c>
      <c r="I302" s="180">
        <f ca="1">COUNTIFS(Paste_Report_Here!$E$1:$E$2000,E274, OFFSET(Paste_Report_Here!$A$1,0,$A302,2000,1),I$75)</f>
        <v>4</v>
      </c>
      <c r="J302" s="180">
        <f ca="1">COUNTIFS(Paste_Report_Here!$E$1:$E$2000,E274, OFFSET(Paste_Report_Here!$A$1,0,$A302,2000,1),J$75)</f>
        <v>0</v>
      </c>
      <c r="K302" s="181">
        <f ca="1">COUNTIFS(Paste_Report_Here!$E$1:$E$2000,E274, OFFSET(Paste_Report_Here!$A$1,0,$A302,2000,1),K$75)</f>
        <v>0</v>
      </c>
      <c r="L302" s="166">
        <f t="shared" ca="1" si="42"/>
        <v>34</v>
      </c>
      <c r="M302" s="183">
        <f ca="1">SUMPRODUCT(F302:K302,F278:K278)/L:L</f>
        <v>-5.8823529411764705E-3</v>
      </c>
      <c r="N302" s="166">
        <f t="shared" ca="1" si="43"/>
        <v>0.99413491422311084</v>
      </c>
      <c r="O302" s="165">
        <f t="shared" ca="1" si="45"/>
        <v>1173.6569265350035</v>
      </c>
      <c r="P302" s="165">
        <f t="shared" ca="1" si="44"/>
        <v>1166.7733279882357</v>
      </c>
    </row>
    <row r="303" spans="1:16" s="165" customFormat="1" x14ac:dyDescent="0.3">
      <c r="A303" s="165">
        <f>MATCH(Calcs!B303,Paste_Report_Here!$1:$1,0) -1</f>
        <v>28</v>
      </c>
      <c r="B303" s="165" t="s">
        <v>143</v>
      </c>
      <c r="C303" s="166">
        <f ca="1">RANK(N303,N280:N304)</f>
        <v>1</v>
      </c>
      <c r="D303" s="166">
        <f ca="1">RANK(P303,P280:P304)</f>
        <v>1</v>
      </c>
      <c r="E303" s="189" t="s">
        <v>172</v>
      </c>
      <c r="F303" s="179">
        <f ca="1">COUNTIFS(Paste_Report_Here!$E$1:$E$2000,E274, OFFSET(Paste_Report_Here!$A$1,0,$A303,2000,1),F$75)</f>
        <v>0</v>
      </c>
      <c r="G303" s="180">
        <f ca="1">COUNTIFS(Paste_Report_Here!$E$1:$E$2000,E274, OFFSET(Paste_Report_Here!$A$1,0,$A303,2000,1),G$75)</f>
        <v>1</v>
      </c>
      <c r="H303" s="180">
        <f ca="1">COUNTIFS(Paste_Report_Here!$E$1:$E$2000,E274, OFFSET(Paste_Report_Here!$A$1,0,$A303,2000,1),H$75)</f>
        <v>14</v>
      </c>
      <c r="I303" s="180">
        <f ca="1">COUNTIFS(Paste_Report_Here!$E$1:$E$2000,E274, OFFSET(Paste_Report_Here!$A$1,0,$A303,2000,1),I$75)</f>
        <v>17</v>
      </c>
      <c r="J303" s="180">
        <f ca="1">COUNTIFS(Paste_Report_Here!$E$1:$E$2000,E274, OFFSET(Paste_Report_Here!$A$1,0,$A303,2000,1),J$75)</f>
        <v>2</v>
      </c>
      <c r="K303" s="181">
        <f ca="1">COUNTIFS(Paste_Report_Here!$E$1:$E$2000,E274, OFFSET(Paste_Report_Here!$A$1,0,$A303,2000,1),K$75)</f>
        <v>0</v>
      </c>
      <c r="L303" s="166">
        <f t="shared" ca="1" si="42"/>
        <v>34</v>
      </c>
      <c r="M303" s="183">
        <f ca="1">SUMPRODUCT(F303:K303,F278:K278)/L:L</f>
        <v>1.1764705882352941E-2</v>
      </c>
      <c r="N303" s="166">
        <f t="shared" ca="1" si="43"/>
        <v>1.0118341822235186</v>
      </c>
      <c r="O303" s="165">
        <f t="shared" ca="1" si="45"/>
        <v>7049.0887207076448</v>
      </c>
      <c r="P303" s="165">
        <f t="shared" ca="1" si="44"/>
        <v>7132.5089211382492</v>
      </c>
    </row>
    <row r="304" spans="1:16" s="165" customFormat="1" x14ac:dyDescent="0.3">
      <c r="A304" s="165">
        <f>MATCH(Calcs!B304,Paste_Report_Here!$1:$1,0) -1</f>
        <v>29</v>
      </c>
      <c r="B304" s="187" t="s">
        <v>144</v>
      </c>
      <c r="C304" s="147">
        <f ca="1">RANK(N304,N280:N304)</f>
        <v>15</v>
      </c>
      <c r="D304" s="147">
        <f ca="1">RANK(P304,P280:P304)</f>
        <v>11</v>
      </c>
      <c r="E304" s="145" t="s">
        <v>173</v>
      </c>
      <c r="F304" s="146">
        <f ca="1">COUNTIFS(Paste_Report_Here!$E$1:$E$2000,E274, OFFSET(Paste_Report_Here!$A$1,0,$A304,2000,1),F$75)</f>
        <v>0</v>
      </c>
      <c r="G304" s="147">
        <f ca="1">COUNTIFS(Paste_Report_Here!$E$1:$E$2000,E274, OFFSET(Paste_Report_Here!$A$1,0,$A304,2000,1),G$75)</f>
        <v>2</v>
      </c>
      <c r="H304" s="147">
        <f ca="1">COUNTIFS(Paste_Report_Here!$E$1:$E$2000,E274, OFFSET(Paste_Report_Here!$A$1,0,$A304,2000,1),H$75)</f>
        <v>23</v>
      </c>
      <c r="I304" s="147">
        <f ca="1">COUNTIFS(Paste_Report_Here!$E$1:$E$2000,E274, OFFSET(Paste_Report_Here!$A$1,0,$A304,2000,1),I$75)</f>
        <v>9</v>
      </c>
      <c r="J304" s="147">
        <f ca="1">COUNTIFS(Paste_Report_Here!$E$1:$E$2000,E274, OFFSET(Paste_Report_Here!$A$1,0,$A304,2000,1),J$75)</f>
        <v>0</v>
      </c>
      <c r="K304" s="148">
        <f ca="1">COUNTIFS(Paste_Report_Here!$E$1:$E$2000,E274, OFFSET(Paste_Report_Here!$A$1,0,$A304,2000,1),K$75)</f>
        <v>0</v>
      </c>
      <c r="L304" s="147">
        <f t="shared" ca="1" si="42"/>
        <v>34</v>
      </c>
      <c r="M304" s="149">
        <f ca="1">SUMPRODUCT(F304:K304,F278:K278)/L:L</f>
        <v>0</v>
      </c>
      <c r="N304" s="147">
        <f t="shared" ca="1" si="43"/>
        <v>1</v>
      </c>
      <c r="O304" s="187">
        <f t="shared" ca="1" si="45"/>
        <v>2315.1929117932332</v>
      </c>
      <c r="P304" s="165">
        <f t="shared" ca="1" si="44"/>
        <v>2315.1929117932332</v>
      </c>
    </row>
    <row r="305" spans="1:16" s="165" customFormat="1" x14ac:dyDescent="0.3">
      <c r="C305" s="166"/>
      <c r="E305" s="140" t="s">
        <v>293</v>
      </c>
      <c r="F305" s="180">
        <f ca="1">SUM(F280:F304)</f>
        <v>4</v>
      </c>
      <c r="G305" s="180">
        <f t="shared" ref="G305:L305" ca="1" si="46">SUM(G280:G304)</f>
        <v>40</v>
      </c>
      <c r="H305" s="180">
        <f t="shared" ca="1" si="46"/>
        <v>587</v>
      </c>
      <c r="I305" s="180">
        <f t="shared" ca="1" si="46"/>
        <v>197</v>
      </c>
      <c r="J305" s="180">
        <f t="shared" ca="1" si="46"/>
        <v>19</v>
      </c>
      <c r="K305" s="180">
        <f t="shared" ca="1" si="46"/>
        <v>3</v>
      </c>
      <c r="L305" s="180">
        <f t="shared" ca="1" si="46"/>
        <v>850</v>
      </c>
      <c r="M305" s="144">
        <f ca="1">SUMPRODUCT(F305:K305,F278:K278)/L305</f>
        <v>3.5294117647058825E-3</v>
      </c>
      <c r="N305" s="166">
        <f t="shared" ca="1" si="43"/>
        <v>1.0035356474723769</v>
      </c>
      <c r="O305" s="165">
        <f t="shared" ca="1" si="45"/>
        <v>2543.5768210370493</v>
      </c>
      <c r="P305" s="165">
        <f t="shared" ca="1" si="44"/>
        <v>2552.5700119951453</v>
      </c>
    </row>
    <row r="306" spans="1:16" s="165" customFormat="1" x14ac:dyDescent="0.3">
      <c r="A306" s="194"/>
      <c r="B306" s="194"/>
      <c r="C306" s="153"/>
      <c r="D306" s="194"/>
      <c r="E306" s="164"/>
      <c r="F306" s="151"/>
      <c r="G306" s="151"/>
      <c r="H306" s="151"/>
      <c r="I306" s="151"/>
      <c r="J306" s="151"/>
      <c r="K306" s="151"/>
      <c r="L306" s="151"/>
      <c r="M306" s="162"/>
      <c r="N306" s="153"/>
      <c r="O306" s="194"/>
      <c r="P306" s="194"/>
    </row>
    <row r="307" spans="1:16" s="165" customFormat="1" x14ac:dyDescent="0.3">
      <c r="E307" s="173" t="s">
        <v>292</v>
      </c>
    </row>
    <row r="308" spans="1:16" s="165" customFormat="1" x14ac:dyDescent="0.3">
      <c r="E308" s="141">
        <v>40815</v>
      </c>
    </row>
    <row r="309" spans="1:16" s="165" customFormat="1" ht="15" thickBot="1" x14ac:dyDescent="0.35"/>
    <row r="310" spans="1:16" s="165" customFormat="1" ht="24.6" thickBot="1" x14ac:dyDescent="0.35">
      <c r="F310" s="174" t="s">
        <v>23</v>
      </c>
      <c r="G310" s="168" t="s">
        <v>18</v>
      </c>
      <c r="H310" s="168" t="s">
        <v>16</v>
      </c>
      <c r="I310" s="168" t="s">
        <v>17</v>
      </c>
      <c r="J310" s="168" t="s">
        <v>19</v>
      </c>
      <c r="K310" s="169" t="s">
        <v>114</v>
      </c>
    </row>
    <row r="311" spans="1:16" s="165" customFormat="1" x14ac:dyDescent="0.3">
      <c r="F311" s="267" t="s">
        <v>201</v>
      </c>
      <c r="G311" s="268"/>
      <c r="H311" s="268"/>
      <c r="I311" s="268"/>
      <c r="J311" s="268"/>
      <c r="K311" s="169"/>
      <c r="M311" s="203">
        <f ca="1">(H339+K339)/L339</f>
        <v>0.77666666666666662</v>
      </c>
      <c r="N311" s="204" t="s">
        <v>501</v>
      </c>
    </row>
    <row r="312" spans="1:16" s="165" customFormat="1" ht="43.8" thickBot="1" x14ac:dyDescent="0.35">
      <c r="A312" s="142" t="s">
        <v>294</v>
      </c>
      <c r="B312" s="142" t="s">
        <v>295</v>
      </c>
      <c r="C312" s="197" t="s">
        <v>440</v>
      </c>
      <c r="D312" s="142" t="s">
        <v>441</v>
      </c>
      <c r="E312" s="171" t="s">
        <v>30</v>
      </c>
      <c r="F312" s="175">
        <f>Falling_fast</f>
        <v>-0.2</v>
      </c>
      <c r="G312" s="176">
        <f>Falling</f>
        <v>0</v>
      </c>
      <c r="H312" s="177">
        <f>Static</f>
        <v>0</v>
      </c>
      <c r="I312" s="176">
        <f>Rising</f>
        <v>0</v>
      </c>
      <c r="J312" s="178">
        <f>Rising_fast</f>
        <v>0.2</v>
      </c>
      <c r="K312" s="182">
        <v>0</v>
      </c>
      <c r="L312" s="171" t="s">
        <v>28</v>
      </c>
      <c r="M312" s="172" t="s">
        <v>29</v>
      </c>
      <c r="N312" s="143" t="s">
        <v>296</v>
      </c>
      <c r="O312" s="142" t="s">
        <v>297</v>
      </c>
      <c r="P312" s="142" t="s">
        <v>298</v>
      </c>
    </row>
    <row r="313" spans="1:16" s="165" customFormat="1" x14ac:dyDescent="0.3">
      <c r="C313" s="166"/>
      <c r="E313" s="192"/>
      <c r="F313" s="198" t="s">
        <v>151</v>
      </c>
      <c r="G313" s="199" t="s">
        <v>149</v>
      </c>
      <c r="H313" s="199" t="s">
        <v>16</v>
      </c>
      <c r="I313" s="199" t="s">
        <v>148</v>
      </c>
      <c r="J313" s="199" t="s">
        <v>150</v>
      </c>
      <c r="K313" s="200" t="s">
        <v>114</v>
      </c>
      <c r="L313" s="166"/>
      <c r="M313" s="170"/>
      <c r="N313" s="166"/>
    </row>
    <row r="314" spans="1:16" s="165" customFormat="1" x14ac:dyDescent="0.3">
      <c r="A314" s="165">
        <f>MATCH(Calcs!B314,Paste_Report_Here!$1:$1,0) -1</f>
        <v>5</v>
      </c>
      <c r="B314" s="165" t="s">
        <v>124</v>
      </c>
      <c r="C314" s="166">
        <f ca="1">RANK(N314,N314:N338)</f>
        <v>6</v>
      </c>
      <c r="D314" s="166">
        <f ca="1">RANK(P314,P314:P338)</f>
        <v>16</v>
      </c>
      <c r="E314" s="189" t="s">
        <v>152</v>
      </c>
      <c r="F314" s="179">
        <f ca="1">COUNTIFS(Paste_Report_Here!$E$1:$E$2000,E308, OFFSET(Paste_Report_Here!$A$1,0,$A314,2000,1),F$75)</f>
        <v>0</v>
      </c>
      <c r="G314" s="180">
        <f ca="1">COUNTIFS(Paste_Report_Here!$E$1:$E$2000,E308, OFFSET(Paste_Report_Here!$A$1,0,$A314,2000,1),G$75)</f>
        <v>4</v>
      </c>
      <c r="H314" s="180">
        <f ca="1">COUNTIFS(Paste_Report_Here!$E$1:$E$2000,E308, OFFSET(Paste_Report_Here!$A$1,0,$A314,2000,1),H$75)</f>
        <v>24</v>
      </c>
      <c r="I314" s="180">
        <f ca="1">COUNTIFS(Paste_Report_Here!$E$1:$E$2000,E308, OFFSET(Paste_Report_Here!$A$1,0,$A314,2000,1),I$75)</f>
        <v>8</v>
      </c>
      <c r="J314" s="180">
        <f ca="1">COUNTIFS(Paste_Report_Here!$E$1:$E$2000,E308, OFFSET(Paste_Report_Here!$A$1,0,$A314,2000,1),J$75)</f>
        <v>0</v>
      </c>
      <c r="K314" s="181">
        <f ca="1">COUNTIFS(Paste_Report_Here!$E$1:$E$2000,E308, OFFSET(Paste_Report_Here!$A$1,0,$A314,2000,1),K$75)</f>
        <v>0</v>
      </c>
      <c r="L314" s="166">
        <f t="shared" ref="L314:L338" ca="1" si="47">SUM(F314:K314)</f>
        <v>36</v>
      </c>
      <c r="M314" s="183">
        <f ca="1">SUMPRODUCT(F314:K314,F312:K312)/L:L</f>
        <v>0</v>
      </c>
      <c r="N314" s="166">
        <f t="shared" ref="N314:N339" ca="1" si="48">EXP(M314)</f>
        <v>1</v>
      </c>
      <c r="O314" s="165">
        <f ca="1">P280</f>
        <v>2034.2896017730648</v>
      </c>
      <c r="P314" s="165">
        <f t="shared" ref="P314:P339" ca="1" si="49">O314*N314</f>
        <v>2034.2896017730648</v>
      </c>
    </row>
    <row r="315" spans="1:16" s="165" customFormat="1" x14ac:dyDescent="0.3">
      <c r="A315" s="165">
        <f>MATCH(Calcs!B315,Paste_Report_Here!$1:$1,0) -1</f>
        <v>6</v>
      </c>
      <c r="B315" s="165" t="s">
        <v>125</v>
      </c>
      <c r="C315" s="166">
        <f ca="1">RANK(N315,N314:N338)</f>
        <v>6</v>
      </c>
      <c r="D315" s="166">
        <f ca="1">RANK(P315,P314:P338)</f>
        <v>13</v>
      </c>
      <c r="E315" s="189" t="s">
        <v>153</v>
      </c>
      <c r="F315" s="179">
        <f ca="1">COUNTIFS(Paste_Report_Here!$E$1:$E$2000,E308, OFFSET(Paste_Report_Here!$A$1,0,$A315,2000,1),F$75)</f>
        <v>0</v>
      </c>
      <c r="G315" s="180">
        <f ca="1">COUNTIFS(Paste_Report_Here!$E$1:$E$2000,E308, OFFSET(Paste_Report_Here!$A$1,0,$A315,2000,1),G$75)</f>
        <v>3</v>
      </c>
      <c r="H315" s="180">
        <f ca="1">COUNTIFS(Paste_Report_Here!$E$1:$E$2000,E308, OFFSET(Paste_Report_Here!$A$1,0,$A315,2000,1),H$75)</f>
        <v>27</v>
      </c>
      <c r="I315" s="180">
        <f ca="1">COUNTIFS(Paste_Report_Here!$E$1:$E$2000,E308, OFFSET(Paste_Report_Here!$A$1,0,$A315,2000,1),I$75)</f>
        <v>5</v>
      </c>
      <c r="J315" s="180">
        <f ca="1">COUNTIFS(Paste_Report_Here!$E$1:$E$2000,E308, OFFSET(Paste_Report_Here!$A$1,0,$A315,2000,1),J$75)</f>
        <v>0</v>
      </c>
      <c r="K315" s="181">
        <f ca="1">COUNTIFS(Paste_Report_Here!$E$1:$E$2000,E308, OFFSET(Paste_Report_Here!$A$1,0,$A315,2000,1),K$75)</f>
        <v>1</v>
      </c>
      <c r="L315" s="166">
        <f t="shared" ca="1" si="47"/>
        <v>36</v>
      </c>
      <c r="M315" s="183">
        <f ca="1">SUMPRODUCT(F315:K315,F312:K312)/L:L</f>
        <v>0</v>
      </c>
      <c r="N315" s="166">
        <f t="shared" ca="1" si="48"/>
        <v>1</v>
      </c>
      <c r="O315" s="165">
        <f t="shared" ref="O315:O339" ca="1" si="50">P281</f>
        <v>2168.5814076630145</v>
      </c>
      <c r="P315" s="165">
        <f t="shared" ca="1" si="49"/>
        <v>2168.5814076630145</v>
      </c>
    </row>
    <row r="316" spans="1:16" s="165" customFormat="1" x14ac:dyDescent="0.3">
      <c r="A316" s="165">
        <f>MATCH(Calcs!B316,Paste_Report_Here!$1:$1,0) -1</f>
        <v>7</v>
      </c>
      <c r="B316" s="165" t="s">
        <v>126</v>
      </c>
      <c r="C316" s="166">
        <f ca="1">RANK(N316,N314:N338)</f>
        <v>6</v>
      </c>
      <c r="D316" s="166">
        <f ca="1">RANK(P316,P314:P338)</f>
        <v>6</v>
      </c>
      <c r="E316" s="189" t="s">
        <v>154</v>
      </c>
      <c r="F316" s="179">
        <f ca="1">COUNTIFS(Paste_Report_Here!$E$1:$E$2000,E308, OFFSET(Paste_Report_Here!$A$1,0,$A316,2000,1),F$75)</f>
        <v>0</v>
      </c>
      <c r="G316" s="180">
        <f ca="1">COUNTIFS(Paste_Report_Here!$E$1:$E$2000,E308, OFFSET(Paste_Report_Here!$A$1,0,$A316,2000,1),G$75)</f>
        <v>4</v>
      </c>
      <c r="H316" s="180">
        <f ca="1">COUNTIFS(Paste_Report_Here!$E$1:$E$2000,E308, OFFSET(Paste_Report_Here!$A$1,0,$A316,2000,1),H$75)</f>
        <v>30</v>
      </c>
      <c r="I316" s="180">
        <f ca="1">COUNTIFS(Paste_Report_Here!$E$1:$E$2000,E308, OFFSET(Paste_Report_Here!$A$1,0,$A316,2000,1),I$75)</f>
        <v>2</v>
      </c>
      <c r="J316" s="180">
        <f ca="1">COUNTIFS(Paste_Report_Here!$E$1:$E$2000,E308, OFFSET(Paste_Report_Here!$A$1,0,$A316,2000,1),J$75)</f>
        <v>0</v>
      </c>
      <c r="K316" s="181">
        <f ca="1">COUNTIFS(Paste_Report_Here!$E$1:$E$2000,E308, OFFSET(Paste_Report_Here!$A$1,0,$A316,2000,1),K$75)</f>
        <v>0</v>
      </c>
      <c r="L316" s="166">
        <f t="shared" ca="1" si="47"/>
        <v>36</v>
      </c>
      <c r="M316" s="183">
        <f ca="1">SUMPRODUCT(F316:K316,F312:K312)/L:L</f>
        <v>0</v>
      </c>
      <c r="N316" s="166">
        <f t="shared" ca="1" si="48"/>
        <v>1</v>
      </c>
      <c r="O316" s="165">
        <f t="shared" ca="1" si="50"/>
        <v>2822.9504375582001</v>
      </c>
      <c r="P316" s="165">
        <f t="shared" ca="1" si="49"/>
        <v>2822.9504375582001</v>
      </c>
    </row>
    <row r="317" spans="1:16" s="165" customFormat="1" x14ac:dyDescent="0.3">
      <c r="A317" s="165">
        <f>MATCH(Calcs!B317,Paste_Report_Here!$1:$1,0) -1</f>
        <v>8</v>
      </c>
      <c r="B317" s="165" t="s">
        <v>127</v>
      </c>
      <c r="C317" s="166">
        <f ca="1">RANK(N317,N314:N338)</f>
        <v>6</v>
      </c>
      <c r="D317" s="166">
        <f ca="1">RANK(P317,P314:P338)</f>
        <v>8</v>
      </c>
      <c r="E317" s="189" t="s">
        <v>155</v>
      </c>
      <c r="F317" s="179">
        <f ca="1">COUNTIFS(Paste_Report_Here!$E$1:$E$2000,E308, OFFSET(Paste_Report_Here!$A$1,0,$A317,2000,1),F$75)</f>
        <v>0</v>
      </c>
      <c r="G317" s="180">
        <f ca="1">COUNTIFS(Paste_Report_Here!$E$1:$E$2000,E308, OFFSET(Paste_Report_Here!$A$1,0,$A317,2000,1),G$75)</f>
        <v>1</v>
      </c>
      <c r="H317" s="180">
        <f ca="1">COUNTIFS(Paste_Report_Here!$E$1:$E$2000,E308, OFFSET(Paste_Report_Here!$A$1,0,$A317,2000,1),H$75)</f>
        <v>27</v>
      </c>
      <c r="I317" s="180">
        <f ca="1">COUNTIFS(Paste_Report_Here!$E$1:$E$2000,E308, OFFSET(Paste_Report_Here!$A$1,0,$A317,2000,1),I$75)</f>
        <v>8</v>
      </c>
      <c r="J317" s="180">
        <f ca="1">COUNTIFS(Paste_Report_Here!$E$1:$E$2000,E308, OFFSET(Paste_Report_Here!$A$1,0,$A317,2000,1),J$75)</f>
        <v>0</v>
      </c>
      <c r="K317" s="181">
        <f ca="1">COUNTIFS(Paste_Report_Here!$E$1:$E$2000,E308, OFFSET(Paste_Report_Here!$A$1,0,$A317,2000,1),K$75)</f>
        <v>0</v>
      </c>
      <c r="L317" s="166">
        <f t="shared" ca="1" si="47"/>
        <v>36</v>
      </c>
      <c r="M317" s="183">
        <f ca="1">SUMPRODUCT(F317:K317,F312:K312)/L:L</f>
        <v>0</v>
      </c>
      <c r="N317" s="166">
        <f t="shared" ca="1" si="48"/>
        <v>1</v>
      </c>
      <c r="O317" s="165">
        <f t="shared" ca="1" si="50"/>
        <v>2486.2059662794913</v>
      </c>
      <c r="P317" s="165">
        <f t="shared" ca="1" si="49"/>
        <v>2486.2059662794913</v>
      </c>
    </row>
    <row r="318" spans="1:16" s="165" customFormat="1" x14ac:dyDescent="0.3">
      <c r="A318" s="165">
        <f>MATCH(Calcs!B318,Paste_Report_Here!$1:$1,0) -1</f>
        <v>9</v>
      </c>
      <c r="B318" s="165" t="s">
        <v>214</v>
      </c>
      <c r="C318" s="166">
        <f ca="1">RANK(N318,N314:N338)</f>
        <v>6</v>
      </c>
      <c r="D318" s="166">
        <f ca="1">RANK(P318,P314:P338)</f>
        <v>5</v>
      </c>
      <c r="E318" s="189" t="s">
        <v>156</v>
      </c>
      <c r="F318" s="179">
        <f ca="1">COUNTIFS(Paste_Report_Here!$E$1:$E$2000,E308, OFFSET(Paste_Report_Here!$A$1,0,$A318,2000,1),F$75)</f>
        <v>0</v>
      </c>
      <c r="G318" s="180">
        <f ca="1">COUNTIFS(Paste_Report_Here!$E$1:$E$2000,E308, OFFSET(Paste_Report_Here!$A$1,0,$A318,2000,1),G$75)</f>
        <v>2</v>
      </c>
      <c r="H318" s="180">
        <f ca="1">COUNTIFS(Paste_Report_Here!$E$1:$E$2000,E308, OFFSET(Paste_Report_Here!$A$1,0,$A318,2000,1),H$75)</f>
        <v>29</v>
      </c>
      <c r="I318" s="180">
        <f ca="1">COUNTIFS(Paste_Report_Here!$E$1:$E$2000,E308, OFFSET(Paste_Report_Here!$A$1,0,$A318,2000,1),I$75)</f>
        <v>5</v>
      </c>
      <c r="J318" s="180">
        <f ca="1">COUNTIFS(Paste_Report_Here!$E$1:$E$2000,E308, OFFSET(Paste_Report_Here!$A$1,0,$A318,2000,1),J$75)</f>
        <v>0</v>
      </c>
      <c r="K318" s="181">
        <f ca="1">COUNTIFS(Paste_Report_Here!$E$1:$E$2000,E308, OFFSET(Paste_Report_Here!$A$1,0,$A318,2000,1),K$75)</f>
        <v>0</v>
      </c>
      <c r="L318" s="166">
        <f t="shared" ca="1" si="47"/>
        <v>36</v>
      </c>
      <c r="M318" s="183">
        <f ca="1">SUMPRODUCT(F318:K318,F312:K312)/L:L</f>
        <v>0</v>
      </c>
      <c r="N318" s="166">
        <f t="shared" ca="1" si="48"/>
        <v>1</v>
      </c>
      <c r="O318" s="165">
        <f t="shared" ca="1" si="50"/>
        <v>3412.0476888962917</v>
      </c>
      <c r="P318" s="165">
        <f t="shared" ca="1" si="49"/>
        <v>3412.0476888962917</v>
      </c>
    </row>
    <row r="319" spans="1:16" s="165" customFormat="1" x14ac:dyDescent="0.3">
      <c r="A319" s="165">
        <f>MATCH(Calcs!B319,Paste_Report_Here!$1:$1,0) -1</f>
        <v>10</v>
      </c>
      <c r="B319" s="165" t="s">
        <v>128</v>
      </c>
      <c r="C319" s="166">
        <f ca="1">RANK(N319,N314:N338)</f>
        <v>6</v>
      </c>
      <c r="D319" s="166">
        <f ca="1">RANK(P319,P314:P338)</f>
        <v>21</v>
      </c>
      <c r="E319" s="189" t="s">
        <v>157</v>
      </c>
      <c r="F319" s="179">
        <f ca="1">COUNTIFS(Paste_Report_Here!$E$1:$E$2000,E308, OFFSET(Paste_Report_Here!$A$1,0,$A319,2000,1),F$75)</f>
        <v>0</v>
      </c>
      <c r="G319" s="180">
        <f ca="1">COUNTIFS(Paste_Report_Here!$E$1:$E$2000,E308, OFFSET(Paste_Report_Here!$A$1,0,$A319,2000,1),G$75)</f>
        <v>4</v>
      </c>
      <c r="H319" s="180">
        <f ca="1">COUNTIFS(Paste_Report_Here!$E$1:$E$2000,E308, OFFSET(Paste_Report_Here!$A$1,0,$A319,2000,1),H$75)</f>
        <v>30</v>
      </c>
      <c r="I319" s="180">
        <f ca="1">COUNTIFS(Paste_Report_Here!$E$1:$E$2000,E308, OFFSET(Paste_Report_Here!$A$1,0,$A319,2000,1),I$75)</f>
        <v>2</v>
      </c>
      <c r="J319" s="180">
        <f ca="1">COUNTIFS(Paste_Report_Here!$E$1:$E$2000,E308, OFFSET(Paste_Report_Here!$A$1,0,$A319,2000,1),J$75)</f>
        <v>0</v>
      </c>
      <c r="K319" s="181">
        <f ca="1">COUNTIFS(Paste_Report_Here!$E$1:$E$2000,E308, OFFSET(Paste_Report_Here!$A$1,0,$A319,2000,1),K$75)</f>
        <v>0</v>
      </c>
      <c r="L319" s="166">
        <f t="shared" ca="1" si="47"/>
        <v>36</v>
      </c>
      <c r="M319" s="183">
        <f ca="1">SUMPRODUCT(F319:K319,F312:K312)/L:L</f>
        <v>0</v>
      </c>
      <c r="N319" s="166">
        <f t="shared" ca="1" si="48"/>
        <v>1</v>
      </c>
      <c r="O319" s="165">
        <f t="shared" ca="1" si="50"/>
        <v>1588.1962749345146</v>
      </c>
      <c r="P319" s="165">
        <f t="shared" ca="1" si="49"/>
        <v>1588.1962749345146</v>
      </c>
    </row>
    <row r="320" spans="1:16" s="165" customFormat="1" x14ac:dyDescent="0.3">
      <c r="A320" s="165">
        <f>MATCH(Calcs!B320,Paste_Report_Here!$1:$1,0) -1</f>
        <v>11</v>
      </c>
      <c r="B320" s="165" t="s">
        <v>129</v>
      </c>
      <c r="C320" s="166">
        <f ca="1">RANK(N320,N314:N338)</f>
        <v>6</v>
      </c>
      <c r="D320" s="166">
        <f ca="1">RANK(P320,P314:P338)</f>
        <v>9</v>
      </c>
      <c r="E320" s="189" t="s">
        <v>158</v>
      </c>
      <c r="F320" s="179">
        <f ca="1">COUNTIFS(Paste_Report_Here!$E$1:$E$2000,E308, OFFSET(Paste_Report_Here!$A$1,0,$A320,2000,1),F$75)</f>
        <v>0</v>
      </c>
      <c r="G320" s="180">
        <f ca="1">COUNTIFS(Paste_Report_Here!$E$1:$E$2000,E308, OFFSET(Paste_Report_Here!$A$1,0,$A320,2000,1),G$75)</f>
        <v>3</v>
      </c>
      <c r="H320" s="180">
        <f ca="1">COUNTIFS(Paste_Report_Here!$E$1:$E$2000,E308, OFFSET(Paste_Report_Here!$A$1,0,$A320,2000,1),H$75)</f>
        <v>28</v>
      </c>
      <c r="I320" s="180">
        <f ca="1">COUNTIFS(Paste_Report_Here!$E$1:$E$2000,E308, OFFSET(Paste_Report_Here!$A$1,0,$A320,2000,1),I$75)</f>
        <v>5</v>
      </c>
      <c r="J320" s="180">
        <f ca="1">COUNTIFS(Paste_Report_Here!$E$1:$E$2000,E308, OFFSET(Paste_Report_Here!$A$1,0,$A320,2000,1),J$75)</f>
        <v>0</v>
      </c>
      <c r="K320" s="181">
        <f ca="1">COUNTIFS(Paste_Report_Here!$E$1:$E$2000,E308, OFFSET(Paste_Report_Here!$A$1,0,$A320,2000,1),K$75)</f>
        <v>0</v>
      </c>
      <c r="L320" s="166">
        <f t="shared" ca="1" si="47"/>
        <v>36</v>
      </c>
      <c r="M320" s="183">
        <f ca="1">SUMPRODUCT(F320:K320,F312:K312)/L:L</f>
        <v>0</v>
      </c>
      <c r="N320" s="166">
        <f t="shared" ca="1" si="48"/>
        <v>1</v>
      </c>
      <c r="O320" s="165">
        <f t="shared" ca="1" si="50"/>
        <v>2476.2230838446812</v>
      </c>
      <c r="P320" s="165">
        <f t="shared" ca="1" si="49"/>
        <v>2476.2230838446812</v>
      </c>
    </row>
    <row r="321" spans="1:16" s="165" customFormat="1" x14ac:dyDescent="0.3">
      <c r="A321" s="165">
        <f>MATCH(Calcs!B321,Paste_Report_Here!$1:$1,0) -1</f>
        <v>12</v>
      </c>
      <c r="B321" s="165" t="s">
        <v>130</v>
      </c>
      <c r="C321" s="166">
        <f ca="1">RANK(N321,N314:N338)</f>
        <v>6</v>
      </c>
      <c r="D321" s="166">
        <f ca="1">RANK(P321,P314:P338)</f>
        <v>10</v>
      </c>
      <c r="E321" s="189" t="s">
        <v>159</v>
      </c>
      <c r="F321" s="179">
        <f ca="1">COUNTIFS(Paste_Report_Here!$E$1:$E$2000,E308, OFFSET(Paste_Report_Here!$A$1,0,$A321,2000,1),F$75)</f>
        <v>0</v>
      </c>
      <c r="G321" s="180">
        <f ca="1">COUNTIFS(Paste_Report_Here!$E$1:$E$2000,E308, OFFSET(Paste_Report_Here!$A$1,0,$A321,2000,1),G$75)</f>
        <v>1</v>
      </c>
      <c r="H321" s="180">
        <f ca="1">COUNTIFS(Paste_Report_Here!$E$1:$E$2000,E308, OFFSET(Paste_Report_Here!$A$1,0,$A321,2000,1),H$75)</f>
        <v>27</v>
      </c>
      <c r="I321" s="180">
        <f ca="1">COUNTIFS(Paste_Report_Here!$E$1:$E$2000,E308, OFFSET(Paste_Report_Here!$A$1,0,$A321,2000,1),I$75)</f>
        <v>8</v>
      </c>
      <c r="J321" s="180">
        <f ca="1">COUNTIFS(Paste_Report_Here!$E$1:$E$2000,E308, OFFSET(Paste_Report_Here!$A$1,0,$A321,2000,1),J$75)</f>
        <v>0</v>
      </c>
      <c r="K321" s="181">
        <f ca="1">COUNTIFS(Paste_Report_Here!$E$1:$E$2000,E308, OFFSET(Paste_Report_Here!$A$1,0,$A321,2000,1),K$75)</f>
        <v>0</v>
      </c>
      <c r="L321" s="166">
        <f t="shared" ca="1" si="47"/>
        <v>36</v>
      </c>
      <c r="M321" s="183">
        <f ca="1">SUMPRODUCT(F321:K321,F312:K312)/L:L</f>
        <v>0</v>
      </c>
      <c r="N321" s="166">
        <f t="shared" ca="1" si="48"/>
        <v>1</v>
      </c>
      <c r="O321" s="165">
        <f t="shared" ca="1" si="50"/>
        <v>2319.3142782181894</v>
      </c>
      <c r="P321" s="165">
        <f t="shared" ca="1" si="49"/>
        <v>2319.3142782181894</v>
      </c>
    </row>
    <row r="322" spans="1:16" s="165" customFormat="1" x14ac:dyDescent="0.3">
      <c r="A322" s="165">
        <f>MATCH(Calcs!B322,Paste_Report_Here!$1:$1,0) -1</f>
        <v>13</v>
      </c>
      <c r="B322" s="165" t="s">
        <v>131</v>
      </c>
      <c r="C322" s="166">
        <f ca="1">RANK(N322,N314:N338)</f>
        <v>1</v>
      </c>
      <c r="D322" s="166">
        <f ca="1">RANK(P322,P314:P338)</f>
        <v>4</v>
      </c>
      <c r="E322" s="189" t="s">
        <v>160</v>
      </c>
      <c r="F322" s="179">
        <f ca="1">COUNTIFS(Paste_Report_Here!$E$1:$E$2000,E308, OFFSET(Paste_Report_Here!$A$1,0,$A322,2000,1),F$75)</f>
        <v>0</v>
      </c>
      <c r="G322" s="180">
        <f ca="1">COUNTIFS(Paste_Report_Here!$E$1:$E$2000,E308, OFFSET(Paste_Report_Here!$A$1,0,$A322,2000,1),G$75)</f>
        <v>1</v>
      </c>
      <c r="H322" s="180">
        <f ca="1">COUNTIFS(Paste_Report_Here!$E$1:$E$2000,E308, OFFSET(Paste_Report_Here!$A$1,0,$A322,2000,1),H$75)</f>
        <v>24</v>
      </c>
      <c r="I322" s="180">
        <f ca="1">COUNTIFS(Paste_Report_Here!$E$1:$E$2000,E308, OFFSET(Paste_Report_Here!$A$1,0,$A322,2000,1),I$75)</f>
        <v>10</v>
      </c>
      <c r="J322" s="180">
        <f ca="1">COUNTIFS(Paste_Report_Here!$E$1:$E$2000,E308, OFFSET(Paste_Report_Here!$A$1,0,$A322,2000,1),J$75)</f>
        <v>1</v>
      </c>
      <c r="K322" s="181">
        <f ca="1">COUNTIFS(Paste_Report_Here!$E$1:$E$2000,E308, OFFSET(Paste_Report_Here!$A$1,0,$A322,2000,1),K$75)</f>
        <v>0</v>
      </c>
      <c r="L322" s="166">
        <f t="shared" ca="1" si="47"/>
        <v>36</v>
      </c>
      <c r="M322" s="183">
        <f ca="1">SUMPRODUCT(F322:K322,F312:K312)/L:L</f>
        <v>5.5555555555555558E-3</v>
      </c>
      <c r="N322" s="166">
        <f t="shared" ca="1" si="48"/>
        <v>1.0055710162720175</v>
      </c>
      <c r="O322" s="165">
        <f t="shared" ca="1" si="50"/>
        <v>3497.2930716022006</v>
      </c>
      <c r="P322" s="165">
        <f t="shared" ca="1" si="49"/>
        <v>3516.7765482121104</v>
      </c>
    </row>
    <row r="323" spans="1:16" s="165" customFormat="1" x14ac:dyDescent="0.3">
      <c r="A323" s="165">
        <f>MATCH(Calcs!B323,Paste_Report_Here!$1:$1,0) -1</f>
        <v>14</v>
      </c>
      <c r="B323" s="165" t="s">
        <v>132</v>
      </c>
      <c r="C323" s="166">
        <f ca="1">RANK(N323,N314:N338)</f>
        <v>1</v>
      </c>
      <c r="D323" s="166">
        <f ca="1">RANK(P323,P314:P338)</f>
        <v>19</v>
      </c>
      <c r="E323" s="189" t="s">
        <v>161</v>
      </c>
      <c r="F323" s="179">
        <f ca="1">COUNTIFS(Paste_Report_Here!$E$1:$E$2000,E308, OFFSET(Paste_Report_Here!$A$1,0,$A323,2000,1),F$75)</f>
        <v>0</v>
      </c>
      <c r="G323" s="180">
        <f ca="1">COUNTIFS(Paste_Report_Here!$E$1:$E$2000,E308, OFFSET(Paste_Report_Here!$A$1,0,$A323,2000,1),G$75)</f>
        <v>2</v>
      </c>
      <c r="H323" s="180">
        <f ca="1">COUNTIFS(Paste_Report_Here!$E$1:$E$2000,E308, OFFSET(Paste_Report_Here!$A$1,0,$A323,2000,1),H$75)</f>
        <v>29</v>
      </c>
      <c r="I323" s="180">
        <f ca="1">COUNTIFS(Paste_Report_Here!$E$1:$E$2000,E308, OFFSET(Paste_Report_Here!$A$1,0,$A323,2000,1),I$75)</f>
        <v>4</v>
      </c>
      <c r="J323" s="180">
        <f ca="1">COUNTIFS(Paste_Report_Here!$E$1:$E$2000,E308, OFFSET(Paste_Report_Here!$A$1,0,$A323,2000,1),J$75)</f>
        <v>1</v>
      </c>
      <c r="K323" s="181">
        <f ca="1">COUNTIFS(Paste_Report_Here!$E$1:$E$2000,E308, OFFSET(Paste_Report_Here!$A$1,0,$A323,2000,1),K$75)</f>
        <v>0</v>
      </c>
      <c r="L323" s="166">
        <f t="shared" ca="1" si="47"/>
        <v>36</v>
      </c>
      <c r="M323" s="183">
        <f ca="1">SUMPRODUCT(F323:K323,F312:K312)/L:L</f>
        <v>5.5555555555555558E-3</v>
      </c>
      <c r="N323" s="166">
        <f t="shared" ca="1" si="48"/>
        <v>1.0055710162720175</v>
      </c>
      <c r="O323" s="165">
        <f t="shared" ca="1" si="50"/>
        <v>1874.396317822753</v>
      </c>
      <c r="P323" s="165">
        <f t="shared" ca="1" si="49"/>
        <v>1884.8386102095533</v>
      </c>
    </row>
    <row r="324" spans="1:16" s="165" customFormat="1" x14ac:dyDescent="0.3">
      <c r="A324" s="165">
        <f>MATCH(Calcs!B324,Paste_Report_Here!$1:$1,0) -1</f>
        <v>15</v>
      </c>
      <c r="B324" s="165" t="s">
        <v>133</v>
      </c>
      <c r="C324" s="166">
        <f ca="1">RANK(N324,N313:N337)</f>
        <v>1</v>
      </c>
      <c r="D324" s="166">
        <f ca="1">RANK(P324,P314:P338)</f>
        <v>7</v>
      </c>
      <c r="E324" s="189" t="s">
        <v>162</v>
      </c>
      <c r="F324" s="179">
        <f ca="1">COUNTIFS(Paste_Report_Here!$E$1:$E$2000,E308, OFFSET(Paste_Report_Here!$A$1,0,$A324,2000,1),F$75)</f>
        <v>0</v>
      </c>
      <c r="G324" s="180">
        <f ca="1">COUNTIFS(Paste_Report_Here!$E$1:$E$2000,E308, OFFSET(Paste_Report_Here!$A$1,0,$A324,2000,1),G$75)</f>
        <v>3</v>
      </c>
      <c r="H324" s="180">
        <f ca="1">COUNTIFS(Paste_Report_Here!$E$1:$E$2000,E308, OFFSET(Paste_Report_Here!$A$1,0,$A324,2000,1),H$75)</f>
        <v>21</v>
      </c>
      <c r="I324" s="180">
        <f ca="1">COUNTIFS(Paste_Report_Here!$E$1:$E$2000,E308, OFFSET(Paste_Report_Here!$A$1,0,$A324,2000,1),I$75)</f>
        <v>11</v>
      </c>
      <c r="J324" s="180">
        <f ca="1">COUNTIFS(Paste_Report_Here!$E$1:$E$2000,E308, OFFSET(Paste_Report_Here!$A$1,0,$A324,2000,1),J$75)</f>
        <v>1</v>
      </c>
      <c r="K324" s="181">
        <f ca="1">COUNTIFS(Paste_Report_Here!$E$1:$E$2000,E308, OFFSET(Paste_Report_Here!$A$1,0,$A324,2000,1),K$75)</f>
        <v>0</v>
      </c>
      <c r="L324" s="166">
        <f t="shared" ca="1" si="47"/>
        <v>36</v>
      </c>
      <c r="M324" s="183">
        <f ca="1">SUMPRODUCT(F324:K324,F312:K312)/L:L</f>
        <v>5.5555555555555558E-3</v>
      </c>
      <c r="N324" s="166">
        <f t="shared" ca="1" si="48"/>
        <v>1.0055710162720175</v>
      </c>
      <c r="O324" s="165">
        <f t="shared" ca="1" si="50"/>
        <v>2675.0177910763146</v>
      </c>
      <c r="P324" s="165">
        <f t="shared" ca="1" si="49"/>
        <v>2689.920358718337</v>
      </c>
    </row>
    <row r="325" spans="1:16" s="165" customFormat="1" x14ac:dyDescent="0.3">
      <c r="A325" s="165">
        <f>MATCH(Calcs!B325,Paste_Report_Here!$1:$1,0) -1</f>
        <v>16</v>
      </c>
      <c r="B325" s="165" t="s">
        <v>134</v>
      </c>
      <c r="C325" s="166">
        <f ca="1">RANK(N325,N314:N338)</f>
        <v>6</v>
      </c>
      <c r="D325" s="166">
        <f ca="1">RANK(P325,P314:P338)</f>
        <v>23</v>
      </c>
      <c r="E325" s="189" t="s">
        <v>163</v>
      </c>
      <c r="F325" s="179">
        <f ca="1">COUNTIFS(Paste_Report_Here!$E$1:$E$2000,E308, OFFSET(Paste_Report_Here!$A$1,0,$A325,2000,1),F$75)</f>
        <v>0</v>
      </c>
      <c r="G325" s="180">
        <f ca="1">COUNTIFS(Paste_Report_Here!$E$1:$E$2000,E308, OFFSET(Paste_Report_Here!$A$1,0,$A325,2000,1),G$75)</f>
        <v>4</v>
      </c>
      <c r="H325" s="180">
        <f ca="1">COUNTIFS(Paste_Report_Here!$E$1:$E$2000,E308, OFFSET(Paste_Report_Here!$A$1,0,$A325,2000,1),H$75)</f>
        <v>32</v>
      </c>
      <c r="I325" s="180">
        <f ca="1">COUNTIFS(Paste_Report_Here!$E$1:$E$2000,E308, OFFSET(Paste_Report_Here!$A$1,0,$A325,2000,1),I$75)</f>
        <v>0</v>
      </c>
      <c r="J325" s="180">
        <f ca="1">COUNTIFS(Paste_Report_Here!$E$1:$E$2000,E308, OFFSET(Paste_Report_Here!$A$1,0,$A325,2000,1),J$75)</f>
        <v>0</v>
      </c>
      <c r="K325" s="181">
        <f ca="1">COUNTIFS(Paste_Report_Here!$E$1:$E$2000,E308, OFFSET(Paste_Report_Here!$A$1,0,$A325,2000,1),K$75)</f>
        <v>0</v>
      </c>
      <c r="L325" s="166">
        <f t="shared" ca="1" si="47"/>
        <v>36</v>
      </c>
      <c r="M325" s="183">
        <f ca="1">SUMPRODUCT(F325:K325,F312:K312)/L:L</f>
        <v>0</v>
      </c>
      <c r="N325" s="166">
        <f t="shared" ca="1" si="48"/>
        <v>1</v>
      </c>
      <c r="O325" s="165">
        <f t="shared" ca="1" si="50"/>
        <v>1173.2454452500563</v>
      </c>
      <c r="P325" s="165">
        <f t="shared" ca="1" si="49"/>
        <v>1173.2454452500563</v>
      </c>
    </row>
    <row r="326" spans="1:16" s="165" customFormat="1" x14ac:dyDescent="0.3">
      <c r="A326" s="165">
        <f>MATCH(Calcs!B326,Paste_Report_Here!$1:$1,0) -1</f>
        <v>17</v>
      </c>
      <c r="B326" s="165" t="s">
        <v>135</v>
      </c>
      <c r="C326" s="166">
        <f ca="1">RANK(N326,N314:N338)</f>
        <v>6</v>
      </c>
      <c r="D326" s="166">
        <f ca="1">RANK(P326,P314:P338)</f>
        <v>20</v>
      </c>
      <c r="E326" s="189" t="s">
        <v>164</v>
      </c>
      <c r="F326" s="179">
        <f ca="1">COUNTIFS(Paste_Report_Here!$E$1:$E$2000,E308, OFFSET(Paste_Report_Here!$A$1,0,$A326,2000,1),F$75)</f>
        <v>0</v>
      </c>
      <c r="G326" s="180">
        <f ca="1">COUNTIFS(Paste_Report_Here!$E$1:$E$2000,E308, OFFSET(Paste_Report_Here!$A$1,0,$A326,2000,1),G$75)</f>
        <v>3</v>
      </c>
      <c r="H326" s="180">
        <f ca="1">COUNTIFS(Paste_Report_Here!$E$1:$E$2000,E308, OFFSET(Paste_Report_Here!$A$1,0,$A326,2000,1),H$75)</f>
        <v>29</v>
      </c>
      <c r="I326" s="180">
        <f ca="1">COUNTIFS(Paste_Report_Here!$E$1:$E$2000,E308, OFFSET(Paste_Report_Here!$A$1,0,$A326,2000,1),I$75)</f>
        <v>4</v>
      </c>
      <c r="J326" s="180">
        <f ca="1">COUNTIFS(Paste_Report_Here!$E$1:$E$2000,E308, OFFSET(Paste_Report_Here!$A$1,0,$A326,2000,1),J$75)</f>
        <v>0</v>
      </c>
      <c r="K326" s="181">
        <f ca="1">COUNTIFS(Paste_Report_Here!$E$1:$E$2000,E308, OFFSET(Paste_Report_Here!$A$1,0,$A326,2000,1),K$75)</f>
        <v>0</v>
      </c>
      <c r="L326" s="166">
        <f t="shared" ca="1" si="47"/>
        <v>36</v>
      </c>
      <c r="M326" s="183">
        <f ca="1">SUMPRODUCT(F326:K326,F312:K312)/L:L</f>
        <v>0</v>
      </c>
      <c r="N326" s="166">
        <f t="shared" ca="1" si="48"/>
        <v>1</v>
      </c>
      <c r="O326" s="165">
        <f t="shared" ca="1" si="50"/>
        <v>1786.6577073110673</v>
      </c>
      <c r="P326" s="165">
        <f t="shared" ca="1" si="49"/>
        <v>1786.6577073110673</v>
      </c>
    </row>
    <row r="327" spans="1:16" s="165" customFormat="1" x14ac:dyDescent="0.3">
      <c r="A327" s="165">
        <f>MATCH(Calcs!B327,Paste_Report_Here!$1:$1,0) -1</f>
        <v>18</v>
      </c>
      <c r="B327" s="165" t="s">
        <v>136</v>
      </c>
      <c r="C327" s="166">
        <f ca="1">RANK(N327,N314:N338)</f>
        <v>6</v>
      </c>
      <c r="D327" s="166">
        <f ca="1">RANK(P327,P314:P338)</f>
        <v>3</v>
      </c>
      <c r="E327" s="189" t="s">
        <v>165</v>
      </c>
      <c r="F327" s="179">
        <f ca="1">COUNTIFS(Paste_Report_Here!$E$1:$E$2000,E308, OFFSET(Paste_Report_Here!$A$1,0,$A327,2000,1),F$75)</f>
        <v>0</v>
      </c>
      <c r="G327" s="180">
        <f ca="1">COUNTIFS(Paste_Report_Here!$E$1:$E$2000,E308, OFFSET(Paste_Report_Here!$A$1,0,$A327,2000,1),G$75)</f>
        <v>2</v>
      </c>
      <c r="H327" s="180">
        <f ca="1">COUNTIFS(Paste_Report_Here!$E$1:$E$2000,E308, OFFSET(Paste_Report_Here!$A$1,0,$A327,2000,1),H$75)</f>
        <v>31</v>
      </c>
      <c r="I327" s="180">
        <f ca="1">COUNTIFS(Paste_Report_Here!$E$1:$E$2000,E308, OFFSET(Paste_Report_Here!$A$1,0,$A327,2000,1),I$75)</f>
        <v>3</v>
      </c>
      <c r="J327" s="180">
        <f ca="1">COUNTIFS(Paste_Report_Here!$E$1:$E$2000,E308, OFFSET(Paste_Report_Here!$A$1,0,$A327,2000,1),J$75)</f>
        <v>0</v>
      </c>
      <c r="K327" s="181">
        <f ca="1">COUNTIFS(Paste_Report_Here!$E$1:$E$2000,E308, OFFSET(Paste_Report_Here!$A$1,0,$A327,2000,1),K$75)</f>
        <v>0</v>
      </c>
      <c r="L327" s="166">
        <f t="shared" ca="1" si="47"/>
        <v>36</v>
      </c>
      <c r="M327" s="183">
        <f ca="1">SUMPRODUCT(F327:K327,F312:K312)/L:L</f>
        <v>0</v>
      </c>
      <c r="N327" s="166">
        <f t="shared" ca="1" si="48"/>
        <v>1</v>
      </c>
      <c r="O327" s="165">
        <f t="shared" ca="1" si="50"/>
        <v>3605.345550335559</v>
      </c>
      <c r="P327" s="165">
        <f t="shared" ca="1" si="49"/>
        <v>3605.345550335559</v>
      </c>
    </row>
    <row r="328" spans="1:16" s="165" customFormat="1" x14ac:dyDescent="0.3">
      <c r="A328" s="165">
        <f>MATCH(Calcs!B328,Paste_Report_Here!$1:$1,0) -1</f>
        <v>19</v>
      </c>
      <c r="B328" s="165" t="s">
        <v>137</v>
      </c>
      <c r="C328" s="166">
        <f ca="1">RANK(N328,N314:N338)</f>
        <v>6</v>
      </c>
      <c r="D328" s="166">
        <f ca="1">RANK(P328,P314:P338)</f>
        <v>15</v>
      </c>
      <c r="E328" s="189" t="s">
        <v>166</v>
      </c>
      <c r="F328" s="179">
        <f ca="1">COUNTIFS(Paste_Report_Here!$E$1:$E$2000,E308, OFFSET(Paste_Report_Here!$A$1,0,$A328,2000,1),F$75)</f>
        <v>0</v>
      </c>
      <c r="G328" s="180">
        <f ca="1">COUNTIFS(Paste_Report_Here!$E$1:$E$2000,E308, OFFSET(Paste_Report_Here!$A$1,0,$A328,2000,1),G$75)</f>
        <v>2</v>
      </c>
      <c r="H328" s="180">
        <f ca="1">COUNTIFS(Paste_Report_Here!$E$1:$E$2000,E308, OFFSET(Paste_Report_Here!$A$1,0,$A328,2000,1),H$75)</f>
        <v>31</v>
      </c>
      <c r="I328" s="180">
        <f ca="1">COUNTIFS(Paste_Report_Here!$E$1:$E$2000,E308, OFFSET(Paste_Report_Here!$A$1,0,$A328,2000,1),I$75)</f>
        <v>3</v>
      </c>
      <c r="J328" s="180">
        <f ca="1">COUNTIFS(Paste_Report_Here!$E$1:$E$2000,E308, OFFSET(Paste_Report_Here!$A$1,0,$A328,2000,1),J$75)</f>
        <v>0</v>
      </c>
      <c r="K328" s="181">
        <f ca="1">COUNTIFS(Paste_Report_Here!$E$1:$E$2000,E308, OFFSET(Paste_Report_Here!$A$1,0,$A328,2000,1),K$75)</f>
        <v>0</v>
      </c>
      <c r="L328" s="166">
        <f t="shared" ca="1" si="47"/>
        <v>36</v>
      </c>
      <c r="M328" s="183">
        <f ca="1">SUMPRODUCT(F328:K328,F312:K312)/L:L</f>
        <v>0</v>
      </c>
      <c r="N328" s="166">
        <f t="shared" ca="1" si="48"/>
        <v>1</v>
      </c>
      <c r="O328" s="165">
        <f t="shared" ca="1" si="50"/>
        <v>2093.0126309194029</v>
      </c>
      <c r="P328" s="165">
        <f t="shared" ca="1" si="49"/>
        <v>2093.0126309194029</v>
      </c>
    </row>
    <row r="329" spans="1:16" s="165" customFormat="1" x14ac:dyDescent="0.3">
      <c r="A329" s="165">
        <f>MATCH(Calcs!B329,Paste_Report_Here!$1:$1,0) -1</f>
        <v>20</v>
      </c>
      <c r="B329" s="165" t="s">
        <v>138</v>
      </c>
      <c r="C329" s="166">
        <f ca="1">RANK(N329,N314:N338)</f>
        <v>6</v>
      </c>
      <c r="D329" s="166">
        <f ca="1">RANK(P329,P314:P338)</f>
        <v>18</v>
      </c>
      <c r="E329" s="189" t="s">
        <v>167</v>
      </c>
      <c r="F329" s="179">
        <f ca="1">COUNTIFS(Paste_Report_Here!$E$1:$E$2000,E308, OFFSET(Paste_Report_Here!$A$1,0,$A329,2000,1),F$75)</f>
        <v>0</v>
      </c>
      <c r="G329" s="180">
        <f ca="1">COUNTIFS(Paste_Report_Here!$E$1:$E$2000,E308, OFFSET(Paste_Report_Here!$A$1,0,$A329,2000,1),G$75)</f>
        <v>2</v>
      </c>
      <c r="H329" s="180">
        <f ca="1">COUNTIFS(Paste_Report_Here!$E$1:$E$2000,E308, OFFSET(Paste_Report_Here!$A$1,0,$A329,2000,1),H$75)</f>
        <v>26</v>
      </c>
      <c r="I329" s="180">
        <f ca="1">COUNTIFS(Paste_Report_Here!$E$1:$E$2000,E308, OFFSET(Paste_Report_Here!$A$1,0,$A329,2000,1),I$75)</f>
        <v>8</v>
      </c>
      <c r="J329" s="180">
        <f ca="1">COUNTIFS(Paste_Report_Here!$E$1:$E$2000,E308, OFFSET(Paste_Report_Here!$A$1,0,$A329,2000,1),J$75)</f>
        <v>0</v>
      </c>
      <c r="K329" s="181">
        <f ca="1">COUNTIFS(Paste_Report_Here!$E$1:$E$2000,E308, OFFSET(Paste_Report_Here!$A$1,0,$A329,2000,1),K$75)</f>
        <v>0</v>
      </c>
      <c r="L329" s="166">
        <f t="shared" ca="1" si="47"/>
        <v>36</v>
      </c>
      <c r="M329" s="183">
        <f ca="1">SUMPRODUCT(F329:K329,F312:K312)/L:L</f>
        <v>0</v>
      </c>
      <c r="N329" s="166">
        <f t="shared" ca="1" si="48"/>
        <v>1</v>
      </c>
      <c r="O329" s="165">
        <f t="shared" ca="1" si="50"/>
        <v>1972.0288244479723</v>
      </c>
      <c r="P329" s="165">
        <f t="shared" ca="1" si="49"/>
        <v>1972.0288244479723</v>
      </c>
    </row>
    <row r="330" spans="1:16" s="165" customFormat="1" x14ac:dyDescent="0.3">
      <c r="A330" s="165">
        <f>MATCH(Calcs!B330,Paste_Report_Here!$1:$1,0) -1</f>
        <v>21</v>
      </c>
      <c r="B330" s="165" t="s">
        <v>139</v>
      </c>
      <c r="C330" s="166">
        <f ca="1">RANK(N330,N314:N338)</f>
        <v>6</v>
      </c>
      <c r="D330" s="166">
        <f ca="1">RANK(P330,P314:P338)</f>
        <v>14</v>
      </c>
      <c r="E330" s="189" t="s">
        <v>168</v>
      </c>
      <c r="F330" s="179">
        <f ca="1">COUNTIFS(Paste_Report_Here!$E$1:$E$2000,E308, OFFSET(Paste_Report_Here!$A$1,0,$A330,2000,1),F$75)</f>
        <v>0</v>
      </c>
      <c r="G330" s="180">
        <f ca="1">COUNTIFS(Paste_Report_Here!$E$1:$E$2000,E308, OFFSET(Paste_Report_Here!$A$1,0,$A330,2000,1),G$75)</f>
        <v>2</v>
      </c>
      <c r="H330" s="180">
        <f ca="1">COUNTIFS(Paste_Report_Here!$E$1:$E$2000,E308, OFFSET(Paste_Report_Here!$A$1,0,$A330,2000,1),H$75)</f>
        <v>26</v>
      </c>
      <c r="I330" s="180">
        <f ca="1">COUNTIFS(Paste_Report_Here!$E$1:$E$2000,E308, OFFSET(Paste_Report_Here!$A$1,0,$A330,2000,1),I$75)</f>
        <v>8</v>
      </c>
      <c r="J330" s="180">
        <f ca="1">COUNTIFS(Paste_Report_Here!$E$1:$E$2000,E308, OFFSET(Paste_Report_Here!$A$1,0,$A330,2000,1),J$75)</f>
        <v>0</v>
      </c>
      <c r="K330" s="181">
        <f ca="1">COUNTIFS(Paste_Report_Here!$E$1:$E$2000,E308, OFFSET(Paste_Report_Here!$A$1,0,$A330,2000,1),K$75)</f>
        <v>0</v>
      </c>
      <c r="L330" s="166">
        <f t="shared" ca="1" si="47"/>
        <v>36</v>
      </c>
      <c r="M330" s="183">
        <f ca="1">SUMPRODUCT(F330:K330,F312:K312)/L:L</f>
        <v>0</v>
      </c>
      <c r="N330" s="166">
        <f t="shared" ca="1" si="48"/>
        <v>1</v>
      </c>
      <c r="O330" s="165">
        <f t="shared" ca="1" si="50"/>
        <v>2111.5016578480645</v>
      </c>
      <c r="P330" s="165">
        <f t="shared" ca="1" si="49"/>
        <v>2111.5016578480645</v>
      </c>
    </row>
    <row r="331" spans="1:16" s="165" customFormat="1" x14ac:dyDescent="0.3">
      <c r="A331" s="165">
        <f>MATCH(Calcs!B331,Paste_Report_Here!$1:$1,0) -1</f>
        <v>22</v>
      </c>
      <c r="B331" s="165" t="s">
        <v>140</v>
      </c>
      <c r="C331" s="166">
        <f ca="1">RANK(N331,N314:N338)</f>
        <v>1</v>
      </c>
      <c r="D331" s="166">
        <f ca="1">RANK(P331,P314:P338)</f>
        <v>17</v>
      </c>
      <c r="E331" s="189" t="s">
        <v>169</v>
      </c>
      <c r="F331" s="179">
        <f ca="1">COUNTIFS(Paste_Report_Here!$E$1:$E$2000,E308, OFFSET(Paste_Report_Here!$A$1,0,$A331,2000,1),F$75)</f>
        <v>0</v>
      </c>
      <c r="G331" s="180">
        <f ca="1">COUNTIFS(Paste_Report_Here!$E$1:$E$2000,E308, OFFSET(Paste_Report_Here!$A$1,0,$A331,2000,1),G$75)</f>
        <v>2</v>
      </c>
      <c r="H331" s="180">
        <f ca="1">COUNTIFS(Paste_Report_Here!$E$1:$E$2000,E308, OFFSET(Paste_Report_Here!$A$1,0,$A331,2000,1),H$75)</f>
        <v>29</v>
      </c>
      <c r="I331" s="180">
        <f ca="1">COUNTIFS(Paste_Report_Here!$E$1:$E$2000,E308, OFFSET(Paste_Report_Here!$A$1,0,$A331,2000,1),I$75)</f>
        <v>4</v>
      </c>
      <c r="J331" s="180">
        <f ca="1">COUNTIFS(Paste_Report_Here!$E$1:$E$2000,E308, OFFSET(Paste_Report_Here!$A$1,0,$A331,2000,1),J$75)</f>
        <v>1</v>
      </c>
      <c r="K331" s="181">
        <f ca="1">COUNTIFS(Paste_Report_Here!$E$1:$E$2000,E308, OFFSET(Paste_Report_Here!$A$1,0,$A331,2000,1),K$75)</f>
        <v>0</v>
      </c>
      <c r="L331" s="166">
        <f t="shared" ca="1" si="47"/>
        <v>36</v>
      </c>
      <c r="M331" s="183">
        <f ca="1">SUMPRODUCT(F331:K331,F312:K312)/L:L</f>
        <v>5.5555555555555558E-3</v>
      </c>
      <c r="N331" s="166">
        <f t="shared" ca="1" si="48"/>
        <v>1.0055710162720175</v>
      </c>
      <c r="O331" s="165">
        <f t="shared" ca="1" si="50"/>
        <v>1979.1914191817186</v>
      </c>
      <c r="P331" s="165">
        <f t="shared" ca="1" si="49"/>
        <v>1990.2175267834175</v>
      </c>
    </row>
    <row r="332" spans="1:16" s="165" customFormat="1" x14ac:dyDescent="0.3">
      <c r="A332" s="165">
        <f>MATCH(Calcs!B332,Paste_Report_Here!$1:$1,0) -1</f>
        <v>23</v>
      </c>
      <c r="B332" s="165" t="s">
        <v>186</v>
      </c>
      <c r="C332" s="166">
        <f ca="1">RANK(N332,N314:N338)</f>
        <v>6</v>
      </c>
      <c r="D332" s="166">
        <f ca="1">RANK(P332,P314:P338)</f>
        <v>2</v>
      </c>
      <c r="E332" s="189" t="s">
        <v>180</v>
      </c>
      <c r="F332" s="179">
        <f ca="1">COUNTIFS(Paste_Report_Here!$E$1:$E$2000,E308, OFFSET(Paste_Report_Here!$A$1,0,$A332,2000,1),F$75)</f>
        <v>0</v>
      </c>
      <c r="G332" s="180">
        <f ca="1">COUNTIFS(Paste_Report_Here!$E$1:$E$2000,E308, OFFSET(Paste_Report_Here!$A$1,0,$A332,2000,1),G$75)</f>
        <v>1</v>
      </c>
      <c r="H332" s="180">
        <f ca="1">COUNTIFS(Paste_Report_Here!$E$1:$E$2000,E308, OFFSET(Paste_Report_Here!$A$1,0,$A332,2000,1),H$75)</f>
        <v>32</v>
      </c>
      <c r="I332" s="180">
        <f ca="1">COUNTIFS(Paste_Report_Here!$E$1:$E$2000,E308, OFFSET(Paste_Report_Here!$A$1,0,$A332,2000,1),I$75)</f>
        <v>3</v>
      </c>
      <c r="J332" s="180">
        <f ca="1">COUNTIFS(Paste_Report_Here!$E$1:$E$2000,E308, OFFSET(Paste_Report_Here!$A$1,0,$A332,2000,1),J$75)</f>
        <v>0</v>
      </c>
      <c r="K332" s="181">
        <f ca="1">COUNTIFS(Paste_Report_Here!$E$1:$E$2000,E308, OFFSET(Paste_Report_Here!$A$1,0,$A332,2000,1),K$75)</f>
        <v>0</v>
      </c>
      <c r="L332" s="166">
        <f t="shared" ca="1" si="47"/>
        <v>36</v>
      </c>
      <c r="M332" s="183">
        <f ca="1">SUMPRODUCT(F332:K332,F312:K312)/L:L</f>
        <v>0</v>
      </c>
      <c r="N332" s="166">
        <f t="shared" ca="1" si="48"/>
        <v>1</v>
      </c>
      <c r="O332" s="165">
        <f t="shared" ca="1" si="50"/>
        <v>3648.7783368810542</v>
      </c>
      <c r="P332" s="165">
        <f t="shared" ca="1" si="49"/>
        <v>3648.7783368810542</v>
      </c>
    </row>
    <row r="333" spans="1:16" s="165" customFormat="1" x14ac:dyDescent="0.3">
      <c r="A333" s="165">
        <f>MATCH(Calcs!B333,Paste_Report_Here!$1:$1,0) -1</f>
        <v>24</v>
      </c>
      <c r="B333" s="165" t="s">
        <v>209</v>
      </c>
      <c r="C333" s="166">
        <f ca="1">RANK(N333,N314:N338)</f>
        <v>6</v>
      </c>
      <c r="D333" s="166">
        <f ca="1">RANK(P333,P314:P338)</f>
        <v>25</v>
      </c>
      <c r="E333" s="202" t="s">
        <v>211</v>
      </c>
      <c r="F333" s="179">
        <f ca="1">COUNTIFS(Paste_Report_Here!$E$1:$E$2000,E308, OFFSET(Paste_Report_Here!$A$1,0,$A333,2000,1),F$75)</f>
        <v>0</v>
      </c>
      <c r="G333" s="180">
        <f ca="1">COUNTIFS(Paste_Report_Here!$E$1:$E$2000,E308, OFFSET(Paste_Report_Here!$A$1,0,$A333,2000,1),G$75)</f>
        <v>2</v>
      </c>
      <c r="H333" s="180">
        <f ca="1">COUNTIFS(Paste_Report_Here!$E$1:$E$2000,E308, OFFSET(Paste_Report_Here!$A$1,0,$A333,2000,1),H$75)</f>
        <v>31</v>
      </c>
      <c r="I333" s="180">
        <f ca="1">COUNTIFS(Paste_Report_Here!$E$1:$E$2000,E308, OFFSET(Paste_Report_Here!$A$1,0,$A333,2000,1),I$75)</f>
        <v>0</v>
      </c>
      <c r="J333" s="180">
        <f ca="1">COUNTIFS(Paste_Report_Here!$E$1:$E$2000,E308, OFFSET(Paste_Report_Here!$A$1,0,$A333,2000,1),J$75)</f>
        <v>0</v>
      </c>
      <c r="K333" s="181">
        <f ca="1">COUNTIFS(Paste_Report_Here!$E$1:$E$2000,E308, OFFSET(Paste_Report_Here!$A$1,0,$A333,2000,1),K$75)</f>
        <v>3</v>
      </c>
      <c r="L333" s="166">
        <f t="shared" ca="1" si="47"/>
        <v>36</v>
      </c>
      <c r="M333" s="183">
        <f ca="1">SUMPRODUCT(F333:K333,F312:K312)/L:L</f>
        <v>0</v>
      </c>
      <c r="N333" s="166">
        <f t="shared" ca="1" si="48"/>
        <v>1</v>
      </c>
      <c r="O333" s="165">
        <f t="shared" ca="1" si="50"/>
        <v>1165.3498076526269</v>
      </c>
      <c r="P333" s="165">
        <f t="shared" ca="1" si="49"/>
        <v>1165.3498076526269</v>
      </c>
    </row>
    <row r="334" spans="1:16" s="165" customFormat="1" x14ac:dyDescent="0.3">
      <c r="A334" s="165">
        <f>MATCH(Calcs!B334,Paste_Report_Here!$1:$1,0) -1</f>
        <v>25</v>
      </c>
      <c r="B334" s="165" t="s">
        <v>141</v>
      </c>
      <c r="C334" s="166">
        <f ca="1">RANK(N334,N314:N338)</f>
        <v>6</v>
      </c>
      <c r="D334" s="166">
        <f ca="1">RANK(P334,P314:P338)</f>
        <v>22</v>
      </c>
      <c r="E334" s="189" t="s">
        <v>170</v>
      </c>
      <c r="F334" s="179">
        <f ca="1">COUNTIFS(Paste_Report_Here!$E$1:$E$2000,E308, OFFSET(Paste_Report_Here!$A$1,0,$A334,2000,1),F$75)</f>
        <v>0</v>
      </c>
      <c r="G334" s="180">
        <f ca="1">COUNTIFS(Paste_Report_Here!$E$1:$E$2000,E308, OFFSET(Paste_Report_Here!$A$1,0,$A334,2000,1),G$75)</f>
        <v>6</v>
      </c>
      <c r="H334" s="180">
        <f ca="1">COUNTIFS(Paste_Report_Here!$E$1:$E$2000,E308, OFFSET(Paste_Report_Here!$A$1,0,$A334,2000,1),H$75)</f>
        <v>27</v>
      </c>
      <c r="I334" s="180">
        <f ca="1">COUNTIFS(Paste_Report_Here!$E$1:$E$2000,E308, OFFSET(Paste_Report_Here!$A$1,0,$A334,2000,1),I$75)</f>
        <v>3</v>
      </c>
      <c r="J334" s="180">
        <f ca="1">COUNTIFS(Paste_Report_Here!$E$1:$E$2000,E308, OFFSET(Paste_Report_Here!$A$1,0,$A334,2000,1),J$75)</f>
        <v>0</v>
      </c>
      <c r="K334" s="181">
        <f ca="1">COUNTIFS(Paste_Report_Here!$E$1:$E$2000,E308, OFFSET(Paste_Report_Here!$A$1,0,$A334,2000,1),K$75)</f>
        <v>0</v>
      </c>
      <c r="L334" s="166">
        <f t="shared" ca="1" si="47"/>
        <v>36</v>
      </c>
      <c r="M334" s="183">
        <f ca="1">SUMPRODUCT(F334:K334,F312:K312)/L:L</f>
        <v>0</v>
      </c>
      <c r="N334" s="166">
        <f t="shared" ca="1" si="48"/>
        <v>1</v>
      </c>
      <c r="O334" s="165">
        <f t="shared" ca="1" si="50"/>
        <v>1395.1831739772081</v>
      </c>
      <c r="P334" s="165">
        <f t="shared" ca="1" si="49"/>
        <v>1395.1831739772081</v>
      </c>
    </row>
    <row r="335" spans="1:16" s="165" customFormat="1" x14ac:dyDescent="0.3">
      <c r="A335" s="165">
        <f>MATCH(Calcs!B335,Paste_Report_Here!$1:$1,0) -1</f>
        <v>26</v>
      </c>
      <c r="B335" s="165" t="s">
        <v>142</v>
      </c>
      <c r="C335" s="166">
        <f ca="1">RANK(N335,N314:N338)</f>
        <v>6</v>
      </c>
      <c r="D335" s="166">
        <f ca="1">RANK(P335,P314:P338)</f>
        <v>12</v>
      </c>
      <c r="E335" s="189" t="s">
        <v>171</v>
      </c>
      <c r="F335" s="179">
        <f ca="1">COUNTIFS(Paste_Report_Here!$E$1:$E$2000,E308, OFFSET(Paste_Report_Here!$A$1,0,$A335,2000,1),F$75)</f>
        <v>0</v>
      </c>
      <c r="G335" s="180">
        <f ca="1">COUNTIFS(Paste_Report_Here!$E$1:$E$2000,E308, OFFSET(Paste_Report_Here!$A$1,0,$A335,2000,1),G$75)</f>
        <v>3</v>
      </c>
      <c r="H335" s="180">
        <f ca="1">COUNTIFS(Paste_Report_Here!$E$1:$E$2000,E308, OFFSET(Paste_Report_Here!$A$1,0,$A335,2000,1),H$75)</f>
        <v>26</v>
      </c>
      <c r="I335" s="180">
        <f ca="1">COUNTIFS(Paste_Report_Here!$E$1:$E$2000,E308, OFFSET(Paste_Report_Here!$A$1,0,$A335,2000,1),I$75)</f>
        <v>7</v>
      </c>
      <c r="J335" s="180">
        <f ca="1">COUNTIFS(Paste_Report_Here!$E$1:$E$2000,E308, OFFSET(Paste_Report_Here!$A$1,0,$A335,2000,1),J$75)</f>
        <v>0</v>
      </c>
      <c r="K335" s="181">
        <f ca="1">COUNTIFS(Paste_Report_Here!$E$1:$E$2000,E308, OFFSET(Paste_Report_Here!$A$1,0,$A335,2000,1),K$75)</f>
        <v>0</v>
      </c>
      <c r="L335" s="166">
        <f t="shared" ca="1" si="47"/>
        <v>36</v>
      </c>
      <c r="M335" s="183">
        <f ca="1">SUMPRODUCT(F335:K335,F312:K312)/L:L</f>
        <v>0</v>
      </c>
      <c r="N335" s="166">
        <f t="shared" ca="1" si="48"/>
        <v>1</v>
      </c>
      <c r="O335" s="165">
        <f t="shared" ca="1" si="50"/>
        <v>2304.8628417222267</v>
      </c>
      <c r="P335" s="165">
        <f t="shared" ca="1" si="49"/>
        <v>2304.8628417222267</v>
      </c>
    </row>
    <row r="336" spans="1:16" s="165" customFormat="1" x14ac:dyDescent="0.3">
      <c r="A336" s="165">
        <f>MATCH(Calcs!B336,Paste_Report_Here!$1:$1,0) -1</f>
        <v>27</v>
      </c>
      <c r="B336" s="165" t="s">
        <v>210</v>
      </c>
      <c r="C336" s="166">
        <f ca="1">RANK(N336,N314:N338)</f>
        <v>6</v>
      </c>
      <c r="D336" s="166">
        <f ca="1">RANK(P336,P314:P338)</f>
        <v>24</v>
      </c>
      <c r="E336" s="202" t="s">
        <v>212</v>
      </c>
      <c r="F336" s="179">
        <f ca="1">COUNTIFS(Paste_Report_Here!$E$1:$E$2000,E308, OFFSET(Paste_Report_Here!$A$1,0,$A336,2000,1),F$75)</f>
        <v>0</v>
      </c>
      <c r="G336" s="180">
        <f ca="1">COUNTIFS(Paste_Report_Here!$E$1:$E$2000,E308, OFFSET(Paste_Report_Here!$A$1,0,$A336,2000,1),G$75)</f>
        <v>2</v>
      </c>
      <c r="H336" s="180">
        <f ca="1">COUNTIFS(Paste_Report_Here!$E$1:$E$2000,E308, OFFSET(Paste_Report_Here!$A$1,0,$A336,2000,1),H$75)</f>
        <v>29</v>
      </c>
      <c r="I336" s="180">
        <f ca="1">COUNTIFS(Paste_Report_Here!$E$1:$E$2000,E308, OFFSET(Paste_Report_Here!$A$1,0,$A336,2000,1),I$75)</f>
        <v>5</v>
      </c>
      <c r="J336" s="180">
        <f ca="1">COUNTIFS(Paste_Report_Here!$E$1:$E$2000,E308, OFFSET(Paste_Report_Here!$A$1,0,$A336,2000,1),J$75)</f>
        <v>0</v>
      </c>
      <c r="K336" s="181">
        <f ca="1">COUNTIFS(Paste_Report_Here!$E$1:$E$2000,E308, OFFSET(Paste_Report_Here!$A$1,0,$A336,2000,1),K$75)</f>
        <v>0</v>
      </c>
      <c r="L336" s="166">
        <f t="shared" ca="1" si="47"/>
        <v>36</v>
      </c>
      <c r="M336" s="183">
        <f ca="1">SUMPRODUCT(F336:K336,F312:K312)/L:L</f>
        <v>0</v>
      </c>
      <c r="N336" s="166">
        <f t="shared" ca="1" si="48"/>
        <v>1</v>
      </c>
      <c r="O336" s="165">
        <f t="shared" ca="1" si="50"/>
        <v>1166.7733279882357</v>
      </c>
      <c r="P336" s="165">
        <f t="shared" ca="1" si="49"/>
        <v>1166.7733279882357</v>
      </c>
    </row>
    <row r="337" spans="1:16" s="165" customFormat="1" x14ac:dyDescent="0.3">
      <c r="A337" s="165">
        <f>MATCH(Calcs!B337,Paste_Report_Here!$1:$1,0) -1</f>
        <v>28</v>
      </c>
      <c r="B337" s="165" t="s">
        <v>143</v>
      </c>
      <c r="C337" s="166">
        <v>3</v>
      </c>
      <c r="D337" s="166">
        <f ca="1">RANK(P337,P314:P338)</f>
        <v>1</v>
      </c>
      <c r="E337" s="189" t="s">
        <v>172</v>
      </c>
      <c r="F337" s="179">
        <f ca="1">COUNTIFS(Paste_Report_Here!$E$1:$E$2000,E308, OFFSET(Paste_Report_Here!$A$1,0,$A337,2000,1),F$75)</f>
        <v>0</v>
      </c>
      <c r="G337" s="180">
        <f ca="1">COUNTIFS(Paste_Report_Here!$E$1:$E$2000,E308, OFFSET(Paste_Report_Here!$A$1,0,$A337,2000,1),G$75)</f>
        <v>2</v>
      </c>
      <c r="H337" s="180">
        <f ca="1">COUNTIFS(Paste_Report_Here!$E$1:$E$2000,E308, OFFSET(Paste_Report_Here!$A$1,0,$A337,2000,1),H$75)</f>
        <v>23</v>
      </c>
      <c r="I337" s="180">
        <f ca="1">COUNTIFS(Paste_Report_Here!$E$1:$E$2000,E308, OFFSET(Paste_Report_Here!$A$1,0,$A337,2000,1),I$75)</f>
        <v>10</v>
      </c>
      <c r="J337" s="180">
        <f ca="1">COUNTIFS(Paste_Report_Here!$E$1:$E$2000,E308, OFFSET(Paste_Report_Here!$A$1,0,$A337,2000,1),J$75)</f>
        <v>1</v>
      </c>
      <c r="K337" s="181">
        <f ca="1">COUNTIFS(Paste_Report_Here!$E$1:$E$2000,E308, OFFSET(Paste_Report_Here!$A$1,0,$A337,2000,1),K$75)</f>
        <v>0</v>
      </c>
      <c r="L337" s="166">
        <f t="shared" ca="1" si="47"/>
        <v>36</v>
      </c>
      <c r="M337" s="183">
        <f ca="1">SUMPRODUCT(F337:K337,F312:K312)/L:L</f>
        <v>5.5555555555555558E-3</v>
      </c>
      <c r="N337" s="166">
        <f t="shared" ca="1" si="48"/>
        <v>1.0055710162720175</v>
      </c>
      <c r="O337" s="165">
        <f t="shared" ca="1" si="50"/>
        <v>7132.5089211382492</v>
      </c>
      <c r="P337" s="165">
        <f t="shared" ca="1" si="49"/>
        <v>7172.24424439822</v>
      </c>
    </row>
    <row r="338" spans="1:16" s="165" customFormat="1" x14ac:dyDescent="0.3">
      <c r="A338" s="165">
        <f>MATCH(Calcs!B338,Paste_Report_Here!$1:$1,0) -1</f>
        <v>29</v>
      </c>
      <c r="B338" s="187" t="s">
        <v>144</v>
      </c>
      <c r="C338" s="147">
        <f ca="1">RANK(N338,N314:N338)</f>
        <v>6</v>
      </c>
      <c r="D338" s="147">
        <f ca="1">RANK(P338,P314:P338)</f>
        <v>11</v>
      </c>
      <c r="E338" s="145" t="s">
        <v>173</v>
      </c>
      <c r="F338" s="146">
        <f ca="1">COUNTIFS(Paste_Report_Here!$E$1:$E$2000,E308, OFFSET(Paste_Report_Here!$A$1,0,$A338,2000,1),F$75)</f>
        <v>0</v>
      </c>
      <c r="G338" s="147">
        <f ca="1">COUNTIFS(Paste_Report_Here!$E$1:$E$2000,E308, OFFSET(Paste_Report_Here!$A$1,0,$A338,2000,1),G$75)</f>
        <v>0</v>
      </c>
      <c r="H338" s="147">
        <f ca="1">COUNTIFS(Paste_Report_Here!$E$1:$E$2000,E308, OFFSET(Paste_Report_Here!$A$1,0,$A338,2000,1),H$75)</f>
        <v>27</v>
      </c>
      <c r="I338" s="147">
        <f ca="1">COUNTIFS(Paste_Report_Here!$E$1:$E$2000,E308, OFFSET(Paste_Report_Here!$A$1,0,$A338,2000,1),I$75)</f>
        <v>9</v>
      </c>
      <c r="J338" s="147">
        <f ca="1">COUNTIFS(Paste_Report_Here!$E$1:$E$2000,E308, OFFSET(Paste_Report_Here!$A$1,0,$A338,2000,1),J$75)</f>
        <v>0</v>
      </c>
      <c r="K338" s="148">
        <f ca="1">COUNTIFS(Paste_Report_Here!$E$1:$E$2000,E308, OFFSET(Paste_Report_Here!$A$1,0,$A338,2000,1),K$75)</f>
        <v>0</v>
      </c>
      <c r="L338" s="147">
        <f t="shared" ca="1" si="47"/>
        <v>36</v>
      </c>
      <c r="M338" s="149">
        <f ca="1">SUMPRODUCT(F338:K338,F312:K312)/L:L</f>
        <v>0</v>
      </c>
      <c r="N338" s="147">
        <f t="shared" ca="1" si="48"/>
        <v>1</v>
      </c>
      <c r="O338" s="187">
        <f t="shared" ca="1" si="50"/>
        <v>2315.1929117932332</v>
      </c>
      <c r="P338" s="165">
        <f t="shared" ca="1" si="49"/>
        <v>2315.1929117932332</v>
      </c>
    </row>
    <row r="339" spans="1:16" s="165" customFormat="1" x14ac:dyDescent="0.3">
      <c r="C339" s="166"/>
      <c r="E339" s="140" t="s">
        <v>293</v>
      </c>
      <c r="F339" s="180">
        <f ca="1">SUM(F314:F338)</f>
        <v>0</v>
      </c>
      <c r="G339" s="180">
        <f t="shared" ref="G339:L339" ca="1" si="51">SUM(G314:G338)</f>
        <v>61</v>
      </c>
      <c r="H339" s="180">
        <f t="shared" ca="1" si="51"/>
        <v>695</v>
      </c>
      <c r="I339" s="180">
        <f t="shared" ca="1" si="51"/>
        <v>135</v>
      </c>
      <c r="J339" s="180">
        <f t="shared" ca="1" si="51"/>
        <v>5</v>
      </c>
      <c r="K339" s="180">
        <f t="shared" ca="1" si="51"/>
        <v>4</v>
      </c>
      <c r="L339" s="180">
        <f t="shared" ca="1" si="51"/>
        <v>900</v>
      </c>
      <c r="M339" s="144">
        <f ca="1">SUMPRODUCT(F339:K339,F312:K312)/L339</f>
        <v>1.1111111111111111E-3</v>
      </c>
      <c r="N339" s="166">
        <f t="shared" ca="1" si="48"/>
        <v>1.001111728623749</v>
      </c>
      <c r="O339" s="165">
        <f t="shared" ca="1" si="50"/>
        <v>2552.5700119951453</v>
      </c>
      <c r="P339" s="165">
        <f t="shared" ca="1" si="49"/>
        <v>2555.4077771416037</v>
      </c>
    </row>
    <row r="340" spans="1:16" s="165" customFormat="1" x14ac:dyDescent="0.3">
      <c r="A340" s="194"/>
      <c r="B340" s="194"/>
      <c r="C340" s="153"/>
      <c r="D340" s="194"/>
      <c r="E340" s="164"/>
      <c r="F340" s="151"/>
      <c r="G340" s="151"/>
      <c r="H340" s="151"/>
      <c r="I340" s="151"/>
      <c r="J340" s="151"/>
      <c r="K340" s="151"/>
      <c r="L340" s="151"/>
      <c r="M340" s="162"/>
      <c r="N340" s="153"/>
      <c r="O340" s="194"/>
      <c r="P340" s="194"/>
    </row>
    <row r="341" spans="1:16" s="165" customFormat="1" x14ac:dyDescent="0.3">
      <c r="E341" s="173" t="s">
        <v>292</v>
      </c>
    </row>
    <row r="342" spans="1:16" s="165" customFormat="1" x14ac:dyDescent="0.3">
      <c r="E342" s="141">
        <v>40846</v>
      </c>
    </row>
    <row r="343" spans="1:16" s="165" customFormat="1" ht="15" thickBot="1" x14ac:dyDescent="0.35"/>
    <row r="344" spans="1:16" s="165" customFormat="1" ht="24.6" thickBot="1" x14ac:dyDescent="0.35">
      <c r="F344" s="174" t="s">
        <v>23</v>
      </c>
      <c r="G344" s="168" t="s">
        <v>18</v>
      </c>
      <c r="H344" s="168" t="s">
        <v>16</v>
      </c>
      <c r="I344" s="168" t="s">
        <v>17</v>
      </c>
      <c r="J344" s="168" t="s">
        <v>19</v>
      </c>
      <c r="K344" s="169" t="s">
        <v>114</v>
      </c>
    </row>
    <row r="345" spans="1:16" s="165" customFormat="1" x14ac:dyDescent="0.3">
      <c r="F345" s="267" t="s">
        <v>201</v>
      </c>
      <c r="G345" s="268"/>
      <c r="H345" s="268"/>
      <c r="I345" s="268"/>
      <c r="J345" s="268"/>
      <c r="K345" s="169"/>
      <c r="M345" s="203">
        <f ca="1">(H373+K373)/L373</f>
        <v>0.72</v>
      </c>
      <c r="N345" s="204" t="s">
        <v>501</v>
      </c>
    </row>
    <row r="346" spans="1:16" s="165" customFormat="1" ht="43.8" thickBot="1" x14ac:dyDescent="0.35">
      <c r="A346" s="142" t="s">
        <v>294</v>
      </c>
      <c r="B346" s="142" t="s">
        <v>295</v>
      </c>
      <c r="C346" s="197" t="s">
        <v>440</v>
      </c>
      <c r="D346" s="142" t="s">
        <v>441</v>
      </c>
      <c r="E346" s="171" t="s">
        <v>30</v>
      </c>
      <c r="F346" s="175">
        <f>Falling_fast</f>
        <v>-0.2</v>
      </c>
      <c r="G346" s="176">
        <f>Falling</f>
        <v>0</v>
      </c>
      <c r="H346" s="177">
        <f>Static</f>
        <v>0</v>
      </c>
      <c r="I346" s="176">
        <f>Rising</f>
        <v>0</v>
      </c>
      <c r="J346" s="178">
        <f>Rising_fast</f>
        <v>0.2</v>
      </c>
      <c r="K346" s="182">
        <v>0</v>
      </c>
      <c r="L346" s="171" t="s">
        <v>28</v>
      </c>
      <c r="M346" s="172" t="s">
        <v>29</v>
      </c>
      <c r="N346" s="143" t="s">
        <v>296</v>
      </c>
      <c r="O346" s="142" t="s">
        <v>297</v>
      </c>
      <c r="P346" s="142" t="s">
        <v>298</v>
      </c>
    </row>
    <row r="347" spans="1:16" s="165" customFormat="1" x14ac:dyDescent="0.3">
      <c r="C347" s="166"/>
      <c r="E347" s="192"/>
      <c r="F347" s="198" t="s">
        <v>151</v>
      </c>
      <c r="G347" s="199" t="s">
        <v>149</v>
      </c>
      <c r="H347" s="199" t="s">
        <v>16</v>
      </c>
      <c r="I347" s="199" t="s">
        <v>148</v>
      </c>
      <c r="J347" s="199" t="s">
        <v>150</v>
      </c>
      <c r="K347" s="200" t="s">
        <v>114</v>
      </c>
      <c r="L347" s="166"/>
      <c r="M347" s="170"/>
      <c r="N347" s="166"/>
    </row>
    <row r="348" spans="1:16" s="165" customFormat="1" x14ac:dyDescent="0.3">
      <c r="A348" s="165">
        <f>MATCH(Calcs!B348,Paste_Report_Here!$1:$1,0) -1</f>
        <v>5</v>
      </c>
      <c r="B348" s="165" t="s">
        <v>124</v>
      </c>
      <c r="C348" s="166">
        <f ca="1">RANK(N348,N348:N372)</f>
        <v>11</v>
      </c>
      <c r="D348" s="166">
        <f ca="1">RANK(P348,P348:P372)</f>
        <v>16</v>
      </c>
      <c r="E348" s="189" t="s">
        <v>152</v>
      </c>
      <c r="F348" s="179">
        <f ca="1">COUNTIFS(Paste_Report_Here!$E$1:$E$2000,E342, OFFSET(Paste_Report_Here!$A$1,0,$A348,2000,1),F$75)</f>
        <v>0</v>
      </c>
      <c r="G348" s="180">
        <f ca="1">COUNTIFS(Paste_Report_Here!$E$1:$E$2000,E342, OFFSET(Paste_Report_Here!$A$1,0,$A348,2000,1),G$75)</f>
        <v>2</v>
      </c>
      <c r="H348" s="180">
        <f ca="1">COUNTIFS(Paste_Report_Here!$E$1:$E$2000,E342, OFFSET(Paste_Report_Here!$A$1,0,$A348,2000,1),H$75)</f>
        <v>26</v>
      </c>
      <c r="I348" s="180">
        <f ca="1">COUNTIFS(Paste_Report_Here!$E$1:$E$2000,E342, OFFSET(Paste_Report_Here!$A$1,0,$A348,2000,1),I$75)</f>
        <v>10</v>
      </c>
      <c r="J348" s="180">
        <f ca="1">COUNTIFS(Paste_Report_Here!$E$1:$E$2000,E342, OFFSET(Paste_Report_Here!$A$1,0,$A348,2000,1),J$75)</f>
        <v>0</v>
      </c>
      <c r="K348" s="181">
        <f ca="1">COUNTIFS(Paste_Report_Here!$E$1:$E$2000,E342, OFFSET(Paste_Report_Here!$A$1,0,$A348,2000,1),K$75)</f>
        <v>0</v>
      </c>
      <c r="L348" s="166">
        <f t="shared" ref="L348:L372" ca="1" si="52">SUM(F348:K348)</f>
        <v>38</v>
      </c>
      <c r="M348" s="183">
        <f ca="1">SUMPRODUCT(F348:K348,F346:K346)/L:L</f>
        <v>0</v>
      </c>
      <c r="N348" s="166">
        <f t="shared" ref="N348:N373" ca="1" si="53">EXP(M348)</f>
        <v>1</v>
      </c>
      <c r="O348" s="165">
        <f ca="1">P314</f>
        <v>2034.2896017730648</v>
      </c>
      <c r="P348" s="165">
        <f t="shared" ref="P348:P373" ca="1" si="54">O348*N348</f>
        <v>2034.2896017730648</v>
      </c>
    </row>
    <row r="349" spans="1:16" s="165" customFormat="1" x14ac:dyDescent="0.3">
      <c r="A349" s="165">
        <f>MATCH(Calcs!B349,Paste_Report_Here!$1:$1,0) -1</f>
        <v>6</v>
      </c>
      <c r="B349" s="165" t="s">
        <v>125</v>
      </c>
      <c r="C349" s="166">
        <f ca="1">RANK(N349,N348:N372)</f>
        <v>3</v>
      </c>
      <c r="D349" s="166">
        <f ca="1">RANK(P349,P348:P372)</f>
        <v>13</v>
      </c>
      <c r="E349" s="189" t="s">
        <v>153</v>
      </c>
      <c r="F349" s="179">
        <f ca="1">COUNTIFS(Paste_Report_Here!$E$1:$E$2000,E342, OFFSET(Paste_Report_Here!$A$1,0,$A349,2000,1),F$75)</f>
        <v>0</v>
      </c>
      <c r="G349" s="180">
        <f ca="1">COUNTIFS(Paste_Report_Here!$E$1:$E$2000,E342, OFFSET(Paste_Report_Here!$A$1,0,$A349,2000,1),G$75)</f>
        <v>3</v>
      </c>
      <c r="H349" s="180">
        <f ca="1">COUNTIFS(Paste_Report_Here!$E$1:$E$2000,E342, OFFSET(Paste_Report_Here!$A$1,0,$A349,2000,1),H$75)</f>
        <v>28</v>
      </c>
      <c r="I349" s="180">
        <f ca="1">COUNTIFS(Paste_Report_Here!$E$1:$E$2000,E342, OFFSET(Paste_Report_Here!$A$1,0,$A349,2000,1),I$75)</f>
        <v>6</v>
      </c>
      <c r="J349" s="180">
        <f ca="1">COUNTIFS(Paste_Report_Here!$E$1:$E$2000,E342, OFFSET(Paste_Report_Here!$A$1,0,$A349,2000,1),J$75)</f>
        <v>1</v>
      </c>
      <c r="K349" s="181">
        <f ca="1">COUNTIFS(Paste_Report_Here!$E$1:$E$2000,E342, OFFSET(Paste_Report_Here!$A$1,0,$A349,2000,1),K$75)</f>
        <v>0</v>
      </c>
      <c r="L349" s="166">
        <f t="shared" ca="1" si="52"/>
        <v>38</v>
      </c>
      <c r="M349" s="183">
        <f ca="1">SUMPRODUCT(F349:K349,F346:K346)/L:L</f>
        <v>5.263157894736842E-3</v>
      </c>
      <c r="N349" s="166">
        <f t="shared" ca="1" si="53"/>
        <v>1.0052770326412299</v>
      </c>
      <c r="O349" s="165">
        <f t="shared" ref="O349:O373" ca="1" si="55">P315</f>
        <v>2168.5814076630145</v>
      </c>
      <c r="P349" s="165">
        <f t="shared" ca="1" si="54"/>
        <v>2180.0250825364164</v>
      </c>
    </row>
    <row r="350" spans="1:16" s="165" customFormat="1" x14ac:dyDescent="0.3">
      <c r="A350" s="165">
        <f>MATCH(Calcs!B350,Paste_Report_Here!$1:$1,0) -1</f>
        <v>7</v>
      </c>
      <c r="B350" s="165" t="s">
        <v>126</v>
      </c>
      <c r="C350" s="166">
        <f ca="1">RANK(N350,N348:N372)</f>
        <v>11</v>
      </c>
      <c r="D350" s="166">
        <f ca="1">RANK(P350,P348:P372)</f>
        <v>6</v>
      </c>
      <c r="E350" s="189" t="s">
        <v>154</v>
      </c>
      <c r="F350" s="179">
        <f ca="1">COUNTIFS(Paste_Report_Here!$E$1:$E$2000,E342, OFFSET(Paste_Report_Here!$A$1,0,$A350,2000,1),F$75)</f>
        <v>0</v>
      </c>
      <c r="G350" s="180">
        <f ca="1">COUNTIFS(Paste_Report_Here!$E$1:$E$2000,E342, OFFSET(Paste_Report_Here!$A$1,0,$A350,2000,1),G$75)</f>
        <v>3</v>
      </c>
      <c r="H350" s="180">
        <f ca="1">COUNTIFS(Paste_Report_Here!$E$1:$E$2000,E342, OFFSET(Paste_Report_Here!$A$1,0,$A350,2000,1),H$75)</f>
        <v>26</v>
      </c>
      <c r="I350" s="180">
        <f ca="1">COUNTIFS(Paste_Report_Here!$E$1:$E$2000,E342, OFFSET(Paste_Report_Here!$A$1,0,$A350,2000,1),I$75)</f>
        <v>9</v>
      </c>
      <c r="J350" s="180">
        <f ca="1">COUNTIFS(Paste_Report_Here!$E$1:$E$2000,E342, OFFSET(Paste_Report_Here!$A$1,0,$A350,2000,1),J$75)</f>
        <v>0</v>
      </c>
      <c r="K350" s="181">
        <f ca="1">COUNTIFS(Paste_Report_Here!$E$1:$E$2000,E342, OFFSET(Paste_Report_Here!$A$1,0,$A350,2000,1),K$75)</f>
        <v>0</v>
      </c>
      <c r="L350" s="166">
        <f t="shared" ca="1" si="52"/>
        <v>38</v>
      </c>
      <c r="M350" s="183">
        <f ca="1">SUMPRODUCT(F350:K350,F346:K346)/L:L</f>
        <v>0</v>
      </c>
      <c r="N350" s="166">
        <f t="shared" ca="1" si="53"/>
        <v>1</v>
      </c>
      <c r="O350" s="165">
        <f t="shared" ca="1" si="55"/>
        <v>2822.9504375582001</v>
      </c>
      <c r="P350" s="165">
        <f t="shared" ca="1" si="54"/>
        <v>2822.9504375582001</v>
      </c>
    </row>
    <row r="351" spans="1:16" s="165" customFormat="1" x14ac:dyDescent="0.3">
      <c r="A351" s="165">
        <f>MATCH(Calcs!B351,Paste_Report_Here!$1:$1,0) -1</f>
        <v>8</v>
      </c>
      <c r="B351" s="165" t="s">
        <v>127</v>
      </c>
      <c r="C351" s="166">
        <f ca="1">RANK(N351,N348:N372)</f>
        <v>3</v>
      </c>
      <c r="D351" s="166">
        <f ca="1">RANK(P351,P348:P372)</f>
        <v>8</v>
      </c>
      <c r="E351" s="189" t="s">
        <v>155</v>
      </c>
      <c r="F351" s="179">
        <f ca="1">COUNTIFS(Paste_Report_Here!$E$1:$E$2000,E342, OFFSET(Paste_Report_Here!$A$1,0,$A351,2000,1),F$75)</f>
        <v>0</v>
      </c>
      <c r="G351" s="180">
        <f ca="1">COUNTIFS(Paste_Report_Here!$E$1:$E$2000,E342, OFFSET(Paste_Report_Here!$A$1,0,$A351,2000,1),G$75)</f>
        <v>1</v>
      </c>
      <c r="H351" s="180">
        <f ca="1">COUNTIFS(Paste_Report_Here!$E$1:$E$2000,E342, OFFSET(Paste_Report_Here!$A$1,0,$A351,2000,1),H$75)</f>
        <v>27</v>
      </c>
      <c r="I351" s="180">
        <f ca="1">COUNTIFS(Paste_Report_Here!$E$1:$E$2000,E342, OFFSET(Paste_Report_Here!$A$1,0,$A351,2000,1),I$75)</f>
        <v>9</v>
      </c>
      <c r="J351" s="180">
        <f ca="1">COUNTIFS(Paste_Report_Here!$E$1:$E$2000,E342, OFFSET(Paste_Report_Here!$A$1,0,$A351,2000,1),J$75)</f>
        <v>1</v>
      </c>
      <c r="K351" s="181">
        <f ca="1">COUNTIFS(Paste_Report_Here!$E$1:$E$2000,E342, OFFSET(Paste_Report_Here!$A$1,0,$A351,2000,1),K$75)</f>
        <v>0</v>
      </c>
      <c r="L351" s="166">
        <f t="shared" ca="1" si="52"/>
        <v>38</v>
      </c>
      <c r="M351" s="183">
        <f ca="1">SUMPRODUCT(F351:K351,F346:K346)/L:L</f>
        <v>5.263157894736842E-3</v>
      </c>
      <c r="N351" s="166">
        <f t="shared" ca="1" si="53"/>
        <v>1.0052770326412299</v>
      </c>
      <c r="O351" s="165">
        <f t="shared" ca="1" si="55"/>
        <v>2486.2059662794913</v>
      </c>
      <c r="P351" s="165">
        <f t="shared" ca="1" si="54"/>
        <v>2499.3257563163688</v>
      </c>
    </row>
    <row r="352" spans="1:16" s="165" customFormat="1" x14ac:dyDescent="0.3">
      <c r="A352" s="165">
        <f>MATCH(Calcs!B352,Paste_Report_Here!$1:$1,0) -1</f>
        <v>9</v>
      </c>
      <c r="B352" s="165" t="s">
        <v>214</v>
      </c>
      <c r="C352" s="166">
        <f ca="1">RANK(N352,N348:N372)</f>
        <v>3</v>
      </c>
      <c r="D352" s="166">
        <f ca="1">RANK(P352,P348:P372)</f>
        <v>5</v>
      </c>
      <c r="E352" s="189" t="s">
        <v>156</v>
      </c>
      <c r="F352" s="179">
        <f ca="1">COUNTIFS(Paste_Report_Here!$E$1:$E$2000,E342, OFFSET(Paste_Report_Here!$A$1,0,$A352,2000,1),F$75)</f>
        <v>0</v>
      </c>
      <c r="G352" s="180">
        <f ca="1">COUNTIFS(Paste_Report_Here!$E$1:$E$2000,E342, OFFSET(Paste_Report_Here!$A$1,0,$A352,2000,1),G$75)</f>
        <v>3</v>
      </c>
      <c r="H352" s="180">
        <f ca="1">COUNTIFS(Paste_Report_Here!$E$1:$E$2000,E342, OFFSET(Paste_Report_Here!$A$1,0,$A352,2000,1),H$75)</f>
        <v>27</v>
      </c>
      <c r="I352" s="180">
        <f ca="1">COUNTIFS(Paste_Report_Here!$E$1:$E$2000,E342, OFFSET(Paste_Report_Here!$A$1,0,$A352,2000,1),I$75)</f>
        <v>7</v>
      </c>
      <c r="J352" s="180">
        <f ca="1">COUNTIFS(Paste_Report_Here!$E$1:$E$2000,E342, OFFSET(Paste_Report_Here!$A$1,0,$A352,2000,1),J$75)</f>
        <v>1</v>
      </c>
      <c r="K352" s="181">
        <f ca="1">COUNTIFS(Paste_Report_Here!$E$1:$E$2000,E342, OFFSET(Paste_Report_Here!$A$1,0,$A352,2000,1),K$75)</f>
        <v>0</v>
      </c>
      <c r="L352" s="166">
        <f t="shared" ca="1" si="52"/>
        <v>38</v>
      </c>
      <c r="M352" s="183">
        <f ca="1">SUMPRODUCT(F352:K352,F346:K346)/L:L</f>
        <v>5.263157894736842E-3</v>
      </c>
      <c r="N352" s="166">
        <f t="shared" ca="1" si="53"/>
        <v>1.0052770326412299</v>
      </c>
      <c r="O352" s="165">
        <f t="shared" ca="1" si="55"/>
        <v>3412.0476888962917</v>
      </c>
      <c r="P352" s="165">
        <f t="shared" ca="1" si="54"/>
        <v>3430.0531759240307</v>
      </c>
    </row>
    <row r="353" spans="1:16" s="165" customFormat="1" x14ac:dyDescent="0.3">
      <c r="A353" s="165">
        <f>MATCH(Calcs!B353,Paste_Report_Here!$1:$1,0) -1</f>
        <v>10</v>
      </c>
      <c r="B353" s="165" t="s">
        <v>128</v>
      </c>
      <c r="C353" s="166">
        <f ca="1">RANK(N353,N348:N372)</f>
        <v>11</v>
      </c>
      <c r="D353" s="166">
        <f ca="1">RANK(P353,P348:P372)</f>
        <v>21</v>
      </c>
      <c r="E353" s="189" t="s">
        <v>157</v>
      </c>
      <c r="F353" s="179">
        <f ca="1">COUNTIFS(Paste_Report_Here!$E$1:$E$2000,E342, OFFSET(Paste_Report_Here!$A$1,0,$A353,2000,1),F$75)</f>
        <v>0</v>
      </c>
      <c r="G353" s="180">
        <f ca="1">COUNTIFS(Paste_Report_Here!$E$1:$E$2000,E342, OFFSET(Paste_Report_Here!$A$1,0,$A353,2000,1),G$75)</f>
        <v>4</v>
      </c>
      <c r="H353" s="180">
        <f ca="1">COUNTIFS(Paste_Report_Here!$E$1:$E$2000,E342, OFFSET(Paste_Report_Here!$A$1,0,$A353,2000,1),H$75)</f>
        <v>28</v>
      </c>
      <c r="I353" s="180">
        <f ca="1">COUNTIFS(Paste_Report_Here!$E$1:$E$2000,E342, OFFSET(Paste_Report_Here!$A$1,0,$A353,2000,1),I$75)</f>
        <v>6</v>
      </c>
      <c r="J353" s="180">
        <f ca="1">COUNTIFS(Paste_Report_Here!$E$1:$E$2000,E342, OFFSET(Paste_Report_Here!$A$1,0,$A353,2000,1),J$75)</f>
        <v>0</v>
      </c>
      <c r="K353" s="181">
        <f ca="1">COUNTIFS(Paste_Report_Here!$E$1:$E$2000,E342, OFFSET(Paste_Report_Here!$A$1,0,$A353,2000,1),K$75)</f>
        <v>0</v>
      </c>
      <c r="L353" s="166">
        <f t="shared" ca="1" si="52"/>
        <v>38</v>
      </c>
      <c r="M353" s="183">
        <f ca="1">SUMPRODUCT(F353:K353,F346:K346)/L:L</f>
        <v>0</v>
      </c>
      <c r="N353" s="166">
        <f t="shared" ca="1" si="53"/>
        <v>1</v>
      </c>
      <c r="O353" s="165">
        <f t="shared" ca="1" si="55"/>
        <v>1588.1962749345146</v>
      </c>
      <c r="P353" s="165">
        <f t="shared" ca="1" si="54"/>
        <v>1588.1962749345146</v>
      </c>
    </row>
    <row r="354" spans="1:16" s="165" customFormat="1" x14ac:dyDescent="0.3">
      <c r="A354" s="165">
        <f>MATCH(Calcs!B354,Paste_Report_Here!$1:$1,0) -1</f>
        <v>11</v>
      </c>
      <c r="B354" s="165" t="s">
        <v>129</v>
      </c>
      <c r="C354" s="166">
        <f ca="1">RANK(N354,N348:N372)</f>
        <v>24</v>
      </c>
      <c r="D354" s="166">
        <f ca="1">RANK(P354,P348:P372)</f>
        <v>9</v>
      </c>
      <c r="E354" s="189" t="s">
        <v>158</v>
      </c>
      <c r="F354" s="179">
        <f ca="1">COUNTIFS(Paste_Report_Here!$E$1:$E$2000,E342, OFFSET(Paste_Report_Here!$A$1,0,$A354,2000,1),F$75)</f>
        <v>1</v>
      </c>
      <c r="G354" s="180">
        <f ca="1">COUNTIFS(Paste_Report_Here!$E$1:$E$2000,E342, OFFSET(Paste_Report_Here!$A$1,0,$A354,2000,1),G$75)</f>
        <v>3</v>
      </c>
      <c r="H354" s="180">
        <f ca="1">COUNTIFS(Paste_Report_Here!$E$1:$E$2000,E342, OFFSET(Paste_Report_Here!$A$1,0,$A354,2000,1),H$75)</f>
        <v>30</v>
      </c>
      <c r="I354" s="180">
        <f ca="1">COUNTIFS(Paste_Report_Here!$E$1:$E$2000,E342, OFFSET(Paste_Report_Here!$A$1,0,$A354,2000,1),I$75)</f>
        <v>4</v>
      </c>
      <c r="J354" s="180">
        <f ca="1">COUNTIFS(Paste_Report_Here!$E$1:$E$2000,E342, OFFSET(Paste_Report_Here!$A$1,0,$A354,2000,1),J$75)</f>
        <v>0</v>
      </c>
      <c r="K354" s="181">
        <f ca="1">COUNTIFS(Paste_Report_Here!$E$1:$E$2000,E342, OFFSET(Paste_Report_Here!$A$1,0,$A354,2000,1),K$75)</f>
        <v>0</v>
      </c>
      <c r="L354" s="166">
        <f t="shared" ca="1" si="52"/>
        <v>38</v>
      </c>
      <c r="M354" s="183">
        <f ca="1">SUMPRODUCT(F354:K354,F346:K346)/L:L</f>
        <v>-5.263157894736842E-3</v>
      </c>
      <c r="N354" s="166">
        <f t="shared" ca="1" si="53"/>
        <v>0.9947506682537397</v>
      </c>
      <c r="O354" s="165">
        <f t="shared" ca="1" si="55"/>
        <v>2476.2230838446812</v>
      </c>
      <c r="P354" s="165">
        <f t="shared" ca="1" si="54"/>
        <v>2463.2245673998327</v>
      </c>
    </row>
    <row r="355" spans="1:16" s="165" customFormat="1" x14ac:dyDescent="0.3">
      <c r="A355" s="165">
        <f>MATCH(Calcs!B355,Paste_Report_Here!$1:$1,0) -1</f>
        <v>12</v>
      </c>
      <c r="B355" s="165" t="s">
        <v>130</v>
      </c>
      <c r="C355" s="166">
        <f ca="1">RANK(N355,N348:N372)</f>
        <v>24</v>
      </c>
      <c r="D355" s="166">
        <f ca="1">RANK(P355,P348:P372)</f>
        <v>12</v>
      </c>
      <c r="E355" s="189" t="s">
        <v>159</v>
      </c>
      <c r="F355" s="179">
        <f ca="1">COUNTIFS(Paste_Report_Here!$E$1:$E$2000,E342, OFFSET(Paste_Report_Here!$A$1,0,$A355,2000,1),F$75)</f>
        <v>1</v>
      </c>
      <c r="G355" s="180">
        <f ca="1">COUNTIFS(Paste_Report_Here!$E$1:$E$2000,E342, OFFSET(Paste_Report_Here!$A$1,0,$A355,2000,1),G$75)</f>
        <v>2</v>
      </c>
      <c r="H355" s="180">
        <f ca="1">COUNTIFS(Paste_Report_Here!$E$1:$E$2000,E342, OFFSET(Paste_Report_Here!$A$1,0,$A355,2000,1),H$75)</f>
        <v>24</v>
      </c>
      <c r="I355" s="180">
        <f ca="1">COUNTIFS(Paste_Report_Here!$E$1:$E$2000,E342, OFFSET(Paste_Report_Here!$A$1,0,$A355,2000,1),I$75)</f>
        <v>11</v>
      </c>
      <c r="J355" s="180">
        <f ca="1">COUNTIFS(Paste_Report_Here!$E$1:$E$2000,E342, OFFSET(Paste_Report_Here!$A$1,0,$A355,2000,1),J$75)</f>
        <v>0</v>
      </c>
      <c r="K355" s="181">
        <f ca="1">COUNTIFS(Paste_Report_Here!$E$1:$E$2000,E342, OFFSET(Paste_Report_Here!$A$1,0,$A355,2000,1),K$75)</f>
        <v>0</v>
      </c>
      <c r="L355" s="166">
        <f t="shared" ca="1" si="52"/>
        <v>38</v>
      </c>
      <c r="M355" s="183">
        <f ca="1">SUMPRODUCT(F355:K355,F346:K346)/L:L</f>
        <v>-5.263157894736842E-3</v>
      </c>
      <c r="N355" s="166">
        <f t="shared" ca="1" si="53"/>
        <v>0.9947506682537397</v>
      </c>
      <c r="O355" s="165">
        <f t="shared" ca="1" si="55"/>
        <v>2319.3142782181894</v>
      </c>
      <c r="P355" s="165">
        <f t="shared" ca="1" si="54"/>
        <v>2307.1394281479838</v>
      </c>
    </row>
    <row r="356" spans="1:16" s="165" customFormat="1" x14ac:dyDescent="0.3">
      <c r="A356" s="165">
        <f>MATCH(Calcs!B356,Paste_Report_Here!$1:$1,0) -1</f>
        <v>13</v>
      </c>
      <c r="B356" s="165" t="s">
        <v>131</v>
      </c>
      <c r="C356" s="166">
        <f ca="1">RANK(N356,N348:N372)</f>
        <v>11</v>
      </c>
      <c r="D356" s="166">
        <f ca="1">RANK(P356,P348:P372)</f>
        <v>4</v>
      </c>
      <c r="E356" s="189" t="s">
        <v>160</v>
      </c>
      <c r="F356" s="179">
        <f ca="1">COUNTIFS(Paste_Report_Here!$E$1:$E$2000,E342, OFFSET(Paste_Report_Here!$A$1,0,$A356,2000,1),F$75)</f>
        <v>0</v>
      </c>
      <c r="G356" s="180">
        <f ca="1">COUNTIFS(Paste_Report_Here!$E$1:$E$2000,E342, OFFSET(Paste_Report_Here!$A$1,0,$A356,2000,1),G$75)</f>
        <v>0</v>
      </c>
      <c r="H356" s="180">
        <f ca="1">COUNTIFS(Paste_Report_Here!$E$1:$E$2000,E342, OFFSET(Paste_Report_Here!$A$1,0,$A356,2000,1),H$75)</f>
        <v>21</v>
      </c>
      <c r="I356" s="180">
        <f ca="1">COUNTIFS(Paste_Report_Here!$E$1:$E$2000,E342, OFFSET(Paste_Report_Here!$A$1,0,$A356,2000,1),I$75)</f>
        <v>17</v>
      </c>
      <c r="J356" s="180">
        <f ca="1">COUNTIFS(Paste_Report_Here!$E$1:$E$2000,E342, OFFSET(Paste_Report_Here!$A$1,0,$A356,2000,1),J$75)</f>
        <v>0</v>
      </c>
      <c r="K356" s="181">
        <f ca="1">COUNTIFS(Paste_Report_Here!$E$1:$E$2000,E342, OFFSET(Paste_Report_Here!$A$1,0,$A356,2000,1),K$75)</f>
        <v>0</v>
      </c>
      <c r="L356" s="166">
        <f t="shared" ca="1" si="52"/>
        <v>38</v>
      </c>
      <c r="M356" s="183">
        <f ca="1">SUMPRODUCT(F356:K356,F346:K346)/L:L</f>
        <v>0</v>
      </c>
      <c r="N356" s="166">
        <f t="shared" ca="1" si="53"/>
        <v>1</v>
      </c>
      <c r="O356" s="165">
        <f t="shared" ca="1" si="55"/>
        <v>3516.7765482121104</v>
      </c>
      <c r="P356" s="165">
        <f t="shared" ca="1" si="54"/>
        <v>3516.7765482121104</v>
      </c>
    </row>
    <row r="357" spans="1:16" s="165" customFormat="1" x14ac:dyDescent="0.3">
      <c r="A357" s="165">
        <f>MATCH(Calcs!B357,Paste_Report_Here!$1:$1,0) -1</f>
        <v>14</v>
      </c>
      <c r="B357" s="165" t="s">
        <v>132</v>
      </c>
      <c r="C357" s="166">
        <f ca="1">RANK(N357,N348:N372)</f>
        <v>3</v>
      </c>
      <c r="D357" s="166">
        <f ca="1">RANK(P357,P348:P372)</f>
        <v>19</v>
      </c>
      <c r="E357" s="189" t="s">
        <v>161</v>
      </c>
      <c r="F357" s="179">
        <f ca="1">COUNTIFS(Paste_Report_Here!$E$1:$E$2000,E342, OFFSET(Paste_Report_Here!$A$1,0,$A357,2000,1),F$75)</f>
        <v>0</v>
      </c>
      <c r="G357" s="180">
        <f ca="1">COUNTIFS(Paste_Report_Here!$E$1:$E$2000,E342, OFFSET(Paste_Report_Here!$A$1,0,$A357,2000,1),G$75)</f>
        <v>1</v>
      </c>
      <c r="H357" s="180">
        <f ca="1">COUNTIFS(Paste_Report_Here!$E$1:$E$2000,E342, OFFSET(Paste_Report_Here!$A$1,0,$A357,2000,1),H$75)</f>
        <v>25</v>
      </c>
      <c r="I357" s="180">
        <f ca="1">COUNTIFS(Paste_Report_Here!$E$1:$E$2000,E342, OFFSET(Paste_Report_Here!$A$1,0,$A357,2000,1),I$75)</f>
        <v>11</v>
      </c>
      <c r="J357" s="180">
        <f ca="1">COUNTIFS(Paste_Report_Here!$E$1:$E$2000,E342, OFFSET(Paste_Report_Here!$A$1,0,$A357,2000,1),J$75)</f>
        <v>1</v>
      </c>
      <c r="K357" s="181">
        <f ca="1">COUNTIFS(Paste_Report_Here!$E$1:$E$2000,E342, OFFSET(Paste_Report_Here!$A$1,0,$A357,2000,1),K$75)</f>
        <v>0</v>
      </c>
      <c r="L357" s="166">
        <f t="shared" ca="1" si="52"/>
        <v>38</v>
      </c>
      <c r="M357" s="183">
        <f ca="1">SUMPRODUCT(F357:K357,F346:K346)/L:L</f>
        <v>5.263157894736842E-3</v>
      </c>
      <c r="N357" s="166">
        <f t="shared" ca="1" si="53"/>
        <v>1.0052770326412299</v>
      </c>
      <c r="O357" s="165">
        <f t="shared" ca="1" si="55"/>
        <v>1884.8386102095533</v>
      </c>
      <c r="P357" s="165">
        <f t="shared" ca="1" si="54"/>
        <v>1894.7849650790795</v>
      </c>
    </row>
    <row r="358" spans="1:16" s="165" customFormat="1" x14ac:dyDescent="0.3">
      <c r="A358" s="165">
        <f>MATCH(Calcs!B358,Paste_Report_Here!$1:$1,0) -1</f>
        <v>15</v>
      </c>
      <c r="B358" s="165" t="s">
        <v>133</v>
      </c>
      <c r="C358" s="166">
        <f ca="1">RANK(N358,N347:N371)</f>
        <v>1</v>
      </c>
      <c r="D358" s="166">
        <f ca="1">RANK(P358,P348:P372)</f>
        <v>7</v>
      </c>
      <c r="E358" s="189" t="s">
        <v>162</v>
      </c>
      <c r="F358" s="179">
        <f ca="1">COUNTIFS(Paste_Report_Here!$E$1:$E$2000,E342, OFFSET(Paste_Report_Here!$A$1,0,$A358,2000,1),F$75)</f>
        <v>0</v>
      </c>
      <c r="G358" s="180">
        <f ca="1">COUNTIFS(Paste_Report_Here!$E$1:$E$2000,E342, OFFSET(Paste_Report_Here!$A$1,0,$A358,2000,1),G$75)</f>
        <v>2</v>
      </c>
      <c r="H358" s="180">
        <f ca="1">COUNTIFS(Paste_Report_Here!$E$1:$E$2000,E342, OFFSET(Paste_Report_Here!$A$1,0,$A358,2000,1),H$75)</f>
        <v>24</v>
      </c>
      <c r="I358" s="180">
        <f ca="1">COUNTIFS(Paste_Report_Here!$E$1:$E$2000,E342, OFFSET(Paste_Report_Here!$A$1,0,$A358,2000,1),I$75)</f>
        <v>8</v>
      </c>
      <c r="J358" s="180">
        <f ca="1">COUNTIFS(Paste_Report_Here!$E$1:$E$2000,E342, OFFSET(Paste_Report_Here!$A$1,0,$A358,2000,1),J$75)</f>
        <v>4</v>
      </c>
      <c r="K358" s="181">
        <f ca="1">COUNTIFS(Paste_Report_Here!$E$1:$E$2000,E342, OFFSET(Paste_Report_Here!$A$1,0,$A358,2000,1),K$75)</f>
        <v>0</v>
      </c>
      <c r="L358" s="166">
        <f t="shared" ca="1" si="52"/>
        <v>38</v>
      </c>
      <c r="M358" s="183">
        <f ca="1">SUMPRODUCT(F358:K358,F346:K346)/L:L</f>
        <v>2.1052631578947368E-2</v>
      </c>
      <c r="N358" s="166">
        <f t="shared" ca="1" si="53"/>
        <v>1.0212758015810219</v>
      </c>
      <c r="O358" s="165">
        <f t="shared" ca="1" si="55"/>
        <v>2689.920358718337</v>
      </c>
      <c r="P358" s="165">
        <f t="shared" ca="1" si="54"/>
        <v>2747.1505705391796</v>
      </c>
    </row>
    <row r="359" spans="1:16" s="165" customFormat="1" x14ac:dyDescent="0.3">
      <c r="A359" s="165">
        <f>MATCH(Calcs!B359,Paste_Report_Here!$1:$1,0) -1</f>
        <v>16</v>
      </c>
      <c r="B359" s="165" t="s">
        <v>134</v>
      </c>
      <c r="C359" s="166">
        <f ca="1">RANK(N359,N348:N372)</f>
        <v>11</v>
      </c>
      <c r="D359" s="166">
        <f ca="1">RANK(P359,P348:P372)</f>
        <v>23</v>
      </c>
      <c r="E359" s="189" t="s">
        <v>163</v>
      </c>
      <c r="F359" s="179">
        <f ca="1">COUNTIFS(Paste_Report_Here!$E$1:$E$2000,E342, OFFSET(Paste_Report_Here!$A$1,0,$A359,2000,1),F$75)</f>
        <v>0</v>
      </c>
      <c r="G359" s="180">
        <f ca="1">COUNTIFS(Paste_Report_Here!$E$1:$E$2000,E342, OFFSET(Paste_Report_Here!$A$1,0,$A359,2000,1),G$75)</f>
        <v>2</v>
      </c>
      <c r="H359" s="180">
        <f ca="1">COUNTIFS(Paste_Report_Here!$E$1:$E$2000,E342, OFFSET(Paste_Report_Here!$A$1,0,$A359,2000,1),H$75)</f>
        <v>36</v>
      </c>
      <c r="I359" s="180">
        <f ca="1">COUNTIFS(Paste_Report_Here!$E$1:$E$2000,E342, OFFSET(Paste_Report_Here!$A$1,0,$A359,2000,1),I$75)</f>
        <v>0</v>
      </c>
      <c r="J359" s="180">
        <f ca="1">COUNTIFS(Paste_Report_Here!$E$1:$E$2000,E342, OFFSET(Paste_Report_Here!$A$1,0,$A359,2000,1),J$75)</f>
        <v>0</v>
      </c>
      <c r="K359" s="181">
        <f ca="1">COUNTIFS(Paste_Report_Here!$E$1:$E$2000,E342, OFFSET(Paste_Report_Here!$A$1,0,$A359,2000,1),K$75)</f>
        <v>0</v>
      </c>
      <c r="L359" s="166">
        <f t="shared" ca="1" si="52"/>
        <v>38</v>
      </c>
      <c r="M359" s="183">
        <f ca="1">SUMPRODUCT(F359:K359,F346:K346)/L:L</f>
        <v>0</v>
      </c>
      <c r="N359" s="166">
        <f t="shared" ca="1" si="53"/>
        <v>1</v>
      </c>
      <c r="O359" s="165">
        <f t="shared" ca="1" si="55"/>
        <v>1173.2454452500563</v>
      </c>
      <c r="P359" s="165">
        <f t="shared" ca="1" si="54"/>
        <v>1173.2454452500563</v>
      </c>
    </row>
    <row r="360" spans="1:16" s="165" customFormat="1" x14ac:dyDescent="0.3">
      <c r="A360" s="165">
        <f>MATCH(Calcs!B360,Paste_Report_Here!$1:$1,0) -1</f>
        <v>17</v>
      </c>
      <c r="B360" s="165" t="s">
        <v>135</v>
      </c>
      <c r="C360" s="166">
        <f ca="1">RANK(N360,N348:N372)</f>
        <v>3</v>
      </c>
      <c r="D360" s="166">
        <f ca="1">RANK(P360,P348:P372)</f>
        <v>20</v>
      </c>
      <c r="E360" s="189" t="s">
        <v>164</v>
      </c>
      <c r="F360" s="179">
        <f ca="1">COUNTIFS(Paste_Report_Here!$E$1:$E$2000,E342, OFFSET(Paste_Report_Here!$A$1,0,$A360,2000,1),F$75)</f>
        <v>0</v>
      </c>
      <c r="G360" s="180">
        <f ca="1">COUNTIFS(Paste_Report_Here!$E$1:$E$2000,E342, OFFSET(Paste_Report_Here!$A$1,0,$A360,2000,1),G$75)</f>
        <v>2</v>
      </c>
      <c r="H360" s="180">
        <f ca="1">COUNTIFS(Paste_Report_Here!$E$1:$E$2000,E342, OFFSET(Paste_Report_Here!$A$1,0,$A360,2000,1),H$75)</f>
        <v>29</v>
      </c>
      <c r="I360" s="180">
        <f ca="1">COUNTIFS(Paste_Report_Here!$E$1:$E$2000,E342, OFFSET(Paste_Report_Here!$A$1,0,$A360,2000,1),I$75)</f>
        <v>6</v>
      </c>
      <c r="J360" s="180">
        <f ca="1">COUNTIFS(Paste_Report_Here!$E$1:$E$2000,E342, OFFSET(Paste_Report_Here!$A$1,0,$A360,2000,1),J$75)</f>
        <v>1</v>
      </c>
      <c r="K360" s="181">
        <f ca="1">COUNTIFS(Paste_Report_Here!$E$1:$E$2000,E342, OFFSET(Paste_Report_Here!$A$1,0,$A360,2000,1),K$75)</f>
        <v>0</v>
      </c>
      <c r="L360" s="166">
        <f t="shared" ca="1" si="52"/>
        <v>38</v>
      </c>
      <c r="M360" s="183">
        <f ca="1">SUMPRODUCT(F360:K360,F346:K346)/L:L</f>
        <v>5.263157894736842E-3</v>
      </c>
      <c r="N360" s="166">
        <f t="shared" ca="1" si="53"/>
        <v>1.0052770326412299</v>
      </c>
      <c r="O360" s="165">
        <f t="shared" ca="1" si="55"/>
        <v>1786.6577073110673</v>
      </c>
      <c r="P360" s="165">
        <f t="shared" ca="1" si="54"/>
        <v>1796.0859583512529</v>
      </c>
    </row>
    <row r="361" spans="1:16" s="165" customFormat="1" x14ac:dyDescent="0.3">
      <c r="A361" s="165">
        <f>MATCH(Calcs!B361,Paste_Report_Here!$1:$1,0) -1</f>
        <v>18</v>
      </c>
      <c r="B361" s="165" t="s">
        <v>136</v>
      </c>
      <c r="C361" s="166">
        <f ca="1">RANK(N361,N348:N372)</f>
        <v>3</v>
      </c>
      <c r="D361" s="166">
        <f ca="1">RANK(P361,P348:P372)</f>
        <v>3</v>
      </c>
      <c r="E361" s="189" t="s">
        <v>165</v>
      </c>
      <c r="F361" s="179">
        <f ca="1">COUNTIFS(Paste_Report_Here!$E$1:$E$2000,E342, OFFSET(Paste_Report_Here!$A$1,0,$A361,2000,1),F$75)</f>
        <v>0</v>
      </c>
      <c r="G361" s="180">
        <f ca="1">COUNTIFS(Paste_Report_Here!$E$1:$E$2000,E342, OFFSET(Paste_Report_Here!$A$1,0,$A361,2000,1),G$75)</f>
        <v>0</v>
      </c>
      <c r="H361" s="180">
        <f ca="1">COUNTIFS(Paste_Report_Here!$E$1:$E$2000,E342, OFFSET(Paste_Report_Here!$A$1,0,$A361,2000,1),H$75)</f>
        <v>28</v>
      </c>
      <c r="I361" s="180">
        <f ca="1">COUNTIFS(Paste_Report_Here!$E$1:$E$2000,E342, OFFSET(Paste_Report_Here!$A$1,0,$A361,2000,1),I$75)</f>
        <v>9</v>
      </c>
      <c r="J361" s="180">
        <f ca="1">COUNTIFS(Paste_Report_Here!$E$1:$E$2000,E342, OFFSET(Paste_Report_Here!$A$1,0,$A361,2000,1),J$75)</f>
        <v>1</v>
      </c>
      <c r="K361" s="181">
        <f ca="1">COUNTIFS(Paste_Report_Here!$E$1:$E$2000,E342, OFFSET(Paste_Report_Here!$A$1,0,$A361,2000,1),K$75)</f>
        <v>0</v>
      </c>
      <c r="L361" s="166">
        <f t="shared" ca="1" si="52"/>
        <v>38</v>
      </c>
      <c r="M361" s="183">
        <f ca="1">SUMPRODUCT(F361:K361,F346:K346)/L:L</f>
        <v>5.263157894736842E-3</v>
      </c>
      <c r="N361" s="166">
        <f t="shared" ca="1" si="53"/>
        <v>1.0052770326412299</v>
      </c>
      <c r="O361" s="165">
        <f t="shared" ca="1" si="55"/>
        <v>3605.345550335559</v>
      </c>
      <c r="P361" s="165">
        <f t="shared" ca="1" si="54"/>
        <v>3624.3710764875927</v>
      </c>
    </row>
    <row r="362" spans="1:16" s="165" customFormat="1" x14ac:dyDescent="0.3">
      <c r="A362" s="165">
        <f>MATCH(Calcs!B362,Paste_Report_Here!$1:$1,0) -1</f>
        <v>19</v>
      </c>
      <c r="B362" s="165" t="s">
        <v>137</v>
      </c>
      <c r="C362" s="166">
        <f ca="1">RANK(N362,N348:N372)</f>
        <v>11</v>
      </c>
      <c r="D362" s="166">
        <f ca="1">RANK(P362,P348:P372)</f>
        <v>15</v>
      </c>
      <c r="E362" s="189" t="s">
        <v>166</v>
      </c>
      <c r="F362" s="179">
        <f ca="1">COUNTIFS(Paste_Report_Here!$E$1:$E$2000,E342, OFFSET(Paste_Report_Here!$A$1,0,$A362,2000,1),F$75)</f>
        <v>0</v>
      </c>
      <c r="G362" s="180">
        <f ca="1">COUNTIFS(Paste_Report_Here!$E$1:$E$2000,E342, OFFSET(Paste_Report_Here!$A$1,0,$A362,2000,1),G$75)</f>
        <v>1</v>
      </c>
      <c r="H362" s="180">
        <f ca="1">COUNTIFS(Paste_Report_Here!$E$1:$E$2000,E342, OFFSET(Paste_Report_Here!$A$1,0,$A362,2000,1),H$75)</f>
        <v>29</v>
      </c>
      <c r="I362" s="180">
        <f ca="1">COUNTIFS(Paste_Report_Here!$E$1:$E$2000,E342, OFFSET(Paste_Report_Here!$A$1,0,$A362,2000,1),I$75)</f>
        <v>8</v>
      </c>
      <c r="J362" s="180">
        <f ca="1">COUNTIFS(Paste_Report_Here!$E$1:$E$2000,E342, OFFSET(Paste_Report_Here!$A$1,0,$A362,2000,1),J$75)</f>
        <v>0</v>
      </c>
      <c r="K362" s="181">
        <f ca="1">COUNTIFS(Paste_Report_Here!$E$1:$E$2000,E342, OFFSET(Paste_Report_Here!$A$1,0,$A362,2000,1),K$75)</f>
        <v>0</v>
      </c>
      <c r="L362" s="166">
        <f t="shared" ca="1" si="52"/>
        <v>38</v>
      </c>
      <c r="M362" s="183">
        <f ca="1">SUMPRODUCT(F362:K362,F346:K346)/L:L</f>
        <v>0</v>
      </c>
      <c r="N362" s="166">
        <f t="shared" ca="1" si="53"/>
        <v>1</v>
      </c>
      <c r="O362" s="165">
        <f t="shared" ca="1" si="55"/>
        <v>2093.0126309194029</v>
      </c>
      <c r="P362" s="165">
        <f t="shared" ca="1" si="54"/>
        <v>2093.0126309194029</v>
      </c>
    </row>
    <row r="363" spans="1:16" s="165" customFormat="1" x14ac:dyDescent="0.3">
      <c r="A363" s="165">
        <f>MATCH(Calcs!B363,Paste_Report_Here!$1:$1,0) -1</f>
        <v>20</v>
      </c>
      <c r="B363" s="165" t="s">
        <v>138</v>
      </c>
      <c r="C363" s="166">
        <f ca="1">RANK(N363,N348:N372)</f>
        <v>11</v>
      </c>
      <c r="D363" s="166">
        <f ca="1">RANK(P363,P348:P372)</f>
        <v>18</v>
      </c>
      <c r="E363" s="189" t="s">
        <v>167</v>
      </c>
      <c r="F363" s="179">
        <f ca="1">COUNTIFS(Paste_Report_Here!$E$1:$E$2000,E342, OFFSET(Paste_Report_Here!$A$1,0,$A363,2000,1),F$75)</f>
        <v>0</v>
      </c>
      <c r="G363" s="180">
        <f ca="1">COUNTIFS(Paste_Report_Here!$E$1:$E$2000,E342, OFFSET(Paste_Report_Here!$A$1,0,$A363,2000,1),G$75)</f>
        <v>3</v>
      </c>
      <c r="H363" s="180">
        <f ca="1">COUNTIFS(Paste_Report_Here!$E$1:$E$2000,E342, OFFSET(Paste_Report_Here!$A$1,0,$A363,2000,1),H$75)</f>
        <v>28</v>
      </c>
      <c r="I363" s="180">
        <f ca="1">COUNTIFS(Paste_Report_Here!$E$1:$E$2000,E342, OFFSET(Paste_Report_Here!$A$1,0,$A363,2000,1),I$75)</f>
        <v>7</v>
      </c>
      <c r="J363" s="180">
        <f ca="1">COUNTIFS(Paste_Report_Here!$E$1:$E$2000,E342, OFFSET(Paste_Report_Here!$A$1,0,$A363,2000,1),J$75)</f>
        <v>0</v>
      </c>
      <c r="K363" s="181">
        <f ca="1">COUNTIFS(Paste_Report_Here!$E$1:$E$2000,E342, OFFSET(Paste_Report_Here!$A$1,0,$A363,2000,1),K$75)</f>
        <v>0</v>
      </c>
      <c r="L363" s="166">
        <f t="shared" ca="1" si="52"/>
        <v>38</v>
      </c>
      <c r="M363" s="183">
        <f ca="1">SUMPRODUCT(F363:K363,F346:K346)/L:L</f>
        <v>0</v>
      </c>
      <c r="N363" s="166">
        <f t="shared" ca="1" si="53"/>
        <v>1</v>
      </c>
      <c r="O363" s="165">
        <f t="shared" ca="1" si="55"/>
        <v>1972.0288244479723</v>
      </c>
      <c r="P363" s="165">
        <f t="shared" ca="1" si="54"/>
        <v>1972.0288244479723</v>
      </c>
    </row>
    <row r="364" spans="1:16" s="165" customFormat="1" x14ac:dyDescent="0.3">
      <c r="A364" s="165">
        <f>MATCH(Calcs!B364,Paste_Report_Here!$1:$1,0) -1</f>
        <v>21</v>
      </c>
      <c r="B364" s="165" t="s">
        <v>139</v>
      </c>
      <c r="C364" s="166">
        <f ca="1">RANK(N364,N348:N372)</f>
        <v>11</v>
      </c>
      <c r="D364" s="166">
        <f ca="1">RANK(P364,P348:P372)</f>
        <v>14</v>
      </c>
      <c r="E364" s="189" t="s">
        <v>168</v>
      </c>
      <c r="F364" s="179">
        <f ca="1">COUNTIFS(Paste_Report_Here!$E$1:$E$2000,E342, OFFSET(Paste_Report_Here!$A$1,0,$A364,2000,1),F$75)</f>
        <v>0</v>
      </c>
      <c r="G364" s="180">
        <f ca="1">COUNTIFS(Paste_Report_Here!$E$1:$E$2000,E342, OFFSET(Paste_Report_Here!$A$1,0,$A364,2000,1),G$75)</f>
        <v>4</v>
      </c>
      <c r="H364" s="180">
        <f ca="1">COUNTIFS(Paste_Report_Here!$E$1:$E$2000,E342, OFFSET(Paste_Report_Here!$A$1,0,$A364,2000,1),H$75)</f>
        <v>27</v>
      </c>
      <c r="I364" s="180">
        <f ca="1">COUNTIFS(Paste_Report_Here!$E$1:$E$2000,E342, OFFSET(Paste_Report_Here!$A$1,0,$A364,2000,1),I$75)</f>
        <v>7</v>
      </c>
      <c r="J364" s="180">
        <f ca="1">COUNTIFS(Paste_Report_Here!$E$1:$E$2000,E342, OFFSET(Paste_Report_Here!$A$1,0,$A364,2000,1),J$75)</f>
        <v>0</v>
      </c>
      <c r="K364" s="181">
        <f ca="1">COUNTIFS(Paste_Report_Here!$E$1:$E$2000,E342, OFFSET(Paste_Report_Here!$A$1,0,$A364,2000,1),K$75)</f>
        <v>0</v>
      </c>
      <c r="L364" s="166">
        <f t="shared" ca="1" si="52"/>
        <v>38</v>
      </c>
      <c r="M364" s="183">
        <f ca="1">SUMPRODUCT(F364:K364,F346:K346)/L:L</f>
        <v>0</v>
      </c>
      <c r="N364" s="166">
        <f t="shared" ca="1" si="53"/>
        <v>1</v>
      </c>
      <c r="O364" s="165">
        <f t="shared" ca="1" si="55"/>
        <v>2111.5016578480645</v>
      </c>
      <c r="P364" s="165">
        <f t="shared" ca="1" si="54"/>
        <v>2111.5016578480645</v>
      </c>
    </row>
    <row r="365" spans="1:16" s="165" customFormat="1" x14ac:dyDescent="0.3">
      <c r="A365" s="165">
        <f>MATCH(Calcs!B365,Paste_Report_Here!$1:$1,0) -1</f>
        <v>22</v>
      </c>
      <c r="B365" s="165" t="s">
        <v>140</v>
      </c>
      <c r="C365" s="166">
        <f ca="1">RANK(N365,N348:N372)</f>
        <v>3</v>
      </c>
      <c r="D365" s="166">
        <f ca="1">RANK(P365,P348:P372)</f>
        <v>17</v>
      </c>
      <c r="E365" s="189" t="s">
        <v>169</v>
      </c>
      <c r="F365" s="179">
        <f ca="1">COUNTIFS(Paste_Report_Here!$E$1:$E$2000,E342, OFFSET(Paste_Report_Here!$A$1,0,$A365,2000,1),F$75)</f>
        <v>0</v>
      </c>
      <c r="G365" s="180">
        <f ca="1">COUNTIFS(Paste_Report_Here!$E$1:$E$2000,E342, OFFSET(Paste_Report_Here!$A$1,0,$A365,2000,1),G$75)</f>
        <v>0</v>
      </c>
      <c r="H365" s="180">
        <f ca="1">COUNTIFS(Paste_Report_Here!$E$1:$E$2000,E342, OFFSET(Paste_Report_Here!$A$1,0,$A365,2000,1),H$75)</f>
        <v>30</v>
      </c>
      <c r="I365" s="180">
        <f ca="1">COUNTIFS(Paste_Report_Here!$E$1:$E$2000,E342, OFFSET(Paste_Report_Here!$A$1,0,$A365,2000,1),I$75)</f>
        <v>7</v>
      </c>
      <c r="J365" s="180">
        <f ca="1">COUNTIFS(Paste_Report_Here!$E$1:$E$2000,E342, OFFSET(Paste_Report_Here!$A$1,0,$A365,2000,1),J$75)</f>
        <v>1</v>
      </c>
      <c r="K365" s="181">
        <f ca="1">COUNTIFS(Paste_Report_Here!$E$1:$E$2000,E342, OFFSET(Paste_Report_Here!$A$1,0,$A365,2000,1),K$75)</f>
        <v>0</v>
      </c>
      <c r="L365" s="166">
        <f t="shared" ca="1" si="52"/>
        <v>38</v>
      </c>
      <c r="M365" s="183">
        <f ca="1">SUMPRODUCT(F365:K365,F346:K346)/L:L</f>
        <v>5.263157894736842E-3</v>
      </c>
      <c r="N365" s="166">
        <f t="shared" ca="1" si="53"/>
        <v>1.0052770326412299</v>
      </c>
      <c r="O365" s="165">
        <f t="shared" ca="1" si="55"/>
        <v>1990.2175267834175</v>
      </c>
      <c r="P365" s="165">
        <f t="shared" ca="1" si="54"/>
        <v>2000.7199696354014</v>
      </c>
    </row>
    <row r="366" spans="1:16" s="165" customFormat="1" x14ac:dyDescent="0.3">
      <c r="A366" s="165">
        <f>MATCH(Calcs!B366,Paste_Report_Here!$1:$1,0) -1</f>
        <v>23</v>
      </c>
      <c r="B366" s="165" t="s">
        <v>186</v>
      </c>
      <c r="C366" s="166">
        <f ca="1">RANK(N366,N348:N372)</f>
        <v>11</v>
      </c>
      <c r="D366" s="166">
        <f ca="1">RANK(P366,P348:P372)</f>
        <v>2</v>
      </c>
      <c r="E366" s="189" t="s">
        <v>180</v>
      </c>
      <c r="F366" s="179">
        <f ca="1">COUNTIFS(Paste_Report_Here!$E$1:$E$2000,E342, OFFSET(Paste_Report_Here!$A$1,0,$A366,2000,1),F$75)</f>
        <v>0</v>
      </c>
      <c r="G366" s="180">
        <f ca="1">COUNTIFS(Paste_Report_Here!$E$1:$E$2000,E342, OFFSET(Paste_Report_Here!$A$1,0,$A366,2000,1),G$75)</f>
        <v>1</v>
      </c>
      <c r="H366" s="180">
        <f ca="1">COUNTIFS(Paste_Report_Here!$E$1:$E$2000,E342, OFFSET(Paste_Report_Here!$A$1,0,$A366,2000,1),H$75)</f>
        <v>29</v>
      </c>
      <c r="I366" s="180">
        <f ca="1">COUNTIFS(Paste_Report_Here!$E$1:$E$2000,E342, OFFSET(Paste_Report_Here!$A$1,0,$A366,2000,1),I$75)</f>
        <v>8</v>
      </c>
      <c r="J366" s="180">
        <f ca="1">COUNTIFS(Paste_Report_Here!$E$1:$E$2000,E342, OFFSET(Paste_Report_Here!$A$1,0,$A366,2000,1),J$75)</f>
        <v>0</v>
      </c>
      <c r="K366" s="181">
        <f ca="1">COUNTIFS(Paste_Report_Here!$E$1:$E$2000,E342, OFFSET(Paste_Report_Here!$A$1,0,$A366,2000,1),K$75)</f>
        <v>0</v>
      </c>
      <c r="L366" s="166">
        <f t="shared" ca="1" si="52"/>
        <v>38</v>
      </c>
      <c r="M366" s="183">
        <f ca="1">SUMPRODUCT(F366:K366,F346:K346)/L:L</f>
        <v>0</v>
      </c>
      <c r="N366" s="166">
        <f t="shared" ca="1" si="53"/>
        <v>1</v>
      </c>
      <c r="O366" s="165">
        <f t="shared" ca="1" si="55"/>
        <v>3648.7783368810542</v>
      </c>
      <c r="P366" s="165">
        <f t="shared" ca="1" si="54"/>
        <v>3648.7783368810542</v>
      </c>
    </row>
    <row r="367" spans="1:16" s="165" customFormat="1" x14ac:dyDescent="0.3">
      <c r="A367" s="165">
        <f>MATCH(Calcs!B367,Paste_Report_Here!$1:$1,0) -1</f>
        <v>24</v>
      </c>
      <c r="B367" s="165" t="s">
        <v>209</v>
      </c>
      <c r="C367" s="166">
        <f ca="1">RANK(N367,N348:N372)</f>
        <v>11</v>
      </c>
      <c r="D367" s="166">
        <f ca="1">RANK(P367,P348:P372)</f>
        <v>25</v>
      </c>
      <c r="E367" s="202" t="s">
        <v>211</v>
      </c>
      <c r="F367" s="179">
        <f ca="1">COUNTIFS(Paste_Report_Here!$E$1:$E$2000,E342, OFFSET(Paste_Report_Here!$A$1,0,$A367,2000,1),F$75)</f>
        <v>0</v>
      </c>
      <c r="G367" s="180">
        <f ca="1">COUNTIFS(Paste_Report_Here!$E$1:$E$2000,E342, OFFSET(Paste_Report_Here!$A$1,0,$A367,2000,1),G$75)</f>
        <v>1</v>
      </c>
      <c r="H367" s="180">
        <f ca="1">COUNTIFS(Paste_Report_Here!$E$1:$E$2000,E342, OFFSET(Paste_Report_Here!$A$1,0,$A367,2000,1),H$75)</f>
        <v>29</v>
      </c>
      <c r="I367" s="180">
        <f ca="1">COUNTIFS(Paste_Report_Here!$E$1:$E$2000,E342, OFFSET(Paste_Report_Here!$A$1,0,$A367,2000,1),I$75)</f>
        <v>7</v>
      </c>
      <c r="J367" s="180">
        <f ca="1">COUNTIFS(Paste_Report_Here!$E$1:$E$2000,E342, OFFSET(Paste_Report_Here!$A$1,0,$A367,2000,1),J$75)</f>
        <v>0</v>
      </c>
      <c r="K367" s="181">
        <f ca="1">COUNTIFS(Paste_Report_Here!$E$1:$E$2000,E342, OFFSET(Paste_Report_Here!$A$1,0,$A367,2000,1),K$75)</f>
        <v>1</v>
      </c>
      <c r="L367" s="166">
        <f t="shared" ca="1" si="52"/>
        <v>38</v>
      </c>
      <c r="M367" s="183">
        <f ca="1">SUMPRODUCT(F367:K367,F346:K346)/L:L</f>
        <v>0</v>
      </c>
      <c r="N367" s="166">
        <f t="shared" ca="1" si="53"/>
        <v>1</v>
      </c>
      <c r="O367" s="165">
        <f t="shared" ca="1" si="55"/>
        <v>1165.3498076526269</v>
      </c>
      <c r="P367" s="165">
        <f t="shared" ca="1" si="54"/>
        <v>1165.3498076526269</v>
      </c>
    </row>
    <row r="368" spans="1:16" s="165" customFormat="1" x14ac:dyDescent="0.3">
      <c r="A368" s="165">
        <f>MATCH(Calcs!B368,Paste_Report_Here!$1:$1,0) -1</f>
        <v>25</v>
      </c>
      <c r="B368" s="165" t="s">
        <v>141</v>
      </c>
      <c r="C368" s="166">
        <f ca="1">RANK(N368,N348:N372)</f>
        <v>11</v>
      </c>
      <c r="D368" s="166">
        <f ca="1">RANK(P368,P348:P372)</f>
        <v>22</v>
      </c>
      <c r="E368" s="189" t="s">
        <v>170</v>
      </c>
      <c r="F368" s="179">
        <f ca="1">COUNTIFS(Paste_Report_Here!$E$1:$E$2000,E342, OFFSET(Paste_Report_Here!$A$1,0,$A368,2000,1),F$75)</f>
        <v>0</v>
      </c>
      <c r="G368" s="180">
        <f ca="1">COUNTIFS(Paste_Report_Here!$E$1:$E$2000,E342, OFFSET(Paste_Report_Here!$A$1,0,$A368,2000,1),G$75)</f>
        <v>3</v>
      </c>
      <c r="H368" s="180">
        <f ca="1">COUNTIFS(Paste_Report_Here!$E$1:$E$2000,E342, OFFSET(Paste_Report_Here!$A$1,0,$A368,2000,1),H$75)</f>
        <v>28</v>
      </c>
      <c r="I368" s="180">
        <f ca="1">COUNTIFS(Paste_Report_Here!$E$1:$E$2000,E342, OFFSET(Paste_Report_Here!$A$1,0,$A368,2000,1),I$75)</f>
        <v>7</v>
      </c>
      <c r="J368" s="180">
        <f ca="1">COUNTIFS(Paste_Report_Here!$E$1:$E$2000,E342, OFFSET(Paste_Report_Here!$A$1,0,$A368,2000,1),J$75)</f>
        <v>0</v>
      </c>
      <c r="K368" s="181">
        <f ca="1">COUNTIFS(Paste_Report_Here!$E$1:$E$2000,E342, OFFSET(Paste_Report_Here!$A$1,0,$A368,2000,1),K$75)</f>
        <v>0</v>
      </c>
      <c r="L368" s="166">
        <f t="shared" ca="1" si="52"/>
        <v>38</v>
      </c>
      <c r="M368" s="183">
        <f ca="1">SUMPRODUCT(F368:K368,F346:K346)/L:L</f>
        <v>0</v>
      </c>
      <c r="N368" s="166">
        <f t="shared" ca="1" si="53"/>
        <v>1</v>
      </c>
      <c r="O368" s="165">
        <f t="shared" ca="1" si="55"/>
        <v>1395.1831739772081</v>
      </c>
      <c r="P368" s="165">
        <f t="shared" ca="1" si="54"/>
        <v>1395.1831739772081</v>
      </c>
    </row>
    <row r="369" spans="1:16" s="165" customFormat="1" x14ac:dyDescent="0.3">
      <c r="A369" s="165">
        <f>MATCH(Calcs!B369,Paste_Report_Here!$1:$1,0) -1</f>
        <v>26</v>
      </c>
      <c r="B369" s="165" t="s">
        <v>142</v>
      </c>
      <c r="C369" s="166">
        <f ca="1">RANK(N369,N348:N372)</f>
        <v>3</v>
      </c>
      <c r="D369" s="166">
        <f ca="1">RANK(P369,P348:P372)</f>
        <v>10</v>
      </c>
      <c r="E369" s="189" t="s">
        <v>171</v>
      </c>
      <c r="F369" s="179">
        <f ca="1">COUNTIFS(Paste_Report_Here!$E$1:$E$2000,E342, OFFSET(Paste_Report_Here!$A$1,0,$A369,2000,1),F$75)</f>
        <v>0</v>
      </c>
      <c r="G369" s="180">
        <f ca="1">COUNTIFS(Paste_Report_Here!$E$1:$E$2000,E342, OFFSET(Paste_Report_Here!$A$1,0,$A369,2000,1),G$75)</f>
        <v>3</v>
      </c>
      <c r="H369" s="180">
        <f ca="1">COUNTIFS(Paste_Report_Here!$E$1:$E$2000,E342, OFFSET(Paste_Report_Here!$A$1,0,$A369,2000,1),H$75)</f>
        <v>22</v>
      </c>
      <c r="I369" s="180">
        <f ca="1">COUNTIFS(Paste_Report_Here!$E$1:$E$2000,E342, OFFSET(Paste_Report_Here!$A$1,0,$A369,2000,1),I$75)</f>
        <v>12</v>
      </c>
      <c r="J369" s="180">
        <f ca="1">COUNTIFS(Paste_Report_Here!$E$1:$E$2000,E342, OFFSET(Paste_Report_Here!$A$1,0,$A369,2000,1),J$75)</f>
        <v>1</v>
      </c>
      <c r="K369" s="181">
        <f ca="1">COUNTIFS(Paste_Report_Here!$E$1:$E$2000,E342, OFFSET(Paste_Report_Here!$A$1,0,$A369,2000,1),K$75)</f>
        <v>0</v>
      </c>
      <c r="L369" s="166">
        <f t="shared" ca="1" si="52"/>
        <v>38</v>
      </c>
      <c r="M369" s="183">
        <f ca="1">SUMPRODUCT(F369:K369,F346:K346)/L:L</f>
        <v>5.263157894736842E-3</v>
      </c>
      <c r="N369" s="166">
        <f t="shared" ca="1" si="53"/>
        <v>1.0052770326412299</v>
      </c>
      <c r="O369" s="165">
        <f t="shared" ca="1" si="55"/>
        <v>2304.8628417222267</v>
      </c>
      <c r="P369" s="165">
        <f t="shared" ca="1" si="54"/>
        <v>2317.025678171553</v>
      </c>
    </row>
    <row r="370" spans="1:16" s="165" customFormat="1" x14ac:dyDescent="0.3">
      <c r="A370" s="165">
        <f>MATCH(Calcs!B370,Paste_Report_Here!$1:$1,0) -1</f>
        <v>27</v>
      </c>
      <c r="B370" s="165" t="s">
        <v>210</v>
      </c>
      <c r="C370" s="166">
        <f ca="1">RANK(N370,N348:N372)</f>
        <v>11</v>
      </c>
      <c r="D370" s="166">
        <f ca="1">RANK(P370,P348:P372)</f>
        <v>24</v>
      </c>
      <c r="E370" s="202" t="s">
        <v>212</v>
      </c>
      <c r="F370" s="179">
        <f ca="1">COUNTIFS(Paste_Report_Here!$E$1:$E$2000,E342, OFFSET(Paste_Report_Here!$A$1,0,$A370,2000,1),F$75)</f>
        <v>0</v>
      </c>
      <c r="G370" s="180">
        <f ca="1">COUNTIFS(Paste_Report_Here!$E$1:$E$2000,E342, OFFSET(Paste_Report_Here!$A$1,0,$A370,2000,1),G$75)</f>
        <v>2</v>
      </c>
      <c r="H370" s="180">
        <f ca="1">COUNTIFS(Paste_Report_Here!$E$1:$E$2000,E342, OFFSET(Paste_Report_Here!$A$1,0,$A370,2000,1),H$75)</f>
        <v>30</v>
      </c>
      <c r="I370" s="180">
        <f ca="1">COUNTIFS(Paste_Report_Here!$E$1:$E$2000,E342, OFFSET(Paste_Report_Here!$A$1,0,$A370,2000,1),I$75)</f>
        <v>6</v>
      </c>
      <c r="J370" s="180">
        <f ca="1">COUNTIFS(Paste_Report_Here!$E$1:$E$2000,E342, OFFSET(Paste_Report_Here!$A$1,0,$A370,2000,1),J$75)</f>
        <v>0</v>
      </c>
      <c r="K370" s="181">
        <f ca="1">COUNTIFS(Paste_Report_Here!$E$1:$E$2000,E342, OFFSET(Paste_Report_Here!$A$1,0,$A370,2000,1),K$75)</f>
        <v>0</v>
      </c>
      <c r="L370" s="166">
        <f t="shared" ca="1" si="52"/>
        <v>38</v>
      </c>
      <c r="M370" s="183">
        <f ca="1">SUMPRODUCT(F370:K370,F346:K346)/L:L</f>
        <v>0</v>
      </c>
      <c r="N370" s="166">
        <f t="shared" ca="1" si="53"/>
        <v>1</v>
      </c>
      <c r="O370" s="165">
        <f t="shared" ca="1" si="55"/>
        <v>1166.7733279882357</v>
      </c>
      <c r="P370" s="165">
        <f t="shared" ca="1" si="54"/>
        <v>1166.7733279882357</v>
      </c>
    </row>
    <row r="371" spans="1:16" s="165" customFormat="1" x14ac:dyDescent="0.3">
      <c r="A371" s="165">
        <f>MATCH(Calcs!B371,Paste_Report_Here!$1:$1,0) -1</f>
        <v>28</v>
      </c>
      <c r="B371" s="165" t="s">
        <v>143</v>
      </c>
      <c r="C371" s="166">
        <f ca="1">RANK(N371,N349:N373)</f>
        <v>2</v>
      </c>
      <c r="D371" s="166">
        <f ca="1">RANK(P371,P348:P372)</f>
        <v>1</v>
      </c>
      <c r="E371" s="189" t="s">
        <v>172</v>
      </c>
      <c r="F371" s="179">
        <f ca="1">COUNTIFS(Paste_Report_Here!$E$1:$E$2000,E342, OFFSET(Paste_Report_Here!$A$1,0,$A371,2000,1),F$75)</f>
        <v>0</v>
      </c>
      <c r="G371" s="180">
        <f ca="1">COUNTIFS(Paste_Report_Here!$E$1:$E$2000,E342, OFFSET(Paste_Report_Here!$A$1,0,$A371,2000,1),G$75)</f>
        <v>0</v>
      </c>
      <c r="H371" s="180">
        <f ca="1">COUNTIFS(Paste_Report_Here!$E$1:$E$2000,E342, OFFSET(Paste_Report_Here!$A$1,0,$A371,2000,1),H$75)</f>
        <v>21</v>
      </c>
      <c r="I371" s="180">
        <f ca="1">COUNTIFS(Paste_Report_Here!$E$1:$E$2000,E342, OFFSET(Paste_Report_Here!$A$1,0,$A371,2000,1),I$75)</f>
        <v>14</v>
      </c>
      <c r="J371" s="180">
        <f ca="1">COUNTIFS(Paste_Report_Here!$E$1:$E$2000,E342, OFFSET(Paste_Report_Here!$A$1,0,$A371,2000,1),J$75)</f>
        <v>3</v>
      </c>
      <c r="K371" s="181">
        <f ca="1">COUNTIFS(Paste_Report_Here!$E$1:$E$2000,E342, OFFSET(Paste_Report_Here!$A$1,0,$A371,2000,1),K$75)</f>
        <v>0</v>
      </c>
      <c r="L371" s="166">
        <f t="shared" ca="1" si="52"/>
        <v>38</v>
      </c>
      <c r="M371" s="183">
        <f ca="1">SUMPRODUCT(F371:K371,F346:K346)/L:L</f>
        <v>1.578947368421053E-2</v>
      </c>
      <c r="N371" s="166">
        <f t="shared" ca="1" si="53"/>
        <v>1.0159147860940954</v>
      </c>
      <c r="O371" s="165">
        <f t="shared" ca="1" si="55"/>
        <v>7172.24424439822</v>
      </c>
      <c r="P371" s="165">
        <f t="shared" ca="1" si="54"/>
        <v>7286.3889773624242</v>
      </c>
    </row>
    <row r="372" spans="1:16" s="165" customFormat="1" x14ac:dyDescent="0.3">
      <c r="A372" s="165">
        <f>MATCH(Calcs!B372,Paste_Report_Here!$1:$1,0) -1</f>
        <v>29</v>
      </c>
      <c r="B372" s="187" t="s">
        <v>144</v>
      </c>
      <c r="C372" s="147">
        <f ca="1">RANK(N372,N348:N372)</f>
        <v>11</v>
      </c>
      <c r="D372" s="147">
        <f ca="1">RANK(P372,P348:P372)</f>
        <v>11</v>
      </c>
      <c r="E372" s="145" t="s">
        <v>173</v>
      </c>
      <c r="F372" s="146">
        <f ca="1">COUNTIFS(Paste_Report_Here!$E$1:$E$2000,E342, OFFSET(Paste_Report_Here!$A$1,0,$A372,2000,1),F$75)</f>
        <v>0</v>
      </c>
      <c r="G372" s="147">
        <f ca="1">COUNTIFS(Paste_Report_Here!$E$1:$E$2000,E342, OFFSET(Paste_Report_Here!$A$1,0,$A372,2000,1),G$75)</f>
        <v>3</v>
      </c>
      <c r="H372" s="147">
        <f ca="1">COUNTIFS(Paste_Report_Here!$E$1:$E$2000,E342, OFFSET(Paste_Report_Here!$A$1,0,$A372,2000,1),H$75)</f>
        <v>31</v>
      </c>
      <c r="I372" s="147">
        <f ca="1">COUNTIFS(Paste_Report_Here!$E$1:$E$2000,E342, OFFSET(Paste_Report_Here!$A$1,0,$A372,2000,1),I$75)</f>
        <v>4</v>
      </c>
      <c r="J372" s="147">
        <f ca="1">COUNTIFS(Paste_Report_Here!$E$1:$E$2000,E342, OFFSET(Paste_Report_Here!$A$1,0,$A372,2000,1),J$75)</f>
        <v>0</v>
      </c>
      <c r="K372" s="148">
        <f ca="1">COUNTIFS(Paste_Report_Here!$E$1:$E$2000,E342, OFFSET(Paste_Report_Here!$A$1,0,$A372,2000,1),K$75)</f>
        <v>0</v>
      </c>
      <c r="L372" s="147">
        <f t="shared" ca="1" si="52"/>
        <v>38</v>
      </c>
      <c r="M372" s="149">
        <f ca="1">SUMPRODUCT(F372:K372,F346:K346)/L:L</f>
        <v>0</v>
      </c>
      <c r="N372" s="147">
        <f t="shared" ca="1" si="53"/>
        <v>1</v>
      </c>
      <c r="O372" s="187">
        <f t="shared" ca="1" si="55"/>
        <v>2315.1929117932332</v>
      </c>
      <c r="P372" s="165">
        <f t="shared" ca="1" si="54"/>
        <v>2315.1929117932332</v>
      </c>
    </row>
    <row r="373" spans="1:16" s="165" customFormat="1" x14ac:dyDescent="0.3">
      <c r="C373" s="166"/>
      <c r="E373" s="140" t="s">
        <v>293</v>
      </c>
      <c r="F373" s="180">
        <f ca="1">SUM(F348:F372)</f>
        <v>2</v>
      </c>
      <c r="G373" s="180">
        <f t="shared" ref="G373:L373" ca="1" si="56">SUM(G348:G372)</f>
        <v>49</v>
      </c>
      <c r="H373" s="180">
        <f t="shared" ca="1" si="56"/>
        <v>683</v>
      </c>
      <c r="I373" s="180">
        <f t="shared" ca="1" si="56"/>
        <v>200</v>
      </c>
      <c r="J373" s="180">
        <f t="shared" ca="1" si="56"/>
        <v>15</v>
      </c>
      <c r="K373" s="180">
        <f t="shared" ca="1" si="56"/>
        <v>1</v>
      </c>
      <c r="L373" s="180">
        <f t="shared" ca="1" si="56"/>
        <v>950</v>
      </c>
      <c r="M373" s="144">
        <f ca="1">SUMPRODUCT(F373:K373,F346:K346)/L373</f>
        <v>2.7368421052631582E-3</v>
      </c>
      <c r="N373" s="166">
        <f t="shared" ca="1" si="53"/>
        <v>1.0027405906765869</v>
      </c>
      <c r="O373" s="165">
        <f t="shared" ca="1" si="55"/>
        <v>2555.4077771416037</v>
      </c>
      <c r="P373" s="165">
        <f t="shared" ca="1" si="54"/>
        <v>2562.4111038705155</v>
      </c>
    </row>
    <row r="374" spans="1:16" s="165" customFormat="1" x14ac:dyDescent="0.3">
      <c r="A374" s="194"/>
      <c r="B374" s="194"/>
      <c r="C374" s="153"/>
      <c r="D374" s="194"/>
      <c r="E374" s="164"/>
      <c r="F374" s="151"/>
      <c r="G374" s="151"/>
      <c r="H374" s="151"/>
      <c r="I374" s="151"/>
      <c r="J374" s="151"/>
      <c r="K374" s="151"/>
      <c r="L374" s="151"/>
      <c r="M374" s="162"/>
      <c r="N374" s="153"/>
      <c r="O374" s="194"/>
      <c r="P374" s="194"/>
    </row>
    <row r="375" spans="1:16" s="165" customFormat="1" x14ac:dyDescent="0.3">
      <c r="E375" s="173" t="s">
        <v>292</v>
      </c>
    </row>
    <row r="376" spans="1:16" s="165" customFormat="1" x14ac:dyDescent="0.3">
      <c r="E376" s="141">
        <v>40876</v>
      </c>
    </row>
    <row r="377" spans="1:16" s="165" customFormat="1" ht="15" thickBot="1" x14ac:dyDescent="0.35"/>
    <row r="378" spans="1:16" s="165" customFormat="1" ht="24.6" thickBot="1" x14ac:dyDescent="0.35">
      <c r="F378" s="174" t="s">
        <v>23</v>
      </c>
      <c r="G378" s="168" t="s">
        <v>18</v>
      </c>
      <c r="H378" s="168" t="s">
        <v>16</v>
      </c>
      <c r="I378" s="168" t="s">
        <v>17</v>
      </c>
      <c r="J378" s="168" t="s">
        <v>19</v>
      </c>
      <c r="K378" s="169" t="s">
        <v>114</v>
      </c>
    </row>
    <row r="379" spans="1:16" s="165" customFormat="1" x14ac:dyDescent="0.3">
      <c r="F379" s="267" t="s">
        <v>201</v>
      </c>
      <c r="G379" s="268"/>
      <c r="H379" s="268"/>
      <c r="I379" s="268"/>
      <c r="J379" s="268"/>
      <c r="K379" s="169"/>
      <c r="M379" s="203">
        <f ca="1">(H407+K407)/L407</f>
        <v>0.7155555555555555</v>
      </c>
      <c r="N379" s="204" t="s">
        <v>501</v>
      </c>
    </row>
    <row r="380" spans="1:16" s="165" customFormat="1" ht="43.8" thickBot="1" x14ac:dyDescent="0.35">
      <c r="A380" s="142" t="s">
        <v>294</v>
      </c>
      <c r="B380" s="142" t="s">
        <v>295</v>
      </c>
      <c r="C380" s="197" t="s">
        <v>440</v>
      </c>
      <c r="D380" s="142" t="s">
        <v>441</v>
      </c>
      <c r="E380" s="171" t="s">
        <v>30</v>
      </c>
      <c r="F380" s="175">
        <f>Falling_fast</f>
        <v>-0.2</v>
      </c>
      <c r="G380" s="176">
        <f>Falling</f>
        <v>0</v>
      </c>
      <c r="H380" s="177">
        <f>Static</f>
        <v>0</v>
      </c>
      <c r="I380" s="176">
        <f>Rising</f>
        <v>0</v>
      </c>
      <c r="J380" s="178">
        <f>Rising_fast</f>
        <v>0.2</v>
      </c>
      <c r="K380" s="182">
        <v>0</v>
      </c>
      <c r="L380" s="171" t="s">
        <v>28</v>
      </c>
      <c r="M380" s="172" t="s">
        <v>29</v>
      </c>
      <c r="N380" s="143" t="s">
        <v>296</v>
      </c>
      <c r="O380" s="142" t="s">
        <v>297</v>
      </c>
      <c r="P380" s="142" t="s">
        <v>298</v>
      </c>
    </row>
    <row r="381" spans="1:16" s="165" customFormat="1" x14ac:dyDescent="0.3">
      <c r="C381" s="166"/>
      <c r="E381" s="192"/>
      <c r="F381" s="198" t="s">
        <v>151</v>
      </c>
      <c r="G381" s="199" t="s">
        <v>149</v>
      </c>
      <c r="H381" s="199" t="s">
        <v>16</v>
      </c>
      <c r="I381" s="199" t="s">
        <v>148</v>
      </c>
      <c r="J381" s="199" t="s">
        <v>150</v>
      </c>
      <c r="K381" s="200" t="s">
        <v>114</v>
      </c>
      <c r="L381" s="166"/>
      <c r="M381" s="170"/>
      <c r="N381" s="166"/>
    </row>
    <row r="382" spans="1:16" s="165" customFormat="1" x14ac:dyDescent="0.3">
      <c r="A382" s="165">
        <f>MATCH(Calcs!B382,Paste_Report_Here!$1:$1,0) -1</f>
        <v>5</v>
      </c>
      <c r="B382" s="165" t="s">
        <v>124</v>
      </c>
      <c r="C382" s="166">
        <f ca="1">RANK(N382,N382:N406)</f>
        <v>4</v>
      </c>
      <c r="D382" s="166">
        <f ca="1">RANK(P382,P382:P406)</f>
        <v>16</v>
      </c>
      <c r="E382" s="189" t="s">
        <v>152</v>
      </c>
      <c r="F382" s="179">
        <f ca="1">COUNTIFS(Paste_Report_Here!$E$1:$E$2000,E376, OFFSET(Paste_Report_Here!$A$1,0,$A382,2000,1),F$75)</f>
        <v>0</v>
      </c>
      <c r="G382" s="180">
        <f ca="1">COUNTIFS(Paste_Report_Here!$E$1:$E$2000,E376, OFFSET(Paste_Report_Here!$A$1,0,$A382,2000,1),G$75)</f>
        <v>2</v>
      </c>
      <c r="H382" s="180">
        <f ca="1">COUNTIFS(Paste_Report_Here!$E$1:$E$2000,E376, OFFSET(Paste_Report_Here!$A$1,0,$A382,2000,1),H$75)</f>
        <v>19</v>
      </c>
      <c r="I382" s="180">
        <f ca="1">COUNTIFS(Paste_Report_Here!$E$1:$E$2000,E376, OFFSET(Paste_Report_Here!$A$1,0,$A382,2000,1),I$75)</f>
        <v>5</v>
      </c>
      <c r="J382" s="180">
        <f ca="1">COUNTIFS(Paste_Report_Here!$E$1:$E$2000,E376, OFFSET(Paste_Report_Here!$A$1,0,$A382,2000,1),J$75)</f>
        <v>1</v>
      </c>
      <c r="K382" s="181">
        <f ca="1">COUNTIFS(Paste_Report_Here!$E$1:$E$2000,E376, OFFSET(Paste_Report_Here!$A$1,0,$A382,2000,1),K$75)</f>
        <v>0</v>
      </c>
      <c r="L382" s="166">
        <f t="shared" ref="L382:L406" ca="1" si="57">SUM(F382:K382)</f>
        <v>27</v>
      </c>
      <c r="M382" s="183">
        <f ca="1">SUMPRODUCT(F382:K382,F380:K380)/L:L</f>
        <v>7.4074074074074077E-3</v>
      </c>
      <c r="N382" s="166">
        <f t="shared" ref="N382:N407" ca="1" si="58">EXP(M382)</f>
        <v>1.0074349101156395</v>
      </c>
      <c r="O382" s="165">
        <f ca="1">P348</f>
        <v>2034.2896017730648</v>
      </c>
      <c r="P382" s="165">
        <f t="shared" ref="P382:P407" ca="1" si="59">O382*N382</f>
        <v>2049.4143621114276</v>
      </c>
    </row>
    <row r="383" spans="1:16" s="165" customFormat="1" x14ac:dyDescent="0.3">
      <c r="A383" s="165">
        <f>MATCH(Calcs!B383,Paste_Report_Here!$1:$1,0) -1</f>
        <v>6</v>
      </c>
      <c r="B383" s="165" t="s">
        <v>125</v>
      </c>
      <c r="C383" s="166">
        <f ca="1">RANK(N383,N382:N406)</f>
        <v>4</v>
      </c>
      <c r="D383" s="166">
        <f ca="1">RANK(P383,P382:P406)</f>
        <v>13</v>
      </c>
      <c r="E383" s="189" t="s">
        <v>153</v>
      </c>
      <c r="F383" s="179">
        <f ca="1">COUNTIFS(Paste_Report_Here!$E$1:$E$2000,E376, OFFSET(Paste_Report_Here!$A$1,0,$A383,2000,1),F$75)</f>
        <v>0</v>
      </c>
      <c r="G383" s="180">
        <f ca="1">COUNTIFS(Paste_Report_Here!$E$1:$E$2000,E376, OFFSET(Paste_Report_Here!$A$1,0,$A383,2000,1),G$75)</f>
        <v>1</v>
      </c>
      <c r="H383" s="180">
        <f ca="1">COUNTIFS(Paste_Report_Here!$E$1:$E$2000,E376, OFFSET(Paste_Report_Here!$A$1,0,$A383,2000,1),H$75)</f>
        <v>21</v>
      </c>
      <c r="I383" s="180">
        <f ca="1">COUNTIFS(Paste_Report_Here!$E$1:$E$2000,E376, OFFSET(Paste_Report_Here!$A$1,0,$A383,2000,1),I$75)</f>
        <v>4</v>
      </c>
      <c r="J383" s="180">
        <f ca="1">COUNTIFS(Paste_Report_Here!$E$1:$E$2000,E376, OFFSET(Paste_Report_Here!$A$1,0,$A383,2000,1),J$75)</f>
        <v>1</v>
      </c>
      <c r="K383" s="181">
        <f ca="1">COUNTIFS(Paste_Report_Here!$E$1:$E$2000,E376, OFFSET(Paste_Report_Here!$A$1,0,$A383,2000,1),K$75)</f>
        <v>0</v>
      </c>
      <c r="L383" s="166">
        <f t="shared" ca="1" si="57"/>
        <v>27</v>
      </c>
      <c r="M383" s="183">
        <f ca="1">SUMPRODUCT(F383:K383,F380:K380)/L:L</f>
        <v>7.4074074074074077E-3</v>
      </c>
      <c r="N383" s="166">
        <f t="shared" ca="1" si="58"/>
        <v>1.0074349101156395</v>
      </c>
      <c r="O383" s="165">
        <f t="shared" ref="O383:O407" ca="1" si="60">P349</f>
        <v>2180.0250825364164</v>
      </c>
      <c r="P383" s="165">
        <f t="shared" ca="1" si="59"/>
        <v>2196.2333730749142</v>
      </c>
    </row>
    <row r="384" spans="1:16" s="165" customFormat="1" x14ac:dyDescent="0.3">
      <c r="A384" s="165">
        <f>MATCH(Calcs!B384,Paste_Report_Here!$1:$1,0) -1</f>
        <v>7</v>
      </c>
      <c r="B384" s="165" t="s">
        <v>126</v>
      </c>
      <c r="C384" s="166">
        <f ca="1">RANK(N384,N382:N406)</f>
        <v>15</v>
      </c>
      <c r="D384" s="166">
        <f ca="1">RANK(P384,P382:P406)</f>
        <v>6</v>
      </c>
      <c r="E384" s="189" t="s">
        <v>154</v>
      </c>
      <c r="F384" s="179">
        <f ca="1">COUNTIFS(Paste_Report_Here!$E$1:$E$2000,E376, OFFSET(Paste_Report_Here!$A$1,0,$A384,2000,1),F$75)</f>
        <v>0</v>
      </c>
      <c r="G384" s="180">
        <f ca="1">COUNTIFS(Paste_Report_Here!$E$1:$E$2000,E376, OFFSET(Paste_Report_Here!$A$1,0,$A384,2000,1),G$75)</f>
        <v>3</v>
      </c>
      <c r="H384" s="180">
        <f ca="1">COUNTIFS(Paste_Report_Here!$E$1:$E$2000,E376, OFFSET(Paste_Report_Here!$A$1,0,$A384,2000,1),H$75)</f>
        <v>18</v>
      </c>
      <c r="I384" s="180">
        <f ca="1">COUNTIFS(Paste_Report_Here!$E$1:$E$2000,E376, OFFSET(Paste_Report_Here!$A$1,0,$A384,2000,1),I$75)</f>
        <v>6</v>
      </c>
      <c r="J384" s="180">
        <f ca="1">COUNTIFS(Paste_Report_Here!$E$1:$E$2000,E376, OFFSET(Paste_Report_Here!$A$1,0,$A384,2000,1),J$75)</f>
        <v>0</v>
      </c>
      <c r="K384" s="181">
        <f ca="1">COUNTIFS(Paste_Report_Here!$E$1:$E$2000,E376, OFFSET(Paste_Report_Here!$A$1,0,$A384,2000,1),K$75)</f>
        <v>0</v>
      </c>
      <c r="L384" s="166">
        <f t="shared" ca="1" si="57"/>
        <v>27</v>
      </c>
      <c r="M384" s="183">
        <f ca="1">SUMPRODUCT(F384:K384,F380:K380)/L:L</f>
        <v>0</v>
      </c>
      <c r="N384" s="166">
        <f t="shared" ca="1" si="58"/>
        <v>1</v>
      </c>
      <c r="O384" s="165">
        <f t="shared" ca="1" si="60"/>
        <v>2822.9504375582001</v>
      </c>
      <c r="P384" s="165">
        <f t="shared" ca="1" si="59"/>
        <v>2822.9504375582001</v>
      </c>
    </row>
    <row r="385" spans="1:16" s="165" customFormat="1" x14ac:dyDescent="0.3">
      <c r="A385" s="165">
        <f>MATCH(Calcs!B385,Paste_Report_Here!$1:$1,0) -1</f>
        <v>8</v>
      </c>
      <c r="B385" s="165" t="s">
        <v>127</v>
      </c>
      <c r="C385" s="166">
        <f ca="1">RANK(N385,N382:N406)</f>
        <v>4</v>
      </c>
      <c r="D385" s="166">
        <f ca="1">RANK(P385,P382:P406)</f>
        <v>8</v>
      </c>
      <c r="E385" s="189" t="s">
        <v>155</v>
      </c>
      <c r="F385" s="179">
        <f ca="1">COUNTIFS(Paste_Report_Here!$E$1:$E$2000,E376, OFFSET(Paste_Report_Here!$A$1,0,$A385,2000,1),F$75)</f>
        <v>0</v>
      </c>
      <c r="G385" s="180">
        <f ca="1">COUNTIFS(Paste_Report_Here!$E$1:$E$2000,E376, OFFSET(Paste_Report_Here!$A$1,0,$A385,2000,1),G$75)</f>
        <v>2</v>
      </c>
      <c r="H385" s="180">
        <f ca="1">COUNTIFS(Paste_Report_Here!$E$1:$E$2000,E376, OFFSET(Paste_Report_Here!$A$1,0,$A385,2000,1),H$75)</f>
        <v>19</v>
      </c>
      <c r="I385" s="180">
        <f ca="1">COUNTIFS(Paste_Report_Here!$E$1:$E$2000,E376, OFFSET(Paste_Report_Here!$A$1,0,$A385,2000,1),I$75)</f>
        <v>5</v>
      </c>
      <c r="J385" s="180">
        <f ca="1">COUNTIFS(Paste_Report_Here!$E$1:$E$2000,E376, OFFSET(Paste_Report_Here!$A$1,0,$A385,2000,1),J$75)</f>
        <v>1</v>
      </c>
      <c r="K385" s="181">
        <f ca="1">COUNTIFS(Paste_Report_Here!$E$1:$E$2000,E376, OFFSET(Paste_Report_Here!$A$1,0,$A385,2000,1),K$75)</f>
        <v>0</v>
      </c>
      <c r="L385" s="166">
        <f t="shared" ca="1" si="57"/>
        <v>27</v>
      </c>
      <c r="M385" s="183">
        <f ca="1">SUMPRODUCT(F385:K385,F380:K380)/L:L</f>
        <v>7.4074074074074077E-3</v>
      </c>
      <c r="N385" s="166">
        <f t="shared" ca="1" si="58"/>
        <v>1.0074349101156395</v>
      </c>
      <c r="O385" s="165">
        <f t="shared" ca="1" si="60"/>
        <v>2499.3257563163688</v>
      </c>
      <c r="P385" s="165">
        <f t="shared" ca="1" si="59"/>
        <v>2517.9080186642836</v>
      </c>
    </row>
    <row r="386" spans="1:16" s="165" customFormat="1" x14ac:dyDescent="0.3">
      <c r="A386" s="165">
        <f>MATCH(Calcs!B386,Paste_Report_Here!$1:$1,0) -1</f>
        <v>9</v>
      </c>
      <c r="B386" s="165" t="s">
        <v>214</v>
      </c>
      <c r="C386" s="166">
        <f ca="1">RANK(N386,N382:N406)</f>
        <v>4</v>
      </c>
      <c r="D386" s="166">
        <f ca="1">RANK(P386,P382:P406)</f>
        <v>5</v>
      </c>
      <c r="E386" s="189" t="s">
        <v>156</v>
      </c>
      <c r="F386" s="179">
        <f ca="1">COUNTIFS(Paste_Report_Here!$E$1:$E$2000,E376, OFFSET(Paste_Report_Here!$A$1,0,$A386,2000,1),F$75)</f>
        <v>0</v>
      </c>
      <c r="G386" s="180">
        <f ca="1">COUNTIFS(Paste_Report_Here!$E$1:$E$2000,E376, OFFSET(Paste_Report_Here!$A$1,0,$A386,2000,1),G$75)</f>
        <v>1</v>
      </c>
      <c r="H386" s="180">
        <f ca="1">COUNTIFS(Paste_Report_Here!$E$1:$E$2000,E376, OFFSET(Paste_Report_Here!$A$1,0,$A386,2000,1),H$75)</f>
        <v>17</v>
      </c>
      <c r="I386" s="180">
        <f ca="1">COUNTIFS(Paste_Report_Here!$E$1:$E$2000,E376, OFFSET(Paste_Report_Here!$A$1,0,$A386,2000,1),I$75)</f>
        <v>7</v>
      </c>
      <c r="J386" s="180">
        <f ca="1">COUNTIFS(Paste_Report_Here!$E$1:$E$2000,E376, OFFSET(Paste_Report_Here!$A$1,0,$A386,2000,1),J$75)</f>
        <v>1</v>
      </c>
      <c r="K386" s="181">
        <f ca="1">COUNTIFS(Paste_Report_Here!$E$1:$E$2000,E376, OFFSET(Paste_Report_Here!$A$1,0,$A386,2000,1),K$75)</f>
        <v>1</v>
      </c>
      <c r="L386" s="166">
        <f t="shared" ca="1" si="57"/>
        <v>27</v>
      </c>
      <c r="M386" s="183">
        <f ca="1">SUMPRODUCT(F386:K386,F380:K380)/L:L</f>
        <v>7.4074074074074077E-3</v>
      </c>
      <c r="N386" s="166">
        <f t="shared" ca="1" si="58"/>
        <v>1.0074349101156395</v>
      </c>
      <c r="O386" s="165">
        <f t="shared" ca="1" si="60"/>
        <v>3430.0531759240307</v>
      </c>
      <c r="P386" s="165">
        <f t="shared" ca="1" si="59"/>
        <v>3455.5553129788896</v>
      </c>
    </row>
    <row r="387" spans="1:16" s="165" customFormat="1" x14ac:dyDescent="0.3">
      <c r="A387" s="165">
        <f>MATCH(Calcs!B387,Paste_Report_Here!$1:$1,0) -1</f>
        <v>10</v>
      </c>
      <c r="B387" s="165" t="s">
        <v>128</v>
      </c>
      <c r="C387" s="166">
        <f ca="1">RANK(N387,N382:N406)</f>
        <v>4</v>
      </c>
      <c r="D387" s="166">
        <f ca="1">RANK(P387,P382:P406)</f>
        <v>21</v>
      </c>
      <c r="E387" s="189" t="s">
        <v>157</v>
      </c>
      <c r="F387" s="179">
        <f ca="1">COUNTIFS(Paste_Report_Here!$E$1:$E$2000,E376, OFFSET(Paste_Report_Here!$A$1,0,$A387,2000,1),F$75)</f>
        <v>0</v>
      </c>
      <c r="G387" s="180">
        <f ca="1">COUNTIFS(Paste_Report_Here!$E$1:$E$2000,E376, OFFSET(Paste_Report_Here!$A$1,0,$A387,2000,1),G$75)</f>
        <v>2</v>
      </c>
      <c r="H387" s="180">
        <f ca="1">COUNTIFS(Paste_Report_Here!$E$1:$E$2000,E376, OFFSET(Paste_Report_Here!$A$1,0,$A387,2000,1),H$75)</f>
        <v>21</v>
      </c>
      <c r="I387" s="180">
        <f ca="1">COUNTIFS(Paste_Report_Here!$E$1:$E$2000,E376, OFFSET(Paste_Report_Here!$A$1,0,$A387,2000,1),I$75)</f>
        <v>3</v>
      </c>
      <c r="J387" s="180">
        <f ca="1">COUNTIFS(Paste_Report_Here!$E$1:$E$2000,E376, OFFSET(Paste_Report_Here!$A$1,0,$A387,2000,1),J$75)</f>
        <v>1</v>
      </c>
      <c r="K387" s="181">
        <f ca="1">COUNTIFS(Paste_Report_Here!$E$1:$E$2000,E376, OFFSET(Paste_Report_Here!$A$1,0,$A387,2000,1),K$75)</f>
        <v>0</v>
      </c>
      <c r="L387" s="166">
        <f t="shared" ca="1" si="57"/>
        <v>27</v>
      </c>
      <c r="M387" s="183">
        <f ca="1">SUMPRODUCT(F387:K387,F380:K380)/L:L</f>
        <v>7.4074074074074077E-3</v>
      </c>
      <c r="N387" s="166">
        <f t="shared" ca="1" si="58"/>
        <v>1.0074349101156395</v>
      </c>
      <c r="O387" s="165">
        <f t="shared" ca="1" si="60"/>
        <v>1588.1962749345146</v>
      </c>
      <c r="P387" s="165">
        <f t="shared" ca="1" si="59"/>
        <v>1600.0043714846461</v>
      </c>
    </row>
    <row r="388" spans="1:16" s="165" customFormat="1" x14ac:dyDescent="0.3">
      <c r="A388" s="165">
        <f>MATCH(Calcs!B388,Paste_Report_Here!$1:$1,0) -1</f>
        <v>11</v>
      </c>
      <c r="B388" s="165" t="s">
        <v>129</v>
      </c>
      <c r="C388" s="166">
        <f ca="1">RANK(N388,N382:N406)</f>
        <v>4</v>
      </c>
      <c r="D388" s="166">
        <f ca="1">RANK(P388,P382:P406)</f>
        <v>9</v>
      </c>
      <c r="E388" s="189" t="s">
        <v>158</v>
      </c>
      <c r="F388" s="179">
        <f ca="1">COUNTIFS(Paste_Report_Here!$E$1:$E$2000,E376, OFFSET(Paste_Report_Here!$A$1,0,$A388,2000,1),F$75)</f>
        <v>0</v>
      </c>
      <c r="G388" s="180">
        <f ca="1">COUNTIFS(Paste_Report_Here!$E$1:$E$2000,E376, OFFSET(Paste_Report_Here!$A$1,0,$A388,2000,1),G$75)</f>
        <v>3</v>
      </c>
      <c r="H388" s="180">
        <f ca="1">COUNTIFS(Paste_Report_Here!$E$1:$E$2000,E376, OFFSET(Paste_Report_Here!$A$1,0,$A388,2000,1),H$75)</f>
        <v>22</v>
      </c>
      <c r="I388" s="180">
        <f ca="1">COUNTIFS(Paste_Report_Here!$E$1:$E$2000,E376, OFFSET(Paste_Report_Here!$A$1,0,$A388,2000,1),I$75)</f>
        <v>1</v>
      </c>
      <c r="J388" s="180">
        <f ca="1">COUNTIFS(Paste_Report_Here!$E$1:$E$2000,E376, OFFSET(Paste_Report_Here!$A$1,0,$A388,2000,1),J$75)</f>
        <v>1</v>
      </c>
      <c r="K388" s="181">
        <f ca="1">COUNTIFS(Paste_Report_Here!$E$1:$E$2000,E376, OFFSET(Paste_Report_Here!$A$1,0,$A388,2000,1),K$75)</f>
        <v>0</v>
      </c>
      <c r="L388" s="166">
        <f t="shared" ca="1" si="57"/>
        <v>27</v>
      </c>
      <c r="M388" s="183">
        <f ca="1">SUMPRODUCT(F388:K388,F380:K380)/L:L</f>
        <v>7.4074074074074077E-3</v>
      </c>
      <c r="N388" s="166">
        <f t="shared" ca="1" si="58"/>
        <v>1.0074349101156395</v>
      </c>
      <c r="O388" s="165">
        <f t="shared" ca="1" si="60"/>
        <v>2463.2245673998327</v>
      </c>
      <c r="P388" s="165">
        <f t="shared" ca="1" si="59"/>
        <v>2481.5384206530853</v>
      </c>
    </row>
    <row r="389" spans="1:16" s="165" customFormat="1" x14ac:dyDescent="0.3">
      <c r="A389" s="165">
        <f>MATCH(Calcs!B389,Paste_Report_Here!$1:$1,0) -1</f>
        <v>12</v>
      </c>
      <c r="B389" s="165" t="s">
        <v>130</v>
      </c>
      <c r="C389" s="166">
        <f ca="1">RANK(N389,N382:N406)</f>
        <v>15</v>
      </c>
      <c r="D389" s="166">
        <f ca="1">RANK(P389,P382:P406)</f>
        <v>12</v>
      </c>
      <c r="E389" s="189" t="s">
        <v>159</v>
      </c>
      <c r="F389" s="179">
        <f ca="1">COUNTIFS(Paste_Report_Here!$E$1:$E$2000,E376, OFFSET(Paste_Report_Here!$A$1,0,$A389,2000,1),F$75)</f>
        <v>0</v>
      </c>
      <c r="G389" s="180">
        <f ca="1">COUNTIFS(Paste_Report_Here!$E$1:$E$2000,E376, OFFSET(Paste_Report_Here!$A$1,0,$A389,2000,1),G$75)</f>
        <v>1</v>
      </c>
      <c r="H389" s="180">
        <f ca="1">COUNTIFS(Paste_Report_Here!$E$1:$E$2000,E376, OFFSET(Paste_Report_Here!$A$1,0,$A389,2000,1),H$75)</f>
        <v>19</v>
      </c>
      <c r="I389" s="180">
        <f ca="1">COUNTIFS(Paste_Report_Here!$E$1:$E$2000,E376, OFFSET(Paste_Report_Here!$A$1,0,$A389,2000,1),I$75)</f>
        <v>7</v>
      </c>
      <c r="J389" s="180">
        <f ca="1">COUNTIFS(Paste_Report_Here!$E$1:$E$2000,E376, OFFSET(Paste_Report_Here!$A$1,0,$A389,2000,1),J$75)</f>
        <v>0</v>
      </c>
      <c r="K389" s="181">
        <f ca="1">COUNTIFS(Paste_Report_Here!$E$1:$E$2000,E376, OFFSET(Paste_Report_Here!$A$1,0,$A389,2000,1),K$75)</f>
        <v>0</v>
      </c>
      <c r="L389" s="166">
        <f t="shared" ca="1" si="57"/>
        <v>27</v>
      </c>
      <c r="M389" s="183">
        <f ca="1">SUMPRODUCT(F389:K389,F380:K380)/L:L</f>
        <v>0</v>
      </c>
      <c r="N389" s="166">
        <f t="shared" ca="1" si="58"/>
        <v>1</v>
      </c>
      <c r="O389" s="165">
        <f t="shared" ca="1" si="60"/>
        <v>2307.1394281479838</v>
      </c>
      <c r="P389" s="165">
        <f t="shared" ca="1" si="59"/>
        <v>2307.1394281479838</v>
      </c>
    </row>
    <row r="390" spans="1:16" s="165" customFormat="1" x14ac:dyDescent="0.3">
      <c r="A390" s="165">
        <f>MATCH(Calcs!B390,Paste_Report_Here!$1:$1,0) -1</f>
        <v>13</v>
      </c>
      <c r="B390" s="165" t="s">
        <v>131</v>
      </c>
      <c r="C390" s="166">
        <f ca="1">RANK(N390,N382:N406)</f>
        <v>15</v>
      </c>
      <c r="D390" s="166">
        <f ca="1">RANK(P390,P382:P406)</f>
        <v>4</v>
      </c>
      <c r="E390" s="189" t="s">
        <v>160</v>
      </c>
      <c r="F390" s="179">
        <f ca="1">COUNTIFS(Paste_Report_Here!$E$1:$E$2000,E376, OFFSET(Paste_Report_Here!$A$1,0,$A390,2000,1),F$75)</f>
        <v>0</v>
      </c>
      <c r="G390" s="180">
        <f ca="1">COUNTIFS(Paste_Report_Here!$E$1:$E$2000,E376, OFFSET(Paste_Report_Here!$A$1,0,$A390,2000,1),G$75)</f>
        <v>2</v>
      </c>
      <c r="H390" s="180">
        <f ca="1">COUNTIFS(Paste_Report_Here!$E$1:$E$2000,E376, OFFSET(Paste_Report_Here!$A$1,0,$A390,2000,1),H$75)</f>
        <v>15</v>
      </c>
      <c r="I390" s="180">
        <f ca="1">COUNTIFS(Paste_Report_Here!$E$1:$E$2000,E376, OFFSET(Paste_Report_Here!$A$1,0,$A390,2000,1),I$75)</f>
        <v>10</v>
      </c>
      <c r="J390" s="180">
        <f ca="1">COUNTIFS(Paste_Report_Here!$E$1:$E$2000,E376, OFFSET(Paste_Report_Here!$A$1,0,$A390,2000,1),J$75)</f>
        <v>0</v>
      </c>
      <c r="K390" s="181">
        <f ca="1">COUNTIFS(Paste_Report_Here!$E$1:$E$2000,E376, OFFSET(Paste_Report_Here!$A$1,0,$A390,2000,1),K$75)</f>
        <v>0</v>
      </c>
      <c r="L390" s="166">
        <f t="shared" ca="1" si="57"/>
        <v>27</v>
      </c>
      <c r="M390" s="183">
        <f ca="1">SUMPRODUCT(F390:K390,F380:K380)/L:L</f>
        <v>0</v>
      </c>
      <c r="N390" s="166">
        <f t="shared" ca="1" si="58"/>
        <v>1</v>
      </c>
      <c r="O390" s="165">
        <f t="shared" ca="1" si="60"/>
        <v>3516.7765482121104</v>
      </c>
      <c r="P390" s="165">
        <f t="shared" ca="1" si="59"/>
        <v>3516.7765482121104</v>
      </c>
    </row>
    <row r="391" spans="1:16" s="165" customFormat="1" x14ac:dyDescent="0.3">
      <c r="A391" s="165">
        <f>MATCH(Calcs!B391,Paste_Report_Here!$1:$1,0) -1</f>
        <v>14</v>
      </c>
      <c r="B391" s="165" t="s">
        <v>132</v>
      </c>
      <c r="C391" s="166">
        <f ca="1">RANK(N391,N382:N406)</f>
        <v>2</v>
      </c>
      <c r="D391" s="166">
        <f ca="1">RANK(P391,P382:P406)</f>
        <v>19</v>
      </c>
      <c r="E391" s="189" t="s">
        <v>161</v>
      </c>
      <c r="F391" s="179">
        <f ca="1">COUNTIFS(Paste_Report_Here!$E$1:$E$2000,E376, OFFSET(Paste_Report_Here!$A$1,0,$A391,2000,1),F$75)</f>
        <v>0</v>
      </c>
      <c r="G391" s="180">
        <f ca="1">COUNTIFS(Paste_Report_Here!$E$1:$E$2000,E376, OFFSET(Paste_Report_Here!$A$1,0,$A391,2000,1),G$75)</f>
        <v>1</v>
      </c>
      <c r="H391" s="180">
        <f ca="1">COUNTIFS(Paste_Report_Here!$E$1:$E$2000,E376, OFFSET(Paste_Report_Here!$A$1,0,$A391,2000,1),H$75)</f>
        <v>17</v>
      </c>
      <c r="I391" s="180">
        <f ca="1">COUNTIFS(Paste_Report_Here!$E$1:$E$2000,E376, OFFSET(Paste_Report_Here!$A$1,0,$A391,2000,1),I$75)</f>
        <v>7</v>
      </c>
      <c r="J391" s="180">
        <f ca="1">COUNTIFS(Paste_Report_Here!$E$1:$E$2000,E376, OFFSET(Paste_Report_Here!$A$1,0,$A391,2000,1),J$75)</f>
        <v>2</v>
      </c>
      <c r="K391" s="181">
        <f ca="1">COUNTIFS(Paste_Report_Here!$E$1:$E$2000,E376, OFFSET(Paste_Report_Here!$A$1,0,$A391,2000,1),K$75)</f>
        <v>0</v>
      </c>
      <c r="L391" s="166">
        <f t="shared" ca="1" si="57"/>
        <v>27</v>
      </c>
      <c r="M391" s="183">
        <f ca="1">SUMPRODUCT(F391:K391,F380:K380)/L:L</f>
        <v>1.4814814814814815E-2</v>
      </c>
      <c r="N391" s="166">
        <f t="shared" ca="1" si="58"/>
        <v>1.0149250981197067</v>
      </c>
      <c r="O391" s="165">
        <f t="shared" ca="1" si="60"/>
        <v>1894.7849650790795</v>
      </c>
      <c r="P391" s="165">
        <f t="shared" ca="1" si="59"/>
        <v>1923.0648165986297</v>
      </c>
    </row>
    <row r="392" spans="1:16" s="165" customFormat="1" x14ac:dyDescent="0.3">
      <c r="A392" s="165">
        <f>MATCH(Calcs!B392,Paste_Report_Here!$1:$1,0) -1</f>
        <v>15</v>
      </c>
      <c r="B392" s="165" t="s">
        <v>133</v>
      </c>
      <c r="C392" s="166">
        <f ca="1">RANK(N392,N381:N405)</f>
        <v>4</v>
      </c>
      <c r="D392" s="166">
        <f ca="1">RANK(P392,P382:P406)</f>
        <v>7</v>
      </c>
      <c r="E392" s="189" t="s">
        <v>162</v>
      </c>
      <c r="F392" s="179">
        <f ca="1">COUNTIFS(Paste_Report_Here!$E$1:$E$2000,E376, OFFSET(Paste_Report_Here!$A$1,0,$A392,2000,1),F$75)</f>
        <v>0</v>
      </c>
      <c r="G392" s="180">
        <f ca="1">COUNTIFS(Paste_Report_Here!$E$1:$E$2000,E376, OFFSET(Paste_Report_Here!$A$1,0,$A392,2000,1),G$75)</f>
        <v>3</v>
      </c>
      <c r="H392" s="180">
        <f ca="1">COUNTIFS(Paste_Report_Here!$E$1:$E$2000,E376, OFFSET(Paste_Report_Here!$A$1,0,$A392,2000,1),H$75)</f>
        <v>15</v>
      </c>
      <c r="I392" s="180">
        <f ca="1">COUNTIFS(Paste_Report_Here!$E$1:$E$2000,E376, OFFSET(Paste_Report_Here!$A$1,0,$A392,2000,1),I$75)</f>
        <v>8</v>
      </c>
      <c r="J392" s="180">
        <f ca="1">COUNTIFS(Paste_Report_Here!$E$1:$E$2000,E376, OFFSET(Paste_Report_Here!$A$1,0,$A392,2000,1),J$75)</f>
        <v>1</v>
      </c>
      <c r="K392" s="181">
        <f ca="1">COUNTIFS(Paste_Report_Here!$E$1:$E$2000,E376, OFFSET(Paste_Report_Here!$A$1,0,$A392,2000,1),K$75)</f>
        <v>0</v>
      </c>
      <c r="L392" s="166">
        <f t="shared" ca="1" si="57"/>
        <v>27</v>
      </c>
      <c r="M392" s="183">
        <f ca="1">SUMPRODUCT(F392:K392,F380:K380)/L:L</f>
        <v>7.4074074074074077E-3</v>
      </c>
      <c r="N392" s="166">
        <f t="shared" ca="1" si="58"/>
        <v>1.0074349101156395</v>
      </c>
      <c r="O392" s="165">
        <f t="shared" ca="1" si="60"/>
        <v>2747.1505705391796</v>
      </c>
      <c r="P392" s="165">
        <f t="shared" ca="1" si="59"/>
        <v>2767.575388105266</v>
      </c>
    </row>
    <row r="393" spans="1:16" s="165" customFormat="1" x14ac:dyDescent="0.3">
      <c r="A393" s="165">
        <f>MATCH(Calcs!B393,Paste_Report_Here!$1:$1,0) -1</f>
        <v>16</v>
      </c>
      <c r="B393" s="165" t="s">
        <v>134</v>
      </c>
      <c r="C393" s="166">
        <f ca="1">RANK(N393,N382:N406)</f>
        <v>15</v>
      </c>
      <c r="D393" s="166">
        <f ca="1">RANK(P393,P382:P406)</f>
        <v>24</v>
      </c>
      <c r="E393" s="189" t="s">
        <v>163</v>
      </c>
      <c r="F393" s="179">
        <f ca="1">COUNTIFS(Paste_Report_Here!$E$1:$E$2000,E376, OFFSET(Paste_Report_Here!$A$1,0,$A393,2000,1),F$75)</f>
        <v>0</v>
      </c>
      <c r="G393" s="180">
        <f ca="1">COUNTIFS(Paste_Report_Here!$E$1:$E$2000,E376, OFFSET(Paste_Report_Here!$A$1,0,$A393,2000,1),G$75)</f>
        <v>3</v>
      </c>
      <c r="H393" s="180">
        <f ca="1">COUNTIFS(Paste_Report_Here!$E$1:$E$2000,E376, OFFSET(Paste_Report_Here!$A$1,0,$A393,2000,1),H$75)</f>
        <v>23</v>
      </c>
      <c r="I393" s="180">
        <f ca="1">COUNTIFS(Paste_Report_Here!$E$1:$E$2000,E376, OFFSET(Paste_Report_Here!$A$1,0,$A393,2000,1),I$75)</f>
        <v>1</v>
      </c>
      <c r="J393" s="180">
        <f ca="1">COUNTIFS(Paste_Report_Here!$E$1:$E$2000,E376, OFFSET(Paste_Report_Here!$A$1,0,$A393,2000,1),J$75)</f>
        <v>0</v>
      </c>
      <c r="K393" s="181">
        <f ca="1">COUNTIFS(Paste_Report_Here!$E$1:$E$2000,E376, OFFSET(Paste_Report_Here!$A$1,0,$A393,2000,1),K$75)</f>
        <v>0</v>
      </c>
      <c r="L393" s="166">
        <f t="shared" ca="1" si="57"/>
        <v>27</v>
      </c>
      <c r="M393" s="183">
        <f ca="1">SUMPRODUCT(F393:K393,F380:K380)/L:L</f>
        <v>0</v>
      </c>
      <c r="N393" s="166">
        <f t="shared" ca="1" si="58"/>
        <v>1</v>
      </c>
      <c r="O393" s="165">
        <f t="shared" ca="1" si="60"/>
        <v>1173.2454452500563</v>
      </c>
      <c r="P393" s="165">
        <f t="shared" ca="1" si="59"/>
        <v>1173.2454452500563</v>
      </c>
    </row>
    <row r="394" spans="1:16" s="165" customFormat="1" x14ac:dyDescent="0.3">
      <c r="A394" s="165">
        <f>MATCH(Calcs!B394,Paste_Report_Here!$1:$1,0) -1</f>
        <v>17</v>
      </c>
      <c r="B394" s="165" t="s">
        <v>135</v>
      </c>
      <c r="C394" s="166">
        <f ca="1">RANK(N394,N382:N406)</f>
        <v>15</v>
      </c>
      <c r="D394" s="166">
        <f ca="1">RANK(P394,P382:P406)</f>
        <v>20</v>
      </c>
      <c r="E394" s="189" t="s">
        <v>164</v>
      </c>
      <c r="F394" s="179">
        <f ca="1">COUNTIFS(Paste_Report_Here!$E$1:$E$2000,E376, OFFSET(Paste_Report_Here!$A$1,0,$A394,2000,1),F$75)</f>
        <v>0</v>
      </c>
      <c r="G394" s="180">
        <f ca="1">COUNTIFS(Paste_Report_Here!$E$1:$E$2000,E376, OFFSET(Paste_Report_Here!$A$1,0,$A394,2000,1),G$75)</f>
        <v>2</v>
      </c>
      <c r="H394" s="180">
        <f ca="1">COUNTIFS(Paste_Report_Here!$E$1:$E$2000,E376, OFFSET(Paste_Report_Here!$A$1,0,$A394,2000,1),H$75)</f>
        <v>21</v>
      </c>
      <c r="I394" s="180">
        <f ca="1">COUNTIFS(Paste_Report_Here!$E$1:$E$2000,E376, OFFSET(Paste_Report_Here!$A$1,0,$A394,2000,1),I$75)</f>
        <v>4</v>
      </c>
      <c r="J394" s="180">
        <f ca="1">COUNTIFS(Paste_Report_Here!$E$1:$E$2000,E376, OFFSET(Paste_Report_Here!$A$1,0,$A394,2000,1),J$75)</f>
        <v>0</v>
      </c>
      <c r="K394" s="181">
        <f ca="1">COUNTIFS(Paste_Report_Here!$E$1:$E$2000,E376, OFFSET(Paste_Report_Here!$A$1,0,$A394,2000,1),K$75)</f>
        <v>0</v>
      </c>
      <c r="L394" s="166">
        <f t="shared" ca="1" si="57"/>
        <v>27</v>
      </c>
      <c r="M394" s="183">
        <f ca="1">SUMPRODUCT(F394:K394,F380:K380)/L:L</f>
        <v>0</v>
      </c>
      <c r="N394" s="166">
        <f t="shared" ca="1" si="58"/>
        <v>1</v>
      </c>
      <c r="O394" s="165">
        <f t="shared" ca="1" si="60"/>
        <v>1796.0859583512529</v>
      </c>
      <c r="P394" s="165">
        <f t="shared" ca="1" si="59"/>
        <v>1796.0859583512529</v>
      </c>
    </row>
    <row r="395" spans="1:16" s="165" customFormat="1" x14ac:dyDescent="0.3">
      <c r="A395" s="165">
        <f>MATCH(Calcs!B395,Paste_Report_Here!$1:$1,0) -1</f>
        <v>18</v>
      </c>
      <c r="B395" s="165" t="s">
        <v>136</v>
      </c>
      <c r="C395" s="166">
        <f ca="1">RANK(N395,N382:N406)</f>
        <v>15</v>
      </c>
      <c r="D395" s="166">
        <f ca="1">RANK(P395,P382:P406)</f>
        <v>3</v>
      </c>
      <c r="E395" s="189" t="s">
        <v>165</v>
      </c>
      <c r="F395" s="179">
        <f ca="1">COUNTIFS(Paste_Report_Here!$E$1:$E$2000,E376, OFFSET(Paste_Report_Here!$A$1,0,$A395,2000,1),F$75)</f>
        <v>0</v>
      </c>
      <c r="G395" s="180">
        <f ca="1">COUNTIFS(Paste_Report_Here!$E$1:$E$2000,E376, OFFSET(Paste_Report_Here!$A$1,0,$A395,2000,1),G$75)</f>
        <v>0</v>
      </c>
      <c r="H395" s="180">
        <f ca="1">COUNTIFS(Paste_Report_Here!$E$1:$E$2000,E376, OFFSET(Paste_Report_Here!$A$1,0,$A395,2000,1),H$75)</f>
        <v>21</v>
      </c>
      <c r="I395" s="180">
        <f ca="1">COUNTIFS(Paste_Report_Here!$E$1:$E$2000,E376, OFFSET(Paste_Report_Here!$A$1,0,$A395,2000,1),I$75)</f>
        <v>6</v>
      </c>
      <c r="J395" s="180">
        <f ca="1">COUNTIFS(Paste_Report_Here!$E$1:$E$2000,E376, OFFSET(Paste_Report_Here!$A$1,0,$A395,2000,1),J$75)</f>
        <v>0</v>
      </c>
      <c r="K395" s="181">
        <f ca="1">COUNTIFS(Paste_Report_Here!$E$1:$E$2000,E376, OFFSET(Paste_Report_Here!$A$1,0,$A395,2000,1),K$75)</f>
        <v>0</v>
      </c>
      <c r="L395" s="166">
        <f t="shared" ca="1" si="57"/>
        <v>27</v>
      </c>
      <c r="M395" s="183">
        <f ca="1">SUMPRODUCT(F395:K395,F380:K380)/L:L</f>
        <v>0</v>
      </c>
      <c r="N395" s="166">
        <f t="shared" ca="1" si="58"/>
        <v>1</v>
      </c>
      <c r="O395" s="165">
        <f t="shared" ca="1" si="60"/>
        <v>3624.3710764875927</v>
      </c>
      <c r="P395" s="165">
        <f t="shared" ca="1" si="59"/>
        <v>3624.3710764875927</v>
      </c>
    </row>
    <row r="396" spans="1:16" s="165" customFormat="1" x14ac:dyDescent="0.3">
      <c r="A396" s="165">
        <f>MATCH(Calcs!B396,Paste_Report_Here!$1:$1,0) -1</f>
        <v>19</v>
      </c>
      <c r="B396" s="165" t="s">
        <v>137</v>
      </c>
      <c r="C396" s="166">
        <f ca="1">RANK(N396,N382:N406)</f>
        <v>4</v>
      </c>
      <c r="D396" s="166">
        <f ca="1">RANK(P396,P382:P406)</f>
        <v>15</v>
      </c>
      <c r="E396" s="189" t="s">
        <v>166</v>
      </c>
      <c r="F396" s="179">
        <f ca="1">COUNTIFS(Paste_Report_Here!$E$1:$E$2000,E376, OFFSET(Paste_Report_Here!$A$1,0,$A396,2000,1),F$75)</f>
        <v>0</v>
      </c>
      <c r="G396" s="180">
        <f ca="1">COUNTIFS(Paste_Report_Here!$E$1:$E$2000,E376, OFFSET(Paste_Report_Here!$A$1,0,$A396,2000,1),G$75)</f>
        <v>1</v>
      </c>
      <c r="H396" s="180">
        <f ca="1">COUNTIFS(Paste_Report_Here!$E$1:$E$2000,E376, OFFSET(Paste_Report_Here!$A$1,0,$A396,2000,1),H$75)</f>
        <v>20</v>
      </c>
      <c r="I396" s="180">
        <f ca="1">COUNTIFS(Paste_Report_Here!$E$1:$E$2000,E376, OFFSET(Paste_Report_Here!$A$1,0,$A396,2000,1),I$75)</f>
        <v>5</v>
      </c>
      <c r="J396" s="180">
        <f ca="1">COUNTIFS(Paste_Report_Here!$E$1:$E$2000,E376, OFFSET(Paste_Report_Here!$A$1,0,$A396,2000,1),J$75)</f>
        <v>1</v>
      </c>
      <c r="K396" s="181">
        <f ca="1">COUNTIFS(Paste_Report_Here!$E$1:$E$2000,E376, OFFSET(Paste_Report_Here!$A$1,0,$A396,2000,1),K$75)</f>
        <v>0</v>
      </c>
      <c r="L396" s="166">
        <f t="shared" ca="1" si="57"/>
        <v>27</v>
      </c>
      <c r="M396" s="183">
        <f ca="1">SUMPRODUCT(F396:K396,F380:K380)/L:L</f>
        <v>7.4074074074074077E-3</v>
      </c>
      <c r="N396" s="166">
        <f t="shared" ca="1" si="58"/>
        <v>1.0074349101156395</v>
      </c>
      <c r="O396" s="165">
        <f t="shared" ca="1" si="60"/>
        <v>2093.0126309194029</v>
      </c>
      <c r="P396" s="165">
        <f t="shared" ca="1" si="59"/>
        <v>2108.5739917011865</v>
      </c>
    </row>
    <row r="397" spans="1:16" s="165" customFormat="1" x14ac:dyDescent="0.3">
      <c r="A397" s="165">
        <f>MATCH(Calcs!B397,Paste_Report_Here!$1:$1,0) -1</f>
        <v>20</v>
      </c>
      <c r="B397" s="165" t="s">
        <v>138</v>
      </c>
      <c r="C397" s="166">
        <f ca="1">RANK(N397,N382:N406)</f>
        <v>4</v>
      </c>
      <c r="D397" s="166">
        <f ca="1">RANK(P397,P382:P406)</f>
        <v>18</v>
      </c>
      <c r="E397" s="189" t="s">
        <v>167</v>
      </c>
      <c r="F397" s="179">
        <f ca="1">COUNTIFS(Paste_Report_Here!$E$1:$E$2000,E376, OFFSET(Paste_Report_Here!$A$1,0,$A397,2000,1),F$75)</f>
        <v>0</v>
      </c>
      <c r="G397" s="180">
        <f ca="1">COUNTIFS(Paste_Report_Here!$E$1:$E$2000,E376, OFFSET(Paste_Report_Here!$A$1,0,$A397,2000,1),G$75)</f>
        <v>2</v>
      </c>
      <c r="H397" s="180">
        <f ca="1">COUNTIFS(Paste_Report_Here!$E$1:$E$2000,E376, OFFSET(Paste_Report_Here!$A$1,0,$A397,2000,1),H$75)</f>
        <v>19</v>
      </c>
      <c r="I397" s="180">
        <f ca="1">COUNTIFS(Paste_Report_Here!$E$1:$E$2000,E376, OFFSET(Paste_Report_Here!$A$1,0,$A397,2000,1),I$75)</f>
        <v>5</v>
      </c>
      <c r="J397" s="180">
        <f ca="1">COUNTIFS(Paste_Report_Here!$E$1:$E$2000,E376, OFFSET(Paste_Report_Here!$A$1,0,$A397,2000,1),J$75)</f>
        <v>1</v>
      </c>
      <c r="K397" s="181">
        <f ca="1">COUNTIFS(Paste_Report_Here!$E$1:$E$2000,E376, OFFSET(Paste_Report_Here!$A$1,0,$A397,2000,1),K$75)</f>
        <v>0</v>
      </c>
      <c r="L397" s="166">
        <f t="shared" ca="1" si="57"/>
        <v>27</v>
      </c>
      <c r="M397" s="183">
        <f ca="1">SUMPRODUCT(F397:K397,F380:K380)/L:L</f>
        <v>7.4074074074074077E-3</v>
      </c>
      <c r="N397" s="166">
        <f t="shared" ca="1" si="58"/>
        <v>1.0074349101156395</v>
      </c>
      <c r="O397" s="165">
        <f t="shared" ca="1" si="60"/>
        <v>1972.0288244479723</v>
      </c>
      <c r="P397" s="165">
        <f t="shared" ca="1" si="59"/>
        <v>1986.690681503193</v>
      </c>
    </row>
    <row r="398" spans="1:16" s="165" customFormat="1" x14ac:dyDescent="0.3">
      <c r="A398" s="165">
        <f>MATCH(Calcs!B398,Paste_Report_Here!$1:$1,0) -1</f>
        <v>21</v>
      </c>
      <c r="B398" s="165" t="s">
        <v>139</v>
      </c>
      <c r="C398" s="166">
        <f ca="1">RANK(N398,N382:N406)</f>
        <v>2</v>
      </c>
      <c r="D398" s="166">
        <f ca="1">RANK(P398,P382:P406)</f>
        <v>14</v>
      </c>
      <c r="E398" s="189" t="s">
        <v>168</v>
      </c>
      <c r="F398" s="179">
        <f ca="1">COUNTIFS(Paste_Report_Here!$E$1:$E$2000,E376, OFFSET(Paste_Report_Here!$A$1,0,$A398,2000,1),F$75)</f>
        <v>0</v>
      </c>
      <c r="G398" s="180">
        <f ca="1">COUNTIFS(Paste_Report_Here!$E$1:$E$2000,E376, OFFSET(Paste_Report_Here!$A$1,0,$A398,2000,1),G$75)</f>
        <v>1</v>
      </c>
      <c r="H398" s="180">
        <f ca="1">COUNTIFS(Paste_Report_Here!$E$1:$E$2000,E376, OFFSET(Paste_Report_Here!$A$1,0,$A398,2000,1),H$75)</f>
        <v>21</v>
      </c>
      <c r="I398" s="180">
        <f ca="1">COUNTIFS(Paste_Report_Here!$E$1:$E$2000,E376, OFFSET(Paste_Report_Here!$A$1,0,$A398,2000,1),I$75)</f>
        <v>3</v>
      </c>
      <c r="J398" s="180">
        <f ca="1">COUNTIFS(Paste_Report_Here!$E$1:$E$2000,E376, OFFSET(Paste_Report_Here!$A$1,0,$A398,2000,1),J$75)</f>
        <v>2</v>
      </c>
      <c r="K398" s="181">
        <f ca="1">COUNTIFS(Paste_Report_Here!$E$1:$E$2000,E376, OFFSET(Paste_Report_Here!$A$1,0,$A398,2000,1),K$75)</f>
        <v>0</v>
      </c>
      <c r="L398" s="166">
        <f t="shared" ca="1" si="57"/>
        <v>27</v>
      </c>
      <c r="M398" s="183">
        <f ca="1">SUMPRODUCT(F398:K398,F380:K380)/L:L</f>
        <v>1.4814814814814815E-2</v>
      </c>
      <c r="N398" s="166">
        <f t="shared" ca="1" si="58"/>
        <v>1.0149250981197067</v>
      </c>
      <c r="O398" s="165">
        <f t="shared" ca="1" si="60"/>
        <v>2111.5016578480645</v>
      </c>
      <c r="P398" s="165">
        <f t="shared" ca="1" si="59"/>
        <v>2143.0160272713701</v>
      </c>
    </row>
    <row r="399" spans="1:16" s="165" customFormat="1" x14ac:dyDescent="0.3">
      <c r="A399" s="165">
        <f>MATCH(Calcs!B399,Paste_Report_Here!$1:$1,0) -1</f>
        <v>22</v>
      </c>
      <c r="B399" s="165" t="s">
        <v>140</v>
      </c>
      <c r="C399" s="166">
        <f ca="1">RANK(N399,N382:N406)</f>
        <v>15</v>
      </c>
      <c r="D399" s="166">
        <f ca="1">RANK(P399,P382:P406)</f>
        <v>17</v>
      </c>
      <c r="E399" s="189" t="s">
        <v>169</v>
      </c>
      <c r="F399" s="179">
        <f ca="1">COUNTIFS(Paste_Report_Here!$E$1:$E$2000,E376, OFFSET(Paste_Report_Here!$A$1,0,$A399,2000,1),F$75)</f>
        <v>0</v>
      </c>
      <c r="G399" s="180">
        <f ca="1">COUNTIFS(Paste_Report_Here!$E$1:$E$2000,E376, OFFSET(Paste_Report_Here!$A$1,0,$A399,2000,1),G$75)</f>
        <v>0</v>
      </c>
      <c r="H399" s="180">
        <f ca="1">COUNTIFS(Paste_Report_Here!$E$1:$E$2000,E376, OFFSET(Paste_Report_Here!$A$1,0,$A399,2000,1),H$75)</f>
        <v>20</v>
      </c>
      <c r="I399" s="180">
        <f ca="1">COUNTIFS(Paste_Report_Here!$E$1:$E$2000,E376, OFFSET(Paste_Report_Here!$A$1,0,$A399,2000,1),I$75)</f>
        <v>7</v>
      </c>
      <c r="J399" s="180">
        <f ca="1">COUNTIFS(Paste_Report_Here!$E$1:$E$2000,E376, OFFSET(Paste_Report_Here!$A$1,0,$A399,2000,1),J$75)</f>
        <v>0</v>
      </c>
      <c r="K399" s="181">
        <f ca="1">COUNTIFS(Paste_Report_Here!$E$1:$E$2000,E376, OFFSET(Paste_Report_Here!$A$1,0,$A399,2000,1),K$75)</f>
        <v>0</v>
      </c>
      <c r="L399" s="166">
        <f t="shared" ca="1" si="57"/>
        <v>27</v>
      </c>
      <c r="M399" s="183">
        <f ca="1">SUMPRODUCT(F399:K399,F380:K380)/L:L</f>
        <v>0</v>
      </c>
      <c r="N399" s="166">
        <f t="shared" ca="1" si="58"/>
        <v>1</v>
      </c>
      <c r="O399" s="165">
        <f t="shared" ca="1" si="60"/>
        <v>2000.7199696354014</v>
      </c>
      <c r="P399" s="165">
        <f t="shared" ca="1" si="59"/>
        <v>2000.7199696354014</v>
      </c>
    </row>
    <row r="400" spans="1:16" s="165" customFormat="1" x14ac:dyDescent="0.3">
      <c r="A400" s="165">
        <f>MATCH(Calcs!B400,Paste_Report_Here!$1:$1,0) -1</f>
        <v>23</v>
      </c>
      <c r="B400" s="165" t="s">
        <v>186</v>
      </c>
      <c r="C400" s="166">
        <f ca="1">RANK(N400,N382:N406)</f>
        <v>4</v>
      </c>
      <c r="D400" s="166">
        <f ca="1">RANK(P400,P382:P406)</f>
        <v>2</v>
      </c>
      <c r="E400" s="189" t="s">
        <v>180</v>
      </c>
      <c r="F400" s="179">
        <f ca="1">COUNTIFS(Paste_Report_Here!$E$1:$E$2000,E376, OFFSET(Paste_Report_Here!$A$1,0,$A400,2000,1),F$75)</f>
        <v>0</v>
      </c>
      <c r="G400" s="180">
        <f ca="1">COUNTIFS(Paste_Report_Here!$E$1:$E$2000,E376, OFFSET(Paste_Report_Here!$A$1,0,$A400,2000,1),G$75)</f>
        <v>0</v>
      </c>
      <c r="H400" s="180">
        <f ca="1">COUNTIFS(Paste_Report_Here!$E$1:$E$2000,E376, OFFSET(Paste_Report_Here!$A$1,0,$A400,2000,1),H$75)</f>
        <v>19</v>
      </c>
      <c r="I400" s="180">
        <f ca="1">COUNTIFS(Paste_Report_Here!$E$1:$E$2000,E376, OFFSET(Paste_Report_Here!$A$1,0,$A400,2000,1),I$75)</f>
        <v>6</v>
      </c>
      <c r="J400" s="180">
        <f ca="1">COUNTIFS(Paste_Report_Here!$E$1:$E$2000,E376, OFFSET(Paste_Report_Here!$A$1,0,$A400,2000,1),J$75)</f>
        <v>1</v>
      </c>
      <c r="K400" s="181">
        <f ca="1">COUNTIFS(Paste_Report_Here!$E$1:$E$2000,E376, OFFSET(Paste_Report_Here!$A$1,0,$A400,2000,1),K$75)</f>
        <v>1</v>
      </c>
      <c r="L400" s="166">
        <f t="shared" ca="1" si="57"/>
        <v>27</v>
      </c>
      <c r="M400" s="183">
        <f ca="1">SUMPRODUCT(F400:K400,F380:K380)/L:L</f>
        <v>7.4074074074074077E-3</v>
      </c>
      <c r="N400" s="166">
        <f t="shared" ca="1" si="58"/>
        <v>1.0074349101156395</v>
      </c>
      <c r="O400" s="165">
        <f t="shared" ca="1" si="60"/>
        <v>3648.7783368810542</v>
      </c>
      <c r="P400" s="165">
        <f t="shared" ca="1" si="59"/>
        <v>3675.9066758476574</v>
      </c>
    </row>
    <row r="401" spans="1:16" s="165" customFormat="1" x14ac:dyDescent="0.3">
      <c r="A401" s="165">
        <f>MATCH(Calcs!B401,Paste_Report_Here!$1:$1,0) -1</f>
        <v>24</v>
      </c>
      <c r="B401" s="165" t="s">
        <v>209</v>
      </c>
      <c r="C401" s="166">
        <f ca="1">RANK(N401,N382:N406)</f>
        <v>4</v>
      </c>
      <c r="D401" s="166">
        <f ca="1">RANK(P401,P382:P406)</f>
        <v>23</v>
      </c>
      <c r="E401" s="202" t="s">
        <v>211</v>
      </c>
      <c r="F401" s="179">
        <f ca="1">COUNTIFS(Paste_Report_Here!$E$1:$E$2000,E376, OFFSET(Paste_Report_Here!$A$1,0,$A401,2000,1),F$75)</f>
        <v>0</v>
      </c>
      <c r="G401" s="180">
        <f ca="1">COUNTIFS(Paste_Report_Here!$E$1:$E$2000,E376, OFFSET(Paste_Report_Here!$A$1,0,$A401,2000,1),G$75)</f>
        <v>2</v>
      </c>
      <c r="H401" s="180">
        <f ca="1">COUNTIFS(Paste_Report_Here!$E$1:$E$2000,E376, OFFSET(Paste_Report_Here!$A$1,0,$A401,2000,1),H$75)</f>
        <v>18</v>
      </c>
      <c r="I401" s="180">
        <f ca="1">COUNTIFS(Paste_Report_Here!$E$1:$E$2000,E376, OFFSET(Paste_Report_Here!$A$1,0,$A401,2000,1),I$75)</f>
        <v>4</v>
      </c>
      <c r="J401" s="180">
        <f ca="1">COUNTIFS(Paste_Report_Here!$E$1:$E$2000,E376, OFFSET(Paste_Report_Here!$A$1,0,$A401,2000,1),J$75)</f>
        <v>1</v>
      </c>
      <c r="K401" s="181">
        <f ca="1">COUNTIFS(Paste_Report_Here!$E$1:$E$2000,E376, OFFSET(Paste_Report_Here!$A$1,0,$A401,2000,1),K$75)</f>
        <v>2</v>
      </c>
      <c r="L401" s="166">
        <f t="shared" ca="1" si="57"/>
        <v>27</v>
      </c>
      <c r="M401" s="183">
        <f ca="1">SUMPRODUCT(F401:K401,F380:K380)/L:L</f>
        <v>7.4074074074074077E-3</v>
      </c>
      <c r="N401" s="166">
        <f t="shared" ca="1" si="58"/>
        <v>1.0074349101156395</v>
      </c>
      <c r="O401" s="165">
        <f t="shared" ca="1" si="60"/>
        <v>1165.3498076526269</v>
      </c>
      <c r="P401" s="165">
        <f t="shared" ca="1" si="59"/>
        <v>1174.0140787258019</v>
      </c>
    </row>
    <row r="402" spans="1:16" s="165" customFormat="1" x14ac:dyDescent="0.3">
      <c r="A402" s="165">
        <f>MATCH(Calcs!B402,Paste_Report_Here!$1:$1,0) -1</f>
        <v>25</v>
      </c>
      <c r="B402" s="165" t="s">
        <v>141</v>
      </c>
      <c r="C402" s="166">
        <f ca="1">RANK(N402,N382:N406)</f>
        <v>15</v>
      </c>
      <c r="D402" s="166">
        <f ca="1">RANK(P402,P382:P406)</f>
        <v>22</v>
      </c>
      <c r="E402" s="189" t="s">
        <v>170</v>
      </c>
      <c r="F402" s="179">
        <f ca="1">COUNTIFS(Paste_Report_Here!$E$1:$E$2000,E376, OFFSET(Paste_Report_Here!$A$1,0,$A402,2000,1),F$75)</f>
        <v>0</v>
      </c>
      <c r="G402" s="180">
        <f ca="1">COUNTIFS(Paste_Report_Here!$E$1:$E$2000,E376, OFFSET(Paste_Report_Here!$A$1,0,$A402,2000,1),G$75)</f>
        <v>2</v>
      </c>
      <c r="H402" s="180">
        <f ca="1">COUNTIFS(Paste_Report_Here!$E$1:$E$2000,E376, OFFSET(Paste_Report_Here!$A$1,0,$A402,2000,1),H$75)</f>
        <v>21</v>
      </c>
      <c r="I402" s="180">
        <f ca="1">COUNTIFS(Paste_Report_Here!$E$1:$E$2000,E376, OFFSET(Paste_Report_Here!$A$1,0,$A402,2000,1),I$75)</f>
        <v>4</v>
      </c>
      <c r="J402" s="180">
        <f ca="1">COUNTIFS(Paste_Report_Here!$E$1:$E$2000,E376, OFFSET(Paste_Report_Here!$A$1,0,$A402,2000,1),J$75)</f>
        <v>0</v>
      </c>
      <c r="K402" s="181">
        <f ca="1">COUNTIFS(Paste_Report_Here!$E$1:$E$2000,E376, OFFSET(Paste_Report_Here!$A$1,0,$A402,2000,1),K$75)</f>
        <v>0</v>
      </c>
      <c r="L402" s="166">
        <f t="shared" ca="1" si="57"/>
        <v>27</v>
      </c>
      <c r="M402" s="183">
        <f ca="1">SUMPRODUCT(F402:K402,F380:K380)/L:L</f>
        <v>0</v>
      </c>
      <c r="N402" s="166">
        <f t="shared" ca="1" si="58"/>
        <v>1</v>
      </c>
      <c r="O402" s="165">
        <f t="shared" ca="1" si="60"/>
        <v>1395.1831739772081</v>
      </c>
      <c r="P402" s="165">
        <f t="shared" ca="1" si="59"/>
        <v>1395.1831739772081</v>
      </c>
    </row>
    <row r="403" spans="1:16" s="165" customFormat="1" x14ac:dyDescent="0.3">
      <c r="A403" s="165">
        <f>MATCH(Calcs!B403,Paste_Report_Here!$1:$1,0) -1</f>
        <v>26</v>
      </c>
      <c r="B403" s="165" t="s">
        <v>142</v>
      </c>
      <c r="C403" s="166">
        <f ca="1">RANK(N403,N382:N406)</f>
        <v>15</v>
      </c>
      <c r="D403" s="166">
        <f ca="1">RANK(P403,P382:P406)</f>
        <v>10</v>
      </c>
      <c r="E403" s="189" t="s">
        <v>171</v>
      </c>
      <c r="F403" s="179">
        <f ca="1">COUNTIFS(Paste_Report_Here!$E$1:$E$2000,E376, OFFSET(Paste_Report_Here!$A$1,0,$A403,2000,1),F$75)</f>
        <v>0</v>
      </c>
      <c r="G403" s="180">
        <f ca="1">COUNTIFS(Paste_Report_Here!$E$1:$E$2000,E376, OFFSET(Paste_Report_Here!$A$1,0,$A403,2000,1),G$75)</f>
        <v>1</v>
      </c>
      <c r="H403" s="180">
        <f ca="1">COUNTIFS(Paste_Report_Here!$E$1:$E$2000,E376, OFFSET(Paste_Report_Here!$A$1,0,$A403,2000,1),H$75)</f>
        <v>19</v>
      </c>
      <c r="I403" s="180">
        <f ca="1">COUNTIFS(Paste_Report_Here!$E$1:$E$2000,E376, OFFSET(Paste_Report_Here!$A$1,0,$A403,2000,1),I$75)</f>
        <v>7</v>
      </c>
      <c r="J403" s="180">
        <f ca="1">COUNTIFS(Paste_Report_Here!$E$1:$E$2000,E376, OFFSET(Paste_Report_Here!$A$1,0,$A403,2000,1),J$75)</f>
        <v>0</v>
      </c>
      <c r="K403" s="181">
        <f ca="1">COUNTIFS(Paste_Report_Here!$E$1:$E$2000,E376, OFFSET(Paste_Report_Here!$A$1,0,$A403,2000,1),K$75)</f>
        <v>0</v>
      </c>
      <c r="L403" s="166">
        <f t="shared" ca="1" si="57"/>
        <v>27</v>
      </c>
      <c r="M403" s="183">
        <f ca="1">SUMPRODUCT(F403:K403,F380:K380)/L:L</f>
        <v>0</v>
      </c>
      <c r="N403" s="166">
        <f t="shared" ca="1" si="58"/>
        <v>1</v>
      </c>
      <c r="O403" s="165">
        <f t="shared" ca="1" si="60"/>
        <v>2317.025678171553</v>
      </c>
      <c r="P403" s="165">
        <f t="shared" ca="1" si="59"/>
        <v>2317.025678171553</v>
      </c>
    </row>
    <row r="404" spans="1:16" s="165" customFormat="1" x14ac:dyDescent="0.3">
      <c r="A404" s="165">
        <f>MATCH(Calcs!B404,Paste_Report_Here!$1:$1,0) -1</f>
        <v>27</v>
      </c>
      <c r="B404" s="165" t="s">
        <v>210</v>
      </c>
      <c r="C404" s="166">
        <f ca="1">RANK(N404,N382:N406)</f>
        <v>25</v>
      </c>
      <c r="D404" s="166">
        <f ca="1">RANK(P404,P382:P406)</f>
        <v>25</v>
      </c>
      <c r="E404" s="202" t="s">
        <v>212</v>
      </c>
      <c r="F404" s="179">
        <f ca="1">COUNTIFS(Paste_Report_Here!$E$1:$E$2000,E376, OFFSET(Paste_Report_Here!$A$1,0,$A404,2000,1),F$75)</f>
        <v>1</v>
      </c>
      <c r="G404" s="180">
        <f ca="1">COUNTIFS(Paste_Report_Here!$E$1:$E$2000,E376, OFFSET(Paste_Report_Here!$A$1,0,$A404,2000,1),G$75)</f>
        <v>2</v>
      </c>
      <c r="H404" s="180">
        <f ca="1">COUNTIFS(Paste_Report_Here!$E$1:$E$2000,E376, OFFSET(Paste_Report_Here!$A$1,0,$A404,2000,1),H$75)</f>
        <v>19</v>
      </c>
      <c r="I404" s="180">
        <f ca="1">COUNTIFS(Paste_Report_Here!$E$1:$E$2000,E376, OFFSET(Paste_Report_Here!$A$1,0,$A404,2000,1),I$75)</f>
        <v>5</v>
      </c>
      <c r="J404" s="180">
        <f ca="1">COUNTIFS(Paste_Report_Here!$E$1:$E$2000,E376, OFFSET(Paste_Report_Here!$A$1,0,$A404,2000,1),J$75)</f>
        <v>0</v>
      </c>
      <c r="K404" s="181">
        <f ca="1">COUNTIFS(Paste_Report_Here!$E$1:$E$2000,E376, OFFSET(Paste_Report_Here!$A$1,0,$A404,2000,1),K$75)</f>
        <v>0</v>
      </c>
      <c r="L404" s="166">
        <f t="shared" ca="1" si="57"/>
        <v>27</v>
      </c>
      <c r="M404" s="183">
        <f ca="1">SUMPRODUCT(F404:K404,F380:K380)/L:L</f>
        <v>-7.4074074074074077E-3</v>
      </c>
      <c r="N404" s="166">
        <f t="shared" ca="1" si="58"/>
        <v>0.99261995981975049</v>
      </c>
      <c r="O404" s="165">
        <f t="shared" ca="1" si="60"/>
        <v>1166.7733279882357</v>
      </c>
      <c r="P404" s="165">
        <f t="shared" ca="1" si="59"/>
        <v>1158.1624939464391</v>
      </c>
    </row>
    <row r="405" spans="1:16" s="165" customFormat="1" x14ac:dyDescent="0.3">
      <c r="A405" s="165">
        <f>MATCH(Calcs!B405,Paste_Report_Here!$1:$1,0) -1</f>
        <v>28</v>
      </c>
      <c r="B405" s="165" t="s">
        <v>143</v>
      </c>
      <c r="C405" s="166">
        <f ca="1">RANK(N405,N383:N407)</f>
        <v>1</v>
      </c>
      <c r="D405" s="166">
        <f ca="1">RANK(P405,P382:P406)</f>
        <v>1</v>
      </c>
      <c r="E405" s="189" t="s">
        <v>172</v>
      </c>
      <c r="F405" s="179">
        <f ca="1">COUNTIFS(Paste_Report_Here!$E$1:$E$2000,E376, OFFSET(Paste_Report_Here!$A$1,0,$A405,2000,1),F$75)</f>
        <v>0</v>
      </c>
      <c r="G405" s="180">
        <f ca="1">COUNTIFS(Paste_Report_Here!$E$1:$E$2000,E376, OFFSET(Paste_Report_Here!$A$1,0,$A405,2000,1),G$75)</f>
        <v>1</v>
      </c>
      <c r="H405" s="180">
        <f ca="1">COUNTIFS(Paste_Report_Here!$E$1:$E$2000,E376, OFFSET(Paste_Report_Here!$A$1,0,$A405,2000,1),H$75)</f>
        <v>13</v>
      </c>
      <c r="I405" s="180">
        <f ca="1">COUNTIFS(Paste_Report_Here!$E$1:$E$2000,E376, OFFSET(Paste_Report_Here!$A$1,0,$A405,2000,1),I$75)</f>
        <v>10</v>
      </c>
      <c r="J405" s="180">
        <f ca="1">COUNTIFS(Paste_Report_Here!$E$1:$E$2000,E376, OFFSET(Paste_Report_Here!$A$1,0,$A405,2000,1),J$75)</f>
        <v>3</v>
      </c>
      <c r="K405" s="181">
        <f ca="1">COUNTIFS(Paste_Report_Here!$E$1:$E$2000,E376, OFFSET(Paste_Report_Here!$A$1,0,$A405,2000,1),K$75)</f>
        <v>0</v>
      </c>
      <c r="L405" s="166">
        <f t="shared" ca="1" si="57"/>
        <v>27</v>
      </c>
      <c r="M405" s="183">
        <f ca="1">SUMPRODUCT(F405:K405,F380:K380)/L:L</f>
        <v>2.2222222222222227E-2</v>
      </c>
      <c r="N405" s="166">
        <f t="shared" ca="1" si="58"/>
        <v>1.0224709749983332</v>
      </c>
      <c r="O405" s="165">
        <f t="shared" ca="1" si="60"/>
        <v>7286.3889773624242</v>
      </c>
      <c r="P405" s="165">
        <f t="shared" ca="1" si="59"/>
        <v>7450.1212419008652</v>
      </c>
    </row>
    <row r="406" spans="1:16" s="165" customFormat="1" x14ac:dyDescent="0.3">
      <c r="A406" s="165">
        <f>MATCH(Calcs!B406,Paste_Report_Here!$1:$1,0) -1</f>
        <v>29</v>
      </c>
      <c r="B406" s="187" t="s">
        <v>144</v>
      </c>
      <c r="C406" s="147">
        <f ca="1">RANK(N406,N382:N406)</f>
        <v>15</v>
      </c>
      <c r="D406" s="147">
        <f ca="1">RANK(P406,P382:P406)</f>
        <v>11</v>
      </c>
      <c r="E406" s="145" t="s">
        <v>173</v>
      </c>
      <c r="F406" s="146">
        <f ca="1">COUNTIFS(Paste_Report_Here!$E$1:$E$2000,E376, OFFSET(Paste_Report_Here!$A$1,0,$A406,2000,1),F$75)</f>
        <v>0</v>
      </c>
      <c r="G406" s="147">
        <f ca="1">COUNTIFS(Paste_Report_Here!$E$1:$E$2000,E376, OFFSET(Paste_Report_Here!$A$1,0,$A406,2000,1),G$75)</f>
        <v>1</v>
      </c>
      <c r="H406" s="147">
        <f ca="1">COUNTIFS(Paste_Report_Here!$E$1:$E$2000,E376, OFFSET(Paste_Report_Here!$A$1,0,$A406,2000,1),H$75)</f>
        <v>22</v>
      </c>
      <c r="I406" s="147">
        <f ca="1">COUNTIFS(Paste_Report_Here!$E$1:$E$2000,E376, OFFSET(Paste_Report_Here!$A$1,0,$A406,2000,1),I$75)</f>
        <v>4</v>
      </c>
      <c r="J406" s="147">
        <f ca="1">COUNTIFS(Paste_Report_Here!$E$1:$E$2000,E376, OFFSET(Paste_Report_Here!$A$1,0,$A406,2000,1),J$75)</f>
        <v>0</v>
      </c>
      <c r="K406" s="148">
        <f ca="1">COUNTIFS(Paste_Report_Here!$E$1:$E$2000,E376, OFFSET(Paste_Report_Here!$A$1,0,$A406,2000,1),K$75)</f>
        <v>0</v>
      </c>
      <c r="L406" s="147">
        <f t="shared" ca="1" si="57"/>
        <v>27</v>
      </c>
      <c r="M406" s="149">
        <f ca="1">SUMPRODUCT(F406:K406,F380:K380)/L:L</f>
        <v>0</v>
      </c>
      <c r="N406" s="147">
        <f t="shared" ca="1" si="58"/>
        <v>1</v>
      </c>
      <c r="O406" s="187">
        <f t="shared" ca="1" si="60"/>
        <v>2315.1929117932332</v>
      </c>
      <c r="P406" s="165">
        <f t="shared" ca="1" si="59"/>
        <v>2315.1929117932332</v>
      </c>
    </row>
    <row r="407" spans="1:16" s="165" customFormat="1" x14ac:dyDescent="0.3">
      <c r="C407" s="166"/>
      <c r="E407" s="140" t="s">
        <v>293</v>
      </c>
      <c r="F407" s="180">
        <f ca="1">SUM(F382:F406)</f>
        <v>1</v>
      </c>
      <c r="G407" s="180">
        <f t="shared" ref="G407:L407" ca="1" si="61">SUM(G382:G406)</f>
        <v>39</v>
      </c>
      <c r="H407" s="180">
        <f t="shared" ca="1" si="61"/>
        <v>479</v>
      </c>
      <c r="I407" s="180">
        <f t="shared" ca="1" si="61"/>
        <v>134</v>
      </c>
      <c r="J407" s="180">
        <f t="shared" ca="1" si="61"/>
        <v>18</v>
      </c>
      <c r="K407" s="180">
        <f t="shared" ca="1" si="61"/>
        <v>4</v>
      </c>
      <c r="L407" s="180">
        <f t="shared" ca="1" si="61"/>
        <v>675</v>
      </c>
      <c r="M407" s="144">
        <f ca="1">SUMPRODUCT(F407:K407,F380:K380)/L407</f>
        <v>5.0370370370370369E-3</v>
      </c>
      <c r="N407" s="166">
        <f t="shared" ca="1" si="58"/>
        <v>1.0050497442346764</v>
      </c>
      <c r="O407" s="165">
        <f t="shared" ca="1" si="60"/>
        <v>2562.4111038705155</v>
      </c>
      <c r="P407" s="165">
        <f t="shared" ca="1" si="59"/>
        <v>2575.3506245691565</v>
      </c>
    </row>
    <row r="408" spans="1:16" s="165" customFormat="1" x14ac:dyDescent="0.3">
      <c r="A408" s="194"/>
      <c r="B408" s="194"/>
      <c r="C408" s="153"/>
      <c r="D408" s="194"/>
      <c r="E408" s="164"/>
      <c r="F408" s="151"/>
      <c r="G408" s="151"/>
      <c r="H408" s="151"/>
      <c r="I408" s="151"/>
      <c r="J408" s="151"/>
      <c r="K408" s="151"/>
      <c r="L408" s="151"/>
      <c r="M408" s="162"/>
      <c r="N408" s="153"/>
      <c r="O408" s="194"/>
      <c r="P408" s="194"/>
    </row>
    <row r="409" spans="1:16" s="165" customFormat="1" x14ac:dyDescent="0.3">
      <c r="E409" s="173" t="s">
        <v>292</v>
      </c>
    </row>
    <row r="410" spans="1:16" s="165" customFormat="1" x14ac:dyDescent="0.3">
      <c r="E410" s="141">
        <v>40907</v>
      </c>
    </row>
    <row r="411" spans="1:16" s="165" customFormat="1" ht="15" thickBot="1" x14ac:dyDescent="0.35"/>
    <row r="412" spans="1:16" s="165" customFormat="1" ht="24.6" thickBot="1" x14ac:dyDescent="0.35">
      <c r="F412" s="174" t="s">
        <v>23</v>
      </c>
      <c r="G412" s="168" t="s">
        <v>18</v>
      </c>
      <c r="H412" s="168" t="s">
        <v>16</v>
      </c>
      <c r="I412" s="168" t="s">
        <v>17</v>
      </c>
      <c r="J412" s="168" t="s">
        <v>19</v>
      </c>
      <c r="K412" s="169" t="s">
        <v>114</v>
      </c>
    </row>
    <row r="413" spans="1:16" s="165" customFormat="1" x14ac:dyDescent="0.3">
      <c r="F413" s="267" t="s">
        <v>201</v>
      </c>
      <c r="G413" s="268"/>
      <c r="H413" s="268"/>
      <c r="I413" s="268"/>
      <c r="J413" s="268"/>
      <c r="K413" s="169"/>
      <c r="M413" s="203">
        <f ca="1">(H441+K441)/L441</f>
        <v>0.68533333333333335</v>
      </c>
      <c r="N413" s="204" t="s">
        <v>501</v>
      </c>
    </row>
    <row r="414" spans="1:16" s="165" customFormat="1" ht="43.8" thickBot="1" x14ac:dyDescent="0.35">
      <c r="A414" s="142" t="s">
        <v>294</v>
      </c>
      <c r="B414" s="142" t="s">
        <v>295</v>
      </c>
      <c r="C414" s="197" t="s">
        <v>440</v>
      </c>
      <c r="D414" s="142" t="s">
        <v>441</v>
      </c>
      <c r="E414" s="171" t="s">
        <v>30</v>
      </c>
      <c r="F414" s="175">
        <f>Falling_fast</f>
        <v>-0.2</v>
      </c>
      <c r="G414" s="176">
        <f>Falling</f>
        <v>0</v>
      </c>
      <c r="H414" s="177">
        <f>Static</f>
        <v>0</v>
      </c>
      <c r="I414" s="176">
        <f>Rising</f>
        <v>0</v>
      </c>
      <c r="J414" s="178">
        <f>Rising_fast</f>
        <v>0.2</v>
      </c>
      <c r="K414" s="182">
        <v>0</v>
      </c>
      <c r="L414" s="171" t="s">
        <v>28</v>
      </c>
      <c r="M414" s="172" t="s">
        <v>29</v>
      </c>
      <c r="N414" s="143" t="s">
        <v>296</v>
      </c>
      <c r="O414" s="142" t="s">
        <v>297</v>
      </c>
      <c r="P414" s="142" t="s">
        <v>298</v>
      </c>
    </row>
    <row r="415" spans="1:16" s="165" customFormat="1" x14ac:dyDescent="0.3">
      <c r="C415" s="166"/>
      <c r="E415" s="192"/>
      <c r="F415" s="198" t="s">
        <v>151</v>
      </c>
      <c r="G415" s="199" t="s">
        <v>149</v>
      </c>
      <c r="H415" s="199" t="s">
        <v>16</v>
      </c>
      <c r="I415" s="199" t="s">
        <v>148</v>
      </c>
      <c r="J415" s="199" t="s">
        <v>150</v>
      </c>
      <c r="K415" s="200" t="s">
        <v>114</v>
      </c>
      <c r="L415" s="166"/>
      <c r="M415" s="170"/>
      <c r="N415" s="166"/>
    </row>
    <row r="416" spans="1:16" s="165" customFormat="1" x14ac:dyDescent="0.3">
      <c r="A416" s="165">
        <f>MATCH(Calcs!B416,Paste_Report_Here!$1:$1,0) -1</f>
        <v>5</v>
      </c>
      <c r="B416" s="165" t="s">
        <v>124</v>
      </c>
      <c r="C416" s="166">
        <f ca="1">RANK(N416,N416:N440)</f>
        <v>1</v>
      </c>
      <c r="D416" s="166">
        <f ca="1">RANK(P416,P416:P440)</f>
        <v>16</v>
      </c>
      <c r="E416" s="189" t="s">
        <v>152</v>
      </c>
      <c r="F416" s="179">
        <f ca="1">COUNTIFS(Paste_Report_Here!$E$1:$E$2000,E410, OFFSET(Paste_Report_Here!$A$1,0,$A416,2000,1),F$75)</f>
        <v>0</v>
      </c>
      <c r="G416" s="180">
        <f ca="1">COUNTIFS(Paste_Report_Here!$E$1:$E$2000,E410, OFFSET(Paste_Report_Here!$A$1,0,$A416,2000,1),G$75)</f>
        <v>1</v>
      </c>
      <c r="H416" s="180">
        <f ca="1">COUNTIFS(Paste_Report_Here!$E$1:$E$2000,E410, OFFSET(Paste_Report_Here!$A$1,0,$A416,2000,1),H$75)</f>
        <v>21</v>
      </c>
      <c r="I416" s="180">
        <f ca="1">COUNTIFS(Paste_Report_Here!$E$1:$E$2000,E410, OFFSET(Paste_Report_Here!$A$1,0,$A416,2000,1),I$75)</f>
        <v>7</v>
      </c>
      <c r="J416" s="180">
        <f ca="1">COUNTIFS(Paste_Report_Here!$E$1:$E$2000,E410, OFFSET(Paste_Report_Here!$A$1,0,$A416,2000,1),J$75)</f>
        <v>1</v>
      </c>
      <c r="K416" s="181">
        <f ca="1">COUNTIFS(Paste_Report_Here!$E$1:$E$2000,E410, OFFSET(Paste_Report_Here!$A$1,0,$A416,2000,1),K$75)</f>
        <v>0</v>
      </c>
      <c r="L416" s="166">
        <f t="shared" ref="L416:L440" ca="1" si="62">SUM(F416:K416)</f>
        <v>30</v>
      </c>
      <c r="M416" s="183">
        <f ca="1">SUMPRODUCT(F416:K416,F414:K414)/L:L</f>
        <v>6.6666666666666671E-3</v>
      </c>
      <c r="N416" s="166">
        <f t="shared" ref="N416:N441" ca="1" si="63">EXP(M416)</f>
        <v>1.0066889383540194</v>
      </c>
      <c r="O416" s="165">
        <f ca="1">P382</f>
        <v>2049.4143621114276</v>
      </c>
      <c r="P416" s="165">
        <f t="shared" ref="P416:P441" ca="1" si="64">O416*N416</f>
        <v>2063.122768441433</v>
      </c>
    </row>
    <row r="417" spans="1:16" s="165" customFormat="1" x14ac:dyDescent="0.3">
      <c r="A417" s="165">
        <f>MATCH(Calcs!B417,Paste_Report_Here!$1:$1,0) -1</f>
        <v>6</v>
      </c>
      <c r="B417" s="165" t="s">
        <v>125</v>
      </c>
      <c r="C417" s="166">
        <f ca="1">RANK(N417,N416:N440)</f>
        <v>1</v>
      </c>
      <c r="D417" s="166">
        <f ca="1">RANK(P417,P416:P440)</f>
        <v>13</v>
      </c>
      <c r="E417" s="189" t="s">
        <v>153</v>
      </c>
      <c r="F417" s="179">
        <f ca="1">COUNTIFS(Paste_Report_Here!$E$1:$E$2000,E410, OFFSET(Paste_Report_Here!$A$1,0,$A417,2000,1),F$75)</f>
        <v>0</v>
      </c>
      <c r="G417" s="180">
        <f ca="1">COUNTIFS(Paste_Report_Here!$E$1:$E$2000,E410, OFFSET(Paste_Report_Here!$A$1,0,$A417,2000,1),G$75)</f>
        <v>2</v>
      </c>
      <c r="H417" s="180">
        <f ca="1">COUNTIFS(Paste_Report_Here!$E$1:$E$2000,E410, OFFSET(Paste_Report_Here!$A$1,0,$A417,2000,1),H$75)</f>
        <v>22</v>
      </c>
      <c r="I417" s="180">
        <f ca="1">COUNTIFS(Paste_Report_Here!$E$1:$E$2000,E410, OFFSET(Paste_Report_Here!$A$1,0,$A417,2000,1),I$75)</f>
        <v>4</v>
      </c>
      <c r="J417" s="180">
        <f ca="1">COUNTIFS(Paste_Report_Here!$E$1:$E$2000,E410, OFFSET(Paste_Report_Here!$A$1,0,$A417,2000,1),J$75)</f>
        <v>1</v>
      </c>
      <c r="K417" s="181">
        <f ca="1">COUNTIFS(Paste_Report_Here!$E$1:$E$2000,E410, OFFSET(Paste_Report_Here!$A$1,0,$A417,2000,1),K$75)</f>
        <v>1</v>
      </c>
      <c r="L417" s="166">
        <f t="shared" ca="1" si="62"/>
        <v>30</v>
      </c>
      <c r="M417" s="183">
        <f ca="1">SUMPRODUCT(F417:K417,F414:K414)/L:L</f>
        <v>6.6666666666666671E-3</v>
      </c>
      <c r="N417" s="166">
        <f t="shared" ca="1" si="63"/>
        <v>1.0066889383540194</v>
      </c>
      <c r="O417" s="165">
        <f t="shared" ref="O417:O441" ca="1" si="65">P383</f>
        <v>2196.2333730749142</v>
      </c>
      <c r="P417" s="165">
        <f t="shared" ca="1" si="64"/>
        <v>2210.9238427184523</v>
      </c>
    </row>
    <row r="418" spans="1:16" s="165" customFormat="1" x14ac:dyDescent="0.3">
      <c r="A418" s="165">
        <f>MATCH(Calcs!B418,Paste_Report_Here!$1:$1,0) -1</f>
        <v>7</v>
      </c>
      <c r="B418" s="165" t="s">
        <v>126</v>
      </c>
      <c r="C418" s="166">
        <f ca="1">RANK(N418,N416:N440)</f>
        <v>1</v>
      </c>
      <c r="D418" s="166">
        <f ca="1">RANK(P418,P416:P440)</f>
        <v>6</v>
      </c>
      <c r="E418" s="189" t="s">
        <v>154</v>
      </c>
      <c r="F418" s="179">
        <f ca="1">COUNTIFS(Paste_Report_Here!$E$1:$E$2000,E410, OFFSET(Paste_Report_Here!$A$1,0,$A418,2000,1),F$75)</f>
        <v>0</v>
      </c>
      <c r="G418" s="180">
        <f ca="1">COUNTIFS(Paste_Report_Here!$E$1:$E$2000,E410, OFFSET(Paste_Report_Here!$A$1,0,$A418,2000,1),G$75)</f>
        <v>3</v>
      </c>
      <c r="H418" s="180">
        <f ca="1">COUNTIFS(Paste_Report_Here!$E$1:$E$2000,E410, OFFSET(Paste_Report_Here!$A$1,0,$A418,2000,1),H$75)</f>
        <v>20</v>
      </c>
      <c r="I418" s="180">
        <f ca="1">COUNTIFS(Paste_Report_Here!$E$1:$E$2000,E410, OFFSET(Paste_Report_Here!$A$1,0,$A418,2000,1),I$75)</f>
        <v>6</v>
      </c>
      <c r="J418" s="180">
        <f ca="1">COUNTIFS(Paste_Report_Here!$E$1:$E$2000,E410, OFFSET(Paste_Report_Here!$A$1,0,$A418,2000,1),J$75)</f>
        <v>1</v>
      </c>
      <c r="K418" s="181">
        <f ca="1">COUNTIFS(Paste_Report_Here!$E$1:$E$2000,E410, OFFSET(Paste_Report_Here!$A$1,0,$A418,2000,1),K$75)</f>
        <v>0</v>
      </c>
      <c r="L418" s="166">
        <f t="shared" ca="1" si="62"/>
        <v>30</v>
      </c>
      <c r="M418" s="183">
        <f ca="1">SUMPRODUCT(F418:K418,F414:K414)/L:L</f>
        <v>6.6666666666666671E-3</v>
      </c>
      <c r="N418" s="166">
        <f t="shared" ca="1" si="63"/>
        <v>1.0066889383540194</v>
      </c>
      <c r="O418" s="165">
        <f t="shared" ca="1" si="65"/>
        <v>2822.9504375582001</v>
      </c>
      <c r="P418" s="165">
        <f t="shared" ca="1" si="64"/>
        <v>2841.832979011479</v>
      </c>
    </row>
    <row r="419" spans="1:16" s="165" customFormat="1" x14ac:dyDescent="0.3">
      <c r="A419" s="165">
        <f>MATCH(Calcs!B419,Paste_Report_Here!$1:$1,0) -1</f>
        <v>8</v>
      </c>
      <c r="B419" s="165" t="s">
        <v>127</v>
      </c>
      <c r="C419" s="166">
        <f ca="1">RANK(N419,N416:N440)</f>
        <v>1</v>
      </c>
      <c r="D419" s="166">
        <f ca="1">RANK(P419,P416:P440)</f>
        <v>8</v>
      </c>
      <c r="E419" s="189" t="s">
        <v>155</v>
      </c>
      <c r="F419" s="179">
        <f ca="1">COUNTIFS(Paste_Report_Here!$E$1:$E$2000,E410, OFFSET(Paste_Report_Here!$A$1,0,$A419,2000,1),F$75)</f>
        <v>0</v>
      </c>
      <c r="G419" s="180">
        <f ca="1">COUNTIFS(Paste_Report_Here!$E$1:$E$2000,E410, OFFSET(Paste_Report_Here!$A$1,0,$A419,2000,1),G$75)</f>
        <v>3</v>
      </c>
      <c r="H419" s="180">
        <f ca="1">COUNTIFS(Paste_Report_Here!$E$1:$E$2000,E410, OFFSET(Paste_Report_Here!$A$1,0,$A419,2000,1),H$75)</f>
        <v>18</v>
      </c>
      <c r="I419" s="180">
        <f ca="1">COUNTIFS(Paste_Report_Here!$E$1:$E$2000,E410, OFFSET(Paste_Report_Here!$A$1,0,$A419,2000,1),I$75)</f>
        <v>8</v>
      </c>
      <c r="J419" s="180">
        <f ca="1">COUNTIFS(Paste_Report_Here!$E$1:$E$2000,E410, OFFSET(Paste_Report_Here!$A$1,0,$A419,2000,1),J$75)</f>
        <v>1</v>
      </c>
      <c r="K419" s="181">
        <f ca="1">COUNTIFS(Paste_Report_Here!$E$1:$E$2000,E410, OFFSET(Paste_Report_Here!$A$1,0,$A419,2000,1),K$75)</f>
        <v>0</v>
      </c>
      <c r="L419" s="166">
        <f t="shared" ca="1" si="62"/>
        <v>30</v>
      </c>
      <c r="M419" s="183">
        <f ca="1">SUMPRODUCT(F419:K419,F414:K414)/L:L</f>
        <v>6.6666666666666671E-3</v>
      </c>
      <c r="N419" s="166">
        <f t="shared" ca="1" si="63"/>
        <v>1.0066889383540194</v>
      </c>
      <c r="O419" s="165">
        <f t="shared" ca="1" si="65"/>
        <v>2517.9080186642836</v>
      </c>
      <c r="P419" s="165">
        <f t="shared" ca="1" si="64"/>
        <v>2534.7501501822203</v>
      </c>
    </row>
    <row r="420" spans="1:16" s="165" customFormat="1" x14ac:dyDescent="0.3">
      <c r="A420" s="165">
        <f>MATCH(Calcs!B420,Paste_Report_Here!$1:$1,0) -1</f>
        <v>9</v>
      </c>
      <c r="B420" s="165" t="s">
        <v>214</v>
      </c>
      <c r="C420" s="166">
        <f ca="1">RANK(N420,N416:N440)</f>
        <v>13</v>
      </c>
      <c r="D420" s="166">
        <f ca="1">RANK(P420,P416:P440)</f>
        <v>5</v>
      </c>
      <c r="E420" s="189" t="s">
        <v>156</v>
      </c>
      <c r="F420" s="179">
        <f ca="1">COUNTIFS(Paste_Report_Here!$E$1:$E$2000,E410, OFFSET(Paste_Report_Here!$A$1,0,$A420,2000,1),F$75)</f>
        <v>0</v>
      </c>
      <c r="G420" s="180">
        <f ca="1">COUNTIFS(Paste_Report_Here!$E$1:$E$2000,E410, OFFSET(Paste_Report_Here!$A$1,0,$A420,2000,1),G$75)</f>
        <v>2</v>
      </c>
      <c r="H420" s="180">
        <f ca="1">COUNTIFS(Paste_Report_Here!$E$1:$E$2000,E410, OFFSET(Paste_Report_Here!$A$1,0,$A420,2000,1),H$75)</f>
        <v>20</v>
      </c>
      <c r="I420" s="180">
        <f ca="1">COUNTIFS(Paste_Report_Here!$E$1:$E$2000,E410, OFFSET(Paste_Report_Here!$A$1,0,$A420,2000,1),I$75)</f>
        <v>7</v>
      </c>
      <c r="J420" s="180">
        <f ca="1">COUNTIFS(Paste_Report_Here!$E$1:$E$2000,E410, OFFSET(Paste_Report_Here!$A$1,0,$A420,2000,1),J$75)</f>
        <v>0</v>
      </c>
      <c r="K420" s="181">
        <f ca="1">COUNTIFS(Paste_Report_Here!$E$1:$E$2000,E410, OFFSET(Paste_Report_Here!$A$1,0,$A420,2000,1),K$75)</f>
        <v>1</v>
      </c>
      <c r="L420" s="166">
        <f t="shared" ca="1" si="62"/>
        <v>30</v>
      </c>
      <c r="M420" s="183">
        <f ca="1">SUMPRODUCT(F420:K420,F414:K414)/L:L</f>
        <v>0</v>
      </c>
      <c r="N420" s="166">
        <f t="shared" ca="1" si="63"/>
        <v>1</v>
      </c>
      <c r="O420" s="165">
        <f t="shared" ca="1" si="65"/>
        <v>3455.5553129788896</v>
      </c>
      <c r="P420" s="165">
        <f t="shared" ca="1" si="64"/>
        <v>3455.5553129788896</v>
      </c>
    </row>
    <row r="421" spans="1:16" s="165" customFormat="1" x14ac:dyDescent="0.3">
      <c r="A421" s="165">
        <f>MATCH(Calcs!B421,Paste_Report_Here!$1:$1,0) -1</f>
        <v>10</v>
      </c>
      <c r="B421" s="165" t="s">
        <v>128</v>
      </c>
      <c r="C421" s="166">
        <f ca="1">RANK(N421,N416:N440)</f>
        <v>1</v>
      </c>
      <c r="D421" s="166">
        <f ca="1">RANK(P421,P416:P440)</f>
        <v>21</v>
      </c>
      <c r="E421" s="189" t="s">
        <v>157</v>
      </c>
      <c r="F421" s="179">
        <f ca="1">COUNTIFS(Paste_Report_Here!$E$1:$E$2000,E410, OFFSET(Paste_Report_Here!$A$1,0,$A421,2000,1),F$75)</f>
        <v>0</v>
      </c>
      <c r="G421" s="180">
        <f ca="1">COUNTIFS(Paste_Report_Here!$E$1:$E$2000,E410, OFFSET(Paste_Report_Here!$A$1,0,$A421,2000,1),G$75)</f>
        <v>2</v>
      </c>
      <c r="H421" s="180">
        <f ca="1">COUNTIFS(Paste_Report_Here!$E$1:$E$2000,E410, OFFSET(Paste_Report_Here!$A$1,0,$A421,2000,1),H$75)</f>
        <v>23</v>
      </c>
      <c r="I421" s="180">
        <f ca="1">COUNTIFS(Paste_Report_Here!$E$1:$E$2000,E410, OFFSET(Paste_Report_Here!$A$1,0,$A421,2000,1),I$75)</f>
        <v>4</v>
      </c>
      <c r="J421" s="180">
        <f ca="1">COUNTIFS(Paste_Report_Here!$E$1:$E$2000,E410, OFFSET(Paste_Report_Here!$A$1,0,$A421,2000,1),J$75)</f>
        <v>1</v>
      </c>
      <c r="K421" s="181">
        <f ca="1">COUNTIFS(Paste_Report_Here!$E$1:$E$2000,E410, OFFSET(Paste_Report_Here!$A$1,0,$A421,2000,1),K$75)</f>
        <v>0</v>
      </c>
      <c r="L421" s="166">
        <f t="shared" ca="1" si="62"/>
        <v>30</v>
      </c>
      <c r="M421" s="183">
        <f ca="1">SUMPRODUCT(F421:K421,F414:K414)/L:L</f>
        <v>6.6666666666666671E-3</v>
      </c>
      <c r="N421" s="166">
        <f t="shared" ca="1" si="63"/>
        <v>1.0066889383540194</v>
      </c>
      <c r="O421" s="165">
        <f t="shared" ca="1" si="65"/>
        <v>1600.0043714846461</v>
      </c>
      <c r="P421" s="165">
        <f t="shared" ca="1" si="64"/>
        <v>1610.7067020916684</v>
      </c>
    </row>
    <row r="422" spans="1:16" s="165" customFormat="1" x14ac:dyDescent="0.3">
      <c r="A422" s="165">
        <f>MATCH(Calcs!B422,Paste_Report_Here!$1:$1,0) -1</f>
        <v>11</v>
      </c>
      <c r="B422" s="165" t="s">
        <v>129</v>
      </c>
      <c r="C422" s="166">
        <f ca="1">RANK(N422,N416:N440)</f>
        <v>1</v>
      </c>
      <c r="D422" s="166">
        <f ca="1">RANK(P422,P416:P440)</f>
        <v>9</v>
      </c>
      <c r="E422" s="189" t="s">
        <v>158</v>
      </c>
      <c r="F422" s="179">
        <f ca="1">COUNTIFS(Paste_Report_Here!$E$1:$E$2000,E410, OFFSET(Paste_Report_Here!$A$1,0,$A422,2000,1),F$75)</f>
        <v>1</v>
      </c>
      <c r="G422" s="180">
        <f ca="1">COUNTIFS(Paste_Report_Here!$E$1:$E$2000,E410, OFFSET(Paste_Report_Here!$A$1,0,$A422,2000,1),G$75)</f>
        <v>3</v>
      </c>
      <c r="H422" s="180">
        <f ca="1">COUNTIFS(Paste_Report_Here!$E$1:$E$2000,E410, OFFSET(Paste_Report_Here!$A$1,0,$A422,2000,1),H$75)</f>
        <v>19</v>
      </c>
      <c r="I422" s="180">
        <f ca="1">COUNTIFS(Paste_Report_Here!$E$1:$E$2000,E410, OFFSET(Paste_Report_Here!$A$1,0,$A422,2000,1),I$75)</f>
        <v>5</v>
      </c>
      <c r="J422" s="180">
        <f ca="1">COUNTIFS(Paste_Report_Here!$E$1:$E$2000,E410, OFFSET(Paste_Report_Here!$A$1,0,$A422,2000,1),J$75)</f>
        <v>2</v>
      </c>
      <c r="K422" s="181">
        <f ca="1">COUNTIFS(Paste_Report_Here!$E$1:$E$2000,E410, OFFSET(Paste_Report_Here!$A$1,0,$A422,2000,1),K$75)</f>
        <v>0</v>
      </c>
      <c r="L422" s="166">
        <f t="shared" ca="1" si="62"/>
        <v>30</v>
      </c>
      <c r="M422" s="183">
        <f ca="1">SUMPRODUCT(F422:K422,F414:K414)/L:L</f>
        <v>6.6666666666666671E-3</v>
      </c>
      <c r="N422" s="166">
        <f t="shared" ca="1" si="63"/>
        <v>1.0066889383540194</v>
      </c>
      <c r="O422" s="165">
        <f t="shared" ca="1" si="65"/>
        <v>2481.5384206530853</v>
      </c>
      <c r="P422" s="165">
        <f t="shared" ca="1" si="64"/>
        <v>2498.1372781719642</v>
      </c>
    </row>
    <row r="423" spans="1:16" s="165" customFormat="1" x14ac:dyDescent="0.3">
      <c r="A423" s="165">
        <f>MATCH(Calcs!B423,Paste_Report_Here!$1:$1,0) -1</f>
        <v>12</v>
      </c>
      <c r="B423" s="165" t="s">
        <v>130</v>
      </c>
      <c r="C423" s="166">
        <f ca="1">RANK(N423,N416:N440)</f>
        <v>1</v>
      </c>
      <c r="D423" s="166">
        <f ca="1">RANK(P423,P416:P440)</f>
        <v>10</v>
      </c>
      <c r="E423" s="189" t="s">
        <v>159</v>
      </c>
      <c r="F423" s="179">
        <f ca="1">COUNTIFS(Paste_Report_Here!$E$1:$E$2000,E410, OFFSET(Paste_Report_Here!$A$1,0,$A423,2000,1),F$75)</f>
        <v>0</v>
      </c>
      <c r="G423" s="180">
        <f ca="1">COUNTIFS(Paste_Report_Here!$E$1:$E$2000,E410, OFFSET(Paste_Report_Here!$A$1,0,$A423,2000,1),G$75)</f>
        <v>2</v>
      </c>
      <c r="H423" s="180">
        <f ca="1">COUNTIFS(Paste_Report_Here!$E$1:$E$2000,E410, OFFSET(Paste_Report_Here!$A$1,0,$A423,2000,1),H$75)</f>
        <v>20</v>
      </c>
      <c r="I423" s="180">
        <f ca="1">COUNTIFS(Paste_Report_Here!$E$1:$E$2000,E410, OFFSET(Paste_Report_Here!$A$1,0,$A423,2000,1),I$75)</f>
        <v>7</v>
      </c>
      <c r="J423" s="180">
        <f ca="1">COUNTIFS(Paste_Report_Here!$E$1:$E$2000,E410, OFFSET(Paste_Report_Here!$A$1,0,$A423,2000,1),J$75)</f>
        <v>1</v>
      </c>
      <c r="K423" s="181">
        <f ca="1">COUNTIFS(Paste_Report_Here!$E$1:$E$2000,E410, OFFSET(Paste_Report_Here!$A$1,0,$A423,2000,1),K$75)</f>
        <v>0</v>
      </c>
      <c r="L423" s="166">
        <f t="shared" ca="1" si="62"/>
        <v>30</v>
      </c>
      <c r="M423" s="183">
        <f ca="1">SUMPRODUCT(F423:K423,F414:K414)/L:L</f>
        <v>6.6666666666666671E-3</v>
      </c>
      <c r="N423" s="166">
        <f t="shared" ca="1" si="63"/>
        <v>1.0066889383540194</v>
      </c>
      <c r="O423" s="165">
        <f t="shared" ca="1" si="65"/>
        <v>2307.1394281479838</v>
      </c>
      <c r="P423" s="165">
        <f t="shared" ca="1" si="64"/>
        <v>2322.5717415569934</v>
      </c>
    </row>
    <row r="424" spans="1:16" s="165" customFormat="1" x14ac:dyDescent="0.3">
      <c r="A424" s="165">
        <f>MATCH(Calcs!B424,Paste_Report_Here!$1:$1,0) -1</f>
        <v>13</v>
      </c>
      <c r="B424" s="165" t="s">
        <v>131</v>
      </c>
      <c r="C424" s="166">
        <f ca="1">RANK(N424,N416:N440)</f>
        <v>1</v>
      </c>
      <c r="D424" s="166">
        <f ca="1">RANK(P424,P416:P440)</f>
        <v>4</v>
      </c>
      <c r="E424" s="189" t="s">
        <v>160</v>
      </c>
      <c r="F424" s="179">
        <f ca="1">COUNTIFS(Paste_Report_Here!$E$1:$E$2000,E410, OFFSET(Paste_Report_Here!$A$1,0,$A424,2000,1),F$75)</f>
        <v>0</v>
      </c>
      <c r="G424" s="180">
        <f ca="1">COUNTIFS(Paste_Report_Here!$E$1:$E$2000,E410, OFFSET(Paste_Report_Here!$A$1,0,$A424,2000,1),G$75)</f>
        <v>1</v>
      </c>
      <c r="H424" s="180">
        <f ca="1">COUNTIFS(Paste_Report_Here!$E$1:$E$2000,E410, OFFSET(Paste_Report_Here!$A$1,0,$A424,2000,1),H$75)</f>
        <v>14</v>
      </c>
      <c r="I424" s="180">
        <f ca="1">COUNTIFS(Paste_Report_Here!$E$1:$E$2000,E410, OFFSET(Paste_Report_Here!$A$1,0,$A424,2000,1),I$75)</f>
        <v>14</v>
      </c>
      <c r="J424" s="180">
        <f ca="1">COUNTIFS(Paste_Report_Here!$E$1:$E$2000,E410, OFFSET(Paste_Report_Here!$A$1,0,$A424,2000,1),J$75)</f>
        <v>1</v>
      </c>
      <c r="K424" s="181">
        <f ca="1">COUNTIFS(Paste_Report_Here!$E$1:$E$2000,E410, OFFSET(Paste_Report_Here!$A$1,0,$A424,2000,1),K$75)</f>
        <v>0</v>
      </c>
      <c r="L424" s="166">
        <f t="shared" ca="1" si="62"/>
        <v>30</v>
      </c>
      <c r="M424" s="183">
        <f ca="1">SUMPRODUCT(F424:K424,F414:K414)/L:L</f>
        <v>6.6666666666666671E-3</v>
      </c>
      <c r="N424" s="166">
        <f t="shared" ca="1" si="63"/>
        <v>1.0066889383540194</v>
      </c>
      <c r="O424" s="165">
        <f t="shared" ca="1" si="65"/>
        <v>3516.7765482121104</v>
      </c>
      <c r="P424" s="165">
        <f t="shared" ca="1" si="64"/>
        <v>3540.3000497479625</v>
      </c>
    </row>
    <row r="425" spans="1:16" s="165" customFormat="1" x14ac:dyDescent="0.3">
      <c r="A425" s="165">
        <f>MATCH(Calcs!B425,Paste_Report_Here!$1:$1,0) -1</f>
        <v>14</v>
      </c>
      <c r="B425" s="165" t="s">
        <v>132</v>
      </c>
      <c r="C425" s="166">
        <f ca="1">RANK(N425,N416:N440)</f>
        <v>13</v>
      </c>
      <c r="D425" s="166">
        <f ca="1">RANK(P425,P416:P440)</f>
        <v>19</v>
      </c>
      <c r="E425" s="189" t="s">
        <v>161</v>
      </c>
      <c r="F425" s="179">
        <f ca="1">COUNTIFS(Paste_Report_Here!$E$1:$E$2000,E410, OFFSET(Paste_Report_Here!$A$1,0,$A425,2000,1),F$75)</f>
        <v>0</v>
      </c>
      <c r="G425" s="180">
        <f ca="1">COUNTIFS(Paste_Report_Here!$E$1:$E$2000,E410, OFFSET(Paste_Report_Here!$A$1,0,$A425,2000,1),G$75)</f>
        <v>5</v>
      </c>
      <c r="H425" s="180">
        <f ca="1">COUNTIFS(Paste_Report_Here!$E$1:$E$2000,E410, OFFSET(Paste_Report_Here!$A$1,0,$A425,2000,1),H$75)</f>
        <v>15</v>
      </c>
      <c r="I425" s="180">
        <f ca="1">COUNTIFS(Paste_Report_Here!$E$1:$E$2000,E410, OFFSET(Paste_Report_Here!$A$1,0,$A425,2000,1),I$75)</f>
        <v>10</v>
      </c>
      <c r="J425" s="180">
        <f ca="1">COUNTIFS(Paste_Report_Here!$E$1:$E$2000,E410, OFFSET(Paste_Report_Here!$A$1,0,$A425,2000,1),J$75)</f>
        <v>0</v>
      </c>
      <c r="K425" s="181">
        <f ca="1">COUNTIFS(Paste_Report_Here!$E$1:$E$2000,E410, OFFSET(Paste_Report_Here!$A$1,0,$A425,2000,1),K$75)</f>
        <v>0</v>
      </c>
      <c r="L425" s="166">
        <f t="shared" ca="1" si="62"/>
        <v>30</v>
      </c>
      <c r="M425" s="183">
        <f ca="1">SUMPRODUCT(F425:K425,F414:K414)/L:L</f>
        <v>0</v>
      </c>
      <c r="N425" s="166">
        <f t="shared" ca="1" si="63"/>
        <v>1</v>
      </c>
      <c r="O425" s="165">
        <f t="shared" ca="1" si="65"/>
        <v>1923.0648165986297</v>
      </c>
      <c r="P425" s="165">
        <f t="shared" ca="1" si="64"/>
        <v>1923.0648165986297</v>
      </c>
    </row>
    <row r="426" spans="1:16" s="165" customFormat="1" x14ac:dyDescent="0.3">
      <c r="A426" s="165">
        <f>MATCH(Calcs!B426,Paste_Report_Here!$1:$1,0) -1</f>
        <v>15</v>
      </c>
      <c r="B426" s="165" t="s">
        <v>133</v>
      </c>
      <c r="C426" s="166">
        <f ca="1">RANK(N426,N415:N439)</f>
        <v>1</v>
      </c>
      <c r="D426" s="166">
        <f ca="1">RANK(P426,P416:P440)</f>
        <v>7</v>
      </c>
      <c r="E426" s="189" t="s">
        <v>162</v>
      </c>
      <c r="F426" s="179">
        <f ca="1">COUNTIFS(Paste_Report_Here!$E$1:$E$2000,E410, OFFSET(Paste_Report_Here!$A$1,0,$A426,2000,1),F$75)</f>
        <v>0</v>
      </c>
      <c r="G426" s="180">
        <f ca="1">COUNTIFS(Paste_Report_Here!$E$1:$E$2000,E410, OFFSET(Paste_Report_Here!$A$1,0,$A426,2000,1),G$75)</f>
        <v>1</v>
      </c>
      <c r="H426" s="180">
        <f ca="1">COUNTIFS(Paste_Report_Here!$E$1:$E$2000,E410, OFFSET(Paste_Report_Here!$A$1,0,$A426,2000,1),H$75)</f>
        <v>16</v>
      </c>
      <c r="I426" s="180">
        <f ca="1">COUNTIFS(Paste_Report_Here!$E$1:$E$2000,E410, OFFSET(Paste_Report_Here!$A$1,0,$A426,2000,1),I$75)</f>
        <v>12</v>
      </c>
      <c r="J426" s="180">
        <f ca="1">COUNTIFS(Paste_Report_Here!$E$1:$E$2000,E410, OFFSET(Paste_Report_Here!$A$1,0,$A426,2000,1),J$75)</f>
        <v>1</v>
      </c>
      <c r="K426" s="181">
        <f ca="1">COUNTIFS(Paste_Report_Here!$E$1:$E$2000,E410, OFFSET(Paste_Report_Here!$A$1,0,$A426,2000,1),K$75)</f>
        <v>0</v>
      </c>
      <c r="L426" s="166">
        <f t="shared" ca="1" si="62"/>
        <v>30</v>
      </c>
      <c r="M426" s="183">
        <f ca="1">SUMPRODUCT(F426:K426,F414:K414)/L:L</f>
        <v>6.6666666666666671E-3</v>
      </c>
      <c r="N426" s="166">
        <f t="shared" ca="1" si="63"/>
        <v>1.0066889383540194</v>
      </c>
      <c r="O426" s="165">
        <f t="shared" ca="1" si="65"/>
        <v>2767.575388105266</v>
      </c>
      <c r="P426" s="165">
        <f t="shared" ca="1" si="64"/>
        <v>2786.0875292664036</v>
      </c>
    </row>
    <row r="427" spans="1:16" s="165" customFormat="1" x14ac:dyDescent="0.3">
      <c r="A427" s="165">
        <f>MATCH(Calcs!B427,Paste_Report_Here!$1:$1,0) -1</f>
        <v>16</v>
      </c>
      <c r="B427" s="165" t="s">
        <v>134</v>
      </c>
      <c r="C427" s="166">
        <f ca="1">RANK(N427,N416:N440)</f>
        <v>13</v>
      </c>
      <c r="D427" s="166">
        <f ca="1">RANK(P427,P416:P440)</f>
        <v>23</v>
      </c>
      <c r="E427" s="189" t="s">
        <v>163</v>
      </c>
      <c r="F427" s="179">
        <f ca="1">COUNTIFS(Paste_Report_Here!$E$1:$E$2000,E410, OFFSET(Paste_Report_Here!$A$1,0,$A427,2000,1),F$75)</f>
        <v>0</v>
      </c>
      <c r="G427" s="180">
        <f ca="1">COUNTIFS(Paste_Report_Here!$E$1:$E$2000,E410, OFFSET(Paste_Report_Here!$A$1,0,$A427,2000,1),G$75)</f>
        <v>3</v>
      </c>
      <c r="H427" s="180">
        <f ca="1">COUNTIFS(Paste_Report_Here!$E$1:$E$2000,E410, OFFSET(Paste_Report_Here!$A$1,0,$A427,2000,1),H$75)</f>
        <v>26</v>
      </c>
      <c r="I427" s="180">
        <f ca="1">COUNTIFS(Paste_Report_Here!$E$1:$E$2000,E410, OFFSET(Paste_Report_Here!$A$1,0,$A427,2000,1),I$75)</f>
        <v>1</v>
      </c>
      <c r="J427" s="180">
        <f ca="1">COUNTIFS(Paste_Report_Here!$E$1:$E$2000,E410, OFFSET(Paste_Report_Here!$A$1,0,$A427,2000,1),J$75)</f>
        <v>0</v>
      </c>
      <c r="K427" s="181">
        <f ca="1">COUNTIFS(Paste_Report_Here!$E$1:$E$2000,E410, OFFSET(Paste_Report_Here!$A$1,0,$A427,2000,1),K$75)</f>
        <v>0</v>
      </c>
      <c r="L427" s="166">
        <f t="shared" ca="1" si="62"/>
        <v>30</v>
      </c>
      <c r="M427" s="183">
        <f ca="1">SUMPRODUCT(F427:K427,F414:K414)/L:L</f>
        <v>0</v>
      </c>
      <c r="N427" s="166">
        <f t="shared" ca="1" si="63"/>
        <v>1</v>
      </c>
      <c r="O427" s="165">
        <f t="shared" ca="1" si="65"/>
        <v>1173.2454452500563</v>
      </c>
      <c r="P427" s="165">
        <f t="shared" ca="1" si="64"/>
        <v>1173.2454452500563</v>
      </c>
    </row>
    <row r="428" spans="1:16" s="165" customFormat="1" x14ac:dyDescent="0.3">
      <c r="A428" s="165">
        <f>MATCH(Calcs!B428,Paste_Report_Here!$1:$1,0) -1</f>
        <v>17</v>
      </c>
      <c r="B428" s="165" t="s">
        <v>135</v>
      </c>
      <c r="C428" s="166">
        <f ca="1">RANK(N428,N416:N440)</f>
        <v>13</v>
      </c>
      <c r="D428" s="166">
        <f ca="1">RANK(P428,P416:P440)</f>
        <v>20</v>
      </c>
      <c r="E428" s="189" t="s">
        <v>164</v>
      </c>
      <c r="F428" s="179">
        <f ca="1">COUNTIFS(Paste_Report_Here!$E$1:$E$2000,E410, OFFSET(Paste_Report_Here!$A$1,0,$A428,2000,1),F$75)</f>
        <v>0</v>
      </c>
      <c r="G428" s="180">
        <f ca="1">COUNTIFS(Paste_Report_Here!$E$1:$E$2000,E410, OFFSET(Paste_Report_Here!$A$1,0,$A428,2000,1),G$75)</f>
        <v>0</v>
      </c>
      <c r="H428" s="180">
        <f ca="1">COUNTIFS(Paste_Report_Here!$E$1:$E$2000,E410, OFFSET(Paste_Report_Here!$A$1,0,$A428,2000,1),H$75)</f>
        <v>26</v>
      </c>
      <c r="I428" s="180">
        <f ca="1">COUNTIFS(Paste_Report_Here!$E$1:$E$2000,E410, OFFSET(Paste_Report_Here!$A$1,0,$A428,2000,1),I$75)</f>
        <v>4</v>
      </c>
      <c r="J428" s="180">
        <f ca="1">COUNTIFS(Paste_Report_Here!$E$1:$E$2000,E410, OFFSET(Paste_Report_Here!$A$1,0,$A428,2000,1),J$75)</f>
        <v>0</v>
      </c>
      <c r="K428" s="181">
        <f ca="1">COUNTIFS(Paste_Report_Here!$E$1:$E$2000,E410, OFFSET(Paste_Report_Here!$A$1,0,$A428,2000,1),K$75)</f>
        <v>0</v>
      </c>
      <c r="L428" s="166">
        <f t="shared" ca="1" si="62"/>
        <v>30</v>
      </c>
      <c r="M428" s="183">
        <f ca="1">SUMPRODUCT(F428:K428,F414:K414)/L:L</f>
        <v>0</v>
      </c>
      <c r="N428" s="166">
        <f t="shared" ca="1" si="63"/>
        <v>1</v>
      </c>
      <c r="O428" s="165">
        <f t="shared" ca="1" si="65"/>
        <v>1796.0859583512529</v>
      </c>
      <c r="P428" s="165">
        <f t="shared" ca="1" si="64"/>
        <v>1796.0859583512529</v>
      </c>
    </row>
    <row r="429" spans="1:16" s="165" customFormat="1" x14ac:dyDescent="0.3">
      <c r="A429" s="165">
        <f>MATCH(Calcs!B429,Paste_Report_Here!$1:$1,0) -1</f>
        <v>18</v>
      </c>
      <c r="B429" s="165" t="s">
        <v>136</v>
      </c>
      <c r="C429" s="166">
        <f ca="1">RANK(N429,N416:N440)</f>
        <v>1</v>
      </c>
      <c r="D429" s="166">
        <f ca="1">RANK(P429,P416:P440)</f>
        <v>3</v>
      </c>
      <c r="E429" s="189" t="s">
        <v>165</v>
      </c>
      <c r="F429" s="179">
        <f ca="1">COUNTIFS(Paste_Report_Here!$E$1:$E$2000,E410, OFFSET(Paste_Report_Here!$A$1,0,$A429,2000,1),F$75)</f>
        <v>0</v>
      </c>
      <c r="G429" s="180">
        <f ca="1">COUNTIFS(Paste_Report_Here!$E$1:$E$2000,E410, OFFSET(Paste_Report_Here!$A$1,0,$A429,2000,1),G$75)</f>
        <v>3</v>
      </c>
      <c r="H429" s="180">
        <f ca="1">COUNTIFS(Paste_Report_Here!$E$1:$E$2000,E410, OFFSET(Paste_Report_Here!$A$1,0,$A429,2000,1),H$75)</f>
        <v>14</v>
      </c>
      <c r="I429" s="180">
        <f ca="1">COUNTIFS(Paste_Report_Here!$E$1:$E$2000,E410, OFFSET(Paste_Report_Here!$A$1,0,$A429,2000,1),I$75)</f>
        <v>12</v>
      </c>
      <c r="J429" s="180">
        <f ca="1">COUNTIFS(Paste_Report_Here!$E$1:$E$2000,E410, OFFSET(Paste_Report_Here!$A$1,0,$A429,2000,1),J$75)</f>
        <v>1</v>
      </c>
      <c r="K429" s="181">
        <f ca="1">COUNTIFS(Paste_Report_Here!$E$1:$E$2000,E410, OFFSET(Paste_Report_Here!$A$1,0,$A429,2000,1),K$75)</f>
        <v>0</v>
      </c>
      <c r="L429" s="166">
        <f t="shared" ca="1" si="62"/>
        <v>30</v>
      </c>
      <c r="M429" s="183">
        <f ca="1">SUMPRODUCT(F429:K429,F414:K414)/L:L</f>
        <v>6.6666666666666671E-3</v>
      </c>
      <c r="N429" s="166">
        <f t="shared" ca="1" si="63"/>
        <v>1.0066889383540194</v>
      </c>
      <c r="O429" s="165">
        <f t="shared" ca="1" si="65"/>
        <v>3624.3710764875927</v>
      </c>
      <c r="P429" s="165">
        <f t="shared" ca="1" si="64"/>
        <v>3648.6142711903094</v>
      </c>
    </row>
    <row r="430" spans="1:16" s="165" customFormat="1" x14ac:dyDescent="0.3">
      <c r="A430" s="165">
        <f>MATCH(Calcs!B430,Paste_Report_Here!$1:$1,0) -1</f>
        <v>19</v>
      </c>
      <c r="B430" s="165" t="s">
        <v>137</v>
      </c>
      <c r="C430" s="166">
        <f ca="1">RANK(N430,N416:N440)</f>
        <v>1</v>
      </c>
      <c r="D430" s="166">
        <f ca="1">RANK(P430,P416:P440)</f>
        <v>15</v>
      </c>
      <c r="E430" s="189" t="s">
        <v>166</v>
      </c>
      <c r="F430" s="179">
        <f ca="1">COUNTIFS(Paste_Report_Here!$E$1:$E$2000,E410, OFFSET(Paste_Report_Here!$A$1,0,$A430,2000,1),F$75)</f>
        <v>0</v>
      </c>
      <c r="G430" s="180">
        <f ca="1">COUNTIFS(Paste_Report_Here!$E$1:$E$2000,E410, OFFSET(Paste_Report_Here!$A$1,0,$A430,2000,1),G$75)</f>
        <v>3</v>
      </c>
      <c r="H430" s="180">
        <f ca="1">COUNTIFS(Paste_Report_Here!$E$1:$E$2000,E410, OFFSET(Paste_Report_Here!$A$1,0,$A430,2000,1),H$75)</f>
        <v>20</v>
      </c>
      <c r="I430" s="180">
        <f ca="1">COUNTIFS(Paste_Report_Here!$E$1:$E$2000,E410, OFFSET(Paste_Report_Here!$A$1,0,$A430,2000,1),I$75)</f>
        <v>6</v>
      </c>
      <c r="J430" s="180">
        <f ca="1">COUNTIFS(Paste_Report_Here!$E$1:$E$2000,E410, OFFSET(Paste_Report_Here!$A$1,0,$A430,2000,1),J$75)</f>
        <v>1</v>
      </c>
      <c r="K430" s="181">
        <f ca="1">COUNTIFS(Paste_Report_Here!$E$1:$E$2000,E410, OFFSET(Paste_Report_Here!$A$1,0,$A430,2000,1),K$75)</f>
        <v>0</v>
      </c>
      <c r="L430" s="166">
        <f t="shared" ca="1" si="62"/>
        <v>30</v>
      </c>
      <c r="M430" s="183">
        <f ca="1">SUMPRODUCT(F430:K430,F414:K414)/L:L</f>
        <v>6.6666666666666671E-3</v>
      </c>
      <c r="N430" s="166">
        <f t="shared" ca="1" si="63"/>
        <v>1.0066889383540194</v>
      </c>
      <c r="O430" s="165">
        <f t="shared" ca="1" si="65"/>
        <v>2108.5739917011865</v>
      </c>
      <c r="P430" s="165">
        <f t="shared" ca="1" si="64"/>
        <v>2122.6781131465646</v>
      </c>
    </row>
    <row r="431" spans="1:16" s="165" customFormat="1" x14ac:dyDescent="0.3">
      <c r="A431" s="165">
        <f>MATCH(Calcs!B431,Paste_Report_Here!$1:$1,0) -1</f>
        <v>20</v>
      </c>
      <c r="B431" s="165" t="s">
        <v>138</v>
      </c>
      <c r="C431" s="166">
        <f ca="1">RANK(N431,N416:N440)</f>
        <v>25</v>
      </c>
      <c r="D431" s="166">
        <f ca="1">RANK(P431,P416:P440)</f>
        <v>18</v>
      </c>
      <c r="E431" s="189" t="s">
        <v>167</v>
      </c>
      <c r="F431" s="179">
        <f ca="1">COUNTIFS(Paste_Report_Here!$E$1:$E$2000,E410, OFFSET(Paste_Report_Here!$A$1,0,$A431,2000,1),F$75)</f>
        <v>2</v>
      </c>
      <c r="G431" s="180">
        <f ca="1">COUNTIFS(Paste_Report_Here!$E$1:$E$2000,E410, OFFSET(Paste_Report_Here!$A$1,0,$A431,2000,1),G$75)</f>
        <v>0</v>
      </c>
      <c r="H431" s="180">
        <f ca="1">COUNTIFS(Paste_Report_Here!$E$1:$E$2000,E410, OFFSET(Paste_Report_Here!$A$1,0,$A431,2000,1),H$75)</f>
        <v>16</v>
      </c>
      <c r="I431" s="180">
        <f ca="1">COUNTIFS(Paste_Report_Here!$E$1:$E$2000,E410, OFFSET(Paste_Report_Here!$A$1,0,$A431,2000,1),I$75)</f>
        <v>12</v>
      </c>
      <c r="J431" s="180">
        <f ca="1">COUNTIFS(Paste_Report_Here!$E$1:$E$2000,E410, OFFSET(Paste_Report_Here!$A$1,0,$A431,2000,1),J$75)</f>
        <v>0</v>
      </c>
      <c r="K431" s="181">
        <f ca="1">COUNTIFS(Paste_Report_Here!$E$1:$E$2000,E410, OFFSET(Paste_Report_Here!$A$1,0,$A431,2000,1),K$75)</f>
        <v>0</v>
      </c>
      <c r="L431" s="166">
        <f t="shared" ca="1" si="62"/>
        <v>30</v>
      </c>
      <c r="M431" s="183">
        <f ca="1">SUMPRODUCT(F431:K431,F414:K414)/L:L</f>
        <v>-1.3333333333333334E-2</v>
      </c>
      <c r="N431" s="166">
        <f t="shared" ca="1" si="63"/>
        <v>0.98675516180719569</v>
      </c>
      <c r="O431" s="165">
        <f t="shared" ca="1" si="65"/>
        <v>1986.690681503193</v>
      </c>
      <c r="P431" s="165">
        <f t="shared" ca="1" si="64"/>
        <v>1960.377284887531</v>
      </c>
    </row>
    <row r="432" spans="1:16" s="165" customFormat="1" x14ac:dyDescent="0.3">
      <c r="A432" s="165">
        <f>MATCH(Calcs!B432,Paste_Report_Here!$1:$1,0) -1</f>
        <v>21</v>
      </c>
      <c r="B432" s="165" t="s">
        <v>139</v>
      </c>
      <c r="C432" s="166">
        <f ca="1">RANK(N432,N416:N440)</f>
        <v>22</v>
      </c>
      <c r="D432" s="166">
        <f ca="1">RANK(P432,P416:P440)</f>
        <v>14</v>
      </c>
      <c r="E432" s="189" t="s">
        <v>168</v>
      </c>
      <c r="F432" s="179">
        <f ca="1">COUNTIFS(Paste_Report_Here!$E$1:$E$2000,E410, OFFSET(Paste_Report_Here!$A$1,0,$A432,2000,1),F$75)</f>
        <v>1</v>
      </c>
      <c r="G432" s="180">
        <f ca="1">COUNTIFS(Paste_Report_Here!$E$1:$E$2000,E410, OFFSET(Paste_Report_Here!$A$1,0,$A432,2000,1),G$75)</f>
        <v>2</v>
      </c>
      <c r="H432" s="180">
        <f ca="1">COUNTIFS(Paste_Report_Here!$E$1:$E$2000,E410, OFFSET(Paste_Report_Here!$A$1,0,$A432,2000,1),H$75)</f>
        <v>23</v>
      </c>
      <c r="I432" s="180">
        <f ca="1">COUNTIFS(Paste_Report_Here!$E$1:$E$2000,E410, OFFSET(Paste_Report_Here!$A$1,0,$A432,2000,1),I$75)</f>
        <v>4</v>
      </c>
      <c r="J432" s="180">
        <f ca="1">COUNTIFS(Paste_Report_Here!$E$1:$E$2000,E410, OFFSET(Paste_Report_Here!$A$1,0,$A432,2000,1),J$75)</f>
        <v>0</v>
      </c>
      <c r="K432" s="181">
        <f ca="1">COUNTIFS(Paste_Report_Here!$E$1:$E$2000,E410, OFFSET(Paste_Report_Here!$A$1,0,$A432,2000,1),K$75)</f>
        <v>0</v>
      </c>
      <c r="L432" s="166">
        <f t="shared" ca="1" si="62"/>
        <v>30</v>
      </c>
      <c r="M432" s="183">
        <f ca="1">SUMPRODUCT(F432:K432,F414:K414)/L:L</f>
        <v>-6.6666666666666671E-3</v>
      </c>
      <c r="N432" s="166">
        <f t="shared" ca="1" si="63"/>
        <v>0.99335550625503444</v>
      </c>
      <c r="O432" s="165">
        <f t="shared" ca="1" si="65"/>
        <v>2143.0160272713701</v>
      </c>
      <c r="P432" s="165">
        <f t="shared" ca="1" si="64"/>
        <v>2128.7767706828045</v>
      </c>
    </row>
    <row r="433" spans="1:16" s="165" customFormat="1" x14ac:dyDescent="0.3">
      <c r="A433" s="165">
        <f>MATCH(Calcs!B433,Paste_Report_Here!$1:$1,0) -1</f>
        <v>22</v>
      </c>
      <c r="B433" s="165" t="s">
        <v>140</v>
      </c>
      <c r="C433" s="166">
        <f ca="1">RANK(N433,N416:N440)</f>
        <v>13</v>
      </c>
      <c r="D433" s="166">
        <f ca="1">RANK(P433,P416:P440)</f>
        <v>17</v>
      </c>
      <c r="E433" s="189" t="s">
        <v>169</v>
      </c>
      <c r="F433" s="179">
        <f ca="1">COUNTIFS(Paste_Report_Here!$E$1:$E$2000,E410, OFFSET(Paste_Report_Here!$A$1,0,$A433,2000,1),F$75)</f>
        <v>0</v>
      </c>
      <c r="G433" s="180">
        <f ca="1">COUNTIFS(Paste_Report_Here!$E$1:$E$2000,E410, OFFSET(Paste_Report_Here!$A$1,0,$A433,2000,1),G$75)</f>
        <v>2</v>
      </c>
      <c r="H433" s="180">
        <f ca="1">COUNTIFS(Paste_Report_Here!$E$1:$E$2000,E410, OFFSET(Paste_Report_Here!$A$1,0,$A433,2000,1),H$75)</f>
        <v>25</v>
      </c>
      <c r="I433" s="180">
        <f ca="1">COUNTIFS(Paste_Report_Here!$E$1:$E$2000,E410, OFFSET(Paste_Report_Here!$A$1,0,$A433,2000,1),I$75)</f>
        <v>3</v>
      </c>
      <c r="J433" s="180">
        <f ca="1">COUNTIFS(Paste_Report_Here!$E$1:$E$2000,E410, OFFSET(Paste_Report_Here!$A$1,0,$A433,2000,1),J$75)</f>
        <v>0</v>
      </c>
      <c r="K433" s="181">
        <f ca="1">COUNTIFS(Paste_Report_Here!$E$1:$E$2000,E410, OFFSET(Paste_Report_Here!$A$1,0,$A433,2000,1),K$75)</f>
        <v>0</v>
      </c>
      <c r="L433" s="166">
        <f t="shared" ca="1" si="62"/>
        <v>30</v>
      </c>
      <c r="M433" s="183">
        <f ca="1">SUMPRODUCT(F433:K433,F414:K414)/L:L</f>
        <v>0</v>
      </c>
      <c r="N433" s="166">
        <f t="shared" ca="1" si="63"/>
        <v>1</v>
      </c>
      <c r="O433" s="165">
        <f t="shared" ca="1" si="65"/>
        <v>2000.7199696354014</v>
      </c>
      <c r="P433" s="165">
        <f t="shared" ca="1" si="64"/>
        <v>2000.7199696354014</v>
      </c>
    </row>
    <row r="434" spans="1:16" s="165" customFormat="1" x14ac:dyDescent="0.3">
      <c r="A434" s="165">
        <f>MATCH(Calcs!B434,Paste_Report_Here!$1:$1,0) -1</f>
        <v>23</v>
      </c>
      <c r="B434" s="165" t="s">
        <v>186</v>
      </c>
      <c r="C434" s="166">
        <f ca="1">RANK(N434,N416:N440)</f>
        <v>1</v>
      </c>
      <c r="D434" s="166">
        <f ca="1">RANK(P434,P416:P440)</f>
        <v>2</v>
      </c>
      <c r="E434" s="189" t="s">
        <v>180</v>
      </c>
      <c r="F434" s="179">
        <f ca="1">COUNTIFS(Paste_Report_Here!$E$1:$E$2000,E410, OFFSET(Paste_Report_Here!$A$1,0,$A434,2000,1),F$75)</f>
        <v>1</v>
      </c>
      <c r="G434" s="180">
        <f ca="1">COUNTIFS(Paste_Report_Here!$E$1:$E$2000,E410, OFFSET(Paste_Report_Here!$A$1,0,$A434,2000,1),G$75)</f>
        <v>0</v>
      </c>
      <c r="H434" s="180">
        <f ca="1">COUNTIFS(Paste_Report_Here!$E$1:$E$2000,E410, OFFSET(Paste_Report_Here!$A$1,0,$A434,2000,1),H$75)</f>
        <v>24</v>
      </c>
      <c r="I434" s="180">
        <f ca="1">COUNTIFS(Paste_Report_Here!$E$1:$E$2000,E410, OFFSET(Paste_Report_Here!$A$1,0,$A434,2000,1),I$75)</f>
        <v>3</v>
      </c>
      <c r="J434" s="180">
        <f ca="1">COUNTIFS(Paste_Report_Here!$E$1:$E$2000,E410, OFFSET(Paste_Report_Here!$A$1,0,$A434,2000,1),J$75)</f>
        <v>2</v>
      </c>
      <c r="K434" s="181">
        <f ca="1">COUNTIFS(Paste_Report_Here!$E$1:$E$2000,E410, OFFSET(Paste_Report_Here!$A$1,0,$A434,2000,1),K$75)</f>
        <v>0</v>
      </c>
      <c r="L434" s="166">
        <f t="shared" ca="1" si="62"/>
        <v>30</v>
      </c>
      <c r="M434" s="183">
        <f ca="1">SUMPRODUCT(F434:K434,F414:K414)/L:L</f>
        <v>6.6666666666666671E-3</v>
      </c>
      <c r="N434" s="166">
        <f t="shared" ca="1" si="63"/>
        <v>1.0066889383540194</v>
      </c>
      <c r="O434" s="165">
        <f t="shared" ca="1" si="65"/>
        <v>3675.9066758476574</v>
      </c>
      <c r="P434" s="165">
        <f t="shared" ca="1" si="64"/>
        <v>3700.4945889975306</v>
      </c>
    </row>
    <row r="435" spans="1:16" s="165" customFormat="1" x14ac:dyDescent="0.3">
      <c r="A435" s="165">
        <f>MATCH(Calcs!B435,Paste_Report_Here!$1:$1,0) -1</f>
        <v>24</v>
      </c>
      <c r="B435" s="165" t="s">
        <v>209</v>
      </c>
      <c r="C435" s="166">
        <f ca="1">RANK(N435,N416:N440)</f>
        <v>22</v>
      </c>
      <c r="D435" s="166">
        <f ca="1">RANK(P435,P416:P440)</f>
        <v>24</v>
      </c>
      <c r="E435" s="202" t="s">
        <v>211</v>
      </c>
      <c r="F435" s="179">
        <f ca="1">COUNTIFS(Paste_Report_Here!$E$1:$E$2000,E410, OFFSET(Paste_Report_Here!$A$1,0,$A435,2000,1),F$75)</f>
        <v>1</v>
      </c>
      <c r="G435" s="180">
        <f ca="1">COUNTIFS(Paste_Report_Here!$E$1:$E$2000,E410, OFFSET(Paste_Report_Here!$A$1,0,$A435,2000,1),G$75)</f>
        <v>1</v>
      </c>
      <c r="H435" s="180">
        <f ca="1">COUNTIFS(Paste_Report_Here!$E$1:$E$2000,E410, OFFSET(Paste_Report_Here!$A$1,0,$A435,2000,1),H$75)</f>
        <v>23</v>
      </c>
      <c r="I435" s="180">
        <f ca="1">COUNTIFS(Paste_Report_Here!$E$1:$E$2000,E410, OFFSET(Paste_Report_Here!$A$1,0,$A435,2000,1),I$75)</f>
        <v>4</v>
      </c>
      <c r="J435" s="180">
        <f ca="1">COUNTIFS(Paste_Report_Here!$E$1:$E$2000,E410, OFFSET(Paste_Report_Here!$A$1,0,$A435,2000,1),J$75)</f>
        <v>0</v>
      </c>
      <c r="K435" s="181">
        <f ca="1">COUNTIFS(Paste_Report_Here!$E$1:$E$2000,E410, OFFSET(Paste_Report_Here!$A$1,0,$A435,2000,1),K$75)</f>
        <v>1</v>
      </c>
      <c r="L435" s="166">
        <f t="shared" ca="1" si="62"/>
        <v>30</v>
      </c>
      <c r="M435" s="183">
        <f ca="1">SUMPRODUCT(F435:K435,F414:K414)/L:L</f>
        <v>-6.6666666666666671E-3</v>
      </c>
      <c r="N435" s="166">
        <f t="shared" ca="1" si="63"/>
        <v>0.99335550625503444</v>
      </c>
      <c r="O435" s="165">
        <f t="shared" ca="1" si="65"/>
        <v>1174.0140787258019</v>
      </c>
      <c r="P435" s="165">
        <f t="shared" ca="1" si="64"/>
        <v>1166.2133495232069</v>
      </c>
    </row>
    <row r="436" spans="1:16" s="165" customFormat="1" x14ac:dyDescent="0.3">
      <c r="A436" s="165">
        <f>MATCH(Calcs!B436,Paste_Report_Here!$1:$1,0) -1</f>
        <v>25</v>
      </c>
      <c r="B436" s="165" t="s">
        <v>141</v>
      </c>
      <c r="C436" s="166">
        <f ca="1">RANK(N436,N416:N440)</f>
        <v>13</v>
      </c>
      <c r="D436" s="166">
        <f ca="1">RANK(P436,P416:P440)</f>
        <v>22</v>
      </c>
      <c r="E436" s="189" t="s">
        <v>170</v>
      </c>
      <c r="F436" s="179">
        <f ca="1">COUNTIFS(Paste_Report_Here!$E$1:$E$2000,E410, OFFSET(Paste_Report_Here!$A$1,0,$A436,2000,1),F$75)</f>
        <v>0</v>
      </c>
      <c r="G436" s="180">
        <f ca="1">COUNTIFS(Paste_Report_Here!$E$1:$E$2000,E410, OFFSET(Paste_Report_Here!$A$1,0,$A436,2000,1),G$75)</f>
        <v>5</v>
      </c>
      <c r="H436" s="180">
        <f ca="1">COUNTIFS(Paste_Report_Here!$E$1:$E$2000,E410, OFFSET(Paste_Report_Here!$A$1,0,$A436,2000,1),H$75)</f>
        <v>22</v>
      </c>
      <c r="I436" s="180">
        <f ca="1">COUNTIFS(Paste_Report_Here!$E$1:$E$2000,E410, OFFSET(Paste_Report_Here!$A$1,0,$A436,2000,1),I$75)</f>
        <v>3</v>
      </c>
      <c r="J436" s="180">
        <f ca="1">COUNTIFS(Paste_Report_Here!$E$1:$E$2000,E410, OFFSET(Paste_Report_Here!$A$1,0,$A436,2000,1),J$75)</f>
        <v>0</v>
      </c>
      <c r="K436" s="181">
        <f ca="1">COUNTIFS(Paste_Report_Here!$E$1:$E$2000,E410, OFFSET(Paste_Report_Here!$A$1,0,$A436,2000,1),K$75)</f>
        <v>0</v>
      </c>
      <c r="L436" s="166">
        <f t="shared" ca="1" si="62"/>
        <v>30</v>
      </c>
      <c r="M436" s="183">
        <f ca="1">SUMPRODUCT(F436:K436,F414:K414)/L:L</f>
        <v>0</v>
      </c>
      <c r="N436" s="166">
        <f t="shared" ca="1" si="63"/>
        <v>1</v>
      </c>
      <c r="O436" s="165">
        <f t="shared" ca="1" si="65"/>
        <v>1395.1831739772081</v>
      </c>
      <c r="P436" s="165">
        <f t="shared" ca="1" si="64"/>
        <v>1395.1831739772081</v>
      </c>
    </row>
    <row r="437" spans="1:16" s="165" customFormat="1" x14ac:dyDescent="0.3">
      <c r="A437" s="165">
        <f>MATCH(Calcs!B437,Paste_Report_Here!$1:$1,0) -1</f>
        <v>26</v>
      </c>
      <c r="B437" s="165" t="s">
        <v>142</v>
      </c>
      <c r="C437" s="166">
        <f ca="1">RANK(N437,N416:N440)</f>
        <v>13</v>
      </c>
      <c r="D437" s="166">
        <f ca="1">RANK(P437,P416:P440)</f>
        <v>11</v>
      </c>
      <c r="E437" s="189" t="s">
        <v>171</v>
      </c>
      <c r="F437" s="179">
        <f ca="1">COUNTIFS(Paste_Report_Here!$E$1:$E$2000,E410, OFFSET(Paste_Report_Here!$A$1,0,$A437,2000,1),F$75)</f>
        <v>1</v>
      </c>
      <c r="G437" s="180">
        <f ca="1">COUNTIFS(Paste_Report_Here!$E$1:$E$2000,E410, OFFSET(Paste_Report_Here!$A$1,0,$A437,2000,1),G$75)</f>
        <v>2</v>
      </c>
      <c r="H437" s="180">
        <f ca="1">COUNTIFS(Paste_Report_Here!$E$1:$E$2000,E410, OFFSET(Paste_Report_Here!$A$1,0,$A437,2000,1),H$75)</f>
        <v>21</v>
      </c>
      <c r="I437" s="180">
        <f ca="1">COUNTIFS(Paste_Report_Here!$E$1:$E$2000,E410, OFFSET(Paste_Report_Here!$A$1,0,$A437,2000,1),I$75)</f>
        <v>5</v>
      </c>
      <c r="J437" s="180">
        <f ca="1">COUNTIFS(Paste_Report_Here!$E$1:$E$2000,E410, OFFSET(Paste_Report_Here!$A$1,0,$A437,2000,1),J$75)</f>
        <v>1</v>
      </c>
      <c r="K437" s="181">
        <f ca="1">COUNTIFS(Paste_Report_Here!$E$1:$E$2000,E410, OFFSET(Paste_Report_Here!$A$1,0,$A437,2000,1),K$75)</f>
        <v>0</v>
      </c>
      <c r="L437" s="166">
        <f t="shared" ca="1" si="62"/>
        <v>30</v>
      </c>
      <c r="M437" s="183">
        <f ca="1">SUMPRODUCT(F437:K437,F414:K414)/L:L</f>
        <v>0</v>
      </c>
      <c r="N437" s="166">
        <f t="shared" ca="1" si="63"/>
        <v>1</v>
      </c>
      <c r="O437" s="165">
        <f t="shared" ca="1" si="65"/>
        <v>2317.025678171553</v>
      </c>
      <c r="P437" s="165">
        <f t="shared" ca="1" si="64"/>
        <v>2317.025678171553</v>
      </c>
    </row>
    <row r="438" spans="1:16" s="165" customFormat="1" x14ac:dyDescent="0.3">
      <c r="A438" s="165">
        <f>MATCH(Calcs!B438,Paste_Report_Here!$1:$1,0) -1</f>
        <v>27</v>
      </c>
      <c r="B438" s="165" t="s">
        <v>210</v>
      </c>
      <c r="C438" s="166">
        <f ca="1">RANK(N438,N416:N440)</f>
        <v>13</v>
      </c>
      <c r="D438" s="166">
        <f ca="1">RANK(P438,P416:P440)</f>
        <v>25</v>
      </c>
      <c r="E438" s="202" t="s">
        <v>212</v>
      </c>
      <c r="F438" s="179">
        <f ca="1">COUNTIFS(Paste_Report_Here!$E$1:$E$2000,E410, OFFSET(Paste_Report_Here!$A$1,0,$A438,2000,1),F$75)</f>
        <v>0</v>
      </c>
      <c r="G438" s="180">
        <f ca="1">COUNTIFS(Paste_Report_Here!$E$1:$E$2000,E410, OFFSET(Paste_Report_Here!$A$1,0,$A438,2000,1),G$75)</f>
        <v>2</v>
      </c>
      <c r="H438" s="180">
        <f ca="1">COUNTIFS(Paste_Report_Here!$E$1:$E$2000,E410, OFFSET(Paste_Report_Here!$A$1,0,$A438,2000,1),H$75)</f>
        <v>23</v>
      </c>
      <c r="I438" s="180">
        <f ca="1">COUNTIFS(Paste_Report_Here!$E$1:$E$2000,E410, OFFSET(Paste_Report_Here!$A$1,0,$A438,2000,1),I$75)</f>
        <v>5</v>
      </c>
      <c r="J438" s="180">
        <f ca="1">COUNTIFS(Paste_Report_Here!$E$1:$E$2000,E410, OFFSET(Paste_Report_Here!$A$1,0,$A438,2000,1),J$75)</f>
        <v>0</v>
      </c>
      <c r="K438" s="181">
        <f ca="1">COUNTIFS(Paste_Report_Here!$E$1:$E$2000,E410, OFFSET(Paste_Report_Here!$A$1,0,$A438,2000,1),K$75)</f>
        <v>0</v>
      </c>
      <c r="L438" s="166">
        <f t="shared" ca="1" si="62"/>
        <v>30</v>
      </c>
      <c r="M438" s="183">
        <f ca="1">SUMPRODUCT(F438:K438,F414:K414)/L:L</f>
        <v>0</v>
      </c>
      <c r="N438" s="166">
        <f t="shared" ca="1" si="63"/>
        <v>1</v>
      </c>
      <c r="O438" s="165">
        <f t="shared" ca="1" si="65"/>
        <v>1158.1624939464391</v>
      </c>
      <c r="P438" s="165">
        <f t="shared" ca="1" si="64"/>
        <v>1158.1624939464391</v>
      </c>
    </row>
    <row r="439" spans="1:16" s="165" customFormat="1" x14ac:dyDescent="0.3">
      <c r="A439" s="165">
        <f>MATCH(Calcs!B439,Paste_Report_Here!$1:$1,0) -1</f>
        <v>28</v>
      </c>
      <c r="B439" s="165" t="s">
        <v>143</v>
      </c>
      <c r="C439" s="166">
        <f ca="1">RANK(N439,N417:N441)</f>
        <v>13</v>
      </c>
      <c r="D439" s="166">
        <f ca="1">RANK(P439,P416:P440)</f>
        <v>1</v>
      </c>
      <c r="E439" s="189" t="s">
        <v>172</v>
      </c>
      <c r="F439" s="179">
        <f ca="1">COUNTIFS(Paste_Report_Here!$E$1:$E$2000,E410, OFFSET(Paste_Report_Here!$A$1,0,$A439,2000,1),F$75)</f>
        <v>0</v>
      </c>
      <c r="G439" s="180">
        <f ca="1">COUNTIFS(Paste_Report_Here!$E$1:$E$2000,E410, OFFSET(Paste_Report_Here!$A$1,0,$A439,2000,1),G$75)</f>
        <v>1</v>
      </c>
      <c r="H439" s="180">
        <f ca="1">COUNTIFS(Paste_Report_Here!$E$1:$E$2000,E410, OFFSET(Paste_Report_Here!$A$1,0,$A439,2000,1),H$75)</f>
        <v>18</v>
      </c>
      <c r="I439" s="180">
        <f ca="1">COUNTIFS(Paste_Report_Here!$E$1:$E$2000,E410, OFFSET(Paste_Report_Here!$A$1,0,$A439,2000,1),I$75)</f>
        <v>11</v>
      </c>
      <c r="J439" s="180">
        <f ca="1">COUNTIFS(Paste_Report_Here!$E$1:$E$2000,E410, OFFSET(Paste_Report_Here!$A$1,0,$A439,2000,1),J$75)</f>
        <v>0</v>
      </c>
      <c r="K439" s="181">
        <f ca="1">COUNTIFS(Paste_Report_Here!$E$1:$E$2000,E410, OFFSET(Paste_Report_Here!$A$1,0,$A439,2000,1),K$75)</f>
        <v>0</v>
      </c>
      <c r="L439" s="166">
        <f t="shared" ca="1" si="62"/>
        <v>30</v>
      </c>
      <c r="M439" s="183">
        <f ca="1">SUMPRODUCT(F439:K439,F414:K414)/L:L</f>
        <v>0</v>
      </c>
      <c r="N439" s="166">
        <f t="shared" ca="1" si="63"/>
        <v>1</v>
      </c>
      <c r="O439" s="165">
        <f t="shared" ca="1" si="65"/>
        <v>7450.1212419008652</v>
      </c>
      <c r="P439" s="165">
        <f t="shared" ca="1" si="64"/>
        <v>7450.1212419008652</v>
      </c>
    </row>
    <row r="440" spans="1:16" s="165" customFormat="1" x14ac:dyDescent="0.3">
      <c r="A440" s="165">
        <f>MATCH(Calcs!B440,Paste_Report_Here!$1:$1,0) -1</f>
        <v>29</v>
      </c>
      <c r="B440" s="187" t="s">
        <v>144</v>
      </c>
      <c r="C440" s="147">
        <f ca="1">RANK(N440,N416:N440)</f>
        <v>22</v>
      </c>
      <c r="D440" s="147">
        <f ca="1">RANK(P440,P416:P440)</f>
        <v>12</v>
      </c>
      <c r="E440" s="145" t="s">
        <v>173</v>
      </c>
      <c r="F440" s="146">
        <f ca="1">COUNTIFS(Paste_Report_Here!$E$1:$E$2000,E410, OFFSET(Paste_Report_Here!$A$1,0,$A440,2000,1),F$75)</f>
        <v>1</v>
      </c>
      <c r="G440" s="147">
        <f ca="1">COUNTIFS(Paste_Report_Here!$E$1:$E$2000,E410, OFFSET(Paste_Report_Here!$A$1,0,$A440,2000,1),G$75)</f>
        <v>2</v>
      </c>
      <c r="H440" s="147">
        <f ca="1">COUNTIFS(Paste_Report_Here!$E$1:$E$2000,E410, OFFSET(Paste_Report_Here!$A$1,0,$A440,2000,1),H$75)</f>
        <v>22</v>
      </c>
      <c r="I440" s="147">
        <f ca="1">COUNTIFS(Paste_Report_Here!$E$1:$E$2000,E410, OFFSET(Paste_Report_Here!$A$1,0,$A440,2000,1),I$75)</f>
        <v>5</v>
      </c>
      <c r="J440" s="147">
        <f ca="1">COUNTIFS(Paste_Report_Here!$E$1:$E$2000,E410, OFFSET(Paste_Report_Here!$A$1,0,$A440,2000,1),J$75)</f>
        <v>0</v>
      </c>
      <c r="K440" s="148">
        <f ca="1">COUNTIFS(Paste_Report_Here!$E$1:$E$2000,E410, OFFSET(Paste_Report_Here!$A$1,0,$A440,2000,1),K$75)</f>
        <v>0</v>
      </c>
      <c r="L440" s="147">
        <f t="shared" ca="1" si="62"/>
        <v>30</v>
      </c>
      <c r="M440" s="149">
        <f ca="1">SUMPRODUCT(F440:K440,F414:K414)/L:L</f>
        <v>-6.6666666666666671E-3</v>
      </c>
      <c r="N440" s="147">
        <f t="shared" ca="1" si="63"/>
        <v>0.99335550625503444</v>
      </c>
      <c r="O440" s="187">
        <f t="shared" ca="1" si="65"/>
        <v>2315.1929117932332</v>
      </c>
      <c r="P440" s="165">
        <f t="shared" ca="1" si="64"/>
        <v>2299.8096269724342</v>
      </c>
    </row>
    <row r="441" spans="1:16" s="165" customFormat="1" x14ac:dyDescent="0.3">
      <c r="C441" s="166"/>
      <c r="E441" s="140" t="s">
        <v>293</v>
      </c>
      <c r="F441" s="180">
        <f ca="1">SUM(F416:F440)</f>
        <v>8</v>
      </c>
      <c r="G441" s="180">
        <f t="shared" ref="G441:L441" ca="1" si="66">SUM(G416:G440)</f>
        <v>51</v>
      </c>
      <c r="H441" s="180">
        <f t="shared" ca="1" si="66"/>
        <v>511</v>
      </c>
      <c r="I441" s="180">
        <f t="shared" ca="1" si="66"/>
        <v>162</v>
      </c>
      <c r="J441" s="180">
        <f t="shared" ca="1" si="66"/>
        <v>15</v>
      </c>
      <c r="K441" s="180">
        <f t="shared" ca="1" si="66"/>
        <v>3</v>
      </c>
      <c r="L441" s="180">
        <f t="shared" ca="1" si="66"/>
        <v>750</v>
      </c>
      <c r="M441" s="144">
        <f ca="1">SUMPRODUCT(F441:K441,F414:K414)/L441</f>
        <v>1.8666666666666666E-3</v>
      </c>
      <c r="N441" s="166">
        <f t="shared" ca="1" si="63"/>
        <v>1.0018684099734443</v>
      </c>
      <c r="O441" s="165">
        <f t="shared" ca="1" si="65"/>
        <v>2575.3506245691565</v>
      </c>
      <c r="P441" s="165">
        <f t="shared" ca="1" si="64"/>
        <v>2580.1624353612174</v>
      </c>
    </row>
    <row r="442" spans="1:16" s="165" customFormat="1" x14ac:dyDescent="0.3">
      <c r="A442" s="194"/>
      <c r="B442" s="194"/>
      <c r="C442" s="153"/>
      <c r="D442" s="194"/>
      <c r="E442" s="164"/>
      <c r="F442" s="151"/>
      <c r="G442" s="151"/>
      <c r="H442" s="151"/>
      <c r="I442" s="151"/>
      <c r="J442" s="151"/>
      <c r="K442" s="151"/>
      <c r="L442" s="151"/>
      <c r="M442" s="162"/>
      <c r="N442" s="153"/>
      <c r="O442" s="194"/>
      <c r="P442" s="194"/>
    </row>
    <row r="443" spans="1:16" s="165" customFormat="1" x14ac:dyDescent="0.3">
      <c r="E443" s="173" t="s">
        <v>292</v>
      </c>
    </row>
    <row r="444" spans="1:16" s="165" customFormat="1" x14ac:dyDescent="0.3">
      <c r="E444" s="141">
        <v>40938</v>
      </c>
    </row>
    <row r="445" spans="1:16" s="165" customFormat="1" ht="15" thickBot="1" x14ac:dyDescent="0.35"/>
    <row r="446" spans="1:16" s="165" customFormat="1" ht="24.6" thickBot="1" x14ac:dyDescent="0.35">
      <c r="F446" s="174" t="s">
        <v>23</v>
      </c>
      <c r="G446" s="168" t="s">
        <v>18</v>
      </c>
      <c r="H446" s="168" t="s">
        <v>16</v>
      </c>
      <c r="I446" s="168" t="s">
        <v>17</v>
      </c>
      <c r="J446" s="168" t="s">
        <v>19</v>
      </c>
      <c r="K446" s="169" t="s">
        <v>114</v>
      </c>
    </row>
    <row r="447" spans="1:16" s="165" customFormat="1" x14ac:dyDescent="0.3">
      <c r="F447" s="267" t="s">
        <v>201</v>
      </c>
      <c r="G447" s="268"/>
      <c r="H447" s="268"/>
      <c r="I447" s="268"/>
      <c r="J447" s="268"/>
      <c r="K447" s="169"/>
      <c r="M447" s="203">
        <f ca="1">(H475+K475)/L475</f>
        <v>0.73058823529411765</v>
      </c>
      <c r="N447" s="204" t="s">
        <v>501</v>
      </c>
    </row>
    <row r="448" spans="1:16" s="165" customFormat="1" ht="43.8" thickBot="1" x14ac:dyDescent="0.35">
      <c r="A448" s="142" t="s">
        <v>294</v>
      </c>
      <c r="B448" s="142" t="s">
        <v>295</v>
      </c>
      <c r="C448" s="197" t="s">
        <v>440</v>
      </c>
      <c r="D448" s="142" t="s">
        <v>441</v>
      </c>
      <c r="E448" s="171" t="s">
        <v>30</v>
      </c>
      <c r="F448" s="175">
        <f>Falling_fast</f>
        <v>-0.2</v>
      </c>
      <c r="G448" s="176">
        <f>Falling</f>
        <v>0</v>
      </c>
      <c r="H448" s="177">
        <f>Static</f>
        <v>0</v>
      </c>
      <c r="I448" s="176">
        <f>Rising</f>
        <v>0</v>
      </c>
      <c r="J448" s="178">
        <f>Rising_fast</f>
        <v>0.2</v>
      </c>
      <c r="K448" s="182">
        <v>0</v>
      </c>
      <c r="L448" s="171" t="s">
        <v>28</v>
      </c>
      <c r="M448" s="172" t="s">
        <v>29</v>
      </c>
      <c r="N448" s="143" t="s">
        <v>296</v>
      </c>
      <c r="O448" s="142" t="s">
        <v>297</v>
      </c>
      <c r="P448" s="142" t="s">
        <v>298</v>
      </c>
    </row>
    <row r="449" spans="1:16" s="165" customFormat="1" x14ac:dyDescent="0.3">
      <c r="C449" s="166"/>
      <c r="E449" s="192"/>
      <c r="F449" s="198" t="s">
        <v>151</v>
      </c>
      <c r="G449" s="199" t="s">
        <v>149</v>
      </c>
      <c r="H449" s="199" t="s">
        <v>16</v>
      </c>
      <c r="I449" s="199" t="s">
        <v>148</v>
      </c>
      <c r="J449" s="199" t="s">
        <v>150</v>
      </c>
      <c r="K449" s="200" t="s">
        <v>114</v>
      </c>
      <c r="L449" s="166"/>
      <c r="M449" s="170"/>
      <c r="N449" s="166"/>
    </row>
    <row r="450" spans="1:16" s="165" customFormat="1" x14ac:dyDescent="0.3">
      <c r="A450" s="165">
        <f>MATCH(Calcs!B450,Paste_Report_Here!$1:$1,0) -1</f>
        <v>5</v>
      </c>
      <c r="B450" s="165" t="s">
        <v>124</v>
      </c>
      <c r="C450" s="166">
        <f ca="1">RANK(N450,N450:N474)</f>
        <v>3</v>
      </c>
      <c r="D450" s="166">
        <f ca="1">RANK(P450,P450:P474)</f>
        <v>16</v>
      </c>
      <c r="E450" s="189" t="s">
        <v>152</v>
      </c>
      <c r="F450" s="179">
        <f ca="1">COUNTIFS(Paste_Report_Here!$E$1:$E$2000,E444, OFFSET(Paste_Report_Here!$A$1,0,$A450,2000,1),F$75)</f>
        <v>0</v>
      </c>
      <c r="G450" s="180">
        <f ca="1">COUNTIFS(Paste_Report_Here!$E$1:$E$2000,E444, OFFSET(Paste_Report_Here!$A$1,0,$A450,2000,1),G$75)</f>
        <v>4</v>
      </c>
      <c r="H450" s="180">
        <f ca="1">COUNTIFS(Paste_Report_Here!$E$1:$E$2000,E444, OFFSET(Paste_Report_Here!$A$1,0,$A450,2000,1),H$75)</f>
        <v>21</v>
      </c>
      <c r="I450" s="180">
        <f ca="1">COUNTIFS(Paste_Report_Here!$E$1:$E$2000,E444, OFFSET(Paste_Report_Here!$A$1,0,$A450,2000,1),I$75)</f>
        <v>8</v>
      </c>
      <c r="J450" s="180">
        <f ca="1">COUNTIFS(Paste_Report_Here!$E$1:$E$2000,E444, OFFSET(Paste_Report_Here!$A$1,0,$A450,2000,1),J$75)</f>
        <v>1</v>
      </c>
      <c r="K450" s="181">
        <f ca="1">COUNTIFS(Paste_Report_Here!$E$1:$E$2000,E444, OFFSET(Paste_Report_Here!$A$1,0,$A450,2000,1),K$75)</f>
        <v>0</v>
      </c>
      <c r="L450" s="166">
        <f t="shared" ref="L450:L474" ca="1" si="67">SUM(F450:K450)</f>
        <v>34</v>
      </c>
      <c r="M450" s="183">
        <f ca="1">SUMPRODUCT(F450:K450,F448:K448)/L:L</f>
        <v>5.8823529411764705E-3</v>
      </c>
      <c r="N450" s="166">
        <f t="shared" ref="N450:N475" ca="1" si="68">EXP(M450)</f>
        <v>1.0058996879527893</v>
      </c>
      <c r="O450" s="165">
        <f ca="1">P416</f>
        <v>2063.122768441433</v>
      </c>
      <c r="P450" s="165">
        <f t="shared" ref="P450:P475" ca="1" si="69">O450*N450</f>
        <v>2075.294548983532</v>
      </c>
    </row>
    <row r="451" spans="1:16" s="165" customFormat="1" x14ac:dyDescent="0.3">
      <c r="A451" s="165">
        <f>MATCH(Calcs!B451,Paste_Report_Here!$1:$1,0) -1</f>
        <v>6</v>
      </c>
      <c r="B451" s="165" t="s">
        <v>125</v>
      </c>
      <c r="C451" s="166">
        <f ca="1">RANK(N451,N450:N474)</f>
        <v>3</v>
      </c>
      <c r="D451" s="166">
        <f ca="1">RANK(P451,P450:P474)</f>
        <v>13</v>
      </c>
      <c r="E451" s="189" t="s">
        <v>153</v>
      </c>
      <c r="F451" s="179">
        <f ca="1">COUNTIFS(Paste_Report_Here!$E$1:$E$2000,E444, OFFSET(Paste_Report_Here!$A$1,0,$A451,2000,1),F$75)</f>
        <v>0</v>
      </c>
      <c r="G451" s="180">
        <f ca="1">COUNTIFS(Paste_Report_Here!$E$1:$E$2000,E444, OFFSET(Paste_Report_Here!$A$1,0,$A451,2000,1),G$75)</f>
        <v>6</v>
      </c>
      <c r="H451" s="180">
        <f ca="1">COUNTIFS(Paste_Report_Here!$E$1:$E$2000,E444, OFFSET(Paste_Report_Here!$A$1,0,$A451,2000,1),H$75)</f>
        <v>21</v>
      </c>
      <c r="I451" s="180">
        <f ca="1">COUNTIFS(Paste_Report_Here!$E$1:$E$2000,E444, OFFSET(Paste_Report_Here!$A$1,0,$A451,2000,1),I$75)</f>
        <v>6</v>
      </c>
      <c r="J451" s="180">
        <f ca="1">COUNTIFS(Paste_Report_Here!$E$1:$E$2000,E444, OFFSET(Paste_Report_Here!$A$1,0,$A451,2000,1),J$75)</f>
        <v>1</v>
      </c>
      <c r="K451" s="181">
        <f ca="1">COUNTIFS(Paste_Report_Here!$E$1:$E$2000,E444, OFFSET(Paste_Report_Here!$A$1,0,$A451,2000,1),K$75)</f>
        <v>0</v>
      </c>
      <c r="L451" s="166">
        <f t="shared" ca="1" si="67"/>
        <v>34</v>
      </c>
      <c r="M451" s="183">
        <f ca="1">SUMPRODUCT(F451:K451,F448:K448)/L:L</f>
        <v>5.8823529411764705E-3</v>
      </c>
      <c r="N451" s="166">
        <f t="shared" ca="1" si="68"/>
        <v>1.0058996879527893</v>
      </c>
      <c r="O451" s="165">
        <f t="shared" ref="O451:O475" ca="1" si="70">P417</f>
        <v>2210.9238427184523</v>
      </c>
      <c r="P451" s="165">
        <f t="shared" ca="1" si="69"/>
        <v>2223.9676034778731</v>
      </c>
    </row>
    <row r="452" spans="1:16" s="165" customFormat="1" x14ac:dyDescent="0.3">
      <c r="A452" s="165">
        <f>MATCH(Calcs!B452,Paste_Report_Here!$1:$1,0) -1</f>
        <v>7</v>
      </c>
      <c r="B452" s="165" t="s">
        <v>126</v>
      </c>
      <c r="C452" s="166">
        <f ca="1">RANK(N452,N450:N474)</f>
        <v>3</v>
      </c>
      <c r="D452" s="166">
        <f ca="1">RANK(P452,P450:P474)</f>
        <v>6</v>
      </c>
      <c r="E452" s="189" t="s">
        <v>154</v>
      </c>
      <c r="F452" s="179">
        <f ca="1">COUNTIFS(Paste_Report_Here!$E$1:$E$2000,E444, OFFSET(Paste_Report_Here!$A$1,0,$A452,2000,1),F$75)</f>
        <v>0</v>
      </c>
      <c r="G452" s="180">
        <f ca="1">COUNTIFS(Paste_Report_Here!$E$1:$E$2000,E444, OFFSET(Paste_Report_Here!$A$1,0,$A452,2000,1),G$75)</f>
        <v>1</v>
      </c>
      <c r="H452" s="180">
        <f ca="1">COUNTIFS(Paste_Report_Here!$E$1:$E$2000,E444, OFFSET(Paste_Report_Here!$A$1,0,$A452,2000,1),H$75)</f>
        <v>28</v>
      </c>
      <c r="I452" s="180">
        <f ca="1">COUNTIFS(Paste_Report_Here!$E$1:$E$2000,E444, OFFSET(Paste_Report_Here!$A$1,0,$A452,2000,1),I$75)</f>
        <v>3</v>
      </c>
      <c r="J452" s="180">
        <f ca="1">COUNTIFS(Paste_Report_Here!$E$1:$E$2000,E444, OFFSET(Paste_Report_Here!$A$1,0,$A452,2000,1),J$75)</f>
        <v>1</v>
      </c>
      <c r="K452" s="181">
        <f ca="1">COUNTIFS(Paste_Report_Here!$E$1:$E$2000,E444, OFFSET(Paste_Report_Here!$A$1,0,$A452,2000,1),K$75)</f>
        <v>1</v>
      </c>
      <c r="L452" s="166">
        <f t="shared" ca="1" si="67"/>
        <v>34</v>
      </c>
      <c r="M452" s="183">
        <f ca="1">SUMPRODUCT(F452:K452,F448:K448)/L:L</f>
        <v>5.8823529411764705E-3</v>
      </c>
      <c r="N452" s="166">
        <f t="shared" ca="1" si="68"/>
        <v>1.0058996879527893</v>
      </c>
      <c r="O452" s="165">
        <f t="shared" ca="1" si="70"/>
        <v>2841.832979011479</v>
      </c>
      <c r="P452" s="165">
        <f t="shared" ca="1" si="69"/>
        <v>2858.5989068015924</v>
      </c>
    </row>
    <row r="453" spans="1:16" s="165" customFormat="1" x14ac:dyDescent="0.3">
      <c r="A453" s="165">
        <f>MATCH(Calcs!B453,Paste_Report_Here!$1:$1,0) -1</f>
        <v>8</v>
      </c>
      <c r="B453" s="165" t="s">
        <v>127</v>
      </c>
      <c r="C453" s="166">
        <f ca="1">RANK(N453,N450:N474)</f>
        <v>1</v>
      </c>
      <c r="D453" s="166">
        <f ca="1">RANK(P453,P450:P474)</f>
        <v>8</v>
      </c>
      <c r="E453" s="189" t="s">
        <v>155</v>
      </c>
      <c r="F453" s="179">
        <f ca="1">COUNTIFS(Paste_Report_Here!$E$1:$E$2000,E444, OFFSET(Paste_Report_Here!$A$1,0,$A453,2000,1),F$75)</f>
        <v>0</v>
      </c>
      <c r="G453" s="180">
        <f ca="1">COUNTIFS(Paste_Report_Here!$E$1:$E$2000,E444, OFFSET(Paste_Report_Here!$A$1,0,$A453,2000,1),G$75)</f>
        <v>1</v>
      </c>
      <c r="H453" s="180">
        <f ca="1">COUNTIFS(Paste_Report_Here!$E$1:$E$2000,E444, OFFSET(Paste_Report_Here!$A$1,0,$A453,2000,1),H$75)</f>
        <v>23</v>
      </c>
      <c r="I453" s="180">
        <f ca="1">COUNTIFS(Paste_Report_Here!$E$1:$E$2000,E444, OFFSET(Paste_Report_Here!$A$1,0,$A453,2000,1),I$75)</f>
        <v>8</v>
      </c>
      <c r="J453" s="180">
        <f ca="1">COUNTIFS(Paste_Report_Here!$E$1:$E$2000,E444, OFFSET(Paste_Report_Here!$A$1,0,$A453,2000,1),J$75)</f>
        <v>2</v>
      </c>
      <c r="K453" s="181">
        <f ca="1">COUNTIFS(Paste_Report_Here!$E$1:$E$2000,E444, OFFSET(Paste_Report_Here!$A$1,0,$A453,2000,1),K$75)</f>
        <v>0</v>
      </c>
      <c r="L453" s="166">
        <f t="shared" ca="1" si="67"/>
        <v>34</v>
      </c>
      <c r="M453" s="183">
        <f ca="1">SUMPRODUCT(F453:K453,F448:K448)/L:L</f>
        <v>1.1764705882352941E-2</v>
      </c>
      <c r="N453" s="166">
        <f t="shared" ca="1" si="68"/>
        <v>1.0118341822235186</v>
      </c>
      <c r="O453" s="165">
        <f t="shared" ca="1" si="70"/>
        <v>2534.7501501822203</v>
      </c>
      <c r="P453" s="165">
        <f t="shared" ca="1" si="69"/>
        <v>2564.746845350568</v>
      </c>
    </row>
    <row r="454" spans="1:16" s="165" customFormat="1" x14ac:dyDescent="0.3">
      <c r="A454" s="165">
        <f>MATCH(Calcs!B454,Paste_Report_Here!$1:$1,0) -1</f>
        <v>9</v>
      </c>
      <c r="B454" s="165" t="s">
        <v>214</v>
      </c>
      <c r="C454" s="166">
        <f ca="1">RANK(N454,N450:N474)</f>
        <v>12</v>
      </c>
      <c r="D454" s="166">
        <f ca="1">RANK(P454,P450:P474)</f>
        <v>5</v>
      </c>
      <c r="E454" s="189" t="s">
        <v>156</v>
      </c>
      <c r="F454" s="179">
        <f ca="1">COUNTIFS(Paste_Report_Here!$E$1:$E$2000,E444, OFFSET(Paste_Report_Here!$A$1,0,$A454,2000,1),F$75)</f>
        <v>0</v>
      </c>
      <c r="G454" s="180">
        <f ca="1">COUNTIFS(Paste_Report_Here!$E$1:$E$2000,E444, OFFSET(Paste_Report_Here!$A$1,0,$A454,2000,1),G$75)</f>
        <v>3</v>
      </c>
      <c r="H454" s="180">
        <f ca="1">COUNTIFS(Paste_Report_Here!$E$1:$E$2000,E444, OFFSET(Paste_Report_Here!$A$1,0,$A454,2000,1),H$75)</f>
        <v>23</v>
      </c>
      <c r="I454" s="180">
        <f ca="1">COUNTIFS(Paste_Report_Here!$E$1:$E$2000,E444, OFFSET(Paste_Report_Here!$A$1,0,$A454,2000,1),I$75)</f>
        <v>7</v>
      </c>
      <c r="J454" s="180">
        <f ca="1">COUNTIFS(Paste_Report_Here!$E$1:$E$2000,E444, OFFSET(Paste_Report_Here!$A$1,0,$A454,2000,1),J$75)</f>
        <v>0</v>
      </c>
      <c r="K454" s="181">
        <f ca="1">COUNTIFS(Paste_Report_Here!$E$1:$E$2000,E444, OFFSET(Paste_Report_Here!$A$1,0,$A454,2000,1),K$75)</f>
        <v>1</v>
      </c>
      <c r="L454" s="166">
        <f t="shared" ca="1" si="67"/>
        <v>34</v>
      </c>
      <c r="M454" s="183">
        <f ca="1">SUMPRODUCT(F454:K454,F448:K448)/L:L</f>
        <v>0</v>
      </c>
      <c r="N454" s="166">
        <f t="shared" ca="1" si="68"/>
        <v>1</v>
      </c>
      <c r="O454" s="165">
        <f t="shared" ca="1" si="70"/>
        <v>3455.5553129788896</v>
      </c>
      <c r="P454" s="165">
        <f t="shared" ca="1" si="69"/>
        <v>3455.5553129788896</v>
      </c>
    </row>
    <row r="455" spans="1:16" s="165" customFormat="1" x14ac:dyDescent="0.3">
      <c r="A455" s="165">
        <f>MATCH(Calcs!B455,Paste_Report_Here!$1:$1,0) -1</f>
        <v>10</v>
      </c>
      <c r="B455" s="165" t="s">
        <v>128</v>
      </c>
      <c r="C455" s="166">
        <f ca="1">RANK(N455,N450:N474)</f>
        <v>12</v>
      </c>
      <c r="D455" s="166">
        <f ca="1">RANK(P455,P450:P474)</f>
        <v>21</v>
      </c>
      <c r="E455" s="189" t="s">
        <v>157</v>
      </c>
      <c r="F455" s="179">
        <f ca="1">COUNTIFS(Paste_Report_Here!$E$1:$E$2000,E444, OFFSET(Paste_Report_Here!$A$1,0,$A455,2000,1),F$75)</f>
        <v>1</v>
      </c>
      <c r="G455" s="180">
        <f ca="1">COUNTIFS(Paste_Report_Here!$E$1:$E$2000,E444, OFFSET(Paste_Report_Here!$A$1,0,$A455,2000,1),G$75)</f>
        <v>3</v>
      </c>
      <c r="H455" s="180">
        <f ca="1">COUNTIFS(Paste_Report_Here!$E$1:$E$2000,E444, OFFSET(Paste_Report_Here!$A$1,0,$A455,2000,1),H$75)</f>
        <v>26</v>
      </c>
      <c r="I455" s="180">
        <f ca="1">COUNTIFS(Paste_Report_Here!$E$1:$E$2000,E444, OFFSET(Paste_Report_Here!$A$1,0,$A455,2000,1),I$75)</f>
        <v>3</v>
      </c>
      <c r="J455" s="180">
        <f ca="1">COUNTIFS(Paste_Report_Here!$E$1:$E$2000,E444, OFFSET(Paste_Report_Here!$A$1,0,$A455,2000,1),J$75)</f>
        <v>1</v>
      </c>
      <c r="K455" s="181">
        <f ca="1">COUNTIFS(Paste_Report_Here!$E$1:$E$2000,E444, OFFSET(Paste_Report_Here!$A$1,0,$A455,2000,1),K$75)</f>
        <v>0</v>
      </c>
      <c r="L455" s="166">
        <f t="shared" ca="1" si="67"/>
        <v>34</v>
      </c>
      <c r="M455" s="183">
        <f ca="1">SUMPRODUCT(F455:K455,F448:K448)/L:L</f>
        <v>0</v>
      </c>
      <c r="N455" s="166">
        <f t="shared" ca="1" si="68"/>
        <v>1</v>
      </c>
      <c r="O455" s="165">
        <f t="shared" ca="1" si="70"/>
        <v>1610.7067020916684</v>
      </c>
      <c r="P455" s="165">
        <f t="shared" ca="1" si="69"/>
        <v>1610.7067020916684</v>
      </c>
    </row>
    <row r="456" spans="1:16" s="165" customFormat="1" x14ac:dyDescent="0.3">
      <c r="A456" s="165">
        <f>MATCH(Calcs!B456,Paste_Report_Here!$1:$1,0) -1</f>
        <v>11</v>
      </c>
      <c r="B456" s="165" t="s">
        <v>129</v>
      </c>
      <c r="C456" s="166">
        <f ca="1">RANK(N456,N450:N474)</f>
        <v>12</v>
      </c>
      <c r="D456" s="166">
        <f ca="1">RANK(P456,P450:P474)</f>
        <v>9</v>
      </c>
      <c r="E456" s="189" t="s">
        <v>158</v>
      </c>
      <c r="F456" s="179">
        <f ca="1">COUNTIFS(Paste_Report_Here!$E$1:$E$2000,E444, OFFSET(Paste_Report_Here!$A$1,0,$A456,2000,1),F$75)</f>
        <v>1</v>
      </c>
      <c r="G456" s="180">
        <f ca="1">COUNTIFS(Paste_Report_Here!$E$1:$E$2000,E444, OFFSET(Paste_Report_Here!$A$1,0,$A456,2000,1),G$75)</f>
        <v>3</v>
      </c>
      <c r="H456" s="180">
        <f ca="1">COUNTIFS(Paste_Report_Here!$E$1:$E$2000,E444, OFFSET(Paste_Report_Here!$A$1,0,$A456,2000,1),H$75)</f>
        <v>22</v>
      </c>
      <c r="I456" s="180">
        <f ca="1">COUNTIFS(Paste_Report_Here!$E$1:$E$2000,E444, OFFSET(Paste_Report_Here!$A$1,0,$A456,2000,1),I$75)</f>
        <v>7</v>
      </c>
      <c r="J456" s="180">
        <f ca="1">COUNTIFS(Paste_Report_Here!$E$1:$E$2000,E444, OFFSET(Paste_Report_Here!$A$1,0,$A456,2000,1),J$75)</f>
        <v>1</v>
      </c>
      <c r="K456" s="181">
        <f ca="1">COUNTIFS(Paste_Report_Here!$E$1:$E$2000,E444, OFFSET(Paste_Report_Here!$A$1,0,$A456,2000,1),K$75)</f>
        <v>0</v>
      </c>
      <c r="L456" s="166">
        <f t="shared" ca="1" si="67"/>
        <v>34</v>
      </c>
      <c r="M456" s="183">
        <f ca="1">SUMPRODUCT(F456:K456,F448:K448)/L:L</f>
        <v>0</v>
      </c>
      <c r="N456" s="166">
        <f t="shared" ca="1" si="68"/>
        <v>1</v>
      </c>
      <c r="O456" s="165">
        <f t="shared" ca="1" si="70"/>
        <v>2498.1372781719642</v>
      </c>
      <c r="P456" s="165">
        <f t="shared" ca="1" si="69"/>
        <v>2498.1372781719642</v>
      </c>
    </row>
    <row r="457" spans="1:16" s="165" customFormat="1" x14ac:dyDescent="0.3">
      <c r="A457" s="165">
        <f>MATCH(Calcs!B457,Paste_Report_Here!$1:$1,0) -1</f>
        <v>12</v>
      </c>
      <c r="B457" s="165" t="s">
        <v>130</v>
      </c>
      <c r="C457" s="166">
        <f ca="1">RANK(N457,N450:N474)</f>
        <v>3</v>
      </c>
      <c r="D457" s="166">
        <f ca="1">RANK(P457,P450:P474)</f>
        <v>10</v>
      </c>
      <c r="E457" s="189" t="s">
        <v>159</v>
      </c>
      <c r="F457" s="179">
        <f ca="1">COUNTIFS(Paste_Report_Here!$E$1:$E$2000,E444, OFFSET(Paste_Report_Here!$A$1,0,$A457,2000,1),F$75)</f>
        <v>0</v>
      </c>
      <c r="G457" s="180">
        <f ca="1">COUNTIFS(Paste_Report_Here!$E$1:$E$2000,E444, OFFSET(Paste_Report_Here!$A$1,0,$A457,2000,1),G$75)</f>
        <v>3</v>
      </c>
      <c r="H457" s="180">
        <f ca="1">COUNTIFS(Paste_Report_Here!$E$1:$E$2000,E444, OFFSET(Paste_Report_Here!$A$1,0,$A457,2000,1),H$75)</f>
        <v>23</v>
      </c>
      <c r="I457" s="180">
        <f ca="1">COUNTIFS(Paste_Report_Here!$E$1:$E$2000,E444, OFFSET(Paste_Report_Here!$A$1,0,$A457,2000,1),I$75)</f>
        <v>7</v>
      </c>
      <c r="J457" s="180">
        <f ca="1">COUNTIFS(Paste_Report_Here!$E$1:$E$2000,E444, OFFSET(Paste_Report_Here!$A$1,0,$A457,2000,1),J$75)</f>
        <v>1</v>
      </c>
      <c r="K457" s="181">
        <f ca="1">COUNTIFS(Paste_Report_Here!$E$1:$E$2000,E444, OFFSET(Paste_Report_Here!$A$1,0,$A457,2000,1),K$75)</f>
        <v>0</v>
      </c>
      <c r="L457" s="166">
        <f t="shared" ca="1" si="67"/>
        <v>34</v>
      </c>
      <c r="M457" s="183">
        <f ca="1">SUMPRODUCT(F457:K457,F448:K448)/L:L</f>
        <v>5.8823529411764705E-3</v>
      </c>
      <c r="N457" s="166">
        <f t="shared" ca="1" si="68"/>
        <v>1.0058996879527893</v>
      </c>
      <c r="O457" s="165">
        <f t="shared" ca="1" si="70"/>
        <v>2322.5717415569934</v>
      </c>
      <c r="P457" s="165">
        <f t="shared" ca="1" si="69"/>
        <v>2336.2741900801461</v>
      </c>
    </row>
    <row r="458" spans="1:16" s="165" customFormat="1" x14ac:dyDescent="0.3">
      <c r="A458" s="165">
        <f>MATCH(Calcs!B458,Paste_Report_Here!$1:$1,0) -1</f>
        <v>13</v>
      </c>
      <c r="B458" s="165" t="s">
        <v>131</v>
      </c>
      <c r="C458" s="166">
        <f ca="1">RANK(N458,N450:N474)</f>
        <v>3</v>
      </c>
      <c r="D458" s="166">
        <f ca="1">RANK(P458,P450:P474)</f>
        <v>4</v>
      </c>
      <c r="E458" s="189" t="s">
        <v>160</v>
      </c>
      <c r="F458" s="179">
        <f ca="1">COUNTIFS(Paste_Report_Here!$E$1:$E$2000,E444, OFFSET(Paste_Report_Here!$A$1,0,$A458,2000,1),F$75)</f>
        <v>0</v>
      </c>
      <c r="G458" s="180">
        <f ca="1">COUNTIFS(Paste_Report_Here!$E$1:$E$2000,E444, OFFSET(Paste_Report_Here!$A$1,0,$A458,2000,1),G$75)</f>
        <v>2</v>
      </c>
      <c r="H458" s="180">
        <f ca="1">COUNTIFS(Paste_Report_Here!$E$1:$E$2000,E444, OFFSET(Paste_Report_Here!$A$1,0,$A458,2000,1),H$75)</f>
        <v>17</v>
      </c>
      <c r="I458" s="180">
        <f ca="1">COUNTIFS(Paste_Report_Here!$E$1:$E$2000,E444, OFFSET(Paste_Report_Here!$A$1,0,$A458,2000,1),I$75)</f>
        <v>14</v>
      </c>
      <c r="J458" s="180">
        <f ca="1">COUNTIFS(Paste_Report_Here!$E$1:$E$2000,E444, OFFSET(Paste_Report_Here!$A$1,0,$A458,2000,1),J$75)</f>
        <v>1</v>
      </c>
      <c r="K458" s="181">
        <f ca="1">COUNTIFS(Paste_Report_Here!$E$1:$E$2000,E444, OFFSET(Paste_Report_Here!$A$1,0,$A458,2000,1),K$75)</f>
        <v>0</v>
      </c>
      <c r="L458" s="166">
        <f t="shared" ca="1" si="67"/>
        <v>34</v>
      </c>
      <c r="M458" s="183">
        <f ca="1">SUMPRODUCT(F458:K458,F448:K448)/L:L</f>
        <v>5.8823529411764705E-3</v>
      </c>
      <c r="N458" s="166">
        <f t="shared" ca="1" si="68"/>
        <v>1.0058996879527893</v>
      </c>
      <c r="O458" s="165">
        <f t="shared" ca="1" si="70"/>
        <v>3540.3000497479625</v>
      </c>
      <c r="P458" s="165">
        <f t="shared" ca="1" si="69"/>
        <v>3561.1867153007197</v>
      </c>
    </row>
    <row r="459" spans="1:16" s="165" customFormat="1" x14ac:dyDescent="0.3">
      <c r="A459" s="165">
        <f>MATCH(Calcs!B459,Paste_Report_Here!$1:$1,0) -1</f>
        <v>14</v>
      </c>
      <c r="B459" s="165" t="s">
        <v>132</v>
      </c>
      <c r="C459" s="166">
        <f ca="1">RANK(N459,N450:N474)</f>
        <v>3</v>
      </c>
      <c r="D459" s="166">
        <f ca="1">RANK(P459,P450:P474)</f>
        <v>19</v>
      </c>
      <c r="E459" s="189" t="s">
        <v>161</v>
      </c>
      <c r="F459" s="179">
        <f ca="1">COUNTIFS(Paste_Report_Here!$E$1:$E$2000,E444, OFFSET(Paste_Report_Here!$A$1,0,$A459,2000,1),F$75)</f>
        <v>0</v>
      </c>
      <c r="G459" s="180">
        <f ca="1">COUNTIFS(Paste_Report_Here!$E$1:$E$2000,E444, OFFSET(Paste_Report_Here!$A$1,0,$A459,2000,1),G$75)</f>
        <v>1</v>
      </c>
      <c r="H459" s="180">
        <f ca="1">COUNTIFS(Paste_Report_Here!$E$1:$E$2000,E444, OFFSET(Paste_Report_Here!$A$1,0,$A459,2000,1),H$75)</f>
        <v>24</v>
      </c>
      <c r="I459" s="180">
        <f ca="1">COUNTIFS(Paste_Report_Here!$E$1:$E$2000,E444, OFFSET(Paste_Report_Here!$A$1,0,$A459,2000,1),I$75)</f>
        <v>8</v>
      </c>
      <c r="J459" s="180">
        <f ca="1">COUNTIFS(Paste_Report_Here!$E$1:$E$2000,E444, OFFSET(Paste_Report_Here!$A$1,0,$A459,2000,1),J$75)</f>
        <v>1</v>
      </c>
      <c r="K459" s="181">
        <f ca="1">COUNTIFS(Paste_Report_Here!$E$1:$E$2000,E444, OFFSET(Paste_Report_Here!$A$1,0,$A459,2000,1),K$75)</f>
        <v>0</v>
      </c>
      <c r="L459" s="166">
        <f t="shared" ca="1" si="67"/>
        <v>34</v>
      </c>
      <c r="M459" s="183">
        <f ca="1">SUMPRODUCT(F459:K459,F448:K448)/L:L</f>
        <v>5.8823529411764705E-3</v>
      </c>
      <c r="N459" s="166">
        <f t="shared" ca="1" si="68"/>
        <v>1.0058996879527893</v>
      </c>
      <c r="O459" s="165">
        <f t="shared" ca="1" si="70"/>
        <v>1923.0648165986297</v>
      </c>
      <c r="P459" s="165">
        <f t="shared" ca="1" si="69"/>
        <v>1934.4102989295495</v>
      </c>
    </row>
    <row r="460" spans="1:16" s="165" customFormat="1" x14ac:dyDescent="0.3">
      <c r="A460" s="165">
        <f>MATCH(Calcs!B460,Paste_Report_Here!$1:$1,0) -1</f>
        <v>15</v>
      </c>
      <c r="B460" s="165" t="s">
        <v>133</v>
      </c>
      <c r="C460" s="166">
        <f ca="1">RANK(N460,N449:N473)</f>
        <v>12</v>
      </c>
      <c r="D460" s="166">
        <f ca="1">RANK(P460,P450:P474)</f>
        <v>7</v>
      </c>
      <c r="E460" s="189" t="s">
        <v>162</v>
      </c>
      <c r="F460" s="179">
        <f ca="1">COUNTIFS(Paste_Report_Here!$E$1:$E$2000,E444, OFFSET(Paste_Report_Here!$A$1,0,$A460,2000,1),F$75)</f>
        <v>0</v>
      </c>
      <c r="G460" s="180">
        <f ca="1">COUNTIFS(Paste_Report_Here!$E$1:$E$2000,E444, OFFSET(Paste_Report_Here!$A$1,0,$A460,2000,1),G$75)</f>
        <v>3</v>
      </c>
      <c r="H460" s="180">
        <f ca="1">COUNTIFS(Paste_Report_Here!$E$1:$E$2000,E444, OFFSET(Paste_Report_Here!$A$1,0,$A460,2000,1),H$75)</f>
        <v>20</v>
      </c>
      <c r="I460" s="180">
        <f ca="1">COUNTIFS(Paste_Report_Here!$E$1:$E$2000,E444, OFFSET(Paste_Report_Here!$A$1,0,$A460,2000,1),I$75)</f>
        <v>10</v>
      </c>
      <c r="J460" s="180">
        <f ca="1">COUNTIFS(Paste_Report_Here!$E$1:$E$2000,E444, OFFSET(Paste_Report_Here!$A$1,0,$A460,2000,1),J$75)</f>
        <v>0</v>
      </c>
      <c r="K460" s="181">
        <f ca="1">COUNTIFS(Paste_Report_Here!$E$1:$E$2000,E444, OFFSET(Paste_Report_Here!$A$1,0,$A460,2000,1),K$75)</f>
        <v>1</v>
      </c>
      <c r="L460" s="166">
        <f t="shared" ca="1" si="67"/>
        <v>34</v>
      </c>
      <c r="M460" s="183">
        <f ca="1">SUMPRODUCT(F460:K460,F448:K448)/L:L</f>
        <v>0</v>
      </c>
      <c r="N460" s="166">
        <f t="shared" ca="1" si="68"/>
        <v>1</v>
      </c>
      <c r="O460" s="165">
        <f t="shared" ca="1" si="70"/>
        <v>2786.0875292664036</v>
      </c>
      <c r="P460" s="165">
        <f t="shared" ca="1" si="69"/>
        <v>2786.0875292664036</v>
      </c>
    </row>
    <row r="461" spans="1:16" s="165" customFormat="1" x14ac:dyDescent="0.3">
      <c r="A461" s="165">
        <f>MATCH(Calcs!B461,Paste_Report_Here!$1:$1,0) -1</f>
        <v>16</v>
      </c>
      <c r="B461" s="165" t="s">
        <v>134</v>
      </c>
      <c r="C461" s="166">
        <f ca="1">RANK(N461,N450:N474)</f>
        <v>12</v>
      </c>
      <c r="D461" s="166">
        <f ca="1">RANK(P461,P450:P474)</f>
        <v>23</v>
      </c>
      <c r="E461" s="189" t="s">
        <v>163</v>
      </c>
      <c r="F461" s="179">
        <f ca="1">COUNTIFS(Paste_Report_Here!$E$1:$E$2000,E444, OFFSET(Paste_Report_Here!$A$1,0,$A461,2000,1),F$75)</f>
        <v>0</v>
      </c>
      <c r="G461" s="180">
        <f ca="1">COUNTIFS(Paste_Report_Here!$E$1:$E$2000,E444, OFFSET(Paste_Report_Here!$A$1,0,$A461,2000,1),G$75)</f>
        <v>3</v>
      </c>
      <c r="H461" s="180">
        <f ca="1">COUNTIFS(Paste_Report_Here!$E$1:$E$2000,E444, OFFSET(Paste_Report_Here!$A$1,0,$A461,2000,1),H$75)</f>
        <v>27</v>
      </c>
      <c r="I461" s="180">
        <f ca="1">COUNTIFS(Paste_Report_Here!$E$1:$E$2000,E444, OFFSET(Paste_Report_Here!$A$1,0,$A461,2000,1),I$75)</f>
        <v>3</v>
      </c>
      <c r="J461" s="180">
        <f ca="1">COUNTIFS(Paste_Report_Here!$E$1:$E$2000,E444, OFFSET(Paste_Report_Here!$A$1,0,$A461,2000,1),J$75)</f>
        <v>0</v>
      </c>
      <c r="K461" s="181">
        <f ca="1">COUNTIFS(Paste_Report_Here!$E$1:$E$2000,E444, OFFSET(Paste_Report_Here!$A$1,0,$A461,2000,1),K$75)</f>
        <v>1</v>
      </c>
      <c r="L461" s="166">
        <f t="shared" ca="1" si="67"/>
        <v>34</v>
      </c>
      <c r="M461" s="183">
        <f ca="1">SUMPRODUCT(F461:K461,F448:K448)/L:L</f>
        <v>0</v>
      </c>
      <c r="N461" s="166">
        <f t="shared" ca="1" si="68"/>
        <v>1</v>
      </c>
      <c r="O461" s="165">
        <f t="shared" ca="1" si="70"/>
        <v>1173.2454452500563</v>
      </c>
      <c r="P461" s="165">
        <f t="shared" ca="1" si="69"/>
        <v>1173.2454452500563</v>
      </c>
    </row>
    <row r="462" spans="1:16" s="165" customFormat="1" x14ac:dyDescent="0.3">
      <c r="A462" s="165">
        <f>MATCH(Calcs!B462,Paste_Report_Here!$1:$1,0) -1</f>
        <v>17</v>
      </c>
      <c r="B462" s="165" t="s">
        <v>135</v>
      </c>
      <c r="C462" s="166">
        <f ca="1">RANK(N462,N450:N474)</f>
        <v>1</v>
      </c>
      <c r="D462" s="166">
        <f ca="1">RANK(P462,P450:P474)</f>
        <v>20</v>
      </c>
      <c r="E462" s="189" t="s">
        <v>164</v>
      </c>
      <c r="F462" s="179">
        <f ca="1">COUNTIFS(Paste_Report_Here!$E$1:$E$2000,E444, OFFSET(Paste_Report_Here!$A$1,0,$A462,2000,1),F$75)</f>
        <v>0</v>
      </c>
      <c r="G462" s="180">
        <f ca="1">COUNTIFS(Paste_Report_Here!$E$1:$E$2000,E444, OFFSET(Paste_Report_Here!$A$1,0,$A462,2000,1),G$75)</f>
        <v>2</v>
      </c>
      <c r="H462" s="180">
        <f ca="1">COUNTIFS(Paste_Report_Here!$E$1:$E$2000,E444, OFFSET(Paste_Report_Here!$A$1,0,$A462,2000,1),H$75)</f>
        <v>24</v>
      </c>
      <c r="I462" s="180">
        <f ca="1">COUNTIFS(Paste_Report_Here!$E$1:$E$2000,E444, OFFSET(Paste_Report_Here!$A$1,0,$A462,2000,1),I$75)</f>
        <v>5</v>
      </c>
      <c r="J462" s="180">
        <f ca="1">COUNTIFS(Paste_Report_Here!$E$1:$E$2000,E444, OFFSET(Paste_Report_Here!$A$1,0,$A462,2000,1),J$75)</f>
        <v>2</v>
      </c>
      <c r="K462" s="181">
        <f ca="1">COUNTIFS(Paste_Report_Here!$E$1:$E$2000,E444, OFFSET(Paste_Report_Here!$A$1,0,$A462,2000,1),K$75)</f>
        <v>1</v>
      </c>
      <c r="L462" s="166">
        <f t="shared" ca="1" si="67"/>
        <v>34</v>
      </c>
      <c r="M462" s="183">
        <f ca="1">SUMPRODUCT(F462:K462,F448:K448)/L:L</f>
        <v>1.1764705882352941E-2</v>
      </c>
      <c r="N462" s="166">
        <f t="shared" ca="1" si="68"/>
        <v>1.0118341822235186</v>
      </c>
      <c r="O462" s="165">
        <f t="shared" ca="1" si="70"/>
        <v>1796.0859583512529</v>
      </c>
      <c r="P462" s="165">
        <f t="shared" ca="1" si="69"/>
        <v>1817.3411668714846</v>
      </c>
    </row>
    <row r="463" spans="1:16" s="165" customFormat="1" x14ac:dyDescent="0.3">
      <c r="A463" s="165">
        <f>MATCH(Calcs!B463,Paste_Report_Here!$1:$1,0) -1</f>
        <v>18</v>
      </c>
      <c r="B463" s="165" t="s">
        <v>136</v>
      </c>
      <c r="C463" s="166">
        <f ca="1">RANK(N463,N450:N474)</f>
        <v>3</v>
      </c>
      <c r="D463" s="166">
        <f ca="1">RANK(P463,P450:P474)</f>
        <v>3</v>
      </c>
      <c r="E463" s="189" t="s">
        <v>165</v>
      </c>
      <c r="F463" s="179">
        <f ca="1">COUNTIFS(Paste_Report_Here!$E$1:$E$2000,E444, OFFSET(Paste_Report_Here!$A$1,0,$A463,2000,1),F$75)</f>
        <v>0</v>
      </c>
      <c r="G463" s="180">
        <f ca="1">COUNTIFS(Paste_Report_Here!$E$1:$E$2000,E444, OFFSET(Paste_Report_Here!$A$1,0,$A463,2000,1),G$75)</f>
        <v>2</v>
      </c>
      <c r="H463" s="180">
        <f ca="1">COUNTIFS(Paste_Report_Here!$E$1:$E$2000,E444, OFFSET(Paste_Report_Here!$A$1,0,$A463,2000,1),H$75)</f>
        <v>24</v>
      </c>
      <c r="I463" s="180">
        <f ca="1">COUNTIFS(Paste_Report_Here!$E$1:$E$2000,E444, OFFSET(Paste_Report_Here!$A$1,0,$A463,2000,1),I$75)</f>
        <v>7</v>
      </c>
      <c r="J463" s="180">
        <f ca="1">COUNTIFS(Paste_Report_Here!$E$1:$E$2000,E444, OFFSET(Paste_Report_Here!$A$1,0,$A463,2000,1),J$75)</f>
        <v>1</v>
      </c>
      <c r="K463" s="181">
        <f ca="1">COUNTIFS(Paste_Report_Here!$E$1:$E$2000,E444, OFFSET(Paste_Report_Here!$A$1,0,$A463,2000,1),K$75)</f>
        <v>0</v>
      </c>
      <c r="L463" s="166">
        <f t="shared" ca="1" si="67"/>
        <v>34</v>
      </c>
      <c r="M463" s="183">
        <f ca="1">SUMPRODUCT(F463:K463,F448:K448)/L:L</f>
        <v>5.8823529411764705E-3</v>
      </c>
      <c r="N463" s="166">
        <f t="shared" ca="1" si="68"/>
        <v>1.0058996879527893</v>
      </c>
      <c r="O463" s="165">
        <f t="shared" ca="1" si="70"/>
        <v>3648.6142711903094</v>
      </c>
      <c r="P463" s="165">
        <f t="shared" ca="1" si="69"/>
        <v>3670.1399568504257</v>
      </c>
    </row>
    <row r="464" spans="1:16" s="165" customFormat="1" x14ac:dyDescent="0.3">
      <c r="A464" s="165">
        <f>MATCH(Calcs!B464,Paste_Report_Here!$1:$1,0) -1</f>
        <v>19</v>
      </c>
      <c r="B464" s="165" t="s">
        <v>137</v>
      </c>
      <c r="C464" s="166">
        <f ca="1">RANK(N464,N450:N474)</f>
        <v>12</v>
      </c>
      <c r="D464" s="166">
        <f ca="1">RANK(P464,P450:P474)</f>
        <v>14</v>
      </c>
      <c r="E464" s="189" t="s">
        <v>166</v>
      </c>
      <c r="F464" s="179">
        <f ca="1">COUNTIFS(Paste_Report_Here!$E$1:$E$2000,E444, OFFSET(Paste_Report_Here!$A$1,0,$A464,2000,1),F$75)</f>
        <v>0</v>
      </c>
      <c r="G464" s="180">
        <f ca="1">COUNTIFS(Paste_Report_Here!$E$1:$E$2000,E444, OFFSET(Paste_Report_Here!$A$1,0,$A464,2000,1),G$75)</f>
        <v>4</v>
      </c>
      <c r="H464" s="180">
        <f ca="1">COUNTIFS(Paste_Report_Here!$E$1:$E$2000,E444, OFFSET(Paste_Report_Here!$A$1,0,$A464,2000,1),H$75)</f>
        <v>26</v>
      </c>
      <c r="I464" s="180">
        <f ca="1">COUNTIFS(Paste_Report_Here!$E$1:$E$2000,E444, OFFSET(Paste_Report_Here!$A$1,0,$A464,2000,1),I$75)</f>
        <v>4</v>
      </c>
      <c r="J464" s="180">
        <f ca="1">COUNTIFS(Paste_Report_Here!$E$1:$E$2000,E444, OFFSET(Paste_Report_Here!$A$1,0,$A464,2000,1),J$75)</f>
        <v>0</v>
      </c>
      <c r="K464" s="181">
        <f ca="1">COUNTIFS(Paste_Report_Here!$E$1:$E$2000,E444, OFFSET(Paste_Report_Here!$A$1,0,$A464,2000,1),K$75)</f>
        <v>0</v>
      </c>
      <c r="L464" s="166">
        <f t="shared" ca="1" si="67"/>
        <v>34</v>
      </c>
      <c r="M464" s="183">
        <f ca="1">SUMPRODUCT(F464:K464,F448:K448)/L:L</f>
        <v>0</v>
      </c>
      <c r="N464" s="166">
        <f t="shared" ca="1" si="68"/>
        <v>1</v>
      </c>
      <c r="O464" s="165">
        <f t="shared" ca="1" si="70"/>
        <v>2122.6781131465646</v>
      </c>
      <c r="P464" s="165">
        <f t="shared" ca="1" si="69"/>
        <v>2122.6781131465646</v>
      </c>
    </row>
    <row r="465" spans="1:16" s="165" customFormat="1" x14ac:dyDescent="0.3">
      <c r="A465" s="165">
        <f>MATCH(Calcs!B465,Paste_Report_Here!$1:$1,0) -1</f>
        <v>20</v>
      </c>
      <c r="B465" s="165" t="s">
        <v>138</v>
      </c>
      <c r="C465" s="166">
        <f ca="1">RANK(N465,N450:N474)</f>
        <v>3</v>
      </c>
      <c r="D465" s="166">
        <f ca="1">RANK(P465,P450:P474)</f>
        <v>18</v>
      </c>
      <c r="E465" s="189" t="s">
        <v>167</v>
      </c>
      <c r="F465" s="179">
        <f ca="1">COUNTIFS(Paste_Report_Here!$E$1:$E$2000,E444, OFFSET(Paste_Report_Here!$A$1,0,$A465,2000,1),F$75)</f>
        <v>0</v>
      </c>
      <c r="G465" s="180">
        <f ca="1">COUNTIFS(Paste_Report_Here!$E$1:$E$2000,E444, OFFSET(Paste_Report_Here!$A$1,0,$A465,2000,1),G$75)</f>
        <v>1</v>
      </c>
      <c r="H465" s="180">
        <f ca="1">COUNTIFS(Paste_Report_Here!$E$1:$E$2000,E444, OFFSET(Paste_Report_Here!$A$1,0,$A465,2000,1),H$75)</f>
        <v>27</v>
      </c>
      <c r="I465" s="180">
        <f ca="1">COUNTIFS(Paste_Report_Here!$E$1:$E$2000,E444, OFFSET(Paste_Report_Here!$A$1,0,$A465,2000,1),I$75)</f>
        <v>5</v>
      </c>
      <c r="J465" s="180">
        <f ca="1">COUNTIFS(Paste_Report_Here!$E$1:$E$2000,E444, OFFSET(Paste_Report_Here!$A$1,0,$A465,2000,1),J$75)</f>
        <v>1</v>
      </c>
      <c r="K465" s="181">
        <f ca="1">COUNTIFS(Paste_Report_Here!$E$1:$E$2000,E444, OFFSET(Paste_Report_Here!$A$1,0,$A465,2000,1),K$75)</f>
        <v>0</v>
      </c>
      <c r="L465" s="166">
        <f t="shared" ca="1" si="67"/>
        <v>34</v>
      </c>
      <c r="M465" s="183">
        <f ca="1">SUMPRODUCT(F465:K465,F448:K448)/L:L</f>
        <v>5.8823529411764705E-3</v>
      </c>
      <c r="N465" s="166">
        <f t="shared" ca="1" si="68"/>
        <v>1.0058996879527893</v>
      </c>
      <c r="O465" s="165">
        <f t="shared" ca="1" si="70"/>
        <v>1960.377284887531</v>
      </c>
      <c r="P465" s="165">
        <f t="shared" ca="1" si="69"/>
        <v>1971.9428991381037</v>
      </c>
    </row>
    <row r="466" spans="1:16" s="165" customFormat="1" x14ac:dyDescent="0.3">
      <c r="A466" s="165">
        <f>MATCH(Calcs!B466,Paste_Report_Here!$1:$1,0) -1</f>
        <v>21</v>
      </c>
      <c r="B466" s="165" t="s">
        <v>139</v>
      </c>
      <c r="C466" s="166">
        <f ca="1">RANK(N466,N450:N474)</f>
        <v>23</v>
      </c>
      <c r="D466" s="166">
        <f ca="1">RANK(P466,P450:P474)</f>
        <v>15</v>
      </c>
      <c r="E466" s="189" t="s">
        <v>168</v>
      </c>
      <c r="F466" s="179">
        <f ca="1">COUNTIFS(Paste_Report_Here!$E$1:$E$2000,E444, OFFSET(Paste_Report_Here!$A$1,0,$A466,2000,1),F$75)</f>
        <v>1</v>
      </c>
      <c r="G466" s="180">
        <f ca="1">COUNTIFS(Paste_Report_Here!$E$1:$E$2000,E444, OFFSET(Paste_Report_Here!$A$1,0,$A466,2000,1),G$75)</f>
        <v>1</v>
      </c>
      <c r="H466" s="180">
        <f ca="1">COUNTIFS(Paste_Report_Here!$E$1:$E$2000,E444, OFFSET(Paste_Report_Here!$A$1,0,$A466,2000,1),H$75)</f>
        <v>29</v>
      </c>
      <c r="I466" s="180">
        <f ca="1">COUNTIFS(Paste_Report_Here!$E$1:$E$2000,E444, OFFSET(Paste_Report_Here!$A$1,0,$A466,2000,1),I$75)</f>
        <v>3</v>
      </c>
      <c r="J466" s="180">
        <f ca="1">COUNTIFS(Paste_Report_Here!$E$1:$E$2000,E444, OFFSET(Paste_Report_Here!$A$1,0,$A466,2000,1),J$75)</f>
        <v>0</v>
      </c>
      <c r="K466" s="181">
        <f ca="1">COUNTIFS(Paste_Report_Here!$E$1:$E$2000,E444, OFFSET(Paste_Report_Here!$A$1,0,$A466,2000,1),K$75)</f>
        <v>0</v>
      </c>
      <c r="L466" s="166">
        <f t="shared" ca="1" si="67"/>
        <v>34</v>
      </c>
      <c r="M466" s="183">
        <f ca="1">SUMPRODUCT(F466:K466,F448:K448)/L:L</f>
        <v>-5.8823529411764705E-3</v>
      </c>
      <c r="N466" s="166">
        <f t="shared" ca="1" si="68"/>
        <v>0.99413491422311084</v>
      </c>
      <c r="O466" s="165">
        <f t="shared" ca="1" si="70"/>
        <v>2128.7767706828045</v>
      </c>
      <c r="P466" s="165">
        <f t="shared" ca="1" si="69"/>
        <v>2116.2913123229009</v>
      </c>
    </row>
    <row r="467" spans="1:16" s="165" customFormat="1" x14ac:dyDescent="0.3">
      <c r="A467" s="165">
        <f>MATCH(Calcs!B467,Paste_Report_Here!$1:$1,0) -1</f>
        <v>22</v>
      </c>
      <c r="B467" s="165" t="s">
        <v>140</v>
      </c>
      <c r="C467" s="166">
        <f ca="1">RANK(N467,N450:N474)</f>
        <v>12</v>
      </c>
      <c r="D467" s="166">
        <f ca="1">RANK(P467,P450:P474)</f>
        <v>17</v>
      </c>
      <c r="E467" s="189" t="s">
        <v>169</v>
      </c>
      <c r="F467" s="179">
        <f ca="1">COUNTIFS(Paste_Report_Here!$E$1:$E$2000,E444, OFFSET(Paste_Report_Here!$A$1,0,$A467,2000,1),F$75)</f>
        <v>0</v>
      </c>
      <c r="G467" s="180">
        <f ca="1">COUNTIFS(Paste_Report_Here!$E$1:$E$2000,E444, OFFSET(Paste_Report_Here!$A$1,0,$A467,2000,1),G$75)</f>
        <v>0</v>
      </c>
      <c r="H467" s="180">
        <f ca="1">COUNTIFS(Paste_Report_Here!$E$1:$E$2000,E444, OFFSET(Paste_Report_Here!$A$1,0,$A467,2000,1),H$75)</f>
        <v>29</v>
      </c>
      <c r="I467" s="180">
        <f ca="1">COUNTIFS(Paste_Report_Here!$E$1:$E$2000,E444, OFFSET(Paste_Report_Here!$A$1,0,$A467,2000,1),I$75)</f>
        <v>5</v>
      </c>
      <c r="J467" s="180">
        <f ca="1">COUNTIFS(Paste_Report_Here!$E$1:$E$2000,E444, OFFSET(Paste_Report_Here!$A$1,0,$A467,2000,1),J$75)</f>
        <v>0</v>
      </c>
      <c r="K467" s="181">
        <f ca="1">COUNTIFS(Paste_Report_Here!$E$1:$E$2000,E444, OFFSET(Paste_Report_Here!$A$1,0,$A467,2000,1),K$75)</f>
        <v>0</v>
      </c>
      <c r="L467" s="166">
        <f t="shared" ca="1" si="67"/>
        <v>34</v>
      </c>
      <c r="M467" s="183">
        <f ca="1">SUMPRODUCT(F467:K467,F448:K448)/L:L</f>
        <v>0</v>
      </c>
      <c r="N467" s="166">
        <f t="shared" ca="1" si="68"/>
        <v>1</v>
      </c>
      <c r="O467" s="165">
        <f t="shared" ca="1" si="70"/>
        <v>2000.7199696354014</v>
      </c>
      <c r="P467" s="165">
        <f t="shared" ca="1" si="69"/>
        <v>2000.7199696354014</v>
      </c>
    </row>
    <row r="468" spans="1:16" s="165" customFormat="1" x14ac:dyDescent="0.3">
      <c r="A468" s="165">
        <f>MATCH(Calcs!B468,Paste_Report_Here!$1:$1,0) -1</f>
        <v>23</v>
      </c>
      <c r="B468" s="165" t="s">
        <v>186</v>
      </c>
      <c r="C468" s="166">
        <f ca="1">RANK(N468,N450:N474)</f>
        <v>3</v>
      </c>
      <c r="D468" s="166">
        <f ca="1">RANK(P468,P450:P474)</f>
        <v>2</v>
      </c>
      <c r="E468" s="189" t="s">
        <v>180</v>
      </c>
      <c r="F468" s="179">
        <f ca="1">COUNTIFS(Paste_Report_Here!$E$1:$E$2000,E444, OFFSET(Paste_Report_Here!$A$1,0,$A468,2000,1),F$75)</f>
        <v>0</v>
      </c>
      <c r="G468" s="180">
        <f ca="1">COUNTIFS(Paste_Report_Here!$E$1:$E$2000,E444, OFFSET(Paste_Report_Here!$A$1,0,$A468,2000,1),G$75)</f>
        <v>1</v>
      </c>
      <c r="H468" s="180">
        <f ca="1">COUNTIFS(Paste_Report_Here!$E$1:$E$2000,E444, OFFSET(Paste_Report_Here!$A$1,0,$A468,2000,1),H$75)</f>
        <v>25</v>
      </c>
      <c r="I468" s="180">
        <f ca="1">COUNTIFS(Paste_Report_Here!$E$1:$E$2000,E444, OFFSET(Paste_Report_Here!$A$1,0,$A468,2000,1),I$75)</f>
        <v>7</v>
      </c>
      <c r="J468" s="180">
        <f ca="1">COUNTIFS(Paste_Report_Here!$E$1:$E$2000,E444, OFFSET(Paste_Report_Here!$A$1,0,$A468,2000,1),J$75)</f>
        <v>1</v>
      </c>
      <c r="K468" s="181">
        <f ca="1">COUNTIFS(Paste_Report_Here!$E$1:$E$2000,E444, OFFSET(Paste_Report_Here!$A$1,0,$A468,2000,1),K$75)</f>
        <v>0</v>
      </c>
      <c r="L468" s="166">
        <f t="shared" ca="1" si="67"/>
        <v>34</v>
      </c>
      <c r="M468" s="183">
        <f ca="1">SUMPRODUCT(F468:K468,F448:K448)/L:L</f>
        <v>5.8823529411764705E-3</v>
      </c>
      <c r="N468" s="166">
        <f t="shared" ca="1" si="68"/>
        <v>1.0058996879527893</v>
      </c>
      <c r="O468" s="165">
        <f t="shared" ca="1" si="70"/>
        <v>3700.4945889975306</v>
      </c>
      <c r="P468" s="165">
        <f t="shared" ca="1" si="69"/>
        <v>3722.3263523436012</v>
      </c>
    </row>
    <row r="469" spans="1:16" s="165" customFormat="1" x14ac:dyDescent="0.3">
      <c r="A469" s="165">
        <f>MATCH(Calcs!B469,Paste_Report_Here!$1:$1,0) -1</f>
        <v>24</v>
      </c>
      <c r="B469" s="165" t="s">
        <v>209</v>
      </c>
      <c r="C469" s="166">
        <f ca="1">RANK(N469,N450:N474)</f>
        <v>12</v>
      </c>
      <c r="D469" s="166">
        <f ca="1">RANK(P469,P450:P474)</f>
        <v>24</v>
      </c>
      <c r="E469" s="202" t="s">
        <v>211</v>
      </c>
      <c r="F469" s="179">
        <f ca="1">COUNTIFS(Paste_Report_Here!$E$1:$E$2000,E444, OFFSET(Paste_Report_Here!$A$1,0,$A469,2000,1),F$75)</f>
        <v>0</v>
      </c>
      <c r="G469" s="180">
        <f ca="1">COUNTIFS(Paste_Report_Here!$E$1:$E$2000,E444, OFFSET(Paste_Report_Here!$A$1,0,$A469,2000,1),G$75)</f>
        <v>2</v>
      </c>
      <c r="H469" s="180">
        <f ca="1">COUNTIFS(Paste_Report_Here!$E$1:$E$2000,E444, OFFSET(Paste_Report_Here!$A$1,0,$A469,2000,1),H$75)</f>
        <v>28</v>
      </c>
      <c r="I469" s="180">
        <f ca="1">COUNTIFS(Paste_Report_Here!$E$1:$E$2000,E444, OFFSET(Paste_Report_Here!$A$1,0,$A469,2000,1),I$75)</f>
        <v>2</v>
      </c>
      <c r="J469" s="180">
        <f ca="1">COUNTIFS(Paste_Report_Here!$E$1:$E$2000,E444, OFFSET(Paste_Report_Here!$A$1,0,$A469,2000,1),J$75)</f>
        <v>0</v>
      </c>
      <c r="K469" s="181">
        <f ca="1">COUNTIFS(Paste_Report_Here!$E$1:$E$2000,E444, OFFSET(Paste_Report_Here!$A$1,0,$A469,2000,1),K$75)</f>
        <v>2</v>
      </c>
      <c r="L469" s="166">
        <f t="shared" ca="1" si="67"/>
        <v>34</v>
      </c>
      <c r="M469" s="183">
        <f ca="1">SUMPRODUCT(F469:K469,F448:K448)/L:L</f>
        <v>0</v>
      </c>
      <c r="N469" s="166">
        <f t="shared" ca="1" si="68"/>
        <v>1</v>
      </c>
      <c r="O469" s="165">
        <f t="shared" ca="1" si="70"/>
        <v>1166.2133495232069</v>
      </c>
      <c r="P469" s="165">
        <f t="shared" ca="1" si="69"/>
        <v>1166.2133495232069</v>
      </c>
    </row>
    <row r="470" spans="1:16" s="165" customFormat="1" x14ac:dyDescent="0.3">
      <c r="A470" s="165">
        <f>MATCH(Calcs!B470,Paste_Report_Here!$1:$1,0) -1</f>
        <v>25</v>
      </c>
      <c r="B470" s="165" t="s">
        <v>141</v>
      </c>
      <c r="C470" s="166">
        <f ca="1">RANK(N470,N450:N474)</f>
        <v>12</v>
      </c>
      <c r="D470" s="166">
        <f ca="1">RANK(P470,P450:P474)</f>
        <v>22</v>
      </c>
      <c r="E470" s="189" t="s">
        <v>170</v>
      </c>
      <c r="F470" s="179">
        <f ca="1">COUNTIFS(Paste_Report_Here!$E$1:$E$2000,E444, OFFSET(Paste_Report_Here!$A$1,0,$A470,2000,1),F$75)</f>
        <v>0</v>
      </c>
      <c r="G470" s="180">
        <f ca="1">COUNTIFS(Paste_Report_Here!$E$1:$E$2000,E444, OFFSET(Paste_Report_Here!$A$1,0,$A470,2000,1),G$75)</f>
        <v>5</v>
      </c>
      <c r="H470" s="180">
        <f ca="1">COUNTIFS(Paste_Report_Here!$E$1:$E$2000,E444, OFFSET(Paste_Report_Here!$A$1,0,$A470,2000,1),H$75)</f>
        <v>28</v>
      </c>
      <c r="I470" s="180">
        <f ca="1">COUNTIFS(Paste_Report_Here!$E$1:$E$2000,E444, OFFSET(Paste_Report_Here!$A$1,0,$A470,2000,1),I$75)</f>
        <v>1</v>
      </c>
      <c r="J470" s="180">
        <f ca="1">COUNTIFS(Paste_Report_Here!$E$1:$E$2000,E444, OFFSET(Paste_Report_Here!$A$1,0,$A470,2000,1),J$75)</f>
        <v>0</v>
      </c>
      <c r="K470" s="181">
        <f ca="1">COUNTIFS(Paste_Report_Here!$E$1:$E$2000,E444, OFFSET(Paste_Report_Here!$A$1,0,$A470,2000,1),K$75)</f>
        <v>0</v>
      </c>
      <c r="L470" s="166">
        <f t="shared" ca="1" si="67"/>
        <v>34</v>
      </c>
      <c r="M470" s="183">
        <f ca="1">SUMPRODUCT(F470:K470,F448:K448)/L:L</f>
        <v>0</v>
      </c>
      <c r="N470" s="166">
        <f t="shared" ca="1" si="68"/>
        <v>1</v>
      </c>
      <c r="O470" s="165">
        <f t="shared" ca="1" si="70"/>
        <v>1395.1831739772081</v>
      </c>
      <c r="P470" s="165">
        <f t="shared" ca="1" si="69"/>
        <v>1395.1831739772081</v>
      </c>
    </row>
    <row r="471" spans="1:16" s="165" customFormat="1" x14ac:dyDescent="0.3">
      <c r="A471" s="165">
        <f>MATCH(Calcs!B471,Paste_Report_Here!$1:$1,0) -1</f>
        <v>26</v>
      </c>
      <c r="B471" s="165" t="s">
        <v>142</v>
      </c>
      <c r="C471" s="166">
        <f ca="1">RANK(N471,N450:N474)</f>
        <v>23</v>
      </c>
      <c r="D471" s="166">
        <f ca="1">RANK(P471,P450:P474)</f>
        <v>11</v>
      </c>
      <c r="E471" s="189" t="s">
        <v>171</v>
      </c>
      <c r="F471" s="179">
        <f ca="1">COUNTIFS(Paste_Report_Here!$E$1:$E$2000,E444, OFFSET(Paste_Report_Here!$A$1,0,$A471,2000,1),F$75)</f>
        <v>1</v>
      </c>
      <c r="G471" s="180">
        <f ca="1">COUNTIFS(Paste_Report_Here!$E$1:$E$2000,E444, OFFSET(Paste_Report_Here!$A$1,0,$A471,2000,1),G$75)</f>
        <v>3</v>
      </c>
      <c r="H471" s="180">
        <f ca="1">COUNTIFS(Paste_Report_Here!$E$1:$E$2000,E444, OFFSET(Paste_Report_Here!$A$1,0,$A471,2000,1),H$75)</f>
        <v>23</v>
      </c>
      <c r="I471" s="180">
        <f ca="1">COUNTIFS(Paste_Report_Here!$E$1:$E$2000,E444, OFFSET(Paste_Report_Here!$A$1,0,$A471,2000,1),I$75)</f>
        <v>7</v>
      </c>
      <c r="J471" s="180">
        <f ca="1">COUNTIFS(Paste_Report_Here!$E$1:$E$2000,E444, OFFSET(Paste_Report_Here!$A$1,0,$A471,2000,1),J$75)</f>
        <v>0</v>
      </c>
      <c r="K471" s="181">
        <f ca="1">COUNTIFS(Paste_Report_Here!$E$1:$E$2000,E444, OFFSET(Paste_Report_Here!$A$1,0,$A471,2000,1),K$75)</f>
        <v>0</v>
      </c>
      <c r="L471" s="166">
        <f t="shared" ca="1" si="67"/>
        <v>34</v>
      </c>
      <c r="M471" s="183">
        <f ca="1">SUMPRODUCT(F471:K471,F448:K448)/L:L</f>
        <v>-5.8823529411764705E-3</v>
      </c>
      <c r="N471" s="166">
        <f t="shared" ca="1" si="68"/>
        <v>0.99413491422311084</v>
      </c>
      <c r="O471" s="165">
        <f t="shared" ca="1" si="70"/>
        <v>2317.025678171553</v>
      </c>
      <c r="P471" s="165">
        <f t="shared" ca="1" si="69"/>
        <v>2303.4361238218221</v>
      </c>
    </row>
    <row r="472" spans="1:16" s="165" customFormat="1" x14ac:dyDescent="0.3">
      <c r="A472" s="165">
        <f>MATCH(Calcs!B472,Paste_Report_Here!$1:$1,0) -1</f>
        <v>27</v>
      </c>
      <c r="B472" s="165" t="s">
        <v>210</v>
      </c>
      <c r="C472" s="166">
        <f ca="1">RANK(N472,N450:N474)</f>
        <v>12</v>
      </c>
      <c r="D472" s="166">
        <f ca="1">RANK(P472,P450:P474)</f>
        <v>25</v>
      </c>
      <c r="E472" s="202" t="s">
        <v>212</v>
      </c>
      <c r="F472" s="179">
        <f ca="1">COUNTIFS(Paste_Report_Here!$E$1:$E$2000,E444, OFFSET(Paste_Report_Here!$A$1,0,$A472,2000,1),F$75)</f>
        <v>0</v>
      </c>
      <c r="G472" s="180">
        <f ca="1">COUNTIFS(Paste_Report_Here!$E$1:$E$2000,E444, OFFSET(Paste_Report_Here!$A$1,0,$A472,2000,1),G$75)</f>
        <v>2</v>
      </c>
      <c r="H472" s="180">
        <f ca="1">COUNTIFS(Paste_Report_Here!$E$1:$E$2000,E444, OFFSET(Paste_Report_Here!$A$1,0,$A472,2000,1),H$75)</f>
        <v>29</v>
      </c>
      <c r="I472" s="180">
        <f ca="1">COUNTIFS(Paste_Report_Here!$E$1:$E$2000,E444, OFFSET(Paste_Report_Here!$A$1,0,$A472,2000,1),I$75)</f>
        <v>3</v>
      </c>
      <c r="J472" s="180">
        <f ca="1">COUNTIFS(Paste_Report_Here!$E$1:$E$2000,E444, OFFSET(Paste_Report_Here!$A$1,0,$A472,2000,1),J$75)</f>
        <v>0</v>
      </c>
      <c r="K472" s="181">
        <f ca="1">COUNTIFS(Paste_Report_Here!$E$1:$E$2000,E444, OFFSET(Paste_Report_Here!$A$1,0,$A472,2000,1),K$75)</f>
        <v>0</v>
      </c>
      <c r="L472" s="166">
        <f t="shared" ca="1" si="67"/>
        <v>34</v>
      </c>
      <c r="M472" s="183">
        <f ca="1">SUMPRODUCT(F472:K472,F448:K448)/L:L</f>
        <v>0</v>
      </c>
      <c r="N472" s="166">
        <f t="shared" ca="1" si="68"/>
        <v>1</v>
      </c>
      <c r="O472" s="165">
        <f t="shared" ca="1" si="70"/>
        <v>1158.1624939464391</v>
      </c>
      <c r="P472" s="165">
        <f t="shared" ca="1" si="69"/>
        <v>1158.1624939464391</v>
      </c>
    </row>
    <row r="473" spans="1:16" s="165" customFormat="1" x14ac:dyDescent="0.3">
      <c r="A473" s="165">
        <f>MATCH(Calcs!B473,Paste_Report_Here!$1:$1,0) -1</f>
        <v>28</v>
      </c>
      <c r="B473" s="165" t="s">
        <v>143</v>
      </c>
      <c r="C473" s="166">
        <f ca="1">RANK(N473,N451:N475)</f>
        <v>12</v>
      </c>
      <c r="D473" s="166">
        <f ca="1">RANK(P473,P450:P474)</f>
        <v>1</v>
      </c>
      <c r="E473" s="189" t="s">
        <v>172</v>
      </c>
      <c r="F473" s="179">
        <f ca="1">COUNTIFS(Paste_Report_Here!$E$1:$E$2000,E444, OFFSET(Paste_Report_Here!$A$1,0,$A473,2000,1),F$75)</f>
        <v>0</v>
      </c>
      <c r="G473" s="180">
        <f ca="1">COUNTIFS(Paste_Report_Here!$E$1:$E$2000,E444, OFFSET(Paste_Report_Here!$A$1,0,$A473,2000,1),G$75)</f>
        <v>1</v>
      </c>
      <c r="H473" s="180">
        <f ca="1">COUNTIFS(Paste_Report_Here!$E$1:$E$2000,E444, OFFSET(Paste_Report_Here!$A$1,0,$A473,2000,1),H$75)</f>
        <v>24</v>
      </c>
      <c r="I473" s="180">
        <f ca="1">COUNTIFS(Paste_Report_Here!$E$1:$E$2000,E444, OFFSET(Paste_Report_Here!$A$1,0,$A473,2000,1),I$75)</f>
        <v>9</v>
      </c>
      <c r="J473" s="180">
        <f ca="1">COUNTIFS(Paste_Report_Here!$E$1:$E$2000,E444, OFFSET(Paste_Report_Here!$A$1,0,$A473,2000,1),J$75)</f>
        <v>0</v>
      </c>
      <c r="K473" s="181">
        <f ca="1">COUNTIFS(Paste_Report_Here!$E$1:$E$2000,E444, OFFSET(Paste_Report_Here!$A$1,0,$A473,2000,1),K$75)</f>
        <v>0</v>
      </c>
      <c r="L473" s="166">
        <f t="shared" ca="1" si="67"/>
        <v>34</v>
      </c>
      <c r="M473" s="183">
        <f ca="1">SUMPRODUCT(F473:K473,F448:K448)/L:L</f>
        <v>0</v>
      </c>
      <c r="N473" s="166">
        <f t="shared" ca="1" si="68"/>
        <v>1</v>
      </c>
      <c r="O473" s="165">
        <f t="shared" ca="1" si="70"/>
        <v>7450.1212419008652</v>
      </c>
      <c r="P473" s="165">
        <f t="shared" ca="1" si="69"/>
        <v>7450.1212419008652</v>
      </c>
    </row>
    <row r="474" spans="1:16" s="165" customFormat="1" x14ac:dyDescent="0.3">
      <c r="A474" s="165">
        <f>MATCH(Calcs!B474,Paste_Report_Here!$1:$1,0) -1</f>
        <v>29</v>
      </c>
      <c r="B474" s="187" t="s">
        <v>144</v>
      </c>
      <c r="C474" s="147">
        <f ca="1">RANK(N474,N450:N474)</f>
        <v>25</v>
      </c>
      <c r="D474" s="147">
        <f ca="1">RANK(P474,P450:P474)</f>
        <v>12</v>
      </c>
      <c r="E474" s="145" t="s">
        <v>173</v>
      </c>
      <c r="F474" s="146">
        <f ca="1">COUNTIFS(Paste_Report_Here!$E$1:$E$2000,E444, OFFSET(Paste_Report_Here!$A$1,0,$A474,2000,1),F$75)</f>
        <v>2</v>
      </c>
      <c r="G474" s="147">
        <f ca="1">COUNTIFS(Paste_Report_Here!$E$1:$E$2000,E444, OFFSET(Paste_Report_Here!$A$1,0,$A474,2000,1),G$75)</f>
        <v>1</v>
      </c>
      <c r="H474" s="147">
        <f ca="1">COUNTIFS(Paste_Report_Here!$E$1:$E$2000,E444, OFFSET(Paste_Report_Here!$A$1,0,$A474,2000,1),H$75)</f>
        <v>23</v>
      </c>
      <c r="I474" s="147">
        <f ca="1">COUNTIFS(Paste_Report_Here!$E$1:$E$2000,E444, OFFSET(Paste_Report_Here!$A$1,0,$A474,2000,1),I$75)</f>
        <v>8</v>
      </c>
      <c r="J474" s="147">
        <f ca="1">COUNTIFS(Paste_Report_Here!$E$1:$E$2000,E444, OFFSET(Paste_Report_Here!$A$1,0,$A474,2000,1),J$75)</f>
        <v>0</v>
      </c>
      <c r="K474" s="148">
        <f ca="1">COUNTIFS(Paste_Report_Here!$E$1:$E$2000,E444, OFFSET(Paste_Report_Here!$A$1,0,$A474,2000,1),K$75)</f>
        <v>0</v>
      </c>
      <c r="L474" s="147">
        <f t="shared" ca="1" si="67"/>
        <v>34</v>
      </c>
      <c r="M474" s="149">
        <f ca="1">SUMPRODUCT(F474:K474,F448:K448)/L:L</f>
        <v>-1.1764705882352941E-2</v>
      </c>
      <c r="N474" s="147">
        <f t="shared" ca="1" si="68"/>
        <v>0.9883042276773919</v>
      </c>
      <c r="O474" s="187">
        <f t="shared" ca="1" si="70"/>
        <v>2299.8096269724342</v>
      </c>
      <c r="P474" s="165">
        <f t="shared" ca="1" si="69"/>
        <v>2272.9115771900224</v>
      </c>
    </row>
    <row r="475" spans="1:16" s="165" customFormat="1" x14ac:dyDescent="0.3">
      <c r="C475" s="166"/>
      <c r="E475" s="140" t="s">
        <v>293</v>
      </c>
      <c r="F475" s="180">
        <f ca="1">SUM(F450:F474)</f>
        <v>6</v>
      </c>
      <c r="G475" s="180">
        <f t="shared" ref="G475:L475" ca="1" si="71">SUM(G450:G474)</f>
        <v>58</v>
      </c>
      <c r="H475" s="180">
        <f t="shared" ca="1" si="71"/>
        <v>614</v>
      </c>
      <c r="I475" s="180">
        <f t="shared" ca="1" si="71"/>
        <v>150</v>
      </c>
      <c r="J475" s="180">
        <f t="shared" ca="1" si="71"/>
        <v>15</v>
      </c>
      <c r="K475" s="180">
        <f t="shared" ca="1" si="71"/>
        <v>7</v>
      </c>
      <c r="L475" s="180">
        <f t="shared" ca="1" si="71"/>
        <v>850</v>
      </c>
      <c r="M475" s="144">
        <f ca="1">SUMPRODUCT(F475:K475,F448:K448)/L475</f>
        <v>2.1176470588235292E-3</v>
      </c>
      <c r="N475" s="166">
        <f t="shared" ca="1" si="68"/>
        <v>1.0021198908569344</v>
      </c>
      <c r="O475" s="165">
        <f t="shared" ca="1" si="70"/>
        <v>2580.1624353612174</v>
      </c>
      <c r="P475" s="165">
        <f t="shared" ca="1" si="69"/>
        <v>2585.6320981173453</v>
      </c>
    </row>
    <row r="476" spans="1:16" s="165" customFormat="1" x14ac:dyDescent="0.3">
      <c r="A476" s="194"/>
      <c r="B476" s="194"/>
      <c r="C476" s="153"/>
      <c r="D476" s="194"/>
      <c r="E476" s="164"/>
      <c r="F476" s="151"/>
      <c r="G476" s="151"/>
      <c r="H476" s="151"/>
      <c r="I476" s="151"/>
      <c r="J476" s="151"/>
      <c r="K476" s="151"/>
      <c r="L476" s="151"/>
      <c r="M476" s="162"/>
      <c r="N476" s="153"/>
      <c r="O476" s="194"/>
      <c r="P476" s="194"/>
    </row>
    <row r="477" spans="1:16" s="165" customFormat="1" x14ac:dyDescent="0.3">
      <c r="E477" s="173" t="s">
        <v>292</v>
      </c>
    </row>
    <row r="478" spans="1:16" s="165" customFormat="1" x14ac:dyDescent="0.3">
      <c r="E478" s="141">
        <v>40967</v>
      </c>
    </row>
    <row r="479" spans="1:16" s="165" customFormat="1" ht="15" thickBot="1" x14ac:dyDescent="0.35"/>
    <row r="480" spans="1:16" s="165" customFormat="1" ht="24.6" thickBot="1" x14ac:dyDescent="0.35">
      <c r="F480" s="174" t="s">
        <v>23</v>
      </c>
      <c r="G480" s="168" t="s">
        <v>18</v>
      </c>
      <c r="H480" s="168" t="s">
        <v>16</v>
      </c>
      <c r="I480" s="168" t="s">
        <v>17</v>
      </c>
      <c r="J480" s="168" t="s">
        <v>19</v>
      </c>
      <c r="K480" s="169" t="s">
        <v>114</v>
      </c>
    </row>
    <row r="481" spans="1:16" s="165" customFormat="1" x14ac:dyDescent="0.3">
      <c r="F481" s="267" t="s">
        <v>201</v>
      </c>
      <c r="G481" s="268"/>
      <c r="H481" s="268"/>
      <c r="I481" s="268"/>
      <c r="J481" s="268"/>
      <c r="K481" s="169"/>
      <c r="M481" s="203">
        <f ca="1">(H509+K509)/L509</f>
        <v>0.69513513513513514</v>
      </c>
      <c r="N481" s="204" t="s">
        <v>501</v>
      </c>
    </row>
    <row r="482" spans="1:16" s="165" customFormat="1" ht="43.8" thickBot="1" x14ac:dyDescent="0.35">
      <c r="A482" s="142" t="s">
        <v>294</v>
      </c>
      <c r="B482" s="142" t="s">
        <v>295</v>
      </c>
      <c r="C482" s="197" t="s">
        <v>440</v>
      </c>
      <c r="D482" s="142" t="s">
        <v>441</v>
      </c>
      <c r="E482" s="171" t="s">
        <v>30</v>
      </c>
      <c r="F482" s="175">
        <f>Falling_fast</f>
        <v>-0.2</v>
      </c>
      <c r="G482" s="176">
        <f>Falling</f>
        <v>0</v>
      </c>
      <c r="H482" s="177">
        <f>Static</f>
        <v>0</v>
      </c>
      <c r="I482" s="176">
        <f>Rising</f>
        <v>0</v>
      </c>
      <c r="J482" s="178">
        <f>Rising_fast</f>
        <v>0.2</v>
      </c>
      <c r="K482" s="182">
        <v>0</v>
      </c>
      <c r="L482" s="171" t="s">
        <v>28</v>
      </c>
      <c r="M482" s="172" t="s">
        <v>29</v>
      </c>
      <c r="N482" s="143" t="s">
        <v>296</v>
      </c>
      <c r="O482" s="142" t="s">
        <v>297</v>
      </c>
      <c r="P482" s="142" t="s">
        <v>298</v>
      </c>
    </row>
    <row r="483" spans="1:16" s="165" customFormat="1" x14ac:dyDescent="0.3">
      <c r="C483" s="166"/>
      <c r="E483" s="192"/>
      <c r="F483" s="198" t="s">
        <v>151</v>
      </c>
      <c r="G483" s="199" t="s">
        <v>149</v>
      </c>
      <c r="H483" s="199" t="s">
        <v>16</v>
      </c>
      <c r="I483" s="199" t="s">
        <v>148</v>
      </c>
      <c r="J483" s="199" t="s">
        <v>150</v>
      </c>
      <c r="K483" s="200" t="s">
        <v>114</v>
      </c>
      <c r="L483" s="166"/>
      <c r="M483" s="170"/>
      <c r="N483" s="166"/>
    </row>
    <row r="484" spans="1:16" s="165" customFormat="1" x14ac:dyDescent="0.3">
      <c r="A484" s="165">
        <f>MATCH(Calcs!B484,Paste_Report_Here!$1:$1,0) -1</f>
        <v>5</v>
      </c>
      <c r="B484" s="165" t="s">
        <v>124</v>
      </c>
      <c r="C484" s="166">
        <f ca="1">RANK(N484,N484:N508)</f>
        <v>10</v>
      </c>
      <c r="D484" s="166">
        <f ca="1">RANK(P484,P484:P508)</f>
        <v>16</v>
      </c>
      <c r="E484" s="189" t="s">
        <v>152</v>
      </c>
      <c r="F484" s="179">
        <f ca="1">COUNTIFS(Paste_Report_Here!$E$1:$E$2000,E478, OFFSET(Paste_Report_Here!$A$1,0,$A484,2000,1),F$75)</f>
        <v>1</v>
      </c>
      <c r="G484" s="180">
        <f ca="1">COUNTIFS(Paste_Report_Here!$E$1:$E$2000,E478, OFFSET(Paste_Report_Here!$A$1,0,$A484,2000,1),G$75)</f>
        <v>3</v>
      </c>
      <c r="H484" s="180">
        <f ca="1">COUNTIFS(Paste_Report_Here!$E$1:$E$2000,E478, OFFSET(Paste_Report_Here!$A$1,0,$A484,2000,1),H$75)</f>
        <v>28</v>
      </c>
      <c r="I484" s="180">
        <f ca="1">COUNTIFS(Paste_Report_Here!$E$1:$E$2000,E478, OFFSET(Paste_Report_Here!$A$1,0,$A484,2000,1),I$75)</f>
        <v>4</v>
      </c>
      <c r="J484" s="180">
        <f ca="1">COUNTIFS(Paste_Report_Here!$E$1:$E$2000,E478, OFFSET(Paste_Report_Here!$A$1,0,$A484,2000,1),J$75)</f>
        <v>1</v>
      </c>
      <c r="K484" s="181">
        <f ca="1">COUNTIFS(Paste_Report_Here!$E$1:$E$2000,E478, OFFSET(Paste_Report_Here!$A$1,0,$A484,2000,1),K$75)</f>
        <v>0</v>
      </c>
      <c r="L484" s="166">
        <f t="shared" ref="L484:L508" ca="1" si="72">SUM(F484:K484)</f>
        <v>37</v>
      </c>
      <c r="M484" s="183">
        <f ca="1">SUMPRODUCT(F484:K484,F482:K482)/L:L</f>
        <v>0</v>
      </c>
      <c r="N484" s="166">
        <f t="shared" ref="N484:N509" ca="1" si="73">EXP(M484)</f>
        <v>1</v>
      </c>
      <c r="O484" s="165">
        <f ca="1">P450</f>
        <v>2075.294548983532</v>
      </c>
      <c r="P484" s="165">
        <f t="shared" ref="P484:P509" ca="1" si="74">O484*N484</f>
        <v>2075.294548983532</v>
      </c>
    </row>
    <row r="485" spans="1:16" s="165" customFormat="1" x14ac:dyDescent="0.3">
      <c r="A485" s="165">
        <f>MATCH(Calcs!B485,Paste_Report_Here!$1:$1,0) -1</f>
        <v>6</v>
      </c>
      <c r="B485" s="165" t="s">
        <v>125</v>
      </c>
      <c r="C485" s="166">
        <f ca="1">RANK(N485,N484:N508)</f>
        <v>10</v>
      </c>
      <c r="D485" s="166">
        <f ca="1">RANK(P485,P484:P508)</f>
        <v>13</v>
      </c>
      <c r="E485" s="189" t="s">
        <v>153</v>
      </c>
      <c r="F485" s="179">
        <f ca="1">COUNTIFS(Paste_Report_Here!$E$1:$E$2000,E478, OFFSET(Paste_Report_Here!$A$1,0,$A485,2000,1),F$75)</f>
        <v>1</v>
      </c>
      <c r="G485" s="180">
        <f ca="1">COUNTIFS(Paste_Report_Here!$E$1:$E$2000,E478, OFFSET(Paste_Report_Here!$A$1,0,$A485,2000,1),G$75)</f>
        <v>5</v>
      </c>
      <c r="H485" s="180">
        <f ca="1">COUNTIFS(Paste_Report_Here!$E$1:$E$2000,E478, OFFSET(Paste_Report_Here!$A$1,0,$A485,2000,1),H$75)</f>
        <v>27</v>
      </c>
      <c r="I485" s="180">
        <f ca="1">COUNTIFS(Paste_Report_Here!$E$1:$E$2000,E478, OFFSET(Paste_Report_Here!$A$1,0,$A485,2000,1),I$75)</f>
        <v>3</v>
      </c>
      <c r="J485" s="180">
        <f ca="1">COUNTIFS(Paste_Report_Here!$E$1:$E$2000,E478, OFFSET(Paste_Report_Here!$A$1,0,$A485,2000,1),J$75)</f>
        <v>1</v>
      </c>
      <c r="K485" s="181">
        <f ca="1">COUNTIFS(Paste_Report_Here!$E$1:$E$2000,E478, OFFSET(Paste_Report_Here!$A$1,0,$A485,2000,1),K$75)</f>
        <v>0</v>
      </c>
      <c r="L485" s="166">
        <f t="shared" ca="1" si="72"/>
        <v>37</v>
      </c>
      <c r="M485" s="183">
        <f ca="1">SUMPRODUCT(F485:K485,F482:K482)/L:L</f>
        <v>0</v>
      </c>
      <c r="N485" s="166">
        <f t="shared" ca="1" si="73"/>
        <v>1</v>
      </c>
      <c r="O485" s="165">
        <f t="shared" ref="O485:O509" ca="1" si="75">P451</f>
        <v>2223.9676034778731</v>
      </c>
      <c r="P485" s="165">
        <f t="shared" ca="1" si="74"/>
        <v>2223.9676034778731</v>
      </c>
    </row>
    <row r="486" spans="1:16" s="165" customFormat="1" x14ac:dyDescent="0.3">
      <c r="A486" s="165">
        <f>MATCH(Calcs!B486,Paste_Report_Here!$1:$1,0) -1</f>
        <v>7</v>
      </c>
      <c r="B486" s="165" t="s">
        <v>126</v>
      </c>
      <c r="C486" s="166">
        <f ca="1">RANK(N486,N484:N508)</f>
        <v>22</v>
      </c>
      <c r="D486" s="166">
        <f ca="1">RANK(P486,P484:P508)</f>
        <v>6</v>
      </c>
      <c r="E486" s="189" t="s">
        <v>154</v>
      </c>
      <c r="F486" s="179">
        <f ca="1">COUNTIFS(Paste_Report_Here!$E$1:$E$2000,E478, OFFSET(Paste_Report_Here!$A$1,0,$A486,2000,1),F$75)</f>
        <v>1</v>
      </c>
      <c r="G486" s="180">
        <f ca="1">COUNTIFS(Paste_Report_Here!$E$1:$E$2000,E478, OFFSET(Paste_Report_Here!$A$1,0,$A486,2000,1),G$75)</f>
        <v>9</v>
      </c>
      <c r="H486" s="180">
        <f ca="1">COUNTIFS(Paste_Report_Here!$E$1:$E$2000,E478, OFFSET(Paste_Report_Here!$A$1,0,$A486,2000,1),H$75)</f>
        <v>22</v>
      </c>
      <c r="I486" s="180">
        <f ca="1">COUNTIFS(Paste_Report_Here!$E$1:$E$2000,E478, OFFSET(Paste_Report_Here!$A$1,0,$A486,2000,1),I$75)</f>
        <v>5</v>
      </c>
      <c r="J486" s="180">
        <f ca="1">COUNTIFS(Paste_Report_Here!$E$1:$E$2000,E478, OFFSET(Paste_Report_Here!$A$1,0,$A486,2000,1),J$75)</f>
        <v>0</v>
      </c>
      <c r="K486" s="181">
        <f ca="1">COUNTIFS(Paste_Report_Here!$E$1:$E$2000,E478, OFFSET(Paste_Report_Here!$A$1,0,$A486,2000,1),K$75)</f>
        <v>0</v>
      </c>
      <c r="L486" s="166">
        <f t="shared" ca="1" si="72"/>
        <v>37</v>
      </c>
      <c r="M486" s="183">
        <f ca="1">SUMPRODUCT(F486:K486,F482:K482)/L:L</f>
        <v>-5.4054054054054057E-3</v>
      </c>
      <c r="N486" s="166">
        <f t="shared" ca="1" si="73"/>
        <v>0.99460917751103628</v>
      </c>
      <c r="O486" s="165">
        <f t="shared" ca="1" si="75"/>
        <v>2858.5989068015924</v>
      </c>
      <c r="P486" s="165">
        <f t="shared" ca="1" si="74"/>
        <v>2843.1887075278792</v>
      </c>
    </row>
    <row r="487" spans="1:16" s="165" customFormat="1" x14ac:dyDescent="0.3">
      <c r="A487" s="165">
        <f>MATCH(Calcs!B487,Paste_Report_Here!$1:$1,0) -1</f>
        <v>8</v>
      </c>
      <c r="B487" s="165" t="s">
        <v>127</v>
      </c>
      <c r="C487" s="166">
        <f ca="1">RANK(N487,N484:N508)</f>
        <v>10</v>
      </c>
      <c r="D487" s="166">
        <f ca="1">RANK(P487,P484:P508)</f>
        <v>8</v>
      </c>
      <c r="E487" s="189" t="s">
        <v>155</v>
      </c>
      <c r="F487" s="179">
        <f ca="1">COUNTIFS(Paste_Report_Here!$E$1:$E$2000,E478, OFFSET(Paste_Report_Here!$A$1,0,$A487,2000,1),F$75)</f>
        <v>1</v>
      </c>
      <c r="G487" s="180">
        <f ca="1">COUNTIFS(Paste_Report_Here!$E$1:$E$2000,E478, OFFSET(Paste_Report_Here!$A$1,0,$A487,2000,1),G$75)</f>
        <v>3</v>
      </c>
      <c r="H487" s="180">
        <f ca="1">COUNTIFS(Paste_Report_Here!$E$1:$E$2000,E478, OFFSET(Paste_Report_Here!$A$1,0,$A487,2000,1),H$75)</f>
        <v>25</v>
      </c>
      <c r="I487" s="180">
        <f ca="1">COUNTIFS(Paste_Report_Here!$E$1:$E$2000,E478, OFFSET(Paste_Report_Here!$A$1,0,$A487,2000,1),I$75)</f>
        <v>7</v>
      </c>
      <c r="J487" s="180">
        <f ca="1">COUNTIFS(Paste_Report_Here!$E$1:$E$2000,E478, OFFSET(Paste_Report_Here!$A$1,0,$A487,2000,1),J$75)</f>
        <v>1</v>
      </c>
      <c r="K487" s="181">
        <f ca="1">COUNTIFS(Paste_Report_Here!$E$1:$E$2000,E478, OFFSET(Paste_Report_Here!$A$1,0,$A487,2000,1),K$75)</f>
        <v>0</v>
      </c>
      <c r="L487" s="166">
        <f t="shared" ca="1" si="72"/>
        <v>37</v>
      </c>
      <c r="M487" s="183">
        <f ca="1">SUMPRODUCT(F487:K487,F482:K482)/L:L</f>
        <v>0</v>
      </c>
      <c r="N487" s="166">
        <f t="shared" ca="1" si="73"/>
        <v>1</v>
      </c>
      <c r="O487" s="165">
        <f t="shared" ca="1" si="75"/>
        <v>2564.746845350568</v>
      </c>
      <c r="P487" s="165">
        <f t="shared" ca="1" si="74"/>
        <v>2564.746845350568</v>
      </c>
    </row>
    <row r="488" spans="1:16" s="165" customFormat="1" x14ac:dyDescent="0.3">
      <c r="A488" s="165">
        <f>MATCH(Calcs!B488,Paste_Report_Here!$1:$1,0) -1</f>
        <v>9</v>
      </c>
      <c r="B488" s="165" t="s">
        <v>214</v>
      </c>
      <c r="C488" s="166">
        <f ca="1">RANK(N488,N484:N508)</f>
        <v>10</v>
      </c>
      <c r="D488" s="166">
        <f ca="1">RANK(P488,P484:P508)</f>
        <v>5</v>
      </c>
      <c r="E488" s="189" t="s">
        <v>156</v>
      </c>
      <c r="F488" s="179">
        <f ca="1">COUNTIFS(Paste_Report_Here!$E$1:$E$2000,E478, OFFSET(Paste_Report_Here!$A$1,0,$A488,2000,1),F$75)</f>
        <v>0</v>
      </c>
      <c r="G488" s="180">
        <f ca="1">COUNTIFS(Paste_Report_Here!$E$1:$E$2000,E478, OFFSET(Paste_Report_Here!$A$1,0,$A488,2000,1),G$75)</f>
        <v>4</v>
      </c>
      <c r="H488" s="180">
        <f ca="1">COUNTIFS(Paste_Report_Here!$E$1:$E$2000,E478, OFFSET(Paste_Report_Here!$A$1,0,$A488,2000,1),H$75)</f>
        <v>26</v>
      </c>
      <c r="I488" s="180">
        <f ca="1">COUNTIFS(Paste_Report_Here!$E$1:$E$2000,E478, OFFSET(Paste_Report_Here!$A$1,0,$A488,2000,1),I$75)</f>
        <v>6</v>
      </c>
      <c r="J488" s="180">
        <f ca="1">COUNTIFS(Paste_Report_Here!$E$1:$E$2000,E478, OFFSET(Paste_Report_Here!$A$1,0,$A488,2000,1),J$75)</f>
        <v>0</v>
      </c>
      <c r="K488" s="181">
        <f ca="1">COUNTIFS(Paste_Report_Here!$E$1:$E$2000,E478, OFFSET(Paste_Report_Here!$A$1,0,$A488,2000,1),K$75)</f>
        <v>1</v>
      </c>
      <c r="L488" s="166">
        <f t="shared" ca="1" si="72"/>
        <v>37</v>
      </c>
      <c r="M488" s="183">
        <f ca="1">SUMPRODUCT(F488:K488,F482:K482)/L:L</f>
        <v>0</v>
      </c>
      <c r="N488" s="166">
        <f t="shared" ca="1" si="73"/>
        <v>1</v>
      </c>
      <c r="O488" s="165">
        <f t="shared" ca="1" si="75"/>
        <v>3455.5553129788896</v>
      </c>
      <c r="P488" s="165">
        <f t="shared" ca="1" si="74"/>
        <v>3455.5553129788896</v>
      </c>
    </row>
    <row r="489" spans="1:16" s="165" customFormat="1" x14ac:dyDescent="0.3">
      <c r="A489" s="165">
        <f>MATCH(Calcs!B489,Paste_Report_Here!$1:$1,0) -1</f>
        <v>10</v>
      </c>
      <c r="B489" s="165" t="s">
        <v>128</v>
      </c>
      <c r="C489" s="166">
        <f ca="1">RANK(N489,N484:N508)</f>
        <v>5</v>
      </c>
      <c r="D489" s="166">
        <f ca="1">RANK(P489,P484:P508)</f>
        <v>21</v>
      </c>
      <c r="E489" s="189" t="s">
        <v>157</v>
      </c>
      <c r="F489" s="179">
        <f ca="1">COUNTIFS(Paste_Report_Here!$E$1:$E$2000,E478, OFFSET(Paste_Report_Here!$A$1,0,$A489,2000,1),F$75)</f>
        <v>1</v>
      </c>
      <c r="G489" s="180">
        <f ca="1">COUNTIFS(Paste_Report_Here!$E$1:$E$2000,E478, OFFSET(Paste_Report_Here!$A$1,0,$A489,2000,1),G$75)</f>
        <v>4</v>
      </c>
      <c r="H489" s="180">
        <f ca="1">COUNTIFS(Paste_Report_Here!$E$1:$E$2000,E478, OFFSET(Paste_Report_Here!$A$1,0,$A489,2000,1),H$75)</f>
        <v>26</v>
      </c>
      <c r="I489" s="180">
        <f ca="1">COUNTIFS(Paste_Report_Here!$E$1:$E$2000,E478, OFFSET(Paste_Report_Here!$A$1,0,$A489,2000,1),I$75)</f>
        <v>4</v>
      </c>
      <c r="J489" s="180">
        <f ca="1">COUNTIFS(Paste_Report_Here!$E$1:$E$2000,E478, OFFSET(Paste_Report_Here!$A$1,0,$A489,2000,1),J$75)</f>
        <v>2</v>
      </c>
      <c r="K489" s="181">
        <f ca="1">COUNTIFS(Paste_Report_Here!$E$1:$E$2000,E478, OFFSET(Paste_Report_Here!$A$1,0,$A489,2000,1),K$75)</f>
        <v>0</v>
      </c>
      <c r="L489" s="166">
        <f t="shared" ca="1" si="72"/>
        <v>37</v>
      </c>
      <c r="M489" s="183">
        <f ca="1">SUMPRODUCT(F489:K489,F482:K482)/L:L</f>
        <v>5.4054054054054057E-3</v>
      </c>
      <c r="N489" s="166">
        <f t="shared" ca="1" si="73"/>
        <v>1.0054200409677034</v>
      </c>
      <c r="O489" s="165">
        <f t="shared" ca="1" si="75"/>
        <v>1610.7067020916684</v>
      </c>
      <c r="P489" s="165">
        <f t="shared" ca="1" si="74"/>
        <v>1619.4367984039598</v>
      </c>
    </row>
    <row r="490" spans="1:16" s="165" customFormat="1" x14ac:dyDescent="0.3">
      <c r="A490" s="165">
        <f>MATCH(Calcs!B490,Paste_Report_Here!$1:$1,0) -1</f>
        <v>11</v>
      </c>
      <c r="B490" s="165" t="s">
        <v>129</v>
      </c>
      <c r="C490" s="166">
        <f ca="1">RANK(N490,N484:N508)</f>
        <v>2</v>
      </c>
      <c r="D490" s="166">
        <f ca="1">RANK(P490,P484:P508)</f>
        <v>9</v>
      </c>
      <c r="E490" s="189" t="s">
        <v>158</v>
      </c>
      <c r="F490" s="179">
        <f ca="1">COUNTIFS(Paste_Report_Here!$E$1:$E$2000,E478, OFFSET(Paste_Report_Here!$A$1,0,$A490,2000,1),F$75)</f>
        <v>1</v>
      </c>
      <c r="G490" s="180">
        <f ca="1">COUNTIFS(Paste_Report_Here!$E$1:$E$2000,E478, OFFSET(Paste_Report_Here!$A$1,0,$A490,2000,1),G$75)</f>
        <v>3</v>
      </c>
      <c r="H490" s="180">
        <f ca="1">COUNTIFS(Paste_Report_Here!$E$1:$E$2000,E478, OFFSET(Paste_Report_Here!$A$1,0,$A490,2000,1),H$75)</f>
        <v>23</v>
      </c>
      <c r="I490" s="180">
        <f ca="1">COUNTIFS(Paste_Report_Here!$E$1:$E$2000,E478, OFFSET(Paste_Report_Here!$A$1,0,$A490,2000,1),I$75)</f>
        <v>7</v>
      </c>
      <c r="J490" s="180">
        <f ca="1">COUNTIFS(Paste_Report_Here!$E$1:$E$2000,E478, OFFSET(Paste_Report_Here!$A$1,0,$A490,2000,1),J$75)</f>
        <v>3</v>
      </c>
      <c r="K490" s="181">
        <f ca="1">COUNTIFS(Paste_Report_Here!$E$1:$E$2000,E478, OFFSET(Paste_Report_Here!$A$1,0,$A490,2000,1),K$75)</f>
        <v>0</v>
      </c>
      <c r="L490" s="166">
        <f t="shared" ca="1" si="72"/>
        <v>37</v>
      </c>
      <c r="M490" s="183">
        <f ca="1">SUMPRODUCT(F490:K490,F482:K482)/L:L</f>
        <v>1.0810810810810813E-2</v>
      </c>
      <c r="N490" s="166">
        <f t="shared" ca="1" si="73"/>
        <v>1.0108694587794986</v>
      </c>
      <c r="O490" s="165">
        <f t="shared" ca="1" si="75"/>
        <v>2498.1372781719642</v>
      </c>
      <c r="P490" s="165">
        <f t="shared" ca="1" si="74"/>
        <v>2525.2906783425833</v>
      </c>
    </row>
    <row r="491" spans="1:16" s="165" customFormat="1" x14ac:dyDescent="0.3">
      <c r="A491" s="165">
        <f>MATCH(Calcs!B491,Paste_Report_Here!$1:$1,0) -1</f>
        <v>12</v>
      </c>
      <c r="B491" s="165" t="s">
        <v>130</v>
      </c>
      <c r="C491" s="166">
        <f ca="1">RANK(N491,N484:N508)</f>
        <v>22</v>
      </c>
      <c r="D491" s="166">
        <f ca="1">RANK(P491,P484:P508)</f>
        <v>10</v>
      </c>
      <c r="E491" s="189" t="s">
        <v>159</v>
      </c>
      <c r="F491" s="179">
        <f ca="1">COUNTIFS(Paste_Report_Here!$E$1:$E$2000,E478, OFFSET(Paste_Report_Here!$A$1,0,$A491,2000,1),F$75)</f>
        <v>1</v>
      </c>
      <c r="G491" s="180">
        <f ca="1">COUNTIFS(Paste_Report_Here!$E$1:$E$2000,E478, OFFSET(Paste_Report_Here!$A$1,0,$A491,2000,1),G$75)</f>
        <v>2</v>
      </c>
      <c r="H491" s="180">
        <f ca="1">COUNTIFS(Paste_Report_Here!$E$1:$E$2000,E478, OFFSET(Paste_Report_Here!$A$1,0,$A491,2000,1),H$75)</f>
        <v>22</v>
      </c>
      <c r="I491" s="180">
        <f ca="1">COUNTIFS(Paste_Report_Here!$E$1:$E$2000,E478, OFFSET(Paste_Report_Here!$A$1,0,$A491,2000,1),I$75)</f>
        <v>12</v>
      </c>
      <c r="J491" s="180">
        <f ca="1">COUNTIFS(Paste_Report_Here!$E$1:$E$2000,E478, OFFSET(Paste_Report_Here!$A$1,0,$A491,2000,1),J$75)</f>
        <v>0</v>
      </c>
      <c r="K491" s="181">
        <f ca="1">COUNTIFS(Paste_Report_Here!$E$1:$E$2000,E478, OFFSET(Paste_Report_Here!$A$1,0,$A491,2000,1),K$75)</f>
        <v>0</v>
      </c>
      <c r="L491" s="166">
        <f t="shared" ca="1" si="72"/>
        <v>37</v>
      </c>
      <c r="M491" s="183">
        <f ca="1">SUMPRODUCT(F491:K491,F482:K482)/L:L</f>
        <v>-5.4054054054054057E-3</v>
      </c>
      <c r="N491" s="166">
        <f t="shared" ca="1" si="73"/>
        <v>0.99460917751103628</v>
      </c>
      <c r="O491" s="165">
        <f t="shared" ca="1" si="75"/>
        <v>2336.2741900801461</v>
      </c>
      <c r="P491" s="165">
        <f t="shared" ca="1" si="74"/>
        <v>2323.6797506358766</v>
      </c>
    </row>
    <row r="492" spans="1:16" s="165" customFormat="1" x14ac:dyDescent="0.3">
      <c r="A492" s="165">
        <f>MATCH(Calcs!B492,Paste_Report_Here!$1:$1,0) -1</f>
        <v>13</v>
      </c>
      <c r="B492" s="165" t="s">
        <v>131</v>
      </c>
      <c r="C492" s="166">
        <f ca="1">RANK(N492,N484:N508)</f>
        <v>1</v>
      </c>
      <c r="D492" s="166">
        <f ca="1">RANK(P492,P484:P508)</f>
        <v>4</v>
      </c>
      <c r="E492" s="189" t="s">
        <v>160</v>
      </c>
      <c r="F492" s="179">
        <f ca="1">COUNTIFS(Paste_Report_Here!$E$1:$E$2000,E478, OFFSET(Paste_Report_Here!$A$1,0,$A492,2000,1),F$75)</f>
        <v>0</v>
      </c>
      <c r="G492" s="180">
        <f ca="1">COUNTIFS(Paste_Report_Here!$E$1:$E$2000,E478, OFFSET(Paste_Report_Here!$A$1,0,$A492,2000,1),G$75)</f>
        <v>2</v>
      </c>
      <c r="H492" s="180">
        <f ca="1">COUNTIFS(Paste_Report_Here!$E$1:$E$2000,E478, OFFSET(Paste_Report_Here!$A$1,0,$A492,2000,1),H$75)</f>
        <v>22</v>
      </c>
      <c r="I492" s="180">
        <f ca="1">COUNTIFS(Paste_Report_Here!$E$1:$E$2000,E478, OFFSET(Paste_Report_Here!$A$1,0,$A492,2000,1),I$75)</f>
        <v>9</v>
      </c>
      <c r="J492" s="180">
        <f ca="1">COUNTIFS(Paste_Report_Here!$E$1:$E$2000,E478, OFFSET(Paste_Report_Here!$A$1,0,$A492,2000,1),J$75)</f>
        <v>4</v>
      </c>
      <c r="K492" s="181">
        <f ca="1">COUNTIFS(Paste_Report_Here!$E$1:$E$2000,E478, OFFSET(Paste_Report_Here!$A$1,0,$A492,2000,1),K$75)</f>
        <v>0</v>
      </c>
      <c r="L492" s="166">
        <f t="shared" ca="1" si="72"/>
        <v>37</v>
      </c>
      <c r="M492" s="183">
        <f ca="1">SUMPRODUCT(F492:K492,F482:K482)/L:L</f>
        <v>2.1621621621621623E-2</v>
      </c>
      <c r="N492" s="166">
        <f t="shared" ca="1" si="73"/>
        <v>1.0218570626931562</v>
      </c>
      <c r="O492" s="165">
        <f t="shared" ca="1" si="75"/>
        <v>3561.1867153007197</v>
      </c>
      <c r="P492" s="165">
        <f t="shared" ca="1" si="74"/>
        <v>3639.0237965990827</v>
      </c>
    </row>
    <row r="493" spans="1:16" s="165" customFormat="1" x14ac:dyDescent="0.3">
      <c r="A493" s="165">
        <f>MATCH(Calcs!B493,Paste_Report_Here!$1:$1,0) -1</f>
        <v>14</v>
      </c>
      <c r="B493" s="165" t="s">
        <v>132</v>
      </c>
      <c r="C493" s="166">
        <f ca="1">RANK(N493,N484:N508)</f>
        <v>10</v>
      </c>
      <c r="D493" s="166">
        <f ca="1">RANK(P493,P484:P508)</f>
        <v>19</v>
      </c>
      <c r="E493" s="189" t="s">
        <v>161</v>
      </c>
      <c r="F493" s="179">
        <f ca="1">COUNTIFS(Paste_Report_Here!$E$1:$E$2000,E478, OFFSET(Paste_Report_Here!$A$1,0,$A493,2000,1),F$75)</f>
        <v>0</v>
      </c>
      <c r="G493" s="180">
        <f ca="1">COUNTIFS(Paste_Report_Here!$E$1:$E$2000,E478, OFFSET(Paste_Report_Here!$A$1,0,$A493,2000,1),G$75)</f>
        <v>2</v>
      </c>
      <c r="H493" s="180">
        <f ca="1">COUNTIFS(Paste_Report_Here!$E$1:$E$2000,E478, OFFSET(Paste_Report_Here!$A$1,0,$A493,2000,1),H$75)</f>
        <v>28</v>
      </c>
      <c r="I493" s="180">
        <f ca="1">COUNTIFS(Paste_Report_Here!$E$1:$E$2000,E478, OFFSET(Paste_Report_Here!$A$1,0,$A493,2000,1),I$75)</f>
        <v>7</v>
      </c>
      <c r="J493" s="180">
        <f ca="1">COUNTIFS(Paste_Report_Here!$E$1:$E$2000,E478, OFFSET(Paste_Report_Here!$A$1,0,$A493,2000,1),J$75)</f>
        <v>0</v>
      </c>
      <c r="K493" s="181">
        <f ca="1">COUNTIFS(Paste_Report_Here!$E$1:$E$2000,E478, OFFSET(Paste_Report_Here!$A$1,0,$A493,2000,1),K$75)</f>
        <v>0</v>
      </c>
      <c r="L493" s="166">
        <f t="shared" ca="1" si="72"/>
        <v>37</v>
      </c>
      <c r="M493" s="183">
        <f ca="1">SUMPRODUCT(F493:K493,F482:K482)/L:L</f>
        <v>0</v>
      </c>
      <c r="N493" s="166">
        <f t="shared" ca="1" si="73"/>
        <v>1</v>
      </c>
      <c r="O493" s="165">
        <f t="shared" ca="1" si="75"/>
        <v>1934.4102989295495</v>
      </c>
      <c r="P493" s="165">
        <f t="shared" ca="1" si="74"/>
        <v>1934.4102989295495</v>
      </c>
    </row>
    <row r="494" spans="1:16" s="165" customFormat="1" x14ac:dyDescent="0.3">
      <c r="A494" s="165">
        <f>MATCH(Calcs!B494,Paste_Report_Here!$1:$1,0) -1</f>
        <v>15</v>
      </c>
      <c r="B494" s="165" t="s">
        <v>133</v>
      </c>
      <c r="C494" s="166">
        <f ca="1">RANK(N494,N483:N507)</f>
        <v>5</v>
      </c>
      <c r="D494" s="166">
        <f ca="1">RANK(P494,P484:P508)</f>
        <v>7</v>
      </c>
      <c r="E494" s="189" t="s">
        <v>162</v>
      </c>
      <c r="F494" s="179">
        <f ca="1">COUNTIFS(Paste_Report_Here!$E$1:$E$2000,E478, OFFSET(Paste_Report_Here!$A$1,0,$A494,2000,1),F$75)</f>
        <v>0</v>
      </c>
      <c r="G494" s="180">
        <f ca="1">COUNTIFS(Paste_Report_Here!$E$1:$E$2000,E478, OFFSET(Paste_Report_Here!$A$1,0,$A494,2000,1),G$75)</f>
        <v>1</v>
      </c>
      <c r="H494" s="180">
        <f ca="1">COUNTIFS(Paste_Report_Here!$E$1:$E$2000,E478, OFFSET(Paste_Report_Here!$A$1,0,$A494,2000,1),H$75)</f>
        <v>25</v>
      </c>
      <c r="I494" s="180">
        <f ca="1">COUNTIFS(Paste_Report_Here!$E$1:$E$2000,E478, OFFSET(Paste_Report_Here!$A$1,0,$A494,2000,1),I$75)</f>
        <v>10</v>
      </c>
      <c r="J494" s="180">
        <f ca="1">COUNTIFS(Paste_Report_Here!$E$1:$E$2000,E478, OFFSET(Paste_Report_Here!$A$1,0,$A494,2000,1),J$75)</f>
        <v>1</v>
      </c>
      <c r="K494" s="181">
        <f ca="1">COUNTIFS(Paste_Report_Here!$E$1:$E$2000,E478, OFFSET(Paste_Report_Here!$A$1,0,$A494,2000,1),K$75)</f>
        <v>0</v>
      </c>
      <c r="L494" s="166">
        <f t="shared" ca="1" si="72"/>
        <v>37</v>
      </c>
      <c r="M494" s="183">
        <f ca="1">SUMPRODUCT(F494:K494,F482:K482)/L:L</f>
        <v>5.4054054054054057E-3</v>
      </c>
      <c r="N494" s="166">
        <f t="shared" ca="1" si="73"/>
        <v>1.0054200409677034</v>
      </c>
      <c r="O494" s="165">
        <f t="shared" ca="1" si="75"/>
        <v>2786.0875292664036</v>
      </c>
      <c r="P494" s="165">
        <f t="shared" ca="1" si="74"/>
        <v>2801.1882378146352</v>
      </c>
    </row>
    <row r="495" spans="1:16" s="165" customFormat="1" x14ac:dyDescent="0.3">
      <c r="A495" s="165">
        <f>MATCH(Calcs!B495,Paste_Report_Here!$1:$1,0) -1</f>
        <v>16</v>
      </c>
      <c r="B495" s="165" t="s">
        <v>134</v>
      </c>
      <c r="C495" s="166">
        <f ca="1">RANK(N495,N484:N508)</f>
        <v>10</v>
      </c>
      <c r="D495" s="166">
        <f ca="1">RANK(P495,P484:P508)</f>
        <v>23</v>
      </c>
      <c r="E495" s="189" t="s">
        <v>163</v>
      </c>
      <c r="F495" s="179">
        <f ca="1">COUNTIFS(Paste_Report_Here!$E$1:$E$2000,E478, OFFSET(Paste_Report_Here!$A$1,0,$A495,2000,1),F$75)</f>
        <v>1</v>
      </c>
      <c r="G495" s="180">
        <f ca="1">COUNTIFS(Paste_Report_Here!$E$1:$E$2000,E478, OFFSET(Paste_Report_Here!$A$1,0,$A495,2000,1),G$75)</f>
        <v>5</v>
      </c>
      <c r="H495" s="180">
        <f ca="1">COUNTIFS(Paste_Report_Here!$E$1:$E$2000,E478, OFFSET(Paste_Report_Here!$A$1,0,$A495,2000,1),H$75)</f>
        <v>28</v>
      </c>
      <c r="I495" s="180">
        <f ca="1">COUNTIFS(Paste_Report_Here!$E$1:$E$2000,E478, OFFSET(Paste_Report_Here!$A$1,0,$A495,2000,1),I$75)</f>
        <v>2</v>
      </c>
      <c r="J495" s="180">
        <f ca="1">COUNTIFS(Paste_Report_Here!$E$1:$E$2000,E478, OFFSET(Paste_Report_Here!$A$1,0,$A495,2000,1),J$75)</f>
        <v>1</v>
      </c>
      <c r="K495" s="181">
        <f ca="1">COUNTIFS(Paste_Report_Here!$E$1:$E$2000,E478, OFFSET(Paste_Report_Here!$A$1,0,$A495,2000,1),K$75)</f>
        <v>0</v>
      </c>
      <c r="L495" s="166">
        <f t="shared" ca="1" si="72"/>
        <v>37</v>
      </c>
      <c r="M495" s="183">
        <f ca="1">SUMPRODUCT(F495:K495,F482:K482)/L:L</f>
        <v>0</v>
      </c>
      <c r="N495" s="166">
        <f t="shared" ca="1" si="73"/>
        <v>1</v>
      </c>
      <c r="O495" s="165">
        <f t="shared" ca="1" si="75"/>
        <v>1173.2454452500563</v>
      </c>
      <c r="P495" s="165">
        <f t="shared" ca="1" si="74"/>
        <v>1173.2454452500563</v>
      </c>
    </row>
    <row r="496" spans="1:16" s="165" customFormat="1" x14ac:dyDescent="0.3">
      <c r="A496" s="165">
        <f>MATCH(Calcs!B496,Paste_Report_Here!$1:$1,0) -1</f>
        <v>17</v>
      </c>
      <c r="B496" s="165" t="s">
        <v>135</v>
      </c>
      <c r="C496" s="166">
        <f ca="1">RANK(N496,N484:N508)</f>
        <v>10</v>
      </c>
      <c r="D496" s="166">
        <f ca="1">RANK(P496,P484:P508)</f>
        <v>20</v>
      </c>
      <c r="E496" s="189" t="s">
        <v>164</v>
      </c>
      <c r="F496" s="179">
        <f ca="1">COUNTIFS(Paste_Report_Here!$E$1:$E$2000,E478, OFFSET(Paste_Report_Here!$A$1,0,$A496,2000,1),F$75)</f>
        <v>1</v>
      </c>
      <c r="G496" s="180">
        <f ca="1">COUNTIFS(Paste_Report_Here!$E$1:$E$2000,E478, OFFSET(Paste_Report_Here!$A$1,0,$A496,2000,1),G$75)</f>
        <v>3</v>
      </c>
      <c r="H496" s="180">
        <f ca="1">COUNTIFS(Paste_Report_Here!$E$1:$E$2000,E478, OFFSET(Paste_Report_Here!$A$1,0,$A496,2000,1),H$75)</f>
        <v>24</v>
      </c>
      <c r="I496" s="180">
        <f ca="1">COUNTIFS(Paste_Report_Here!$E$1:$E$2000,E478, OFFSET(Paste_Report_Here!$A$1,0,$A496,2000,1),I$75)</f>
        <v>8</v>
      </c>
      <c r="J496" s="180">
        <f ca="1">COUNTIFS(Paste_Report_Here!$E$1:$E$2000,E478, OFFSET(Paste_Report_Here!$A$1,0,$A496,2000,1),J$75)</f>
        <v>1</v>
      </c>
      <c r="K496" s="181">
        <f ca="1">COUNTIFS(Paste_Report_Here!$E$1:$E$2000,E478, OFFSET(Paste_Report_Here!$A$1,0,$A496,2000,1),K$75)</f>
        <v>0</v>
      </c>
      <c r="L496" s="166">
        <f t="shared" ca="1" si="72"/>
        <v>37</v>
      </c>
      <c r="M496" s="183">
        <f ca="1">SUMPRODUCT(F496:K496,F482:K482)/L:L</f>
        <v>0</v>
      </c>
      <c r="N496" s="166">
        <f t="shared" ca="1" si="73"/>
        <v>1</v>
      </c>
      <c r="O496" s="165">
        <f t="shared" ca="1" si="75"/>
        <v>1817.3411668714846</v>
      </c>
      <c r="P496" s="165">
        <f t="shared" ca="1" si="74"/>
        <v>1817.3411668714846</v>
      </c>
    </row>
    <row r="497" spans="1:16" s="165" customFormat="1" x14ac:dyDescent="0.3">
      <c r="A497" s="165">
        <f>MATCH(Calcs!B497,Paste_Report_Here!$1:$1,0) -1</f>
        <v>18</v>
      </c>
      <c r="B497" s="165" t="s">
        <v>136</v>
      </c>
      <c r="C497" s="166">
        <f ca="1">RANK(N497,N484:N508)</f>
        <v>2</v>
      </c>
      <c r="D497" s="166">
        <f ca="1">RANK(P497,P484:P508)</f>
        <v>3</v>
      </c>
      <c r="E497" s="189" t="s">
        <v>165</v>
      </c>
      <c r="F497" s="179">
        <f ca="1">COUNTIFS(Paste_Report_Here!$E$1:$E$2000,E478, OFFSET(Paste_Report_Here!$A$1,0,$A497,2000,1),F$75)</f>
        <v>0</v>
      </c>
      <c r="G497" s="180">
        <f ca="1">COUNTIFS(Paste_Report_Here!$E$1:$E$2000,E478, OFFSET(Paste_Report_Here!$A$1,0,$A497,2000,1),G$75)</f>
        <v>2</v>
      </c>
      <c r="H497" s="180">
        <f ca="1">COUNTIFS(Paste_Report_Here!$E$1:$E$2000,E478, OFFSET(Paste_Report_Here!$A$1,0,$A497,2000,1),H$75)</f>
        <v>24</v>
      </c>
      <c r="I497" s="180">
        <f ca="1">COUNTIFS(Paste_Report_Here!$E$1:$E$2000,E478, OFFSET(Paste_Report_Here!$A$1,0,$A497,2000,1),I$75)</f>
        <v>9</v>
      </c>
      <c r="J497" s="180">
        <f ca="1">COUNTIFS(Paste_Report_Here!$E$1:$E$2000,E478, OFFSET(Paste_Report_Here!$A$1,0,$A497,2000,1),J$75)</f>
        <v>2</v>
      </c>
      <c r="K497" s="181">
        <f ca="1">COUNTIFS(Paste_Report_Here!$E$1:$E$2000,E478, OFFSET(Paste_Report_Here!$A$1,0,$A497,2000,1),K$75)</f>
        <v>0</v>
      </c>
      <c r="L497" s="166">
        <f t="shared" ca="1" si="72"/>
        <v>37</v>
      </c>
      <c r="M497" s="183">
        <f ca="1">SUMPRODUCT(F497:K497,F482:K482)/L:L</f>
        <v>1.0810810810810811E-2</v>
      </c>
      <c r="N497" s="166">
        <f t="shared" ca="1" si="73"/>
        <v>1.0108694587794986</v>
      </c>
      <c r="O497" s="165">
        <f t="shared" ca="1" si="75"/>
        <v>3670.1399568504257</v>
      </c>
      <c r="P497" s="165">
        <f t="shared" ca="1" si="74"/>
        <v>3710.0323918264025</v>
      </c>
    </row>
    <row r="498" spans="1:16" s="165" customFormat="1" x14ac:dyDescent="0.3">
      <c r="A498" s="165">
        <f>MATCH(Calcs!B498,Paste_Report_Here!$1:$1,0) -1</f>
        <v>19</v>
      </c>
      <c r="B498" s="165" t="s">
        <v>137</v>
      </c>
      <c r="C498" s="166">
        <f ca="1">RANK(N498,N484:N508)</f>
        <v>10</v>
      </c>
      <c r="D498" s="166">
        <f ca="1">RANK(P498,P484:P508)</f>
        <v>15</v>
      </c>
      <c r="E498" s="189" t="s">
        <v>166</v>
      </c>
      <c r="F498" s="179">
        <f ca="1">COUNTIFS(Paste_Report_Here!$E$1:$E$2000,E478, OFFSET(Paste_Report_Here!$A$1,0,$A498,2000,1),F$75)</f>
        <v>0</v>
      </c>
      <c r="G498" s="180">
        <f ca="1">COUNTIFS(Paste_Report_Here!$E$1:$E$2000,E478, OFFSET(Paste_Report_Here!$A$1,0,$A498,2000,1),G$75)</f>
        <v>2</v>
      </c>
      <c r="H498" s="180">
        <f ca="1">COUNTIFS(Paste_Report_Here!$E$1:$E$2000,E478, OFFSET(Paste_Report_Here!$A$1,0,$A498,2000,1),H$75)</f>
        <v>28</v>
      </c>
      <c r="I498" s="180">
        <f ca="1">COUNTIFS(Paste_Report_Here!$E$1:$E$2000,E478, OFFSET(Paste_Report_Here!$A$1,0,$A498,2000,1),I$75)</f>
        <v>7</v>
      </c>
      <c r="J498" s="180">
        <f ca="1">COUNTIFS(Paste_Report_Here!$E$1:$E$2000,E478, OFFSET(Paste_Report_Here!$A$1,0,$A498,2000,1),J$75)</f>
        <v>0</v>
      </c>
      <c r="K498" s="181">
        <f ca="1">COUNTIFS(Paste_Report_Here!$E$1:$E$2000,E478, OFFSET(Paste_Report_Here!$A$1,0,$A498,2000,1),K$75)</f>
        <v>0</v>
      </c>
      <c r="L498" s="166">
        <f t="shared" ca="1" si="72"/>
        <v>37</v>
      </c>
      <c r="M498" s="183">
        <f ca="1">SUMPRODUCT(F498:K498,F482:K482)/L:L</f>
        <v>0</v>
      </c>
      <c r="N498" s="166">
        <f t="shared" ca="1" si="73"/>
        <v>1</v>
      </c>
      <c r="O498" s="165">
        <f t="shared" ca="1" si="75"/>
        <v>2122.6781131465646</v>
      </c>
      <c r="P498" s="165">
        <f t="shared" ca="1" si="74"/>
        <v>2122.6781131465646</v>
      </c>
    </row>
    <row r="499" spans="1:16" s="165" customFormat="1" x14ac:dyDescent="0.3">
      <c r="A499" s="165">
        <f>MATCH(Calcs!B499,Paste_Report_Here!$1:$1,0) -1</f>
        <v>20</v>
      </c>
      <c r="B499" s="165" t="s">
        <v>138</v>
      </c>
      <c r="C499" s="166">
        <v>3</v>
      </c>
      <c r="D499" s="166">
        <f ca="1">RANK(P499,P484:P508)</f>
        <v>18</v>
      </c>
      <c r="E499" s="189" t="s">
        <v>167</v>
      </c>
      <c r="F499" s="179">
        <f ca="1">COUNTIFS(Paste_Report_Here!$E$1:$E$2000,E478, OFFSET(Paste_Report_Here!$A$1,0,$A499,2000,1),F$75)</f>
        <v>0</v>
      </c>
      <c r="G499" s="180">
        <f ca="1">COUNTIFS(Paste_Report_Here!$E$1:$E$2000,E478, OFFSET(Paste_Report_Here!$A$1,0,$A499,2000,1),G$75)</f>
        <v>2</v>
      </c>
      <c r="H499" s="180">
        <f ca="1">COUNTIFS(Paste_Report_Here!$E$1:$E$2000,E478, OFFSET(Paste_Report_Here!$A$1,0,$A499,2000,1),H$75)</f>
        <v>24</v>
      </c>
      <c r="I499" s="180">
        <f ca="1">COUNTIFS(Paste_Report_Here!$E$1:$E$2000,E478, OFFSET(Paste_Report_Here!$A$1,0,$A499,2000,1),I$75)</f>
        <v>9</v>
      </c>
      <c r="J499" s="180">
        <f ca="1">COUNTIFS(Paste_Report_Here!$E$1:$E$2000,E478, OFFSET(Paste_Report_Here!$A$1,0,$A499,2000,1),J$75)</f>
        <v>2</v>
      </c>
      <c r="K499" s="181">
        <f ca="1">COUNTIFS(Paste_Report_Here!$E$1:$E$2000,E478, OFFSET(Paste_Report_Here!$A$1,0,$A499,2000,1),K$75)</f>
        <v>0</v>
      </c>
      <c r="L499" s="166">
        <f t="shared" ca="1" si="72"/>
        <v>37</v>
      </c>
      <c r="M499" s="183">
        <f ca="1">SUMPRODUCT(F499:K499,F482:K482)/L:L</f>
        <v>1.0810810810810811E-2</v>
      </c>
      <c r="N499" s="166">
        <f t="shared" ca="1" si="73"/>
        <v>1.0108694587794986</v>
      </c>
      <c r="O499" s="165">
        <f t="shared" ca="1" si="75"/>
        <v>1971.9428991381037</v>
      </c>
      <c r="P499" s="165">
        <f t="shared" ca="1" si="74"/>
        <v>1993.3768511958103</v>
      </c>
    </row>
    <row r="500" spans="1:16" s="165" customFormat="1" x14ac:dyDescent="0.3">
      <c r="A500" s="165">
        <f>MATCH(Calcs!B500,Paste_Report_Here!$1:$1,0) -1</f>
        <v>21</v>
      </c>
      <c r="B500" s="165" t="s">
        <v>139</v>
      </c>
      <c r="C500" s="166">
        <f ca="1">RANK(N500,N484:N508)</f>
        <v>5</v>
      </c>
      <c r="D500" s="166">
        <f ca="1">RANK(P500,P484:P508)</f>
        <v>14</v>
      </c>
      <c r="E500" s="189" t="s">
        <v>168</v>
      </c>
      <c r="F500" s="179">
        <f ca="1">COUNTIFS(Paste_Report_Here!$E$1:$E$2000,E478, OFFSET(Paste_Report_Here!$A$1,0,$A500,2000,1),F$75)</f>
        <v>0</v>
      </c>
      <c r="G500" s="180">
        <f ca="1">COUNTIFS(Paste_Report_Here!$E$1:$E$2000,E478, OFFSET(Paste_Report_Here!$A$1,0,$A500,2000,1),G$75)</f>
        <v>4</v>
      </c>
      <c r="H500" s="180">
        <f ca="1">COUNTIFS(Paste_Report_Here!$E$1:$E$2000,E478, OFFSET(Paste_Report_Here!$A$1,0,$A500,2000,1),H$75)</f>
        <v>28</v>
      </c>
      <c r="I500" s="180">
        <f ca="1">COUNTIFS(Paste_Report_Here!$E$1:$E$2000,E478, OFFSET(Paste_Report_Here!$A$1,0,$A500,2000,1),I$75)</f>
        <v>4</v>
      </c>
      <c r="J500" s="180">
        <f ca="1">COUNTIFS(Paste_Report_Here!$E$1:$E$2000,E478, OFFSET(Paste_Report_Here!$A$1,0,$A500,2000,1),J$75)</f>
        <v>1</v>
      </c>
      <c r="K500" s="181">
        <f ca="1">COUNTIFS(Paste_Report_Here!$E$1:$E$2000,E478, OFFSET(Paste_Report_Here!$A$1,0,$A500,2000,1),K$75)</f>
        <v>0</v>
      </c>
      <c r="L500" s="166">
        <f t="shared" ca="1" si="72"/>
        <v>37</v>
      </c>
      <c r="M500" s="183">
        <f ca="1">SUMPRODUCT(F500:K500,F482:K482)/L:L</f>
        <v>5.4054054054054057E-3</v>
      </c>
      <c r="N500" s="166">
        <f t="shared" ca="1" si="73"/>
        <v>1.0054200409677034</v>
      </c>
      <c r="O500" s="165">
        <f t="shared" ca="1" si="75"/>
        <v>2116.2913123229009</v>
      </c>
      <c r="P500" s="165">
        <f t="shared" ca="1" si="74"/>
        <v>2127.7616979352861</v>
      </c>
    </row>
    <row r="501" spans="1:16" s="165" customFormat="1" x14ac:dyDescent="0.3">
      <c r="A501" s="165">
        <f>MATCH(Calcs!B501,Paste_Report_Here!$1:$1,0) -1</f>
        <v>22</v>
      </c>
      <c r="B501" s="165" t="s">
        <v>140</v>
      </c>
      <c r="C501" s="166">
        <f ca="1">RANK(N501,N484:N508)</f>
        <v>10</v>
      </c>
      <c r="D501" s="166">
        <f ca="1">RANK(P501,P484:P508)</f>
        <v>17</v>
      </c>
      <c r="E501" s="189" t="s">
        <v>169</v>
      </c>
      <c r="F501" s="179">
        <f ca="1">COUNTIFS(Paste_Report_Here!$E$1:$E$2000,E478, OFFSET(Paste_Report_Here!$A$1,0,$A501,2000,1),F$75)</f>
        <v>0</v>
      </c>
      <c r="G501" s="180">
        <f ca="1">COUNTIFS(Paste_Report_Here!$E$1:$E$2000,E478, OFFSET(Paste_Report_Here!$A$1,0,$A501,2000,1),G$75)</f>
        <v>2</v>
      </c>
      <c r="H501" s="180">
        <f ca="1">COUNTIFS(Paste_Report_Here!$E$1:$E$2000,E478, OFFSET(Paste_Report_Here!$A$1,0,$A501,2000,1),H$75)</f>
        <v>28</v>
      </c>
      <c r="I501" s="180">
        <f ca="1">COUNTIFS(Paste_Report_Here!$E$1:$E$2000,E478, OFFSET(Paste_Report_Here!$A$1,0,$A501,2000,1),I$75)</f>
        <v>7</v>
      </c>
      <c r="J501" s="180">
        <f ca="1">COUNTIFS(Paste_Report_Here!$E$1:$E$2000,E478, OFFSET(Paste_Report_Here!$A$1,0,$A501,2000,1),J$75)</f>
        <v>0</v>
      </c>
      <c r="K501" s="181">
        <f ca="1">COUNTIFS(Paste_Report_Here!$E$1:$E$2000,E478, OFFSET(Paste_Report_Here!$A$1,0,$A501,2000,1),K$75)</f>
        <v>0</v>
      </c>
      <c r="L501" s="166">
        <f t="shared" ca="1" si="72"/>
        <v>37</v>
      </c>
      <c r="M501" s="183">
        <f ca="1">SUMPRODUCT(F501:K501,F482:K482)/L:L</f>
        <v>0</v>
      </c>
      <c r="N501" s="166">
        <f t="shared" ca="1" si="73"/>
        <v>1</v>
      </c>
      <c r="O501" s="165">
        <f t="shared" ca="1" si="75"/>
        <v>2000.7199696354014</v>
      </c>
      <c r="P501" s="165">
        <f t="shared" ca="1" si="74"/>
        <v>2000.7199696354014</v>
      </c>
    </row>
    <row r="502" spans="1:16" s="165" customFormat="1" x14ac:dyDescent="0.3">
      <c r="A502" s="165">
        <f>MATCH(Calcs!B502,Paste_Report_Here!$1:$1,0) -1</f>
        <v>23</v>
      </c>
      <c r="B502" s="165" t="s">
        <v>186</v>
      </c>
      <c r="C502" s="166">
        <f ca="1">RANK(N502,N484:N508)</f>
        <v>5</v>
      </c>
      <c r="D502" s="166">
        <f ca="1">RANK(P502,P484:P508)</f>
        <v>2</v>
      </c>
      <c r="E502" s="189" t="s">
        <v>180</v>
      </c>
      <c r="F502" s="179">
        <f ca="1">COUNTIFS(Paste_Report_Here!$E$1:$E$2000,E478, OFFSET(Paste_Report_Here!$A$1,0,$A502,2000,1),F$75)</f>
        <v>0</v>
      </c>
      <c r="G502" s="180">
        <f ca="1">COUNTIFS(Paste_Report_Here!$E$1:$E$2000,E478, OFFSET(Paste_Report_Here!$A$1,0,$A502,2000,1),G$75)</f>
        <v>4</v>
      </c>
      <c r="H502" s="180">
        <f ca="1">COUNTIFS(Paste_Report_Here!$E$1:$E$2000,E478, OFFSET(Paste_Report_Here!$A$1,0,$A502,2000,1),H$75)</f>
        <v>24</v>
      </c>
      <c r="I502" s="180">
        <f ca="1">COUNTIFS(Paste_Report_Here!$E$1:$E$2000,E478, OFFSET(Paste_Report_Here!$A$1,0,$A502,2000,1),I$75)</f>
        <v>8</v>
      </c>
      <c r="J502" s="180">
        <f ca="1">COUNTIFS(Paste_Report_Here!$E$1:$E$2000,E478, OFFSET(Paste_Report_Here!$A$1,0,$A502,2000,1),J$75)</f>
        <v>1</v>
      </c>
      <c r="K502" s="181">
        <f ca="1">COUNTIFS(Paste_Report_Here!$E$1:$E$2000,E478, OFFSET(Paste_Report_Here!$A$1,0,$A502,2000,1),K$75)</f>
        <v>0</v>
      </c>
      <c r="L502" s="166">
        <f t="shared" ca="1" si="72"/>
        <v>37</v>
      </c>
      <c r="M502" s="183">
        <f ca="1">SUMPRODUCT(F502:K502,F482:K482)/L:L</f>
        <v>5.4054054054054057E-3</v>
      </c>
      <c r="N502" s="166">
        <f t="shared" ca="1" si="73"/>
        <v>1.0054200409677034</v>
      </c>
      <c r="O502" s="165">
        <f t="shared" ca="1" si="75"/>
        <v>3722.3263523436012</v>
      </c>
      <c r="P502" s="165">
        <f t="shared" ca="1" si="74"/>
        <v>3742.5015136684656</v>
      </c>
    </row>
    <row r="503" spans="1:16" s="165" customFormat="1" x14ac:dyDescent="0.3">
      <c r="A503" s="165">
        <f>MATCH(Calcs!B503,Paste_Report_Here!$1:$1,0) -1</f>
        <v>24</v>
      </c>
      <c r="B503" s="165" t="s">
        <v>209</v>
      </c>
      <c r="C503" s="166">
        <f ca="1">RANK(N503,N484:N508)</f>
        <v>10</v>
      </c>
      <c r="D503" s="166">
        <f ca="1">RANK(P503,P484:P508)</f>
        <v>24</v>
      </c>
      <c r="E503" s="202" t="s">
        <v>211</v>
      </c>
      <c r="F503" s="179">
        <f ca="1">COUNTIFS(Paste_Report_Here!$E$1:$E$2000,E478, OFFSET(Paste_Report_Here!$A$1,0,$A503,2000,1),F$75)</f>
        <v>0</v>
      </c>
      <c r="G503" s="180">
        <f ca="1">COUNTIFS(Paste_Report_Here!$E$1:$E$2000,E478, OFFSET(Paste_Report_Here!$A$1,0,$A503,2000,1),G$75)</f>
        <v>3</v>
      </c>
      <c r="H503" s="180">
        <f ca="1">COUNTIFS(Paste_Report_Here!$E$1:$E$2000,E478, OFFSET(Paste_Report_Here!$A$1,0,$A503,2000,1),H$75)</f>
        <v>28</v>
      </c>
      <c r="I503" s="180">
        <f ca="1">COUNTIFS(Paste_Report_Here!$E$1:$E$2000,E478, OFFSET(Paste_Report_Here!$A$1,0,$A503,2000,1),I$75)</f>
        <v>4</v>
      </c>
      <c r="J503" s="180">
        <f ca="1">COUNTIFS(Paste_Report_Here!$E$1:$E$2000,E478, OFFSET(Paste_Report_Here!$A$1,0,$A503,2000,1),J$75)</f>
        <v>0</v>
      </c>
      <c r="K503" s="181">
        <f ca="1">COUNTIFS(Paste_Report_Here!$E$1:$E$2000,E478, OFFSET(Paste_Report_Here!$A$1,0,$A503,2000,1),K$75)</f>
        <v>2</v>
      </c>
      <c r="L503" s="166">
        <f t="shared" ca="1" si="72"/>
        <v>37</v>
      </c>
      <c r="M503" s="183">
        <f ca="1">SUMPRODUCT(F503:K503,F482:K482)/L:L</f>
        <v>0</v>
      </c>
      <c r="N503" s="166">
        <f t="shared" ca="1" si="73"/>
        <v>1</v>
      </c>
      <c r="O503" s="165">
        <f t="shared" ca="1" si="75"/>
        <v>1166.2133495232069</v>
      </c>
      <c r="P503" s="165">
        <f t="shared" ca="1" si="74"/>
        <v>1166.2133495232069</v>
      </c>
    </row>
    <row r="504" spans="1:16" s="165" customFormat="1" x14ac:dyDescent="0.3">
      <c r="A504" s="165">
        <f>MATCH(Calcs!B504,Paste_Report_Here!$1:$1,0) -1</f>
        <v>25</v>
      </c>
      <c r="B504" s="165" t="s">
        <v>141</v>
      </c>
      <c r="C504" s="166">
        <f ca="1">RANK(N504,N484:N508)</f>
        <v>22</v>
      </c>
      <c r="D504" s="166">
        <f ca="1">RANK(P504,P484:P508)</f>
        <v>22</v>
      </c>
      <c r="E504" s="189" t="s">
        <v>170</v>
      </c>
      <c r="F504" s="179">
        <f ca="1">COUNTIFS(Paste_Report_Here!$E$1:$E$2000,E478, OFFSET(Paste_Report_Here!$A$1,0,$A504,2000,1),F$75)</f>
        <v>1</v>
      </c>
      <c r="G504" s="180">
        <f ca="1">COUNTIFS(Paste_Report_Here!$E$1:$E$2000,E478, OFFSET(Paste_Report_Here!$A$1,0,$A504,2000,1),G$75)</f>
        <v>2</v>
      </c>
      <c r="H504" s="180">
        <f ca="1">COUNTIFS(Paste_Report_Here!$E$1:$E$2000,E478, OFFSET(Paste_Report_Here!$A$1,0,$A504,2000,1),H$75)</f>
        <v>27</v>
      </c>
      <c r="I504" s="180">
        <f ca="1">COUNTIFS(Paste_Report_Here!$E$1:$E$2000,E478, OFFSET(Paste_Report_Here!$A$1,0,$A504,2000,1),I$75)</f>
        <v>7</v>
      </c>
      <c r="J504" s="180">
        <f ca="1">COUNTIFS(Paste_Report_Here!$E$1:$E$2000,E478, OFFSET(Paste_Report_Here!$A$1,0,$A504,2000,1),J$75)</f>
        <v>0</v>
      </c>
      <c r="K504" s="181">
        <f ca="1">COUNTIFS(Paste_Report_Here!$E$1:$E$2000,E478, OFFSET(Paste_Report_Here!$A$1,0,$A504,2000,1),K$75)</f>
        <v>0</v>
      </c>
      <c r="L504" s="166">
        <f t="shared" ca="1" si="72"/>
        <v>37</v>
      </c>
      <c r="M504" s="183">
        <f ca="1">SUMPRODUCT(F504:K504,F482:K482)/L:L</f>
        <v>-5.4054054054054057E-3</v>
      </c>
      <c r="N504" s="166">
        <f t="shared" ca="1" si="73"/>
        <v>0.99460917751103628</v>
      </c>
      <c r="O504" s="165">
        <f t="shared" ca="1" si="75"/>
        <v>1395.1831739772081</v>
      </c>
      <c r="P504" s="165">
        <f t="shared" ca="1" si="74"/>
        <v>1387.661989146708</v>
      </c>
    </row>
    <row r="505" spans="1:16" s="165" customFormat="1" x14ac:dyDescent="0.3">
      <c r="A505" s="165">
        <f>MATCH(Calcs!B505,Paste_Report_Here!$1:$1,0) -1</f>
        <v>26</v>
      </c>
      <c r="B505" s="165" t="s">
        <v>142</v>
      </c>
      <c r="C505" s="166">
        <f ca="1">RANK(N505,N484:N508)</f>
        <v>22</v>
      </c>
      <c r="D505" s="166">
        <f ca="1">RANK(P505,P484:P508)</f>
        <v>11</v>
      </c>
      <c r="E505" s="189" t="s">
        <v>171</v>
      </c>
      <c r="F505" s="179">
        <f ca="1">COUNTIFS(Paste_Report_Here!$E$1:$E$2000,E478, OFFSET(Paste_Report_Here!$A$1,0,$A505,2000,1),F$75)</f>
        <v>1</v>
      </c>
      <c r="G505" s="180">
        <f ca="1">COUNTIFS(Paste_Report_Here!$E$1:$E$2000,E478, OFFSET(Paste_Report_Here!$A$1,0,$A505,2000,1),G$75)</f>
        <v>0</v>
      </c>
      <c r="H505" s="180">
        <f ca="1">COUNTIFS(Paste_Report_Here!$E$1:$E$2000,E478, OFFSET(Paste_Report_Here!$A$1,0,$A505,2000,1),H$75)</f>
        <v>26</v>
      </c>
      <c r="I505" s="180">
        <f ca="1">COUNTIFS(Paste_Report_Here!$E$1:$E$2000,E478, OFFSET(Paste_Report_Here!$A$1,0,$A505,2000,1),I$75)</f>
        <v>10</v>
      </c>
      <c r="J505" s="180">
        <f ca="1">COUNTIFS(Paste_Report_Here!$E$1:$E$2000,E478, OFFSET(Paste_Report_Here!$A$1,0,$A505,2000,1),J$75)</f>
        <v>0</v>
      </c>
      <c r="K505" s="181">
        <f ca="1">COUNTIFS(Paste_Report_Here!$E$1:$E$2000,E478, OFFSET(Paste_Report_Here!$A$1,0,$A505,2000,1),K$75)</f>
        <v>0</v>
      </c>
      <c r="L505" s="166">
        <f t="shared" ca="1" si="72"/>
        <v>37</v>
      </c>
      <c r="M505" s="183">
        <f ca="1">SUMPRODUCT(F505:K505,F482:K482)/L:L</f>
        <v>-5.4054054054054057E-3</v>
      </c>
      <c r="N505" s="166">
        <f t="shared" ca="1" si="73"/>
        <v>0.99460917751103628</v>
      </c>
      <c r="O505" s="165">
        <f t="shared" ca="1" si="75"/>
        <v>2303.4361238218221</v>
      </c>
      <c r="P505" s="165">
        <f t="shared" ca="1" si="74"/>
        <v>2291.0187085636321</v>
      </c>
    </row>
    <row r="506" spans="1:16" s="165" customFormat="1" x14ac:dyDescent="0.3">
      <c r="A506" s="165">
        <f>MATCH(Calcs!B506,Paste_Report_Here!$1:$1,0) -1</f>
        <v>27</v>
      </c>
      <c r="B506" s="165" t="s">
        <v>210</v>
      </c>
      <c r="C506" s="166">
        <f ca="1">RANK(N506,N484:N508)</f>
        <v>10</v>
      </c>
      <c r="D506" s="166">
        <f ca="1">RANK(P506,P484:P508)</f>
        <v>25</v>
      </c>
      <c r="E506" s="202" t="s">
        <v>212</v>
      </c>
      <c r="F506" s="179">
        <f ca="1">COUNTIFS(Paste_Report_Here!$E$1:$E$2000,E478, OFFSET(Paste_Report_Here!$A$1,0,$A506,2000,1),F$75)</f>
        <v>0</v>
      </c>
      <c r="G506" s="180">
        <f ca="1">COUNTIFS(Paste_Report_Here!$E$1:$E$2000,E478, OFFSET(Paste_Report_Here!$A$1,0,$A506,2000,1),G$75)</f>
        <v>2</v>
      </c>
      <c r="H506" s="180">
        <f ca="1">COUNTIFS(Paste_Report_Here!$E$1:$E$2000,E478, OFFSET(Paste_Report_Here!$A$1,0,$A506,2000,1),H$75)</f>
        <v>30</v>
      </c>
      <c r="I506" s="180">
        <f ca="1">COUNTIFS(Paste_Report_Here!$E$1:$E$2000,E478, OFFSET(Paste_Report_Here!$A$1,0,$A506,2000,1),I$75)</f>
        <v>5</v>
      </c>
      <c r="J506" s="180">
        <f ca="1">COUNTIFS(Paste_Report_Here!$E$1:$E$2000,E478, OFFSET(Paste_Report_Here!$A$1,0,$A506,2000,1),J$75)</f>
        <v>0</v>
      </c>
      <c r="K506" s="181">
        <f ca="1">COUNTIFS(Paste_Report_Here!$E$1:$E$2000,E478, OFFSET(Paste_Report_Here!$A$1,0,$A506,2000,1),K$75)</f>
        <v>0</v>
      </c>
      <c r="L506" s="166">
        <f t="shared" ca="1" si="72"/>
        <v>37</v>
      </c>
      <c r="M506" s="183">
        <f ca="1">SUMPRODUCT(F506:K506,F482:K482)/L:L</f>
        <v>0</v>
      </c>
      <c r="N506" s="166">
        <f t="shared" ca="1" si="73"/>
        <v>1</v>
      </c>
      <c r="O506" s="165">
        <f t="shared" ca="1" si="75"/>
        <v>1158.1624939464391</v>
      </c>
      <c r="P506" s="165">
        <f t="shared" ca="1" si="74"/>
        <v>1158.1624939464391</v>
      </c>
    </row>
    <row r="507" spans="1:16" s="165" customFormat="1" x14ac:dyDescent="0.3">
      <c r="A507" s="165">
        <f>MATCH(Calcs!B507,Paste_Report_Here!$1:$1,0) -1</f>
        <v>28</v>
      </c>
      <c r="B507" s="165" t="s">
        <v>143</v>
      </c>
      <c r="C507" s="166">
        <f ca="1">RANK(N507,N485:N509)</f>
        <v>5</v>
      </c>
      <c r="D507" s="166">
        <f ca="1">RANK(P507,P484:P508)</f>
        <v>1</v>
      </c>
      <c r="E507" s="189" t="s">
        <v>172</v>
      </c>
      <c r="F507" s="179">
        <f ca="1">COUNTIFS(Paste_Report_Here!$E$1:$E$2000,E478, OFFSET(Paste_Report_Here!$A$1,0,$A507,2000,1),F$75)</f>
        <v>0</v>
      </c>
      <c r="G507" s="180">
        <f ca="1">COUNTIFS(Paste_Report_Here!$E$1:$E$2000,E478, OFFSET(Paste_Report_Here!$A$1,0,$A507,2000,1),G$75)</f>
        <v>4</v>
      </c>
      <c r="H507" s="180">
        <f ca="1">COUNTIFS(Paste_Report_Here!$E$1:$E$2000,E478, OFFSET(Paste_Report_Here!$A$1,0,$A507,2000,1),H$75)</f>
        <v>19</v>
      </c>
      <c r="I507" s="180">
        <f ca="1">COUNTIFS(Paste_Report_Here!$E$1:$E$2000,E478, OFFSET(Paste_Report_Here!$A$1,0,$A507,2000,1),I$75)</f>
        <v>13</v>
      </c>
      <c r="J507" s="180">
        <f ca="1">COUNTIFS(Paste_Report_Here!$E$1:$E$2000,E478, OFFSET(Paste_Report_Here!$A$1,0,$A507,2000,1),J$75)</f>
        <v>1</v>
      </c>
      <c r="K507" s="181">
        <f ca="1">COUNTIFS(Paste_Report_Here!$E$1:$E$2000,E478, OFFSET(Paste_Report_Here!$A$1,0,$A507,2000,1),K$75)</f>
        <v>0</v>
      </c>
      <c r="L507" s="166">
        <f t="shared" ca="1" si="72"/>
        <v>37</v>
      </c>
      <c r="M507" s="183">
        <f ca="1">SUMPRODUCT(F507:K507,F482:K482)/L:L</f>
        <v>5.4054054054054057E-3</v>
      </c>
      <c r="N507" s="166">
        <f t="shared" ca="1" si="73"/>
        <v>1.0054200409677034</v>
      </c>
      <c r="O507" s="165">
        <f t="shared" ca="1" si="75"/>
        <v>7450.1212419008652</v>
      </c>
      <c r="P507" s="165">
        <f t="shared" ca="1" si="74"/>
        <v>7490.5012042463259</v>
      </c>
    </row>
    <row r="508" spans="1:16" s="165" customFormat="1" x14ac:dyDescent="0.3">
      <c r="A508" s="165">
        <f>MATCH(Calcs!B508,Paste_Report_Here!$1:$1,0) -1</f>
        <v>29</v>
      </c>
      <c r="B508" s="187" t="s">
        <v>144</v>
      </c>
      <c r="C508" s="147">
        <f ca="1">RANK(N508,N484:N508)</f>
        <v>10</v>
      </c>
      <c r="D508" s="147">
        <f ca="1">RANK(P508,P484:P508)</f>
        <v>12</v>
      </c>
      <c r="E508" s="145" t="s">
        <v>173</v>
      </c>
      <c r="F508" s="146">
        <f ca="1">COUNTIFS(Paste_Report_Here!$E$1:$E$2000,E478, OFFSET(Paste_Report_Here!$A$1,0,$A508,2000,1),F$75)</f>
        <v>0</v>
      </c>
      <c r="G508" s="147">
        <f ca="1">COUNTIFS(Paste_Report_Here!$E$1:$E$2000,E478, OFFSET(Paste_Report_Here!$A$1,0,$A508,2000,1),G$75)</f>
        <v>2</v>
      </c>
      <c r="H508" s="147">
        <f ca="1">COUNTIFS(Paste_Report_Here!$E$1:$E$2000,E478, OFFSET(Paste_Report_Here!$A$1,0,$A508,2000,1),H$75)</f>
        <v>28</v>
      </c>
      <c r="I508" s="147">
        <f ca="1">COUNTIFS(Paste_Report_Here!$E$1:$E$2000,E478, OFFSET(Paste_Report_Here!$A$1,0,$A508,2000,1),I$75)</f>
        <v>7</v>
      </c>
      <c r="J508" s="147">
        <f ca="1">COUNTIFS(Paste_Report_Here!$E$1:$E$2000,E478, OFFSET(Paste_Report_Here!$A$1,0,$A508,2000,1),J$75)</f>
        <v>0</v>
      </c>
      <c r="K508" s="148">
        <f ca="1">COUNTIFS(Paste_Report_Here!$E$1:$E$2000,E478, OFFSET(Paste_Report_Here!$A$1,0,$A508,2000,1),K$75)</f>
        <v>0</v>
      </c>
      <c r="L508" s="147">
        <f t="shared" ca="1" si="72"/>
        <v>37</v>
      </c>
      <c r="M508" s="149">
        <f ca="1">SUMPRODUCT(F508:K508,F482:K482)/L:L</f>
        <v>0</v>
      </c>
      <c r="N508" s="147">
        <f t="shared" ca="1" si="73"/>
        <v>1</v>
      </c>
      <c r="O508" s="187">
        <f t="shared" ca="1" si="75"/>
        <v>2272.9115771900224</v>
      </c>
      <c r="P508" s="165">
        <f t="shared" ca="1" si="74"/>
        <v>2272.9115771900224</v>
      </c>
    </row>
    <row r="509" spans="1:16" s="165" customFormat="1" x14ac:dyDescent="0.3">
      <c r="C509" s="166"/>
      <c r="E509" s="140" t="s">
        <v>293</v>
      </c>
      <c r="F509" s="180">
        <f ca="1">SUM(F484:F508)</f>
        <v>11</v>
      </c>
      <c r="G509" s="180">
        <f t="shared" ref="G509:L509" ca="1" si="76">SUM(G484:G508)</f>
        <v>75</v>
      </c>
      <c r="H509" s="180">
        <f t="shared" ca="1" si="76"/>
        <v>640</v>
      </c>
      <c r="I509" s="180">
        <f t="shared" ca="1" si="76"/>
        <v>174</v>
      </c>
      <c r="J509" s="180">
        <f t="shared" ca="1" si="76"/>
        <v>22</v>
      </c>
      <c r="K509" s="180">
        <f t="shared" ca="1" si="76"/>
        <v>3</v>
      </c>
      <c r="L509" s="180">
        <f t="shared" ca="1" si="76"/>
        <v>925</v>
      </c>
      <c r="M509" s="144">
        <f ca="1">SUMPRODUCT(F509:K509,F482:K482)/L509</f>
        <v>2.3783783783783785E-3</v>
      </c>
      <c r="N509" s="166">
        <f t="shared" ca="1" si="73"/>
        <v>1.0023812089638566</v>
      </c>
      <c r="O509" s="165">
        <f t="shared" ca="1" si="75"/>
        <v>2585.6320981173453</v>
      </c>
      <c r="P509" s="165">
        <f t="shared" ca="1" si="74"/>
        <v>2591.789028446618</v>
      </c>
    </row>
    <row r="510" spans="1:16" s="165" customFormat="1" x14ac:dyDescent="0.3">
      <c r="A510" s="194"/>
      <c r="B510" s="194"/>
      <c r="C510" s="153"/>
      <c r="D510" s="194"/>
      <c r="E510" s="164"/>
      <c r="F510" s="151"/>
      <c r="G510" s="151"/>
      <c r="H510" s="151"/>
      <c r="I510" s="151"/>
      <c r="J510" s="151"/>
      <c r="K510" s="151"/>
      <c r="L510" s="151"/>
      <c r="M510" s="162"/>
      <c r="N510" s="153"/>
      <c r="O510" s="194"/>
      <c r="P510" s="194"/>
    </row>
    <row r="511" spans="1:16" s="165" customFormat="1" x14ac:dyDescent="0.3">
      <c r="E511" s="173" t="s">
        <v>292</v>
      </c>
    </row>
    <row r="512" spans="1:16" s="165" customFormat="1" x14ac:dyDescent="0.3">
      <c r="E512" s="141">
        <v>40998</v>
      </c>
    </row>
    <row r="513" spans="1:16" s="165" customFormat="1" ht="15" thickBot="1" x14ac:dyDescent="0.35"/>
    <row r="514" spans="1:16" s="165" customFormat="1" ht="24.6" thickBot="1" x14ac:dyDescent="0.35">
      <c r="F514" s="174" t="s">
        <v>23</v>
      </c>
      <c r="G514" s="168" t="s">
        <v>18</v>
      </c>
      <c r="H514" s="168" t="s">
        <v>16</v>
      </c>
      <c r="I514" s="168" t="s">
        <v>17</v>
      </c>
      <c r="J514" s="168" t="s">
        <v>19</v>
      </c>
      <c r="K514" s="169" t="s">
        <v>114</v>
      </c>
    </row>
    <row r="515" spans="1:16" s="165" customFormat="1" x14ac:dyDescent="0.3">
      <c r="F515" s="267" t="s">
        <v>201</v>
      </c>
      <c r="G515" s="268"/>
      <c r="H515" s="268"/>
      <c r="I515" s="268"/>
      <c r="J515" s="268"/>
      <c r="K515" s="169"/>
      <c r="M515" s="203">
        <f ca="1">(H543+K543)/L543</f>
        <v>0.72606060606060607</v>
      </c>
      <c r="N515" s="204" t="s">
        <v>501</v>
      </c>
    </row>
    <row r="516" spans="1:16" s="165" customFormat="1" ht="43.8" thickBot="1" x14ac:dyDescent="0.35">
      <c r="A516" s="142" t="s">
        <v>294</v>
      </c>
      <c r="B516" s="142" t="s">
        <v>295</v>
      </c>
      <c r="C516" s="197" t="s">
        <v>440</v>
      </c>
      <c r="D516" s="142" t="s">
        <v>441</v>
      </c>
      <c r="E516" s="171" t="s">
        <v>30</v>
      </c>
      <c r="F516" s="175">
        <f>Falling_fast</f>
        <v>-0.2</v>
      </c>
      <c r="G516" s="176">
        <f>Falling</f>
        <v>0</v>
      </c>
      <c r="H516" s="177">
        <f>Static</f>
        <v>0</v>
      </c>
      <c r="I516" s="176">
        <f>Rising</f>
        <v>0</v>
      </c>
      <c r="J516" s="178">
        <f>Rising_fast</f>
        <v>0.2</v>
      </c>
      <c r="K516" s="182">
        <v>0</v>
      </c>
      <c r="L516" s="171" t="s">
        <v>28</v>
      </c>
      <c r="M516" s="172" t="s">
        <v>29</v>
      </c>
      <c r="N516" s="143" t="s">
        <v>296</v>
      </c>
      <c r="O516" s="142" t="s">
        <v>297</v>
      </c>
      <c r="P516" s="142" t="s">
        <v>298</v>
      </c>
    </row>
    <row r="517" spans="1:16" s="165" customFormat="1" x14ac:dyDescent="0.3">
      <c r="C517" s="166"/>
      <c r="E517" s="192"/>
      <c r="F517" s="198" t="s">
        <v>151</v>
      </c>
      <c r="G517" s="199" t="s">
        <v>149</v>
      </c>
      <c r="H517" s="199" t="s">
        <v>16</v>
      </c>
      <c r="I517" s="199" t="s">
        <v>148</v>
      </c>
      <c r="J517" s="199" t="s">
        <v>150</v>
      </c>
      <c r="K517" s="200" t="s">
        <v>114</v>
      </c>
      <c r="L517" s="166"/>
      <c r="M517" s="170"/>
      <c r="N517" s="166"/>
    </row>
    <row r="518" spans="1:16" s="165" customFormat="1" x14ac:dyDescent="0.3">
      <c r="A518" s="165">
        <f>MATCH(Calcs!B518,Paste_Report_Here!$1:$1,0) -1</f>
        <v>5</v>
      </c>
      <c r="B518" s="165" t="s">
        <v>124</v>
      </c>
      <c r="C518" s="166">
        <f ca="1">RANK(N518,N518:N542)</f>
        <v>2</v>
      </c>
      <c r="D518" s="166">
        <f ca="1">RANK(P518,P518:P542)</f>
        <v>16</v>
      </c>
      <c r="E518" s="189" t="s">
        <v>152</v>
      </c>
      <c r="F518" s="179">
        <f ca="1">COUNTIFS(Paste_Report_Here!$E$1:$E$2000,E512, OFFSET(Paste_Report_Here!$A$1,0,$A518,2000,1),F$75)</f>
        <v>0</v>
      </c>
      <c r="G518" s="180">
        <f ca="1">COUNTIFS(Paste_Report_Here!$E$1:$E$2000,E512, OFFSET(Paste_Report_Here!$A$1,0,$A518,2000,1),G$75)</f>
        <v>0</v>
      </c>
      <c r="H518" s="180">
        <f ca="1">COUNTIFS(Paste_Report_Here!$E$1:$E$2000,E512, OFFSET(Paste_Report_Here!$A$1,0,$A518,2000,1),H$75)</f>
        <v>25</v>
      </c>
      <c r="I518" s="180">
        <f ca="1">COUNTIFS(Paste_Report_Here!$E$1:$E$2000,E512, OFFSET(Paste_Report_Here!$A$1,0,$A518,2000,1),I$75)</f>
        <v>7</v>
      </c>
      <c r="J518" s="180">
        <f ca="1">COUNTIFS(Paste_Report_Here!$E$1:$E$2000,E512, OFFSET(Paste_Report_Here!$A$1,0,$A518,2000,1),J$75)</f>
        <v>1</v>
      </c>
      <c r="K518" s="181">
        <f ca="1">COUNTIFS(Paste_Report_Here!$E$1:$E$2000,E512, OFFSET(Paste_Report_Here!$A$1,0,$A518,2000,1),K$75)</f>
        <v>0</v>
      </c>
      <c r="L518" s="166">
        <f t="shared" ref="L518:L542" ca="1" si="77">SUM(F518:K518)</f>
        <v>33</v>
      </c>
      <c r="M518" s="183">
        <f ca="1">SUMPRODUCT(F518:K518,F516:K516)/L:L</f>
        <v>6.0606060606060606E-3</v>
      </c>
      <c r="N518" s="166">
        <f t="shared" ref="N518:N543" ca="1" si="78">EXP(M518)</f>
        <v>1.0060790086917657</v>
      </c>
      <c r="O518" s="165">
        <f ca="1">P484</f>
        <v>2075.294548983532</v>
      </c>
      <c r="P518" s="165">
        <f t="shared" ref="P518:P543" ca="1" si="79">O518*N518</f>
        <v>2087.9102825847767</v>
      </c>
    </row>
    <row r="519" spans="1:16" s="165" customFormat="1" x14ac:dyDescent="0.3">
      <c r="A519" s="165">
        <f>MATCH(Calcs!B519,Paste_Report_Here!$1:$1,0) -1</f>
        <v>6</v>
      </c>
      <c r="B519" s="165" t="s">
        <v>125</v>
      </c>
      <c r="C519" s="166">
        <f ca="1">RANK(N519,N518:N542)</f>
        <v>10</v>
      </c>
      <c r="D519" s="166">
        <f ca="1">RANK(P519,P518:P542)</f>
        <v>13</v>
      </c>
      <c r="E519" s="189" t="s">
        <v>153</v>
      </c>
      <c r="F519" s="179">
        <f ca="1">COUNTIFS(Paste_Report_Here!$E$1:$E$2000,E512, OFFSET(Paste_Report_Here!$A$1,0,$A519,2000,1),F$75)</f>
        <v>0</v>
      </c>
      <c r="G519" s="180">
        <f ca="1">COUNTIFS(Paste_Report_Here!$E$1:$E$2000,E512, OFFSET(Paste_Report_Here!$A$1,0,$A519,2000,1),G$75)</f>
        <v>3</v>
      </c>
      <c r="H519" s="180">
        <f ca="1">COUNTIFS(Paste_Report_Here!$E$1:$E$2000,E512, OFFSET(Paste_Report_Here!$A$1,0,$A519,2000,1),H$75)</f>
        <v>26</v>
      </c>
      <c r="I519" s="180">
        <f ca="1">COUNTIFS(Paste_Report_Here!$E$1:$E$2000,E512, OFFSET(Paste_Report_Here!$A$1,0,$A519,2000,1),I$75)</f>
        <v>4</v>
      </c>
      <c r="J519" s="180">
        <f ca="1">COUNTIFS(Paste_Report_Here!$E$1:$E$2000,E512, OFFSET(Paste_Report_Here!$A$1,0,$A519,2000,1),J$75)</f>
        <v>0</v>
      </c>
      <c r="K519" s="181">
        <f ca="1">COUNTIFS(Paste_Report_Here!$E$1:$E$2000,E512, OFFSET(Paste_Report_Here!$A$1,0,$A519,2000,1),K$75)</f>
        <v>0</v>
      </c>
      <c r="L519" s="166">
        <f t="shared" ca="1" si="77"/>
        <v>33</v>
      </c>
      <c r="M519" s="183">
        <f ca="1">SUMPRODUCT(F519:K519,F516:K516)/L:L</f>
        <v>0</v>
      </c>
      <c r="N519" s="166">
        <f t="shared" ca="1" si="78"/>
        <v>1</v>
      </c>
      <c r="O519" s="165">
        <f t="shared" ref="O519:O543" ca="1" si="80">P485</f>
        <v>2223.9676034778731</v>
      </c>
      <c r="P519" s="165">
        <f t="shared" ca="1" si="79"/>
        <v>2223.9676034778731</v>
      </c>
    </row>
    <row r="520" spans="1:16" s="165" customFormat="1" x14ac:dyDescent="0.3">
      <c r="A520" s="165">
        <f>MATCH(Calcs!B520,Paste_Report_Here!$1:$1,0) -1</f>
        <v>7</v>
      </c>
      <c r="B520" s="165" t="s">
        <v>126</v>
      </c>
      <c r="C520" s="166">
        <f ca="1">RANK(N520,N518:N542)</f>
        <v>10</v>
      </c>
      <c r="D520" s="166">
        <f ca="1">RANK(P520,P518:P542)</f>
        <v>6</v>
      </c>
      <c r="E520" s="189" t="s">
        <v>154</v>
      </c>
      <c r="F520" s="179">
        <f ca="1">COUNTIFS(Paste_Report_Here!$E$1:$E$2000,E512, OFFSET(Paste_Report_Here!$A$1,0,$A520,2000,1),F$75)</f>
        <v>0</v>
      </c>
      <c r="G520" s="180">
        <f ca="1">COUNTIFS(Paste_Report_Here!$E$1:$E$2000,E512, OFFSET(Paste_Report_Here!$A$1,0,$A520,2000,1),G$75)</f>
        <v>4</v>
      </c>
      <c r="H520" s="180">
        <f ca="1">COUNTIFS(Paste_Report_Here!$E$1:$E$2000,E512, OFFSET(Paste_Report_Here!$A$1,0,$A520,2000,1),H$75)</f>
        <v>23</v>
      </c>
      <c r="I520" s="180">
        <f ca="1">COUNTIFS(Paste_Report_Here!$E$1:$E$2000,E512, OFFSET(Paste_Report_Here!$A$1,0,$A520,2000,1),I$75)</f>
        <v>6</v>
      </c>
      <c r="J520" s="180">
        <f ca="1">COUNTIFS(Paste_Report_Here!$E$1:$E$2000,E512, OFFSET(Paste_Report_Here!$A$1,0,$A520,2000,1),J$75)</f>
        <v>0</v>
      </c>
      <c r="K520" s="181">
        <f ca="1">COUNTIFS(Paste_Report_Here!$E$1:$E$2000,E512, OFFSET(Paste_Report_Here!$A$1,0,$A520,2000,1),K$75)</f>
        <v>0</v>
      </c>
      <c r="L520" s="166">
        <f t="shared" ca="1" si="77"/>
        <v>33</v>
      </c>
      <c r="M520" s="183">
        <f ca="1">SUMPRODUCT(F520:K520,F516:K516)/L:L</f>
        <v>0</v>
      </c>
      <c r="N520" s="166">
        <f t="shared" ca="1" si="78"/>
        <v>1</v>
      </c>
      <c r="O520" s="165">
        <f t="shared" ca="1" si="80"/>
        <v>2843.1887075278792</v>
      </c>
      <c r="P520" s="165">
        <f t="shared" ca="1" si="79"/>
        <v>2843.1887075278792</v>
      </c>
    </row>
    <row r="521" spans="1:16" s="165" customFormat="1" x14ac:dyDescent="0.3">
      <c r="A521" s="165">
        <f>MATCH(Calcs!B521,Paste_Report_Here!$1:$1,0) -1</f>
        <v>8</v>
      </c>
      <c r="B521" s="165" t="s">
        <v>127</v>
      </c>
      <c r="C521" s="166">
        <f ca="1">RANK(N521,N518:N542)</f>
        <v>10</v>
      </c>
      <c r="D521" s="166">
        <f ca="1">RANK(P521,P518:P542)</f>
        <v>8</v>
      </c>
      <c r="E521" s="189" t="s">
        <v>155</v>
      </c>
      <c r="F521" s="179">
        <f ca="1">COUNTIFS(Paste_Report_Here!$E$1:$E$2000,E512, OFFSET(Paste_Report_Here!$A$1,0,$A521,2000,1),F$75)</f>
        <v>0</v>
      </c>
      <c r="G521" s="180">
        <f ca="1">COUNTIFS(Paste_Report_Here!$E$1:$E$2000,E512, OFFSET(Paste_Report_Here!$A$1,0,$A521,2000,1),G$75)</f>
        <v>1</v>
      </c>
      <c r="H521" s="180">
        <f ca="1">COUNTIFS(Paste_Report_Here!$E$1:$E$2000,E512, OFFSET(Paste_Report_Here!$A$1,0,$A521,2000,1),H$75)</f>
        <v>19</v>
      </c>
      <c r="I521" s="180">
        <f ca="1">COUNTIFS(Paste_Report_Here!$E$1:$E$2000,E512, OFFSET(Paste_Report_Here!$A$1,0,$A521,2000,1),I$75)</f>
        <v>13</v>
      </c>
      <c r="J521" s="180">
        <f ca="1">COUNTIFS(Paste_Report_Here!$E$1:$E$2000,E512, OFFSET(Paste_Report_Here!$A$1,0,$A521,2000,1),J$75)</f>
        <v>0</v>
      </c>
      <c r="K521" s="181">
        <f ca="1">COUNTIFS(Paste_Report_Here!$E$1:$E$2000,E512, OFFSET(Paste_Report_Here!$A$1,0,$A521,2000,1),K$75)</f>
        <v>0</v>
      </c>
      <c r="L521" s="166">
        <f t="shared" ca="1" si="77"/>
        <v>33</v>
      </c>
      <c r="M521" s="183">
        <f ca="1">SUMPRODUCT(F521:K521,F516:K516)/L:L</f>
        <v>0</v>
      </c>
      <c r="N521" s="166">
        <f t="shared" ca="1" si="78"/>
        <v>1</v>
      </c>
      <c r="O521" s="165">
        <f t="shared" ca="1" si="80"/>
        <v>2564.746845350568</v>
      </c>
      <c r="P521" s="165">
        <f t="shared" ca="1" si="79"/>
        <v>2564.746845350568</v>
      </c>
    </row>
    <row r="522" spans="1:16" s="165" customFormat="1" x14ac:dyDescent="0.3">
      <c r="A522" s="165">
        <f>MATCH(Calcs!B522,Paste_Report_Here!$1:$1,0) -1</f>
        <v>9</v>
      </c>
      <c r="B522" s="165" t="s">
        <v>214</v>
      </c>
      <c r="C522" s="166">
        <f ca="1">RANK(N522,N518:N542)</f>
        <v>10</v>
      </c>
      <c r="D522" s="166">
        <f ca="1">RANK(P522,P518:P542)</f>
        <v>5</v>
      </c>
      <c r="E522" s="189" t="s">
        <v>156</v>
      </c>
      <c r="F522" s="179">
        <f ca="1">COUNTIFS(Paste_Report_Here!$E$1:$E$2000,E512, OFFSET(Paste_Report_Here!$A$1,0,$A522,2000,1),F$75)</f>
        <v>0</v>
      </c>
      <c r="G522" s="180">
        <f ca="1">COUNTIFS(Paste_Report_Here!$E$1:$E$2000,E512, OFFSET(Paste_Report_Here!$A$1,0,$A522,2000,1),G$75)</f>
        <v>0</v>
      </c>
      <c r="H522" s="180">
        <f ca="1">COUNTIFS(Paste_Report_Here!$E$1:$E$2000,E512, OFFSET(Paste_Report_Here!$A$1,0,$A522,2000,1),H$75)</f>
        <v>25</v>
      </c>
      <c r="I522" s="180">
        <f ca="1">COUNTIFS(Paste_Report_Here!$E$1:$E$2000,E512, OFFSET(Paste_Report_Here!$A$1,0,$A522,2000,1),I$75)</f>
        <v>7</v>
      </c>
      <c r="J522" s="180">
        <f ca="1">COUNTIFS(Paste_Report_Here!$E$1:$E$2000,E512, OFFSET(Paste_Report_Here!$A$1,0,$A522,2000,1),J$75)</f>
        <v>0</v>
      </c>
      <c r="K522" s="181">
        <f ca="1">COUNTIFS(Paste_Report_Here!$E$1:$E$2000,E512, OFFSET(Paste_Report_Here!$A$1,0,$A522,2000,1),K$75)</f>
        <v>1</v>
      </c>
      <c r="L522" s="166">
        <f t="shared" ca="1" si="77"/>
        <v>33</v>
      </c>
      <c r="M522" s="183">
        <f ca="1">SUMPRODUCT(F522:K522,F516:K516)/L:L</f>
        <v>0</v>
      </c>
      <c r="N522" s="166">
        <f t="shared" ca="1" si="78"/>
        <v>1</v>
      </c>
      <c r="O522" s="165">
        <f t="shared" ca="1" si="80"/>
        <v>3455.5553129788896</v>
      </c>
      <c r="P522" s="165">
        <f t="shared" ca="1" si="79"/>
        <v>3455.5553129788896</v>
      </c>
    </row>
    <row r="523" spans="1:16" s="165" customFormat="1" x14ac:dyDescent="0.3">
      <c r="A523" s="165">
        <f>MATCH(Calcs!B523,Paste_Report_Here!$1:$1,0) -1</f>
        <v>10</v>
      </c>
      <c r="B523" s="165" t="s">
        <v>128</v>
      </c>
      <c r="C523" s="166">
        <f ca="1">RANK(N523,N518:N542)</f>
        <v>2</v>
      </c>
      <c r="D523" s="166">
        <f ca="1">RANK(P523,P518:P542)</f>
        <v>21</v>
      </c>
      <c r="E523" s="189" t="s">
        <v>157</v>
      </c>
      <c r="F523" s="179">
        <f ca="1">COUNTIFS(Paste_Report_Here!$E$1:$E$2000,E512, OFFSET(Paste_Report_Here!$A$1,0,$A523,2000,1),F$75)</f>
        <v>0</v>
      </c>
      <c r="G523" s="180">
        <f ca="1">COUNTIFS(Paste_Report_Here!$E$1:$E$2000,E512, OFFSET(Paste_Report_Here!$A$1,0,$A523,2000,1),G$75)</f>
        <v>2</v>
      </c>
      <c r="H523" s="180">
        <f ca="1">COUNTIFS(Paste_Report_Here!$E$1:$E$2000,E512, OFFSET(Paste_Report_Here!$A$1,0,$A523,2000,1),H$75)</f>
        <v>27</v>
      </c>
      <c r="I523" s="180">
        <f ca="1">COUNTIFS(Paste_Report_Here!$E$1:$E$2000,E512, OFFSET(Paste_Report_Here!$A$1,0,$A523,2000,1),I$75)</f>
        <v>3</v>
      </c>
      <c r="J523" s="180">
        <f ca="1">COUNTIFS(Paste_Report_Here!$E$1:$E$2000,E512, OFFSET(Paste_Report_Here!$A$1,0,$A523,2000,1),J$75)</f>
        <v>1</v>
      </c>
      <c r="K523" s="181">
        <f ca="1">COUNTIFS(Paste_Report_Here!$E$1:$E$2000,E512, OFFSET(Paste_Report_Here!$A$1,0,$A523,2000,1),K$75)</f>
        <v>0</v>
      </c>
      <c r="L523" s="166">
        <f t="shared" ca="1" si="77"/>
        <v>33</v>
      </c>
      <c r="M523" s="183">
        <f ca="1">SUMPRODUCT(F523:K523,F516:K516)/L:L</f>
        <v>6.0606060606060606E-3</v>
      </c>
      <c r="N523" s="166">
        <f t="shared" ca="1" si="78"/>
        <v>1.0060790086917657</v>
      </c>
      <c r="O523" s="165">
        <f t="shared" ca="1" si="80"/>
        <v>1619.4367984039598</v>
      </c>
      <c r="P523" s="165">
        <f t="shared" ca="1" si="79"/>
        <v>1629.2813687772227</v>
      </c>
    </row>
    <row r="524" spans="1:16" s="165" customFormat="1" x14ac:dyDescent="0.3">
      <c r="A524" s="165">
        <f>MATCH(Calcs!B524,Paste_Report_Here!$1:$1,0) -1</f>
        <v>11</v>
      </c>
      <c r="B524" s="165" t="s">
        <v>129</v>
      </c>
      <c r="C524" s="166">
        <f ca="1">RANK(N524,N518:N542)</f>
        <v>2</v>
      </c>
      <c r="D524" s="166">
        <f ca="1">RANK(P524,P518:P542)</f>
        <v>9</v>
      </c>
      <c r="E524" s="189" t="s">
        <v>158</v>
      </c>
      <c r="F524" s="179">
        <f ca="1">COUNTIFS(Paste_Report_Here!$E$1:$E$2000,E512, OFFSET(Paste_Report_Here!$A$1,0,$A524,2000,1),F$75)</f>
        <v>0</v>
      </c>
      <c r="G524" s="180">
        <f ca="1">COUNTIFS(Paste_Report_Here!$E$1:$E$2000,E512, OFFSET(Paste_Report_Here!$A$1,0,$A524,2000,1),G$75)</f>
        <v>1</v>
      </c>
      <c r="H524" s="180">
        <f ca="1">COUNTIFS(Paste_Report_Here!$E$1:$E$2000,E512, OFFSET(Paste_Report_Here!$A$1,0,$A524,2000,1),H$75)</f>
        <v>20</v>
      </c>
      <c r="I524" s="180">
        <f ca="1">COUNTIFS(Paste_Report_Here!$E$1:$E$2000,E512, OFFSET(Paste_Report_Here!$A$1,0,$A524,2000,1),I$75)</f>
        <v>11</v>
      </c>
      <c r="J524" s="180">
        <f ca="1">COUNTIFS(Paste_Report_Here!$E$1:$E$2000,E512, OFFSET(Paste_Report_Here!$A$1,0,$A524,2000,1),J$75)</f>
        <v>1</v>
      </c>
      <c r="K524" s="181">
        <f ca="1">COUNTIFS(Paste_Report_Here!$E$1:$E$2000,E512, OFFSET(Paste_Report_Here!$A$1,0,$A524,2000,1),K$75)</f>
        <v>0</v>
      </c>
      <c r="L524" s="166">
        <f t="shared" ca="1" si="77"/>
        <v>33</v>
      </c>
      <c r="M524" s="183">
        <f ca="1">SUMPRODUCT(F524:K524,F516:K516)/L:L</f>
        <v>6.0606060606060606E-3</v>
      </c>
      <c r="N524" s="166">
        <f t="shared" ca="1" si="78"/>
        <v>1.0060790086917657</v>
      </c>
      <c r="O524" s="165">
        <f t="shared" ca="1" si="80"/>
        <v>2525.2906783425833</v>
      </c>
      <c r="P524" s="165">
        <f t="shared" ca="1" si="79"/>
        <v>2540.6419423254629</v>
      </c>
    </row>
    <row r="525" spans="1:16" s="165" customFormat="1" x14ac:dyDescent="0.3">
      <c r="A525" s="165">
        <f>MATCH(Calcs!B525,Paste_Report_Here!$1:$1,0) -1</f>
        <v>12</v>
      </c>
      <c r="B525" s="165" t="s">
        <v>130</v>
      </c>
      <c r="C525" s="166">
        <f ca="1">RANK(N525,N518:N542)</f>
        <v>10</v>
      </c>
      <c r="D525" s="166">
        <f ca="1">RANK(P525,P518:P542)</f>
        <v>10</v>
      </c>
      <c r="E525" s="189" t="s">
        <v>159</v>
      </c>
      <c r="F525" s="179">
        <f ca="1">COUNTIFS(Paste_Report_Here!$E$1:$E$2000,E512, OFFSET(Paste_Report_Here!$A$1,0,$A525,2000,1),F$75)</f>
        <v>0</v>
      </c>
      <c r="G525" s="180">
        <f ca="1">COUNTIFS(Paste_Report_Here!$E$1:$E$2000,E512, OFFSET(Paste_Report_Here!$A$1,0,$A525,2000,1),G$75)</f>
        <v>1</v>
      </c>
      <c r="H525" s="180">
        <f ca="1">COUNTIFS(Paste_Report_Here!$E$1:$E$2000,E512, OFFSET(Paste_Report_Here!$A$1,0,$A525,2000,1),H$75)</f>
        <v>24</v>
      </c>
      <c r="I525" s="180">
        <f ca="1">COUNTIFS(Paste_Report_Here!$E$1:$E$2000,E512, OFFSET(Paste_Report_Here!$A$1,0,$A525,2000,1),I$75)</f>
        <v>8</v>
      </c>
      <c r="J525" s="180">
        <f ca="1">COUNTIFS(Paste_Report_Here!$E$1:$E$2000,E512, OFFSET(Paste_Report_Here!$A$1,0,$A525,2000,1),J$75)</f>
        <v>0</v>
      </c>
      <c r="K525" s="181">
        <f ca="1">COUNTIFS(Paste_Report_Here!$E$1:$E$2000,E512, OFFSET(Paste_Report_Here!$A$1,0,$A525,2000,1),K$75)</f>
        <v>0</v>
      </c>
      <c r="L525" s="166">
        <f t="shared" ca="1" si="77"/>
        <v>33</v>
      </c>
      <c r="M525" s="183">
        <f ca="1">SUMPRODUCT(F525:K525,F516:K516)/L:L</f>
        <v>0</v>
      </c>
      <c r="N525" s="166">
        <f t="shared" ca="1" si="78"/>
        <v>1</v>
      </c>
      <c r="O525" s="165">
        <f t="shared" ca="1" si="80"/>
        <v>2323.6797506358766</v>
      </c>
      <c r="P525" s="165">
        <f t="shared" ca="1" si="79"/>
        <v>2323.6797506358766</v>
      </c>
    </row>
    <row r="526" spans="1:16" s="165" customFormat="1" x14ac:dyDescent="0.3">
      <c r="A526" s="165">
        <f>MATCH(Calcs!B526,Paste_Report_Here!$1:$1,0) -1</f>
        <v>13</v>
      </c>
      <c r="B526" s="165" t="s">
        <v>131</v>
      </c>
      <c r="C526" s="166">
        <f ca="1">RANK(N526,N518:N542)</f>
        <v>1</v>
      </c>
      <c r="D526" s="166">
        <f ca="1">RANK(P526,P518:P542)</f>
        <v>4</v>
      </c>
      <c r="E526" s="189" t="s">
        <v>160</v>
      </c>
      <c r="F526" s="179">
        <f ca="1">COUNTIFS(Paste_Report_Here!$E$1:$E$2000,E512, OFFSET(Paste_Report_Here!$A$1,0,$A526,2000,1),F$75)</f>
        <v>0</v>
      </c>
      <c r="G526" s="180">
        <f ca="1">COUNTIFS(Paste_Report_Here!$E$1:$E$2000,E512, OFFSET(Paste_Report_Here!$A$1,0,$A526,2000,1),G$75)</f>
        <v>0</v>
      </c>
      <c r="H526" s="180">
        <f ca="1">COUNTIFS(Paste_Report_Here!$E$1:$E$2000,E512, OFFSET(Paste_Report_Here!$A$1,0,$A526,2000,1),H$75)</f>
        <v>17</v>
      </c>
      <c r="I526" s="180">
        <f ca="1">COUNTIFS(Paste_Report_Here!$E$1:$E$2000,E512, OFFSET(Paste_Report_Here!$A$1,0,$A526,2000,1),I$75)</f>
        <v>13</v>
      </c>
      <c r="J526" s="180">
        <f ca="1">COUNTIFS(Paste_Report_Here!$E$1:$E$2000,E512, OFFSET(Paste_Report_Here!$A$1,0,$A526,2000,1),J$75)</f>
        <v>3</v>
      </c>
      <c r="K526" s="181">
        <f ca="1">COUNTIFS(Paste_Report_Here!$E$1:$E$2000,E512, OFFSET(Paste_Report_Here!$A$1,0,$A526,2000,1),K$75)</f>
        <v>0</v>
      </c>
      <c r="L526" s="166">
        <f t="shared" ca="1" si="77"/>
        <v>33</v>
      </c>
      <c r="M526" s="183">
        <f ca="1">SUMPRODUCT(F526:K526,F516:K516)/L:L</f>
        <v>1.8181818181818184E-2</v>
      </c>
      <c r="N526" s="166">
        <f t="shared" ca="1" si="78"/>
        <v>1.0183481137611157</v>
      </c>
      <c r="O526" s="165">
        <f t="shared" ca="1" si="80"/>
        <v>3639.0237965990827</v>
      </c>
      <c r="P526" s="165">
        <f t="shared" ca="1" si="79"/>
        <v>3705.7930191984897</v>
      </c>
    </row>
    <row r="527" spans="1:16" s="165" customFormat="1" x14ac:dyDescent="0.3">
      <c r="A527" s="165">
        <f>MATCH(Calcs!B527,Paste_Report_Here!$1:$1,0) -1</f>
        <v>14</v>
      </c>
      <c r="B527" s="165" t="s">
        <v>132</v>
      </c>
      <c r="C527" s="166">
        <f ca="1">RANK(N527,N518:N542)</f>
        <v>10</v>
      </c>
      <c r="D527" s="166">
        <f ca="1">RANK(P527,P518:P542)</f>
        <v>19</v>
      </c>
      <c r="E527" s="189" t="s">
        <v>161</v>
      </c>
      <c r="F527" s="179">
        <f ca="1">COUNTIFS(Paste_Report_Here!$E$1:$E$2000,E512, OFFSET(Paste_Report_Here!$A$1,0,$A527,2000,1),F$75)</f>
        <v>0</v>
      </c>
      <c r="G527" s="180">
        <f ca="1">COUNTIFS(Paste_Report_Here!$E$1:$E$2000,E512, OFFSET(Paste_Report_Here!$A$1,0,$A527,2000,1),G$75)</f>
        <v>2</v>
      </c>
      <c r="H527" s="180">
        <f ca="1">COUNTIFS(Paste_Report_Here!$E$1:$E$2000,E512, OFFSET(Paste_Report_Here!$A$1,0,$A527,2000,1),H$75)</f>
        <v>19</v>
      </c>
      <c r="I527" s="180">
        <f ca="1">COUNTIFS(Paste_Report_Here!$E$1:$E$2000,E512, OFFSET(Paste_Report_Here!$A$1,0,$A527,2000,1),I$75)</f>
        <v>12</v>
      </c>
      <c r="J527" s="180">
        <f ca="1">COUNTIFS(Paste_Report_Here!$E$1:$E$2000,E512, OFFSET(Paste_Report_Here!$A$1,0,$A527,2000,1),J$75)</f>
        <v>0</v>
      </c>
      <c r="K527" s="181">
        <f ca="1">COUNTIFS(Paste_Report_Here!$E$1:$E$2000,E512, OFFSET(Paste_Report_Here!$A$1,0,$A527,2000,1),K$75)</f>
        <v>0</v>
      </c>
      <c r="L527" s="166">
        <f t="shared" ca="1" si="77"/>
        <v>33</v>
      </c>
      <c r="M527" s="183">
        <f ca="1">SUMPRODUCT(F527:K527,F516:K516)/L:L</f>
        <v>0</v>
      </c>
      <c r="N527" s="166">
        <f t="shared" ca="1" si="78"/>
        <v>1</v>
      </c>
      <c r="O527" s="165">
        <f t="shared" ca="1" si="80"/>
        <v>1934.4102989295495</v>
      </c>
      <c r="P527" s="165">
        <f t="shared" ca="1" si="79"/>
        <v>1934.4102989295495</v>
      </c>
    </row>
    <row r="528" spans="1:16" s="165" customFormat="1" x14ac:dyDescent="0.3">
      <c r="A528" s="165">
        <f>MATCH(Calcs!B528,Paste_Report_Here!$1:$1,0) -1</f>
        <v>15</v>
      </c>
      <c r="B528" s="165" t="s">
        <v>133</v>
      </c>
      <c r="C528" s="166">
        <f ca="1">RANK(N528,N517:N541)</f>
        <v>10</v>
      </c>
      <c r="D528" s="166">
        <f ca="1">RANK(P528,P518:P542)</f>
        <v>7</v>
      </c>
      <c r="E528" s="189" t="s">
        <v>162</v>
      </c>
      <c r="F528" s="179">
        <f ca="1">COUNTIFS(Paste_Report_Here!$E$1:$E$2000,E512, OFFSET(Paste_Report_Here!$A$1,0,$A528,2000,1),F$75)</f>
        <v>0</v>
      </c>
      <c r="G528" s="180">
        <f ca="1">COUNTIFS(Paste_Report_Here!$E$1:$E$2000,E512, OFFSET(Paste_Report_Here!$A$1,0,$A528,2000,1),G$75)</f>
        <v>0</v>
      </c>
      <c r="H528" s="180">
        <f ca="1">COUNTIFS(Paste_Report_Here!$E$1:$E$2000,E512, OFFSET(Paste_Report_Here!$A$1,0,$A528,2000,1),H$75)</f>
        <v>18</v>
      </c>
      <c r="I528" s="180">
        <f ca="1">COUNTIFS(Paste_Report_Here!$E$1:$E$2000,E512, OFFSET(Paste_Report_Here!$A$1,0,$A528,2000,1),I$75)</f>
        <v>15</v>
      </c>
      <c r="J528" s="180">
        <f ca="1">COUNTIFS(Paste_Report_Here!$E$1:$E$2000,E512, OFFSET(Paste_Report_Here!$A$1,0,$A528,2000,1),J$75)</f>
        <v>0</v>
      </c>
      <c r="K528" s="181">
        <f ca="1">COUNTIFS(Paste_Report_Here!$E$1:$E$2000,E512, OFFSET(Paste_Report_Here!$A$1,0,$A528,2000,1),K$75)</f>
        <v>0</v>
      </c>
      <c r="L528" s="166">
        <f t="shared" ca="1" si="77"/>
        <v>33</v>
      </c>
      <c r="M528" s="183">
        <f ca="1">SUMPRODUCT(F528:K528,F516:K516)/L:L</f>
        <v>0</v>
      </c>
      <c r="N528" s="166">
        <f t="shared" ca="1" si="78"/>
        <v>1</v>
      </c>
      <c r="O528" s="165">
        <f t="shared" ca="1" si="80"/>
        <v>2801.1882378146352</v>
      </c>
      <c r="P528" s="165">
        <f t="shared" ca="1" si="79"/>
        <v>2801.1882378146352</v>
      </c>
    </row>
    <row r="529" spans="1:16" s="165" customFormat="1" x14ac:dyDescent="0.3">
      <c r="A529" s="165">
        <f>MATCH(Calcs!B529,Paste_Report_Here!$1:$1,0) -1</f>
        <v>16</v>
      </c>
      <c r="B529" s="165" t="s">
        <v>134</v>
      </c>
      <c r="C529" s="166">
        <f ca="1">RANK(N529,N518:N542)</f>
        <v>10</v>
      </c>
      <c r="D529" s="166">
        <f ca="1">RANK(P529,P518:P542)</f>
        <v>24</v>
      </c>
      <c r="E529" s="189" t="s">
        <v>163</v>
      </c>
      <c r="F529" s="179">
        <f ca="1">COUNTIFS(Paste_Report_Here!$E$1:$E$2000,E512, OFFSET(Paste_Report_Here!$A$1,0,$A529,2000,1),F$75)</f>
        <v>0</v>
      </c>
      <c r="G529" s="180">
        <f ca="1">COUNTIFS(Paste_Report_Here!$E$1:$E$2000,E512, OFFSET(Paste_Report_Here!$A$1,0,$A529,2000,1),G$75)</f>
        <v>1</v>
      </c>
      <c r="H529" s="180">
        <f ca="1">COUNTIFS(Paste_Report_Here!$E$1:$E$2000,E512, OFFSET(Paste_Report_Here!$A$1,0,$A529,2000,1),H$75)</f>
        <v>31</v>
      </c>
      <c r="I529" s="180">
        <f ca="1">COUNTIFS(Paste_Report_Here!$E$1:$E$2000,E512, OFFSET(Paste_Report_Here!$A$1,0,$A529,2000,1),I$75)</f>
        <v>1</v>
      </c>
      <c r="J529" s="180">
        <f ca="1">COUNTIFS(Paste_Report_Here!$E$1:$E$2000,E512, OFFSET(Paste_Report_Here!$A$1,0,$A529,2000,1),J$75)</f>
        <v>0</v>
      </c>
      <c r="K529" s="181">
        <f ca="1">COUNTIFS(Paste_Report_Here!$E$1:$E$2000,E512, OFFSET(Paste_Report_Here!$A$1,0,$A529,2000,1),K$75)</f>
        <v>0</v>
      </c>
      <c r="L529" s="166">
        <f t="shared" ca="1" si="77"/>
        <v>33</v>
      </c>
      <c r="M529" s="183">
        <f ca="1">SUMPRODUCT(F529:K529,F516:K516)/L:L</f>
        <v>0</v>
      </c>
      <c r="N529" s="166">
        <f t="shared" ca="1" si="78"/>
        <v>1</v>
      </c>
      <c r="O529" s="165">
        <f t="shared" ca="1" si="80"/>
        <v>1173.2454452500563</v>
      </c>
      <c r="P529" s="165">
        <f t="shared" ca="1" si="79"/>
        <v>1173.2454452500563</v>
      </c>
    </row>
    <row r="530" spans="1:16" s="165" customFormat="1" x14ac:dyDescent="0.3">
      <c r="A530" s="165">
        <f>MATCH(Calcs!B530,Paste_Report_Here!$1:$1,0) -1</f>
        <v>17</v>
      </c>
      <c r="B530" s="165" t="s">
        <v>135</v>
      </c>
      <c r="C530" s="166">
        <f ca="1">RANK(N530,N518:N542)</f>
        <v>24</v>
      </c>
      <c r="D530" s="166">
        <f ca="1">RANK(P530,P518:P542)</f>
        <v>20</v>
      </c>
      <c r="E530" s="189" t="s">
        <v>164</v>
      </c>
      <c r="F530" s="179">
        <f ca="1">COUNTIFS(Paste_Report_Here!$E$1:$E$2000,E512, OFFSET(Paste_Report_Here!$A$1,0,$A530,2000,1),F$75)</f>
        <v>1</v>
      </c>
      <c r="G530" s="180">
        <f ca="1">COUNTIFS(Paste_Report_Here!$E$1:$E$2000,E512, OFFSET(Paste_Report_Here!$A$1,0,$A530,2000,1),G$75)</f>
        <v>0</v>
      </c>
      <c r="H530" s="180">
        <f ca="1">COUNTIFS(Paste_Report_Here!$E$1:$E$2000,E512, OFFSET(Paste_Report_Here!$A$1,0,$A530,2000,1),H$75)</f>
        <v>25</v>
      </c>
      <c r="I530" s="180">
        <f ca="1">COUNTIFS(Paste_Report_Here!$E$1:$E$2000,E512, OFFSET(Paste_Report_Here!$A$1,0,$A530,2000,1),I$75)</f>
        <v>7</v>
      </c>
      <c r="J530" s="180">
        <f ca="1">COUNTIFS(Paste_Report_Here!$E$1:$E$2000,E512, OFFSET(Paste_Report_Here!$A$1,0,$A530,2000,1),J$75)</f>
        <v>0</v>
      </c>
      <c r="K530" s="181">
        <f ca="1">COUNTIFS(Paste_Report_Here!$E$1:$E$2000,E512, OFFSET(Paste_Report_Here!$A$1,0,$A530,2000,1),K$75)</f>
        <v>0</v>
      </c>
      <c r="L530" s="166">
        <f t="shared" ca="1" si="77"/>
        <v>33</v>
      </c>
      <c r="M530" s="183">
        <f ca="1">SUMPRODUCT(F530:K530,F516:K516)/L:L</f>
        <v>-6.0606060606060606E-3</v>
      </c>
      <c r="N530" s="166">
        <f t="shared" ca="1" si="78"/>
        <v>0.99395772236648638</v>
      </c>
      <c r="O530" s="165">
        <f t="shared" ca="1" si="80"/>
        <v>1817.3411668714846</v>
      </c>
      <c r="P530" s="165">
        <f t="shared" ca="1" si="79"/>
        <v>1806.3602869864335</v>
      </c>
    </row>
    <row r="531" spans="1:16" s="165" customFormat="1" x14ac:dyDescent="0.3">
      <c r="A531" s="165">
        <f>MATCH(Calcs!B531,Paste_Report_Here!$1:$1,0) -1</f>
        <v>18</v>
      </c>
      <c r="B531" s="165" t="s">
        <v>136</v>
      </c>
      <c r="C531" s="166">
        <f ca="1">RANK(N531,N518:N542)</f>
        <v>10</v>
      </c>
      <c r="D531" s="166">
        <f ca="1">RANK(P531,P518:P542)</f>
        <v>3</v>
      </c>
      <c r="E531" s="189" t="s">
        <v>165</v>
      </c>
      <c r="F531" s="179">
        <f ca="1">COUNTIFS(Paste_Report_Here!$E$1:$E$2000,E512, OFFSET(Paste_Report_Here!$A$1,0,$A531,2000,1),F$75)</f>
        <v>0</v>
      </c>
      <c r="G531" s="180">
        <f ca="1">COUNTIFS(Paste_Report_Here!$E$1:$E$2000,E512, OFFSET(Paste_Report_Here!$A$1,0,$A531,2000,1),G$75)</f>
        <v>2</v>
      </c>
      <c r="H531" s="180">
        <f ca="1">COUNTIFS(Paste_Report_Here!$E$1:$E$2000,E512, OFFSET(Paste_Report_Here!$A$1,0,$A531,2000,1),H$75)</f>
        <v>25</v>
      </c>
      <c r="I531" s="180">
        <f ca="1">COUNTIFS(Paste_Report_Here!$E$1:$E$2000,E512, OFFSET(Paste_Report_Here!$A$1,0,$A531,2000,1),I$75)</f>
        <v>6</v>
      </c>
      <c r="J531" s="180">
        <f ca="1">COUNTIFS(Paste_Report_Here!$E$1:$E$2000,E512, OFFSET(Paste_Report_Here!$A$1,0,$A531,2000,1),J$75)</f>
        <v>0</v>
      </c>
      <c r="K531" s="181">
        <f ca="1">COUNTIFS(Paste_Report_Here!$E$1:$E$2000,E512, OFFSET(Paste_Report_Here!$A$1,0,$A531,2000,1),K$75)</f>
        <v>0</v>
      </c>
      <c r="L531" s="166">
        <f t="shared" ca="1" si="77"/>
        <v>33</v>
      </c>
      <c r="M531" s="183">
        <f ca="1">SUMPRODUCT(F531:K531,F516:K516)/L:L</f>
        <v>0</v>
      </c>
      <c r="N531" s="166">
        <f t="shared" ca="1" si="78"/>
        <v>1</v>
      </c>
      <c r="O531" s="165">
        <f t="shared" ca="1" si="80"/>
        <v>3710.0323918264025</v>
      </c>
      <c r="P531" s="165">
        <f t="shared" ca="1" si="79"/>
        <v>3710.0323918264025</v>
      </c>
    </row>
    <row r="532" spans="1:16" s="165" customFormat="1" x14ac:dyDescent="0.3">
      <c r="A532" s="165">
        <f>MATCH(Calcs!B532,Paste_Report_Here!$1:$1,0) -1</f>
        <v>19</v>
      </c>
      <c r="B532" s="165" t="s">
        <v>137</v>
      </c>
      <c r="C532" s="166">
        <f ca="1">RANK(N532,N518:N542)</f>
        <v>10</v>
      </c>
      <c r="D532" s="166">
        <f ca="1">RANK(P532,P518:P542)</f>
        <v>15</v>
      </c>
      <c r="E532" s="189" t="s">
        <v>166</v>
      </c>
      <c r="F532" s="179">
        <f ca="1">COUNTIFS(Paste_Report_Here!$E$1:$E$2000,E512, OFFSET(Paste_Report_Here!$A$1,0,$A532,2000,1),F$75)</f>
        <v>0</v>
      </c>
      <c r="G532" s="180">
        <f ca="1">COUNTIFS(Paste_Report_Here!$E$1:$E$2000,E512, OFFSET(Paste_Report_Here!$A$1,0,$A532,2000,1),G$75)</f>
        <v>1</v>
      </c>
      <c r="H532" s="180">
        <f ca="1">COUNTIFS(Paste_Report_Here!$E$1:$E$2000,E512, OFFSET(Paste_Report_Here!$A$1,0,$A532,2000,1),H$75)</f>
        <v>25</v>
      </c>
      <c r="I532" s="180">
        <f ca="1">COUNTIFS(Paste_Report_Here!$E$1:$E$2000,E512, OFFSET(Paste_Report_Here!$A$1,0,$A532,2000,1),I$75)</f>
        <v>7</v>
      </c>
      <c r="J532" s="180">
        <f ca="1">COUNTIFS(Paste_Report_Here!$E$1:$E$2000,E512, OFFSET(Paste_Report_Here!$A$1,0,$A532,2000,1),J$75)</f>
        <v>0</v>
      </c>
      <c r="K532" s="181">
        <f ca="1">COUNTIFS(Paste_Report_Here!$E$1:$E$2000,E512, OFFSET(Paste_Report_Here!$A$1,0,$A532,2000,1),K$75)</f>
        <v>0</v>
      </c>
      <c r="L532" s="166">
        <f t="shared" ca="1" si="77"/>
        <v>33</v>
      </c>
      <c r="M532" s="183">
        <f ca="1">SUMPRODUCT(F532:K532,F516:K516)/L:L</f>
        <v>0</v>
      </c>
      <c r="N532" s="166">
        <f t="shared" ca="1" si="78"/>
        <v>1</v>
      </c>
      <c r="O532" s="165">
        <f t="shared" ca="1" si="80"/>
        <v>2122.6781131465646</v>
      </c>
      <c r="P532" s="165">
        <f t="shared" ca="1" si="79"/>
        <v>2122.6781131465646</v>
      </c>
    </row>
    <row r="533" spans="1:16" s="165" customFormat="1" x14ac:dyDescent="0.3">
      <c r="A533" s="165">
        <f>MATCH(Calcs!B533,Paste_Report_Here!$1:$1,0) -1</f>
        <v>20</v>
      </c>
      <c r="B533" s="165" t="s">
        <v>138</v>
      </c>
      <c r="C533" s="166">
        <v>3</v>
      </c>
      <c r="D533" s="166">
        <f ca="1">RANK(P533,P518:P542)</f>
        <v>18</v>
      </c>
      <c r="E533" s="189" t="s">
        <v>167</v>
      </c>
      <c r="F533" s="179">
        <f ca="1">COUNTIFS(Paste_Report_Here!$E$1:$E$2000,E512, OFFSET(Paste_Report_Here!$A$1,0,$A533,2000,1),F$75)</f>
        <v>0</v>
      </c>
      <c r="G533" s="180">
        <f ca="1">COUNTIFS(Paste_Report_Here!$E$1:$E$2000,E512, OFFSET(Paste_Report_Here!$A$1,0,$A533,2000,1),G$75)</f>
        <v>1</v>
      </c>
      <c r="H533" s="180">
        <f ca="1">COUNTIFS(Paste_Report_Here!$E$1:$E$2000,E512, OFFSET(Paste_Report_Here!$A$1,0,$A533,2000,1),H$75)</f>
        <v>24</v>
      </c>
      <c r="I533" s="180">
        <f ca="1">COUNTIFS(Paste_Report_Here!$E$1:$E$2000,E512, OFFSET(Paste_Report_Here!$A$1,0,$A533,2000,1),I$75)</f>
        <v>7</v>
      </c>
      <c r="J533" s="180">
        <f ca="1">COUNTIFS(Paste_Report_Here!$E$1:$E$2000,E512, OFFSET(Paste_Report_Here!$A$1,0,$A533,2000,1),J$75)</f>
        <v>1</v>
      </c>
      <c r="K533" s="181">
        <f ca="1">COUNTIFS(Paste_Report_Here!$E$1:$E$2000,E512, OFFSET(Paste_Report_Here!$A$1,0,$A533,2000,1),K$75)</f>
        <v>0</v>
      </c>
      <c r="L533" s="166">
        <f t="shared" ca="1" si="77"/>
        <v>33</v>
      </c>
      <c r="M533" s="183">
        <f ca="1">SUMPRODUCT(F533:K533,F516:K516)/L:L</f>
        <v>6.0606060606060606E-3</v>
      </c>
      <c r="N533" s="166">
        <f t="shared" ca="1" si="78"/>
        <v>1.0060790086917657</v>
      </c>
      <c r="O533" s="165">
        <f t="shared" ca="1" si="80"/>
        <v>1993.3768511958103</v>
      </c>
      <c r="P533" s="165">
        <f t="shared" ca="1" si="79"/>
        <v>2005.4946064001942</v>
      </c>
    </row>
    <row r="534" spans="1:16" s="165" customFormat="1" x14ac:dyDescent="0.3">
      <c r="A534" s="165">
        <f>MATCH(Calcs!B534,Paste_Report_Here!$1:$1,0) -1</f>
        <v>21</v>
      </c>
      <c r="B534" s="165" t="s">
        <v>139</v>
      </c>
      <c r="C534" s="166">
        <f ca="1">RANK(N534,N518:N542)</f>
        <v>10</v>
      </c>
      <c r="D534" s="166">
        <f ca="1">RANK(P534,P518:P542)</f>
        <v>14</v>
      </c>
      <c r="E534" s="189" t="s">
        <v>168</v>
      </c>
      <c r="F534" s="179">
        <f ca="1">COUNTIFS(Paste_Report_Here!$E$1:$E$2000,E512, OFFSET(Paste_Report_Here!$A$1,0,$A534,2000,1),F$75)</f>
        <v>0</v>
      </c>
      <c r="G534" s="180">
        <f ca="1">COUNTIFS(Paste_Report_Here!$E$1:$E$2000,E512, OFFSET(Paste_Report_Here!$A$1,0,$A534,2000,1),G$75)</f>
        <v>1</v>
      </c>
      <c r="H534" s="180">
        <f ca="1">COUNTIFS(Paste_Report_Here!$E$1:$E$2000,E512, OFFSET(Paste_Report_Here!$A$1,0,$A534,2000,1),H$75)</f>
        <v>29</v>
      </c>
      <c r="I534" s="180">
        <f ca="1">COUNTIFS(Paste_Report_Here!$E$1:$E$2000,E512, OFFSET(Paste_Report_Here!$A$1,0,$A534,2000,1),I$75)</f>
        <v>3</v>
      </c>
      <c r="J534" s="180">
        <f ca="1">COUNTIFS(Paste_Report_Here!$E$1:$E$2000,E512, OFFSET(Paste_Report_Here!$A$1,0,$A534,2000,1),J$75)</f>
        <v>0</v>
      </c>
      <c r="K534" s="181">
        <f ca="1">COUNTIFS(Paste_Report_Here!$E$1:$E$2000,E512, OFFSET(Paste_Report_Here!$A$1,0,$A534,2000,1),K$75)</f>
        <v>0</v>
      </c>
      <c r="L534" s="166">
        <f t="shared" ca="1" si="77"/>
        <v>33</v>
      </c>
      <c r="M534" s="183">
        <f ca="1">SUMPRODUCT(F534:K534,F516:K516)/L:L</f>
        <v>0</v>
      </c>
      <c r="N534" s="166">
        <f t="shared" ca="1" si="78"/>
        <v>1</v>
      </c>
      <c r="O534" s="165">
        <f t="shared" ca="1" si="80"/>
        <v>2127.7616979352861</v>
      </c>
      <c r="P534" s="165">
        <f t="shared" ca="1" si="79"/>
        <v>2127.7616979352861</v>
      </c>
    </row>
    <row r="535" spans="1:16" s="165" customFormat="1" x14ac:dyDescent="0.3">
      <c r="A535" s="165">
        <f>MATCH(Calcs!B535,Paste_Report_Here!$1:$1,0) -1</f>
        <v>22</v>
      </c>
      <c r="B535" s="165" t="s">
        <v>140</v>
      </c>
      <c r="C535" s="166">
        <f ca="1">RANK(N535,N518:N542)</f>
        <v>2</v>
      </c>
      <c r="D535" s="166">
        <f ca="1">RANK(P535,P518:P542)</f>
        <v>17</v>
      </c>
      <c r="E535" s="189" t="s">
        <v>169</v>
      </c>
      <c r="F535" s="179">
        <f ca="1">COUNTIFS(Paste_Report_Here!$E$1:$E$2000,E512, OFFSET(Paste_Report_Here!$A$1,0,$A535,2000,1),F$75)</f>
        <v>0</v>
      </c>
      <c r="G535" s="180">
        <f ca="1">COUNTIFS(Paste_Report_Here!$E$1:$E$2000,E512, OFFSET(Paste_Report_Here!$A$1,0,$A535,2000,1),G$75)</f>
        <v>0</v>
      </c>
      <c r="H535" s="180">
        <f ca="1">COUNTIFS(Paste_Report_Here!$E$1:$E$2000,E512, OFFSET(Paste_Report_Here!$A$1,0,$A535,2000,1),H$75)</f>
        <v>27</v>
      </c>
      <c r="I535" s="180">
        <f ca="1">COUNTIFS(Paste_Report_Here!$E$1:$E$2000,E512, OFFSET(Paste_Report_Here!$A$1,0,$A535,2000,1),I$75)</f>
        <v>5</v>
      </c>
      <c r="J535" s="180">
        <f ca="1">COUNTIFS(Paste_Report_Here!$E$1:$E$2000,E512, OFFSET(Paste_Report_Here!$A$1,0,$A535,2000,1),J$75)</f>
        <v>1</v>
      </c>
      <c r="K535" s="181">
        <f ca="1">COUNTIFS(Paste_Report_Here!$E$1:$E$2000,E512, OFFSET(Paste_Report_Here!$A$1,0,$A535,2000,1),K$75)</f>
        <v>0</v>
      </c>
      <c r="L535" s="166">
        <f t="shared" ca="1" si="77"/>
        <v>33</v>
      </c>
      <c r="M535" s="183">
        <f ca="1">SUMPRODUCT(F535:K535,F516:K516)/L:L</f>
        <v>6.0606060606060606E-3</v>
      </c>
      <c r="N535" s="166">
        <f t="shared" ca="1" si="78"/>
        <v>1.0060790086917657</v>
      </c>
      <c r="O535" s="165">
        <f t="shared" ca="1" si="80"/>
        <v>2000.7199696354014</v>
      </c>
      <c r="P535" s="165">
        <f t="shared" ca="1" si="79"/>
        <v>2012.8823637206042</v>
      </c>
    </row>
    <row r="536" spans="1:16" s="165" customFormat="1" x14ac:dyDescent="0.3">
      <c r="A536" s="165">
        <f>MATCH(Calcs!B536,Paste_Report_Here!$1:$1,0) -1</f>
        <v>23</v>
      </c>
      <c r="B536" s="165" t="s">
        <v>186</v>
      </c>
      <c r="C536" s="166">
        <f ca="1">RANK(N536,N518:N542)</f>
        <v>2</v>
      </c>
      <c r="D536" s="166">
        <f ca="1">RANK(P536,P518:P542)</f>
        <v>2</v>
      </c>
      <c r="E536" s="189" t="s">
        <v>180</v>
      </c>
      <c r="F536" s="179">
        <f ca="1">COUNTIFS(Paste_Report_Here!$E$1:$E$2000,E512, OFFSET(Paste_Report_Here!$A$1,0,$A536,2000,1),F$75)</f>
        <v>0</v>
      </c>
      <c r="G536" s="180">
        <f ca="1">COUNTIFS(Paste_Report_Here!$E$1:$E$2000,E512, OFFSET(Paste_Report_Here!$A$1,0,$A536,2000,1),G$75)</f>
        <v>0</v>
      </c>
      <c r="H536" s="180">
        <f ca="1">COUNTIFS(Paste_Report_Here!$E$1:$E$2000,E512, OFFSET(Paste_Report_Here!$A$1,0,$A536,2000,1),H$75)</f>
        <v>27</v>
      </c>
      <c r="I536" s="180">
        <f ca="1">COUNTIFS(Paste_Report_Here!$E$1:$E$2000,E512, OFFSET(Paste_Report_Here!$A$1,0,$A536,2000,1),I$75)</f>
        <v>5</v>
      </c>
      <c r="J536" s="180">
        <f ca="1">COUNTIFS(Paste_Report_Here!$E$1:$E$2000,E512, OFFSET(Paste_Report_Here!$A$1,0,$A536,2000,1),J$75)</f>
        <v>1</v>
      </c>
      <c r="K536" s="181">
        <f ca="1">COUNTIFS(Paste_Report_Here!$E$1:$E$2000,E512, OFFSET(Paste_Report_Here!$A$1,0,$A536,2000,1),K$75)</f>
        <v>0</v>
      </c>
      <c r="L536" s="166">
        <f t="shared" ca="1" si="77"/>
        <v>33</v>
      </c>
      <c r="M536" s="183">
        <f ca="1">SUMPRODUCT(F536:K536,F516:K516)/L:L</f>
        <v>6.0606060606060606E-3</v>
      </c>
      <c r="N536" s="166">
        <f t="shared" ca="1" si="78"/>
        <v>1.0060790086917657</v>
      </c>
      <c r="O536" s="165">
        <f t="shared" ca="1" si="80"/>
        <v>3742.5015136684656</v>
      </c>
      <c r="P536" s="165">
        <f t="shared" ca="1" si="79"/>
        <v>3765.2522128990026</v>
      </c>
    </row>
    <row r="537" spans="1:16" s="165" customFormat="1" x14ac:dyDescent="0.3">
      <c r="A537" s="165">
        <f>MATCH(Calcs!B537,Paste_Report_Here!$1:$1,0) -1</f>
        <v>24</v>
      </c>
      <c r="B537" s="165" t="s">
        <v>209</v>
      </c>
      <c r="C537" s="166">
        <f ca="1">RANK(N537,N518:N542)</f>
        <v>2</v>
      </c>
      <c r="D537" s="166">
        <f ca="1">RANK(P537,P518:P542)</f>
        <v>23</v>
      </c>
      <c r="E537" s="202" t="s">
        <v>211</v>
      </c>
      <c r="F537" s="179">
        <f ca="1">COUNTIFS(Paste_Report_Here!$E$1:$E$2000,E512, OFFSET(Paste_Report_Here!$A$1,0,$A537,2000,1),F$75)</f>
        <v>0</v>
      </c>
      <c r="G537" s="180">
        <f ca="1">COUNTIFS(Paste_Report_Here!$E$1:$E$2000,E512, OFFSET(Paste_Report_Here!$A$1,0,$A537,2000,1),G$75)</f>
        <v>1</v>
      </c>
      <c r="H537" s="180">
        <f ca="1">COUNTIFS(Paste_Report_Here!$E$1:$E$2000,E512, OFFSET(Paste_Report_Here!$A$1,0,$A537,2000,1),H$75)</f>
        <v>23</v>
      </c>
      <c r="I537" s="180">
        <f ca="1">COUNTIFS(Paste_Report_Here!$E$1:$E$2000,E512, OFFSET(Paste_Report_Here!$A$1,0,$A537,2000,1),I$75)</f>
        <v>5</v>
      </c>
      <c r="J537" s="180">
        <f ca="1">COUNTIFS(Paste_Report_Here!$E$1:$E$2000,E512, OFFSET(Paste_Report_Here!$A$1,0,$A537,2000,1),J$75)</f>
        <v>1</v>
      </c>
      <c r="K537" s="181">
        <f ca="1">COUNTIFS(Paste_Report_Here!$E$1:$E$2000,E512, OFFSET(Paste_Report_Here!$A$1,0,$A537,2000,1),K$75)</f>
        <v>3</v>
      </c>
      <c r="L537" s="166">
        <f t="shared" ca="1" si="77"/>
        <v>33</v>
      </c>
      <c r="M537" s="183">
        <f ca="1">SUMPRODUCT(F537:K537,F516:K516)/L:L</f>
        <v>6.0606060606060606E-3</v>
      </c>
      <c r="N537" s="166">
        <f t="shared" ca="1" si="78"/>
        <v>1.0060790086917657</v>
      </c>
      <c r="O537" s="165">
        <f t="shared" ca="1" si="80"/>
        <v>1166.2133495232069</v>
      </c>
      <c r="P537" s="165">
        <f t="shared" ca="1" si="79"/>
        <v>1173.3027706114117</v>
      </c>
    </row>
    <row r="538" spans="1:16" s="165" customFormat="1" x14ac:dyDescent="0.3">
      <c r="A538" s="165">
        <f>MATCH(Calcs!B538,Paste_Report_Here!$1:$1,0) -1</f>
        <v>25</v>
      </c>
      <c r="B538" s="165" t="s">
        <v>141</v>
      </c>
      <c r="C538" s="166">
        <f ca="1">RANK(N538,N518:N542)</f>
        <v>10</v>
      </c>
      <c r="D538" s="166">
        <f ca="1">RANK(P538,P518:P542)</f>
        <v>22</v>
      </c>
      <c r="E538" s="189" t="s">
        <v>170</v>
      </c>
      <c r="F538" s="179">
        <f ca="1">COUNTIFS(Paste_Report_Here!$E$1:$E$2000,E512, OFFSET(Paste_Report_Here!$A$1,0,$A538,2000,1),F$75)</f>
        <v>0</v>
      </c>
      <c r="G538" s="180">
        <f ca="1">COUNTIFS(Paste_Report_Here!$E$1:$E$2000,E512, OFFSET(Paste_Report_Here!$A$1,0,$A538,2000,1),G$75)</f>
        <v>4</v>
      </c>
      <c r="H538" s="180">
        <f ca="1">COUNTIFS(Paste_Report_Here!$E$1:$E$2000,E512, OFFSET(Paste_Report_Here!$A$1,0,$A538,2000,1),H$75)</f>
        <v>24</v>
      </c>
      <c r="I538" s="180">
        <f ca="1">COUNTIFS(Paste_Report_Here!$E$1:$E$2000,E512, OFFSET(Paste_Report_Here!$A$1,0,$A538,2000,1),I$75)</f>
        <v>5</v>
      </c>
      <c r="J538" s="180">
        <f ca="1">COUNTIFS(Paste_Report_Here!$E$1:$E$2000,E512, OFFSET(Paste_Report_Here!$A$1,0,$A538,2000,1),J$75)</f>
        <v>0</v>
      </c>
      <c r="K538" s="181">
        <f ca="1">COUNTIFS(Paste_Report_Here!$E$1:$E$2000,E512, OFFSET(Paste_Report_Here!$A$1,0,$A538,2000,1),K$75)</f>
        <v>0</v>
      </c>
      <c r="L538" s="166">
        <f t="shared" ca="1" si="77"/>
        <v>33</v>
      </c>
      <c r="M538" s="183">
        <f ca="1">SUMPRODUCT(F538:K538,F516:K516)/L:L</f>
        <v>0</v>
      </c>
      <c r="N538" s="166">
        <f t="shared" ca="1" si="78"/>
        <v>1</v>
      </c>
      <c r="O538" s="165">
        <f t="shared" ca="1" si="80"/>
        <v>1387.661989146708</v>
      </c>
      <c r="P538" s="165">
        <f t="shared" ca="1" si="79"/>
        <v>1387.661989146708</v>
      </c>
    </row>
    <row r="539" spans="1:16" s="165" customFormat="1" x14ac:dyDescent="0.3">
      <c r="A539" s="165">
        <f>MATCH(Calcs!B539,Paste_Report_Here!$1:$1,0) -1</f>
        <v>26</v>
      </c>
      <c r="B539" s="165" t="s">
        <v>142</v>
      </c>
      <c r="C539" s="166">
        <f ca="1">RANK(N539,N518:N542)</f>
        <v>10</v>
      </c>
      <c r="D539" s="166">
        <f ca="1">RANK(P539,P518:P542)</f>
        <v>11</v>
      </c>
      <c r="E539" s="189" t="s">
        <v>171</v>
      </c>
      <c r="F539" s="179">
        <f ca="1">COUNTIFS(Paste_Report_Here!$E$1:$E$2000,E512, OFFSET(Paste_Report_Here!$A$1,0,$A539,2000,1),F$75)</f>
        <v>0</v>
      </c>
      <c r="G539" s="180">
        <f ca="1">COUNTIFS(Paste_Report_Here!$E$1:$E$2000,E512, OFFSET(Paste_Report_Here!$A$1,0,$A539,2000,1),G$75)</f>
        <v>2</v>
      </c>
      <c r="H539" s="180">
        <f ca="1">COUNTIFS(Paste_Report_Here!$E$1:$E$2000,E512, OFFSET(Paste_Report_Here!$A$1,0,$A539,2000,1),H$75)</f>
        <v>22</v>
      </c>
      <c r="I539" s="180">
        <f ca="1">COUNTIFS(Paste_Report_Here!$E$1:$E$2000,E512, OFFSET(Paste_Report_Here!$A$1,0,$A539,2000,1),I$75)</f>
        <v>9</v>
      </c>
      <c r="J539" s="180">
        <f ca="1">COUNTIFS(Paste_Report_Here!$E$1:$E$2000,E512, OFFSET(Paste_Report_Here!$A$1,0,$A539,2000,1),J$75)</f>
        <v>0</v>
      </c>
      <c r="K539" s="181">
        <f ca="1">COUNTIFS(Paste_Report_Here!$E$1:$E$2000,E512, OFFSET(Paste_Report_Here!$A$1,0,$A539,2000,1),K$75)</f>
        <v>0</v>
      </c>
      <c r="L539" s="166">
        <f t="shared" ca="1" si="77"/>
        <v>33</v>
      </c>
      <c r="M539" s="183">
        <f ca="1">SUMPRODUCT(F539:K539,F516:K516)/L:L</f>
        <v>0</v>
      </c>
      <c r="N539" s="166">
        <f t="shared" ca="1" si="78"/>
        <v>1</v>
      </c>
      <c r="O539" s="165">
        <f t="shared" ca="1" si="80"/>
        <v>2291.0187085636321</v>
      </c>
      <c r="P539" s="165">
        <f t="shared" ca="1" si="79"/>
        <v>2291.0187085636321</v>
      </c>
    </row>
    <row r="540" spans="1:16" s="165" customFormat="1" x14ac:dyDescent="0.3">
      <c r="A540" s="165">
        <f>MATCH(Calcs!B540,Paste_Report_Here!$1:$1,0) -1</f>
        <v>27</v>
      </c>
      <c r="B540" s="165" t="s">
        <v>210</v>
      </c>
      <c r="C540" s="166">
        <f ca="1">RANK(N540,N518:N542)</f>
        <v>24</v>
      </c>
      <c r="D540" s="166">
        <f ca="1">RANK(P540,P518:P542)</f>
        <v>25</v>
      </c>
      <c r="E540" s="202" t="s">
        <v>212</v>
      </c>
      <c r="F540" s="179">
        <f ca="1">COUNTIFS(Paste_Report_Here!$E$1:$E$2000,E512, OFFSET(Paste_Report_Here!$A$1,0,$A540,2000,1),F$75)</f>
        <v>1</v>
      </c>
      <c r="G540" s="180">
        <f ca="1">COUNTIFS(Paste_Report_Here!$E$1:$E$2000,E512, OFFSET(Paste_Report_Here!$A$1,0,$A540,2000,1),G$75)</f>
        <v>2</v>
      </c>
      <c r="H540" s="180">
        <f ca="1">COUNTIFS(Paste_Report_Here!$E$1:$E$2000,E512, OFFSET(Paste_Report_Here!$A$1,0,$A540,2000,1),H$75)</f>
        <v>27</v>
      </c>
      <c r="I540" s="180">
        <f ca="1">COUNTIFS(Paste_Report_Here!$E$1:$E$2000,E512, OFFSET(Paste_Report_Here!$A$1,0,$A540,2000,1),I$75)</f>
        <v>3</v>
      </c>
      <c r="J540" s="180">
        <f ca="1">COUNTIFS(Paste_Report_Here!$E$1:$E$2000,E512, OFFSET(Paste_Report_Here!$A$1,0,$A540,2000,1),J$75)</f>
        <v>0</v>
      </c>
      <c r="K540" s="181">
        <f ca="1">COUNTIFS(Paste_Report_Here!$E$1:$E$2000,E512, OFFSET(Paste_Report_Here!$A$1,0,$A540,2000,1),K$75)</f>
        <v>0</v>
      </c>
      <c r="L540" s="166">
        <f t="shared" ca="1" si="77"/>
        <v>33</v>
      </c>
      <c r="M540" s="183">
        <f ca="1">SUMPRODUCT(F540:K540,F516:K516)/L:L</f>
        <v>-6.0606060606060606E-3</v>
      </c>
      <c r="N540" s="166">
        <f t="shared" ca="1" si="78"/>
        <v>0.99395772236648638</v>
      </c>
      <c r="O540" s="165">
        <f t="shared" ca="1" si="80"/>
        <v>1158.1624939464391</v>
      </c>
      <c r="P540" s="165">
        <f t="shared" ca="1" si="79"/>
        <v>1151.1645546132922</v>
      </c>
    </row>
    <row r="541" spans="1:16" s="165" customFormat="1" x14ac:dyDescent="0.3">
      <c r="A541" s="165">
        <f>MATCH(Calcs!B541,Paste_Report_Here!$1:$1,0) -1</f>
        <v>28</v>
      </c>
      <c r="B541" s="165" t="s">
        <v>143</v>
      </c>
      <c r="C541" s="166">
        <f ca="1">RANK(N541,N519:N543)</f>
        <v>2</v>
      </c>
      <c r="D541" s="166">
        <f ca="1">RANK(P541,P518:P542)</f>
        <v>1</v>
      </c>
      <c r="E541" s="189" t="s">
        <v>172</v>
      </c>
      <c r="F541" s="179">
        <f ca="1">COUNTIFS(Paste_Report_Here!$E$1:$E$2000,E512, OFFSET(Paste_Report_Here!$A$1,0,$A541,2000,1),F$75)</f>
        <v>0</v>
      </c>
      <c r="G541" s="180">
        <f ca="1">COUNTIFS(Paste_Report_Here!$E$1:$E$2000,E512, OFFSET(Paste_Report_Here!$A$1,0,$A541,2000,1),G$75)</f>
        <v>2</v>
      </c>
      <c r="H541" s="180">
        <f ca="1">COUNTIFS(Paste_Report_Here!$E$1:$E$2000,E512, OFFSET(Paste_Report_Here!$A$1,0,$A541,2000,1),H$75)</f>
        <v>19</v>
      </c>
      <c r="I541" s="180">
        <f ca="1">COUNTIFS(Paste_Report_Here!$E$1:$E$2000,E512, OFFSET(Paste_Report_Here!$A$1,0,$A541,2000,1),I$75)</f>
        <v>11</v>
      </c>
      <c r="J541" s="180">
        <f ca="1">COUNTIFS(Paste_Report_Here!$E$1:$E$2000,E512, OFFSET(Paste_Report_Here!$A$1,0,$A541,2000,1),J$75)</f>
        <v>1</v>
      </c>
      <c r="K541" s="181">
        <f ca="1">COUNTIFS(Paste_Report_Here!$E$1:$E$2000,E512, OFFSET(Paste_Report_Here!$A$1,0,$A541,2000,1),K$75)</f>
        <v>0</v>
      </c>
      <c r="L541" s="166">
        <f t="shared" ca="1" si="77"/>
        <v>33</v>
      </c>
      <c r="M541" s="183">
        <f ca="1">SUMPRODUCT(F541:K541,F516:K516)/L:L</f>
        <v>6.0606060606060606E-3</v>
      </c>
      <c r="N541" s="166">
        <f t="shared" ca="1" si="78"/>
        <v>1.0060790086917657</v>
      </c>
      <c r="O541" s="165">
        <f t="shared" ca="1" si="80"/>
        <v>7490.5012042463259</v>
      </c>
      <c r="P541" s="165">
        <f t="shared" ca="1" si="79"/>
        <v>7536.036026172621</v>
      </c>
    </row>
    <row r="542" spans="1:16" s="165" customFormat="1" x14ac:dyDescent="0.3">
      <c r="A542" s="165">
        <f>MATCH(Calcs!B542,Paste_Report_Here!$1:$1,0) -1</f>
        <v>29</v>
      </c>
      <c r="B542" s="187" t="s">
        <v>144</v>
      </c>
      <c r="C542" s="147">
        <f ca="1">RANK(N542,N518:N542)</f>
        <v>10</v>
      </c>
      <c r="D542" s="147">
        <f ca="1">RANK(P542,P518:P542)</f>
        <v>12</v>
      </c>
      <c r="E542" s="145" t="s">
        <v>173</v>
      </c>
      <c r="F542" s="146">
        <f ca="1">COUNTIFS(Paste_Report_Here!$E$1:$E$2000,E512, OFFSET(Paste_Report_Here!$A$1,0,$A542,2000,1),F$75)</f>
        <v>0</v>
      </c>
      <c r="G542" s="147">
        <f ca="1">COUNTIFS(Paste_Report_Here!$E$1:$E$2000,E512, OFFSET(Paste_Report_Here!$A$1,0,$A542,2000,1),G$75)</f>
        <v>1</v>
      </c>
      <c r="H542" s="147">
        <f ca="1">COUNTIFS(Paste_Report_Here!$E$1:$E$2000,E512, OFFSET(Paste_Report_Here!$A$1,0,$A542,2000,1),H$75)</f>
        <v>24</v>
      </c>
      <c r="I542" s="147">
        <f ca="1">COUNTIFS(Paste_Report_Here!$E$1:$E$2000,E512, OFFSET(Paste_Report_Here!$A$1,0,$A542,2000,1),I$75)</f>
        <v>8</v>
      </c>
      <c r="J542" s="147">
        <f ca="1">COUNTIFS(Paste_Report_Here!$E$1:$E$2000,E512, OFFSET(Paste_Report_Here!$A$1,0,$A542,2000,1),J$75)</f>
        <v>0</v>
      </c>
      <c r="K542" s="148">
        <f ca="1">COUNTIFS(Paste_Report_Here!$E$1:$E$2000,E512, OFFSET(Paste_Report_Here!$A$1,0,$A542,2000,1),K$75)</f>
        <v>0</v>
      </c>
      <c r="L542" s="147">
        <f t="shared" ca="1" si="77"/>
        <v>33</v>
      </c>
      <c r="M542" s="149">
        <f ca="1">SUMPRODUCT(F542:K542,F516:K516)/L:L</f>
        <v>0</v>
      </c>
      <c r="N542" s="147">
        <f t="shared" ca="1" si="78"/>
        <v>1</v>
      </c>
      <c r="O542" s="187">
        <f t="shared" ca="1" si="80"/>
        <v>2272.9115771900224</v>
      </c>
      <c r="P542" s="165">
        <f t="shared" ca="1" si="79"/>
        <v>2272.9115771900224</v>
      </c>
    </row>
    <row r="543" spans="1:16" s="165" customFormat="1" x14ac:dyDescent="0.3">
      <c r="C543" s="166"/>
      <c r="E543" s="140" t="s">
        <v>293</v>
      </c>
      <c r="F543" s="180">
        <f ca="1">SUM(F518:F542)</f>
        <v>2</v>
      </c>
      <c r="G543" s="180">
        <f t="shared" ref="G543:L543" ca="1" si="81">SUM(G518:G542)</f>
        <v>32</v>
      </c>
      <c r="H543" s="180">
        <f t="shared" ca="1" si="81"/>
        <v>595</v>
      </c>
      <c r="I543" s="180">
        <f t="shared" ca="1" si="81"/>
        <v>181</v>
      </c>
      <c r="J543" s="180">
        <f t="shared" ca="1" si="81"/>
        <v>11</v>
      </c>
      <c r="K543" s="180">
        <f t="shared" ca="1" si="81"/>
        <v>4</v>
      </c>
      <c r="L543" s="180">
        <f t="shared" ca="1" si="81"/>
        <v>825</v>
      </c>
      <c r="M543" s="144">
        <f ca="1">SUMPRODUCT(F543:K543,F516:K516)/L543</f>
        <v>2.1818181818181823E-3</v>
      </c>
      <c r="N543" s="166">
        <f t="shared" ca="1" si="78"/>
        <v>1.0021842000790813</v>
      </c>
      <c r="O543" s="165">
        <f t="shared" ca="1" si="80"/>
        <v>2591.789028446618</v>
      </c>
      <c r="P543" s="165">
        <f t="shared" ca="1" si="79"/>
        <v>2597.4500142475131</v>
      </c>
    </row>
    <row r="544" spans="1:16" s="165" customFormat="1" x14ac:dyDescent="0.3">
      <c r="A544" s="194"/>
      <c r="B544" s="194"/>
      <c r="C544" s="153"/>
      <c r="D544" s="194"/>
      <c r="E544" s="164"/>
      <c r="F544" s="151"/>
      <c r="G544" s="151"/>
      <c r="H544" s="151"/>
      <c r="I544" s="151"/>
      <c r="J544" s="151"/>
      <c r="K544" s="151"/>
      <c r="L544" s="151"/>
      <c r="M544" s="162"/>
      <c r="N544" s="153"/>
      <c r="O544" s="194"/>
      <c r="P544" s="194"/>
    </row>
    <row r="545" spans="1:16" s="165" customFormat="1" x14ac:dyDescent="0.3">
      <c r="E545" s="173" t="s">
        <v>292</v>
      </c>
    </row>
    <row r="546" spans="1:16" s="165" customFormat="1" x14ac:dyDescent="0.3">
      <c r="E546" s="141">
        <v>41028</v>
      </c>
    </row>
    <row r="547" spans="1:16" s="165" customFormat="1" ht="15" thickBot="1" x14ac:dyDescent="0.35"/>
    <row r="548" spans="1:16" s="165" customFormat="1" ht="24.6" thickBot="1" x14ac:dyDescent="0.35">
      <c r="F548" s="174" t="s">
        <v>23</v>
      </c>
      <c r="G548" s="168" t="s">
        <v>18</v>
      </c>
      <c r="H548" s="168" t="s">
        <v>16</v>
      </c>
      <c r="I548" s="168" t="s">
        <v>17</v>
      </c>
      <c r="J548" s="168" t="s">
        <v>19</v>
      </c>
      <c r="K548" s="169" t="s">
        <v>114</v>
      </c>
    </row>
    <row r="549" spans="1:16" s="165" customFormat="1" x14ac:dyDescent="0.3">
      <c r="F549" s="267" t="s">
        <v>201</v>
      </c>
      <c r="G549" s="268"/>
      <c r="H549" s="268"/>
      <c r="I549" s="268"/>
      <c r="J549" s="268"/>
      <c r="K549" s="169"/>
      <c r="M549" s="203">
        <f ca="1">(H577+K577)/L577</f>
        <v>0.67771428571428571</v>
      </c>
      <c r="N549" s="204" t="s">
        <v>501</v>
      </c>
    </row>
    <row r="550" spans="1:16" s="165" customFormat="1" ht="43.8" thickBot="1" x14ac:dyDescent="0.35">
      <c r="A550" s="142" t="s">
        <v>294</v>
      </c>
      <c r="B550" s="142" t="s">
        <v>295</v>
      </c>
      <c r="C550" s="197" t="s">
        <v>440</v>
      </c>
      <c r="D550" s="142" t="s">
        <v>441</v>
      </c>
      <c r="E550" s="171" t="s">
        <v>30</v>
      </c>
      <c r="F550" s="175">
        <f>Falling_fast</f>
        <v>-0.2</v>
      </c>
      <c r="G550" s="176">
        <f>Falling</f>
        <v>0</v>
      </c>
      <c r="H550" s="177">
        <f>Static</f>
        <v>0</v>
      </c>
      <c r="I550" s="176">
        <f>Rising</f>
        <v>0</v>
      </c>
      <c r="J550" s="178">
        <f>Rising_fast</f>
        <v>0.2</v>
      </c>
      <c r="K550" s="182">
        <v>0</v>
      </c>
      <c r="L550" s="171" t="s">
        <v>28</v>
      </c>
      <c r="M550" s="172" t="s">
        <v>29</v>
      </c>
      <c r="N550" s="143" t="s">
        <v>296</v>
      </c>
      <c r="O550" s="142" t="s">
        <v>297</v>
      </c>
      <c r="P550" s="142" t="s">
        <v>298</v>
      </c>
    </row>
    <row r="551" spans="1:16" s="165" customFormat="1" x14ac:dyDescent="0.3">
      <c r="C551" s="166"/>
      <c r="E551" s="192"/>
      <c r="F551" s="198" t="s">
        <v>151</v>
      </c>
      <c r="G551" s="199" t="s">
        <v>149</v>
      </c>
      <c r="H551" s="199" t="s">
        <v>16</v>
      </c>
      <c r="I551" s="199" t="s">
        <v>148</v>
      </c>
      <c r="J551" s="199" t="s">
        <v>150</v>
      </c>
      <c r="K551" s="200" t="s">
        <v>114</v>
      </c>
      <c r="L551" s="166"/>
      <c r="M551" s="170"/>
      <c r="N551" s="166"/>
    </row>
    <row r="552" spans="1:16" s="165" customFormat="1" x14ac:dyDescent="0.3">
      <c r="A552" s="165">
        <f>MATCH(Calcs!B552,Paste_Report_Here!$1:$1,0) -1</f>
        <v>5</v>
      </c>
      <c r="B552" s="165" t="s">
        <v>124</v>
      </c>
      <c r="C552" s="166">
        <f ca="1">RANK(N552,N552:N576)</f>
        <v>12</v>
      </c>
      <c r="D552" s="166">
        <f ca="1">RANK(P552,P552:P576)</f>
        <v>16</v>
      </c>
      <c r="E552" s="189" t="s">
        <v>152</v>
      </c>
      <c r="F552" s="179">
        <f ca="1">COUNTIFS(Paste_Report_Here!$E$1:$E$2000,E546, OFFSET(Paste_Report_Here!$A$1,0,$A552,2000,1),F$75)</f>
        <v>1</v>
      </c>
      <c r="G552" s="180">
        <f ca="1">COUNTIFS(Paste_Report_Here!$E$1:$E$2000,E546, OFFSET(Paste_Report_Here!$A$1,0,$A552,2000,1),G$75)</f>
        <v>1</v>
      </c>
      <c r="H552" s="180">
        <f ca="1">COUNTIFS(Paste_Report_Here!$E$1:$E$2000,E546, OFFSET(Paste_Report_Here!$A$1,0,$A552,2000,1),H$75)</f>
        <v>27</v>
      </c>
      <c r="I552" s="180">
        <f ca="1">COUNTIFS(Paste_Report_Here!$E$1:$E$2000,E546, OFFSET(Paste_Report_Here!$A$1,0,$A552,2000,1),I$75)</f>
        <v>5</v>
      </c>
      <c r="J552" s="180">
        <f ca="1">COUNTIFS(Paste_Report_Here!$E$1:$E$2000,E546, OFFSET(Paste_Report_Here!$A$1,0,$A552,2000,1),J$75)</f>
        <v>1</v>
      </c>
      <c r="K552" s="181">
        <f ca="1">COUNTIFS(Paste_Report_Here!$E$1:$E$2000,E546, OFFSET(Paste_Report_Here!$A$1,0,$A552,2000,1),K$75)</f>
        <v>0</v>
      </c>
      <c r="L552" s="166">
        <f t="shared" ref="L552:L576" ca="1" si="82">SUM(F552:K552)</f>
        <v>35</v>
      </c>
      <c r="M552" s="183">
        <f ca="1">SUMPRODUCT(F552:K552,F550:K550)/L:L</f>
        <v>0</v>
      </c>
      <c r="N552" s="166">
        <f t="shared" ref="N552:N577" ca="1" si="83">EXP(M552)</f>
        <v>1</v>
      </c>
      <c r="O552" s="165">
        <f ca="1">P518</f>
        <v>2087.9102825847767</v>
      </c>
      <c r="P552" s="165">
        <f t="shared" ref="P552:P577" ca="1" si="84">O552*N552</f>
        <v>2087.9102825847767</v>
      </c>
    </row>
    <row r="553" spans="1:16" s="165" customFormat="1" x14ac:dyDescent="0.3">
      <c r="A553" s="165">
        <f>MATCH(Calcs!B553,Paste_Report_Here!$1:$1,0) -1</f>
        <v>6</v>
      </c>
      <c r="B553" s="165" t="s">
        <v>125</v>
      </c>
      <c r="C553" s="166">
        <f ca="1">RANK(N553,N552:N576)</f>
        <v>5</v>
      </c>
      <c r="D553" s="166">
        <f ca="1">RANK(P553,P552:P576)</f>
        <v>13</v>
      </c>
      <c r="E553" s="189" t="s">
        <v>153</v>
      </c>
      <c r="F553" s="179">
        <f ca="1">COUNTIFS(Paste_Report_Here!$E$1:$E$2000,E546, OFFSET(Paste_Report_Here!$A$1,0,$A553,2000,1),F$75)</f>
        <v>0</v>
      </c>
      <c r="G553" s="180">
        <f ca="1">COUNTIFS(Paste_Report_Here!$E$1:$E$2000,E546, OFFSET(Paste_Report_Here!$A$1,0,$A553,2000,1),G$75)</f>
        <v>4</v>
      </c>
      <c r="H553" s="180">
        <f ca="1">COUNTIFS(Paste_Report_Here!$E$1:$E$2000,E546, OFFSET(Paste_Report_Here!$A$1,0,$A553,2000,1),H$75)</f>
        <v>24</v>
      </c>
      <c r="I553" s="180">
        <f ca="1">COUNTIFS(Paste_Report_Here!$E$1:$E$2000,E546, OFFSET(Paste_Report_Here!$A$1,0,$A553,2000,1),I$75)</f>
        <v>6</v>
      </c>
      <c r="J553" s="180">
        <f ca="1">COUNTIFS(Paste_Report_Here!$E$1:$E$2000,E546, OFFSET(Paste_Report_Here!$A$1,0,$A553,2000,1),J$75)</f>
        <v>1</v>
      </c>
      <c r="K553" s="181">
        <f ca="1">COUNTIFS(Paste_Report_Here!$E$1:$E$2000,E546, OFFSET(Paste_Report_Here!$A$1,0,$A553,2000,1),K$75)</f>
        <v>0</v>
      </c>
      <c r="L553" s="166">
        <f t="shared" ca="1" si="82"/>
        <v>35</v>
      </c>
      <c r="M553" s="183">
        <f ca="1">SUMPRODUCT(F553:K553,F550:K550)/L:L</f>
        <v>5.7142857142857143E-3</v>
      </c>
      <c r="N553" s="166">
        <f t="shared" ca="1" si="83"/>
        <v>1.0057306433875282</v>
      </c>
      <c r="O553" s="165">
        <f t="shared" ref="O553:O577" ca="1" si="85">P519</f>
        <v>2223.9676034778731</v>
      </c>
      <c r="P553" s="165">
        <f t="shared" ca="1" si="84"/>
        <v>2236.7123687188205</v>
      </c>
    </row>
    <row r="554" spans="1:16" s="165" customFormat="1" x14ac:dyDescent="0.3">
      <c r="A554" s="165">
        <f>MATCH(Calcs!B554,Paste_Report_Here!$1:$1,0) -1</f>
        <v>7</v>
      </c>
      <c r="B554" s="165" t="s">
        <v>126</v>
      </c>
      <c r="C554" s="166">
        <f ca="1">RANK(N554,N552:N576)</f>
        <v>4</v>
      </c>
      <c r="D554" s="166">
        <f ca="1">RANK(P554,P552:P576)</f>
        <v>6</v>
      </c>
      <c r="E554" s="189" t="s">
        <v>154</v>
      </c>
      <c r="F554" s="179">
        <f ca="1">COUNTIFS(Paste_Report_Here!$E$1:$E$2000,E546, OFFSET(Paste_Report_Here!$A$1,0,$A554,2000,1),F$75)</f>
        <v>0</v>
      </c>
      <c r="G554" s="180">
        <f ca="1">COUNTIFS(Paste_Report_Here!$E$1:$E$2000,E546, OFFSET(Paste_Report_Here!$A$1,0,$A554,2000,1),G$75)</f>
        <v>3</v>
      </c>
      <c r="H554" s="180">
        <f ca="1">COUNTIFS(Paste_Report_Here!$E$1:$E$2000,E546, OFFSET(Paste_Report_Here!$A$1,0,$A554,2000,1),H$75)</f>
        <v>26</v>
      </c>
      <c r="I554" s="180">
        <f ca="1">COUNTIFS(Paste_Report_Here!$E$1:$E$2000,E546, OFFSET(Paste_Report_Here!$A$1,0,$A554,2000,1),I$75)</f>
        <v>4</v>
      </c>
      <c r="J554" s="180">
        <f ca="1">COUNTIFS(Paste_Report_Here!$E$1:$E$2000,E546, OFFSET(Paste_Report_Here!$A$1,0,$A554,2000,1),J$75)</f>
        <v>2</v>
      </c>
      <c r="K554" s="181">
        <f ca="1">COUNTIFS(Paste_Report_Here!$E$1:$E$2000,E546, OFFSET(Paste_Report_Here!$A$1,0,$A554,2000,1),K$75)</f>
        <v>0</v>
      </c>
      <c r="L554" s="166">
        <f t="shared" ca="1" si="82"/>
        <v>35</v>
      </c>
      <c r="M554" s="183">
        <f ca="1">SUMPRODUCT(F554:K554,F550:K550)/L:L</f>
        <v>1.1428571428571429E-2</v>
      </c>
      <c r="N554" s="166">
        <f t="shared" ca="1" si="83"/>
        <v>1.0114941270486915</v>
      </c>
      <c r="O554" s="165">
        <f t="shared" ca="1" si="85"/>
        <v>2843.1887075278792</v>
      </c>
      <c r="P554" s="165">
        <f t="shared" ca="1" si="84"/>
        <v>2875.8686797556093</v>
      </c>
    </row>
    <row r="555" spans="1:16" s="165" customFormat="1" x14ac:dyDescent="0.3">
      <c r="A555" s="165">
        <f>MATCH(Calcs!B555,Paste_Report_Here!$1:$1,0) -1</f>
        <v>8</v>
      </c>
      <c r="B555" s="165" t="s">
        <v>127</v>
      </c>
      <c r="C555" s="166">
        <f ca="1">RANK(N555,N552:N576)</f>
        <v>3</v>
      </c>
      <c r="D555" s="166">
        <f ca="1">RANK(P555,P552:P576)</f>
        <v>8</v>
      </c>
      <c r="E555" s="189" t="s">
        <v>155</v>
      </c>
      <c r="F555" s="179">
        <f ca="1">COUNTIFS(Paste_Report_Here!$E$1:$E$2000,E546, OFFSET(Paste_Report_Here!$A$1,0,$A555,2000,1),F$75)</f>
        <v>0</v>
      </c>
      <c r="G555" s="180">
        <f ca="1">COUNTIFS(Paste_Report_Here!$E$1:$E$2000,E546, OFFSET(Paste_Report_Here!$A$1,0,$A555,2000,1),G$75)</f>
        <v>2</v>
      </c>
      <c r="H555" s="180">
        <f ca="1">COUNTIFS(Paste_Report_Here!$E$1:$E$2000,E546, OFFSET(Paste_Report_Here!$A$1,0,$A555,2000,1),H$75)</f>
        <v>19</v>
      </c>
      <c r="I555" s="180">
        <f ca="1">COUNTIFS(Paste_Report_Here!$E$1:$E$2000,E546, OFFSET(Paste_Report_Here!$A$1,0,$A555,2000,1),I$75)</f>
        <v>11</v>
      </c>
      <c r="J555" s="180">
        <f ca="1">COUNTIFS(Paste_Report_Here!$E$1:$E$2000,E546, OFFSET(Paste_Report_Here!$A$1,0,$A555,2000,1),J$75)</f>
        <v>3</v>
      </c>
      <c r="K555" s="181">
        <f ca="1">COUNTIFS(Paste_Report_Here!$E$1:$E$2000,E546, OFFSET(Paste_Report_Here!$A$1,0,$A555,2000,1),K$75)</f>
        <v>0</v>
      </c>
      <c r="L555" s="166">
        <f t="shared" ca="1" si="82"/>
        <v>35</v>
      </c>
      <c r="M555" s="183">
        <f ca="1">SUMPRODUCT(F555:K555,F550:K550)/L:L</f>
        <v>1.7142857142857144E-2</v>
      </c>
      <c r="N555" s="166">
        <f t="shared" ca="1" si="83"/>
        <v>1.0172906391793868</v>
      </c>
      <c r="O555" s="165">
        <f t="shared" ca="1" si="85"/>
        <v>2564.746845350568</v>
      </c>
      <c r="P555" s="165">
        <f t="shared" ca="1" si="84"/>
        <v>2609.0929576399953</v>
      </c>
    </row>
    <row r="556" spans="1:16" s="165" customFormat="1" x14ac:dyDescent="0.3">
      <c r="A556" s="165">
        <f>MATCH(Calcs!B556,Paste_Report_Here!$1:$1,0) -1</f>
        <v>9</v>
      </c>
      <c r="B556" s="165" t="s">
        <v>214</v>
      </c>
      <c r="C556" s="166">
        <f ca="1">RANK(N556,N552:N576)</f>
        <v>5</v>
      </c>
      <c r="D556" s="166">
        <f ca="1">RANK(P556,P552:P576)</f>
        <v>5</v>
      </c>
      <c r="E556" s="189" t="s">
        <v>156</v>
      </c>
      <c r="F556" s="179">
        <f ca="1">COUNTIFS(Paste_Report_Here!$E$1:$E$2000,E546, OFFSET(Paste_Report_Here!$A$1,0,$A556,2000,1),F$75)</f>
        <v>0</v>
      </c>
      <c r="G556" s="180">
        <f ca="1">COUNTIFS(Paste_Report_Here!$E$1:$E$2000,E546, OFFSET(Paste_Report_Here!$A$1,0,$A556,2000,1),G$75)</f>
        <v>1</v>
      </c>
      <c r="H556" s="180">
        <f ca="1">COUNTIFS(Paste_Report_Here!$E$1:$E$2000,E546, OFFSET(Paste_Report_Here!$A$1,0,$A556,2000,1),H$75)</f>
        <v>28</v>
      </c>
      <c r="I556" s="180">
        <f ca="1">COUNTIFS(Paste_Report_Here!$E$1:$E$2000,E546, OFFSET(Paste_Report_Here!$A$1,0,$A556,2000,1),I$75)</f>
        <v>5</v>
      </c>
      <c r="J556" s="180">
        <f ca="1">COUNTIFS(Paste_Report_Here!$E$1:$E$2000,E546, OFFSET(Paste_Report_Here!$A$1,0,$A556,2000,1),J$75)</f>
        <v>1</v>
      </c>
      <c r="K556" s="181">
        <f ca="1">COUNTIFS(Paste_Report_Here!$E$1:$E$2000,E546, OFFSET(Paste_Report_Here!$A$1,0,$A556,2000,1),K$75)</f>
        <v>0</v>
      </c>
      <c r="L556" s="166">
        <f t="shared" ca="1" si="82"/>
        <v>35</v>
      </c>
      <c r="M556" s="183">
        <f ca="1">SUMPRODUCT(F556:K556,F550:K550)/L:L</f>
        <v>5.7142857142857143E-3</v>
      </c>
      <c r="N556" s="166">
        <f t="shared" ca="1" si="83"/>
        <v>1.0057306433875282</v>
      </c>
      <c r="O556" s="165">
        <f t="shared" ca="1" si="85"/>
        <v>3455.5553129788896</v>
      </c>
      <c r="P556" s="165">
        <f t="shared" ca="1" si="84"/>
        <v>3475.3578681834497</v>
      </c>
    </row>
    <row r="557" spans="1:16" s="165" customFormat="1" x14ac:dyDescent="0.3">
      <c r="A557" s="165">
        <f>MATCH(Calcs!B557,Paste_Report_Here!$1:$1,0) -1</f>
        <v>10</v>
      </c>
      <c r="B557" s="165" t="s">
        <v>128</v>
      </c>
      <c r="C557" s="166">
        <f ca="1">RANK(N557,N552:N576)</f>
        <v>23</v>
      </c>
      <c r="D557" s="166">
        <f ca="1">RANK(P557,P552:P576)</f>
        <v>21</v>
      </c>
      <c r="E557" s="189" t="s">
        <v>157</v>
      </c>
      <c r="F557" s="179">
        <f ca="1">COUNTIFS(Paste_Report_Here!$E$1:$E$2000,E546, OFFSET(Paste_Report_Here!$A$1,0,$A557,2000,1),F$75)</f>
        <v>1</v>
      </c>
      <c r="G557" s="180">
        <f ca="1">COUNTIFS(Paste_Report_Here!$E$1:$E$2000,E546, OFFSET(Paste_Report_Here!$A$1,0,$A557,2000,1),G$75)</f>
        <v>2</v>
      </c>
      <c r="H557" s="180">
        <f ca="1">COUNTIFS(Paste_Report_Here!$E$1:$E$2000,E546, OFFSET(Paste_Report_Here!$A$1,0,$A557,2000,1),H$75)</f>
        <v>25</v>
      </c>
      <c r="I557" s="180">
        <f ca="1">COUNTIFS(Paste_Report_Here!$E$1:$E$2000,E546, OFFSET(Paste_Report_Here!$A$1,0,$A557,2000,1),I$75)</f>
        <v>7</v>
      </c>
      <c r="J557" s="180">
        <f ca="1">COUNTIFS(Paste_Report_Here!$E$1:$E$2000,E546, OFFSET(Paste_Report_Here!$A$1,0,$A557,2000,1),J$75)</f>
        <v>0</v>
      </c>
      <c r="K557" s="181">
        <f ca="1">COUNTIFS(Paste_Report_Here!$E$1:$E$2000,E546, OFFSET(Paste_Report_Here!$A$1,0,$A557,2000,1),K$75)</f>
        <v>0</v>
      </c>
      <c r="L557" s="166">
        <f t="shared" ca="1" si="82"/>
        <v>35</v>
      </c>
      <c r="M557" s="183">
        <f ca="1">SUMPRODUCT(F557:K557,F550:K550)/L:L</f>
        <v>-5.7142857142857143E-3</v>
      </c>
      <c r="N557" s="166">
        <f t="shared" ca="1" si="83"/>
        <v>0.99430200976254823</v>
      </c>
      <c r="O557" s="165">
        <f t="shared" ca="1" si="85"/>
        <v>1629.2813687772227</v>
      </c>
      <c r="P557" s="165">
        <f t="shared" ca="1" si="84"/>
        <v>1619.9977394438681</v>
      </c>
    </row>
    <row r="558" spans="1:16" s="165" customFormat="1" x14ac:dyDescent="0.3">
      <c r="A558" s="165">
        <f>MATCH(Calcs!B558,Paste_Report_Here!$1:$1,0) -1</f>
        <v>11</v>
      </c>
      <c r="B558" s="165" t="s">
        <v>129</v>
      </c>
      <c r="C558" s="166">
        <f ca="1">RANK(N558,N552:N576)</f>
        <v>23</v>
      </c>
      <c r="D558" s="166">
        <f ca="1">RANK(P558,P552:P576)</f>
        <v>9</v>
      </c>
      <c r="E558" s="189" t="s">
        <v>158</v>
      </c>
      <c r="F558" s="179">
        <f ca="1">COUNTIFS(Paste_Report_Here!$E$1:$E$2000,E546, OFFSET(Paste_Report_Here!$A$1,0,$A558,2000,1),F$75)</f>
        <v>1</v>
      </c>
      <c r="G558" s="180">
        <f ca="1">COUNTIFS(Paste_Report_Here!$E$1:$E$2000,E546, OFFSET(Paste_Report_Here!$A$1,0,$A558,2000,1),G$75)</f>
        <v>0</v>
      </c>
      <c r="H558" s="180">
        <f ca="1">COUNTIFS(Paste_Report_Here!$E$1:$E$2000,E546, OFFSET(Paste_Report_Here!$A$1,0,$A558,2000,1),H$75)</f>
        <v>26</v>
      </c>
      <c r="I558" s="180">
        <f ca="1">COUNTIFS(Paste_Report_Here!$E$1:$E$2000,E546, OFFSET(Paste_Report_Here!$A$1,0,$A558,2000,1),I$75)</f>
        <v>8</v>
      </c>
      <c r="J558" s="180">
        <f ca="1">COUNTIFS(Paste_Report_Here!$E$1:$E$2000,E546, OFFSET(Paste_Report_Here!$A$1,0,$A558,2000,1),J$75)</f>
        <v>0</v>
      </c>
      <c r="K558" s="181">
        <f ca="1">COUNTIFS(Paste_Report_Here!$E$1:$E$2000,E546, OFFSET(Paste_Report_Here!$A$1,0,$A558,2000,1),K$75)</f>
        <v>0</v>
      </c>
      <c r="L558" s="166">
        <f t="shared" ca="1" si="82"/>
        <v>35</v>
      </c>
      <c r="M558" s="183">
        <f ca="1">SUMPRODUCT(F558:K558,F550:K550)/L:L</f>
        <v>-5.7142857142857143E-3</v>
      </c>
      <c r="N558" s="166">
        <f t="shared" ca="1" si="83"/>
        <v>0.99430200976254823</v>
      </c>
      <c r="O558" s="165">
        <f t="shared" ca="1" si="85"/>
        <v>2540.6419423254629</v>
      </c>
      <c r="P558" s="165">
        <f t="shared" ca="1" si="84"/>
        <v>2526.1653893412317</v>
      </c>
    </row>
    <row r="559" spans="1:16" s="165" customFormat="1" x14ac:dyDescent="0.3">
      <c r="A559" s="165">
        <f>MATCH(Calcs!B559,Paste_Report_Here!$1:$1,0) -1</f>
        <v>12</v>
      </c>
      <c r="B559" s="165" t="s">
        <v>130</v>
      </c>
      <c r="C559" s="166">
        <f ca="1">RANK(N559,N552:N576)</f>
        <v>12</v>
      </c>
      <c r="D559" s="166">
        <f ca="1">RANK(P559,P552:P576)</f>
        <v>10</v>
      </c>
      <c r="E559" s="189" t="s">
        <v>159</v>
      </c>
      <c r="F559" s="179">
        <f ca="1">COUNTIFS(Paste_Report_Here!$E$1:$E$2000,E546, OFFSET(Paste_Report_Here!$A$1,0,$A559,2000,1),F$75)</f>
        <v>0</v>
      </c>
      <c r="G559" s="180">
        <f ca="1">COUNTIFS(Paste_Report_Here!$E$1:$E$2000,E546, OFFSET(Paste_Report_Here!$A$1,0,$A559,2000,1),G$75)</f>
        <v>3</v>
      </c>
      <c r="H559" s="180">
        <f ca="1">COUNTIFS(Paste_Report_Here!$E$1:$E$2000,E546, OFFSET(Paste_Report_Here!$A$1,0,$A559,2000,1),H$75)</f>
        <v>25</v>
      </c>
      <c r="I559" s="180">
        <f ca="1">COUNTIFS(Paste_Report_Here!$E$1:$E$2000,E546, OFFSET(Paste_Report_Here!$A$1,0,$A559,2000,1),I$75)</f>
        <v>7</v>
      </c>
      <c r="J559" s="180">
        <f ca="1">COUNTIFS(Paste_Report_Here!$E$1:$E$2000,E546, OFFSET(Paste_Report_Here!$A$1,0,$A559,2000,1),J$75)</f>
        <v>0</v>
      </c>
      <c r="K559" s="181">
        <f ca="1">COUNTIFS(Paste_Report_Here!$E$1:$E$2000,E546, OFFSET(Paste_Report_Here!$A$1,0,$A559,2000,1),K$75)</f>
        <v>0</v>
      </c>
      <c r="L559" s="166">
        <f t="shared" ca="1" si="82"/>
        <v>35</v>
      </c>
      <c r="M559" s="183">
        <f ca="1">SUMPRODUCT(F559:K559,F550:K550)/L:L</f>
        <v>0</v>
      </c>
      <c r="N559" s="166">
        <f t="shared" ca="1" si="83"/>
        <v>1</v>
      </c>
      <c r="O559" s="165">
        <f t="shared" ca="1" si="85"/>
        <v>2323.6797506358766</v>
      </c>
      <c r="P559" s="165">
        <f t="shared" ca="1" si="84"/>
        <v>2323.6797506358766</v>
      </c>
    </row>
    <row r="560" spans="1:16" s="165" customFormat="1" x14ac:dyDescent="0.3">
      <c r="A560" s="165">
        <f>MATCH(Calcs!B560,Paste_Report_Here!$1:$1,0) -1</f>
        <v>13</v>
      </c>
      <c r="B560" s="165" t="s">
        <v>131</v>
      </c>
      <c r="C560" s="166">
        <f ca="1">RANK(N560,N552:N576)</f>
        <v>1</v>
      </c>
      <c r="D560" s="166">
        <f ca="1">RANK(P560,P552:P576)</f>
        <v>2</v>
      </c>
      <c r="E560" s="189" t="s">
        <v>160</v>
      </c>
      <c r="F560" s="179">
        <f ca="1">COUNTIFS(Paste_Report_Here!$E$1:$E$2000,E546, OFFSET(Paste_Report_Here!$A$1,0,$A560,2000,1),F$75)</f>
        <v>0</v>
      </c>
      <c r="G560" s="180">
        <f ca="1">COUNTIFS(Paste_Report_Here!$E$1:$E$2000,E546, OFFSET(Paste_Report_Here!$A$1,0,$A560,2000,1),G$75)</f>
        <v>1</v>
      </c>
      <c r="H560" s="180">
        <f ca="1">COUNTIFS(Paste_Report_Here!$E$1:$E$2000,E546, OFFSET(Paste_Report_Here!$A$1,0,$A560,2000,1),H$75)</f>
        <v>14</v>
      </c>
      <c r="I560" s="180">
        <f ca="1">COUNTIFS(Paste_Report_Here!$E$1:$E$2000,E546, OFFSET(Paste_Report_Here!$A$1,0,$A560,2000,1),I$75)</f>
        <v>16</v>
      </c>
      <c r="J560" s="180">
        <f ca="1">COUNTIFS(Paste_Report_Here!$E$1:$E$2000,E546, OFFSET(Paste_Report_Here!$A$1,0,$A560,2000,1),J$75)</f>
        <v>4</v>
      </c>
      <c r="K560" s="181">
        <f ca="1">COUNTIFS(Paste_Report_Here!$E$1:$E$2000,E546, OFFSET(Paste_Report_Here!$A$1,0,$A560,2000,1),K$75)</f>
        <v>0</v>
      </c>
      <c r="L560" s="166">
        <f t="shared" ca="1" si="82"/>
        <v>35</v>
      </c>
      <c r="M560" s="183">
        <f ca="1">SUMPRODUCT(F560:K560,F550:K550)/L:L</f>
        <v>2.2857142857142857E-2</v>
      </c>
      <c r="N560" s="166">
        <f t="shared" ca="1" si="83"/>
        <v>1.0231203690539945</v>
      </c>
      <c r="O560" s="165">
        <f t="shared" ca="1" si="85"/>
        <v>3705.7930191984897</v>
      </c>
      <c r="P560" s="165">
        <f t="shared" ca="1" si="84"/>
        <v>3791.4723214400751</v>
      </c>
    </row>
    <row r="561" spans="1:16" s="165" customFormat="1" x14ac:dyDescent="0.3">
      <c r="A561" s="165">
        <f>MATCH(Calcs!B561,Paste_Report_Here!$1:$1,0) -1</f>
        <v>14</v>
      </c>
      <c r="B561" s="165" t="s">
        <v>132</v>
      </c>
      <c r="C561" s="166">
        <f ca="1">RANK(N561,N552:N576)</f>
        <v>1</v>
      </c>
      <c r="D561" s="166">
        <f ca="1">RANK(P561,P552:P576)</f>
        <v>19</v>
      </c>
      <c r="E561" s="189" t="s">
        <v>161</v>
      </c>
      <c r="F561" s="179">
        <f ca="1">COUNTIFS(Paste_Report_Here!$E$1:$E$2000,E546, OFFSET(Paste_Report_Here!$A$1,0,$A561,2000,1),F$75)</f>
        <v>0</v>
      </c>
      <c r="G561" s="180">
        <f ca="1">COUNTIFS(Paste_Report_Here!$E$1:$E$2000,E546, OFFSET(Paste_Report_Here!$A$1,0,$A561,2000,1),G$75)</f>
        <v>2</v>
      </c>
      <c r="H561" s="180">
        <f ca="1">COUNTIFS(Paste_Report_Here!$E$1:$E$2000,E546, OFFSET(Paste_Report_Here!$A$1,0,$A561,2000,1),H$75)</f>
        <v>18</v>
      </c>
      <c r="I561" s="180">
        <f ca="1">COUNTIFS(Paste_Report_Here!$E$1:$E$2000,E546, OFFSET(Paste_Report_Here!$A$1,0,$A561,2000,1),I$75)</f>
        <v>11</v>
      </c>
      <c r="J561" s="180">
        <f ca="1">COUNTIFS(Paste_Report_Here!$E$1:$E$2000,E546, OFFSET(Paste_Report_Here!$A$1,0,$A561,2000,1),J$75)</f>
        <v>4</v>
      </c>
      <c r="K561" s="181">
        <f ca="1">COUNTIFS(Paste_Report_Here!$E$1:$E$2000,E546, OFFSET(Paste_Report_Here!$A$1,0,$A561,2000,1),K$75)</f>
        <v>0</v>
      </c>
      <c r="L561" s="166">
        <f t="shared" ca="1" si="82"/>
        <v>35</v>
      </c>
      <c r="M561" s="183">
        <f ca="1">SUMPRODUCT(F561:K561,F550:K550)/L:L</f>
        <v>2.2857142857142857E-2</v>
      </c>
      <c r="N561" s="166">
        <f t="shared" ca="1" si="83"/>
        <v>1.0231203690539945</v>
      </c>
      <c r="O561" s="165">
        <f t="shared" ca="1" si="85"/>
        <v>1934.4102989295495</v>
      </c>
      <c r="P561" s="165">
        <f t="shared" ca="1" si="84"/>
        <v>1979.1345789426484</v>
      </c>
    </row>
    <row r="562" spans="1:16" s="165" customFormat="1" x14ac:dyDescent="0.3">
      <c r="A562" s="165">
        <f>MATCH(Calcs!B562,Paste_Report_Here!$1:$1,0) -1</f>
        <v>15</v>
      </c>
      <c r="B562" s="165" t="s">
        <v>133</v>
      </c>
      <c r="C562" s="166">
        <f ca="1">RANK(N562,N551:N575)</f>
        <v>5</v>
      </c>
      <c r="D562" s="166">
        <f ca="1">RANK(P562,P552:P576)</f>
        <v>7</v>
      </c>
      <c r="E562" s="189" t="s">
        <v>162</v>
      </c>
      <c r="F562" s="179">
        <f ca="1">COUNTIFS(Paste_Report_Here!$E$1:$E$2000,E546, OFFSET(Paste_Report_Here!$A$1,0,$A562,2000,1),F$75)</f>
        <v>0</v>
      </c>
      <c r="G562" s="180">
        <f ca="1">COUNTIFS(Paste_Report_Here!$E$1:$E$2000,E546, OFFSET(Paste_Report_Here!$A$1,0,$A562,2000,1),G$75)</f>
        <v>0</v>
      </c>
      <c r="H562" s="180">
        <f ca="1">COUNTIFS(Paste_Report_Here!$E$1:$E$2000,E546, OFFSET(Paste_Report_Here!$A$1,0,$A562,2000,1),H$75)</f>
        <v>20</v>
      </c>
      <c r="I562" s="180">
        <f ca="1">COUNTIFS(Paste_Report_Here!$E$1:$E$2000,E546, OFFSET(Paste_Report_Here!$A$1,0,$A562,2000,1),I$75)</f>
        <v>14</v>
      </c>
      <c r="J562" s="180">
        <f ca="1">COUNTIFS(Paste_Report_Here!$E$1:$E$2000,E546, OFFSET(Paste_Report_Here!$A$1,0,$A562,2000,1),J$75)</f>
        <v>1</v>
      </c>
      <c r="K562" s="181">
        <f ca="1">COUNTIFS(Paste_Report_Here!$E$1:$E$2000,E546, OFFSET(Paste_Report_Here!$A$1,0,$A562,2000,1),K$75)</f>
        <v>0</v>
      </c>
      <c r="L562" s="166">
        <f t="shared" ca="1" si="82"/>
        <v>35</v>
      </c>
      <c r="M562" s="183">
        <f ca="1">SUMPRODUCT(F562:K562,F550:K550)/L:L</f>
        <v>5.7142857142857143E-3</v>
      </c>
      <c r="N562" s="166">
        <f t="shared" ca="1" si="83"/>
        <v>1.0057306433875282</v>
      </c>
      <c r="O562" s="165">
        <f t="shared" ca="1" si="85"/>
        <v>2801.1882378146352</v>
      </c>
      <c r="P562" s="165">
        <f t="shared" ca="1" si="84"/>
        <v>2817.2408486668892</v>
      </c>
    </row>
    <row r="563" spans="1:16" s="165" customFormat="1" x14ac:dyDescent="0.3">
      <c r="A563" s="165">
        <f>MATCH(Calcs!B563,Paste_Report_Here!$1:$1,0) -1</f>
        <v>16</v>
      </c>
      <c r="B563" s="165" t="s">
        <v>134</v>
      </c>
      <c r="C563" s="166">
        <f ca="1">RANK(N563,N552:N576)</f>
        <v>5</v>
      </c>
      <c r="D563" s="166">
        <f ca="1">RANK(P563,P552:P576)</f>
        <v>24</v>
      </c>
      <c r="E563" s="189" t="s">
        <v>163</v>
      </c>
      <c r="F563" s="179">
        <f ca="1">COUNTIFS(Paste_Report_Here!$E$1:$E$2000,E546, OFFSET(Paste_Report_Here!$A$1,0,$A563,2000,1),F$75)</f>
        <v>0</v>
      </c>
      <c r="G563" s="180">
        <f ca="1">COUNTIFS(Paste_Report_Here!$E$1:$E$2000,E546, OFFSET(Paste_Report_Here!$A$1,0,$A563,2000,1),G$75)</f>
        <v>3</v>
      </c>
      <c r="H563" s="180">
        <f ca="1">COUNTIFS(Paste_Report_Here!$E$1:$E$2000,E546, OFFSET(Paste_Report_Here!$A$1,0,$A563,2000,1),H$75)</f>
        <v>27</v>
      </c>
      <c r="I563" s="180">
        <f ca="1">COUNTIFS(Paste_Report_Here!$E$1:$E$2000,E546, OFFSET(Paste_Report_Here!$A$1,0,$A563,2000,1),I$75)</f>
        <v>4</v>
      </c>
      <c r="J563" s="180">
        <f ca="1">COUNTIFS(Paste_Report_Here!$E$1:$E$2000,E546, OFFSET(Paste_Report_Here!$A$1,0,$A563,2000,1),J$75)</f>
        <v>1</v>
      </c>
      <c r="K563" s="181">
        <f ca="1">COUNTIFS(Paste_Report_Here!$E$1:$E$2000,E546, OFFSET(Paste_Report_Here!$A$1,0,$A563,2000,1),K$75)</f>
        <v>0</v>
      </c>
      <c r="L563" s="166">
        <f t="shared" ca="1" si="82"/>
        <v>35</v>
      </c>
      <c r="M563" s="183">
        <f ca="1">SUMPRODUCT(F563:K563,F550:K550)/L:L</f>
        <v>5.7142857142857143E-3</v>
      </c>
      <c r="N563" s="166">
        <f t="shared" ca="1" si="83"/>
        <v>1.0057306433875282</v>
      </c>
      <c r="O563" s="165">
        <f t="shared" ca="1" si="85"/>
        <v>1173.2454452500563</v>
      </c>
      <c r="P563" s="165">
        <f t="shared" ca="1" si="84"/>
        <v>1179.9688965028261</v>
      </c>
    </row>
    <row r="564" spans="1:16" s="165" customFormat="1" x14ac:dyDescent="0.3">
      <c r="A564" s="165">
        <f>MATCH(Calcs!B564,Paste_Report_Here!$1:$1,0) -1</f>
        <v>17</v>
      </c>
      <c r="B564" s="165" t="s">
        <v>135</v>
      </c>
      <c r="C564" s="166">
        <f ca="1">RANK(N564,N552:N576)</f>
        <v>12</v>
      </c>
      <c r="D564" s="166">
        <f ca="1">RANK(P564,P552:P576)</f>
        <v>20</v>
      </c>
      <c r="E564" s="189" t="s">
        <v>164</v>
      </c>
      <c r="F564" s="179">
        <f ca="1">COUNTIFS(Paste_Report_Here!$E$1:$E$2000,E546, OFFSET(Paste_Report_Here!$A$1,0,$A564,2000,1),F$75)</f>
        <v>0</v>
      </c>
      <c r="G564" s="180">
        <f ca="1">COUNTIFS(Paste_Report_Here!$E$1:$E$2000,E546, OFFSET(Paste_Report_Here!$A$1,0,$A564,2000,1),G$75)</f>
        <v>3</v>
      </c>
      <c r="H564" s="180">
        <f ca="1">COUNTIFS(Paste_Report_Here!$E$1:$E$2000,E546, OFFSET(Paste_Report_Here!$A$1,0,$A564,2000,1),H$75)</f>
        <v>21</v>
      </c>
      <c r="I564" s="180">
        <f ca="1">COUNTIFS(Paste_Report_Here!$E$1:$E$2000,E546, OFFSET(Paste_Report_Here!$A$1,0,$A564,2000,1),I$75)</f>
        <v>11</v>
      </c>
      <c r="J564" s="180">
        <f ca="1">COUNTIFS(Paste_Report_Here!$E$1:$E$2000,E546, OFFSET(Paste_Report_Here!$A$1,0,$A564,2000,1),J$75)</f>
        <v>0</v>
      </c>
      <c r="K564" s="181">
        <f ca="1">COUNTIFS(Paste_Report_Here!$E$1:$E$2000,E546, OFFSET(Paste_Report_Here!$A$1,0,$A564,2000,1),K$75)</f>
        <v>0</v>
      </c>
      <c r="L564" s="166">
        <f t="shared" ca="1" si="82"/>
        <v>35</v>
      </c>
      <c r="M564" s="183">
        <f ca="1">SUMPRODUCT(F564:K564,F550:K550)/L:L</f>
        <v>0</v>
      </c>
      <c r="N564" s="166">
        <f t="shared" ca="1" si="83"/>
        <v>1</v>
      </c>
      <c r="O564" s="165">
        <f t="shared" ca="1" si="85"/>
        <v>1806.3602869864335</v>
      </c>
      <c r="P564" s="165">
        <f t="shared" ca="1" si="84"/>
        <v>1806.3602869864335</v>
      </c>
    </row>
    <row r="565" spans="1:16" s="165" customFormat="1" x14ac:dyDescent="0.3">
      <c r="A565" s="165">
        <f>MATCH(Calcs!B565,Paste_Report_Here!$1:$1,0) -1</f>
        <v>18</v>
      </c>
      <c r="B565" s="165" t="s">
        <v>136</v>
      </c>
      <c r="C565" s="166">
        <f ca="1">RANK(N565,N552:N576)</f>
        <v>12</v>
      </c>
      <c r="D565" s="166">
        <f ca="1">RANK(P565,P552:P576)</f>
        <v>4</v>
      </c>
      <c r="E565" s="189" t="s">
        <v>165</v>
      </c>
      <c r="F565" s="179">
        <f ca="1">COUNTIFS(Paste_Report_Here!$E$1:$E$2000,E546, OFFSET(Paste_Report_Here!$A$1,0,$A565,2000,1),F$75)</f>
        <v>0</v>
      </c>
      <c r="G565" s="180">
        <f ca="1">COUNTIFS(Paste_Report_Here!$E$1:$E$2000,E546, OFFSET(Paste_Report_Here!$A$1,0,$A565,2000,1),G$75)</f>
        <v>2</v>
      </c>
      <c r="H565" s="180">
        <f ca="1">COUNTIFS(Paste_Report_Here!$E$1:$E$2000,E546, OFFSET(Paste_Report_Here!$A$1,0,$A565,2000,1),H$75)</f>
        <v>20</v>
      </c>
      <c r="I565" s="180">
        <f ca="1">COUNTIFS(Paste_Report_Here!$E$1:$E$2000,E546, OFFSET(Paste_Report_Here!$A$1,0,$A565,2000,1),I$75)</f>
        <v>13</v>
      </c>
      <c r="J565" s="180">
        <f ca="1">COUNTIFS(Paste_Report_Here!$E$1:$E$2000,E546, OFFSET(Paste_Report_Here!$A$1,0,$A565,2000,1),J$75)</f>
        <v>0</v>
      </c>
      <c r="K565" s="181">
        <f ca="1">COUNTIFS(Paste_Report_Here!$E$1:$E$2000,E546, OFFSET(Paste_Report_Here!$A$1,0,$A565,2000,1),K$75)</f>
        <v>0</v>
      </c>
      <c r="L565" s="166">
        <f t="shared" ca="1" si="82"/>
        <v>35</v>
      </c>
      <c r="M565" s="183">
        <f ca="1">SUMPRODUCT(F565:K565,F550:K550)/L:L</f>
        <v>0</v>
      </c>
      <c r="N565" s="166">
        <f t="shared" ca="1" si="83"/>
        <v>1</v>
      </c>
      <c r="O565" s="165">
        <f t="shared" ca="1" si="85"/>
        <v>3710.0323918264025</v>
      </c>
      <c r="P565" s="165">
        <f t="shared" ca="1" si="84"/>
        <v>3710.0323918264025</v>
      </c>
    </row>
    <row r="566" spans="1:16" s="165" customFormat="1" x14ac:dyDescent="0.3">
      <c r="A566" s="165">
        <f>MATCH(Calcs!B566,Paste_Report_Here!$1:$1,0) -1</f>
        <v>19</v>
      </c>
      <c r="B566" s="165" t="s">
        <v>137</v>
      </c>
      <c r="C566" s="166">
        <f ca="1">RANK(N566,N552:N576)</f>
        <v>12</v>
      </c>
      <c r="D566" s="166">
        <f ca="1">RANK(P566,P552:P576)</f>
        <v>15</v>
      </c>
      <c r="E566" s="189" t="s">
        <v>166</v>
      </c>
      <c r="F566" s="179">
        <f ca="1">COUNTIFS(Paste_Report_Here!$E$1:$E$2000,E546, OFFSET(Paste_Report_Here!$A$1,0,$A566,2000,1),F$75)</f>
        <v>0</v>
      </c>
      <c r="G566" s="180">
        <f ca="1">COUNTIFS(Paste_Report_Here!$E$1:$E$2000,E546, OFFSET(Paste_Report_Here!$A$1,0,$A566,2000,1),G$75)</f>
        <v>2</v>
      </c>
      <c r="H566" s="180">
        <f ca="1">COUNTIFS(Paste_Report_Here!$E$1:$E$2000,E546, OFFSET(Paste_Report_Here!$A$1,0,$A566,2000,1),H$75)</f>
        <v>24</v>
      </c>
      <c r="I566" s="180">
        <f ca="1">COUNTIFS(Paste_Report_Here!$E$1:$E$2000,E546, OFFSET(Paste_Report_Here!$A$1,0,$A566,2000,1),I$75)</f>
        <v>9</v>
      </c>
      <c r="J566" s="180">
        <f ca="1">COUNTIFS(Paste_Report_Here!$E$1:$E$2000,E546, OFFSET(Paste_Report_Here!$A$1,0,$A566,2000,1),J$75)</f>
        <v>0</v>
      </c>
      <c r="K566" s="181">
        <f ca="1">COUNTIFS(Paste_Report_Here!$E$1:$E$2000,E546, OFFSET(Paste_Report_Here!$A$1,0,$A566,2000,1),K$75)</f>
        <v>0</v>
      </c>
      <c r="L566" s="166">
        <f t="shared" ca="1" si="82"/>
        <v>35</v>
      </c>
      <c r="M566" s="183">
        <f ca="1">SUMPRODUCT(F566:K566,F550:K550)/L:L</f>
        <v>0</v>
      </c>
      <c r="N566" s="166">
        <f t="shared" ca="1" si="83"/>
        <v>1</v>
      </c>
      <c r="O566" s="165">
        <f t="shared" ca="1" si="85"/>
        <v>2122.6781131465646</v>
      </c>
      <c r="P566" s="165">
        <f t="shared" ca="1" si="84"/>
        <v>2122.6781131465646</v>
      </c>
    </row>
    <row r="567" spans="1:16" s="165" customFormat="1" x14ac:dyDescent="0.3">
      <c r="A567" s="165">
        <f>MATCH(Calcs!B567,Paste_Report_Here!$1:$1,0) -1</f>
        <v>20</v>
      </c>
      <c r="B567" s="165" t="s">
        <v>138</v>
      </c>
      <c r="C567" s="166">
        <v>3</v>
      </c>
      <c r="D567" s="166">
        <f ca="1">RANK(P567,P552:P576)</f>
        <v>18</v>
      </c>
      <c r="E567" s="189" t="s">
        <v>167</v>
      </c>
      <c r="F567" s="179">
        <f ca="1">COUNTIFS(Paste_Report_Here!$E$1:$E$2000,E546, OFFSET(Paste_Report_Here!$A$1,0,$A567,2000,1),F$75)</f>
        <v>0</v>
      </c>
      <c r="G567" s="180">
        <f ca="1">COUNTIFS(Paste_Report_Here!$E$1:$E$2000,E546, OFFSET(Paste_Report_Here!$A$1,0,$A567,2000,1),G$75)</f>
        <v>2</v>
      </c>
      <c r="H567" s="180">
        <f ca="1">COUNTIFS(Paste_Report_Here!$E$1:$E$2000,E546, OFFSET(Paste_Report_Here!$A$1,0,$A567,2000,1),H$75)</f>
        <v>19</v>
      </c>
      <c r="I567" s="180">
        <f ca="1">COUNTIFS(Paste_Report_Here!$E$1:$E$2000,E546, OFFSET(Paste_Report_Here!$A$1,0,$A567,2000,1),I$75)</f>
        <v>14</v>
      </c>
      <c r="J567" s="180">
        <f ca="1">COUNTIFS(Paste_Report_Here!$E$1:$E$2000,E546, OFFSET(Paste_Report_Here!$A$1,0,$A567,2000,1),J$75)</f>
        <v>0</v>
      </c>
      <c r="K567" s="181">
        <f ca="1">COUNTIFS(Paste_Report_Here!$E$1:$E$2000,E546, OFFSET(Paste_Report_Here!$A$1,0,$A567,2000,1),K$75)</f>
        <v>0</v>
      </c>
      <c r="L567" s="166">
        <f t="shared" ca="1" si="82"/>
        <v>35</v>
      </c>
      <c r="M567" s="183">
        <f ca="1">SUMPRODUCT(F567:K567,F550:K550)/L:L</f>
        <v>0</v>
      </c>
      <c r="N567" s="166">
        <f t="shared" ca="1" si="83"/>
        <v>1</v>
      </c>
      <c r="O567" s="165">
        <f t="shared" ca="1" si="85"/>
        <v>2005.4946064001942</v>
      </c>
      <c r="P567" s="165">
        <f t="shared" ca="1" si="84"/>
        <v>2005.4946064001942</v>
      </c>
    </row>
    <row r="568" spans="1:16" s="165" customFormat="1" x14ac:dyDescent="0.3">
      <c r="A568" s="165">
        <f>MATCH(Calcs!B568,Paste_Report_Here!$1:$1,0) -1</f>
        <v>21</v>
      </c>
      <c r="B568" s="165" t="s">
        <v>139</v>
      </c>
      <c r="C568" s="166">
        <f ca="1">RANK(N568,N552:N576)</f>
        <v>12</v>
      </c>
      <c r="D568" s="166">
        <f ca="1">RANK(P568,P552:P576)</f>
        <v>14</v>
      </c>
      <c r="E568" s="189" t="s">
        <v>168</v>
      </c>
      <c r="F568" s="179">
        <f ca="1">COUNTIFS(Paste_Report_Here!$E$1:$E$2000,E546, OFFSET(Paste_Report_Here!$A$1,0,$A568,2000,1),F$75)</f>
        <v>0</v>
      </c>
      <c r="G568" s="180">
        <f ca="1">COUNTIFS(Paste_Report_Here!$E$1:$E$2000,E546, OFFSET(Paste_Report_Here!$A$1,0,$A568,2000,1),G$75)</f>
        <v>2</v>
      </c>
      <c r="H568" s="180">
        <f ca="1">COUNTIFS(Paste_Report_Here!$E$1:$E$2000,E546, OFFSET(Paste_Report_Here!$A$1,0,$A568,2000,1),H$75)</f>
        <v>27</v>
      </c>
      <c r="I568" s="180">
        <f ca="1">COUNTIFS(Paste_Report_Here!$E$1:$E$2000,E546, OFFSET(Paste_Report_Here!$A$1,0,$A568,2000,1),I$75)</f>
        <v>6</v>
      </c>
      <c r="J568" s="180">
        <f ca="1">COUNTIFS(Paste_Report_Here!$E$1:$E$2000,E546, OFFSET(Paste_Report_Here!$A$1,0,$A568,2000,1),J$75)</f>
        <v>0</v>
      </c>
      <c r="K568" s="181">
        <f ca="1">COUNTIFS(Paste_Report_Here!$E$1:$E$2000,E546, OFFSET(Paste_Report_Here!$A$1,0,$A568,2000,1),K$75)</f>
        <v>0</v>
      </c>
      <c r="L568" s="166">
        <f t="shared" ca="1" si="82"/>
        <v>35</v>
      </c>
      <c r="M568" s="183">
        <f ca="1">SUMPRODUCT(F568:K568,F550:K550)/L:L</f>
        <v>0</v>
      </c>
      <c r="N568" s="166">
        <f t="shared" ca="1" si="83"/>
        <v>1</v>
      </c>
      <c r="O568" s="165">
        <f t="shared" ca="1" si="85"/>
        <v>2127.7616979352861</v>
      </c>
      <c r="P568" s="165">
        <f t="shared" ca="1" si="84"/>
        <v>2127.7616979352861</v>
      </c>
    </row>
    <row r="569" spans="1:16" s="165" customFormat="1" x14ac:dyDescent="0.3">
      <c r="A569" s="165">
        <f>MATCH(Calcs!B569,Paste_Report_Here!$1:$1,0) -1</f>
        <v>22</v>
      </c>
      <c r="B569" s="165" t="s">
        <v>140</v>
      </c>
      <c r="C569" s="166">
        <f ca="1">RANK(N569,N552:N576)</f>
        <v>5</v>
      </c>
      <c r="D569" s="166">
        <f ca="1">RANK(P569,P552:P576)</f>
        <v>17</v>
      </c>
      <c r="E569" s="189" t="s">
        <v>169</v>
      </c>
      <c r="F569" s="179">
        <f ca="1">COUNTIFS(Paste_Report_Here!$E$1:$E$2000,E546, OFFSET(Paste_Report_Here!$A$1,0,$A569,2000,1),F$75)</f>
        <v>0</v>
      </c>
      <c r="G569" s="180">
        <f ca="1">COUNTIFS(Paste_Report_Here!$E$1:$E$2000,E546, OFFSET(Paste_Report_Here!$A$1,0,$A569,2000,1),G$75)</f>
        <v>3</v>
      </c>
      <c r="H569" s="180">
        <f ca="1">COUNTIFS(Paste_Report_Here!$E$1:$E$2000,E546, OFFSET(Paste_Report_Here!$A$1,0,$A569,2000,1),H$75)</f>
        <v>25</v>
      </c>
      <c r="I569" s="180">
        <f ca="1">COUNTIFS(Paste_Report_Here!$E$1:$E$2000,E546, OFFSET(Paste_Report_Here!$A$1,0,$A569,2000,1),I$75)</f>
        <v>6</v>
      </c>
      <c r="J569" s="180">
        <f ca="1">COUNTIFS(Paste_Report_Here!$E$1:$E$2000,E546, OFFSET(Paste_Report_Here!$A$1,0,$A569,2000,1),J$75)</f>
        <v>1</v>
      </c>
      <c r="K569" s="181">
        <f ca="1">COUNTIFS(Paste_Report_Here!$E$1:$E$2000,E546, OFFSET(Paste_Report_Here!$A$1,0,$A569,2000,1),K$75)</f>
        <v>0</v>
      </c>
      <c r="L569" s="166">
        <f t="shared" ca="1" si="82"/>
        <v>35</v>
      </c>
      <c r="M569" s="183">
        <f ca="1">SUMPRODUCT(F569:K569,F550:K550)/L:L</f>
        <v>5.7142857142857143E-3</v>
      </c>
      <c r="N569" s="166">
        <f t="shared" ca="1" si="83"/>
        <v>1.0057306433875282</v>
      </c>
      <c r="O569" s="165">
        <f t="shared" ca="1" si="85"/>
        <v>2012.8823637206042</v>
      </c>
      <c r="P569" s="165">
        <f t="shared" ca="1" si="84"/>
        <v>2024.4174747281318</v>
      </c>
    </row>
    <row r="570" spans="1:16" s="165" customFormat="1" x14ac:dyDescent="0.3">
      <c r="A570" s="165">
        <f>MATCH(Calcs!B570,Paste_Report_Here!$1:$1,0) -1</f>
        <v>23</v>
      </c>
      <c r="B570" s="165" t="s">
        <v>186</v>
      </c>
      <c r="C570" s="166">
        <f ca="1">RANK(N570,N552:N576)</f>
        <v>12</v>
      </c>
      <c r="D570" s="166">
        <f ca="1">RANK(P570,P552:P576)</f>
        <v>3</v>
      </c>
      <c r="E570" s="189" t="s">
        <v>180</v>
      </c>
      <c r="F570" s="179">
        <f ca="1">COUNTIFS(Paste_Report_Here!$E$1:$E$2000,E546, OFFSET(Paste_Report_Here!$A$1,0,$A570,2000,1),F$75)</f>
        <v>0</v>
      </c>
      <c r="G570" s="180">
        <f ca="1">COUNTIFS(Paste_Report_Here!$E$1:$E$2000,E546, OFFSET(Paste_Report_Here!$A$1,0,$A570,2000,1),G$75)</f>
        <v>1</v>
      </c>
      <c r="H570" s="180">
        <f ca="1">COUNTIFS(Paste_Report_Here!$E$1:$E$2000,E546, OFFSET(Paste_Report_Here!$A$1,0,$A570,2000,1),H$75)</f>
        <v>25</v>
      </c>
      <c r="I570" s="180">
        <f ca="1">COUNTIFS(Paste_Report_Here!$E$1:$E$2000,E546, OFFSET(Paste_Report_Here!$A$1,0,$A570,2000,1),I$75)</f>
        <v>9</v>
      </c>
      <c r="J570" s="180">
        <f ca="1">COUNTIFS(Paste_Report_Here!$E$1:$E$2000,E546, OFFSET(Paste_Report_Here!$A$1,0,$A570,2000,1),J$75)</f>
        <v>0</v>
      </c>
      <c r="K570" s="181">
        <f ca="1">COUNTIFS(Paste_Report_Here!$E$1:$E$2000,E546, OFFSET(Paste_Report_Here!$A$1,0,$A570,2000,1),K$75)</f>
        <v>0</v>
      </c>
      <c r="L570" s="166">
        <f t="shared" ca="1" si="82"/>
        <v>35</v>
      </c>
      <c r="M570" s="183">
        <f ca="1">SUMPRODUCT(F570:K570,F550:K550)/L:L</f>
        <v>0</v>
      </c>
      <c r="N570" s="166">
        <f t="shared" ca="1" si="83"/>
        <v>1</v>
      </c>
      <c r="O570" s="165">
        <f t="shared" ca="1" si="85"/>
        <v>3765.2522128990026</v>
      </c>
      <c r="P570" s="165">
        <f t="shared" ca="1" si="84"/>
        <v>3765.2522128990026</v>
      </c>
    </row>
    <row r="571" spans="1:16" s="165" customFormat="1" x14ac:dyDescent="0.3">
      <c r="A571" s="165">
        <f>MATCH(Calcs!B571,Paste_Report_Here!$1:$1,0) -1</f>
        <v>24</v>
      </c>
      <c r="B571" s="165" t="s">
        <v>209</v>
      </c>
      <c r="C571" s="166">
        <f ca="1">RANK(N571,N552:N576)</f>
        <v>5</v>
      </c>
      <c r="D571" s="166">
        <f ca="1">RANK(P571,P552:P576)</f>
        <v>23</v>
      </c>
      <c r="E571" s="202" t="s">
        <v>211</v>
      </c>
      <c r="F571" s="179">
        <f ca="1">COUNTIFS(Paste_Report_Here!$E$1:$E$2000,E546, OFFSET(Paste_Report_Here!$A$1,0,$A571,2000,1),F$75)</f>
        <v>0</v>
      </c>
      <c r="G571" s="180">
        <f ca="1">COUNTIFS(Paste_Report_Here!$E$1:$E$2000,E546, OFFSET(Paste_Report_Here!$A$1,0,$A571,2000,1),G$75)</f>
        <v>2</v>
      </c>
      <c r="H571" s="180">
        <f ca="1">COUNTIFS(Paste_Report_Here!$E$1:$E$2000,E546, OFFSET(Paste_Report_Here!$A$1,0,$A571,2000,1),H$75)</f>
        <v>28</v>
      </c>
      <c r="I571" s="180">
        <f ca="1">COUNTIFS(Paste_Report_Here!$E$1:$E$2000,E546, OFFSET(Paste_Report_Here!$A$1,0,$A571,2000,1),I$75)</f>
        <v>2</v>
      </c>
      <c r="J571" s="180">
        <f ca="1">COUNTIFS(Paste_Report_Here!$E$1:$E$2000,E546, OFFSET(Paste_Report_Here!$A$1,0,$A571,2000,1),J$75)</f>
        <v>1</v>
      </c>
      <c r="K571" s="181">
        <f ca="1">COUNTIFS(Paste_Report_Here!$E$1:$E$2000,E546, OFFSET(Paste_Report_Here!$A$1,0,$A571,2000,1),K$75)</f>
        <v>2</v>
      </c>
      <c r="L571" s="166">
        <f t="shared" ca="1" si="82"/>
        <v>35</v>
      </c>
      <c r="M571" s="183">
        <f ca="1">SUMPRODUCT(F571:K571,F550:K550)/L:L</f>
        <v>5.7142857142857143E-3</v>
      </c>
      <c r="N571" s="166">
        <f t="shared" ca="1" si="83"/>
        <v>1.0057306433875282</v>
      </c>
      <c r="O571" s="165">
        <f t="shared" ca="1" si="85"/>
        <v>1173.3027706114117</v>
      </c>
      <c r="P571" s="165">
        <f t="shared" ca="1" si="84"/>
        <v>1180.0265503753844</v>
      </c>
    </row>
    <row r="572" spans="1:16" s="165" customFormat="1" x14ac:dyDescent="0.3">
      <c r="A572" s="165">
        <f>MATCH(Calcs!B572,Paste_Report_Here!$1:$1,0) -1</f>
        <v>25</v>
      </c>
      <c r="B572" s="165" t="s">
        <v>141</v>
      </c>
      <c r="C572" s="166">
        <f ca="1">RANK(N572,N552:N576)</f>
        <v>12</v>
      </c>
      <c r="D572" s="166">
        <f ca="1">RANK(P572,P552:P576)</f>
        <v>22</v>
      </c>
      <c r="E572" s="189" t="s">
        <v>170</v>
      </c>
      <c r="F572" s="179">
        <f ca="1">COUNTIFS(Paste_Report_Here!$E$1:$E$2000,E546, OFFSET(Paste_Report_Here!$A$1,0,$A572,2000,1),F$75)</f>
        <v>1</v>
      </c>
      <c r="G572" s="180">
        <f ca="1">COUNTIFS(Paste_Report_Here!$E$1:$E$2000,E546, OFFSET(Paste_Report_Here!$A$1,0,$A572,2000,1),G$75)</f>
        <v>3</v>
      </c>
      <c r="H572" s="180">
        <f ca="1">COUNTIFS(Paste_Report_Here!$E$1:$E$2000,E546, OFFSET(Paste_Report_Here!$A$1,0,$A572,2000,1),H$75)</f>
        <v>23</v>
      </c>
      <c r="I572" s="180">
        <f ca="1">COUNTIFS(Paste_Report_Here!$E$1:$E$2000,E546, OFFSET(Paste_Report_Here!$A$1,0,$A572,2000,1),I$75)</f>
        <v>7</v>
      </c>
      <c r="J572" s="180">
        <f ca="1">COUNTIFS(Paste_Report_Here!$E$1:$E$2000,E546, OFFSET(Paste_Report_Here!$A$1,0,$A572,2000,1),J$75)</f>
        <v>1</v>
      </c>
      <c r="K572" s="181">
        <f ca="1">COUNTIFS(Paste_Report_Here!$E$1:$E$2000,E546, OFFSET(Paste_Report_Here!$A$1,0,$A572,2000,1),K$75)</f>
        <v>0</v>
      </c>
      <c r="L572" s="166">
        <f t="shared" ca="1" si="82"/>
        <v>35</v>
      </c>
      <c r="M572" s="183">
        <f ca="1">SUMPRODUCT(F572:K572,F550:K550)/L:L</f>
        <v>0</v>
      </c>
      <c r="N572" s="166">
        <f t="shared" ca="1" si="83"/>
        <v>1</v>
      </c>
      <c r="O572" s="165">
        <f t="shared" ca="1" si="85"/>
        <v>1387.661989146708</v>
      </c>
      <c r="P572" s="165">
        <f t="shared" ca="1" si="84"/>
        <v>1387.661989146708</v>
      </c>
    </row>
    <row r="573" spans="1:16" s="165" customFormat="1" x14ac:dyDescent="0.3">
      <c r="A573" s="165">
        <f>MATCH(Calcs!B573,Paste_Report_Here!$1:$1,0) -1</f>
        <v>26</v>
      </c>
      <c r="B573" s="165" t="s">
        <v>142</v>
      </c>
      <c r="C573" s="166">
        <f ca="1">RANK(N573,N552:N576)</f>
        <v>12</v>
      </c>
      <c r="D573" s="166">
        <f ca="1">RANK(P573,P552:P576)</f>
        <v>11</v>
      </c>
      <c r="E573" s="189" t="s">
        <v>171</v>
      </c>
      <c r="F573" s="179">
        <f ca="1">COUNTIFS(Paste_Report_Here!$E$1:$E$2000,E546, OFFSET(Paste_Report_Here!$A$1,0,$A573,2000,1),F$75)</f>
        <v>0</v>
      </c>
      <c r="G573" s="180">
        <f ca="1">COUNTIFS(Paste_Report_Here!$E$1:$E$2000,E546, OFFSET(Paste_Report_Here!$A$1,0,$A573,2000,1),G$75)</f>
        <v>4</v>
      </c>
      <c r="H573" s="180">
        <f ca="1">COUNTIFS(Paste_Report_Here!$E$1:$E$2000,E546, OFFSET(Paste_Report_Here!$A$1,0,$A573,2000,1),H$75)</f>
        <v>20</v>
      </c>
      <c r="I573" s="180">
        <f ca="1">COUNTIFS(Paste_Report_Here!$E$1:$E$2000,E546, OFFSET(Paste_Report_Here!$A$1,0,$A573,2000,1),I$75)</f>
        <v>11</v>
      </c>
      <c r="J573" s="180">
        <f ca="1">COUNTIFS(Paste_Report_Here!$E$1:$E$2000,E546, OFFSET(Paste_Report_Here!$A$1,0,$A573,2000,1),J$75)</f>
        <v>0</v>
      </c>
      <c r="K573" s="181">
        <f ca="1">COUNTIFS(Paste_Report_Here!$E$1:$E$2000,E546, OFFSET(Paste_Report_Here!$A$1,0,$A573,2000,1),K$75)</f>
        <v>0</v>
      </c>
      <c r="L573" s="166">
        <f t="shared" ca="1" si="82"/>
        <v>35</v>
      </c>
      <c r="M573" s="183">
        <f ca="1">SUMPRODUCT(F573:K573,F550:K550)/L:L</f>
        <v>0</v>
      </c>
      <c r="N573" s="166">
        <f t="shared" ca="1" si="83"/>
        <v>1</v>
      </c>
      <c r="O573" s="165">
        <f t="shared" ca="1" si="85"/>
        <v>2291.0187085636321</v>
      </c>
      <c r="P573" s="165">
        <f t="shared" ca="1" si="84"/>
        <v>2291.0187085636321</v>
      </c>
    </row>
    <row r="574" spans="1:16" s="165" customFormat="1" x14ac:dyDescent="0.3">
      <c r="A574" s="165">
        <f>MATCH(Calcs!B574,Paste_Report_Here!$1:$1,0) -1</f>
        <v>27</v>
      </c>
      <c r="B574" s="165" t="s">
        <v>210</v>
      </c>
      <c r="C574" s="166">
        <f ca="1">RANK(N574,N552:N576)</f>
        <v>25</v>
      </c>
      <c r="D574" s="166">
        <f ca="1">RANK(P574,P552:P576)</f>
        <v>25</v>
      </c>
      <c r="E574" s="202" t="s">
        <v>212</v>
      </c>
      <c r="F574" s="179">
        <f ca="1">COUNTIFS(Paste_Report_Here!$E$1:$E$2000,E546, OFFSET(Paste_Report_Here!$A$1,0,$A574,2000,1),F$75)</f>
        <v>2</v>
      </c>
      <c r="G574" s="180">
        <f ca="1">COUNTIFS(Paste_Report_Here!$E$1:$E$2000,E546, OFFSET(Paste_Report_Here!$A$1,0,$A574,2000,1),G$75)</f>
        <v>0</v>
      </c>
      <c r="H574" s="180">
        <f ca="1">COUNTIFS(Paste_Report_Here!$E$1:$E$2000,E546, OFFSET(Paste_Report_Here!$A$1,0,$A574,2000,1),H$75)</f>
        <v>28</v>
      </c>
      <c r="I574" s="180">
        <f ca="1">COUNTIFS(Paste_Report_Here!$E$1:$E$2000,E546, OFFSET(Paste_Report_Here!$A$1,0,$A574,2000,1),I$75)</f>
        <v>4</v>
      </c>
      <c r="J574" s="180">
        <f ca="1">COUNTIFS(Paste_Report_Here!$E$1:$E$2000,E546, OFFSET(Paste_Report_Here!$A$1,0,$A574,2000,1),J$75)</f>
        <v>0</v>
      </c>
      <c r="K574" s="181">
        <f ca="1">COUNTIFS(Paste_Report_Here!$E$1:$E$2000,E546, OFFSET(Paste_Report_Here!$A$1,0,$A574,2000,1),K$75)</f>
        <v>1</v>
      </c>
      <c r="L574" s="166">
        <f t="shared" ca="1" si="82"/>
        <v>35</v>
      </c>
      <c r="M574" s="183">
        <f ca="1">SUMPRODUCT(F574:K574,F550:K550)/L:L</f>
        <v>-1.1428571428571429E-2</v>
      </c>
      <c r="N574" s="166">
        <f t="shared" ca="1" si="83"/>
        <v>0.98863648661784254</v>
      </c>
      <c r="O574" s="165">
        <f t="shared" ca="1" si="85"/>
        <v>1151.1645546132922</v>
      </c>
      <c r="P574" s="165">
        <f t="shared" ca="1" si="84"/>
        <v>1138.0832807918787</v>
      </c>
    </row>
    <row r="575" spans="1:16" s="165" customFormat="1" x14ac:dyDescent="0.3">
      <c r="A575" s="165">
        <f>MATCH(Calcs!B575,Paste_Report_Here!$1:$1,0) -1</f>
        <v>28</v>
      </c>
      <c r="B575" s="165" t="s">
        <v>143</v>
      </c>
      <c r="C575" s="166">
        <f ca="1">RANK(N575,N553:N577)</f>
        <v>5</v>
      </c>
      <c r="D575" s="166">
        <f ca="1">RANK(P575,P552:P576)</f>
        <v>1</v>
      </c>
      <c r="E575" s="189" t="s">
        <v>172</v>
      </c>
      <c r="F575" s="179">
        <f ca="1">COUNTIFS(Paste_Report_Here!$E$1:$E$2000,E546, OFFSET(Paste_Report_Here!$A$1,0,$A575,2000,1),F$75)</f>
        <v>0</v>
      </c>
      <c r="G575" s="180">
        <f ca="1">COUNTIFS(Paste_Report_Here!$E$1:$E$2000,E546, OFFSET(Paste_Report_Here!$A$1,0,$A575,2000,1),G$75)</f>
        <v>1</v>
      </c>
      <c r="H575" s="180">
        <f ca="1">COUNTIFS(Paste_Report_Here!$E$1:$E$2000,E546, OFFSET(Paste_Report_Here!$A$1,0,$A575,2000,1),H$75)</f>
        <v>22</v>
      </c>
      <c r="I575" s="180">
        <f ca="1">COUNTIFS(Paste_Report_Here!$E$1:$E$2000,E546, OFFSET(Paste_Report_Here!$A$1,0,$A575,2000,1),I$75)</f>
        <v>11</v>
      </c>
      <c r="J575" s="180">
        <f ca="1">COUNTIFS(Paste_Report_Here!$E$1:$E$2000,E546, OFFSET(Paste_Report_Here!$A$1,0,$A575,2000,1),J$75)</f>
        <v>1</v>
      </c>
      <c r="K575" s="181">
        <f ca="1">COUNTIFS(Paste_Report_Here!$E$1:$E$2000,E546, OFFSET(Paste_Report_Here!$A$1,0,$A575,2000,1),K$75)</f>
        <v>0</v>
      </c>
      <c r="L575" s="166">
        <f t="shared" ca="1" si="82"/>
        <v>35</v>
      </c>
      <c r="M575" s="183">
        <f ca="1">SUMPRODUCT(F575:K575,F550:K550)/L:L</f>
        <v>5.7142857142857143E-3</v>
      </c>
      <c r="N575" s="166">
        <f t="shared" ca="1" si="83"/>
        <v>1.0057306433875282</v>
      </c>
      <c r="O575" s="165">
        <f t="shared" ca="1" si="85"/>
        <v>7536.036026172621</v>
      </c>
      <c r="P575" s="165">
        <f t="shared" ca="1" si="84"/>
        <v>7579.2223611941808</v>
      </c>
    </row>
    <row r="576" spans="1:16" s="165" customFormat="1" x14ac:dyDescent="0.3">
      <c r="A576" s="165">
        <f>MATCH(Calcs!B576,Paste_Report_Here!$1:$1,0) -1</f>
        <v>29</v>
      </c>
      <c r="B576" s="187" t="s">
        <v>144</v>
      </c>
      <c r="C576" s="147">
        <f ca="1">RANK(N576,N552:N576)</f>
        <v>12</v>
      </c>
      <c r="D576" s="147">
        <f ca="1">RANK(P576,P552:P576)</f>
        <v>12</v>
      </c>
      <c r="E576" s="145" t="s">
        <v>173</v>
      </c>
      <c r="F576" s="146">
        <f ca="1">COUNTIFS(Paste_Report_Here!$E$1:$E$2000,E546, OFFSET(Paste_Report_Here!$A$1,0,$A576,2000,1),F$75)</f>
        <v>0</v>
      </c>
      <c r="G576" s="147">
        <f ca="1">COUNTIFS(Paste_Report_Here!$E$1:$E$2000,E546, OFFSET(Paste_Report_Here!$A$1,0,$A576,2000,1),G$75)</f>
        <v>1</v>
      </c>
      <c r="H576" s="147">
        <f ca="1">COUNTIFS(Paste_Report_Here!$E$1:$E$2000,E546, OFFSET(Paste_Report_Here!$A$1,0,$A576,2000,1),H$75)</f>
        <v>29</v>
      </c>
      <c r="I576" s="147">
        <f ca="1">COUNTIFS(Paste_Report_Here!$E$1:$E$2000,E546, OFFSET(Paste_Report_Here!$A$1,0,$A576,2000,1),I$75)</f>
        <v>5</v>
      </c>
      <c r="J576" s="147">
        <f ca="1">COUNTIFS(Paste_Report_Here!$E$1:$E$2000,E546, OFFSET(Paste_Report_Here!$A$1,0,$A576,2000,1),J$75)</f>
        <v>0</v>
      </c>
      <c r="K576" s="148">
        <f ca="1">COUNTIFS(Paste_Report_Here!$E$1:$E$2000,E546, OFFSET(Paste_Report_Here!$A$1,0,$A576,2000,1),K$75)</f>
        <v>0</v>
      </c>
      <c r="L576" s="147">
        <f t="shared" ca="1" si="82"/>
        <v>35</v>
      </c>
      <c r="M576" s="149">
        <f ca="1">SUMPRODUCT(F576:K576,F550:K550)/L:L</f>
        <v>0</v>
      </c>
      <c r="N576" s="147">
        <f t="shared" ca="1" si="83"/>
        <v>1</v>
      </c>
      <c r="O576" s="187">
        <f t="shared" ca="1" si="85"/>
        <v>2272.9115771900224</v>
      </c>
      <c r="P576" s="165">
        <f t="shared" ca="1" si="84"/>
        <v>2272.9115771900224</v>
      </c>
    </row>
    <row r="577" spans="1:16" s="165" customFormat="1" x14ac:dyDescent="0.3">
      <c r="C577" s="166"/>
      <c r="E577" s="140" t="s">
        <v>293</v>
      </c>
      <c r="F577" s="180">
        <f ca="1">SUM(F552:F576)</f>
        <v>6</v>
      </c>
      <c r="G577" s="180">
        <f t="shared" ref="G577:L577" ca="1" si="86">SUM(G552:G576)</f>
        <v>48</v>
      </c>
      <c r="H577" s="180">
        <f t="shared" ca="1" si="86"/>
        <v>590</v>
      </c>
      <c r="I577" s="180">
        <f t="shared" ca="1" si="86"/>
        <v>206</v>
      </c>
      <c r="J577" s="180">
        <f t="shared" ca="1" si="86"/>
        <v>22</v>
      </c>
      <c r="K577" s="180">
        <f t="shared" ca="1" si="86"/>
        <v>3</v>
      </c>
      <c r="L577" s="180">
        <f t="shared" ca="1" si="86"/>
        <v>875</v>
      </c>
      <c r="M577" s="144">
        <f ca="1">SUMPRODUCT(F577:K577,F550:K550)/L577</f>
        <v>3.6571428571428575E-3</v>
      </c>
      <c r="N577" s="166">
        <f t="shared" ca="1" si="83"/>
        <v>1.0036638383637349</v>
      </c>
      <c r="O577" s="165">
        <f t="shared" ca="1" si="85"/>
        <v>2597.4500142475131</v>
      </c>
      <c r="P577" s="165">
        <f t="shared" ca="1" si="84"/>
        <v>2606.9666512575968</v>
      </c>
    </row>
    <row r="578" spans="1:16" s="165" customFormat="1" x14ac:dyDescent="0.3">
      <c r="A578" s="194"/>
      <c r="B578" s="194"/>
      <c r="C578" s="153"/>
      <c r="D578" s="194"/>
      <c r="E578" s="164"/>
      <c r="F578" s="151"/>
      <c r="G578" s="151"/>
      <c r="H578" s="151"/>
      <c r="I578" s="151"/>
      <c r="J578" s="151"/>
      <c r="K578" s="151"/>
      <c r="L578" s="151"/>
      <c r="M578" s="162"/>
      <c r="N578" s="153"/>
      <c r="O578" s="194"/>
      <c r="P578" s="194"/>
    </row>
    <row r="579" spans="1:16" s="165" customFormat="1" x14ac:dyDescent="0.3">
      <c r="E579" s="173" t="s">
        <v>292</v>
      </c>
    </row>
    <row r="580" spans="1:16" s="165" customFormat="1" x14ac:dyDescent="0.3">
      <c r="E580" s="141">
        <v>41059</v>
      </c>
    </row>
    <row r="581" spans="1:16" s="165" customFormat="1" ht="15" thickBot="1" x14ac:dyDescent="0.35"/>
    <row r="582" spans="1:16" s="165" customFormat="1" ht="24.6" thickBot="1" x14ac:dyDescent="0.35">
      <c r="F582" s="174" t="s">
        <v>23</v>
      </c>
      <c r="G582" s="168" t="s">
        <v>18</v>
      </c>
      <c r="H582" s="168" t="s">
        <v>16</v>
      </c>
      <c r="I582" s="168" t="s">
        <v>17</v>
      </c>
      <c r="J582" s="168" t="s">
        <v>19</v>
      </c>
      <c r="K582" s="169" t="s">
        <v>114</v>
      </c>
    </row>
    <row r="583" spans="1:16" s="165" customFormat="1" x14ac:dyDescent="0.3">
      <c r="F583" s="267" t="s">
        <v>201</v>
      </c>
      <c r="G583" s="268"/>
      <c r="H583" s="268"/>
      <c r="I583" s="268"/>
      <c r="J583" s="268"/>
      <c r="K583" s="169"/>
      <c r="M583" s="203">
        <f ca="1">(H611+K611)/L611</f>
        <v>0.76516129032258062</v>
      </c>
      <c r="N583" s="204" t="s">
        <v>501</v>
      </c>
    </row>
    <row r="584" spans="1:16" s="165" customFormat="1" ht="43.8" thickBot="1" x14ac:dyDescent="0.35">
      <c r="A584" s="142" t="s">
        <v>294</v>
      </c>
      <c r="B584" s="142" t="s">
        <v>295</v>
      </c>
      <c r="C584" s="197" t="s">
        <v>440</v>
      </c>
      <c r="D584" s="142" t="s">
        <v>441</v>
      </c>
      <c r="E584" s="171" t="s">
        <v>30</v>
      </c>
      <c r="F584" s="175">
        <f>Falling_fast</f>
        <v>-0.2</v>
      </c>
      <c r="G584" s="176">
        <f>Falling</f>
        <v>0</v>
      </c>
      <c r="H584" s="177">
        <f>Static</f>
        <v>0</v>
      </c>
      <c r="I584" s="176">
        <f>Rising</f>
        <v>0</v>
      </c>
      <c r="J584" s="178">
        <f>Rising_fast</f>
        <v>0.2</v>
      </c>
      <c r="K584" s="182">
        <v>0</v>
      </c>
      <c r="L584" s="171" t="s">
        <v>28</v>
      </c>
      <c r="M584" s="172" t="s">
        <v>29</v>
      </c>
      <c r="N584" s="143" t="s">
        <v>296</v>
      </c>
      <c r="O584" s="142" t="s">
        <v>297</v>
      </c>
      <c r="P584" s="142" t="s">
        <v>298</v>
      </c>
    </row>
    <row r="585" spans="1:16" s="165" customFormat="1" x14ac:dyDescent="0.3">
      <c r="C585" s="166"/>
      <c r="E585" s="192"/>
      <c r="F585" s="198" t="s">
        <v>151</v>
      </c>
      <c r="G585" s="199" t="s">
        <v>149</v>
      </c>
      <c r="H585" s="199" t="s">
        <v>16</v>
      </c>
      <c r="I585" s="199" t="s">
        <v>148</v>
      </c>
      <c r="J585" s="199" t="s">
        <v>150</v>
      </c>
      <c r="K585" s="200" t="s">
        <v>114</v>
      </c>
      <c r="L585" s="166"/>
      <c r="M585" s="170"/>
      <c r="N585" s="166"/>
    </row>
    <row r="586" spans="1:16" s="165" customFormat="1" x14ac:dyDescent="0.3">
      <c r="A586" s="165">
        <f>MATCH(Calcs!B586,Paste_Report_Here!$1:$1,0) -1</f>
        <v>5</v>
      </c>
      <c r="B586" s="165" t="s">
        <v>124</v>
      </c>
      <c r="C586" s="166">
        <f ca="1">RANK(N586,N586:N610)</f>
        <v>2</v>
      </c>
      <c r="D586" s="166">
        <f ca="1">RANK(P586,P586:P610)</f>
        <v>15</v>
      </c>
      <c r="E586" s="189" t="s">
        <v>152</v>
      </c>
      <c r="F586" s="179">
        <f ca="1">COUNTIFS(Paste_Report_Here!$E$1:$E$2000,E580, OFFSET(Paste_Report_Here!$A$1,0,$A586,2000,1),F$75)</f>
        <v>1</v>
      </c>
      <c r="G586" s="180">
        <f ca="1">COUNTIFS(Paste_Report_Here!$E$1:$E$2000,E580, OFFSET(Paste_Report_Here!$A$1,0,$A586,2000,1),G$75)</f>
        <v>1</v>
      </c>
      <c r="H586" s="180">
        <f ca="1">COUNTIFS(Paste_Report_Here!$E$1:$E$2000,E580, OFFSET(Paste_Report_Here!$A$1,0,$A586,2000,1),H$75)</f>
        <v>23</v>
      </c>
      <c r="I586" s="180">
        <f ca="1">COUNTIFS(Paste_Report_Here!$E$1:$E$2000,E580, OFFSET(Paste_Report_Here!$A$1,0,$A586,2000,1),I$75)</f>
        <v>4</v>
      </c>
      <c r="J586" s="180">
        <f ca="1">COUNTIFS(Paste_Report_Here!$E$1:$E$2000,E580, OFFSET(Paste_Report_Here!$A$1,0,$A586,2000,1),J$75)</f>
        <v>2</v>
      </c>
      <c r="K586" s="181">
        <f ca="1">COUNTIFS(Paste_Report_Here!$E$1:$E$2000,E580, OFFSET(Paste_Report_Here!$A$1,0,$A586,2000,1),K$75)</f>
        <v>0</v>
      </c>
      <c r="L586" s="166">
        <f t="shared" ref="L586:L610" ca="1" si="87">SUM(F586:K586)</f>
        <v>31</v>
      </c>
      <c r="M586" s="183">
        <f ca="1">SUMPRODUCT(F586:K586,F584:K584)/L:L</f>
        <v>6.4516129032258064E-3</v>
      </c>
      <c r="N586" s="166">
        <f t="shared" ref="N586:N611" ca="1" si="88">EXP(M586)</f>
        <v>1.0064724693862794</v>
      </c>
      <c r="O586" s="165">
        <f ca="1">P552</f>
        <v>2087.9102825847767</v>
      </c>
      <c r="P586" s="165">
        <f t="shared" ref="P586:P611" ca="1" si="89">O586*N586</f>
        <v>2101.4242179701046</v>
      </c>
    </row>
    <row r="587" spans="1:16" s="165" customFormat="1" x14ac:dyDescent="0.3">
      <c r="A587" s="165">
        <f>MATCH(Calcs!B587,Paste_Report_Here!$1:$1,0) -1</f>
        <v>6</v>
      </c>
      <c r="B587" s="165" t="s">
        <v>125</v>
      </c>
      <c r="C587" s="166">
        <f ca="1">RANK(N587,N586:N610)</f>
        <v>11</v>
      </c>
      <c r="D587" s="166">
        <f ca="1">RANK(P587,P586:P610)</f>
        <v>13</v>
      </c>
      <c r="E587" s="189" t="s">
        <v>153</v>
      </c>
      <c r="F587" s="179">
        <f ca="1">COUNTIFS(Paste_Report_Here!$E$1:$E$2000,E580, OFFSET(Paste_Report_Here!$A$1,0,$A587,2000,1),F$75)</f>
        <v>0</v>
      </c>
      <c r="G587" s="180">
        <f ca="1">COUNTIFS(Paste_Report_Here!$E$1:$E$2000,E580, OFFSET(Paste_Report_Here!$A$1,0,$A587,2000,1),G$75)</f>
        <v>3</v>
      </c>
      <c r="H587" s="180">
        <f ca="1">COUNTIFS(Paste_Report_Here!$E$1:$E$2000,E580, OFFSET(Paste_Report_Here!$A$1,0,$A587,2000,1),H$75)</f>
        <v>27</v>
      </c>
      <c r="I587" s="180">
        <f ca="1">COUNTIFS(Paste_Report_Here!$E$1:$E$2000,E580, OFFSET(Paste_Report_Here!$A$1,0,$A587,2000,1),I$75)</f>
        <v>0</v>
      </c>
      <c r="J587" s="180">
        <f ca="1">COUNTIFS(Paste_Report_Here!$E$1:$E$2000,E580, OFFSET(Paste_Report_Here!$A$1,0,$A587,2000,1),J$75)</f>
        <v>0</v>
      </c>
      <c r="K587" s="181">
        <f ca="1">COUNTIFS(Paste_Report_Here!$E$1:$E$2000,E580, OFFSET(Paste_Report_Here!$A$1,0,$A587,2000,1),K$75)</f>
        <v>1</v>
      </c>
      <c r="L587" s="166">
        <f t="shared" ca="1" si="87"/>
        <v>31</v>
      </c>
      <c r="M587" s="183">
        <f ca="1">SUMPRODUCT(F587:K587,F584:K584)/L:L</f>
        <v>0</v>
      </c>
      <c r="N587" s="166">
        <f t="shared" ca="1" si="88"/>
        <v>1</v>
      </c>
      <c r="O587" s="165">
        <f t="shared" ref="O587:O611" ca="1" si="90">P553</f>
        <v>2236.7123687188205</v>
      </c>
      <c r="P587" s="165">
        <f t="shared" ca="1" si="89"/>
        <v>2236.7123687188205</v>
      </c>
    </row>
    <row r="588" spans="1:16" s="165" customFormat="1" x14ac:dyDescent="0.3">
      <c r="A588" s="165">
        <f>MATCH(Calcs!B588,Paste_Report_Here!$1:$1,0) -1</f>
        <v>7</v>
      </c>
      <c r="B588" s="165" t="s">
        <v>126</v>
      </c>
      <c r="C588" s="166">
        <f ca="1">RANK(N588,N586:N610)</f>
        <v>11</v>
      </c>
      <c r="D588" s="166">
        <f ca="1">RANK(P588,P586:P610)</f>
        <v>6</v>
      </c>
      <c r="E588" s="189" t="s">
        <v>154</v>
      </c>
      <c r="F588" s="179">
        <f ca="1">COUNTIFS(Paste_Report_Here!$E$1:$E$2000,E580, OFFSET(Paste_Report_Here!$A$1,0,$A588,2000,1),F$75)</f>
        <v>0</v>
      </c>
      <c r="G588" s="180">
        <f ca="1">COUNTIFS(Paste_Report_Here!$E$1:$E$2000,E580, OFFSET(Paste_Report_Here!$A$1,0,$A588,2000,1),G$75)</f>
        <v>2</v>
      </c>
      <c r="H588" s="180">
        <f ca="1">COUNTIFS(Paste_Report_Here!$E$1:$E$2000,E580, OFFSET(Paste_Report_Here!$A$1,0,$A588,2000,1),H$75)</f>
        <v>25</v>
      </c>
      <c r="I588" s="180">
        <f ca="1">COUNTIFS(Paste_Report_Here!$E$1:$E$2000,E580, OFFSET(Paste_Report_Here!$A$1,0,$A588,2000,1),I$75)</f>
        <v>4</v>
      </c>
      <c r="J588" s="180">
        <f ca="1">COUNTIFS(Paste_Report_Here!$E$1:$E$2000,E580, OFFSET(Paste_Report_Here!$A$1,0,$A588,2000,1),J$75)</f>
        <v>0</v>
      </c>
      <c r="K588" s="181">
        <f ca="1">COUNTIFS(Paste_Report_Here!$E$1:$E$2000,E580, OFFSET(Paste_Report_Here!$A$1,0,$A588,2000,1),K$75)</f>
        <v>0</v>
      </c>
      <c r="L588" s="166">
        <f t="shared" ca="1" si="87"/>
        <v>31</v>
      </c>
      <c r="M588" s="183">
        <f ca="1">SUMPRODUCT(F588:K588,F584:K584)/L:L</f>
        <v>0</v>
      </c>
      <c r="N588" s="166">
        <f t="shared" ca="1" si="88"/>
        <v>1</v>
      </c>
      <c r="O588" s="165">
        <f t="shared" ca="1" si="90"/>
        <v>2875.8686797556093</v>
      </c>
      <c r="P588" s="165">
        <f t="shared" ca="1" si="89"/>
        <v>2875.8686797556093</v>
      </c>
    </row>
    <row r="589" spans="1:16" s="165" customFormat="1" x14ac:dyDescent="0.3">
      <c r="A589" s="165">
        <f>MATCH(Calcs!B589,Paste_Report_Here!$1:$1,0) -1</f>
        <v>8</v>
      </c>
      <c r="B589" s="165" t="s">
        <v>127</v>
      </c>
      <c r="C589" s="166">
        <f ca="1">RANK(N589,N586:N610)</f>
        <v>2</v>
      </c>
      <c r="D589" s="166">
        <f ca="1">RANK(P589,P586:P610)</f>
        <v>8</v>
      </c>
      <c r="E589" s="189" t="s">
        <v>155</v>
      </c>
      <c r="F589" s="179">
        <f ca="1">COUNTIFS(Paste_Report_Here!$E$1:$E$2000,E580, OFFSET(Paste_Report_Here!$A$1,0,$A589,2000,1),F$75)</f>
        <v>0</v>
      </c>
      <c r="G589" s="180">
        <f ca="1">COUNTIFS(Paste_Report_Here!$E$1:$E$2000,E580, OFFSET(Paste_Report_Here!$A$1,0,$A589,2000,1),G$75)</f>
        <v>3</v>
      </c>
      <c r="H589" s="180">
        <f ca="1">COUNTIFS(Paste_Report_Here!$E$1:$E$2000,E580, OFFSET(Paste_Report_Here!$A$1,0,$A589,2000,1),H$75)</f>
        <v>18</v>
      </c>
      <c r="I589" s="180">
        <f ca="1">COUNTIFS(Paste_Report_Here!$E$1:$E$2000,E580, OFFSET(Paste_Report_Here!$A$1,0,$A589,2000,1),I$75)</f>
        <v>9</v>
      </c>
      <c r="J589" s="180">
        <f ca="1">COUNTIFS(Paste_Report_Here!$E$1:$E$2000,E580, OFFSET(Paste_Report_Here!$A$1,0,$A589,2000,1),J$75)</f>
        <v>1</v>
      </c>
      <c r="K589" s="181">
        <f ca="1">COUNTIFS(Paste_Report_Here!$E$1:$E$2000,E580, OFFSET(Paste_Report_Here!$A$1,0,$A589,2000,1),K$75)</f>
        <v>0</v>
      </c>
      <c r="L589" s="166">
        <f t="shared" ca="1" si="87"/>
        <v>31</v>
      </c>
      <c r="M589" s="183">
        <f ca="1">SUMPRODUCT(F589:K589,F584:K584)/L:L</f>
        <v>6.4516129032258064E-3</v>
      </c>
      <c r="N589" s="166">
        <f t="shared" ca="1" si="88"/>
        <v>1.0064724693862794</v>
      </c>
      <c r="O589" s="165">
        <f t="shared" ca="1" si="90"/>
        <v>2609.0929576399953</v>
      </c>
      <c r="P589" s="165">
        <f t="shared" ca="1" si="89"/>
        <v>2625.9802319342775</v>
      </c>
    </row>
    <row r="590" spans="1:16" s="165" customFormat="1" x14ac:dyDescent="0.3">
      <c r="A590" s="165">
        <f>MATCH(Calcs!B590,Paste_Report_Here!$1:$1,0) -1</f>
        <v>9</v>
      </c>
      <c r="B590" s="165" t="s">
        <v>214</v>
      </c>
      <c r="C590" s="166">
        <f ca="1">RANK(N590,N586:N610)</f>
        <v>11</v>
      </c>
      <c r="D590" s="166">
        <f ca="1">RANK(P590,P586:P610)</f>
        <v>5</v>
      </c>
      <c r="E590" s="189" t="s">
        <v>156</v>
      </c>
      <c r="F590" s="179">
        <f ca="1">COUNTIFS(Paste_Report_Here!$E$1:$E$2000,E580, OFFSET(Paste_Report_Here!$A$1,0,$A590,2000,1),F$75)</f>
        <v>0</v>
      </c>
      <c r="G590" s="180">
        <f ca="1">COUNTIFS(Paste_Report_Here!$E$1:$E$2000,E580, OFFSET(Paste_Report_Here!$A$1,0,$A590,2000,1),G$75)</f>
        <v>2</v>
      </c>
      <c r="H590" s="180">
        <f ca="1">COUNTIFS(Paste_Report_Here!$E$1:$E$2000,E580, OFFSET(Paste_Report_Here!$A$1,0,$A590,2000,1),H$75)</f>
        <v>24</v>
      </c>
      <c r="I590" s="180">
        <f ca="1">COUNTIFS(Paste_Report_Here!$E$1:$E$2000,E580, OFFSET(Paste_Report_Here!$A$1,0,$A590,2000,1),I$75)</f>
        <v>4</v>
      </c>
      <c r="J590" s="180">
        <f ca="1">COUNTIFS(Paste_Report_Here!$E$1:$E$2000,E580, OFFSET(Paste_Report_Here!$A$1,0,$A590,2000,1),J$75)</f>
        <v>0</v>
      </c>
      <c r="K590" s="181">
        <f ca="1">COUNTIFS(Paste_Report_Here!$E$1:$E$2000,E580, OFFSET(Paste_Report_Here!$A$1,0,$A590,2000,1),K$75)</f>
        <v>1</v>
      </c>
      <c r="L590" s="166">
        <f t="shared" ca="1" si="87"/>
        <v>31</v>
      </c>
      <c r="M590" s="183">
        <f ca="1">SUMPRODUCT(F590:K590,F584:K584)/L:L</f>
        <v>0</v>
      </c>
      <c r="N590" s="166">
        <f t="shared" ca="1" si="88"/>
        <v>1</v>
      </c>
      <c r="O590" s="165">
        <f t="shared" ca="1" si="90"/>
        <v>3475.3578681834497</v>
      </c>
      <c r="P590" s="165">
        <f t="shared" ca="1" si="89"/>
        <v>3475.3578681834497</v>
      </c>
    </row>
    <row r="591" spans="1:16" s="165" customFormat="1" x14ac:dyDescent="0.3">
      <c r="A591" s="165">
        <f>MATCH(Calcs!B591,Paste_Report_Here!$1:$1,0) -1</f>
        <v>10</v>
      </c>
      <c r="B591" s="165" t="s">
        <v>128</v>
      </c>
      <c r="C591" s="166">
        <f ca="1">RANK(N591,N586:N610)</f>
        <v>2</v>
      </c>
      <c r="D591" s="166">
        <f ca="1">RANK(P591,P586:P610)</f>
        <v>21</v>
      </c>
      <c r="E591" s="189" t="s">
        <v>157</v>
      </c>
      <c r="F591" s="179">
        <f ca="1">COUNTIFS(Paste_Report_Here!$E$1:$E$2000,E580, OFFSET(Paste_Report_Here!$A$1,0,$A591,2000,1),F$75)</f>
        <v>1</v>
      </c>
      <c r="G591" s="180">
        <f ca="1">COUNTIFS(Paste_Report_Here!$E$1:$E$2000,E580, OFFSET(Paste_Report_Here!$A$1,0,$A591,2000,1),G$75)</f>
        <v>3</v>
      </c>
      <c r="H591" s="180">
        <f ca="1">COUNTIFS(Paste_Report_Here!$E$1:$E$2000,E580, OFFSET(Paste_Report_Here!$A$1,0,$A591,2000,1),H$75)</f>
        <v>22</v>
      </c>
      <c r="I591" s="180">
        <f ca="1">COUNTIFS(Paste_Report_Here!$E$1:$E$2000,E580, OFFSET(Paste_Report_Here!$A$1,0,$A591,2000,1),I$75)</f>
        <v>3</v>
      </c>
      <c r="J591" s="180">
        <f ca="1">COUNTIFS(Paste_Report_Here!$E$1:$E$2000,E580, OFFSET(Paste_Report_Here!$A$1,0,$A591,2000,1),J$75)</f>
        <v>2</v>
      </c>
      <c r="K591" s="181">
        <f ca="1">COUNTIFS(Paste_Report_Here!$E$1:$E$2000,E580, OFFSET(Paste_Report_Here!$A$1,0,$A591,2000,1),K$75)</f>
        <v>0</v>
      </c>
      <c r="L591" s="166">
        <f t="shared" ca="1" si="87"/>
        <v>31</v>
      </c>
      <c r="M591" s="183">
        <f ca="1">SUMPRODUCT(F591:K591,F584:K584)/L:L</f>
        <v>6.4516129032258064E-3</v>
      </c>
      <c r="N591" s="166">
        <f t="shared" ca="1" si="88"/>
        <v>1.0064724693862794</v>
      </c>
      <c r="O591" s="165">
        <f t="shared" ca="1" si="90"/>
        <v>1619.9977394438681</v>
      </c>
      <c r="P591" s="165">
        <f t="shared" ca="1" si="89"/>
        <v>1630.4831252182605</v>
      </c>
    </row>
    <row r="592" spans="1:16" s="165" customFormat="1" x14ac:dyDescent="0.3">
      <c r="A592" s="165">
        <f>MATCH(Calcs!B592,Paste_Report_Here!$1:$1,0) -1</f>
        <v>11</v>
      </c>
      <c r="B592" s="165" t="s">
        <v>129</v>
      </c>
      <c r="C592" s="166">
        <f ca="1">RANK(N592,N586:N610)</f>
        <v>2</v>
      </c>
      <c r="D592" s="166">
        <f ca="1">RANK(P592,P586:P610)</f>
        <v>9</v>
      </c>
      <c r="E592" s="189" t="s">
        <v>158</v>
      </c>
      <c r="F592" s="179">
        <f ca="1">COUNTIFS(Paste_Report_Here!$E$1:$E$2000,E580, OFFSET(Paste_Report_Here!$A$1,0,$A592,2000,1),F$75)</f>
        <v>0</v>
      </c>
      <c r="G592" s="180">
        <f ca="1">COUNTIFS(Paste_Report_Here!$E$1:$E$2000,E580, OFFSET(Paste_Report_Here!$A$1,0,$A592,2000,1),G$75)</f>
        <v>4</v>
      </c>
      <c r="H592" s="180">
        <f ca="1">COUNTIFS(Paste_Report_Here!$E$1:$E$2000,E580, OFFSET(Paste_Report_Here!$A$1,0,$A592,2000,1),H$75)</f>
        <v>24</v>
      </c>
      <c r="I592" s="180">
        <f ca="1">COUNTIFS(Paste_Report_Here!$E$1:$E$2000,E580, OFFSET(Paste_Report_Here!$A$1,0,$A592,2000,1),I$75)</f>
        <v>2</v>
      </c>
      <c r="J592" s="180">
        <f ca="1">COUNTIFS(Paste_Report_Here!$E$1:$E$2000,E580, OFFSET(Paste_Report_Here!$A$1,0,$A592,2000,1),J$75)</f>
        <v>1</v>
      </c>
      <c r="K592" s="181">
        <f ca="1">COUNTIFS(Paste_Report_Here!$E$1:$E$2000,E580, OFFSET(Paste_Report_Here!$A$1,0,$A592,2000,1),K$75)</f>
        <v>0</v>
      </c>
      <c r="L592" s="166">
        <f t="shared" ca="1" si="87"/>
        <v>31</v>
      </c>
      <c r="M592" s="183">
        <f ca="1">SUMPRODUCT(F592:K592,F584:K584)/L:L</f>
        <v>6.4516129032258064E-3</v>
      </c>
      <c r="N592" s="166">
        <f t="shared" ca="1" si="88"/>
        <v>1.0064724693862794</v>
      </c>
      <c r="O592" s="165">
        <f t="shared" ca="1" si="90"/>
        <v>2526.1653893412317</v>
      </c>
      <c r="P592" s="165">
        <f t="shared" ca="1" si="89"/>
        <v>2542.5159174884216</v>
      </c>
    </row>
    <row r="593" spans="1:16" s="165" customFormat="1" x14ac:dyDescent="0.3">
      <c r="A593" s="165">
        <f>MATCH(Calcs!B593,Paste_Report_Here!$1:$1,0) -1</f>
        <v>12</v>
      </c>
      <c r="B593" s="165" t="s">
        <v>130</v>
      </c>
      <c r="C593" s="166">
        <f ca="1">RANK(N593,N586:N610)</f>
        <v>11</v>
      </c>
      <c r="D593" s="166">
        <f ca="1">RANK(P593,P586:P610)</f>
        <v>10</v>
      </c>
      <c r="E593" s="189" t="s">
        <v>159</v>
      </c>
      <c r="F593" s="179">
        <f ca="1">COUNTIFS(Paste_Report_Here!$E$1:$E$2000,E580, OFFSET(Paste_Report_Here!$A$1,0,$A593,2000,1),F$75)</f>
        <v>0</v>
      </c>
      <c r="G593" s="180">
        <f ca="1">COUNTIFS(Paste_Report_Here!$E$1:$E$2000,E580, OFFSET(Paste_Report_Here!$A$1,0,$A593,2000,1),G$75)</f>
        <v>3</v>
      </c>
      <c r="H593" s="180">
        <f ca="1">COUNTIFS(Paste_Report_Here!$E$1:$E$2000,E580, OFFSET(Paste_Report_Here!$A$1,0,$A593,2000,1),H$75)</f>
        <v>23</v>
      </c>
      <c r="I593" s="180">
        <f ca="1">COUNTIFS(Paste_Report_Here!$E$1:$E$2000,E580, OFFSET(Paste_Report_Here!$A$1,0,$A593,2000,1),I$75)</f>
        <v>5</v>
      </c>
      <c r="J593" s="180">
        <f ca="1">COUNTIFS(Paste_Report_Here!$E$1:$E$2000,E580, OFFSET(Paste_Report_Here!$A$1,0,$A593,2000,1),J$75)</f>
        <v>0</v>
      </c>
      <c r="K593" s="181">
        <f ca="1">COUNTIFS(Paste_Report_Here!$E$1:$E$2000,E580, OFFSET(Paste_Report_Here!$A$1,0,$A593,2000,1),K$75)</f>
        <v>0</v>
      </c>
      <c r="L593" s="166">
        <f t="shared" ca="1" si="87"/>
        <v>31</v>
      </c>
      <c r="M593" s="183">
        <f ca="1">SUMPRODUCT(F593:K593,F584:K584)/L:L</f>
        <v>0</v>
      </c>
      <c r="N593" s="166">
        <f t="shared" ca="1" si="88"/>
        <v>1</v>
      </c>
      <c r="O593" s="165">
        <f t="shared" ca="1" si="90"/>
        <v>2323.6797506358766</v>
      </c>
      <c r="P593" s="165">
        <f t="shared" ca="1" si="89"/>
        <v>2323.6797506358766</v>
      </c>
    </row>
    <row r="594" spans="1:16" s="165" customFormat="1" x14ac:dyDescent="0.3">
      <c r="A594" s="165">
        <f>MATCH(Calcs!B594,Paste_Report_Here!$1:$1,0) -1</f>
        <v>13</v>
      </c>
      <c r="B594" s="165" t="s">
        <v>131</v>
      </c>
      <c r="C594" s="166">
        <f ca="1">RANK(N594,N586:N610)</f>
        <v>1</v>
      </c>
      <c r="D594" s="166">
        <f ca="1">RANK(P594,P586:P610)</f>
        <v>2</v>
      </c>
      <c r="E594" s="189" t="s">
        <v>160</v>
      </c>
      <c r="F594" s="179">
        <f ca="1">COUNTIFS(Paste_Report_Here!$E$1:$E$2000,E580, OFFSET(Paste_Report_Here!$A$1,0,$A594,2000,1),F$75)</f>
        <v>0</v>
      </c>
      <c r="G594" s="180">
        <f ca="1">COUNTIFS(Paste_Report_Here!$E$1:$E$2000,E580, OFFSET(Paste_Report_Here!$A$1,0,$A594,2000,1),G$75)</f>
        <v>0</v>
      </c>
      <c r="H594" s="180">
        <f ca="1">COUNTIFS(Paste_Report_Here!$E$1:$E$2000,E580, OFFSET(Paste_Report_Here!$A$1,0,$A594,2000,1),H$75)</f>
        <v>16</v>
      </c>
      <c r="I594" s="180">
        <f ca="1">COUNTIFS(Paste_Report_Here!$E$1:$E$2000,E580, OFFSET(Paste_Report_Here!$A$1,0,$A594,2000,1),I$75)</f>
        <v>12</v>
      </c>
      <c r="J594" s="180">
        <f ca="1">COUNTIFS(Paste_Report_Here!$E$1:$E$2000,E580, OFFSET(Paste_Report_Here!$A$1,0,$A594,2000,1),J$75)</f>
        <v>3</v>
      </c>
      <c r="K594" s="181">
        <f ca="1">COUNTIFS(Paste_Report_Here!$E$1:$E$2000,E580, OFFSET(Paste_Report_Here!$A$1,0,$A594,2000,1),K$75)</f>
        <v>0</v>
      </c>
      <c r="L594" s="166">
        <f t="shared" ca="1" si="87"/>
        <v>31</v>
      </c>
      <c r="M594" s="183">
        <f ca="1">SUMPRODUCT(F594:K594,F584:K584)/L:L</f>
        <v>1.9354838709677424E-2</v>
      </c>
      <c r="N594" s="166">
        <f t="shared" ca="1" si="88"/>
        <v>1.0195433578889608</v>
      </c>
      <c r="O594" s="165">
        <f t="shared" ca="1" si="90"/>
        <v>3791.4723214400751</v>
      </c>
      <c r="P594" s="165">
        <f t="shared" ca="1" si="89"/>
        <v>3865.5704219440672</v>
      </c>
    </row>
    <row r="595" spans="1:16" s="165" customFormat="1" x14ac:dyDescent="0.3">
      <c r="A595" s="165">
        <f>MATCH(Calcs!B595,Paste_Report_Here!$1:$1,0) -1</f>
        <v>14</v>
      </c>
      <c r="B595" s="165" t="s">
        <v>132</v>
      </c>
      <c r="C595" s="166">
        <v>3</v>
      </c>
      <c r="D595" s="166">
        <f ca="1">RANK(P595,P586:P610)</f>
        <v>19</v>
      </c>
      <c r="E595" s="189" t="s">
        <v>161</v>
      </c>
      <c r="F595" s="179">
        <f ca="1">COUNTIFS(Paste_Report_Here!$E$1:$E$2000,E580, OFFSET(Paste_Report_Here!$A$1,0,$A595,2000,1),F$75)</f>
        <v>0</v>
      </c>
      <c r="G595" s="180">
        <f ca="1">COUNTIFS(Paste_Report_Here!$E$1:$E$2000,E580, OFFSET(Paste_Report_Here!$A$1,0,$A595,2000,1),G$75)</f>
        <v>0</v>
      </c>
      <c r="H595" s="180">
        <f ca="1">COUNTIFS(Paste_Report_Here!$E$1:$E$2000,E580, OFFSET(Paste_Report_Here!$A$1,0,$A595,2000,1),H$75)</f>
        <v>24</v>
      </c>
      <c r="I595" s="180">
        <f ca="1">COUNTIFS(Paste_Report_Here!$E$1:$E$2000,E580, OFFSET(Paste_Report_Here!$A$1,0,$A595,2000,1),I$75)</f>
        <v>6</v>
      </c>
      <c r="J595" s="180">
        <f ca="1">COUNTIFS(Paste_Report_Here!$E$1:$E$2000,E580, OFFSET(Paste_Report_Here!$A$1,0,$A595,2000,1),J$75)</f>
        <v>1</v>
      </c>
      <c r="K595" s="181">
        <f ca="1">COUNTIFS(Paste_Report_Here!$E$1:$E$2000,E580, OFFSET(Paste_Report_Here!$A$1,0,$A595,2000,1),K$75)</f>
        <v>0</v>
      </c>
      <c r="L595" s="166">
        <f t="shared" ca="1" si="87"/>
        <v>31</v>
      </c>
      <c r="M595" s="183">
        <f ca="1">SUMPRODUCT(F595:K595,F584:K584)/L:L</f>
        <v>6.4516129032258064E-3</v>
      </c>
      <c r="N595" s="166">
        <f t="shared" ca="1" si="88"/>
        <v>1.0064724693862794</v>
      </c>
      <c r="O595" s="165">
        <f t="shared" ca="1" si="90"/>
        <v>1979.1345789426484</v>
      </c>
      <c r="P595" s="165">
        <f t="shared" ca="1" si="89"/>
        <v>1991.9444669161817</v>
      </c>
    </row>
    <row r="596" spans="1:16" s="165" customFormat="1" x14ac:dyDescent="0.3">
      <c r="A596" s="165">
        <f>MATCH(Calcs!B596,Paste_Report_Here!$1:$1,0) -1</f>
        <v>15</v>
      </c>
      <c r="B596" s="165" t="s">
        <v>133</v>
      </c>
      <c r="C596" s="166">
        <f ca="1">RANK(N596,N585:N609)</f>
        <v>10</v>
      </c>
      <c r="D596" s="166">
        <f ca="1">RANK(P596,P586:P610)</f>
        <v>7</v>
      </c>
      <c r="E596" s="189" t="s">
        <v>162</v>
      </c>
      <c r="F596" s="179">
        <f ca="1">COUNTIFS(Paste_Report_Here!$E$1:$E$2000,E580, OFFSET(Paste_Report_Here!$A$1,0,$A596,2000,1),F$75)</f>
        <v>0</v>
      </c>
      <c r="G596" s="180">
        <f ca="1">COUNTIFS(Paste_Report_Here!$E$1:$E$2000,E580, OFFSET(Paste_Report_Here!$A$1,0,$A596,2000,1),G$75)</f>
        <v>1</v>
      </c>
      <c r="H596" s="180">
        <f ca="1">COUNTIFS(Paste_Report_Here!$E$1:$E$2000,E580, OFFSET(Paste_Report_Here!$A$1,0,$A596,2000,1),H$75)</f>
        <v>22</v>
      </c>
      <c r="I596" s="180">
        <f ca="1">COUNTIFS(Paste_Report_Here!$E$1:$E$2000,E580, OFFSET(Paste_Report_Here!$A$1,0,$A596,2000,1),I$75)</f>
        <v>8</v>
      </c>
      <c r="J596" s="180">
        <f ca="1">COUNTIFS(Paste_Report_Here!$E$1:$E$2000,E580, OFFSET(Paste_Report_Here!$A$1,0,$A596,2000,1),J$75)</f>
        <v>0</v>
      </c>
      <c r="K596" s="181">
        <f ca="1">COUNTIFS(Paste_Report_Here!$E$1:$E$2000,E580, OFFSET(Paste_Report_Here!$A$1,0,$A596,2000,1),K$75)</f>
        <v>0</v>
      </c>
      <c r="L596" s="166">
        <f t="shared" ca="1" si="87"/>
        <v>31</v>
      </c>
      <c r="M596" s="183">
        <f ca="1">SUMPRODUCT(F596:K596,F584:K584)/L:L</f>
        <v>0</v>
      </c>
      <c r="N596" s="166">
        <f t="shared" ca="1" si="88"/>
        <v>1</v>
      </c>
      <c r="O596" s="165">
        <f t="shared" ca="1" si="90"/>
        <v>2817.2408486668892</v>
      </c>
      <c r="P596" s="165">
        <f t="shared" ca="1" si="89"/>
        <v>2817.2408486668892</v>
      </c>
    </row>
    <row r="597" spans="1:16" s="165" customFormat="1" x14ac:dyDescent="0.3">
      <c r="A597" s="165">
        <f>MATCH(Calcs!B597,Paste_Report_Here!$1:$1,0) -1</f>
        <v>16</v>
      </c>
      <c r="B597" s="165" t="s">
        <v>134</v>
      </c>
      <c r="C597" s="166">
        <f ca="1">RANK(N597,N586:N610)</f>
        <v>23</v>
      </c>
      <c r="D597" s="166">
        <f ca="1">RANK(P597,P586:P610)</f>
        <v>24</v>
      </c>
      <c r="E597" s="189" t="s">
        <v>163</v>
      </c>
      <c r="F597" s="179">
        <f ca="1">COUNTIFS(Paste_Report_Here!$E$1:$E$2000,E580, OFFSET(Paste_Report_Here!$A$1,0,$A597,2000,1),F$75)</f>
        <v>1</v>
      </c>
      <c r="G597" s="180">
        <f ca="1">COUNTIFS(Paste_Report_Here!$E$1:$E$2000,E580, OFFSET(Paste_Report_Here!$A$1,0,$A597,2000,1),G$75)</f>
        <v>1</v>
      </c>
      <c r="H597" s="180">
        <f ca="1">COUNTIFS(Paste_Report_Here!$E$1:$E$2000,E580, OFFSET(Paste_Report_Here!$A$1,0,$A597,2000,1),H$75)</f>
        <v>26</v>
      </c>
      <c r="I597" s="180">
        <f ca="1">COUNTIFS(Paste_Report_Here!$E$1:$E$2000,E580, OFFSET(Paste_Report_Here!$A$1,0,$A597,2000,1),I$75)</f>
        <v>3</v>
      </c>
      <c r="J597" s="180">
        <f ca="1">COUNTIFS(Paste_Report_Here!$E$1:$E$2000,E580, OFFSET(Paste_Report_Here!$A$1,0,$A597,2000,1),J$75)</f>
        <v>0</v>
      </c>
      <c r="K597" s="181">
        <f ca="1">COUNTIFS(Paste_Report_Here!$E$1:$E$2000,E580, OFFSET(Paste_Report_Here!$A$1,0,$A597,2000,1),K$75)</f>
        <v>0</v>
      </c>
      <c r="L597" s="166">
        <f t="shared" ca="1" si="87"/>
        <v>31</v>
      </c>
      <c r="M597" s="183">
        <f ca="1">SUMPRODUCT(F597:K597,F584:K584)/L:L</f>
        <v>-6.4516129032258064E-3</v>
      </c>
      <c r="N597" s="166">
        <f t="shared" ca="1" si="88"/>
        <v>0.99356915406714885</v>
      </c>
      <c r="O597" s="165">
        <f t="shared" ca="1" si="90"/>
        <v>1179.9688965028261</v>
      </c>
      <c r="P597" s="165">
        <f t="shared" ca="1" si="89"/>
        <v>1172.3806983238601</v>
      </c>
    </row>
    <row r="598" spans="1:16" s="165" customFormat="1" x14ac:dyDescent="0.3">
      <c r="A598" s="165">
        <f>MATCH(Calcs!B598,Paste_Report_Here!$1:$1,0) -1</f>
        <v>17</v>
      </c>
      <c r="B598" s="165" t="s">
        <v>135</v>
      </c>
      <c r="C598" s="166">
        <f ca="1">RANK(N598,N586:N610)</f>
        <v>2</v>
      </c>
      <c r="D598" s="166">
        <f ca="1">RANK(P598,P586:P610)</f>
        <v>20</v>
      </c>
      <c r="E598" s="189" t="s">
        <v>164</v>
      </c>
      <c r="F598" s="179">
        <f ca="1">COUNTIFS(Paste_Report_Here!$E$1:$E$2000,E580, OFFSET(Paste_Report_Here!$A$1,0,$A598,2000,1),F$75)</f>
        <v>1</v>
      </c>
      <c r="G598" s="180">
        <f ca="1">COUNTIFS(Paste_Report_Here!$E$1:$E$2000,E580, OFFSET(Paste_Report_Here!$A$1,0,$A598,2000,1),G$75)</f>
        <v>1</v>
      </c>
      <c r="H598" s="180">
        <f ca="1">COUNTIFS(Paste_Report_Here!$E$1:$E$2000,E580, OFFSET(Paste_Report_Here!$A$1,0,$A598,2000,1),H$75)</f>
        <v>23</v>
      </c>
      <c r="I598" s="180">
        <f ca="1">COUNTIFS(Paste_Report_Here!$E$1:$E$2000,E580, OFFSET(Paste_Report_Here!$A$1,0,$A598,2000,1),I$75)</f>
        <v>4</v>
      </c>
      <c r="J598" s="180">
        <f ca="1">COUNTIFS(Paste_Report_Here!$E$1:$E$2000,E580, OFFSET(Paste_Report_Here!$A$1,0,$A598,2000,1),J$75)</f>
        <v>2</v>
      </c>
      <c r="K598" s="181">
        <f ca="1">COUNTIFS(Paste_Report_Here!$E$1:$E$2000,E580, OFFSET(Paste_Report_Here!$A$1,0,$A598,2000,1),K$75)</f>
        <v>0</v>
      </c>
      <c r="L598" s="166">
        <f t="shared" ca="1" si="87"/>
        <v>31</v>
      </c>
      <c r="M598" s="183">
        <f ca="1">SUMPRODUCT(F598:K598,F584:K584)/L:L</f>
        <v>6.4516129032258064E-3</v>
      </c>
      <c r="N598" s="166">
        <f t="shared" ca="1" si="88"/>
        <v>1.0064724693862794</v>
      </c>
      <c r="O598" s="165">
        <f t="shared" ca="1" si="90"/>
        <v>1806.3602869864335</v>
      </c>
      <c r="P598" s="165">
        <f t="shared" ca="1" si="89"/>
        <v>1818.0518986445441</v>
      </c>
    </row>
    <row r="599" spans="1:16" s="165" customFormat="1" x14ac:dyDescent="0.3">
      <c r="A599" s="165">
        <f>MATCH(Calcs!B599,Paste_Report_Here!$1:$1,0) -1</f>
        <v>18</v>
      </c>
      <c r="B599" s="165" t="s">
        <v>136</v>
      </c>
      <c r="C599" s="166">
        <f ca="1">RANK(N599,N586:N610)</f>
        <v>11</v>
      </c>
      <c r="D599" s="166">
        <f ca="1">RANK(P599,P586:P610)</f>
        <v>4</v>
      </c>
      <c r="E599" s="189" t="s">
        <v>165</v>
      </c>
      <c r="F599" s="179">
        <f ca="1">COUNTIFS(Paste_Report_Here!$E$1:$E$2000,E580, OFFSET(Paste_Report_Here!$A$1,0,$A599,2000,1),F$75)</f>
        <v>0</v>
      </c>
      <c r="G599" s="180">
        <f ca="1">COUNTIFS(Paste_Report_Here!$E$1:$E$2000,E580, OFFSET(Paste_Report_Here!$A$1,0,$A599,2000,1),G$75)</f>
        <v>1</v>
      </c>
      <c r="H599" s="180">
        <f ca="1">COUNTIFS(Paste_Report_Here!$E$1:$E$2000,E580, OFFSET(Paste_Report_Here!$A$1,0,$A599,2000,1),H$75)</f>
        <v>25</v>
      </c>
      <c r="I599" s="180">
        <f ca="1">COUNTIFS(Paste_Report_Here!$E$1:$E$2000,E580, OFFSET(Paste_Report_Here!$A$1,0,$A599,2000,1),I$75)</f>
        <v>5</v>
      </c>
      <c r="J599" s="180">
        <f ca="1">COUNTIFS(Paste_Report_Here!$E$1:$E$2000,E580, OFFSET(Paste_Report_Here!$A$1,0,$A599,2000,1),J$75)</f>
        <v>0</v>
      </c>
      <c r="K599" s="181">
        <f ca="1">COUNTIFS(Paste_Report_Here!$E$1:$E$2000,E580, OFFSET(Paste_Report_Here!$A$1,0,$A599,2000,1),K$75)</f>
        <v>0</v>
      </c>
      <c r="L599" s="166">
        <f t="shared" ca="1" si="87"/>
        <v>31</v>
      </c>
      <c r="M599" s="183">
        <f ca="1">SUMPRODUCT(F599:K599,F584:K584)/L:L</f>
        <v>0</v>
      </c>
      <c r="N599" s="166">
        <f t="shared" ca="1" si="88"/>
        <v>1</v>
      </c>
      <c r="O599" s="165">
        <f t="shared" ca="1" si="90"/>
        <v>3710.0323918264025</v>
      </c>
      <c r="P599" s="165">
        <f t="shared" ca="1" si="89"/>
        <v>3710.0323918264025</v>
      </c>
    </row>
    <row r="600" spans="1:16" s="165" customFormat="1" x14ac:dyDescent="0.3">
      <c r="A600" s="165">
        <f>MATCH(Calcs!B600,Paste_Report_Here!$1:$1,0) -1</f>
        <v>19</v>
      </c>
      <c r="B600" s="165" t="s">
        <v>137</v>
      </c>
      <c r="C600" s="166">
        <f ca="1">RANK(N600,N586:N610)</f>
        <v>11</v>
      </c>
      <c r="D600" s="166">
        <f ca="1">RANK(P600,P586:P610)</f>
        <v>14</v>
      </c>
      <c r="E600" s="189" t="s">
        <v>166</v>
      </c>
      <c r="F600" s="179">
        <f ca="1">COUNTIFS(Paste_Report_Here!$E$1:$E$2000,E580, OFFSET(Paste_Report_Here!$A$1,0,$A600,2000,1),F$75)</f>
        <v>0</v>
      </c>
      <c r="G600" s="180">
        <f ca="1">COUNTIFS(Paste_Report_Here!$E$1:$E$2000,E580, OFFSET(Paste_Report_Here!$A$1,0,$A600,2000,1),G$75)</f>
        <v>0</v>
      </c>
      <c r="H600" s="180">
        <f ca="1">COUNTIFS(Paste_Report_Here!$E$1:$E$2000,E580, OFFSET(Paste_Report_Here!$A$1,0,$A600,2000,1),H$75)</f>
        <v>27</v>
      </c>
      <c r="I600" s="180">
        <f ca="1">COUNTIFS(Paste_Report_Here!$E$1:$E$2000,E580, OFFSET(Paste_Report_Here!$A$1,0,$A600,2000,1),I$75)</f>
        <v>4</v>
      </c>
      <c r="J600" s="180">
        <f ca="1">COUNTIFS(Paste_Report_Here!$E$1:$E$2000,E580, OFFSET(Paste_Report_Here!$A$1,0,$A600,2000,1),J$75)</f>
        <v>0</v>
      </c>
      <c r="K600" s="181">
        <f ca="1">COUNTIFS(Paste_Report_Here!$E$1:$E$2000,E580, OFFSET(Paste_Report_Here!$A$1,0,$A600,2000,1),K$75)</f>
        <v>0</v>
      </c>
      <c r="L600" s="166">
        <f t="shared" ca="1" si="87"/>
        <v>31</v>
      </c>
      <c r="M600" s="183">
        <f ca="1">SUMPRODUCT(F600:K600,F584:K584)/L:L</f>
        <v>0</v>
      </c>
      <c r="N600" s="166">
        <f t="shared" ca="1" si="88"/>
        <v>1</v>
      </c>
      <c r="O600" s="165">
        <f t="shared" ca="1" si="90"/>
        <v>2122.6781131465646</v>
      </c>
      <c r="P600" s="165">
        <f t="shared" ca="1" si="89"/>
        <v>2122.6781131465646</v>
      </c>
    </row>
    <row r="601" spans="1:16" s="165" customFormat="1" x14ac:dyDescent="0.3">
      <c r="A601" s="165">
        <f>MATCH(Calcs!B601,Paste_Report_Here!$1:$1,0) -1</f>
        <v>20</v>
      </c>
      <c r="B601" s="165" t="s">
        <v>138</v>
      </c>
      <c r="C601" s="166">
        <f ca="1">RANK(N601,N587:N611)</f>
        <v>11</v>
      </c>
      <c r="D601" s="166">
        <f ca="1">RANK(P601,P586:P610)</f>
        <v>18</v>
      </c>
      <c r="E601" s="189" t="s">
        <v>167</v>
      </c>
      <c r="F601" s="179">
        <f ca="1">COUNTIFS(Paste_Report_Here!$E$1:$E$2000,E580, OFFSET(Paste_Report_Here!$A$1,0,$A601,2000,1),F$75)</f>
        <v>0</v>
      </c>
      <c r="G601" s="180">
        <f ca="1">COUNTIFS(Paste_Report_Here!$E$1:$E$2000,E580, OFFSET(Paste_Report_Here!$A$1,0,$A601,2000,1),G$75)</f>
        <v>1</v>
      </c>
      <c r="H601" s="180">
        <f ca="1">COUNTIFS(Paste_Report_Here!$E$1:$E$2000,E580, OFFSET(Paste_Report_Here!$A$1,0,$A601,2000,1),H$75)</f>
        <v>24</v>
      </c>
      <c r="I601" s="180">
        <f ca="1">COUNTIFS(Paste_Report_Here!$E$1:$E$2000,E580, OFFSET(Paste_Report_Here!$A$1,0,$A601,2000,1),I$75)</f>
        <v>6</v>
      </c>
      <c r="J601" s="180">
        <f ca="1">COUNTIFS(Paste_Report_Here!$E$1:$E$2000,E580, OFFSET(Paste_Report_Here!$A$1,0,$A601,2000,1),J$75)</f>
        <v>0</v>
      </c>
      <c r="K601" s="181">
        <f ca="1">COUNTIFS(Paste_Report_Here!$E$1:$E$2000,E580, OFFSET(Paste_Report_Here!$A$1,0,$A601,2000,1),K$75)</f>
        <v>0</v>
      </c>
      <c r="L601" s="166">
        <f t="shared" ca="1" si="87"/>
        <v>31</v>
      </c>
      <c r="M601" s="183">
        <f ca="1">SUMPRODUCT(F601:K601,F584:K584)/L:L</f>
        <v>0</v>
      </c>
      <c r="N601" s="166">
        <f t="shared" ca="1" si="88"/>
        <v>1</v>
      </c>
      <c r="O601" s="165">
        <f t="shared" ca="1" si="90"/>
        <v>2005.4946064001942</v>
      </c>
      <c r="P601" s="165">
        <f t="shared" ca="1" si="89"/>
        <v>2005.4946064001942</v>
      </c>
    </row>
    <row r="602" spans="1:16" s="165" customFormat="1" x14ac:dyDescent="0.3">
      <c r="A602" s="165">
        <f>MATCH(Calcs!B602,Paste_Report_Here!$1:$1,0) -1</f>
        <v>21</v>
      </c>
      <c r="B602" s="165" t="s">
        <v>139</v>
      </c>
      <c r="C602" s="166">
        <f ca="1">RANK(N602,N586:N610)</f>
        <v>25</v>
      </c>
      <c r="D602" s="166">
        <f ca="1">RANK(P602,P586:P610)</f>
        <v>16</v>
      </c>
      <c r="E602" s="189" t="s">
        <v>168</v>
      </c>
      <c r="F602" s="179">
        <f ca="1">COUNTIFS(Paste_Report_Here!$E$1:$E$2000,E580, OFFSET(Paste_Report_Here!$A$1,0,$A602,2000,1),F$75)</f>
        <v>2</v>
      </c>
      <c r="G602" s="180">
        <f ca="1">COUNTIFS(Paste_Report_Here!$E$1:$E$2000,E580, OFFSET(Paste_Report_Here!$A$1,0,$A602,2000,1),G$75)</f>
        <v>1</v>
      </c>
      <c r="H602" s="180">
        <f ca="1">COUNTIFS(Paste_Report_Here!$E$1:$E$2000,E580, OFFSET(Paste_Report_Here!$A$1,0,$A602,2000,1),H$75)</f>
        <v>21</v>
      </c>
      <c r="I602" s="180">
        <f ca="1">COUNTIFS(Paste_Report_Here!$E$1:$E$2000,E580, OFFSET(Paste_Report_Here!$A$1,0,$A602,2000,1),I$75)</f>
        <v>7</v>
      </c>
      <c r="J602" s="180">
        <f ca="1">COUNTIFS(Paste_Report_Here!$E$1:$E$2000,E580, OFFSET(Paste_Report_Here!$A$1,0,$A602,2000,1),J$75)</f>
        <v>0</v>
      </c>
      <c r="K602" s="181">
        <f ca="1">COUNTIFS(Paste_Report_Here!$E$1:$E$2000,E580, OFFSET(Paste_Report_Here!$A$1,0,$A602,2000,1),K$75)</f>
        <v>0</v>
      </c>
      <c r="L602" s="166">
        <f t="shared" ca="1" si="87"/>
        <v>31</v>
      </c>
      <c r="M602" s="183">
        <f ca="1">SUMPRODUCT(F602:K602,F584:K584)/L:L</f>
        <v>-1.2903225806451613E-2</v>
      </c>
      <c r="N602" s="166">
        <f t="shared" ca="1" si="88"/>
        <v>0.98717966391370982</v>
      </c>
      <c r="O602" s="165">
        <f t="shared" ca="1" si="90"/>
        <v>2127.7616979352861</v>
      </c>
      <c r="P602" s="165">
        <f t="shared" ca="1" si="89"/>
        <v>2100.4830778562205</v>
      </c>
    </row>
    <row r="603" spans="1:16" s="165" customFormat="1" x14ac:dyDescent="0.3">
      <c r="A603" s="165">
        <f>MATCH(Calcs!B603,Paste_Report_Here!$1:$1,0) -1</f>
        <v>22</v>
      </c>
      <c r="B603" s="165" t="s">
        <v>140</v>
      </c>
      <c r="C603" s="166">
        <f ca="1">RANK(N603,N586:N610)</f>
        <v>2</v>
      </c>
      <c r="D603" s="166">
        <f ca="1">RANK(P603,P586:P610)</f>
        <v>17</v>
      </c>
      <c r="E603" s="189" t="s">
        <v>169</v>
      </c>
      <c r="F603" s="179">
        <f ca="1">COUNTIFS(Paste_Report_Here!$E$1:$E$2000,E580, OFFSET(Paste_Report_Here!$A$1,0,$A603,2000,1),F$75)</f>
        <v>1</v>
      </c>
      <c r="G603" s="180">
        <f ca="1">COUNTIFS(Paste_Report_Here!$E$1:$E$2000,E580, OFFSET(Paste_Report_Here!$A$1,0,$A603,2000,1),G$75)</f>
        <v>0</v>
      </c>
      <c r="H603" s="180">
        <f ca="1">COUNTIFS(Paste_Report_Here!$E$1:$E$2000,E580, OFFSET(Paste_Report_Here!$A$1,0,$A603,2000,1),H$75)</f>
        <v>24</v>
      </c>
      <c r="I603" s="180">
        <f ca="1">COUNTIFS(Paste_Report_Here!$E$1:$E$2000,E580, OFFSET(Paste_Report_Here!$A$1,0,$A603,2000,1),I$75)</f>
        <v>4</v>
      </c>
      <c r="J603" s="180">
        <f ca="1">COUNTIFS(Paste_Report_Here!$E$1:$E$2000,E580, OFFSET(Paste_Report_Here!$A$1,0,$A603,2000,1),J$75)</f>
        <v>2</v>
      </c>
      <c r="K603" s="181">
        <f ca="1">COUNTIFS(Paste_Report_Here!$E$1:$E$2000,E580, OFFSET(Paste_Report_Here!$A$1,0,$A603,2000,1),K$75)</f>
        <v>0</v>
      </c>
      <c r="L603" s="166">
        <f t="shared" ca="1" si="87"/>
        <v>31</v>
      </c>
      <c r="M603" s="183">
        <f ca="1">SUMPRODUCT(F603:K603,F584:K584)/L:L</f>
        <v>6.4516129032258064E-3</v>
      </c>
      <c r="N603" s="166">
        <f t="shared" ca="1" si="88"/>
        <v>1.0064724693862794</v>
      </c>
      <c r="O603" s="165">
        <f t="shared" ca="1" si="90"/>
        <v>2024.4174747281318</v>
      </c>
      <c r="P603" s="165">
        <f t="shared" ca="1" si="89"/>
        <v>2037.5204548583588</v>
      </c>
    </row>
    <row r="604" spans="1:16" s="165" customFormat="1" x14ac:dyDescent="0.3">
      <c r="A604" s="165">
        <f>MATCH(Calcs!B604,Paste_Report_Here!$1:$1,0) -1</f>
        <v>23</v>
      </c>
      <c r="B604" s="165" t="s">
        <v>186</v>
      </c>
      <c r="C604" s="166">
        <f ca="1">RANK(N604,N586:N610)</f>
        <v>2</v>
      </c>
      <c r="D604" s="166">
        <f ca="1">RANK(P604,P586:P610)</f>
        <v>3</v>
      </c>
      <c r="E604" s="189" t="s">
        <v>180</v>
      </c>
      <c r="F604" s="179">
        <f ca="1">COUNTIFS(Paste_Report_Here!$E$1:$E$2000,E580, OFFSET(Paste_Report_Here!$A$1,0,$A604,2000,1),F$75)</f>
        <v>0</v>
      </c>
      <c r="G604" s="180">
        <f ca="1">COUNTIFS(Paste_Report_Here!$E$1:$E$2000,E580, OFFSET(Paste_Report_Here!$A$1,0,$A604,2000,1),G$75)</f>
        <v>1</v>
      </c>
      <c r="H604" s="180">
        <f ca="1">COUNTIFS(Paste_Report_Here!$E$1:$E$2000,E580, OFFSET(Paste_Report_Here!$A$1,0,$A604,2000,1),H$75)</f>
        <v>25</v>
      </c>
      <c r="I604" s="180">
        <f ca="1">COUNTIFS(Paste_Report_Here!$E$1:$E$2000,E580, OFFSET(Paste_Report_Here!$A$1,0,$A604,2000,1),I$75)</f>
        <v>4</v>
      </c>
      <c r="J604" s="180">
        <f ca="1">COUNTIFS(Paste_Report_Here!$E$1:$E$2000,E580, OFFSET(Paste_Report_Here!$A$1,0,$A604,2000,1),J$75)</f>
        <v>1</v>
      </c>
      <c r="K604" s="181">
        <f ca="1">COUNTIFS(Paste_Report_Here!$E$1:$E$2000,E580, OFFSET(Paste_Report_Here!$A$1,0,$A604,2000,1),K$75)</f>
        <v>0</v>
      </c>
      <c r="L604" s="166">
        <f t="shared" ca="1" si="87"/>
        <v>31</v>
      </c>
      <c r="M604" s="183">
        <f ca="1">SUMPRODUCT(F604:K604,F584:K584)/L:L</f>
        <v>6.4516129032258064E-3</v>
      </c>
      <c r="N604" s="166">
        <f t="shared" ca="1" si="88"/>
        <v>1.0064724693862794</v>
      </c>
      <c r="O604" s="165">
        <f t="shared" ca="1" si="90"/>
        <v>3765.2522128990026</v>
      </c>
      <c r="P604" s="165">
        <f t="shared" ca="1" si="89"/>
        <v>3789.6226925786123</v>
      </c>
    </row>
    <row r="605" spans="1:16" s="165" customFormat="1" x14ac:dyDescent="0.3">
      <c r="A605" s="165">
        <f>MATCH(Calcs!B605,Paste_Report_Here!$1:$1,0) -1</f>
        <v>24</v>
      </c>
      <c r="B605" s="165" t="s">
        <v>209</v>
      </c>
      <c r="C605" s="166">
        <f ca="1">RANK(N605,N586:N610)</f>
        <v>11</v>
      </c>
      <c r="D605" s="166">
        <f ca="1">RANK(P605,P586:P610)</f>
        <v>23</v>
      </c>
      <c r="E605" s="202" t="s">
        <v>211</v>
      </c>
      <c r="F605" s="179">
        <f ca="1">COUNTIFS(Paste_Report_Here!$E$1:$E$2000,E580, OFFSET(Paste_Report_Here!$A$1,0,$A605,2000,1),F$75)</f>
        <v>0</v>
      </c>
      <c r="G605" s="180">
        <f ca="1">COUNTIFS(Paste_Report_Here!$E$1:$E$2000,E580, OFFSET(Paste_Report_Here!$A$1,0,$A605,2000,1),G$75)</f>
        <v>2</v>
      </c>
      <c r="H605" s="180">
        <f ca="1">COUNTIFS(Paste_Report_Here!$E$1:$E$2000,E580, OFFSET(Paste_Report_Here!$A$1,0,$A605,2000,1),H$75)</f>
        <v>25</v>
      </c>
      <c r="I605" s="180">
        <f ca="1">COUNTIFS(Paste_Report_Here!$E$1:$E$2000,E580, OFFSET(Paste_Report_Here!$A$1,0,$A605,2000,1),I$75)</f>
        <v>1</v>
      </c>
      <c r="J605" s="180">
        <f ca="1">COUNTIFS(Paste_Report_Here!$E$1:$E$2000,E580, OFFSET(Paste_Report_Here!$A$1,0,$A605,2000,1),J$75)</f>
        <v>0</v>
      </c>
      <c r="K605" s="181">
        <f ca="1">COUNTIFS(Paste_Report_Here!$E$1:$E$2000,E580, OFFSET(Paste_Report_Here!$A$1,0,$A605,2000,1),K$75)</f>
        <v>3</v>
      </c>
      <c r="L605" s="166">
        <f t="shared" ca="1" si="87"/>
        <v>31</v>
      </c>
      <c r="M605" s="183">
        <f ca="1">SUMPRODUCT(F605:K605,F584:K584)/L:L</f>
        <v>0</v>
      </c>
      <c r="N605" s="166">
        <f t="shared" ca="1" si="88"/>
        <v>1</v>
      </c>
      <c r="O605" s="165">
        <f t="shared" ca="1" si="90"/>
        <v>1180.0265503753844</v>
      </c>
      <c r="P605" s="165">
        <f t="shared" ca="1" si="89"/>
        <v>1180.0265503753844</v>
      </c>
    </row>
    <row r="606" spans="1:16" s="165" customFormat="1" x14ac:dyDescent="0.3">
      <c r="A606" s="165">
        <f>MATCH(Calcs!B606,Paste_Report_Here!$1:$1,0) -1</f>
        <v>25</v>
      </c>
      <c r="B606" s="165" t="s">
        <v>141</v>
      </c>
      <c r="C606" s="166">
        <f ca="1">RANK(N606,N586:N610)</f>
        <v>11</v>
      </c>
      <c r="D606" s="166">
        <f ca="1">RANK(P606,P586:P610)</f>
        <v>22</v>
      </c>
      <c r="E606" s="189" t="s">
        <v>170</v>
      </c>
      <c r="F606" s="179">
        <f ca="1">COUNTIFS(Paste_Report_Here!$E$1:$E$2000,E580, OFFSET(Paste_Report_Here!$A$1,0,$A606,2000,1),F$75)</f>
        <v>0</v>
      </c>
      <c r="G606" s="180">
        <f ca="1">COUNTIFS(Paste_Report_Here!$E$1:$E$2000,E580, OFFSET(Paste_Report_Here!$A$1,0,$A606,2000,1),G$75)</f>
        <v>4</v>
      </c>
      <c r="H606" s="180">
        <f ca="1">COUNTIFS(Paste_Report_Here!$E$1:$E$2000,E580, OFFSET(Paste_Report_Here!$A$1,0,$A606,2000,1),H$75)</f>
        <v>22</v>
      </c>
      <c r="I606" s="180">
        <f ca="1">COUNTIFS(Paste_Report_Here!$E$1:$E$2000,E580, OFFSET(Paste_Report_Here!$A$1,0,$A606,2000,1),I$75)</f>
        <v>5</v>
      </c>
      <c r="J606" s="180">
        <f ca="1">COUNTIFS(Paste_Report_Here!$E$1:$E$2000,E580, OFFSET(Paste_Report_Here!$A$1,0,$A606,2000,1),J$75)</f>
        <v>0</v>
      </c>
      <c r="K606" s="181">
        <f ca="1">COUNTIFS(Paste_Report_Here!$E$1:$E$2000,E580, OFFSET(Paste_Report_Here!$A$1,0,$A606,2000,1),K$75)</f>
        <v>0</v>
      </c>
      <c r="L606" s="166">
        <f t="shared" ca="1" si="87"/>
        <v>31</v>
      </c>
      <c r="M606" s="183">
        <f ca="1">SUMPRODUCT(F606:K606,F584:K584)/L:L</f>
        <v>0</v>
      </c>
      <c r="N606" s="166">
        <f t="shared" ca="1" si="88"/>
        <v>1</v>
      </c>
      <c r="O606" s="165">
        <f t="shared" ca="1" si="90"/>
        <v>1387.661989146708</v>
      </c>
      <c r="P606" s="165">
        <f t="shared" ca="1" si="89"/>
        <v>1387.661989146708</v>
      </c>
    </row>
    <row r="607" spans="1:16" s="165" customFormat="1" x14ac:dyDescent="0.3">
      <c r="A607" s="165">
        <f>MATCH(Calcs!B607,Paste_Report_Here!$1:$1,0) -1</f>
        <v>26</v>
      </c>
      <c r="B607" s="165" t="s">
        <v>142</v>
      </c>
      <c r="C607" s="166">
        <f ca="1">RANK(N607,N586:N610)</f>
        <v>23</v>
      </c>
      <c r="D607" s="166">
        <f ca="1">RANK(P607,P586:P610)</f>
        <v>12</v>
      </c>
      <c r="E607" s="189" t="s">
        <v>171</v>
      </c>
      <c r="F607" s="179">
        <f ca="1">COUNTIFS(Paste_Report_Here!$E$1:$E$2000,E580, OFFSET(Paste_Report_Here!$A$1,0,$A607,2000,1),F$75)</f>
        <v>1</v>
      </c>
      <c r="G607" s="180">
        <f ca="1">COUNTIFS(Paste_Report_Here!$E$1:$E$2000,E580, OFFSET(Paste_Report_Here!$A$1,0,$A607,2000,1),G$75)</f>
        <v>0</v>
      </c>
      <c r="H607" s="180">
        <f ca="1">COUNTIFS(Paste_Report_Here!$E$1:$E$2000,E580, OFFSET(Paste_Report_Here!$A$1,0,$A607,2000,1),H$75)</f>
        <v>26</v>
      </c>
      <c r="I607" s="180">
        <f ca="1">COUNTIFS(Paste_Report_Here!$E$1:$E$2000,E580, OFFSET(Paste_Report_Here!$A$1,0,$A607,2000,1),I$75)</f>
        <v>4</v>
      </c>
      <c r="J607" s="180">
        <f ca="1">COUNTIFS(Paste_Report_Here!$E$1:$E$2000,E580, OFFSET(Paste_Report_Here!$A$1,0,$A607,2000,1),J$75)</f>
        <v>0</v>
      </c>
      <c r="K607" s="181">
        <f ca="1">COUNTIFS(Paste_Report_Here!$E$1:$E$2000,E580, OFFSET(Paste_Report_Here!$A$1,0,$A607,2000,1),K$75)</f>
        <v>0</v>
      </c>
      <c r="L607" s="166">
        <f t="shared" ca="1" si="87"/>
        <v>31</v>
      </c>
      <c r="M607" s="183">
        <f ca="1">SUMPRODUCT(F607:K607,F584:K584)/L:L</f>
        <v>-6.4516129032258064E-3</v>
      </c>
      <c r="N607" s="166">
        <f t="shared" ca="1" si="88"/>
        <v>0.99356915406714885</v>
      </c>
      <c r="O607" s="165">
        <f t="shared" ca="1" si="90"/>
        <v>2291.0187085636321</v>
      </c>
      <c r="P607" s="165">
        <f t="shared" ca="1" si="89"/>
        <v>2276.2855202195797</v>
      </c>
    </row>
    <row r="608" spans="1:16" s="165" customFormat="1" x14ac:dyDescent="0.3">
      <c r="A608" s="165">
        <f>MATCH(Calcs!B608,Paste_Report_Here!$1:$1,0) -1</f>
        <v>27</v>
      </c>
      <c r="B608" s="165" t="s">
        <v>210</v>
      </c>
      <c r="C608" s="166">
        <f ca="1">RANK(N608,N586:N610)</f>
        <v>11</v>
      </c>
      <c r="D608" s="166">
        <f ca="1">RANK(P608,P586:P610)</f>
        <v>25</v>
      </c>
      <c r="E608" s="202" t="s">
        <v>212</v>
      </c>
      <c r="F608" s="179">
        <f ca="1">COUNTIFS(Paste_Report_Here!$E$1:$E$2000,E580, OFFSET(Paste_Report_Here!$A$1,0,$A608,2000,1),F$75)</f>
        <v>0</v>
      </c>
      <c r="G608" s="180">
        <f ca="1">COUNTIFS(Paste_Report_Here!$E$1:$E$2000,E580, OFFSET(Paste_Report_Here!$A$1,0,$A608,2000,1),G$75)</f>
        <v>1</v>
      </c>
      <c r="H608" s="180">
        <f ca="1">COUNTIFS(Paste_Report_Here!$E$1:$E$2000,E580, OFFSET(Paste_Report_Here!$A$1,0,$A608,2000,1),H$75)</f>
        <v>26</v>
      </c>
      <c r="I608" s="180">
        <f ca="1">COUNTIFS(Paste_Report_Here!$E$1:$E$2000,E580, OFFSET(Paste_Report_Here!$A$1,0,$A608,2000,1),I$75)</f>
        <v>4</v>
      </c>
      <c r="J608" s="180">
        <f ca="1">COUNTIFS(Paste_Report_Here!$E$1:$E$2000,E580, OFFSET(Paste_Report_Here!$A$1,0,$A608,2000,1),J$75)</f>
        <v>0</v>
      </c>
      <c r="K608" s="181">
        <f ca="1">COUNTIFS(Paste_Report_Here!$E$1:$E$2000,E580, OFFSET(Paste_Report_Here!$A$1,0,$A608,2000,1),K$75)</f>
        <v>0</v>
      </c>
      <c r="L608" s="166">
        <f t="shared" ca="1" si="87"/>
        <v>31</v>
      </c>
      <c r="M608" s="183">
        <f ca="1">SUMPRODUCT(F608:K608,F584:K584)/L:L</f>
        <v>0</v>
      </c>
      <c r="N608" s="166">
        <f t="shared" ca="1" si="88"/>
        <v>1</v>
      </c>
      <c r="O608" s="165">
        <f t="shared" ca="1" si="90"/>
        <v>1138.0832807918787</v>
      </c>
      <c r="P608" s="165">
        <f t="shared" ca="1" si="89"/>
        <v>1138.0832807918787</v>
      </c>
    </row>
    <row r="609" spans="1:16" s="165" customFormat="1" x14ac:dyDescent="0.3">
      <c r="A609" s="165">
        <f>MATCH(Calcs!B609,Paste_Report_Here!$1:$1,0) -1</f>
        <v>28</v>
      </c>
      <c r="B609" s="165" t="s">
        <v>143</v>
      </c>
      <c r="C609" s="166">
        <f ca="1">RANK(N609,N587:N611)</f>
        <v>11</v>
      </c>
      <c r="D609" s="166">
        <f ca="1">RANK(P609,P586:P610)</f>
        <v>1</v>
      </c>
      <c r="E609" s="189" t="s">
        <v>172</v>
      </c>
      <c r="F609" s="179">
        <f ca="1">COUNTIFS(Paste_Report_Here!$E$1:$E$2000,E580, OFFSET(Paste_Report_Here!$A$1,0,$A609,2000,1),F$75)</f>
        <v>0</v>
      </c>
      <c r="G609" s="180">
        <f ca="1">COUNTIFS(Paste_Report_Here!$E$1:$E$2000,E580, OFFSET(Paste_Report_Here!$A$1,0,$A609,2000,1),G$75)</f>
        <v>0</v>
      </c>
      <c r="H609" s="180">
        <f ca="1">COUNTIFS(Paste_Report_Here!$E$1:$E$2000,E580, OFFSET(Paste_Report_Here!$A$1,0,$A609,2000,1),H$75)</f>
        <v>23</v>
      </c>
      <c r="I609" s="180">
        <f ca="1">COUNTIFS(Paste_Report_Here!$E$1:$E$2000,E580, OFFSET(Paste_Report_Here!$A$1,0,$A609,2000,1),I$75)</f>
        <v>8</v>
      </c>
      <c r="J609" s="180">
        <f ca="1">COUNTIFS(Paste_Report_Here!$E$1:$E$2000,E580, OFFSET(Paste_Report_Here!$A$1,0,$A609,2000,1),J$75)</f>
        <v>0</v>
      </c>
      <c r="K609" s="181">
        <f ca="1">COUNTIFS(Paste_Report_Here!$E$1:$E$2000,E580, OFFSET(Paste_Report_Here!$A$1,0,$A609,2000,1),K$75)</f>
        <v>0</v>
      </c>
      <c r="L609" s="166">
        <f t="shared" ca="1" si="87"/>
        <v>31</v>
      </c>
      <c r="M609" s="183">
        <f ca="1">SUMPRODUCT(F609:K609,F584:K584)/L:L</f>
        <v>0</v>
      </c>
      <c r="N609" s="166">
        <f t="shared" ca="1" si="88"/>
        <v>1</v>
      </c>
      <c r="O609" s="165">
        <f t="shared" ca="1" si="90"/>
        <v>7579.2223611941808</v>
      </c>
      <c r="P609" s="165">
        <f t="shared" ca="1" si="89"/>
        <v>7579.2223611941808</v>
      </c>
    </row>
    <row r="610" spans="1:16" s="165" customFormat="1" x14ac:dyDescent="0.3">
      <c r="A610" s="165">
        <f>MATCH(Calcs!B610,Paste_Report_Here!$1:$1,0) -1</f>
        <v>29</v>
      </c>
      <c r="B610" s="187" t="s">
        <v>144</v>
      </c>
      <c r="C610" s="147">
        <f ca="1">RANK(N610,N586:N610)</f>
        <v>2</v>
      </c>
      <c r="D610" s="147">
        <f ca="1">RANK(P610,P586:P610)</f>
        <v>11</v>
      </c>
      <c r="E610" s="145" t="s">
        <v>173</v>
      </c>
      <c r="F610" s="146">
        <f ca="1">COUNTIFS(Paste_Report_Here!$E$1:$E$2000,E580, OFFSET(Paste_Report_Here!$A$1,0,$A610,2000,1),F$75)</f>
        <v>0</v>
      </c>
      <c r="G610" s="147">
        <f ca="1">COUNTIFS(Paste_Report_Here!$E$1:$E$2000,E580, OFFSET(Paste_Report_Here!$A$1,0,$A610,2000,1),G$75)</f>
        <v>2</v>
      </c>
      <c r="H610" s="147">
        <f ca="1">COUNTIFS(Paste_Report_Here!$E$1:$E$2000,E580, OFFSET(Paste_Report_Here!$A$1,0,$A610,2000,1),H$75)</f>
        <v>23</v>
      </c>
      <c r="I610" s="147">
        <f ca="1">COUNTIFS(Paste_Report_Here!$E$1:$E$2000,E580, OFFSET(Paste_Report_Here!$A$1,0,$A610,2000,1),I$75)</f>
        <v>5</v>
      </c>
      <c r="J610" s="147">
        <f ca="1">COUNTIFS(Paste_Report_Here!$E$1:$E$2000,E580, OFFSET(Paste_Report_Here!$A$1,0,$A610,2000,1),J$75)</f>
        <v>1</v>
      </c>
      <c r="K610" s="148">
        <f ca="1">COUNTIFS(Paste_Report_Here!$E$1:$E$2000,E580, OFFSET(Paste_Report_Here!$A$1,0,$A610,2000,1),K$75)</f>
        <v>0</v>
      </c>
      <c r="L610" s="147">
        <f t="shared" ca="1" si="87"/>
        <v>31</v>
      </c>
      <c r="M610" s="149">
        <f ca="1">SUMPRODUCT(F610:K610,F584:K584)/L:L</f>
        <v>6.4516129032258064E-3</v>
      </c>
      <c r="N610" s="147">
        <f t="shared" ca="1" si="88"/>
        <v>1.0064724693862794</v>
      </c>
      <c r="O610" s="187">
        <f t="shared" ca="1" si="90"/>
        <v>2272.9115771900224</v>
      </c>
      <c r="P610" s="165">
        <f t="shared" ca="1" si="89"/>
        <v>2287.6229277911048</v>
      </c>
    </row>
    <row r="611" spans="1:16" s="165" customFormat="1" x14ac:dyDescent="0.3">
      <c r="C611" s="166"/>
      <c r="E611" s="140" t="s">
        <v>293</v>
      </c>
      <c r="F611" s="180">
        <f ca="1">SUM(F586:F610)</f>
        <v>8</v>
      </c>
      <c r="G611" s="180">
        <f t="shared" ref="G611:L611" ca="1" si="91">SUM(G586:G610)</f>
        <v>37</v>
      </c>
      <c r="H611" s="180">
        <f t="shared" ca="1" si="91"/>
        <v>588</v>
      </c>
      <c r="I611" s="180">
        <f t="shared" ca="1" si="91"/>
        <v>121</v>
      </c>
      <c r="J611" s="180">
        <f t="shared" ca="1" si="91"/>
        <v>16</v>
      </c>
      <c r="K611" s="180">
        <f t="shared" ca="1" si="91"/>
        <v>5</v>
      </c>
      <c r="L611" s="180">
        <f t="shared" ca="1" si="91"/>
        <v>775</v>
      </c>
      <c r="M611" s="144">
        <f ca="1">SUMPRODUCT(F611:K611,F584:K584)/L611</f>
        <v>2.0645161290322581E-3</v>
      </c>
      <c r="N611" s="166">
        <f t="shared" ca="1" si="88"/>
        <v>1.0020666487097858</v>
      </c>
      <c r="O611" s="165">
        <f t="shared" ca="1" si="90"/>
        <v>2606.9666512575968</v>
      </c>
      <c r="P611" s="165">
        <f t="shared" ca="1" si="89"/>
        <v>2612.354335523873</v>
      </c>
    </row>
    <row r="612" spans="1:16" s="165" customFormat="1" x14ac:dyDescent="0.3">
      <c r="A612" s="194"/>
      <c r="B612" s="194"/>
      <c r="C612" s="153"/>
      <c r="D612" s="194"/>
      <c r="E612" s="164"/>
      <c r="F612" s="151"/>
      <c r="G612" s="151"/>
      <c r="H612" s="151"/>
      <c r="I612" s="151"/>
      <c r="J612" s="151"/>
      <c r="K612" s="151"/>
      <c r="L612" s="151"/>
      <c r="M612" s="162"/>
      <c r="N612" s="153"/>
      <c r="O612" s="194"/>
      <c r="P612" s="194"/>
    </row>
    <row r="613" spans="1:16" s="165" customFormat="1" x14ac:dyDescent="0.3">
      <c r="E613" s="173" t="s">
        <v>292</v>
      </c>
    </row>
    <row r="614" spans="1:16" s="165" customFormat="1" x14ac:dyDescent="0.3">
      <c r="E614" s="141">
        <v>41089</v>
      </c>
    </row>
    <row r="615" spans="1:16" s="165" customFormat="1" ht="15" thickBot="1" x14ac:dyDescent="0.35"/>
    <row r="616" spans="1:16" s="165" customFormat="1" ht="24.6" thickBot="1" x14ac:dyDescent="0.35">
      <c r="F616" s="174" t="s">
        <v>23</v>
      </c>
      <c r="G616" s="168" t="s">
        <v>18</v>
      </c>
      <c r="H616" s="168" t="s">
        <v>16</v>
      </c>
      <c r="I616" s="168" t="s">
        <v>17</v>
      </c>
      <c r="J616" s="168" t="s">
        <v>19</v>
      </c>
      <c r="K616" s="169" t="s">
        <v>114</v>
      </c>
    </row>
    <row r="617" spans="1:16" s="165" customFormat="1" x14ac:dyDescent="0.3">
      <c r="F617" s="267" t="s">
        <v>201</v>
      </c>
      <c r="G617" s="268"/>
      <c r="H617" s="268"/>
      <c r="I617" s="268"/>
      <c r="J617" s="268"/>
      <c r="K617" s="169"/>
      <c r="M617" s="203">
        <f ca="1">(H645+K645)/L645</f>
        <v>0.67724137931034478</v>
      </c>
      <c r="N617" s="204" t="s">
        <v>501</v>
      </c>
    </row>
    <row r="618" spans="1:16" s="165" customFormat="1" ht="43.8" thickBot="1" x14ac:dyDescent="0.35">
      <c r="A618" s="142" t="s">
        <v>294</v>
      </c>
      <c r="B618" s="142" t="s">
        <v>295</v>
      </c>
      <c r="C618" s="197" t="s">
        <v>440</v>
      </c>
      <c r="D618" s="142" t="s">
        <v>441</v>
      </c>
      <c r="E618" s="171" t="s">
        <v>30</v>
      </c>
      <c r="F618" s="175">
        <f>Falling_fast</f>
        <v>-0.2</v>
      </c>
      <c r="G618" s="176">
        <f>Falling</f>
        <v>0</v>
      </c>
      <c r="H618" s="177">
        <f>Static</f>
        <v>0</v>
      </c>
      <c r="I618" s="176">
        <f>Rising</f>
        <v>0</v>
      </c>
      <c r="J618" s="178">
        <f>Rising_fast</f>
        <v>0.2</v>
      </c>
      <c r="K618" s="182">
        <v>0</v>
      </c>
      <c r="L618" s="171" t="s">
        <v>28</v>
      </c>
      <c r="M618" s="172" t="s">
        <v>29</v>
      </c>
      <c r="N618" s="143" t="s">
        <v>296</v>
      </c>
      <c r="O618" s="142" t="s">
        <v>297</v>
      </c>
      <c r="P618" s="142" t="s">
        <v>298</v>
      </c>
    </row>
    <row r="619" spans="1:16" s="165" customFormat="1" x14ac:dyDescent="0.3">
      <c r="C619" s="166"/>
      <c r="E619" s="192"/>
      <c r="F619" s="198" t="s">
        <v>151</v>
      </c>
      <c r="G619" s="199" t="s">
        <v>149</v>
      </c>
      <c r="H619" s="199" t="s">
        <v>16</v>
      </c>
      <c r="I619" s="199" t="s">
        <v>148</v>
      </c>
      <c r="J619" s="199" t="s">
        <v>150</v>
      </c>
      <c r="K619" s="200" t="s">
        <v>114</v>
      </c>
      <c r="L619" s="166"/>
      <c r="M619" s="170"/>
      <c r="N619" s="166"/>
    </row>
    <row r="620" spans="1:16" s="165" customFormat="1" x14ac:dyDescent="0.3">
      <c r="A620" s="165">
        <f>MATCH(Calcs!B620,Paste_Report_Here!$1:$1,0) -1</f>
        <v>5</v>
      </c>
      <c r="B620" s="165" t="s">
        <v>124</v>
      </c>
      <c r="C620" s="166">
        <f ca="1">RANK(N620,N620:N644)</f>
        <v>23</v>
      </c>
      <c r="D620" s="166">
        <f ca="1">RANK(P620,P620:P644)</f>
        <v>16</v>
      </c>
      <c r="E620" s="189" t="s">
        <v>152</v>
      </c>
      <c r="F620" s="179">
        <f ca="1">COUNTIFS(Paste_Report_Here!$E$1:$E$2000,E614, OFFSET(Paste_Report_Here!$A$1,0,$A620,2000,1),F$75)</f>
        <v>2</v>
      </c>
      <c r="G620" s="180">
        <f ca="1">COUNTIFS(Paste_Report_Here!$E$1:$E$2000,E614, OFFSET(Paste_Report_Here!$A$1,0,$A620,2000,1),G$75)</f>
        <v>1</v>
      </c>
      <c r="H620" s="180">
        <f ca="1">COUNTIFS(Paste_Report_Here!$E$1:$E$2000,E614, OFFSET(Paste_Report_Here!$A$1,0,$A620,2000,1),H$75)</f>
        <v>21</v>
      </c>
      <c r="I620" s="180">
        <f ca="1">COUNTIFS(Paste_Report_Here!$E$1:$E$2000,E614, OFFSET(Paste_Report_Here!$A$1,0,$A620,2000,1),I$75)</f>
        <v>4</v>
      </c>
      <c r="J620" s="180">
        <f ca="1">COUNTIFS(Paste_Report_Here!$E$1:$E$2000,E614, OFFSET(Paste_Report_Here!$A$1,0,$A620,2000,1),J$75)</f>
        <v>1</v>
      </c>
      <c r="K620" s="181">
        <f ca="1">COUNTIFS(Paste_Report_Here!$E$1:$E$2000,E614, OFFSET(Paste_Report_Here!$A$1,0,$A620,2000,1),K$75)</f>
        <v>0</v>
      </c>
      <c r="L620" s="166">
        <f t="shared" ref="L620:L644" ca="1" si="92">SUM(F620:K620)</f>
        <v>29</v>
      </c>
      <c r="M620" s="183">
        <f ca="1">SUMPRODUCT(F620:K620,F618:K618)/L:L</f>
        <v>-6.8965517241379318E-3</v>
      </c>
      <c r="N620" s="166">
        <f t="shared" ref="N620:N645" ca="1" si="93">EXP(M620)</f>
        <v>0.99312717491337699</v>
      </c>
      <c r="O620" s="165">
        <f ca="1">P586</f>
        <v>2101.4242179701046</v>
      </c>
      <c r="P620" s="165">
        <f t="shared" ref="P620:P645" ca="1" si="94">O620*N620</f>
        <v>2086.9814968872024</v>
      </c>
    </row>
    <row r="621" spans="1:16" s="165" customFormat="1" x14ac:dyDescent="0.3">
      <c r="A621" s="165">
        <f>MATCH(Calcs!B621,Paste_Report_Here!$1:$1,0) -1</f>
        <v>6</v>
      </c>
      <c r="B621" s="165" t="s">
        <v>125</v>
      </c>
      <c r="C621" s="166">
        <f ca="1">RANK(N621,N620:N644)</f>
        <v>23</v>
      </c>
      <c r="D621" s="166">
        <f ca="1">RANK(P621,P620:P644)</f>
        <v>13</v>
      </c>
      <c r="E621" s="189" t="s">
        <v>153</v>
      </c>
      <c r="F621" s="179">
        <f ca="1">COUNTIFS(Paste_Report_Here!$E$1:$E$2000,E614, OFFSET(Paste_Report_Here!$A$1,0,$A621,2000,1),F$75)</f>
        <v>1</v>
      </c>
      <c r="G621" s="180">
        <f ca="1">COUNTIFS(Paste_Report_Here!$E$1:$E$2000,E614, OFFSET(Paste_Report_Here!$A$1,0,$A621,2000,1),G$75)</f>
        <v>2</v>
      </c>
      <c r="H621" s="180">
        <f ca="1">COUNTIFS(Paste_Report_Here!$E$1:$E$2000,E614, OFFSET(Paste_Report_Here!$A$1,0,$A621,2000,1),H$75)</f>
        <v>22</v>
      </c>
      <c r="I621" s="180">
        <f ca="1">COUNTIFS(Paste_Report_Here!$E$1:$E$2000,E614, OFFSET(Paste_Report_Here!$A$1,0,$A621,2000,1),I$75)</f>
        <v>4</v>
      </c>
      <c r="J621" s="180">
        <f ca="1">COUNTIFS(Paste_Report_Here!$E$1:$E$2000,E614, OFFSET(Paste_Report_Here!$A$1,0,$A621,2000,1),J$75)</f>
        <v>0</v>
      </c>
      <c r="K621" s="181">
        <f ca="1">COUNTIFS(Paste_Report_Here!$E$1:$E$2000,E614, OFFSET(Paste_Report_Here!$A$1,0,$A621,2000,1),K$75)</f>
        <v>0</v>
      </c>
      <c r="L621" s="166">
        <f t="shared" ca="1" si="92"/>
        <v>29</v>
      </c>
      <c r="M621" s="183">
        <f ca="1">SUMPRODUCT(F621:K621,F618:K618)/L:L</f>
        <v>-6.8965517241379318E-3</v>
      </c>
      <c r="N621" s="166">
        <f t="shared" ca="1" si="93"/>
        <v>0.99312717491337699</v>
      </c>
      <c r="O621" s="165">
        <f t="shared" ref="O621:O645" ca="1" si="95">P587</f>
        <v>2236.7123687188205</v>
      </c>
      <c r="P621" s="165">
        <f t="shared" ca="1" si="94"/>
        <v>2221.3398358395298</v>
      </c>
    </row>
    <row r="622" spans="1:16" s="165" customFormat="1" x14ac:dyDescent="0.3">
      <c r="A622" s="165">
        <f>MATCH(Calcs!B622,Paste_Report_Here!$1:$1,0) -1</f>
        <v>7</v>
      </c>
      <c r="B622" s="165" t="s">
        <v>126</v>
      </c>
      <c r="C622" s="166">
        <f ca="1">RANK(N622,N620:N644)</f>
        <v>7</v>
      </c>
      <c r="D622" s="166">
        <f ca="1">RANK(P622,P620:P644)</f>
        <v>6</v>
      </c>
      <c r="E622" s="189" t="s">
        <v>154</v>
      </c>
      <c r="F622" s="179">
        <f ca="1">COUNTIFS(Paste_Report_Here!$E$1:$E$2000,E614, OFFSET(Paste_Report_Here!$A$1,0,$A622,2000,1),F$75)</f>
        <v>0</v>
      </c>
      <c r="G622" s="180">
        <f ca="1">COUNTIFS(Paste_Report_Here!$E$1:$E$2000,E614, OFFSET(Paste_Report_Here!$A$1,0,$A622,2000,1),G$75)</f>
        <v>3</v>
      </c>
      <c r="H622" s="180">
        <f ca="1">COUNTIFS(Paste_Report_Here!$E$1:$E$2000,E614, OFFSET(Paste_Report_Here!$A$1,0,$A622,2000,1),H$75)</f>
        <v>20</v>
      </c>
      <c r="I622" s="180">
        <f ca="1">COUNTIFS(Paste_Report_Here!$E$1:$E$2000,E614, OFFSET(Paste_Report_Here!$A$1,0,$A622,2000,1),I$75)</f>
        <v>5</v>
      </c>
      <c r="J622" s="180">
        <f ca="1">COUNTIFS(Paste_Report_Here!$E$1:$E$2000,E614, OFFSET(Paste_Report_Here!$A$1,0,$A622,2000,1),J$75)</f>
        <v>1</v>
      </c>
      <c r="K622" s="181">
        <f ca="1">COUNTIFS(Paste_Report_Here!$E$1:$E$2000,E614, OFFSET(Paste_Report_Here!$A$1,0,$A622,2000,1),K$75)</f>
        <v>0</v>
      </c>
      <c r="L622" s="166">
        <f t="shared" ca="1" si="92"/>
        <v>29</v>
      </c>
      <c r="M622" s="183">
        <f ca="1">SUMPRODUCT(F622:K622,F618:K618)/L:L</f>
        <v>6.8965517241379318E-3</v>
      </c>
      <c r="N622" s="166">
        <f t="shared" ca="1" si="93"/>
        <v>1.0069203877008224</v>
      </c>
      <c r="O622" s="165">
        <f t="shared" ca="1" si="95"/>
        <v>2875.8686797556093</v>
      </c>
      <c r="P622" s="165">
        <f t="shared" ca="1" si="94"/>
        <v>2895.7708059961701</v>
      </c>
    </row>
    <row r="623" spans="1:16" s="165" customFormat="1" x14ac:dyDescent="0.3">
      <c r="A623" s="165">
        <f>MATCH(Calcs!B623,Paste_Report_Here!$1:$1,0) -1</f>
        <v>8</v>
      </c>
      <c r="B623" s="165" t="s">
        <v>127</v>
      </c>
      <c r="C623" s="166">
        <f ca="1">RANK(N623,N620:N644)</f>
        <v>1</v>
      </c>
      <c r="D623" s="166">
        <f ca="1">RANK(P623,P620:P644)</f>
        <v>8</v>
      </c>
      <c r="E623" s="189" t="s">
        <v>155</v>
      </c>
      <c r="F623" s="179">
        <f ca="1">COUNTIFS(Paste_Report_Here!$E$1:$E$2000,E614, OFFSET(Paste_Report_Here!$A$1,0,$A623,2000,1),F$75)</f>
        <v>0</v>
      </c>
      <c r="G623" s="180">
        <f ca="1">COUNTIFS(Paste_Report_Here!$E$1:$E$2000,E614, OFFSET(Paste_Report_Here!$A$1,0,$A623,2000,1),G$75)</f>
        <v>0</v>
      </c>
      <c r="H623" s="180">
        <f ca="1">COUNTIFS(Paste_Report_Here!$E$1:$E$2000,E614, OFFSET(Paste_Report_Here!$A$1,0,$A623,2000,1),H$75)</f>
        <v>16</v>
      </c>
      <c r="I623" s="180">
        <f ca="1">COUNTIFS(Paste_Report_Here!$E$1:$E$2000,E614, OFFSET(Paste_Report_Here!$A$1,0,$A623,2000,1),I$75)</f>
        <v>10</v>
      </c>
      <c r="J623" s="180">
        <f ca="1">COUNTIFS(Paste_Report_Here!$E$1:$E$2000,E614, OFFSET(Paste_Report_Here!$A$1,0,$A623,2000,1),J$75)</f>
        <v>3</v>
      </c>
      <c r="K623" s="181">
        <f ca="1">COUNTIFS(Paste_Report_Here!$E$1:$E$2000,E614, OFFSET(Paste_Report_Here!$A$1,0,$A623,2000,1),K$75)</f>
        <v>0</v>
      </c>
      <c r="L623" s="166">
        <f t="shared" ca="1" si="92"/>
        <v>29</v>
      </c>
      <c r="M623" s="183">
        <f ca="1">SUMPRODUCT(F623:K623,F618:K618)/L:L</f>
        <v>2.0689655172413796E-2</v>
      </c>
      <c r="N623" s="166">
        <f t="shared" ca="1" si="93"/>
        <v>1.0209051698298444</v>
      </c>
      <c r="O623" s="165">
        <f t="shared" ca="1" si="95"/>
        <v>2625.9802319342775</v>
      </c>
      <c r="P623" s="165">
        <f t="shared" ca="1" si="94"/>
        <v>2680.8767946526777</v>
      </c>
    </row>
    <row r="624" spans="1:16" s="165" customFormat="1" x14ac:dyDescent="0.3">
      <c r="A624" s="165">
        <f>MATCH(Calcs!B624,Paste_Report_Here!$1:$1,0) -1</f>
        <v>9</v>
      </c>
      <c r="B624" s="165" t="s">
        <v>214</v>
      </c>
      <c r="C624" s="166">
        <f ca="1">RANK(N624,N620:N644)</f>
        <v>13</v>
      </c>
      <c r="D624" s="166">
        <f ca="1">RANK(P624,P620:P644)</f>
        <v>5</v>
      </c>
      <c r="E624" s="189" t="s">
        <v>156</v>
      </c>
      <c r="F624" s="179">
        <f ca="1">COUNTIFS(Paste_Report_Here!$E$1:$E$2000,E614, OFFSET(Paste_Report_Here!$A$1,0,$A624,2000,1),F$75)</f>
        <v>0</v>
      </c>
      <c r="G624" s="180">
        <f ca="1">COUNTIFS(Paste_Report_Here!$E$1:$E$2000,E614, OFFSET(Paste_Report_Here!$A$1,0,$A624,2000,1),G$75)</f>
        <v>2</v>
      </c>
      <c r="H624" s="180">
        <f ca="1">COUNTIFS(Paste_Report_Here!$E$1:$E$2000,E614, OFFSET(Paste_Report_Here!$A$1,0,$A624,2000,1),H$75)</f>
        <v>20</v>
      </c>
      <c r="I624" s="180">
        <f ca="1">COUNTIFS(Paste_Report_Here!$E$1:$E$2000,E614, OFFSET(Paste_Report_Here!$A$1,0,$A624,2000,1),I$75)</f>
        <v>7</v>
      </c>
      <c r="J624" s="180">
        <f ca="1">COUNTIFS(Paste_Report_Here!$E$1:$E$2000,E614, OFFSET(Paste_Report_Here!$A$1,0,$A624,2000,1),J$75)</f>
        <v>0</v>
      </c>
      <c r="K624" s="181">
        <f ca="1">COUNTIFS(Paste_Report_Here!$E$1:$E$2000,E614, OFFSET(Paste_Report_Here!$A$1,0,$A624,2000,1),K$75)</f>
        <v>0</v>
      </c>
      <c r="L624" s="166">
        <f t="shared" ca="1" si="92"/>
        <v>29</v>
      </c>
      <c r="M624" s="183">
        <f ca="1">SUMPRODUCT(F624:K624,F618:K618)/L:L</f>
        <v>0</v>
      </c>
      <c r="N624" s="166">
        <f t="shared" ca="1" si="93"/>
        <v>1</v>
      </c>
      <c r="O624" s="165">
        <f t="shared" ca="1" si="95"/>
        <v>3475.3578681834497</v>
      </c>
      <c r="P624" s="165">
        <f t="shared" ca="1" si="94"/>
        <v>3475.3578681834497</v>
      </c>
    </row>
    <row r="625" spans="1:16" s="165" customFormat="1" x14ac:dyDescent="0.3">
      <c r="A625" s="165">
        <f>MATCH(Calcs!B625,Paste_Report_Here!$1:$1,0) -1</f>
        <v>10</v>
      </c>
      <c r="B625" s="165" t="s">
        <v>128</v>
      </c>
      <c r="C625" s="166">
        <f ca="1">RANK(N625,N620:N644)</f>
        <v>7</v>
      </c>
      <c r="D625" s="166">
        <f ca="1">RANK(P625,P620:P644)</f>
        <v>21</v>
      </c>
      <c r="E625" s="189" t="s">
        <v>157</v>
      </c>
      <c r="F625" s="179">
        <f ca="1">COUNTIFS(Paste_Report_Here!$E$1:$E$2000,E614, OFFSET(Paste_Report_Here!$A$1,0,$A625,2000,1),F$75)</f>
        <v>1</v>
      </c>
      <c r="G625" s="180">
        <f ca="1">COUNTIFS(Paste_Report_Here!$E$1:$E$2000,E614, OFFSET(Paste_Report_Here!$A$1,0,$A625,2000,1),G$75)</f>
        <v>1</v>
      </c>
      <c r="H625" s="180">
        <f ca="1">COUNTIFS(Paste_Report_Here!$E$1:$E$2000,E614, OFFSET(Paste_Report_Here!$A$1,0,$A625,2000,1),H$75)</f>
        <v>20</v>
      </c>
      <c r="I625" s="180">
        <f ca="1">COUNTIFS(Paste_Report_Here!$E$1:$E$2000,E614, OFFSET(Paste_Report_Here!$A$1,0,$A625,2000,1),I$75)</f>
        <v>5</v>
      </c>
      <c r="J625" s="180">
        <f ca="1">COUNTIFS(Paste_Report_Here!$E$1:$E$2000,E614, OFFSET(Paste_Report_Here!$A$1,0,$A625,2000,1),J$75)</f>
        <v>2</v>
      </c>
      <c r="K625" s="181">
        <f ca="1">COUNTIFS(Paste_Report_Here!$E$1:$E$2000,E614, OFFSET(Paste_Report_Here!$A$1,0,$A625,2000,1),K$75)</f>
        <v>0</v>
      </c>
      <c r="L625" s="166">
        <f t="shared" ca="1" si="92"/>
        <v>29</v>
      </c>
      <c r="M625" s="183">
        <f ca="1">SUMPRODUCT(F625:K625,F618:K618)/L:L</f>
        <v>6.8965517241379318E-3</v>
      </c>
      <c r="N625" s="166">
        <f t="shared" ca="1" si="93"/>
        <v>1.0069203877008224</v>
      </c>
      <c r="O625" s="165">
        <f t="shared" ca="1" si="95"/>
        <v>1630.4831252182605</v>
      </c>
      <c r="P625" s="165">
        <f t="shared" ca="1" si="94"/>
        <v>1641.7667005844194</v>
      </c>
    </row>
    <row r="626" spans="1:16" s="165" customFormat="1" x14ac:dyDescent="0.3">
      <c r="A626" s="165">
        <f>MATCH(Calcs!B626,Paste_Report_Here!$1:$1,0) -1</f>
        <v>11</v>
      </c>
      <c r="B626" s="165" t="s">
        <v>129</v>
      </c>
      <c r="C626" s="166">
        <f ca="1">RANK(N626,N620:N644)</f>
        <v>7</v>
      </c>
      <c r="D626" s="166">
        <f ca="1">RANK(P626,P620:P644)</f>
        <v>9</v>
      </c>
      <c r="E626" s="189" t="s">
        <v>158</v>
      </c>
      <c r="F626" s="179">
        <f ca="1">COUNTIFS(Paste_Report_Here!$E$1:$E$2000,E614, OFFSET(Paste_Report_Here!$A$1,0,$A626,2000,1),F$75)</f>
        <v>1</v>
      </c>
      <c r="G626" s="180">
        <f ca="1">COUNTIFS(Paste_Report_Here!$E$1:$E$2000,E614, OFFSET(Paste_Report_Here!$A$1,0,$A626,2000,1),G$75)</f>
        <v>0</v>
      </c>
      <c r="H626" s="180">
        <f ca="1">COUNTIFS(Paste_Report_Here!$E$1:$E$2000,E614, OFFSET(Paste_Report_Here!$A$1,0,$A626,2000,1),H$75)</f>
        <v>22</v>
      </c>
      <c r="I626" s="180">
        <f ca="1">COUNTIFS(Paste_Report_Here!$E$1:$E$2000,E614, OFFSET(Paste_Report_Here!$A$1,0,$A626,2000,1),I$75)</f>
        <v>4</v>
      </c>
      <c r="J626" s="180">
        <f ca="1">COUNTIFS(Paste_Report_Here!$E$1:$E$2000,E614, OFFSET(Paste_Report_Here!$A$1,0,$A626,2000,1),J$75)</f>
        <v>2</v>
      </c>
      <c r="K626" s="181">
        <f ca="1">COUNTIFS(Paste_Report_Here!$E$1:$E$2000,E614, OFFSET(Paste_Report_Here!$A$1,0,$A626,2000,1),K$75)</f>
        <v>0</v>
      </c>
      <c r="L626" s="166">
        <f t="shared" ca="1" si="92"/>
        <v>29</v>
      </c>
      <c r="M626" s="183">
        <f ca="1">SUMPRODUCT(F626:K626,F618:K618)/L:L</f>
        <v>6.8965517241379318E-3</v>
      </c>
      <c r="N626" s="166">
        <f t="shared" ca="1" si="93"/>
        <v>1.0069203877008224</v>
      </c>
      <c r="O626" s="165">
        <f t="shared" ca="1" si="95"/>
        <v>2542.5159174884216</v>
      </c>
      <c r="P626" s="165">
        <f t="shared" ca="1" si="94"/>
        <v>2560.1111133729537</v>
      </c>
    </row>
    <row r="627" spans="1:16" s="165" customFormat="1" x14ac:dyDescent="0.3">
      <c r="A627" s="165">
        <f>MATCH(Calcs!B627,Paste_Report_Here!$1:$1,0) -1</f>
        <v>12</v>
      </c>
      <c r="B627" s="165" t="s">
        <v>130</v>
      </c>
      <c r="C627" s="166">
        <f ca="1">RANK(N627,N620:N644)</f>
        <v>13</v>
      </c>
      <c r="D627" s="166">
        <f ca="1">RANK(P627,P620:P644)</f>
        <v>10</v>
      </c>
      <c r="E627" s="189" t="s">
        <v>159</v>
      </c>
      <c r="F627" s="179">
        <f ca="1">COUNTIFS(Paste_Report_Here!$E$1:$E$2000,E614, OFFSET(Paste_Report_Here!$A$1,0,$A627,2000,1),F$75)</f>
        <v>0</v>
      </c>
      <c r="G627" s="180">
        <f ca="1">COUNTIFS(Paste_Report_Here!$E$1:$E$2000,E614, OFFSET(Paste_Report_Here!$A$1,0,$A627,2000,1),G$75)</f>
        <v>2</v>
      </c>
      <c r="H627" s="180">
        <f ca="1">COUNTIFS(Paste_Report_Here!$E$1:$E$2000,E614, OFFSET(Paste_Report_Here!$A$1,0,$A627,2000,1),H$75)</f>
        <v>22</v>
      </c>
      <c r="I627" s="180">
        <f ca="1">COUNTIFS(Paste_Report_Here!$E$1:$E$2000,E614, OFFSET(Paste_Report_Here!$A$1,0,$A627,2000,1),I$75)</f>
        <v>5</v>
      </c>
      <c r="J627" s="180">
        <f ca="1">COUNTIFS(Paste_Report_Here!$E$1:$E$2000,E614, OFFSET(Paste_Report_Here!$A$1,0,$A627,2000,1),J$75)</f>
        <v>0</v>
      </c>
      <c r="K627" s="181">
        <f ca="1">COUNTIFS(Paste_Report_Here!$E$1:$E$2000,E614, OFFSET(Paste_Report_Here!$A$1,0,$A627,2000,1),K$75)</f>
        <v>0</v>
      </c>
      <c r="L627" s="166">
        <f t="shared" ca="1" si="92"/>
        <v>29</v>
      </c>
      <c r="M627" s="183">
        <f ca="1">SUMPRODUCT(F627:K627,F618:K618)/L:L</f>
        <v>0</v>
      </c>
      <c r="N627" s="166">
        <f t="shared" ca="1" si="93"/>
        <v>1</v>
      </c>
      <c r="O627" s="165">
        <f t="shared" ca="1" si="95"/>
        <v>2323.6797506358766</v>
      </c>
      <c r="P627" s="165">
        <f t="shared" ca="1" si="94"/>
        <v>2323.6797506358766</v>
      </c>
    </row>
    <row r="628" spans="1:16" s="165" customFormat="1" x14ac:dyDescent="0.3">
      <c r="A628" s="165">
        <f>MATCH(Calcs!B628,Paste_Report_Here!$1:$1,0) -1</f>
        <v>13</v>
      </c>
      <c r="B628" s="165" t="s">
        <v>131</v>
      </c>
      <c r="C628" s="166">
        <f ca="1">RANK(N628,N620:N644)</f>
        <v>1</v>
      </c>
      <c r="D628" s="166">
        <f ca="1">RANK(P628,P620:P644)</f>
        <v>2</v>
      </c>
      <c r="E628" s="189" t="s">
        <v>160</v>
      </c>
      <c r="F628" s="179">
        <f ca="1">COUNTIFS(Paste_Report_Here!$E$1:$E$2000,E614, OFFSET(Paste_Report_Here!$A$1,0,$A628,2000,1),F$75)</f>
        <v>0</v>
      </c>
      <c r="G628" s="180">
        <f ca="1">COUNTIFS(Paste_Report_Here!$E$1:$E$2000,E614, OFFSET(Paste_Report_Here!$A$1,0,$A628,2000,1),G$75)</f>
        <v>0</v>
      </c>
      <c r="H628" s="180">
        <f ca="1">COUNTIFS(Paste_Report_Here!$E$1:$E$2000,E614, OFFSET(Paste_Report_Here!$A$1,0,$A628,2000,1),H$75)</f>
        <v>14</v>
      </c>
      <c r="I628" s="180">
        <f ca="1">COUNTIFS(Paste_Report_Here!$E$1:$E$2000,E614, OFFSET(Paste_Report_Here!$A$1,0,$A628,2000,1),I$75)</f>
        <v>12</v>
      </c>
      <c r="J628" s="180">
        <f ca="1">COUNTIFS(Paste_Report_Here!$E$1:$E$2000,E614, OFFSET(Paste_Report_Here!$A$1,0,$A628,2000,1),J$75)</f>
        <v>3</v>
      </c>
      <c r="K628" s="181">
        <f ca="1">COUNTIFS(Paste_Report_Here!$E$1:$E$2000,E614, OFFSET(Paste_Report_Here!$A$1,0,$A628,2000,1),K$75)</f>
        <v>0</v>
      </c>
      <c r="L628" s="166">
        <f t="shared" ca="1" si="92"/>
        <v>29</v>
      </c>
      <c r="M628" s="183">
        <f ca="1">SUMPRODUCT(F628:K628,F618:K618)/L:L</f>
        <v>2.0689655172413796E-2</v>
      </c>
      <c r="N628" s="166">
        <f t="shared" ca="1" si="93"/>
        <v>1.0209051698298444</v>
      </c>
      <c r="O628" s="165">
        <f t="shared" ca="1" si="95"/>
        <v>3865.5704219440672</v>
      </c>
      <c r="P628" s="165">
        <f t="shared" ca="1" si="94"/>
        <v>3946.380828104031</v>
      </c>
    </row>
    <row r="629" spans="1:16" s="165" customFormat="1" x14ac:dyDescent="0.3">
      <c r="A629" s="165">
        <f>MATCH(Calcs!B629,Paste_Report_Here!$1:$1,0) -1</f>
        <v>14</v>
      </c>
      <c r="B629" s="165" t="s">
        <v>132</v>
      </c>
      <c r="C629" s="166">
        <f ca="1">RANK(N629,N618:N642)</f>
        <v>6</v>
      </c>
      <c r="D629" s="166">
        <f ca="1">RANK(P629,P620:P644)</f>
        <v>19</v>
      </c>
      <c r="E629" s="189" t="s">
        <v>161</v>
      </c>
      <c r="F629" s="179">
        <f ca="1">COUNTIFS(Paste_Report_Here!$E$1:$E$2000,E614, OFFSET(Paste_Report_Here!$A$1,0,$A629,2000,1),F$75)</f>
        <v>0</v>
      </c>
      <c r="G629" s="180">
        <f ca="1">COUNTIFS(Paste_Report_Here!$E$1:$E$2000,E614, OFFSET(Paste_Report_Here!$A$1,0,$A629,2000,1),G$75)</f>
        <v>1</v>
      </c>
      <c r="H629" s="180">
        <f ca="1">COUNTIFS(Paste_Report_Here!$E$1:$E$2000,E614, OFFSET(Paste_Report_Here!$A$1,0,$A629,2000,1),H$75)</f>
        <v>19</v>
      </c>
      <c r="I629" s="180">
        <f ca="1">COUNTIFS(Paste_Report_Here!$E$1:$E$2000,E614, OFFSET(Paste_Report_Here!$A$1,0,$A629,2000,1),I$75)</f>
        <v>8</v>
      </c>
      <c r="J629" s="180">
        <f ca="1">COUNTIFS(Paste_Report_Here!$E$1:$E$2000,E614, OFFSET(Paste_Report_Here!$A$1,0,$A629,2000,1),J$75)</f>
        <v>1</v>
      </c>
      <c r="K629" s="181">
        <f ca="1">COUNTIFS(Paste_Report_Here!$E$1:$E$2000,E614, OFFSET(Paste_Report_Here!$A$1,0,$A629,2000,1),K$75)</f>
        <v>0</v>
      </c>
      <c r="L629" s="166">
        <f t="shared" ca="1" si="92"/>
        <v>29</v>
      </c>
      <c r="M629" s="183">
        <f ca="1">SUMPRODUCT(F629:K629,F618:K618)/L:L</f>
        <v>6.8965517241379318E-3</v>
      </c>
      <c r="N629" s="166">
        <f t="shared" ca="1" si="93"/>
        <v>1.0069203877008224</v>
      </c>
      <c r="O629" s="165">
        <f t="shared" ca="1" si="95"/>
        <v>1991.9444669161817</v>
      </c>
      <c r="P629" s="165">
        <f t="shared" ca="1" si="94"/>
        <v>2005.7294949057496</v>
      </c>
    </row>
    <row r="630" spans="1:16" s="165" customFormat="1" x14ac:dyDescent="0.3">
      <c r="A630" s="165">
        <f>MATCH(Calcs!B630,Paste_Report_Here!$1:$1,0) -1</f>
        <v>15</v>
      </c>
      <c r="B630" s="165" t="s">
        <v>133</v>
      </c>
      <c r="C630" s="166">
        <f ca="1">RANK(N630,N619:N643)</f>
        <v>1</v>
      </c>
      <c r="D630" s="166">
        <f ca="1">RANK(P630,P620:P644)</f>
        <v>7</v>
      </c>
      <c r="E630" s="189" t="s">
        <v>162</v>
      </c>
      <c r="F630" s="179">
        <f ca="1">COUNTIFS(Paste_Report_Here!$E$1:$E$2000,E614, OFFSET(Paste_Report_Here!$A$1,0,$A630,2000,1),F$75)</f>
        <v>0</v>
      </c>
      <c r="G630" s="180">
        <f ca="1">COUNTIFS(Paste_Report_Here!$E$1:$E$2000,E614, OFFSET(Paste_Report_Here!$A$1,0,$A630,2000,1),G$75)</f>
        <v>1</v>
      </c>
      <c r="H630" s="180">
        <f ca="1">COUNTIFS(Paste_Report_Here!$E$1:$E$2000,E614, OFFSET(Paste_Report_Here!$A$1,0,$A630,2000,1),H$75)</f>
        <v>16</v>
      </c>
      <c r="I630" s="180">
        <f ca="1">COUNTIFS(Paste_Report_Here!$E$1:$E$2000,E614, OFFSET(Paste_Report_Here!$A$1,0,$A630,2000,1),I$75)</f>
        <v>9</v>
      </c>
      <c r="J630" s="180">
        <f ca="1">COUNTIFS(Paste_Report_Here!$E$1:$E$2000,E614, OFFSET(Paste_Report_Here!$A$1,0,$A630,2000,1),J$75)</f>
        <v>3</v>
      </c>
      <c r="K630" s="181">
        <f ca="1">COUNTIFS(Paste_Report_Here!$E$1:$E$2000,E614, OFFSET(Paste_Report_Here!$A$1,0,$A630,2000,1),K$75)</f>
        <v>0</v>
      </c>
      <c r="L630" s="166">
        <f t="shared" ca="1" si="92"/>
        <v>29</v>
      </c>
      <c r="M630" s="183">
        <f ca="1">SUMPRODUCT(F630:K630,F618:K618)/L:L</f>
        <v>2.0689655172413796E-2</v>
      </c>
      <c r="N630" s="166">
        <f t="shared" ca="1" si="93"/>
        <v>1.0209051698298444</v>
      </c>
      <c r="O630" s="165">
        <f t="shared" ca="1" si="95"/>
        <v>2817.2408486668892</v>
      </c>
      <c r="P630" s="165">
        <f t="shared" ca="1" si="94"/>
        <v>2876.1357470598455</v>
      </c>
    </row>
    <row r="631" spans="1:16" s="165" customFormat="1" x14ac:dyDescent="0.3">
      <c r="A631" s="165">
        <f>MATCH(Calcs!B631,Paste_Report_Here!$1:$1,0) -1</f>
        <v>16</v>
      </c>
      <c r="B631" s="165" t="s">
        <v>134</v>
      </c>
      <c r="C631" s="166">
        <f ca="1">RANK(N631,N620:N644)</f>
        <v>13</v>
      </c>
      <c r="D631" s="166">
        <f ca="1">RANK(P631,P620:P644)</f>
        <v>24</v>
      </c>
      <c r="E631" s="189" t="s">
        <v>163</v>
      </c>
      <c r="F631" s="179">
        <f ca="1">COUNTIFS(Paste_Report_Here!$E$1:$E$2000,E614, OFFSET(Paste_Report_Here!$A$1,0,$A631,2000,1),F$75)</f>
        <v>0</v>
      </c>
      <c r="G631" s="180">
        <f ca="1">COUNTIFS(Paste_Report_Here!$E$1:$E$2000,E614, OFFSET(Paste_Report_Here!$A$1,0,$A631,2000,1),G$75)</f>
        <v>0</v>
      </c>
      <c r="H631" s="180">
        <f ca="1">COUNTIFS(Paste_Report_Here!$E$1:$E$2000,E614, OFFSET(Paste_Report_Here!$A$1,0,$A631,2000,1),H$75)</f>
        <v>27</v>
      </c>
      <c r="I631" s="180">
        <f ca="1">COUNTIFS(Paste_Report_Here!$E$1:$E$2000,E614, OFFSET(Paste_Report_Here!$A$1,0,$A631,2000,1),I$75)</f>
        <v>2</v>
      </c>
      <c r="J631" s="180">
        <f ca="1">COUNTIFS(Paste_Report_Here!$E$1:$E$2000,E614, OFFSET(Paste_Report_Here!$A$1,0,$A631,2000,1),J$75)</f>
        <v>0</v>
      </c>
      <c r="K631" s="181">
        <f ca="1">COUNTIFS(Paste_Report_Here!$E$1:$E$2000,E614, OFFSET(Paste_Report_Here!$A$1,0,$A631,2000,1),K$75)</f>
        <v>0</v>
      </c>
      <c r="L631" s="166">
        <f t="shared" ca="1" si="92"/>
        <v>29</v>
      </c>
      <c r="M631" s="183">
        <f ca="1">SUMPRODUCT(F631:K631,F618:K618)/L:L</f>
        <v>0</v>
      </c>
      <c r="N631" s="166">
        <f t="shared" ca="1" si="93"/>
        <v>1</v>
      </c>
      <c r="O631" s="165">
        <f t="shared" ca="1" si="95"/>
        <v>1172.3806983238601</v>
      </c>
      <c r="P631" s="165">
        <f t="shared" ca="1" si="94"/>
        <v>1172.3806983238601</v>
      </c>
    </row>
    <row r="632" spans="1:16" s="165" customFormat="1" x14ac:dyDescent="0.3">
      <c r="A632" s="165">
        <f>MATCH(Calcs!B632,Paste_Report_Here!$1:$1,0) -1</f>
        <v>17</v>
      </c>
      <c r="B632" s="165" t="s">
        <v>135</v>
      </c>
      <c r="C632" s="166">
        <f ca="1">RANK(N632,N620:N644)</f>
        <v>4</v>
      </c>
      <c r="D632" s="166">
        <f ca="1">RANK(P632,P620:P644)</f>
        <v>20</v>
      </c>
      <c r="E632" s="189" t="s">
        <v>164</v>
      </c>
      <c r="F632" s="179">
        <f ca="1">COUNTIFS(Paste_Report_Here!$E$1:$E$2000,E614, OFFSET(Paste_Report_Here!$A$1,0,$A632,2000,1),F$75)</f>
        <v>0</v>
      </c>
      <c r="G632" s="180">
        <f ca="1">COUNTIFS(Paste_Report_Here!$E$1:$E$2000,E614, OFFSET(Paste_Report_Here!$A$1,0,$A632,2000,1),G$75)</f>
        <v>4</v>
      </c>
      <c r="H632" s="180">
        <f ca="1">COUNTIFS(Paste_Report_Here!$E$1:$E$2000,E614, OFFSET(Paste_Report_Here!$A$1,0,$A632,2000,1),H$75)</f>
        <v>18</v>
      </c>
      <c r="I632" s="180">
        <f ca="1">COUNTIFS(Paste_Report_Here!$E$1:$E$2000,E614, OFFSET(Paste_Report_Here!$A$1,0,$A632,2000,1),I$75)</f>
        <v>5</v>
      </c>
      <c r="J632" s="180">
        <f ca="1">COUNTIFS(Paste_Report_Here!$E$1:$E$2000,E614, OFFSET(Paste_Report_Here!$A$1,0,$A632,2000,1),J$75)</f>
        <v>2</v>
      </c>
      <c r="K632" s="181">
        <f ca="1">COUNTIFS(Paste_Report_Here!$E$1:$E$2000,E614, OFFSET(Paste_Report_Here!$A$1,0,$A632,2000,1),K$75)</f>
        <v>0</v>
      </c>
      <c r="L632" s="166">
        <f t="shared" ca="1" si="92"/>
        <v>29</v>
      </c>
      <c r="M632" s="183">
        <f ca="1">SUMPRODUCT(F632:K632,F618:K618)/L:L</f>
        <v>1.3793103448275864E-2</v>
      </c>
      <c r="N632" s="166">
        <f t="shared" ca="1" si="93"/>
        <v>1.0138886671675746</v>
      </c>
      <c r="O632" s="165">
        <f t="shared" ca="1" si="95"/>
        <v>1818.0518986445441</v>
      </c>
      <c r="P632" s="165">
        <f t="shared" ca="1" si="94"/>
        <v>1843.3022163581952</v>
      </c>
    </row>
    <row r="633" spans="1:16" s="165" customFormat="1" x14ac:dyDescent="0.3">
      <c r="A633" s="165">
        <f>MATCH(Calcs!B633,Paste_Report_Here!$1:$1,0) -1</f>
        <v>18</v>
      </c>
      <c r="B633" s="165" t="s">
        <v>136</v>
      </c>
      <c r="C633" s="166">
        <f ca="1">RANK(N633,N620:N644)</f>
        <v>7</v>
      </c>
      <c r="D633" s="166">
        <f ca="1">RANK(P633,P620:P644)</f>
        <v>4</v>
      </c>
      <c r="E633" s="189" t="s">
        <v>165</v>
      </c>
      <c r="F633" s="179">
        <f ca="1">COUNTIFS(Paste_Report_Here!$E$1:$E$2000,E614, OFFSET(Paste_Report_Here!$A$1,0,$A633,2000,1),F$75)</f>
        <v>0</v>
      </c>
      <c r="G633" s="180">
        <f ca="1">COUNTIFS(Paste_Report_Here!$E$1:$E$2000,E614, OFFSET(Paste_Report_Here!$A$1,0,$A633,2000,1),G$75)</f>
        <v>1</v>
      </c>
      <c r="H633" s="180">
        <f ca="1">COUNTIFS(Paste_Report_Here!$E$1:$E$2000,E614, OFFSET(Paste_Report_Here!$A$1,0,$A633,2000,1),H$75)</f>
        <v>19</v>
      </c>
      <c r="I633" s="180">
        <f ca="1">COUNTIFS(Paste_Report_Here!$E$1:$E$2000,E614, OFFSET(Paste_Report_Here!$A$1,0,$A633,2000,1),I$75)</f>
        <v>8</v>
      </c>
      <c r="J633" s="180">
        <f ca="1">COUNTIFS(Paste_Report_Here!$E$1:$E$2000,E614, OFFSET(Paste_Report_Here!$A$1,0,$A633,2000,1),J$75)</f>
        <v>1</v>
      </c>
      <c r="K633" s="181">
        <f ca="1">COUNTIFS(Paste_Report_Here!$E$1:$E$2000,E614, OFFSET(Paste_Report_Here!$A$1,0,$A633,2000,1),K$75)</f>
        <v>0</v>
      </c>
      <c r="L633" s="166">
        <f t="shared" ca="1" si="92"/>
        <v>29</v>
      </c>
      <c r="M633" s="183">
        <f ca="1">SUMPRODUCT(F633:K633,F618:K618)/L:L</f>
        <v>6.8965517241379318E-3</v>
      </c>
      <c r="N633" s="166">
        <f t="shared" ca="1" si="93"/>
        <v>1.0069203877008224</v>
      </c>
      <c r="O633" s="165">
        <f t="shared" ca="1" si="95"/>
        <v>3710.0323918264025</v>
      </c>
      <c r="P633" s="165">
        <f t="shared" ca="1" si="94"/>
        <v>3735.7072543604504</v>
      </c>
    </row>
    <row r="634" spans="1:16" s="165" customFormat="1" x14ac:dyDescent="0.3">
      <c r="A634" s="165">
        <f>MATCH(Calcs!B634,Paste_Report_Here!$1:$1,0) -1</f>
        <v>19</v>
      </c>
      <c r="B634" s="165" t="s">
        <v>137</v>
      </c>
      <c r="C634" s="166">
        <f ca="1">RANK(N634,N620:N644)</f>
        <v>13</v>
      </c>
      <c r="D634" s="166">
        <f ca="1">RANK(P634,P620:P644)</f>
        <v>14</v>
      </c>
      <c r="E634" s="189" t="s">
        <v>166</v>
      </c>
      <c r="F634" s="179">
        <f ca="1">COUNTIFS(Paste_Report_Here!$E$1:$E$2000,E614, OFFSET(Paste_Report_Here!$A$1,0,$A634,2000,1),F$75)</f>
        <v>0</v>
      </c>
      <c r="G634" s="180">
        <f ca="1">COUNTIFS(Paste_Report_Here!$E$1:$E$2000,E614, OFFSET(Paste_Report_Here!$A$1,0,$A634,2000,1),G$75)</f>
        <v>1</v>
      </c>
      <c r="H634" s="180">
        <f ca="1">COUNTIFS(Paste_Report_Here!$E$1:$E$2000,E614, OFFSET(Paste_Report_Here!$A$1,0,$A634,2000,1),H$75)</f>
        <v>21</v>
      </c>
      <c r="I634" s="180">
        <f ca="1">COUNTIFS(Paste_Report_Here!$E$1:$E$2000,E614, OFFSET(Paste_Report_Here!$A$1,0,$A634,2000,1),I$75)</f>
        <v>7</v>
      </c>
      <c r="J634" s="180">
        <f ca="1">COUNTIFS(Paste_Report_Here!$E$1:$E$2000,E614, OFFSET(Paste_Report_Here!$A$1,0,$A634,2000,1),J$75)</f>
        <v>0</v>
      </c>
      <c r="K634" s="181">
        <f ca="1">COUNTIFS(Paste_Report_Here!$E$1:$E$2000,E614, OFFSET(Paste_Report_Here!$A$1,0,$A634,2000,1),K$75)</f>
        <v>0</v>
      </c>
      <c r="L634" s="166">
        <f t="shared" ca="1" si="92"/>
        <v>29</v>
      </c>
      <c r="M634" s="183">
        <f ca="1">SUMPRODUCT(F634:K634,F618:K618)/L:L</f>
        <v>0</v>
      </c>
      <c r="N634" s="166">
        <f t="shared" ca="1" si="93"/>
        <v>1</v>
      </c>
      <c r="O634" s="165">
        <f t="shared" ca="1" si="95"/>
        <v>2122.6781131465646</v>
      </c>
      <c r="P634" s="165">
        <f t="shared" ca="1" si="94"/>
        <v>2122.6781131465646</v>
      </c>
    </row>
    <row r="635" spans="1:16" s="165" customFormat="1" x14ac:dyDescent="0.3">
      <c r="A635" s="165">
        <f>MATCH(Calcs!B635,Paste_Report_Here!$1:$1,0) -1</f>
        <v>20</v>
      </c>
      <c r="B635" s="165" t="s">
        <v>138</v>
      </c>
      <c r="C635" s="166">
        <f ca="1">RANK(N635,N621:N645)</f>
        <v>4</v>
      </c>
      <c r="D635" s="166">
        <f ca="1">RANK(P635,P620:P644)</f>
        <v>18</v>
      </c>
      <c r="E635" s="189" t="s">
        <v>167</v>
      </c>
      <c r="F635" s="179">
        <f ca="1">COUNTIFS(Paste_Report_Here!$E$1:$E$2000,E614, OFFSET(Paste_Report_Here!$A$1,0,$A635,2000,1),F$75)</f>
        <v>0</v>
      </c>
      <c r="G635" s="180">
        <f ca="1">COUNTIFS(Paste_Report_Here!$E$1:$E$2000,E614, OFFSET(Paste_Report_Here!$A$1,0,$A635,2000,1),G$75)</f>
        <v>1</v>
      </c>
      <c r="H635" s="180">
        <f ca="1">COUNTIFS(Paste_Report_Here!$E$1:$E$2000,E614, OFFSET(Paste_Report_Here!$A$1,0,$A635,2000,1),H$75)</f>
        <v>17</v>
      </c>
      <c r="I635" s="180">
        <f ca="1">COUNTIFS(Paste_Report_Here!$E$1:$E$2000,E614, OFFSET(Paste_Report_Here!$A$1,0,$A635,2000,1),I$75)</f>
        <v>9</v>
      </c>
      <c r="J635" s="180">
        <f ca="1">COUNTIFS(Paste_Report_Here!$E$1:$E$2000,E614, OFFSET(Paste_Report_Here!$A$1,0,$A635,2000,1),J$75)</f>
        <v>2</v>
      </c>
      <c r="K635" s="181">
        <f ca="1">COUNTIFS(Paste_Report_Here!$E$1:$E$2000,E614, OFFSET(Paste_Report_Here!$A$1,0,$A635,2000,1),K$75)</f>
        <v>0</v>
      </c>
      <c r="L635" s="166">
        <f t="shared" ca="1" si="92"/>
        <v>29</v>
      </c>
      <c r="M635" s="183">
        <f ca="1">SUMPRODUCT(F635:K635,F618:K618)/L:L</f>
        <v>1.3793103448275864E-2</v>
      </c>
      <c r="N635" s="166">
        <f t="shared" ca="1" si="93"/>
        <v>1.0138886671675746</v>
      </c>
      <c r="O635" s="165">
        <f t="shared" ca="1" si="95"/>
        <v>2005.4946064001942</v>
      </c>
      <c r="P635" s="165">
        <f t="shared" ca="1" si="94"/>
        <v>2033.3482534948525</v>
      </c>
    </row>
    <row r="636" spans="1:16" s="165" customFormat="1" x14ac:dyDescent="0.3">
      <c r="A636" s="165">
        <f>MATCH(Calcs!B636,Paste_Report_Here!$1:$1,0) -1</f>
        <v>21</v>
      </c>
      <c r="B636" s="165" t="s">
        <v>139</v>
      </c>
      <c r="C636" s="166">
        <f ca="1">RANK(N636,N620:N644)</f>
        <v>7</v>
      </c>
      <c r="D636" s="166">
        <f ca="1">RANK(P636,P620:P644)</f>
        <v>15</v>
      </c>
      <c r="E636" s="189" t="s">
        <v>168</v>
      </c>
      <c r="F636" s="179">
        <f ca="1">COUNTIFS(Paste_Report_Here!$E$1:$E$2000,E614, OFFSET(Paste_Report_Here!$A$1,0,$A636,2000,1),F$75)</f>
        <v>1</v>
      </c>
      <c r="G636" s="180">
        <f ca="1">COUNTIFS(Paste_Report_Here!$E$1:$E$2000,E614, OFFSET(Paste_Report_Here!$A$1,0,$A636,2000,1),G$75)</f>
        <v>0</v>
      </c>
      <c r="H636" s="180">
        <f ca="1">COUNTIFS(Paste_Report_Here!$E$1:$E$2000,E614, OFFSET(Paste_Report_Here!$A$1,0,$A636,2000,1),H$75)</f>
        <v>17</v>
      </c>
      <c r="I636" s="180">
        <f ca="1">COUNTIFS(Paste_Report_Here!$E$1:$E$2000,E614, OFFSET(Paste_Report_Here!$A$1,0,$A636,2000,1),I$75)</f>
        <v>9</v>
      </c>
      <c r="J636" s="180">
        <f ca="1">COUNTIFS(Paste_Report_Here!$E$1:$E$2000,E614, OFFSET(Paste_Report_Here!$A$1,0,$A636,2000,1),J$75)</f>
        <v>2</v>
      </c>
      <c r="K636" s="181">
        <f ca="1">COUNTIFS(Paste_Report_Here!$E$1:$E$2000,E614, OFFSET(Paste_Report_Here!$A$1,0,$A636,2000,1),K$75)</f>
        <v>0</v>
      </c>
      <c r="L636" s="166">
        <f t="shared" ca="1" si="92"/>
        <v>29</v>
      </c>
      <c r="M636" s="183">
        <f ca="1">SUMPRODUCT(F636:K636,F618:K618)/L:L</f>
        <v>6.8965517241379318E-3</v>
      </c>
      <c r="N636" s="166">
        <f t="shared" ca="1" si="93"/>
        <v>1.0069203877008224</v>
      </c>
      <c r="O636" s="165">
        <f t="shared" ca="1" si="95"/>
        <v>2100.4830778562205</v>
      </c>
      <c r="P636" s="165">
        <f t="shared" ca="1" si="94"/>
        <v>2115.0192351140022</v>
      </c>
    </row>
    <row r="637" spans="1:16" s="165" customFormat="1" x14ac:dyDescent="0.3">
      <c r="A637" s="165">
        <f>MATCH(Calcs!B637,Paste_Report_Here!$1:$1,0) -1</f>
        <v>22</v>
      </c>
      <c r="B637" s="165" t="s">
        <v>140</v>
      </c>
      <c r="C637" s="166">
        <f ca="1">RANK(N637,N620:N644)</f>
        <v>13</v>
      </c>
      <c r="D637" s="166">
        <f ca="1">RANK(P637,P620:P644)</f>
        <v>17</v>
      </c>
      <c r="E637" s="189" t="s">
        <v>169</v>
      </c>
      <c r="F637" s="179">
        <f ca="1">COUNTIFS(Paste_Report_Here!$E$1:$E$2000,E614, OFFSET(Paste_Report_Here!$A$1,0,$A637,2000,1),F$75)</f>
        <v>0</v>
      </c>
      <c r="G637" s="180">
        <f ca="1">COUNTIFS(Paste_Report_Here!$E$1:$E$2000,E614, OFFSET(Paste_Report_Here!$A$1,0,$A637,2000,1),G$75)</f>
        <v>2</v>
      </c>
      <c r="H637" s="180">
        <f ca="1">COUNTIFS(Paste_Report_Here!$E$1:$E$2000,E614, OFFSET(Paste_Report_Here!$A$1,0,$A637,2000,1),H$75)</f>
        <v>23</v>
      </c>
      <c r="I637" s="180">
        <f ca="1">COUNTIFS(Paste_Report_Here!$E$1:$E$2000,E614, OFFSET(Paste_Report_Here!$A$1,0,$A637,2000,1),I$75)</f>
        <v>4</v>
      </c>
      <c r="J637" s="180">
        <f ca="1">COUNTIFS(Paste_Report_Here!$E$1:$E$2000,E614, OFFSET(Paste_Report_Here!$A$1,0,$A637,2000,1),J$75)</f>
        <v>0</v>
      </c>
      <c r="K637" s="181">
        <f ca="1">COUNTIFS(Paste_Report_Here!$E$1:$E$2000,E614, OFFSET(Paste_Report_Here!$A$1,0,$A637,2000,1),K$75)</f>
        <v>0</v>
      </c>
      <c r="L637" s="166">
        <f t="shared" ca="1" si="92"/>
        <v>29</v>
      </c>
      <c r="M637" s="183">
        <f ca="1">SUMPRODUCT(F637:K637,F618:K618)/L:L</f>
        <v>0</v>
      </c>
      <c r="N637" s="166">
        <f t="shared" ca="1" si="93"/>
        <v>1</v>
      </c>
      <c r="O637" s="165">
        <f t="shared" ca="1" si="95"/>
        <v>2037.5204548583588</v>
      </c>
      <c r="P637" s="165">
        <f t="shared" ca="1" si="94"/>
        <v>2037.5204548583588</v>
      </c>
    </row>
    <row r="638" spans="1:16" s="165" customFormat="1" x14ac:dyDescent="0.3">
      <c r="A638" s="165">
        <f>MATCH(Calcs!B638,Paste_Report_Here!$1:$1,0) -1</f>
        <v>23</v>
      </c>
      <c r="B638" s="165" t="s">
        <v>186</v>
      </c>
      <c r="C638" s="166">
        <f ca="1">RANK(N638,N620:N644)</f>
        <v>13</v>
      </c>
      <c r="D638" s="166">
        <f ca="1">RANK(P638,P620:P644)</f>
        <v>3</v>
      </c>
      <c r="E638" s="189" t="s">
        <v>180</v>
      </c>
      <c r="F638" s="179">
        <f ca="1">COUNTIFS(Paste_Report_Here!$E$1:$E$2000,E614, OFFSET(Paste_Report_Here!$A$1,0,$A638,2000,1),F$75)</f>
        <v>0</v>
      </c>
      <c r="G638" s="180">
        <f ca="1">COUNTIFS(Paste_Report_Here!$E$1:$E$2000,E614, OFFSET(Paste_Report_Here!$A$1,0,$A638,2000,1),G$75)</f>
        <v>1</v>
      </c>
      <c r="H638" s="180">
        <f ca="1">COUNTIFS(Paste_Report_Here!$E$1:$E$2000,E614, OFFSET(Paste_Report_Here!$A$1,0,$A638,2000,1),H$75)</f>
        <v>20</v>
      </c>
      <c r="I638" s="180">
        <f ca="1">COUNTIFS(Paste_Report_Here!$E$1:$E$2000,E614, OFFSET(Paste_Report_Here!$A$1,0,$A638,2000,1),I$75)</f>
        <v>8</v>
      </c>
      <c r="J638" s="180">
        <f ca="1">COUNTIFS(Paste_Report_Here!$E$1:$E$2000,E614, OFFSET(Paste_Report_Here!$A$1,0,$A638,2000,1),J$75)</f>
        <v>0</v>
      </c>
      <c r="K638" s="181">
        <f ca="1">COUNTIFS(Paste_Report_Here!$E$1:$E$2000,E614, OFFSET(Paste_Report_Here!$A$1,0,$A638,2000,1),K$75)</f>
        <v>0</v>
      </c>
      <c r="L638" s="166">
        <f t="shared" ca="1" si="92"/>
        <v>29</v>
      </c>
      <c r="M638" s="183">
        <f ca="1">SUMPRODUCT(F638:K638,F618:K618)/L:L</f>
        <v>0</v>
      </c>
      <c r="N638" s="166">
        <f t="shared" ca="1" si="93"/>
        <v>1</v>
      </c>
      <c r="O638" s="165">
        <f t="shared" ca="1" si="95"/>
        <v>3789.6226925786123</v>
      </c>
      <c r="P638" s="165">
        <f t="shared" ca="1" si="94"/>
        <v>3789.6226925786123</v>
      </c>
    </row>
    <row r="639" spans="1:16" s="165" customFormat="1" x14ac:dyDescent="0.3">
      <c r="A639" s="165">
        <f>MATCH(Calcs!B639,Paste_Report_Here!$1:$1,0) -1</f>
        <v>24</v>
      </c>
      <c r="B639" s="165" t="s">
        <v>209</v>
      </c>
      <c r="C639" s="166">
        <f ca="1">RANK(N639,N620:N644)</f>
        <v>13</v>
      </c>
      <c r="D639" s="166">
        <f ca="1">RANK(P639,P620:P644)</f>
        <v>23</v>
      </c>
      <c r="E639" s="202" t="s">
        <v>211</v>
      </c>
      <c r="F639" s="179">
        <f ca="1">COUNTIFS(Paste_Report_Here!$E$1:$E$2000,E614, OFFSET(Paste_Report_Here!$A$1,0,$A639,2000,1),F$75)</f>
        <v>0</v>
      </c>
      <c r="G639" s="180">
        <f ca="1">COUNTIFS(Paste_Report_Here!$E$1:$E$2000,E614, OFFSET(Paste_Report_Here!$A$1,0,$A639,2000,1),G$75)</f>
        <v>2</v>
      </c>
      <c r="H639" s="180">
        <f ca="1">COUNTIFS(Paste_Report_Here!$E$1:$E$2000,E614, OFFSET(Paste_Report_Here!$A$1,0,$A639,2000,1),H$75)</f>
        <v>22</v>
      </c>
      <c r="I639" s="180">
        <f ca="1">COUNTIFS(Paste_Report_Here!$E$1:$E$2000,E614, OFFSET(Paste_Report_Here!$A$1,0,$A639,2000,1),I$75)</f>
        <v>4</v>
      </c>
      <c r="J639" s="180">
        <f ca="1">COUNTIFS(Paste_Report_Here!$E$1:$E$2000,E614, OFFSET(Paste_Report_Here!$A$1,0,$A639,2000,1),J$75)</f>
        <v>0</v>
      </c>
      <c r="K639" s="181">
        <f ca="1">COUNTIFS(Paste_Report_Here!$E$1:$E$2000,E614, OFFSET(Paste_Report_Here!$A$1,0,$A639,2000,1),K$75)</f>
        <v>1</v>
      </c>
      <c r="L639" s="166">
        <f t="shared" ca="1" si="92"/>
        <v>29</v>
      </c>
      <c r="M639" s="183">
        <f ca="1">SUMPRODUCT(F639:K639,F618:K618)/L:L</f>
        <v>0</v>
      </c>
      <c r="N639" s="166">
        <f t="shared" ca="1" si="93"/>
        <v>1</v>
      </c>
      <c r="O639" s="165">
        <f t="shared" ca="1" si="95"/>
        <v>1180.0265503753844</v>
      </c>
      <c r="P639" s="165">
        <f t="shared" ca="1" si="94"/>
        <v>1180.0265503753844</v>
      </c>
    </row>
    <row r="640" spans="1:16" s="165" customFormat="1" x14ac:dyDescent="0.3">
      <c r="A640" s="165">
        <f>MATCH(Calcs!B640,Paste_Report_Here!$1:$1,0) -1</f>
        <v>25</v>
      </c>
      <c r="B640" s="165" t="s">
        <v>141</v>
      </c>
      <c r="C640" s="166">
        <f ca="1">RANK(N640,N620:N644)</f>
        <v>13</v>
      </c>
      <c r="D640" s="166">
        <f ca="1">RANK(P640,P620:P644)</f>
        <v>22</v>
      </c>
      <c r="E640" s="189" t="s">
        <v>170</v>
      </c>
      <c r="F640" s="179">
        <f ca="1">COUNTIFS(Paste_Report_Here!$E$1:$E$2000,E614, OFFSET(Paste_Report_Here!$A$1,0,$A640,2000,1),F$75)</f>
        <v>0</v>
      </c>
      <c r="G640" s="180">
        <f ca="1">COUNTIFS(Paste_Report_Here!$E$1:$E$2000,E614, OFFSET(Paste_Report_Here!$A$1,0,$A640,2000,1),G$75)</f>
        <v>4</v>
      </c>
      <c r="H640" s="180">
        <f ca="1">COUNTIFS(Paste_Report_Here!$E$1:$E$2000,E614, OFFSET(Paste_Report_Here!$A$1,0,$A640,2000,1),H$75)</f>
        <v>20</v>
      </c>
      <c r="I640" s="180">
        <f ca="1">COUNTIFS(Paste_Report_Here!$E$1:$E$2000,E614, OFFSET(Paste_Report_Here!$A$1,0,$A640,2000,1),I$75)</f>
        <v>5</v>
      </c>
      <c r="J640" s="180">
        <f ca="1">COUNTIFS(Paste_Report_Here!$E$1:$E$2000,E614, OFFSET(Paste_Report_Here!$A$1,0,$A640,2000,1),J$75)</f>
        <v>0</v>
      </c>
      <c r="K640" s="181">
        <f ca="1">COUNTIFS(Paste_Report_Here!$E$1:$E$2000,E614, OFFSET(Paste_Report_Here!$A$1,0,$A640,2000,1),K$75)</f>
        <v>0</v>
      </c>
      <c r="L640" s="166">
        <f t="shared" ca="1" si="92"/>
        <v>29</v>
      </c>
      <c r="M640" s="183">
        <f ca="1">SUMPRODUCT(F640:K640,F618:K618)/L:L</f>
        <v>0</v>
      </c>
      <c r="N640" s="166">
        <f t="shared" ca="1" si="93"/>
        <v>1</v>
      </c>
      <c r="O640" s="165">
        <f t="shared" ca="1" si="95"/>
        <v>1387.661989146708</v>
      </c>
      <c r="P640" s="165">
        <f t="shared" ca="1" si="94"/>
        <v>1387.661989146708</v>
      </c>
    </row>
    <row r="641" spans="1:16" s="165" customFormat="1" x14ac:dyDescent="0.3">
      <c r="A641" s="165">
        <f>MATCH(Calcs!B641,Paste_Report_Here!$1:$1,0) -1</f>
        <v>26</v>
      </c>
      <c r="B641" s="165" t="s">
        <v>142</v>
      </c>
      <c r="C641" s="166">
        <f ca="1">RANK(N641,N620:N644)</f>
        <v>13</v>
      </c>
      <c r="D641" s="166">
        <f ca="1">RANK(P641,P620:P644)</f>
        <v>11</v>
      </c>
      <c r="E641" s="189" t="s">
        <v>171</v>
      </c>
      <c r="F641" s="179">
        <f ca="1">COUNTIFS(Paste_Report_Here!$E$1:$E$2000,E614, OFFSET(Paste_Report_Here!$A$1,0,$A641,2000,1),F$75)</f>
        <v>0</v>
      </c>
      <c r="G641" s="180">
        <f ca="1">COUNTIFS(Paste_Report_Here!$E$1:$E$2000,E614, OFFSET(Paste_Report_Here!$A$1,0,$A641,2000,1),G$75)</f>
        <v>1</v>
      </c>
      <c r="H641" s="180">
        <f ca="1">COUNTIFS(Paste_Report_Here!$E$1:$E$2000,E614, OFFSET(Paste_Report_Here!$A$1,0,$A641,2000,1),H$75)</f>
        <v>15</v>
      </c>
      <c r="I641" s="180">
        <f ca="1">COUNTIFS(Paste_Report_Here!$E$1:$E$2000,E614, OFFSET(Paste_Report_Here!$A$1,0,$A641,2000,1),I$75)</f>
        <v>13</v>
      </c>
      <c r="J641" s="180">
        <f ca="1">COUNTIFS(Paste_Report_Here!$E$1:$E$2000,E614, OFFSET(Paste_Report_Here!$A$1,0,$A641,2000,1),J$75)</f>
        <v>0</v>
      </c>
      <c r="K641" s="181">
        <f ca="1">COUNTIFS(Paste_Report_Here!$E$1:$E$2000,E614, OFFSET(Paste_Report_Here!$A$1,0,$A641,2000,1),K$75)</f>
        <v>0</v>
      </c>
      <c r="L641" s="166">
        <f t="shared" ca="1" si="92"/>
        <v>29</v>
      </c>
      <c r="M641" s="183">
        <f ca="1">SUMPRODUCT(F641:K641,F618:K618)/L:L</f>
        <v>0</v>
      </c>
      <c r="N641" s="166">
        <f t="shared" ca="1" si="93"/>
        <v>1</v>
      </c>
      <c r="O641" s="165">
        <f t="shared" ca="1" si="95"/>
        <v>2276.2855202195797</v>
      </c>
      <c r="P641" s="165">
        <f t="shared" ca="1" si="94"/>
        <v>2276.2855202195797</v>
      </c>
    </row>
    <row r="642" spans="1:16" s="165" customFormat="1" x14ac:dyDescent="0.3">
      <c r="A642" s="165">
        <f>MATCH(Calcs!B642,Paste_Report_Here!$1:$1,0) -1</f>
        <v>27</v>
      </c>
      <c r="B642" s="165" t="s">
        <v>210</v>
      </c>
      <c r="C642" s="166">
        <f ca="1">RANK(N642,N620:N644)</f>
        <v>13</v>
      </c>
      <c r="D642" s="166">
        <f ca="1">RANK(P642,P620:P644)</f>
        <v>25</v>
      </c>
      <c r="E642" s="202" t="s">
        <v>212</v>
      </c>
      <c r="F642" s="179">
        <f ca="1">COUNTIFS(Paste_Report_Here!$E$1:$E$2000,E614, OFFSET(Paste_Report_Here!$A$1,0,$A642,2000,1),F$75)</f>
        <v>0</v>
      </c>
      <c r="G642" s="180">
        <f ca="1">COUNTIFS(Paste_Report_Here!$E$1:$E$2000,E614, OFFSET(Paste_Report_Here!$A$1,0,$A642,2000,1),G$75)</f>
        <v>2</v>
      </c>
      <c r="H642" s="180">
        <f ca="1">COUNTIFS(Paste_Report_Here!$E$1:$E$2000,E614, OFFSET(Paste_Report_Here!$A$1,0,$A642,2000,1),H$75)</f>
        <v>24</v>
      </c>
      <c r="I642" s="180">
        <f ca="1">COUNTIFS(Paste_Report_Here!$E$1:$E$2000,E614, OFFSET(Paste_Report_Here!$A$1,0,$A642,2000,1),I$75)</f>
        <v>2</v>
      </c>
      <c r="J642" s="180">
        <f ca="1">COUNTIFS(Paste_Report_Here!$E$1:$E$2000,E614, OFFSET(Paste_Report_Here!$A$1,0,$A642,2000,1),J$75)</f>
        <v>0</v>
      </c>
      <c r="K642" s="181">
        <f ca="1">COUNTIFS(Paste_Report_Here!$E$1:$E$2000,E614, OFFSET(Paste_Report_Here!$A$1,0,$A642,2000,1),K$75)</f>
        <v>1</v>
      </c>
      <c r="L642" s="166">
        <f t="shared" ca="1" si="92"/>
        <v>29</v>
      </c>
      <c r="M642" s="183">
        <f ca="1">SUMPRODUCT(F642:K642,F618:K618)/L:L</f>
        <v>0</v>
      </c>
      <c r="N642" s="166">
        <f t="shared" ca="1" si="93"/>
        <v>1</v>
      </c>
      <c r="O642" s="165">
        <f t="shared" ca="1" si="95"/>
        <v>1138.0832807918787</v>
      </c>
      <c r="P642" s="165">
        <f t="shared" ca="1" si="94"/>
        <v>1138.0832807918787</v>
      </c>
    </row>
    <row r="643" spans="1:16" s="165" customFormat="1" x14ac:dyDescent="0.3">
      <c r="A643" s="165">
        <f>MATCH(Calcs!B643,Paste_Report_Here!$1:$1,0) -1</f>
        <v>28</v>
      </c>
      <c r="B643" s="165" t="s">
        <v>143</v>
      </c>
      <c r="C643" s="166">
        <f ca="1">RANK(N643,N621:N645)</f>
        <v>4</v>
      </c>
      <c r="D643" s="166">
        <f ca="1">RANK(P643,P620:P644)</f>
        <v>1</v>
      </c>
      <c r="E643" s="189" t="s">
        <v>172</v>
      </c>
      <c r="F643" s="179">
        <f ca="1">COUNTIFS(Paste_Report_Here!$E$1:$E$2000,E614, OFFSET(Paste_Report_Here!$A$1,0,$A643,2000,1),F$75)</f>
        <v>0</v>
      </c>
      <c r="G643" s="180">
        <f ca="1">COUNTIFS(Paste_Report_Here!$E$1:$E$2000,E614, OFFSET(Paste_Report_Here!$A$1,0,$A643,2000,1),G$75)</f>
        <v>2</v>
      </c>
      <c r="H643" s="180">
        <f ca="1">COUNTIFS(Paste_Report_Here!$E$1:$E$2000,E614, OFFSET(Paste_Report_Here!$A$1,0,$A643,2000,1),H$75)</f>
        <v>15</v>
      </c>
      <c r="I643" s="180">
        <f ca="1">COUNTIFS(Paste_Report_Here!$E$1:$E$2000,E614, OFFSET(Paste_Report_Here!$A$1,0,$A643,2000,1),I$75)</f>
        <v>10</v>
      </c>
      <c r="J643" s="180">
        <f ca="1">COUNTIFS(Paste_Report_Here!$E$1:$E$2000,E614, OFFSET(Paste_Report_Here!$A$1,0,$A643,2000,1),J$75)</f>
        <v>2</v>
      </c>
      <c r="K643" s="181">
        <f ca="1">COUNTIFS(Paste_Report_Here!$E$1:$E$2000,E614, OFFSET(Paste_Report_Here!$A$1,0,$A643,2000,1),K$75)</f>
        <v>0</v>
      </c>
      <c r="L643" s="166">
        <f t="shared" ca="1" si="92"/>
        <v>29</v>
      </c>
      <c r="M643" s="183">
        <f ca="1">SUMPRODUCT(F643:K643,F618:K618)/L:L</f>
        <v>1.3793103448275864E-2</v>
      </c>
      <c r="N643" s="166">
        <f t="shared" ca="1" si="93"/>
        <v>1.0138886671675746</v>
      </c>
      <c r="O643" s="165">
        <f t="shared" ca="1" si="95"/>
        <v>7579.2223611941808</v>
      </c>
      <c r="P643" s="165">
        <f t="shared" ca="1" si="94"/>
        <v>7684.4876579578458</v>
      </c>
    </row>
    <row r="644" spans="1:16" s="165" customFormat="1" x14ac:dyDescent="0.3">
      <c r="A644" s="165">
        <f>MATCH(Calcs!B644,Paste_Report_Here!$1:$1,0) -1</f>
        <v>29</v>
      </c>
      <c r="B644" s="187" t="s">
        <v>144</v>
      </c>
      <c r="C644" s="147">
        <f ca="1">RANK(N644,N620:N644)</f>
        <v>23</v>
      </c>
      <c r="D644" s="147">
        <f ca="1">RANK(P644,P620:P644)</f>
        <v>12</v>
      </c>
      <c r="E644" s="145" t="s">
        <v>173</v>
      </c>
      <c r="F644" s="146">
        <f ca="1">COUNTIFS(Paste_Report_Here!$E$1:$E$2000,E614, OFFSET(Paste_Report_Here!$A$1,0,$A644,2000,1),F$75)</f>
        <v>1</v>
      </c>
      <c r="G644" s="147">
        <f ca="1">COUNTIFS(Paste_Report_Here!$E$1:$E$2000,E614, OFFSET(Paste_Report_Here!$A$1,0,$A644,2000,1),G$75)</f>
        <v>1</v>
      </c>
      <c r="H644" s="147">
        <f ca="1">COUNTIFS(Paste_Report_Here!$E$1:$E$2000,E614, OFFSET(Paste_Report_Here!$A$1,0,$A644,2000,1),H$75)</f>
        <v>18</v>
      </c>
      <c r="I644" s="147">
        <f ca="1">COUNTIFS(Paste_Report_Here!$E$1:$E$2000,E614, OFFSET(Paste_Report_Here!$A$1,0,$A644,2000,1),I$75)</f>
        <v>8</v>
      </c>
      <c r="J644" s="147">
        <f ca="1">COUNTIFS(Paste_Report_Here!$E$1:$E$2000,E614, OFFSET(Paste_Report_Here!$A$1,0,$A644,2000,1),J$75)</f>
        <v>0</v>
      </c>
      <c r="K644" s="148">
        <f ca="1">COUNTIFS(Paste_Report_Here!$E$1:$E$2000,E614, OFFSET(Paste_Report_Here!$A$1,0,$A644,2000,1),K$75)</f>
        <v>1</v>
      </c>
      <c r="L644" s="147">
        <f t="shared" ca="1" si="92"/>
        <v>29</v>
      </c>
      <c r="M644" s="149">
        <f ca="1">SUMPRODUCT(F644:K644,F618:K618)/L:L</f>
        <v>-6.8965517241379318E-3</v>
      </c>
      <c r="N644" s="147">
        <f t="shared" ca="1" si="93"/>
        <v>0.99312717491337699</v>
      </c>
      <c r="O644" s="187">
        <f t="shared" ca="1" si="95"/>
        <v>2287.6229277911048</v>
      </c>
      <c r="P644" s="165">
        <f t="shared" ca="1" si="94"/>
        <v>2271.9004955442479</v>
      </c>
    </row>
    <row r="645" spans="1:16" s="165" customFormat="1" x14ac:dyDescent="0.3">
      <c r="C645" s="166"/>
      <c r="E645" s="140" t="s">
        <v>293</v>
      </c>
      <c r="F645" s="180">
        <f ca="1">SUM(F620:F644)</f>
        <v>7</v>
      </c>
      <c r="G645" s="180">
        <f t="shared" ref="G645:L645" ca="1" si="96">SUM(G620:G644)</f>
        <v>35</v>
      </c>
      <c r="H645" s="180">
        <f t="shared" ca="1" si="96"/>
        <v>488</v>
      </c>
      <c r="I645" s="180">
        <f t="shared" ca="1" si="96"/>
        <v>167</v>
      </c>
      <c r="J645" s="180">
        <f t="shared" ca="1" si="96"/>
        <v>25</v>
      </c>
      <c r="K645" s="180">
        <f t="shared" ca="1" si="96"/>
        <v>3</v>
      </c>
      <c r="L645" s="180">
        <f t="shared" ca="1" si="96"/>
        <v>725</v>
      </c>
      <c r="M645" s="144">
        <f ca="1">SUMPRODUCT(F645:K645,F618:K618)/L645</f>
        <v>4.9655172413793098E-3</v>
      </c>
      <c r="N645" s="166">
        <f t="shared" ca="1" si="93"/>
        <v>1.0049778658527371</v>
      </c>
      <c r="O645" s="165">
        <f t="shared" ca="1" si="95"/>
        <v>2612.354335523873</v>
      </c>
      <c r="P645" s="165">
        <f t="shared" ca="1" si="94"/>
        <v>2625.3582849659269</v>
      </c>
    </row>
    <row r="646" spans="1:16" s="165" customFormat="1" x14ac:dyDescent="0.3">
      <c r="A646" s="194"/>
      <c r="B646" s="194"/>
      <c r="C646" s="153"/>
      <c r="D646" s="194"/>
      <c r="E646" s="164"/>
      <c r="F646" s="151"/>
      <c r="G646" s="151"/>
      <c r="H646" s="151"/>
      <c r="I646" s="151"/>
      <c r="J646" s="151"/>
      <c r="K646" s="151"/>
      <c r="L646" s="151"/>
      <c r="M646" s="162"/>
      <c r="N646" s="153"/>
      <c r="O646" s="194"/>
      <c r="P646" s="194"/>
    </row>
    <row r="647" spans="1:16" s="165" customFormat="1" x14ac:dyDescent="0.3">
      <c r="E647" s="173" t="s">
        <v>292</v>
      </c>
    </row>
    <row r="648" spans="1:16" s="165" customFormat="1" x14ac:dyDescent="0.3">
      <c r="E648" s="141">
        <v>41120</v>
      </c>
    </row>
    <row r="649" spans="1:16" s="165" customFormat="1" ht="15" thickBot="1" x14ac:dyDescent="0.35"/>
    <row r="650" spans="1:16" s="165" customFormat="1" ht="24.6" thickBot="1" x14ac:dyDescent="0.35">
      <c r="F650" s="174" t="s">
        <v>23</v>
      </c>
      <c r="G650" s="168" t="s">
        <v>18</v>
      </c>
      <c r="H650" s="168" t="s">
        <v>16</v>
      </c>
      <c r="I650" s="168" t="s">
        <v>17</v>
      </c>
      <c r="J650" s="168" t="s">
        <v>19</v>
      </c>
      <c r="K650" s="169" t="s">
        <v>114</v>
      </c>
    </row>
    <row r="651" spans="1:16" s="165" customFormat="1" x14ac:dyDescent="0.3">
      <c r="F651" s="267" t="s">
        <v>201</v>
      </c>
      <c r="G651" s="268"/>
      <c r="H651" s="268"/>
      <c r="I651" s="268"/>
      <c r="J651" s="268"/>
      <c r="K651" s="169"/>
      <c r="M651" s="203">
        <f ca="1">(H679+K679)/L679</f>
        <v>0.64965517241379311</v>
      </c>
      <c r="N651" s="204" t="s">
        <v>501</v>
      </c>
    </row>
    <row r="652" spans="1:16" s="165" customFormat="1" ht="43.8" thickBot="1" x14ac:dyDescent="0.35">
      <c r="A652" s="142" t="s">
        <v>294</v>
      </c>
      <c r="B652" s="142" t="s">
        <v>295</v>
      </c>
      <c r="C652" s="197" t="s">
        <v>440</v>
      </c>
      <c r="D652" s="142" t="s">
        <v>441</v>
      </c>
      <c r="E652" s="171" t="s">
        <v>30</v>
      </c>
      <c r="F652" s="175">
        <f>Falling_fast</f>
        <v>-0.2</v>
      </c>
      <c r="G652" s="176">
        <f>Falling</f>
        <v>0</v>
      </c>
      <c r="H652" s="177">
        <f>Static</f>
        <v>0</v>
      </c>
      <c r="I652" s="176">
        <f>Rising</f>
        <v>0</v>
      </c>
      <c r="J652" s="178">
        <f>Rising_fast</f>
        <v>0.2</v>
      </c>
      <c r="K652" s="182">
        <v>0</v>
      </c>
      <c r="L652" s="171" t="s">
        <v>28</v>
      </c>
      <c r="M652" s="172" t="s">
        <v>29</v>
      </c>
      <c r="N652" s="143" t="s">
        <v>296</v>
      </c>
      <c r="O652" s="142" t="s">
        <v>297</v>
      </c>
      <c r="P652" s="142" t="s">
        <v>298</v>
      </c>
    </row>
    <row r="653" spans="1:16" s="165" customFormat="1" x14ac:dyDescent="0.3">
      <c r="C653" s="166"/>
      <c r="E653" s="192"/>
      <c r="F653" s="198" t="s">
        <v>151</v>
      </c>
      <c r="G653" s="199" t="s">
        <v>149</v>
      </c>
      <c r="H653" s="199" t="s">
        <v>16</v>
      </c>
      <c r="I653" s="199" t="s">
        <v>148</v>
      </c>
      <c r="J653" s="199" t="s">
        <v>150</v>
      </c>
      <c r="K653" s="200" t="s">
        <v>114</v>
      </c>
      <c r="L653" s="166"/>
      <c r="M653" s="170"/>
      <c r="N653" s="166"/>
    </row>
    <row r="654" spans="1:16" s="165" customFormat="1" x14ac:dyDescent="0.3">
      <c r="A654" s="165">
        <f>MATCH(Calcs!B654,Paste_Report_Here!$1:$1,0) -1</f>
        <v>5</v>
      </c>
      <c r="B654" s="165" t="s">
        <v>124</v>
      </c>
      <c r="C654" s="166">
        <f ca="1">RANK(N654,N654:N678)</f>
        <v>14</v>
      </c>
      <c r="D654" s="166">
        <f ca="1">RANK(P654,P654:P678)</f>
        <v>16</v>
      </c>
      <c r="E654" s="189" t="s">
        <v>152</v>
      </c>
      <c r="F654" s="179">
        <f ca="1">COUNTIFS(Paste_Report_Here!$E$1:$E$2000,E648, OFFSET(Paste_Report_Here!$A$1,0,$A654,2000,1),F$75)</f>
        <v>1</v>
      </c>
      <c r="G654" s="180">
        <f ca="1">COUNTIFS(Paste_Report_Here!$E$1:$E$2000,E648, OFFSET(Paste_Report_Here!$A$1,0,$A654,2000,1),G$75)</f>
        <v>3</v>
      </c>
      <c r="H654" s="180">
        <f ca="1">COUNTIFS(Paste_Report_Here!$E$1:$E$2000,E648, OFFSET(Paste_Report_Here!$A$1,0,$A654,2000,1),H$75)</f>
        <v>18</v>
      </c>
      <c r="I654" s="180">
        <f ca="1">COUNTIFS(Paste_Report_Here!$E$1:$E$2000,E648, OFFSET(Paste_Report_Here!$A$1,0,$A654,2000,1),I$75)</f>
        <v>6</v>
      </c>
      <c r="J654" s="180">
        <f ca="1">COUNTIFS(Paste_Report_Here!$E$1:$E$2000,E648, OFFSET(Paste_Report_Here!$A$1,0,$A654,2000,1),J$75)</f>
        <v>1</v>
      </c>
      <c r="K654" s="181">
        <f ca="1">COUNTIFS(Paste_Report_Here!$E$1:$E$2000,E648, OFFSET(Paste_Report_Here!$A$1,0,$A654,2000,1),K$75)</f>
        <v>0</v>
      </c>
      <c r="L654" s="166">
        <f t="shared" ref="L654:L678" ca="1" si="97">SUM(F654:K654)</f>
        <v>29</v>
      </c>
      <c r="M654" s="183">
        <f ca="1">SUMPRODUCT(F654:K654,F652:K652)/L:L</f>
        <v>0</v>
      </c>
      <c r="N654" s="166">
        <f t="shared" ref="N654:N679" ca="1" si="98">EXP(M654)</f>
        <v>1</v>
      </c>
      <c r="O654" s="165">
        <f ca="1">P620</f>
        <v>2086.9814968872024</v>
      </c>
      <c r="P654" s="165">
        <f t="shared" ref="P654:P679" ca="1" si="99">O654*N654</f>
        <v>2086.9814968872024</v>
      </c>
    </row>
    <row r="655" spans="1:16" s="165" customFormat="1" x14ac:dyDescent="0.3">
      <c r="A655" s="165">
        <f>MATCH(Calcs!B655,Paste_Report_Here!$1:$1,0) -1</f>
        <v>6</v>
      </c>
      <c r="B655" s="165" t="s">
        <v>125</v>
      </c>
      <c r="C655" s="166">
        <f ca="1">RANK(N655,N654:N678)</f>
        <v>25</v>
      </c>
      <c r="D655" s="166">
        <f ca="1">RANK(P655,P654:P678)</f>
        <v>13</v>
      </c>
      <c r="E655" s="189" t="s">
        <v>153</v>
      </c>
      <c r="F655" s="179">
        <f ca="1">COUNTIFS(Paste_Report_Here!$E$1:$E$2000,E648, OFFSET(Paste_Report_Here!$A$1,0,$A655,2000,1),F$75)</f>
        <v>2</v>
      </c>
      <c r="G655" s="180">
        <f ca="1">COUNTIFS(Paste_Report_Here!$E$1:$E$2000,E648, OFFSET(Paste_Report_Here!$A$1,0,$A655,2000,1),G$75)</f>
        <v>3</v>
      </c>
      <c r="H655" s="180">
        <f ca="1">COUNTIFS(Paste_Report_Here!$E$1:$E$2000,E648, OFFSET(Paste_Report_Here!$A$1,0,$A655,2000,1),H$75)</f>
        <v>18</v>
      </c>
      <c r="I655" s="180">
        <f ca="1">COUNTIFS(Paste_Report_Here!$E$1:$E$2000,E648, OFFSET(Paste_Report_Here!$A$1,0,$A655,2000,1),I$75)</f>
        <v>5</v>
      </c>
      <c r="J655" s="180">
        <f ca="1">COUNTIFS(Paste_Report_Here!$E$1:$E$2000,E648, OFFSET(Paste_Report_Here!$A$1,0,$A655,2000,1),J$75)</f>
        <v>1</v>
      </c>
      <c r="K655" s="181">
        <f ca="1">COUNTIFS(Paste_Report_Here!$E$1:$E$2000,E648, OFFSET(Paste_Report_Here!$A$1,0,$A655,2000,1),K$75)</f>
        <v>0</v>
      </c>
      <c r="L655" s="166">
        <f t="shared" ca="1" si="97"/>
        <v>29</v>
      </c>
      <c r="M655" s="183">
        <f ca="1">SUMPRODUCT(F655:K655,F652:K652)/L:L</f>
        <v>-6.8965517241379318E-3</v>
      </c>
      <c r="N655" s="166">
        <f t="shared" ca="1" si="98"/>
        <v>0.99312717491337699</v>
      </c>
      <c r="O655" s="165">
        <f t="shared" ref="O655:O679" ca="1" si="100">P621</f>
        <v>2221.3398358395298</v>
      </c>
      <c r="P655" s="165">
        <f t="shared" ca="1" si="99"/>
        <v>2206.0729556898568</v>
      </c>
    </row>
    <row r="656" spans="1:16" s="165" customFormat="1" x14ac:dyDescent="0.3">
      <c r="A656" s="165">
        <f>MATCH(Calcs!B656,Paste_Report_Here!$1:$1,0) -1</f>
        <v>7</v>
      </c>
      <c r="B656" s="165" t="s">
        <v>126</v>
      </c>
      <c r="C656" s="166">
        <f ca="1">RANK(N656,N654:N678)</f>
        <v>14</v>
      </c>
      <c r="D656" s="166">
        <f ca="1">RANK(P656,P654:P678)</f>
        <v>7</v>
      </c>
      <c r="E656" s="189" t="s">
        <v>154</v>
      </c>
      <c r="F656" s="179">
        <f ca="1">COUNTIFS(Paste_Report_Here!$E$1:$E$2000,E648, OFFSET(Paste_Report_Here!$A$1,0,$A656,2000,1),F$75)</f>
        <v>1</v>
      </c>
      <c r="G656" s="180">
        <f ca="1">COUNTIFS(Paste_Report_Here!$E$1:$E$2000,E648, OFFSET(Paste_Report_Here!$A$1,0,$A656,2000,1),G$75)</f>
        <v>3</v>
      </c>
      <c r="H656" s="180">
        <f ca="1">COUNTIFS(Paste_Report_Here!$E$1:$E$2000,E648, OFFSET(Paste_Report_Here!$A$1,0,$A656,2000,1),H$75)</f>
        <v>15</v>
      </c>
      <c r="I656" s="180">
        <f ca="1">COUNTIFS(Paste_Report_Here!$E$1:$E$2000,E648, OFFSET(Paste_Report_Here!$A$1,0,$A656,2000,1),I$75)</f>
        <v>8</v>
      </c>
      <c r="J656" s="180">
        <f ca="1">COUNTIFS(Paste_Report_Here!$E$1:$E$2000,E648, OFFSET(Paste_Report_Here!$A$1,0,$A656,2000,1),J$75)</f>
        <v>1</v>
      </c>
      <c r="K656" s="181">
        <f ca="1">COUNTIFS(Paste_Report_Here!$E$1:$E$2000,E648, OFFSET(Paste_Report_Here!$A$1,0,$A656,2000,1),K$75)</f>
        <v>1</v>
      </c>
      <c r="L656" s="166">
        <f t="shared" ca="1" si="97"/>
        <v>29</v>
      </c>
      <c r="M656" s="183">
        <f ca="1">SUMPRODUCT(F656:K656,F652:K652)/L:L</f>
        <v>0</v>
      </c>
      <c r="N656" s="166">
        <f t="shared" ca="1" si="98"/>
        <v>1</v>
      </c>
      <c r="O656" s="165">
        <f t="shared" ca="1" si="100"/>
        <v>2895.7708059961701</v>
      </c>
      <c r="P656" s="165">
        <f t="shared" ca="1" si="99"/>
        <v>2895.7708059961701</v>
      </c>
    </row>
    <row r="657" spans="1:16" s="165" customFormat="1" x14ac:dyDescent="0.3">
      <c r="A657" s="165">
        <f>MATCH(Calcs!B657,Paste_Report_Here!$1:$1,0) -1</f>
        <v>8</v>
      </c>
      <c r="B657" s="165" t="s">
        <v>127</v>
      </c>
      <c r="C657" s="166">
        <f ca="1">RANK(N657,N654:N678)</f>
        <v>2</v>
      </c>
      <c r="D657" s="166">
        <f ca="1">RANK(P657,P654:P678)</f>
        <v>8</v>
      </c>
      <c r="E657" s="189" t="s">
        <v>155</v>
      </c>
      <c r="F657" s="179">
        <f ca="1">COUNTIFS(Paste_Report_Here!$E$1:$E$2000,E648, OFFSET(Paste_Report_Here!$A$1,0,$A657,2000,1),F$75)</f>
        <v>0</v>
      </c>
      <c r="G657" s="180">
        <f ca="1">COUNTIFS(Paste_Report_Here!$E$1:$E$2000,E648, OFFSET(Paste_Report_Here!$A$1,0,$A657,2000,1),G$75)</f>
        <v>2</v>
      </c>
      <c r="H657" s="180">
        <f ca="1">COUNTIFS(Paste_Report_Here!$E$1:$E$2000,E648, OFFSET(Paste_Report_Here!$A$1,0,$A657,2000,1),H$75)</f>
        <v>18</v>
      </c>
      <c r="I657" s="180">
        <f ca="1">COUNTIFS(Paste_Report_Here!$E$1:$E$2000,E648, OFFSET(Paste_Report_Here!$A$1,0,$A657,2000,1),I$75)</f>
        <v>6</v>
      </c>
      <c r="J657" s="180">
        <f ca="1">COUNTIFS(Paste_Report_Here!$E$1:$E$2000,E648, OFFSET(Paste_Report_Here!$A$1,0,$A657,2000,1),J$75)</f>
        <v>3</v>
      </c>
      <c r="K657" s="181">
        <f ca="1">COUNTIFS(Paste_Report_Here!$E$1:$E$2000,E648, OFFSET(Paste_Report_Here!$A$1,0,$A657,2000,1),K$75)</f>
        <v>0</v>
      </c>
      <c r="L657" s="166">
        <f t="shared" ca="1" si="97"/>
        <v>29</v>
      </c>
      <c r="M657" s="183">
        <f ca="1">SUMPRODUCT(F657:K657,F652:K652)/L:L</f>
        <v>2.0689655172413796E-2</v>
      </c>
      <c r="N657" s="166">
        <f t="shared" ca="1" si="98"/>
        <v>1.0209051698298444</v>
      </c>
      <c r="O657" s="165">
        <f t="shared" ca="1" si="100"/>
        <v>2680.8767946526777</v>
      </c>
      <c r="P657" s="165">
        <f t="shared" ca="1" si="99"/>
        <v>2736.9209793377809</v>
      </c>
    </row>
    <row r="658" spans="1:16" s="165" customFormat="1" x14ac:dyDescent="0.3">
      <c r="A658" s="165">
        <f>MATCH(Calcs!B658,Paste_Report_Here!$1:$1,0) -1</f>
        <v>9</v>
      </c>
      <c r="B658" s="165" t="s">
        <v>214</v>
      </c>
      <c r="C658" s="166">
        <f ca="1">RANK(N658,N654:N678)</f>
        <v>4</v>
      </c>
      <c r="D658" s="166">
        <f ca="1">RANK(P658,P654:P678)</f>
        <v>5</v>
      </c>
      <c r="E658" s="189" t="s">
        <v>156</v>
      </c>
      <c r="F658" s="179">
        <f ca="1">COUNTIFS(Paste_Report_Here!$E$1:$E$2000,E648, OFFSET(Paste_Report_Here!$A$1,0,$A658,2000,1),F$75)</f>
        <v>0</v>
      </c>
      <c r="G658" s="180">
        <f ca="1">COUNTIFS(Paste_Report_Here!$E$1:$E$2000,E648, OFFSET(Paste_Report_Here!$A$1,0,$A658,2000,1),G$75)</f>
        <v>3</v>
      </c>
      <c r="H658" s="180">
        <f ca="1">COUNTIFS(Paste_Report_Here!$E$1:$E$2000,E648, OFFSET(Paste_Report_Here!$A$1,0,$A658,2000,1),H$75)</f>
        <v>17</v>
      </c>
      <c r="I658" s="180">
        <f ca="1">COUNTIFS(Paste_Report_Here!$E$1:$E$2000,E648, OFFSET(Paste_Report_Here!$A$1,0,$A658,2000,1),I$75)</f>
        <v>5</v>
      </c>
      <c r="J658" s="180">
        <f ca="1">COUNTIFS(Paste_Report_Here!$E$1:$E$2000,E648, OFFSET(Paste_Report_Here!$A$1,0,$A658,2000,1),J$75)</f>
        <v>2</v>
      </c>
      <c r="K658" s="181">
        <f ca="1">COUNTIFS(Paste_Report_Here!$E$1:$E$2000,E648, OFFSET(Paste_Report_Here!$A$1,0,$A658,2000,1),K$75)</f>
        <v>2</v>
      </c>
      <c r="L658" s="166">
        <f t="shared" ca="1" si="97"/>
        <v>29</v>
      </c>
      <c r="M658" s="183">
        <f ca="1">SUMPRODUCT(F658:K658,F652:K652)/L:L</f>
        <v>1.3793103448275864E-2</v>
      </c>
      <c r="N658" s="166">
        <f t="shared" ca="1" si="98"/>
        <v>1.0138886671675746</v>
      </c>
      <c r="O658" s="165">
        <f t="shared" ca="1" si="100"/>
        <v>3475.3578681834497</v>
      </c>
      <c r="P658" s="165">
        <f t="shared" ca="1" si="99"/>
        <v>3523.6259569028612</v>
      </c>
    </row>
    <row r="659" spans="1:16" s="165" customFormat="1" x14ac:dyDescent="0.3">
      <c r="A659" s="165">
        <f>MATCH(Calcs!B659,Paste_Report_Here!$1:$1,0) -1</f>
        <v>10</v>
      </c>
      <c r="B659" s="165" t="s">
        <v>128</v>
      </c>
      <c r="C659" s="166">
        <f ca="1">RANK(N659,N654:N678)</f>
        <v>14</v>
      </c>
      <c r="D659" s="166">
        <f ca="1">RANK(P659,P654:P678)</f>
        <v>21</v>
      </c>
      <c r="E659" s="189" t="s">
        <v>157</v>
      </c>
      <c r="F659" s="179">
        <f ca="1">COUNTIFS(Paste_Report_Here!$E$1:$E$2000,E648, OFFSET(Paste_Report_Here!$A$1,0,$A659,2000,1),F$75)</f>
        <v>0</v>
      </c>
      <c r="G659" s="180">
        <f ca="1">COUNTIFS(Paste_Report_Here!$E$1:$E$2000,E648, OFFSET(Paste_Report_Here!$A$1,0,$A659,2000,1),G$75)</f>
        <v>4</v>
      </c>
      <c r="H659" s="180">
        <f ca="1">COUNTIFS(Paste_Report_Here!$E$1:$E$2000,E648, OFFSET(Paste_Report_Here!$A$1,0,$A659,2000,1),H$75)</f>
        <v>21</v>
      </c>
      <c r="I659" s="180">
        <f ca="1">COUNTIFS(Paste_Report_Here!$E$1:$E$2000,E648, OFFSET(Paste_Report_Here!$A$1,0,$A659,2000,1),I$75)</f>
        <v>4</v>
      </c>
      <c r="J659" s="180">
        <f ca="1">COUNTIFS(Paste_Report_Here!$E$1:$E$2000,E648, OFFSET(Paste_Report_Here!$A$1,0,$A659,2000,1),J$75)</f>
        <v>0</v>
      </c>
      <c r="K659" s="181">
        <f ca="1">COUNTIFS(Paste_Report_Here!$E$1:$E$2000,E648, OFFSET(Paste_Report_Here!$A$1,0,$A659,2000,1),K$75)</f>
        <v>0</v>
      </c>
      <c r="L659" s="166">
        <f t="shared" ca="1" si="97"/>
        <v>29</v>
      </c>
      <c r="M659" s="183">
        <f ca="1">SUMPRODUCT(F659:K659,F652:K652)/L:L</f>
        <v>0</v>
      </c>
      <c r="N659" s="166">
        <f t="shared" ca="1" si="98"/>
        <v>1</v>
      </c>
      <c r="O659" s="165">
        <f t="shared" ca="1" si="100"/>
        <v>1641.7667005844194</v>
      </c>
      <c r="P659" s="165">
        <f t="shared" ca="1" si="99"/>
        <v>1641.7667005844194</v>
      </c>
    </row>
    <row r="660" spans="1:16" s="165" customFormat="1" x14ac:dyDescent="0.3">
      <c r="A660" s="165">
        <f>MATCH(Calcs!B660,Paste_Report_Here!$1:$1,0) -1</f>
        <v>11</v>
      </c>
      <c r="B660" s="165" t="s">
        <v>129</v>
      </c>
      <c r="C660" s="166">
        <f ca="1">RANK(N660,N654:N678)</f>
        <v>14</v>
      </c>
      <c r="D660" s="166">
        <f ca="1">RANK(P660,P654:P678)</f>
        <v>9</v>
      </c>
      <c r="E660" s="189" t="s">
        <v>158</v>
      </c>
      <c r="F660" s="179">
        <f ca="1">COUNTIFS(Paste_Report_Here!$E$1:$E$2000,E648, OFFSET(Paste_Report_Here!$A$1,0,$A660,2000,1),F$75)</f>
        <v>2</v>
      </c>
      <c r="G660" s="180">
        <f ca="1">COUNTIFS(Paste_Report_Here!$E$1:$E$2000,E648, OFFSET(Paste_Report_Here!$A$1,0,$A660,2000,1),G$75)</f>
        <v>2</v>
      </c>
      <c r="H660" s="180">
        <f ca="1">COUNTIFS(Paste_Report_Here!$E$1:$E$2000,E648, OFFSET(Paste_Report_Here!$A$1,0,$A660,2000,1),H$75)</f>
        <v>19</v>
      </c>
      <c r="I660" s="180">
        <f ca="1">COUNTIFS(Paste_Report_Here!$E$1:$E$2000,E648, OFFSET(Paste_Report_Here!$A$1,0,$A660,2000,1),I$75)</f>
        <v>4</v>
      </c>
      <c r="J660" s="180">
        <f ca="1">COUNTIFS(Paste_Report_Here!$E$1:$E$2000,E648, OFFSET(Paste_Report_Here!$A$1,0,$A660,2000,1),J$75)</f>
        <v>2</v>
      </c>
      <c r="K660" s="181">
        <f ca="1">COUNTIFS(Paste_Report_Here!$E$1:$E$2000,E648, OFFSET(Paste_Report_Here!$A$1,0,$A660,2000,1),K$75)</f>
        <v>0</v>
      </c>
      <c r="L660" s="166">
        <f t="shared" ca="1" si="97"/>
        <v>29</v>
      </c>
      <c r="M660" s="183">
        <f ca="1">SUMPRODUCT(F660:K660,F652:K652)/L:L</f>
        <v>0</v>
      </c>
      <c r="N660" s="166">
        <f t="shared" ca="1" si="98"/>
        <v>1</v>
      </c>
      <c r="O660" s="165">
        <f t="shared" ca="1" si="100"/>
        <v>2560.1111133729537</v>
      </c>
      <c r="P660" s="165">
        <f t="shared" ca="1" si="99"/>
        <v>2560.1111133729537</v>
      </c>
    </row>
    <row r="661" spans="1:16" s="165" customFormat="1" x14ac:dyDescent="0.3">
      <c r="A661" s="165">
        <f>MATCH(Calcs!B661,Paste_Report_Here!$1:$1,0) -1</f>
        <v>12</v>
      </c>
      <c r="B661" s="165" t="s">
        <v>130</v>
      </c>
      <c r="C661" s="166">
        <f ca="1">RANK(N661,N654:N678)</f>
        <v>8</v>
      </c>
      <c r="D661" s="166">
        <f ca="1">RANK(P661,P654:P678)</f>
        <v>10</v>
      </c>
      <c r="E661" s="189" t="s">
        <v>159</v>
      </c>
      <c r="F661" s="179">
        <f ca="1">COUNTIFS(Paste_Report_Here!$E$1:$E$2000,E648, OFFSET(Paste_Report_Here!$A$1,0,$A661,2000,1),F$75)</f>
        <v>0</v>
      </c>
      <c r="G661" s="180">
        <f ca="1">COUNTIFS(Paste_Report_Here!$E$1:$E$2000,E648, OFFSET(Paste_Report_Here!$A$1,0,$A661,2000,1),G$75)</f>
        <v>3</v>
      </c>
      <c r="H661" s="180">
        <f ca="1">COUNTIFS(Paste_Report_Here!$E$1:$E$2000,E648, OFFSET(Paste_Report_Here!$A$1,0,$A661,2000,1),H$75)</f>
        <v>17</v>
      </c>
      <c r="I661" s="180">
        <f ca="1">COUNTIFS(Paste_Report_Here!$E$1:$E$2000,E648, OFFSET(Paste_Report_Here!$A$1,0,$A661,2000,1),I$75)</f>
        <v>8</v>
      </c>
      <c r="J661" s="180">
        <f ca="1">COUNTIFS(Paste_Report_Here!$E$1:$E$2000,E648, OFFSET(Paste_Report_Here!$A$1,0,$A661,2000,1),J$75)</f>
        <v>1</v>
      </c>
      <c r="K661" s="181">
        <f ca="1">COUNTIFS(Paste_Report_Here!$E$1:$E$2000,E648, OFFSET(Paste_Report_Here!$A$1,0,$A661,2000,1),K$75)</f>
        <v>0</v>
      </c>
      <c r="L661" s="166">
        <f t="shared" ca="1" si="97"/>
        <v>29</v>
      </c>
      <c r="M661" s="183">
        <f ca="1">SUMPRODUCT(F661:K661,F652:K652)/L:L</f>
        <v>6.8965517241379318E-3</v>
      </c>
      <c r="N661" s="166">
        <f t="shared" ca="1" si="98"/>
        <v>1.0069203877008224</v>
      </c>
      <c r="O661" s="165">
        <f t="shared" ca="1" si="100"/>
        <v>2323.6797506358766</v>
      </c>
      <c r="P661" s="165">
        <f t="shared" ca="1" si="99"/>
        <v>2339.760515402827</v>
      </c>
    </row>
    <row r="662" spans="1:16" s="165" customFormat="1" x14ac:dyDescent="0.3">
      <c r="A662" s="165">
        <f>MATCH(Calcs!B662,Paste_Report_Here!$1:$1,0) -1</f>
        <v>13</v>
      </c>
      <c r="B662" s="165" t="s">
        <v>131</v>
      </c>
      <c r="C662" s="166">
        <f ca="1">RANK(N662,N654:N678)</f>
        <v>1</v>
      </c>
      <c r="D662" s="166">
        <f ca="1">RANK(P662,P654:P678)</f>
        <v>2</v>
      </c>
      <c r="E662" s="189" t="s">
        <v>160</v>
      </c>
      <c r="F662" s="179">
        <f ca="1">COUNTIFS(Paste_Report_Here!$E$1:$E$2000,E648, OFFSET(Paste_Report_Here!$A$1,0,$A662,2000,1),F$75)</f>
        <v>0</v>
      </c>
      <c r="G662" s="180">
        <f ca="1">COUNTIFS(Paste_Report_Here!$E$1:$E$2000,E648, OFFSET(Paste_Report_Here!$A$1,0,$A662,2000,1),G$75)</f>
        <v>1</v>
      </c>
      <c r="H662" s="180">
        <f ca="1">COUNTIFS(Paste_Report_Here!$E$1:$E$2000,E648, OFFSET(Paste_Report_Here!$A$1,0,$A662,2000,1),H$75)</f>
        <v>14</v>
      </c>
      <c r="I662" s="180">
        <f ca="1">COUNTIFS(Paste_Report_Here!$E$1:$E$2000,E648, OFFSET(Paste_Report_Here!$A$1,0,$A662,2000,1),I$75)</f>
        <v>9</v>
      </c>
      <c r="J662" s="180">
        <f ca="1">COUNTIFS(Paste_Report_Here!$E$1:$E$2000,E648, OFFSET(Paste_Report_Here!$A$1,0,$A662,2000,1),J$75)</f>
        <v>5</v>
      </c>
      <c r="K662" s="181">
        <f ca="1">COUNTIFS(Paste_Report_Here!$E$1:$E$2000,E648, OFFSET(Paste_Report_Here!$A$1,0,$A662,2000,1),K$75)</f>
        <v>0</v>
      </c>
      <c r="L662" s="166">
        <f t="shared" ca="1" si="97"/>
        <v>29</v>
      </c>
      <c r="M662" s="183">
        <f ca="1">SUMPRODUCT(F662:K662,F652:K652)/L:L</f>
        <v>3.4482758620689655E-2</v>
      </c>
      <c r="N662" s="166">
        <f t="shared" ca="1" si="98"/>
        <v>1.0350841819432672</v>
      </c>
      <c r="O662" s="165">
        <f t="shared" ca="1" si="100"/>
        <v>3946.380828104031</v>
      </c>
      <c r="P662" s="165">
        <f t="shared" ca="1" si="99"/>
        <v>4084.8363710946546</v>
      </c>
    </row>
    <row r="663" spans="1:16" s="165" customFormat="1" x14ac:dyDescent="0.3">
      <c r="A663" s="165">
        <f>MATCH(Calcs!B663,Paste_Report_Here!$1:$1,0) -1</f>
        <v>14</v>
      </c>
      <c r="B663" s="165" t="s">
        <v>132</v>
      </c>
      <c r="C663" s="166">
        <f ca="1">RANK(N663,N652:N676)</f>
        <v>4</v>
      </c>
      <c r="D663" s="166">
        <f ca="1">RANK(P663,P654:P678)</f>
        <v>18</v>
      </c>
      <c r="E663" s="189" t="s">
        <v>161</v>
      </c>
      <c r="F663" s="179">
        <f ca="1">COUNTIFS(Paste_Report_Here!$E$1:$E$2000,E648, OFFSET(Paste_Report_Here!$A$1,0,$A663,2000,1),F$75)</f>
        <v>0</v>
      </c>
      <c r="G663" s="180">
        <f ca="1">COUNTIFS(Paste_Report_Here!$E$1:$E$2000,E648, OFFSET(Paste_Report_Here!$A$1,0,$A663,2000,1),G$75)</f>
        <v>2</v>
      </c>
      <c r="H663" s="180">
        <f ca="1">COUNTIFS(Paste_Report_Here!$E$1:$E$2000,E648, OFFSET(Paste_Report_Here!$A$1,0,$A663,2000,1),H$75)</f>
        <v>18</v>
      </c>
      <c r="I663" s="180">
        <f ca="1">COUNTIFS(Paste_Report_Here!$E$1:$E$2000,E648, OFFSET(Paste_Report_Here!$A$1,0,$A663,2000,1),I$75)</f>
        <v>7</v>
      </c>
      <c r="J663" s="180">
        <f ca="1">COUNTIFS(Paste_Report_Here!$E$1:$E$2000,E648, OFFSET(Paste_Report_Here!$A$1,0,$A663,2000,1),J$75)</f>
        <v>2</v>
      </c>
      <c r="K663" s="181">
        <f ca="1">COUNTIFS(Paste_Report_Here!$E$1:$E$2000,E648, OFFSET(Paste_Report_Here!$A$1,0,$A663,2000,1),K$75)</f>
        <v>0</v>
      </c>
      <c r="L663" s="166">
        <f t="shared" ca="1" si="97"/>
        <v>29</v>
      </c>
      <c r="M663" s="183">
        <f ca="1">SUMPRODUCT(F663:K663,F652:K652)/L:L</f>
        <v>1.3793103448275864E-2</v>
      </c>
      <c r="N663" s="166">
        <f t="shared" ca="1" si="98"/>
        <v>1.0138886671675746</v>
      </c>
      <c r="O663" s="165">
        <f t="shared" ca="1" si="100"/>
        <v>2005.7294949057496</v>
      </c>
      <c r="P663" s="165">
        <f t="shared" ca="1" si="99"/>
        <v>2033.5864042886831</v>
      </c>
    </row>
    <row r="664" spans="1:16" s="165" customFormat="1" x14ac:dyDescent="0.3">
      <c r="A664" s="165">
        <f>MATCH(Calcs!B664,Paste_Report_Here!$1:$1,0) -1</f>
        <v>15</v>
      </c>
      <c r="B664" s="165" t="s">
        <v>133</v>
      </c>
      <c r="C664" s="166">
        <f ca="1">RANK(N664,N653:N677)</f>
        <v>2</v>
      </c>
      <c r="D664" s="166">
        <f ca="1">RANK(P664,P654:P678)</f>
        <v>6</v>
      </c>
      <c r="E664" s="189" t="s">
        <v>162</v>
      </c>
      <c r="F664" s="179">
        <f ca="1">COUNTIFS(Paste_Report_Here!$E$1:$E$2000,E648, OFFSET(Paste_Report_Here!$A$1,0,$A664,2000,1),F$75)</f>
        <v>0</v>
      </c>
      <c r="G664" s="180">
        <f ca="1">COUNTIFS(Paste_Report_Here!$E$1:$E$2000,E648, OFFSET(Paste_Report_Here!$A$1,0,$A664,2000,1),G$75)</f>
        <v>2</v>
      </c>
      <c r="H664" s="180">
        <f ca="1">COUNTIFS(Paste_Report_Here!$E$1:$E$2000,E648, OFFSET(Paste_Report_Here!$A$1,0,$A664,2000,1),H$75)</f>
        <v>14</v>
      </c>
      <c r="I664" s="180">
        <f ca="1">COUNTIFS(Paste_Report_Here!$E$1:$E$2000,E648, OFFSET(Paste_Report_Here!$A$1,0,$A664,2000,1),I$75)</f>
        <v>9</v>
      </c>
      <c r="J664" s="180">
        <f ca="1">COUNTIFS(Paste_Report_Here!$E$1:$E$2000,E648, OFFSET(Paste_Report_Here!$A$1,0,$A664,2000,1),J$75)</f>
        <v>3</v>
      </c>
      <c r="K664" s="181">
        <f ca="1">COUNTIFS(Paste_Report_Here!$E$1:$E$2000,E648, OFFSET(Paste_Report_Here!$A$1,0,$A664,2000,1),K$75)</f>
        <v>1</v>
      </c>
      <c r="L664" s="166">
        <f t="shared" ca="1" si="97"/>
        <v>29</v>
      </c>
      <c r="M664" s="183">
        <f ca="1">SUMPRODUCT(F664:K664,F652:K652)/L:L</f>
        <v>2.0689655172413796E-2</v>
      </c>
      <c r="N664" s="166">
        <f t="shared" ca="1" si="98"/>
        <v>1.0209051698298444</v>
      </c>
      <c r="O664" s="165">
        <f t="shared" ca="1" si="100"/>
        <v>2876.1357470598455</v>
      </c>
      <c r="P664" s="165">
        <f t="shared" ca="1" si="99"/>
        <v>2936.261853305818</v>
      </c>
    </row>
    <row r="665" spans="1:16" s="165" customFormat="1" x14ac:dyDescent="0.3">
      <c r="A665" s="165">
        <f>MATCH(Calcs!B665,Paste_Report_Here!$1:$1,0) -1</f>
        <v>16</v>
      </c>
      <c r="B665" s="165" t="s">
        <v>134</v>
      </c>
      <c r="C665" s="166">
        <f ca="1">RANK(N665,N654:N678)</f>
        <v>8</v>
      </c>
      <c r="D665" s="166">
        <f ca="1">RANK(P665,P654:P678)</f>
        <v>23</v>
      </c>
      <c r="E665" s="189" t="s">
        <v>163</v>
      </c>
      <c r="F665" s="179">
        <f ca="1">COUNTIFS(Paste_Report_Here!$E$1:$E$2000,E648, OFFSET(Paste_Report_Here!$A$1,0,$A665,2000,1),F$75)</f>
        <v>0</v>
      </c>
      <c r="G665" s="180">
        <f ca="1">COUNTIFS(Paste_Report_Here!$E$1:$E$2000,E648, OFFSET(Paste_Report_Here!$A$1,0,$A665,2000,1),G$75)</f>
        <v>3</v>
      </c>
      <c r="H665" s="180">
        <f ca="1">COUNTIFS(Paste_Report_Here!$E$1:$E$2000,E648, OFFSET(Paste_Report_Here!$A$1,0,$A665,2000,1),H$75)</f>
        <v>22</v>
      </c>
      <c r="I665" s="180">
        <f ca="1">COUNTIFS(Paste_Report_Here!$E$1:$E$2000,E648, OFFSET(Paste_Report_Here!$A$1,0,$A665,2000,1),I$75)</f>
        <v>2</v>
      </c>
      <c r="J665" s="180">
        <f ca="1">COUNTIFS(Paste_Report_Here!$E$1:$E$2000,E648, OFFSET(Paste_Report_Here!$A$1,0,$A665,2000,1),J$75)</f>
        <v>1</v>
      </c>
      <c r="K665" s="181">
        <f ca="1">COUNTIFS(Paste_Report_Here!$E$1:$E$2000,E648, OFFSET(Paste_Report_Here!$A$1,0,$A665,2000,1),K$75)</f>
        <v>1</v>
      </c>
      <c r="L665" s="166">
        <f t="shared" ca="1" si="97"/>
        <v>29</v>
      </c>
      <c r="M665" s="183">
        <f ca="1">SUMPRODUCT(F665:K665,F652:K652)/L:L</f>
        <v>6.8965517241379318E-3</v>
      </c>
      <c r="N665" s="166">
        <f t="shared" ca="1" si="98"/>
        <v>1.0069203877008224</v>
      </c>
      <c r="O665" s="165">
        <f t="shared" ca="1" si="100"/>
        <v>1172.3806983238601</v>
      </c>
      <c r="P665" s="165">
        <f t="shared" ca="1" si="99"/>
        <v>1180.494027289222</v>
      </c>
    </row>
    <row r="666" spans="1:16" s="165" customFormat="1" x14ac:dyDescent="0.3">
      <c r="A666" s="165">
        <f>MATCH(Calcs!B666,Paste_Report_Here!$1:$1,0) -1</f>
        <v>17</v>
      </c>
      <c r="B666" s="165" t="s">
        <v>135</v>
      </c>
      <c r="C666" s="166">
        <f ca="1">RANK(N666,N654:N678)</f>
        <v>14</v>
      </c>
      <c r="D666" s="166">
        <f ca="1">RANK(P666,P654:P678)</f>
        <v>20</v>
      </c>
      <c r="E666" s="189" t="s">
        <v>164</v>
      </c>
      <c r="F666" s="179">
        <f ca="1">COUNTIFS(Paste_Report_Here!$E$1:$E$2000,E648, OFFSET(Paste_Report_Here!$A$1,0,$A666,2000,1),F$75)</f>
        <v>1</v>
      </c>
      <c r="G666" s="180">
        <f ca="1">COUNTIFS(Paste_Report_Here!$E$1:$E$2000,E648, OFFSET(Paste_Report_Here!$A$1,0,$A666,2000,1),G$75)</f>
        <v>3</v>
      </c>
      <c r="H666" s="180">
        <f ca="1">COUNTIFS(Paste_Report_Here!$E$1:$E$2000,E648, OFFSET(Paste_Report_Here!$A$1,0,$A666,2000,1),H$75)</f>
        <v>17</v>
      </c>
      <c r="I666" s="180">
        <f ca="1">COUNTIFS(Paste_Report_Here!$E$1:$E$2000,E648, OFFSET(Paste_Report_Here!$A$1,0,$A666,2000,1),I$75)</f>
        <v>6</v>
      </c>
      <c r="J666" s="180">
        <f ca="1">COUNTIFS(Paste_Report_Here!$E$1:$E$2000,E648, OFFSET(Paste_Report_Here!$A$1,0,$A666,2000,1),J$75)</f>
        <v>1</v>
      </c>
      <c r="K666" s="181">
        <f ca="1">COUNTIFS(Paste_Report_Here!$E$1:$E$2000,E648, OFFSET(Paste_Report_Here!$A$1,0,$A666,2000,1),K$75)</f>
        <v>1</v>
      </c>
      <c r="L666" s="166">
        <f t="shared" ca="1" si="97"/>
        <v>29</v>
      </c>
      <c r="M666" s="183">
        <f ca="1">SUMPRODUCT(F666:K666,F652:K652)/L:L</f>
        <v>0</v>
      </c>
      <c r="N666" s="166">
        <f t="shared" ca="1" si="98"/>
        <v>1</v>
      </c>
      <c r="O666" s="165">
        <f t="shared" ca="1" si="100"/>
        <v>1843.3022163581952</v>
      </c>
      <c r="P666" s="165">
        <f t="shared" ca="1" si="99"/>
        <v>1843.3022163581952</v>
      </c>
    </row>
    <row r="667" spans="1:16" s="165" customFormat="1" x14ac:dyDescent="0.3">
      <c r="A667" s="165">
        <f>MATCH(Calcs!B667,Paste_Report_Here!$1:$1,0) -1</f>
        <v>18</v>
      </c>
      <c r="B667" s="165" t="s">
        <v>136</v>
      </c>
      <c r="C667" s="166">
        <f ca="1">RANK(N667,N654:N678)</f>
        <v>8</v>
      </c>
      <c r="D667" s="166">
        <f ca="1">RANK(P667,P654:P678)</f>
        <v>4</v>
      </c>
      <c r="E667" s="189" t="s">
        <v>165</v>
      </c>
      <c r="F667" s="179">
        <f ca="1">COUNTIFS(Paste_Report_Here!$E$1:$E$2000,E648, OFFSET(Paste_Report_Here!$A$1,0,$A667,2000,1),F$75)</f>
        <v>0</v>
      </c>
      <c r="G667" s="180">
        <f ca="1">COUNTIFS(Paste_Report_Here!$E$1:$E$2000,E648, OFFSET(Paste_Report_Here!$A$1,0,$A667,2000,1),G$75)</f>
        <v>2</v>
      </c>
      <c r="H667" s="180">
        <f ca="1">COUNTIFS(Paste_Report_Here!$E$1:$E$2000,E648, OFFSET(Paste_Report_Here!$A$1,0,$A667,2000,1),H$75)</f>
        <v>17</v>
      </c>
      <c r="I667" s="180">
        <f ca="1">COUNTIFS(Paste_Report_Here!$E$1:$E$2000,E648, OFFSET(Paste_Report_Here!$A$1,0,$A667,2000,1),I$75)</f>
        <v>9</v>
      </c>
      <c r="J667" s="180">
        <f ca="1">COUNTIFS(Paste_Report_Here!$E$1:$E$2000,E648, OFFSET(Paste_Report_Here!$A$1,0,$A667,2000,1),J$75)</f>
        <v>1</v>
      </c>
      <c r="K667" s="181">
        <f ca="1">COUNTIFS(Paste_Report_Here!$E$1:$E$2000,E648, OFFSET(Paste_Report_Here!$A$1,0,$A667,2000,1),K$75)</f>
        <v>0</v>
      </c>
      <c r="L667" s="166">
        <f t="shared" ca="1" si="97"/>
        <v>29</v>
      </c>
      <c r="M667" s="183">
        <f ca="1">SUMPRODUCT(F667:K667,F652:K652)/L:L</f>
        <v>6.8965517241379318E-3</v>
      </c>
      <c r="N667" s="166">
        <f t="shared" ca="1" si="98"/>
        <v>1.0069203877008224</v>
      </c>
      <c r="O667" s="165">
        <f t="shared" ca="1" si="100"/>
        <v>3735.7072543604504</v>
      </c>
      <c r="P667" s="165">
        <f t="shared" ca="1" si="99"/>
        <v>3761.5597968973993</v>
      </c>
    </row>
    <row r="668" spans="1:16" s="165" customFormat="1" x14ac:dyDescent="0.3">
      <c r="A668" s="165">
        <f>MATCH(Calcs!B668,Paste_Report_Here!$1:$1,0) -1</f>
        <v>19</v>
      </c>
      <c r="B668" s="165" t="s">
        <v>137</v>
      </c>
      <c r="C668" s="166">
        <f ca="1">RANK(N668,N654:N678)</f>
        <v>14</v>
      </c>
      <c r="D668" s="166">
        <f ca="1">RANK(P668,P654:P678)</f>
        <v>15</v>
      </c>
      <c r="E668" s="189" t="s">
        <v>166</v>
      </c>
      <c r="F668" s="179">
        <f ca="1">COUNTIFS(Paste_Report_Here!$E$1:$E$2000,E648, OFFSET(Paste_Report_Here!$A$1,0,$A668,2000,1),F$75)</f>
        <v>0</v>
      </c>
      <c r="G668" s="180">
        <f ca="1">COUNTIFS(Paste_Report_Here!$E$1:$E$2000,E648, OFFSET(Paste_Report_Here!$A$1,0,$A668,2000,1),G$75)</f>
        <v>2</v>
      </c>
      <c r="H668" s="180">
        <f ca="1">COUNTIFS(Paste_Report_Here!$E$1:$E$2000,E648, OFFSET(Paste_Report_Here!$A$1,0,$A668,2000,1),H$75)</f>
        <v>20</v>
      </c>
      <c r="I668" s="180">
        <f ca="1">COUNTIFS(Paste_Report_Here!$E$1:$E$2000,E648, OFFSET(Paste_Report_Here!$A$1,0,$A668,2000,1),I$75)</f>
        <v>7</v>
      </c>
      <c r="J668" s="180">
        <f ca="1">COUNTIFS(Paste_Report_Here!$E$1:$E$2000,E648, OFFSET(Paste_Report_Here!$A$1,0,$A668,2000,1),J$75)</f>
        <v>0</v>
      </c>
      <c r="K668" s="181">
        <f ca="1">COUNTIFS(Paste_Report_Here!$E$1:$E$2000,E648, OFFSET(Paste_Report_Here!$A$1,0,$A668,2000,1),K$75)</f>
        <v>0</v>
      </c>
      <c r="L668" s="166">
        <f t="shared" ca="1" si="97"/>
        <v>29</v>
      </c>
      <c r="M668" s="183">
        <f ca="1">SUMPRODUCT(F668:K668,F652:K652)/L:L</f>
        <v>0</v>
      </c>
      <c r="N668" s="166">
        <f t="shared" ca="1" si="98"/>
        <v>1</v>
      </c>
      <c r="O668" s="165">
        <f t="shared" ca="1" si="100"/>
        <v>2122.6781131465646</v>
      </c>
      <c r="P668" s="165">
        <f t="shared" ca="1" si="99"/>
        <v>2122.6781131465646</v>
      </c>
    </row>
    <row r="669" spans="1:16" s="165" customFormat="1" x14ac:dyDescent="0.3">
      <c r="A669" s="165">
        <f>MATCH(Calcs!B669,Paste_Report_Here!$1:$1,0) -1</f>
        <v>20</v>
      </c>
      <c r="B669" s="165" t="s">
        <v>138</v>
      </c>
      <c r="C669" s="166">
        <f ca="1">RANK(N669,N655:N679)</f>
        <v>15</v>
      </c>
      <c r="D669" s="166">
        <f ca="1">RANK(P669,P654:P678)</f>
        <v>19</v>
      </c>
      <c r="E669" s="189" t="s">
        <v>167</v>
      </c>
      <c r="F669" s="179">
        <f ca="1">COUNTIFS(Paste_Report_Here!$E$1:$E$2000,E648, OFFSET(Paste_Report_Here!$A$1,0,$A669,2000,1),F$75)</f>
        <v>1</v>
      </c>
      <c r="G669" s="180">
        <f ca="1">COUNTIFS(Paste_Report_Here!$E$1:$E$2000,E648, OFFSET(Paste_Report_Here!$A$1,0,$A669,2000,1),G$75)</f>
        <v>1</v>
      </c>
      <c r="H669" s="180">
        <f ca="1">COUNTIFS(Paste_Report_Here!$E$1:$E$2000,E648, OFFSET(Paste_Report_Here!$A$1,0,$A669,2000,1),H$75)</f>
        <v>20</v>
      </c>
      <c r="I669" s="180">
        <f ca="1">COUNTIFS(Paste_Report_Here!$E$1:$E$2000,E648, OFFSET(Paste_Report_Here!$A$1,0,$A669,2000,1),I$75)</f>
        <v>6</v>
      </c>
      <c r="J669" s="180">
        <f ca="1">COUNTIFS(Paste_Report_Here!$E$1:$E$2000,E648, OFFSET(Paste_Report_Here!$A$1,0,$A669,2000,1),J$75)</f>
        <v>1</v>
      </c>
      <c r="K669" s="181">
        <f ca="1">COUNTIFS(Paste_Report_Here!$E$1:$E$2000,E648, OFFSET(Paste_Report_Here!$A$1,0,$A669,2000,1),K$75)</f>
        <v>0</v>
      </c>
      <c r="L669" s="166">
        <f t="shared" ca="1" si="97"/>
        <v>29</v>
      </c>
      <c r="M669" s="183">
        <f ca="1">SUMPRODUCT(F669:K669,F652:K652)/L:L</f>
        <v>0</v>
      </c>
      <c r="N669" s="166">
        <f t="shared" ca="1" si="98"/>
        <v>1</v>
      </c>
      <c r="O669" s="165">
        <f t="shared" ca="1" si="100"/>
        <v>2033.3482534948525</v>
      </c>
      <c r="P669" s="165">
        <f t="shared" ca="1" si="99"/>
        <v>2033.3482534948525</v>
      </c>
    </row>
    <row r="670" spans="1:16" s="165" customFormat="1" x14ac:dyDescent="0.3">
      <c r="A670" s="165">
        <f>MATCH(Calcs!B670,Paste_Report_Here!$1:$1,0) -1</f>
        <v>21</v>
      </c>
      <c r="B670" s="165" t="s">
        <v>139</v>
      </c>
      <c r="C670" s="166">
        <f ca="1">RANK(N670,N654:N678)</f>
        <v>8</v>
      </c>
      <c r="D670" s="166">
        <f ca="1">RANK(P670,P654:P678)</f>
        <v>14</v>
      </c>
      <c r="E670" s="189" t="s">
        <v>168</v>
      </c>
      <c r="F670" s="179">
        <f ca="1">COUNTIFS(Paste_Report_Here!$E$1:$E$2000,E648, OFFSET(Paste_Report_Here!$A$1,0,$A670,2000,1),F$75)</f>
        <v>0</v>
      </c>
      <c r="G670" s="180">
        <f ca="1">COUNTIFS(Paste_Report_Here!$E$1:$E$2000,E648, OFFSET(Paste_Report_Here!$A$1,0,$A670,2000,1),G$75)</f>
        <v>3</v>
      </c>
      <c r="H670" s="180">
        <f ca="1">COUNTIFS(Paste_Report_Here!$E$1:$E$2000,E648, OFFSET(Paste_Report_Here!$A$1,0,$A670,2000,1),H$75)</f>
        <v>17</v>
      </c>
      <c r="I670" s="180">
        <f ca="1">COUNTIFS(Paste_Report_Here!$E$1:$E$2000,E648, OFFSET(Paste_Report_Here!$A$1,0,$A670,2000,1),I$75)</f>
        <v>8</v>
      </c>
      <c r="J670" s="180">
        <f ca="1">COUNTIFS(Paste_Report_Here!$E$1:$E$2000,E648, OFFSET(Paste_Report_Here!$A$1,0,$A670,2000,1),J$75)</f>
        <v>1</v>
      </c>
      <c r="K670" s="181">
        <f ca="1">COUNTIFS(Paste_Report_Here!$E$1:$E$2000,E648, OFFSET(Paste_Report_Here!$A$1,0,$A670,2000,1),K$75)</f>
        <v>0</v>
      </c>
      <c r="L670" s="166">
        <f t="shared" ca="1" si="97"/>
        <v>29</v>
      </c>
      <c r="M670" s="183">
        <f ca="1">SUMPRODUCT(F670:K670,F652:K652)/L:L</f>
        <v>6.8965517241379318E-3</v>
      </c>
      <c r="N670" s="166">
        <f t="shared" ca="1" si="98"/>
        <v>1.0069203877008224</v>
      </c>
      <c r="O670" s="165">
        <f t="shared" ca="1" si="100"/>
        <v>2115.0192351140022</v>
      </c>
      <c r="P670" s="165">
        <f t="shared" ca="1" si="99"/>
        <v>2129.655988215688</v>
      </c>
    </row>
    <row r="671" spans="1:16" s="165" customFormat="1" x14ac:dyDescent="0.3">
      <c r="A671" s="165">
        <f>MATCH(Calcs!B671,Paste_Report_Here!$1:$1,0) -1</f>
        <v>22</v>
      </c>
      <c r="B671" s="165" t="s">
        <v>140</v>
      </c>
      <c r="C671" s="166">
        <f ca="1">RANK(N671,N654:N678)</f>
        <v>8</v>
      </c>
      <c r="D671" s="166">
        <f ca="1">RANK(P671,P654:P678)</f>
        <v>17</v>
      </c>
      <c r="E671" s="189" t="s">
        <v>169</v>
      </c>
      <c r="F671" s="179">
        <f ca="1">COUNTIFS(Paste_Report_Here!$E$1:$E$2000,E648, OFFSET(Paste_Report_Here!$A$1,0,$A671,2000,1),F$75)</f>
        <v>1</v>
      </c>
      <c r="G671" s="180">
        <f ca="1">COUNTIFS(Paste_Report_Here!$E$1:$E$2000,E648, OFFSET(Paste_Report_Here!$A$1,0,$A671,2000,1),G$75)</f>
        <v>2</v>
      </c>
      <c r="H671" s="180">
        <f ca="1">COUNTIFS(Paste_Report_Here!$E$1:$E$2000,E648, OFFSET(Paste_Report_Here!$A$1,0,$A671,2000,1),H$75)</f>
        <v>16</v>
      </c>
      <c r="I671" s="180">
        <f ca="1">COUNTIFS(Paste_Report_Here!$E$1:$E$2000,E648, OFFSET(Paste_Report_Here!$A$1,0,$A671,2000,1),I$75)</f>
        <v>8</v>
      </c>
      <c r="J671" s="180">
        <f ca="1">COUNTIFS(Paste_Report_Here!$E$1:$E$2000,E648, OFFSET(Paste_Report_Here!$A$1,0,$A671,2000,1),J$75)</f>
        <v>2</v>
      </c>
      <c r="K671" s="181">
        <f ca="1">COUNTIFS(Paste_Report_Here!$E$1:$E$2000,E648, OFFSET(Paste_Report_Here!$A$1,0,$A671,2000,1),K$75)</f>
        <v>0</v>
      </c>
      <c r="L671" s="166">
        <f t="shared" ca="1" si="97"/>
        <v>29</v>
      </c>
      <c r="M671" s="183">
        <f ca="1">SUMPRODUCT(F671:K671,F652:K652)/L:L</f>
        <v>6.8965517241379318E-3</v>
      </c>
      <c r="N671" s="166">
        <f t="shared" ca="1" si="98"/>
        <v>1.0069203877008224</v>
      </c>
      <c r="O671" s="165">
        <f t="shared" ca="1" si="100"/>
        <v>2037.5204548583588</v>
      </c>
      <c r="P671" s="165">
        <f t="shared" ca="1" si="99"/>
        <v>2051.6208863543347</v>
      </c>
    </row>
    <row r="672" spans="1:16" s="165" customFormat="1" x14ac:dyDescent="0.3">
      <c r="A672" s="165">
        <f>MATCH(Calcs!B672,Paste_Report_Here!$1:$1,0) -1</f>
        <v>23</v>
      </c>
      <c r="B672" s="165" t="s">
        <v>186</v>
      </c>
      <c r="C672" s="166">
        <f ca="1">RANK(N672,N654:N678)</f>
        <v>4</v>
      </c>
      <c r="D672" s="166">
        <f ca="1">RANK(P672,P654:P678)</f>
        <v>3</v>
      </c>
      <c r="E672" s="189" t="s">
        <v>180</v>
      </c>
      <c r="F672" s="179">
        <f ca="1">COUNTIFS(Paste_Report_Here!$E$1:$E$2000,E648, OFFSET(Paste_Report_Here!$A$1,0,$A672,2000,1),F$75)</f>
        <v>1</v>
      </c>
      <c r="G672" s="180">
        <f ca="1">COUNTIFS(Paste_Report_Here!$E$1:$E$2000,E648, OFFSET(Paste_Report_Here!$A$1,0,$A672,2000,1),G$75)</f>
        <v>2</v>
      </c>
      <c r="H672" s="180">
        <f ca="1">COUNTIFS(Paste_Report_Here!$E$1:$E$2000,E648, OFFSET(Paste_Report_Here!$A$1,0,$A672,2000,1),H$75)</f>
        <v>17</v>
      </c>
      <c r="I672" s="180">
        <f ca="1">COUNTIFS(Paste_Report_Here!$E$1:$E$2000,E648, OFFSET(Paste_Report_Here!$A$1,0,$A672,2000,1),I$75)</f>
        <v>5</v>
      </c>
      <c r="J672" s="180">
        <f ca="1">COUNTIFS(Paste_Report_Here!$E$1:$E$2000,E648, OFFSET(Paste_Report_Here!$A$1,0,$A672,2000,1),J$75)</f>
        <v>3</v>
      </c>
      <c r="K672" s="181">
        <f ca="1">COUNTIFS(Paste_Report_Here!$E$1:$E$2000,E648, OFFSET(Paste_Report_Here!$A$1,0,$A672,2000,1),K$75)</f>
        <v>1</v>
      </c>
      <c r="L672" s="166">
        <f t="shared" ca="1" si="97"/>
        <v>29</v>
      </c>
      <c r="M672" s="183">
        <f ca="1">SUMPRODUCT(F672:K672,F652:K652)/L:L</f>
        <v>1.3793103448275865E-2</v>
      </c>
      <c r="N672" s="166">
        <f t="shared" ca="1" si="98"/>
        <v>1.0138886671675746</v>
      </c>
      <c r="O672" s="165">
        <f t="shared" ca="1" si="100"/>
        <v>3789.6226925786123</v>
      </c>
      <c r="P672" s="165">
        <f t="shared" ca="1" si="99"/>
        <v>3842.2555008465247</v>
      </c>
    </row>
    <row r="673" spans="1:16" s="165" customFormat="1" x14ac:dyDescent="0.3">
      <c r="A673" s="165">
        <f>MATCH(Calcs!B673,Paste_Report_Here!$1:$1,0) -1</f>
        <v>24</v>
      </c>
      <c r="B673" s="165" t="s">
        <v>209</v>
      </c>
      <c r="C673" s="166">
        <f ca="1">RANK(N673,N654:N678)</f>
        <v>14</v>
      </c>
      <c r="D673" s="166">
        <f ca="1">RANK(P673,P654:P678)</f>
        <v>24</v>
      </c>
      <c r="E673" s="202" t="s">
        <v>211</v>
      </c>
      <c r="F673" s="179">
        <f ca="1">COUNTIFS(Paste_Report_Here!$E$1:$E$2000,E648, OFFSET(Paste_Report_Here!$A$1,0,$A673,2000,1),F$75)</f>
        <v>0</v>
      </c>
      <c r="G673" s="180">
        <f ca="1">COUNTIFS(Paste_Report_Here!$E$1:$E$2000,E648, OFFSET(Paste_Report_Here!$A$1,0,$A673,2000,1),G$75)</f>
        <v>2</v>
      </c>
      <c r="H673" s="180">
        <f ca="1">COUNTIFS(Paste_Report_Here!$E$1:$E$2000,E648, OFFSET(Paste_Report_Here!$A$1,0,$A673,2000,1),H$75)</f>
        <v>21</v>
      </c>
      <c r="I673" s="180">
        <f ca="1">COUNTIFS(Paste_Report_Here!$E$1:$E$2000,E648, OFFSET(Paste_Report_Here!$A$1,0,$A673,2000,1),I$75)</f>
        <v>4</v>
      </c>
      <c r="J673" s="180">
        <f ca="1">COUNTIFS(Paste_Report_Here!$E$1:$E$2000,E648, OFFSET(Paste_Report_Here!$A$1,0,$A673,2000,1),J$75)</f>
        <v>0</v>
      </c>
      <c r="K673" s="181">
        <f ca="1">COUNTIFS(Paste_Report_Here!$E$1:$E$2000,E648, OFFSET(Paste_Report_Here!$A$1,0,$A673,2000,1),K$75)</f>
        <v>2</v>
      </c>
      <c r="L673" s="166">
        <f t="shared" ca="1" si="97"/>
        <v>29</v>
      </c>
      <c r="M673" s="183">
        <f ca="1">SUMPRODUCT(F673:K673,F652:K652)/L:L</f>
        <v>0</v>
      </c>
      <c r="N673" s="166">
        <f t="shared" ca="1" si="98"/>
        <v>1</v>
      </c>
      <c r="O673" s="165">
        <f t="shared" ca="1" si="100"/>
        <v>1180.0265503753844</v>
      </c>
      <c r="P673" s="165">
        <f t="shared" ca="1" si="99"/>
        <v>1180.0265503753844</v>
      </c>
    </row>
    <row r="674" spans="1:16" s="165" customFormat="1" x14ac:dyDescent="0.3">
      <c r="A674" s="165">
        <f>MATCH(Calcs!B674,Paste_Report_Here!$1:$1,0) -1</f>
        <v>25</v>
      </c>
      <c r="B674" s="165" t="s">
        <v>141</v>
      </c>
      <c r="C674" s="166">
        <f ca="1">RANK(N674,N654:N678)</f>
        <v>14</v>
      </c>
      <c r="D674" s="166">
        <f ca="1">RANK(P674,P654:P678)</f>
        <v>22</v>
      </c>
      <c r="E674" s="189" t="s">
        <v>170</v>
      </c>
      <c r="F674" s="179">
        <f ca="1">COUNTIFS(Paste_Report_Here!$E$1:$E$2000,E648, OFFSET(Paste_Report_Here!$A$1,0,$A674,2000,1),F$75)</f>
        <v>1</v>
      </c>
      <c r="G674" s="180">
        <f ca="1">COUNTIFS(Paste_Report_Here!$E$1:$E$2000,E648, OFFSET(Paste_Report_Here!$A$1,0,$A674,2000,1),G$75)</f>
        <v>2</v>
      </c>
      <c r="H674" s="180">
        <f ca="1">COUNTIFS(Paste_Report_Here!$E$1:$E$2000,E648, OFFSET(Paste_Report_Here!$A$1,0,$A674,2000,1),H$75)</f>
        <v>21</v>
      </c>
      <c r="I674" s="180">
        <f ca="1">COUNTIFS(Paste_Report_Here!$E$1:$E$2000,E648, OFFSET(Paste_Report_Here!$A$1,0,$A674,2000,1),I$75)</f>
        <v>4</v>
      </c>
      <c r="J674" s="180">
        <f ca="1">COUNTIFS(Paste_Report_Here!$E$1:$E$2000,E648, OFFSET(Paste_Report_Here!$A$1,0,$A674,2000,1),J$75)</f>
        <v>1</v>
      </c>
      <c r="K674" s="181">
        <f ca="1">COUNTIFS(Paste_Report_Here!$E$1:$E$2000,E648, OFFSET(Paste_Report_Here!$A$1,0,$A674,2000,1),K$75)</f>
        <v>0</v>
      </c>
      <c r="L674" s="166">
        <f t="shared" ca="1" si="97"/>
        <v>29</v>
      </c>
      <c r="M674" s="183">
        <f ca="1">SUMPRODUCT(F674:K674,F652:K652)/L:L</f>
        <v>0</v>
      </c>
      <c r="N674" s="166">
        <f t="shared" ca="1" si="98"/>
        <v>1</v>
      </c>
      <c r="O674" s="165">
        <f t="shared" ca="1" si="100"/>
        <v>1387.661989146708</v>
      </c>
      <c r="P674" s="165">
        <f t="shared" ca="1" si="99"/>
        <v>1387.661989146708</v>
      </c>
    </row>
    <row r="675" spans="1:16" s="165" customFormat="1" x14ac:dyDescent="0.3">
      <c r="A675" s="165">
        <f>MATCH(Calcs!B675,Paste_Report_Here!$1:$1,0) -1</f>
        <v>26</v>
      </c>
      <c r="B675" s="165" t="s">
        <v>142</v>
      </c>
      <c r="C675" s="166">
        <f ca="1">RANK(N675,N654:N678)</f>
        <v>14</v>
      </c>
      <c r="D675" s="166">
        <f ca="1">RANK(P675,P654:P678)</f>
        <v>12</v>
      </c>
      <c r="E675" s="189" t="s">
        <v>171</v>
      </c>
      <c r="F675" s="179">
        <f ca="1">COUNTIFS(Paste_Report_Here!$E$1:$E$2000,E648, OFFSET(Paste_Report_Here!$A$1,0,$A675,2000,1),F$75)</f>
        <v>1</v>
      </c>
      <c r="G675" s="180">
        <f ca="1">COUNTIFS(Paste_Report_Here!$E$1:$E$2000,E648, OFFSET(Paste_Report_Here!$A$1,0,$A675,2000,1),G$75)</f>
        <v>2</v>
      </c>
      <c r="H675" s="180">
        <f ca="1">COUNTIFS(Paste_Report_Here!$E$1:$E$2000,E648, OFFSET(Paste_Report_Here!$A$1,0,$A675,2000,1),H$75)</f>
        <v>21</v>
      </c>
      <c r="I675" s="180">
        <f ca="1">COUNTIFS(Paste_Report_Here!$E$1:$E$2000,E648, OFFSET(Paste_Report_Here!$A$1,0,$A675,2000,1),I$75)</f>
        <v>4</v>
      </c>
      <c r="J675" s="180">
        <f ca="1">COUNTIFS(Paste_Report_Here!$E$1:$E$2000,E648, OFFSET(Paste_Report_Here!$A$1,0,$A675,2000,1),J$75)</f>
        <v>1</v>
      </c>
      <c r="K675" s="181">
        <f ca="1">COUNTIFS(Paste_Report_Here!$E$1:$E$2000,E648, OFFSET(Paste_Report_Here!$A$1,0,$A675,2000,1),K$75)</f>
        <v>0</v>
      </c>
      <c r="L675" s="166">
        <f t="shared" ca="1" si="97"/>
        <v>29</v>
      </c>
      <c r="M675" s="183">
        <f ca="1">SUMPRODUCT(F675:K675,F652:K652)/L:L</f>
        <v>0</v>
      </c>
      <c r="N675" s="166">
        <f t="shared" ca="1" si="98"/>
        <v>1</v>
      </c>
      <c r="O675" s="165">
        <f t="shared" ca="1" si="100"/>
        <v>2276.2855202195797</v>
      </c>
      <c r="P675" s="165">
        <f t="shared" ca="1" si="99"/>
        <v>2276.2855202195797</v>
      </c>
    </row>
    <row r="676" spans="1:16" s="165" customFormat="1" x14ac:dyDescent="0.3">
      <c r="A676" s="165">
        <f>MATCH(Calcs!B676,Paste_Report_Here!$1:$1,0) -1</f>
        <v>27</v>
      </c>
      <c r="B676" s="165" t="s">
        <v>210</v>
      </c>
      <c r="C676" s="166">
        <f ca="1">RANK(N676,N654:N678)</f>
        <v>14</v>
      </c>
      <c r="D676" s="166">
        <f ca="1">RANK(P676,P654:P678)</f>
        <v>25</v>
      </c>
      <c r="E676" s="202" t="s">
        <v>212</v>
      </c>
      <c r="F676" s="179">
        <f ca="1">COUNTIFS(Paste_Report_Here!$E$1:$E$2000,E648, OFFSET(Paste_Report_Here!$A$1,0,$A676,2000,1),F$75)</f>
        <v>1</v>
      </c>
      <c r="G676" s="180">
        <f ca="1">COUNTIFS(Paste_Report_Here!$E$1:$E$2000,E648, OFFSET(Paste_Report_Here!$A$1,0,$A676,2000,1),G$75)</f>
        <v>1</v>
      </c>
      <c r="H676" s="180">
        <f ca="1">COUNTIFS(Paste_Report_Here!$E$1:$E$2000,E648, OFFSET(Paste_Report_Here!$A$1,0,$A676,2000,1),H$75)</f>
        <v>22</v>
      </c>
      <c r="I676" s="180">
        <f ca="1">COUNTIFS(Paste_Report_Here!$E$1:$E$2000,E648, OFFSET(Paste_Report_Here!$A$1,0,$A676,2000,1),I$75)</f>
        <v>4</v>
      </c>
      <c r="J676" s="180">
        <f ca="1">COUNTIFS(Paste_Report_Here!$E$1:$E$2000,E648, OFFSET(Paste_Report_Here!$A$1,0,$A676,2000,1),J$75)</f>
        <v>1</v>
      </c>
      <c r="K676" s="181">
        <f ca="1">COUNTIFS(Paste_Report_Here!$E$1:$E$2000,E648, OFFSET(Paste_Report_Here!$A$1,0,$A676,2000,1),K$75)</f>
        <v>0</v>
      </c>
      <c r="L676" s="166">
        <f t="shared" ca="1" si="97"/>
        <v>29</v>
      </c>
      <c r="M676" s="183">
        <f ca="1">SUMPRODUCT(F676:K676,F652:K652)/L:L</f>
        <v>0</v>
      </c>
      <c r="N676" s="166">
        <f t="shared" ca="1" si="98"/>
        <v>1</v>
      </c>
      <c r="O676" s="165">
        <f t="shared" ca="1" si="100"/>
        <v>1138.0832807918787</v>
      </c>
      <c r="P676" s="165">
        <f t="shared" ca="1" si="99"/>
        <v>1138.0832807918787</v>
      </c>
    </row>
    <row r="677" spans="1:16" s="165" customFormat="1" x14ac:dyDescent="0.3">
      <c r="A677" s="165">
        <f>MATCH(Calcs!B677,Paste_Report_Here!$1:$1,0) -1</f>
        <v>28</v>
      </c>
      <c r="B677" s="165" t="s">
        <v>143</v>
      </c>
      <c r="C677" s="166">
        <f ca="1">RANK(N677,N655:N679)</f>
        <v>4</v>
      </c>
      <c r="D677" s="166">
        <f ca="1">RANK(P677,P654:P678)</f>
        <v>1</v>
      </c>
      <c r="E677" s="189" t="s">
        <v>172</v>
      </c>
      <c r="F677" s="179">
        <f ca="1">COUNTIFS(Paste_Report_Here!$E$1:$E$2000,E648, OFFSET(Paste_Report_Here!$A$1,0,$A677,2000,1),F$75)</f>
        <v>0</v>
      </c>
      <c r="G677" s="180">
        <f ca="1">COUNTIFS(Paste_Report_Here!$E$1:$E$2000,E648, OFFSET(Paste_Report_Here!$A$1,0,$A677,2000,1),G$75)</f>
        <v>0</v>
      </c>
      <c r="H677" s="180">
        <f ca="1">COUNTIFS(Paste_Report_Here!$E$1:$E$2000,E648, OFFSET(Paste_Report_Here!$A$1,0,$A677,2000,1),H$75)</f>
        <v>21</v>
      </c>
      <c r="I677" s="180">
        <f ca="1">COUNTIFS(Paste_Report_Here!$E$1:$E$2000,E648, OFFSET(Paste_Report_Here!$A$1,0,$A677,2000,1),I$75)</f>
        <v>6</v>
      </c>
      <c r="J677" s="180">
        <f ca="1">COUNTIFS(Paste_Report_Here!$E$1:$E$2000,E648, OFFSET(Paste_Report_Here!$A$1,0,$A677,2000,1),J$75)</f>
        <v>2</v>
      </c>
      <c r="K677" s="181">
        <f ca="1">COUNTIFS(Paste_Report_Here!$E$1:$E$2000,E648, OFFSET(Paste_Report_Here!$A$1,0,$A677,2000,1),K$75)</f>
        <v>0</v>
      </c>
      <c r="L677" s="166">
        <f t="shared" ca="1" si="97"/>
        <v>29</v>
      </c>
      <c r="M677" s="183">
        <f ca="1">SUMPRODUCT(F677:K677,F652:K652)/L:L</f>
        <v>1.3793103448275864E-2</v>
      </c>
      <c r="N677" s="166">
        <f t="shared" ca="1" si="98"/>
        <v>1.0138886671675746</v>
      </c>
      <c r="O677" s="165">
        <f t="shared" ca="1" si="100"/>
        <v>7684.4876579578458</v>
      </c>
      <c r="P677" s="165">
        <f t="shared" ca="1" si="99"/>
        <v>7791.2149493925572</v>
      </c>
    </row>
    <row r="678" spans="1:16" s="165" customFormat="1" x14ac:dyDescent="0.3">
      <c r="A678" s="165">
        <f>MATCH(Calcs!B678,Paste_Report_Here!$1:$1,0) -1</f>
        <v>29</v>
      </c>
      <c r="B678" s="187" t="s">
        <v>144</v>
      </c>
      <c r="C678" s="147">
        <f ca="1">RANK(N678,N654:N678)</f>
        <v>8</v>
      </c>
      <c r="D678" s="147">
        <f ca="1">RANK(P678,P654:P678)</f>
        <v>11</v>
      </c>
      <c r="E678" s="145" t="s">
        <v>173</v>
      </c>
      <c r="F678" s="146">
        <f ca="1">COUNTIFS(Paste_Report_Here!$E$1:$E$2000,E648, OFFSET(Paste_Report_Here!$A$1,0,$A678,2000,1),F$75)</f>
        <v>0</v>
      </c>
      <c r="G678" s="147">
        <f ca="1">COUNTIFS(Paste_Report_Here!$E$1:$E$2000,E648, OFFSET(Paste_Report_Here!$A$1,0,$A678,2000,1),G$75)</f>
        <v>0</v>
      </c>
      <c r="H678" s="147">
        <f ca="1">COUNTIFS(Paste_Report_Here!$E$1:$E$2000,E648, OFFSET(Paste_Report_Here!$A$1,0,$A678,2000,1),H$75)</f>
        <v>20</v>
      </c>
      <c r="I678" s="147">
        <f ca="1">COUNTIFS(Paste_Report_Here!$E$1:$E$2000,E648, OFFSET(Paste_Report_Here!$A$1,0,$A678,2000,1),I$75)</f>
        <v>7</v>
      </c>
      <c r="J678" s="147">
        <f ca="1">COUNTIFS(Paste_Report_Here!$E$1:$E$2000,E648, OFFSET(Paste_Report_Here!$A$1,0,$A678,2000,1),J$75)</f>
        <v>1</v>
      </c>
      <c r="K678" s="148">
        <f ca="1">COUNTIFS(Paste_Report_Here!$E$1:$E$2000,E648, OFFSET(Paste_Report_Here!$A$1,0,$A678,2000,1),K$75)</f>
        <v>1</v>
      </c>
      <c r="L678" s="147">
        <f t="shared" ca="1" si="97"/>
        <v>29</v>
      </c>
      <c r="M678" s="149">
        <f ca="1">SUMPRODUCT(F678:K678,F652:K652)/L:L</f>
        <v>6.8965517241379318E-3</v>
      </c>
      <c r="N678" s="147">
        <f t="shared" ca="1" si="98"/>
        <v>1.0069203877008224</v>
      </c>
      <c r="O678" s="187">
        <f t="shared" ca="1" si="100"/>
        <v>2271.9004955442479</v>
      </c>
      <c r="P678" s="165">
        <f t="shared" ca="1" si="99"/>
        <v>2287.6229277911043</v>
      </c>
    </row>
    <row r="679" spans="1:16" s="165" customFormat="1" x14ac:dyDescent="0.3">
      <c r="C679" s="166"/>
      <c r="E679" s="140" t="s">
        <v>293</v>
      </c>
      <c r="F679" s="180">
        <f ca="1">SUM(F654:F678)</f>
        <v>13</v>
      </c>
      <c r="G679" s="180">
        <f t="shared" ref="G679:L679" ca="1" si="101">SUM(G654:G678)</f>
        <v>53</v>
      </c>
      <c r="H679" s="180">
        <f t="shared" ca="1" si="101"/>
        <v>461</v>
      </c>
      <c r="I679" s="180">
        <f t="shared" ca="1" si="101"/>
        <v>151</v>
      </c>
      <c r="J679" s="180">
        <f t="shared" ca="1" si="101"/>
        <v>37</v>
      </c>
      <c r="K679" s="180">
        <f t="shared" ca="1" si="101"/>
        <v>10</v>
      </c>
      <c r="L679" s="180">
        <f t="shared" ca="1" si="101"/>
        <v>725</v>
      </c>
      <c r="M679" s="144">
        <f ca="1">SUMPRODUCT(F679:K679,F652:K652)/L679</f>
        <v>6.6206896551724145E-3</v>
      </c>
      <c r="N679" s="166">
        <f t="shared" ca="1" si="98"/>
        <v>1.0066426548691259</v>
      </c>
      <c r="O679" s="165">
        <f t="shared" ca="1" si="100"/>
        <v>2625.3582849659269</v>
      </c>
      <c r="P679" s="165">
        <f t="shared" ca="1" si="99"/>
        <v>2642.7976339607558</v>
      </c>
    </row>
    <row r="680" spans="1:16" s="165" customFormat="1" x14ac:dyDescent="0.3">
      <c r="A680" s="194"/>
      <c r="B680" s="194"/>
      <c r="C680" s="153"/>
      <c r="D680" s="194"/>
      <c r="E680" s="164"/>
      <c r="F680" s="151"/>
      <c r="G680" s="151"/>
      <c r="H680" s="151"/>
      <c r="I680" s="151"/>
      <c r="J680" s="151"/>
      <c r="K680" s="151"/>
      <c r="L680" s="151"/>
      <c r="M680" s="162"/>
      <c r="N680" s="153"/>
      <c r="O680" s="194"/>
      <c r="P680" s="194"/>
    </row>
    <row r="681" spans="1:16" s="165" customFormat="1" x14ac:dyDescent="0.3">
      <c r="E681" s="173" t="s">
        <v>292</v>
      </c>
    </row>
    <row r="682" spans="1:16" s="165" customFormat="1" x14ac:dyDescent="0.3">
      <c r="E682" s="141">
        <v>41151</v>
      </c>
    </row>
    <row r="683" spans="1:16" s="165" customFormat="1" ht="15" thickBot="1" x14ac:dyDescent="0.35"/>
    <row r="684" spans="1:16" s="165" customFormat="1" ht="24.6" thickBot="1" x14ac:dyDescent="0.35">
      <c r="F684" s="174" t="s">
        <v>23</v>
      </c>
      <c r="G684" s="168" t="s">
        <v>18</v>
      </c>
      <c r="H684" s="168" t="s">
        <v>16</v>
      </c>
      <c r="I684" s="168" t="s">
        <v>17</v>
      </c>
      <c r="J684" s="168" t="s">
        <v>19</v>
      </c>
      <c r="K684" s="169" t="s">
        <v>114</v>
      </c>
    </row>
    <row r="685" spans="1:16" s="165" customFormat="1" x14ac:dyDescent="0.3">
      <c r="F685" s="267" t="s">
        <v>201</v>
      </c>
      <c r="G685" s="268"/>
      <c r="H685" s="268"/>
      <c r="I685" s="268"/>
      <c r="J685" s="268"/>
      <c r="K685" s="169"/>
      <c r="M685" s="203">
        <f ca="1">(H713+K713)/L713</f>
        <v>0.71393939393939398</v>
      </c>
      <c r="N685" s="204" t="s">
        <v>501</v>
      </c>
    </row>
    <row r="686" spans="1:16" s="165" customFormat="1" ht="43.8" thickBot="1" x14ac:dyDescent="0.35">
      <c r="A686" s="142" t="s">
        <v>294</v>
      </c>
      <c r="B686" s="142" t="s">
        <v>295</v>
      </c>
      <c r="C686" s="197" t="s">
        <v>440</v>
      </c>
      <c r="D686" s="142" t="s">
        <v>441</v>
      </c>
      <c r="E686" s="171" t="s">
        <v>30</v>
      </c>
      <c r="F686" s="175">
        <f>Falling_fast</f>
        <v>-0.2</v>
      </c>
      <c r="G686" s="176">
        <f>Falling</f>
        <v>0</v>
      </c>
      <c r="H686" s="177">
        <f>Static</f>
        <v>0</v>
      </c>
      <c r="I686" s="176">
        <f>Rising</f>
        <v>0</v>
      </c>
      <c r="J686" s="178">
        <f>Rising_fast</f>
        <v>0.2</v>
      </c>
      <c r="K686" s="182">
        <v>0</v>
      </c>
      <c r="L686" s="171" t="s">
        <v>28</v>
      </c>
      <c r="M686" s="172" t="s">
        <v>29</v>
      </c>
      <c r="N686" s="143" t="s">
        <v>296</v>
      </c>
      <c r="O686" s="142" t="s">
        <v>297</v>
      </c>
      <c r="P686" s="142" t="s">
        <v>298</v>
      </c>
    </row>
    <row r="687" spans="1:16" s="165" customFormat="1" x14ac:dyDescent="0.3">
      <c r="C687" s="166"/>
      <c r="E687" s="192"/>
      <c r="F687" s="198" t="s">
        <v>151</v>
      </c>
      <c r="G687" s="199" t="s">
        <v>149</v>
      </c>
      <c r="H687" s="199" t="s">
        <v>16</v>
      </c>
      <c r="I687" s="199" t="s">
        <v>148</v>
      </c>
      <c r="J687" s="199" t="s">
        <v>150</v>
      </c>
      <c r="K687" s="200" t="s">
        <v>114</v>
      </c>
      <c r="L687" s="166"/>
      <c r="M687" s="170"/>
      <c r="N687" s="166"/>
    </row>
    <row r="688" spans="1:16" s="165" customFormat="1" x14ac:dyDescent="0.3">
      <c r="A688" s="165">
        <f>MATCH(Calcs!B688,Paste_Report_Here!$1:$1,0) -1</f>
        <v>5</v>
      </c>
      <c r="B688" s="165" t="s">
        <v>124</v>
      </c>
      <c r="C688" s="166">
        <f ca="1">RANK(N688,N688:N712)</f>
        <v>4</v>
      </c>
      <c r="D688" s="166">
        <f ca="1">RANK(P688,P688:P712)</f>
        <v>16</v>
      </c>
      <c r="E688" s="189" t="s">
        <v>152</v>
      </c>
      <c r="F688" s="179">
        <f ca="1">COUNTIFS(Paste_Report_Here!$E$1:$E$2000,E682, OFFSET(Paste_Report_Here!$A$1,0,$A688,2000,1),F$75)</f>
        <v>1</v>
      </c>
      <c r="G688" s="180">
        <f ca="1">COUNTIFS(Paste_Report_Here!$E$1:$E$2000,E682, OFFSET(Paste_Report_Here!$A$1,0,$A688,2000,1),G$75)</f>
        <v>1</v>
      </c>
      <c r="H688" s="180">
        <f ca="1">COUNTIFS(Paste_Report_Here!$E$1:$E$2000,E682, OFFSET(Paste_Report_Here!$A$1,0,$A688,2000,1),H$75)</f>
        <v>23</v>
      </c>
      <c r="I688" s="180">
        <f ca="1">COUNTIFS(Paste_Report_Here!$E$1:$E$2000,E682, OFFSET(Paste_Report_Here!$A$1,0,$A688,2000,1),I$75)</f>
        <v>6</v>
      </c>
      <c r="J688" s="180">
        <f ca="1">COUNTIFS(Paste_Report_Here!$E$1:$E$2000,E682, OFFSET(Paste_Report_Here!$A$1,0,$A688,2000,1),J$75)</f>
        <v>2</v>
      </c>
      <c r="K688" s="181">
        <f ca="1">COUNTIFS(Paste_Report_Here!$E$1:$E$2000,E682, OFFSET(Paste_Report_Here!$A$1,0,$A688,2000,1),K$75)</f>
        <v>0</v>
      </c>
      <c r="L688" s="166">
        <f t="shared" ref="L688:L712" ca="1" si="102">SUM(F688:K688)</f>
        <v>33</v>
      </c>
      <c r="M688" s="183">
        <f ca="1">SUMPRODUCT(F688:K688,F686:K686)/L:L</f>
        <v>6.0606060606060606E-3</v>
      </c>
      <c r="N688" s="166">
        <f t="shared" ref="N688:N713" ca="1" si="103">EXP(M688)</f>
        <v>1.0060790086917657</v>
      </c>
      <c r="O688" s="165">
        <f ca="1">P654</f>
        <v>2086.9814968872024</v>
      </c>
      <c r="P688" s="165">
        <f t="shared" ref="P688:P713" ca="1" si="104">O688*N688</f>
        <v>2099.6682755463339</v>
      </c>
    </row>
    <row r="689" spans="1:16" s="165" customFormat="1" x14ac:dyDescent="0.3">
      <c r="A689" s="165">
        <f>MATCH(Calcs!B689,Paste_Report_Here!$1:$1,0) -1</f>
        <v>6</v>
      </c>
      <c r="B689" s="165" t="s">
        <v>125</v>
      </c>
      <c r="C689" s="166">
        <f ca="1">RANK(N689,N688:N712)</f>
        <v>18</v>
      </c>
      <c r="D689" s="166">
        <f ca="1">RANK(P689,P688:P712)</f>
        <v>13</v>
      </c>
      <c r="E689" s="189" t="s">
        <v>153</v>
      </c>
      <c r="F689" s="179">
        <f ca="1">COUNTIFS(Paste_Report_Here!$E$1:$E$2000,E682, OFFSET(Paste_Report_Here!$A$1,0,$A689,2000,1),F$75)</f>
        <v>1</v>
      </c>
      <c r="G689" s="180">
        <f ca="1">COUNTIFS(Paste_Report_Here!$E$1:$E$2000,E682, OFFSET(Paste_Report_Here!$A$1,0,$A689,2000,1),G$75)</f>
        <v>0</v>
      </c>
      <c r="H689" s="180">
        <f ca="1">COUNTIFS(Paste_Report_Here!$E$1:$E$2000,E682, OFFSET(Paste_Report_Here!$A$1,0,$A689,2000,1),H$75)</f>
        <v>23</v>
      </c>
      <c r="I689" s="180">
        <f ca="1">COUNTIFS(Paste_Report_Here!$E$1:$E$2000,E682, OFFSET(Paste_Report_Here!$A$1,0,$A689,2000,1),I$75)</f>
        <v>8</v>
      </c>
      <c r="J689" s="180">
        <f ca="1">COUNTIFS(Paste_Report_Here!$E$1:$E$2000,E682, OFFSET(Paste_Report_Here!$A$1,0,$A689,2000,1),J$75)</f>
        <v>0</v>
      </c>
      <c r="K689" s="181">
        <f ca="1">COUNTIFS(Paste_Report_Here!$E$1:$E$2000,E682, OFFSET(Paste_Report_Here!$A$1,0,$A689,2000,1),K$75)</f>
        <v>1</v>
      </c>
      <c r="L689" s="166">
        <f t="shared" ca="1" si="102"/>
        <v>33</v>
      </c>
      <c r="M689" s="183">
        <f ca="1">SUMPRODUCT(F689:K689,F686:K686)/L:L</f>
        <v>-6.0606060606060606E-3</v>
      </c>
      <c r="N689" s="166">
        <f t="shared" ca="1" si="103"/>
        <v>0.99395772236648638</v>
      </c>
      <c r="O689" s="165">
        <f t="shared" ref="O689:O713" ca="1" si="105">P655</f>
        <v>2206.0729556898568</v>
      </c>
      <c r="P689" s="165">
        <f t="shared" ca="1" si="104"/>
        <v>2192.7432504117928</v>
      </c>
    </row>
    <row r="690" spans="1:16" s="165" customFormat="1" x14ac:dyDescent="0.3">
      <c r="A690" s="165">
        <f>MATCH(Calcs!B690,Paste_Report_Here!$1:$1,0) -1</f>
        <v>7</v>
      </c>
      <c r="B690" s="165" t="s">
        <v>126</v>
      </c>
      <c r="C690" s="166">
        <f ca="1">RANK(N690,N688:N712)</f>
        <v>18</v>
      </c>
      <c r="D690" s="166">
        <f ca="1">RANK(P690,P688:P712)</f>
        <v>7</v>
      </c>
      <c r="E690" s="189" t="s">
        <v>154</v>
      </c>
      <c r="F690" s="179">
        <f ca="1">COUNTIFS(Paste_Report_Here!$E$1:$E$2000,E682, OFFSET(Paste_Report_Here!$A$1,0,$A690,2000,1),F$75)</f>
        <v>1</v>
      </c>
      <c r="G690" s="180">
        <f ca="1">COUNTIFS(Paste_Report_Here!$E$1:$E$2000,E682, OFFSET(Paste_Report_Here!$A$1,0,$A690,2000,1),G$75)</f>
        <v>4</v>
      </c>
      <c r="H690" s="180">
        <f ca="1">COUNTIFS(Paste_Report_Here!$E$1:$E$2000,E682, OFFSET(Paste_Report_Here!$A$1,0,$A690,2000,1),H$75)</f>
        <v>22</v>
      </c>
      <c r="I690" s="180">
        <f ca="1">COUNTIFS(Paste_Report_Here!$E$1:$E$2000,E682, OFFSET(Paste_Report_Here!$A$1,0,$A690,2000,1),I$75)</f>
        <v>6</v>
      </c>
      <c r="J690" s="180">
        <f ca="1">COUNTIFS(Paste_Report_Here!$E$1:$E$2000,E682, OFFSET(Paste_Report_Here!$A$1,0,$A690,2000,1),J$75)</f>
        <v>0</v>
      </c>
      <c r="K690" s="181">
        <f ca="1">COUNTIFS(Paste_Report_Here!$E$1:$E$2000,E682, OFFSET(Paste_Report_Here!$A$1,0,$A690,2000,1),K$75)</f>
        <v>0</v>
      </c>
      <c r="L690" s="166">
        <f t="shared" ca="1" si="102"/>
        <v>33</v>
      </c>
      <c r="M690" s="183">
        <f ca="1">SUMPRODUCT(F690:K690,F686:K686)/L:L</f>
        <v>-6.0606060606060606E-3</v>
      </c>
      <c r="N690" s="166">
        <f t="shared" ca="1" si="103"/>
        <v>0.99395772236648638</v>
      </c>
      <c r="O690" s="165">
        <f t="shared" ca="1" si="105"/>
        <v>2895.7708059961701</v>
      </c>
      <c r="P690" s="165">
        <f t="shared" ca="1" si="104"/>
        <v>2878.2737548233176</v>
      </c>
    </row>
    <row r="691" spans="1:16" s="165" customFormat="1" x14ac:dyDescent="0.3">
      <c r="A691" s="165">
        <f>MATCH(Calcs!B691,Paste_Report_Here!$1:$1,0) -1</f>
        <v>8</v>
      </c>
      <c r="B691" s="165" t="s">
        <v>127</v>
      </c>
      <c r="C691" s="166">
        <f ca="1">RANK(N691,N688:N712)</f>
        <v>12</v>
      </c>
      <c r="D691" s="166">
        <f ca="1">RANK(P691,P688:P712)</f>
        <v>8</v>
      </c>
      <c r="E691" s="189" t="s">
        <v>155</v>
      </c>
      <c r="F691" s="179">
        <f ca="1">COUNTIFS(Paste_Report_Here!$E$1:$E$2000,E682, OFFSET(Paste_Report_Here!$A$1,0,$A691,2000,1),F$75)</f>
        <v>0</v>
      </c>
      <c r="G691" s="180">
        <f ca="1">COUNTIFS(Paste_Report_Here!$E$1:$E$2000,E682, OFFSET(Paste_Report_Here!$A$1,0,$A691,2000,1),G$75)</f>
        <v>3</v>
      </c>
      <c r="H691" s="180">
        <f ca="1">COUNTIFS(Paste_Report_Here!$E$1:$E$2000,E682, OFFSET(Paste_Report_Here!$A$1,0,$A691,2000,1),H$75)</f>
        <v>22</v>
      </c>
      <c r="I691" s="180">
        <f ca="1">COUNTIFS(Paste_Report_Here!$E$1:$E$2000,E682, OFFSET(Paste_Report_Here!$A$1,0,$A691,2000,1),I$75)</f>
        <v>8</v>
      </c>
      <c r="J691" s="180">
        <f ca="1">COUNTIFS(Paste_Report_Here!$E$1:$E$2000,E682, OFFSET(Paste_Report_Here!$A$1,0,$A691,2000,1),J$75)</f>
        <v>0</v>
      </c>
      <c r="K691" s="181">
        <f ca="1">COUNTIFS(Paste_Report_Here!$E$1:$E$2000,E682, OFFSET(Paste_Report_Here!$A$1,0,$A691,2000,1),K$75)</f>
        <v>0</v>
      </c>
      <c r="L691" s="166">
        <f t="shared" ca="1" si="102"/>
        <v>33</v>
      </c>
      <c r="M691" s="183">
        <f ca="1">SUMPRODUCT(F691:K691,F686:K686)/L:L</f>
        <v>0</v>
      </c>
      <c r="N691" s="166">
        <f t="shared" ca="1" si="103"/>
        <v>1</v>
      </c>
      <c r="O691" s="165">
        <f t="shared" ca="1" si="105"/>
        <v>2736.9209793377809</v>
      </c>
      <c r="P691" s="165">
        <f t="shared" ca="1" si="104"/>
        <v>2736.9209793377809</v>
      </c>
    </row>
    <row r="692" spans="1:16" s="165" customFormat="1" x14ac:dyDescent="0.3">
      <c r="A692" s="165">
        <f>MATCH(Calcs!B692,Paste_Report_Here!$1:$1,0) -1</f>
        <v>9</v>
      </c>
      <c r="B692" s="165" t="s">
        <v>214</v>
      </c>
      <c r="C692" s="166">
        <f ca="1">RANK(N692,N688:N712)</f>
        <v>1</v>
      </c>
      <c r="D692" s="166">
        <f ca="1">RANK(P692,P688:P712)</f>
        <v>5</v>
      </c>
      <c r="E692" s="189" t="s">
        <v>156</v>
      </c>
      <c r="F692" s="179">
        <f ca="1">COUNTIFS(Paste_Report_Here!$E$1:$E$2000,E682, OFFSET(Paste_Report_Here!$A$1,0,$A692,2000,1),F$75)</f>
        <v>0</v>
      </c>
      <c r="G692" s="180">
        <f ca="1">COUNTIFS(Paste_Report_Here!$E$1:$E$2000,E682, OFFSET(Paste_Report_Here!$A$1,0,$A692,2000,1),G$75)</f>
        <v>3</v>
      </c>
      <c r="H692" s="180">
        <f ca="1">COUNTIFS(Paste_Report_Here!$E$1:$E$2000,E682, OFFSET(Paste_Report_Here!$A$1,0,$A692,2000,1),H$75)</f>
        <v>22</v>
      </c>
      <c r="I692" s="180">
        <f ca="1">COUNTIFS(Paste_Report_Here!$E$1:$E$2000,E682, OFFSET(Paste_Report_Here!$A$1,0,$A692,2000,1),I$75)</f>
        <v>5</v>
      </c>
      <c r="J692" s="180">
        <f ca="1">COUNTIFS(Paste_Report_Here!$E$1:$E$2000,E682, OFFSET(Paste_Report_Here!$A$1,0,$A692,2000,1),J$75)</f>
        <v>3</v>
      </c>
      <c r="K692" s="181">
        <f ca="1">COUNTIFS(Paste_Report_Here!$E$1:$E$2000,E682, OFFSET(Paste_Report_Here!$A$1,0,$A692,2000,1),K$75)</f>
        <v>0</v>
      </c>
      <c r="L692" s="166">
        <f t="shared" ca="1" si="102"/>
        <v>33</v>
      </c>
      <c r="M692" s="183">
        <f ca="1">SUMPRODUCT(F692:K692,F686:K686)/L:L</f>
        <v>1.8181818181818184E-2</v>
      </c>
      <c r="N692" s="166">
        <f t="shared" ca="1" si="103"/>
        <v>1.0183481137611157</v>
      </c>
      <c r="O692" s="165">
        <f t="shared" ca="1" si="105"/>
        <v>3523.6259569028612</v>
      </c>
      <c r="P692" s="165">
        <f t="shared" ca="1" si="104"/>
        <v>3588.2778468117349</v>
      </c>
    </row>
    <row r="693" spans="1:16" s="165" customFormat="1" x14ac:dyDescent="0.3">
      <c r="A693" s="165">
        <f>MATCH(Calcs!B693,Paste_Report_Here!$1:$1,0) -1</f>
        <v>10</v>
      </c>
      <c r="B693" s="165" t="s">
        <v>128</v>
      </c>
      <c r="C693" s="166">
        <f ca="1">RANK(N693,N688:N712)</f>
        <v>18</v>
      </c>
      <c r="D693" s="166">
        <f ca="1">RANK(P693,P688:P712)</f>
        <v>21</v>
      </c>
      <c r="E693" s="189" t="s">
        <v>157</v>
      </c>
      <c r="F693" s="179">
        <f ca="1">COUNTIFS(Paste_Report_Here!$E$1:$E$2000,E682, OFFSET(Paste_Report_Here!$A$1,0,$A693,2000,1),F$75)</f>
        <v>1</v>
      </c>
      <c r="G693" s="180">
        <f ca="1">COUNTIFS(Paste_Report_Here!$E$1:$E$2000,E682, OFFSET(Paste_Report_Here!$A$1,0,$A693,2000,1),G$75)</f>
        <v>3</v>
      </c>
      <c r="H693" s="180">
        <f ca="1">COUNTIFS(Paste_Report_Here!$E$1:$E$2000,E682, OFFSET(Paste_Report_Here!$A$1,0,$A693,2000,1),H$75)</f>
        <v>27</v>
      </c>
      <c r="I693" s="180">
        <f ca="1">COUNTIFS(Paste_Report_Here!$E$1:$E$2000,E682, OFFSET(Paste_Report_Here!$A$1,0,$A693,2000,1),I$75)</f>
        <v>2</v>
      </c>
      <c r="J693" s="180">
        <f ca="1">COUNTIFS(Paste_Report_Here!$E$1:$E$2000,E682, OFFSET(Paste_Report_Here!$A$1,0,$A693,2000,1),J$75)</f>
        <v>0</v>
      </c>
      <c r="K693" s="181">
        <f ca="1">COUNTIFS(Paste_Report_Here!$E$1:$E$2000,E682, OFFSET(Paste_Report_Here!$A$1,0,$A693,2000,1),K$75)</f>
        <v>0</v>
      </c>
      <c r="L693" s="166">
        <f t="shared" ca="1" si="102"/>
        <v>33</v>
      </c>
      <c r="M693" s="183">
        <f ca="1">SUMPRODUCT(F693:K693,F686:K686)/L:L</f>
        <v>-6.0606060606060606E-3</v>
      </c>
      <c r="N693" s="166">
        <f t="shared" ca="1" si="103"/>
        <v>0.99395772236648638</v>
      </c>
      <c r="O693" s="165">
        <f t="shared" ca="1" si="105"/>
        <v>1641.7667005844194</v>
      </c>
      <c r="P693" s="165">
        <f t="shared" ca="1" si="104"/>
        <v>1631.8466903700307</v>
      </c>
    </row>
    <row r="694" spans="1:16" s="165" customFormat="1" x14ac:dyDescent="0.3">
      <c r="A694" s="165">
        <f>MATCH(Calcs!B694,Paste_Report_Here!$1:$1,0) -1</f>
        <v>11</v>
      </c>
      <c r="B694" s="165" t="s">
        <v>129</v>
      </c>
      <c r="C694" s="166">
        <f ca="1">RANK(N694,N688:N712)</f>
        <v>18</v>
      </c>
      <c r="D694" s="166">
        <f ca="1">RANK(P694,P688:P712)</f>
        <v>9</v>
      </c>
      <c r="E694" s="189" t="s">
        <v>158</v>
      </c>
      <c r="F694" s="179">
        <f ca="1">COUNTIFS(Paste_Report_Here!$E$1:$E$2000,E682, OFFSET(Paste_Report_Here!$A$1,0,$A694,2000,1),F$75)</f>
        <v>1</v>
      </c>
      <c r="G694" s="180">
        <f ca="1">COUNTIFS(Paste_Report_Here!$E$1:$E$2000,E682, OFFSET(Paste_Report_Here!$A$1,0,$A694,2000,1),G$75)</f>
        <v>4</v>
      </c>
      <c r="H694" s="180">
        <f ca="1">COUNTIFS(Paste_Report_Here!$E$1:$E$2000,E682, OFFSET(Paste_Report_Here!$A$1,0,$A694,2000,1),H$75)</f>
        <v>21</v>
      </c>
      <c r="I694" s="180">
        <f ca="1">COUNTIFS(Paste_Report_Here!$E$1:$E$2000,E682, OFFSET(Paste_Report_Here!$A$1,0,$A694,2000,1),I$75)</f>
        <v>7</v>
      </c>
      <c r="J694" s="180">
        <f ca="1">COUNTIFS(Paste_Report_Here!$E$1:$E$2000,E682, OFFSET(Paste_Report_Here!$A$1,0,$A694,2000,1),J$75)</f>
        <v>0</v>
      </c>
      <c r="K694" s="181">
        <f ca="1">COUNTIFS(Paste_Report_Here!$E$1:$E$2000,E682, OFFSET(Paste_Report_Here!$A$1,0,$A694,2000,1),K$75)</f>
        <v>0</v>
      </c>
      <c r="L694" s="166">
        <f t="shared" ca="1" si="102"/>
        <v>33</v>
      </c>
      <c r="M694" s="183">
        <f ca="1">SUMPRODUCT(F694:K694,F686:K686)/L:L</f>
        <v>-6.0606060606060606E-3</v>
      </c>
      <c r="N694" s="166">
        <f t="shared" ca="1" si="103"/>
        <v>0.99395772236648638</v>
      </c>
      <c r="O694" s="165">
        <f t="shared" ca="1" si="105"/>
        <v>2560.1111133729537</v>
      </c>
      <c r="P694" s="165">
        <f t="shared" ca="1" si="104"/>
        <v>2544.6422112533105</v>
      </c>
    </row>
    <row r="695" spans="1:16" s="165" customFormat="1" x14ac:dyDescent="0.3">
      <c r="A695" s="165">
        <f>MATCH(Calcs!B695,Paste_Report_Here!$1:$1,0) -1</f>
        <v>12</v>
      </c>
      <c r="B695" s="165" t="s">
        <v>130</v>
      </c>
      <c r="C695" s="166">
        <f ca="1">RANK(N695,N688:N712)</f>
        <v>18</v>
      </c>
      <c r="D695" s="166">
        <f ca="1">RANK(P695,P688:P712)</f>
        <v>10</v>
      </c>
      <c r="E695" s="189" t="s">
        <v>159</v>
      </c>
      <c r="F695" s="179">
        <f ca="1">COUNTIFS(Paste_Report_Here!$E$1:$E$2000,E682, OFFSET(Paste_Report_Here!$A$1,0,$A695,2000,1),F$75)</f>
        <v>1</v>
      </c>
      <c r="G695" s="180">
        <f ca="1">COUNTIFS(Paste_Report_Here!$E$1:$E$2000,E682, OFFSET(Paste_Report_Here!$A$1,0,$A695,2000,1),G$75)</f>
        <v>3</v>
      </c>
      <c r="H695" s="180">
        <f ca="1">COUNTIFS(Paste_Report_Here!$E$1:$E$2000,E682, OFFSET(Paste_Report_Here!$A$1,0,$A695,2000,1),H$75)</f>
        <v>22</v>
      </c>
      <c r="I695" s="180">
        <f ca="1">COUNTIFS(Paste_Report_Here!$E$1:$E$2000,E682, OFFSET(Paste_Report_Here!$A$1,0,$A695,2000,1),I$75)</f>
        <v>7</v>
      </c>
      <c r="J695" s="180">
        <f ca="1">COUNTIFS(Paste_Report_Here!$E$1:$E$2000,E682, OFFSET(Paste_Report_Here!$A$1,0,$A695,2000,1),J$75)</f>
        <v>0</v>
      </c>
      <c r="K695" s="181">
        <f ca="1">COUNTIFS(Paste_Report_Here!$E$1:$E$2000,E682, OFFSET(Paste_Report_Here!$A$1,0,$A695,2000,1),K$75)</f>
        <v>0</v>
      </c>
      <c r="L695" s="166">
        <f t="shared" ca="1" si="102"/>
        <v>33</v>
      </c>
      <c r="M695" s="183">
        <f ca="1">SUMPRODUCT(F695:K695,F686:K686)/L:L</f>
        <v>-6.0606060606060606E-3</v>
      </c>
      <c r="N695" s="166">
        <f t="shared" ca="1" si="103"/>
        <v>0.99395772236648638</v>
      </c>
      <c r="O695" s="165">
        <f t="shared" ca="1" si="105"/>
        <v>2339.760515402827</v>
      </c>
      <c r="P695" s="165">
        <f t="shared" ca="1" si="104"/>
        <v>2325.6230327728304</v>
      </c>
    </row>
    <row r="696" spans="1:16" s="165" customFormat="1" x14ac:dyDescent="0.3">
      <c r="A696" s="165">
        <f>MATCH(Calcs!B696,Paste_Report_Here!$1:$1,0) -1</f>
        <v>13</v>
      </c>
      <c r="B696" s="165" t="s">
        <v>131</v>
      </c>
      <c r="C696" s="166">
        <f ca="1">RANK(N696,N688:N712)</f>
        <v>12</v>
      </c>
      <c r="D696" s="166">
        <f ca="1">RANK(P696,P688:P712)</f>
        <v>2</v>
      </c>
      <c r="E696" s="189" t="s">
        <v>160</v>
      </c>
      <c r="F696" s="179">
        <f ca="1">COUNTIFS(Paste_Report_Here!$E$1:$E$2000,E682, OFFSET(Paste_Report_Here!$A$1,0,$A696,2000,1),F$75)</f>
        <v>0</v>
      </c>
      <c r="G696" s="180">
        <f ca="1">COUNTIFS(Paste_Report_Here!$E$1:$E$2000,E682, OFFSET(Paste_Report_Here!$A$1,0,$A696,2000,1),G$75)</f>
        <v>2</v>
      </c>
      <c r="H696" s="180">
        <f ca="1">COUNTIFS(Paste_Report_Here!$E$1:$E$2000,E682, OFFSET(Paste_Report_Here!$A$1,0,$A696,2000,1),H$75)</f>
        <v>17</v>
      </c>
      <c r="I696" s="180">
        <f ca="1">COUNTIFS(Paste_Report_Here!$E$1:$E$2000,E682, OFFSET(Paste_Report_Here!$A$1,0,$A696,2000,1),I$75)</f>
        <v>14</v>
      </c>
      <c r="J696" s="180">
        <f ca="1">COUNTIFS(Paste_Report_Here!$E$1:$E$2000,E682, OFFSET(Paste_Report_Here!$A$1,0,$A696,2000,1),J$75)</f>
        <v>0</v>
      </c>
      <c r="K696" s="181">
        <f ca="1">COUNTIFS(Paste_Report_Here!$E$1:$E$2000,E682, OFFSET(Paste_Report_Here!$A$1,0,$A696,2000,1),K$75)</f>
        <v>0</v>
      </c>
      <c r="L696" s="166">
        <f t="shared" ca="1" si="102"/>
        <v>33</v>
      </c>
      <c r="M696" s="183">
        <f ca="1">SUMPRODUCT(F696:K696,F686:K686)/L:L</f>
        <v>0</v>
      </c>
      <c r="N696" s="166">
        <f t="shared" ca="1" si="103"/>
        <v>1</v>
      </c>
      <c r="O696" s="165">
        <f t="shared" ca="1" si="105"/>
        <v>4084.8363710946546</v>
      </c>
      <c r="P696" s="165">
        <f t="shared" ca="1" si="104"/>
        <v>4084.8363710946546</v>
      </c>
    </row>
    <row r="697" spans="1:16" s="165" customFormat="1" x14ac:dyDescent="0.3">
      <c r="A697" s="165">
        <f>MATCH(Calcs!B697,Paste_Report_Here!$1:$1,0) -1</f>
        <v>14</v>
      </c>
      <c r="B697" s="165" t="s">
        <v>132</v>
      </c>
      <c r="C697" s="166">
        <f ca="1">RANK(N697,N686:N710)</f>
        <v>2</v>
      </c>
      <c r="D697" s="166">
        <f ca="1">RANK(P697,P688:P712)</f>
        <v>18</v>
      </c>
      <c r="E697" s="189" t="s">
        <v>161</v>
      </c>
      <c r="F697" s="179">
        <f ca="1">COUNTIFS(Paste_Report_Here!$E$1:$E$2000,E682, OFFSET(Paste_Report_Here!$A$1,0,$A697,2000,1),F$75)</f>
        <v>0</v>
      </c>
      <c r="G697" s="180">
        <f ca="1">COUNTIFS(Paste_Report_Here!$E$1:$E$2000,E682, OFFSET(Paste_Report_Here!$A$1,0,$A697,2000,1),G$75)</f>
        <v>2</v>
      </c>
      <c r="H697" s="180">
        <f ca="1">COUNTIFS(Paste_Report_Here!$E$1:$E$2000,E682, OFFSET(Paste_Report_Here!$A$1,0,$A697,2000,1),H$75)</f>
        <v>25</v>
      </c>
      <c r="I697" s="180">
        <f ca="1">COUNTIFS(Paste_Report_Here!$E$1:$E$2000,E682, OFFSET(Paste_Report_Here!$A$1,0,$A697,2000,1),I$75)</f>
        <v>4</v>
      </c>
      <c r="J697" s="180">
        <f ca="1">COUNTIFS(Paste_Report_Here!$E$1:$E$2000,E682, OFFSET(Paste_Report_Here!$A$1,0,$A697,2000,1),J$75)</f>
        <v>2</v>
      </c>
      <c r="K697" s="181">
        <f ca="1">COUNTIFS(Paste_Report_Here!$E$1:$E$2000,E682, OFFSET(Paste_Report_Here!$A$1,0,$A697,2000,1),K$75)</f>
        <v>0</v>
      </c>
      <c r="L697" s="166">
        <f t="shared" ca="1" si="102"/>
        <v>33</v>
      </c>
      <c r="M697" s="183">
        <f ca="1">SUMPRODUCT(F697:K697,F686:K686)/L:L</f>
        <v>1.2121212121212121E-2</v>
      </c>
      <c r="N697" s="166">
        <f t="shared" ca="1" si="103"/>
        <v>1.0121949717302061</v>
      </c>
      <c r="O697" s="165">
        <f t="shared" ca="1" si="105"/>
        <v>2033.5864042886831</v>
      </c>
      <c r="P697" s="165">
        <f t="shared" ca="1" si="104"/>
        <v>2058.385932999915</v>
      </c>
    </row>
    <row r="698" spans="1:16" s="165" customFormat="1" x14ac:dyDescent="0.3">
      <c r="A698" s="165">
        <f>MATCH(Calcs!B698,Paste_Report_Here!$1:$1,0) -1</f>
        <v>15</v>
      </c>
      <c r="B698" s="165" t="s">
        <v>133</v>
      </c>
      <c r="C698" s="166">
        <f ca="1">RANK(N698,N687:N711)</f>
        <v>4</v>
      </c>
      <c r="D698" s="166">
        <f ca="1">RANK(P698,P688:P712)</f>
        <v>6</v>
      </c>
      <c r="E698" s="189" t="s">
        <v>162</v>
      </c>
      <c r="F698" s="179">
        <f ca="1">COUNTIFS(Paste_Report_Here!$E$1:$E$2000,E682, OFFSET(Paste_Report_Here!$A$1,0,$A698,2000,1),F$75)</f>
        <v>0</v>
      </c>
      <c r="G698" s="180">
        <f ca="1">COUNTIFS(Paste_Report_Here!$E$1:$E$2000,E682, OFFSET(Paste_Report_Here!$A$1,0,$A698,2000,1),G$75)</f>
        <v>2</v>
      </c>
      <c r="H698" s="180">
        <f ca="1">COUNTIFS(Paste_Report_Here!$E$1:$E$2000,E682, OFFSET(Paste_Report_Here!$A$1,0,$A698,2000,1),H$75)</f>
        <v>21</v>
      </c>
      <c r="I698" s="180">
        <f ca="1">COUNTIFS(Paste_Report_Here!$E$1:$E$2000,E682, OFFSET(Paste_Report_Here!$A$1,0,$A698,2000,1),I$75)</f>
        <v>9</v>
      </c>
      <c r="J698" s="180">
        <f ca="1">COUNTIFS(Paste_Report_Here!$E$1:$E$2000,E682, OFFSET(Paste_Report_Here!$A$1,0,$A698,2000,1),J$75)</f>
        <v>1</v>
      </c>
      <c r="K698" s="181">
        <f ca="1">COUNTIFS(Paste_Report_Here!$E$1:$E$2000,E682, OFFSET(Paste_Report_Here!$A$1,0,$A698,2000,1),K$75)</f>
        <v>0</v>
      </c>
      <c r="L698" s="166">
        <f t="shared" ca="1" si="102"/>
        <v>33</v>
      </c>
      <c r="M698" s="183">
        <f ca="1">SUMPRODUCT(F698:K698,F686:K686)/L:L</f>
        <v>6.0606060606060606E-3</v>
      </c>
      <c r="N698" s="166">
        <f t="shared" ca="1" si="103"/>
        <v>1.0060790086917657</v>
      </c>
      <c r="O698" s="165">
        <f t="shared" ca="1" si="105"/>
        <v>2936.261853305818</v>
      </c>
      <c r="P698" s="165">
        <f t="shared" ca="1" si="104"/>
        <v>2954.1114146333643</v>
      </c>
    </row>
    <row r="699" spans="1:16" s="165" customFormat="1" x14ac:dyDescent="0.3">
      <c r="A699" s="165">
        <f>MATCH(Calcs!B699,Paste_Report_Here!$1:$1,0) -1</f>
        <v>16</v>
      </c>
      <c r="B699" s="165" t="s">
        <v>134</v>
      </c>
      <c r="C699" s="166">
        <f ca="1">RANK(N699,N688:N712)</f>
        <v>4</v>
      </c>
      <c r="D699" s="166">
        <f ca="1">RANK(P699,P688:P712)</f>
        <v>23</v>
      </c>
      <c r="E699" s="189" t="s">
        <v>163</v>
      </c>
      <c r="F699" s="179">
        <f ca="1">COUNTIFS(Paste_Report_Here!$E$1:$E$2000,E682, OFFSET(Paste_Report_Here!$A$1,0,$A699,2000,1),F$75)</f>
        <v>0</v>
      </c>
      <c r="G699" s="180">
        <f ca="1">COUNTIFS(Paste_Report_Here!$E$1:$E$2000,E682, OFFSET(Paste_Report_Here!$A$1,0,$A699,2000,1),G$75)</f>
        <v>2</v>
      </c>
      <c r="H699" s="180">
        <f ca="1">COUNTIFS(Paste_Report_Here!$E$1:$E$2000,E682, OFFSET(Paste_Report_Here!$A$1,0,$A699,2000,1),H$75)</f>
        <v>25</v>
      </c>
      <c r="I699" s="180">
        <f ca="1">COUNTIFS(Paste_Report_Here!$E$1:$E$2000,E682, OFFSET(Paste_Report_Here!$A$1,0,$A699,2000,1),I$75)</f>
        <v>5</v>
      </c>
      <c r="J699" s="180">
        <f ca="1">COUNTIFS(Paste_Report_Here!$E$1:$E$2000,E682, OFFSET(Paste_Report_Here!$A$1,0,$A699,2000,1),J$75)</f>
        <v>1</v>
      </c>
      <c r="K699" s="181">
        <f ca="1">COUNTIFS(Paste_Report_Here!$E$1:$E$2000,E682, OFFSET(Paste_Report_Here!$A$1,0,$A699,2000,1),K$75)</f>
        <v>0</v>
      </c>
      <c r="L699" s="166">
        <f t="shared" ca="1" si="102"/>
        <v>33</v>
      </c>
      <c r="M699" s="183">
        <f ca="1">SUMPRODUCT(F699:K699,F686:K686)/L:L</f>
        <v>6.0606060606060606E-3</v>
      </c>
      <c r="N699" s="166">
        <f t="shared" ca="1" si="103"/>
        <v>1.0060790086917657</v>
      </c>
      <c r="O699" s="165">
        <f t="shared" ca="1" si="105"/>
        <v>1180.494027289222</v>
      </c>
      <c r="P699" s="165">
        <f t="shared" ca="1" si="104"/>
        <v>1187.6702607416908</v>
      </c>
    </row>
    <row r="700" spans="1:16" s="165" customFormat="1" x14ac:dyDescent="0.3">
      <c r="A700" s="165">
        <f>MATCH(Calcs!B700,Paste_Report_Here!$1:$1,0) -1</f>
        <v>17</v>
      </c>
      <c r="B700" s="165" t="s">
        <v>135</v>
      </c>
      <c r="C700" s="166">
        <f ca="1">RANK(N700,N688:N712)</f>
        <v>4</v>
      </c>
      <c r="D700" s="166">
        <f ca="1">RANK(P700,P688:P712)</f>
        <v>20</v>
      </c>
      <c r="E700" s="189" t="s">
        <v>164</v>
      </c>
      <c r="F700" s="179">
        <f ca="1">COUNTIFS(Paste_Report_Here!$E$1:$E$2000,E682, OFFSET(Paste_Report_Here!$A$1,0,$A700,2000,1),F$75)</f>
        <v>0</v>
      </c>
      <c r="G700" s="180">
        <f ca="1">COUNTIFS(Paste_Report_Here!$E$1:$E$2000,E682, OFFSET(Paste_Report_Here!$A$1,0,$A700,2000,1),G$75)</f>
        <v>1</v>
      </c>
      <c r="H700" s="180">
        <f ca="1">COUNTIFS(Paste_Report_Here!$E$1:$E$2000,E682, OFFSET(Paste_Report_Here!$A$1,0,$A700,2000,1),H$75)</f>
        <v>24</v>
      </c>
      <c r="I700" s="180">
        <f ca="1">COUNTIFS(Paste_Report_Here!$E$1:$E$2000,E682, OFFSET(Paste_Report_Here!$A$1,0,$A700,2000,1),I$75)</f>
        <v>7</v>
      </c>
      <c r="J700" s="180">
        <f ca="1">COUNTIFS(Paste_Report_Here!$E$1:$E$2000,E682, OFFSET(Paste_Report_Here!$A$1,0,$A700,2000,1),J$75)</f>
        <v>1</v>
      </c>
      <c r="K700" s="181">
        <f ca="1">COUNTIFS(Paste_Report_Here!$E$1:$E$2000,E682, OFFSET(Paste_Report_Here!$A$1,0,$A700,2000,1),K$75)</f>
        <v>0</v>
      </c>
      <c r="L700" s="166">
        <f t="shared" ca="1" si="102"/>
        <v>33</v>
      </c>
      <c r="M700" s="183">
        <f ca="1">SUMPRODUCT(F700:K700,F686:K686)/L:L</f>
        <v>6.0606060606060606E-3</v>
      </c>
      <c r="N700" s="166">
        <f t="shared" ca="1" si="103"/>
        <v>1.0060790086917657</v>
      </c>
      <c r="O700" s="165">
        <f t="shared" ca="1" si="105"/>
        <v>1843.3022163581952</v>
      </c>
      <c r="P700" s="165">
        <f t="shared" ca="1" si="104"/>
        <v>1854.5076665529878</v>
      </c>
    </row>
    <row r="701" spans="1:16" s="165" customFormat="1" x14ac:dyDescent="0.3">
      <c r="A701" s="165">
        <f>MATCH(Calcs!B701,Paste_Report_Here!$1:$1,0) -1</f>
        <v>18</v>
      </c>
      <c r="B701" s="165" t="s">
        <v>136</v>
      </c>
      <c r="C701" s="166">
        <f ca="1">RANK(N701,N688:N712)</f>
        <v>12</v>
      </c>
      <c r="D701" s="166">
        <f ca="1">RANK(P701,P688:P712)</f>
        <v>4</v>
      </c>
      <c r="E701" s="189" t="s">
        <v>165</v>
      </c>
      <c r="F701" s="179">
        <f ca="1">COUNTIFS(Paste_Report_Here!$E$1:$E$2000,E682, OFFSET(Paste_Report_Here!$A$1,0,$A701,2000,1),F$75)</f>
        <v>0</v>
      </c>
      <c r="G701" s="180">
        <f ca="1">COUNTIFS(Paste_Report_Here!$E$1:$E$2000,E682, OFFSET(Paste_Report_Here!$A$1,0,$A701,2000,1),G$75)</f>
        <v>3</v>
      </c>
      <c r="H701" s="180">
        <f ca="1">COUNTIFS(Paste_Report_Here!$E$1:$E$2000,E682, OFFSET(Paste_Report_Here!$A$1,0,$A701,2000,1),H$75)</f>
        <v>20</v>
      </c>
      <c r="I701" s="180">
        <f ca="1">COUNTIFS(Paste_Report_Here!$E$1:$E$2000,E682, OFFSET(Paste_Report_Here!$A$1,0,$A701,2000,1),I$75)</f>
        <v>10</v>
      </c>
      <c r="J701" s="180">
        <f ca="1">COUNTIFS(Paste_Report_Here!$E$1:$E$2000,E682, OFFSET(Paste_Report_Here!$A$1,0,$A701,2000,1),J$75)</f>
        <v>0</v>
      </c>
      <c r="K701" s="181">
        <f ca="1">COUNTIFS(Paste_Report_Here!$E$1:$E$2000,E682, OFFSET(Paste_Report_Here!$A$1,0,$A701,2000,1),K$75)</f>
        <v>0</v>
      </c>
      <c r="L701" s="166">
        <f t="shared" ca="1" si="102"/>
        <v>33</v>
      </c>
      <c r="M701" s="183">
        <f ca="1">SUMPRODUCT(F701:K701,F686:K686)/L:L</f>
        <v>0</v>
      </c>
      <c r="N701" s="166">
        <f t="shared" ca="1" si="103"/>
        <v>1</v>
      </c>
      <c r="O701" s="165">
        <f t="shared" ca="1" si="105"/>
        <v>3761.5597968973993</v>
      </c>
      <c r="P701" s="165">
        <f t="shared" ca="1" si="104"/>
        <v>3761.5597968973993</v>
      </c>
    </row>
    <row r="702" spans="1:16" s="165" customFormat="1" x14ac:dyDescent="0.3">
      <c r="A702" s="165">
        <f>MATCH(Calcs!B702,Paste_Report_Here!$1:$1,0) -1</f>
        <v>19</v>
      </c>
      <c r="B702" s="165" t="s">
        <v>137</v>
      </c>
      <c r="C702" s="166">
        <f ca="1">RANK(N702,N688:N712)</f>
        <v>18</v>
      </c>
      <c r="D702" s="166">
        <f ca="1">RANK(P702,P688:P712)</f>
        <v>15</v>
      </c>
      <c r="E702" s="189" t="s">
        <v>166</v>
      </c>
      <c r="F702" s="179">
        <f ca="1">COUNTIFS(Paste_Report_Here!$E$1:$E$2000,E682, OFFSET(Paste_Report_Here!$A$1,0,$A702,2000,1),F$75)</f>
        <v>1</v>
      </c>
      <c r="G702" s="180">
        <f ca="1">COUNTIFS(Paste_Report_Here!$E$1:$E$2000,E682, OFFSET(Paste_Report_Here!$A$1,0,$A702,2000,1),G$75)</f>
        <v>1</v>
      </c>
      <c r="H702" s="180">
        <f ca="1">COUNTIFS(Paste_Report_Here!$E$1:$E$2000,E682, OFFSET(Paste_Report_Here!$A$1,0,$A702,2000,1),H$75)</f>
        <v>23</v>
      </c>
      <c r="I702" s="180">
        <f ca="1">COUNTIFS(Paste_Report_Here!$E$1:$E$2000,E682, OFFSET(Paste_Report_Here!$A$1,0,$A702,2000,1),I$75)</f>
        <v>8</v>
      </c>
      <c r="J702" s="180">
        <f ca="1">COUNTIFS(Paste_Report_Here!$E$1:$E$2000,E682, OFFSET(Paste_Report_Here!$A$1,0,$A702,2000,1),J$75)</f>
        <v>0</v>
      </c>
      <c r="K702" s="181">
        <f ca="1">COUNTIFS(Paste_Report_Here!$E$1:$E$2000,E682, OFFSET(Paste_Report_Here!$A$1,0,$A702,2000,1),K$75)</f>
        <v>0</v>
      </c>
      <c r="L702" s="166">
        <f t="shared" ca="1" si="102"/>
        <v>33</v>
      </c>
      <c r="M702" s="183">
        <f ca="1">SUMPRODUCT(F702:K702,F686:K686)/L:L</f>
        <v>-6.0606060606060606E-3</v>
      </c>
      <c r="N702" s="166">
        <f t="shared" ca="1" si="103"/>
        <v>0.99395772236648638</v>
      </c>
      <c r="O702" s="165">
        <f t="shared" ca="1" si="105"/>
        <v>2122.6781131465646</v>
      </c>
      <c r="P702" s="165">
        <f t="shared" ca="1" si="104"/>
        <v>2109.8523026603502</v>
      </c>
    </row>
    <row r="703" spans="1:16" s="165" customFormat="1" x14ac:dyDescent="0.3">
      <c r="A703" s="165">
        <f>MATCH(Calcs!B703,Paste_Report_Here!$1:$1,0) -1</f>
        <v>20</v>
      </c>
      <c r="B703" s="165" t="s">
        <v>138</v>
      </c>
      <c r="C703" s="166">
        <f ca="1">RANK(N703,N689:N713)</f>
        <v>18</v>
      </c>
      <c r="D703" s="166">
        <f ca="1">RANK(P703,P688:P712)</f>
        <v>19</v>
      </c>
      <c r="E703" s="189" t="s">
        <v>167</v>
      </c>
      <c r="F703" s="179">
        <f ca="1">COUNTIFS(Paste_Report_Here!$E$1:$E$2000,E682, OFFSET(Paste_Report_Here!$A$1,0,$A703,2000,1),F$75)</f>
        <v>1</v>
      </c>
      <c r="G703" s="180">
        <f ca="1">COUNTIFS(Paste_Report_Here!$E$1:$E$2000,E682, OFFSET(Paste_Report_Here!$A$1,0,$A703,2000,1),G$75)</f>
        <v>3</v>
      </c>
      <c r="H703" s="180">
        <f ca="1">COUNTIFS(Paste_Report_Here!$E$1:$E$2000,E682, OFFSET(Paste_Report_Here!$A$1,0,$A703,2000,1),H$75)</f>
        <v>23</v>
      </c>
      <c r="I703" s="180">
        <f ca="1">COUNTIFS(Paste_Report_Here!$E$1:$E$2000,E682, OFFSET(Paste_Report_Here!$A$1,0,$A703,2000,1),I$75)</f>
        <v>6</v>
      </c>
      <c r="J703" s="180">
        <f ca="1">COUNTIFS(Paste_Report_Here!$E$1:$E$2000,E682, OFFSET(Paste_Report_Here!$A$1,0,$A703,2000,1),J$75)</f>
        <v>0</v>
      </c>
      <c r="K703" s="181">
        <f ca="1">COUNTIFS(Paste_Report_Here!$E$1:$E$2000,E682, OFFSET(Paste_Report_Here!$A$1,0,$A703,2000,1),K$75)</f>
        <v>0</v>
      </c>
      <c r="L703" s="166">
        <f t="shared" ca="1" si="102"/>
        <v>33</v>
      </c>
      <c r="M703" s="183">
        <f ca="1">SUMPRODUCT(F703:K703,F686:K686)/L:L</f>
        <v>-6.0606060606060606E-3</v>
      </c>
      <c r="N703" s="166">
        <f t="shared" ca="1" si="103"/>
        <v>0.99395772236648638</v>
      </c>
      <c r="O703" s="165">
        <f t="shared" ca="1" si="105"/>
        <v>2033.3482534948525</v>
      </c>
      <c r="P703" s="165">
        <f t="shared" ca="1" si="104"/>
        <v>2021.0621988216167</v>
      </c>
    </row>
    <row r="704" spans="1:16" s="165" customFormat="1" x14ac:dyDescent="0.3">
      <c r="A704" s="165">
        <f>MATCH(Calcs!B704,Paste_Report_Here!$1:$1,0) -1</f>
        <v>21</v>
      </c>
      <c r="B704" s="165" t="s">
        <v>139</v>
      </c>
      <c r="C704" s="166">
        <f ca="1">RANK(N704,N688:N712)</f>
        <v>18</v>
      </c>
      <c r="D704" s="166">
        <f ca="1">RANK(P704,P688:P712)</f>
        <v>14</v>
      </c>
      <c r="E704" s="189" t="s">
        <v>168</v>
      </c>
      <c r="F704" s="179">
        <f ca="1">COUNTIFS(Paste_Report_Here!$E$1:$E$2000,E682, OFFSET(Paste_Report_Here!$A$1,0,$A704,2000,1),F$75)</f>
        <v>1</v>
      </c>
      <c r="G704" s="180">
        <f ca="1">COUNTIFS(Paste_Report_Here!$E$1:$E$2000,E682, OFFSET(Paste_Report_Here!$A$1,0,$A704,2000,1),G$75)</f>
        <v>1</v>
      </c>
      <c r="H704" s="180">
        <f ca="1">COUNTIFS(Paste_Report_Here!$E$1:$E$2000,E682, OFFSET(Paste_Report_Here!$A$1,0,$A704,2000,1),H$75)</f>
        <v>26</v>
      </c>
      <c r="I704" s="180">
        <f ca="1">COUNTIFS(Paste_Report_Here!$E$1:$E$2000,E682, OFFSET(Paste_Report_Here!$A$1,0,$A704,2000,1),I$75)</f>
        <v>5</v>
      </c>
      <c r="J704" s="180">
        <f ca="1">COUNTIFS(Paste_Report_Here!$E$1:$E$2000,E682, OFFSET(Paste_Report_Here!$A$1,0,$A704,2000,1),J$75)</f>
        <v>0</v>
      </c>
      <c r="K704" s="181">
        <f ca="1">COUNTIFS(Paste_Report_Here!$E$1:$E$2000,E682, OFFSET(Paste_Report_Here!$A$1,0,$A704,2000,1),K$75)</f>
        <v>0</v>
      </c>
      <c r="L704" s="166">
        <f t="shared" ca="1" si="102"/>
        <v>33</v>
      </c>
      <c r="M704" s="183">
        <f ca="1">SUMPRODUCT(F704:K704,F686:K686)/L:L</f>
        <v>-6.0606060606060606E-3</v>
      </c>
      <c r="N704" s="166">
        <f t="shared" ca="1" si="103"/>
        <v>0.99395772236648638</v>
      </c>
      <c r="O704" s="165">
        <f t="shared" ca="1" si="105"/>
        <v>2129.655988215688</v>
      </c>
      <c r="P704" s="165">
        <f t="shared" ca="1" si="104"/>
        <v>2116.7880154710142</v>
      </c>
    </row>
    <row r="705" spans="1:16" s="165" customFormat="1" x14ac:dyDescent="0.3">
      <c r="A705" s="165">
        <f>MATCH(Calcs!B705,Paste_Report_Here!$1:$1,0) -1</f>
        <v>22</v>
      </c>
      <c r="B705" s="165" t="s">
        <v>140</v>
      </c>
      <c r="C705" s="166">
        <f ca="1">RANK(N705,N688:N712)</f>
        <v>4</v>
      </c>
      <c r="D705" s="166">
        <f ca="1">RANK(P705,P688:P712)</f>
        <v>17</v>
      </c>
      <c r="E705" s="189" t="s">
        <v>169</v>
      </c>
      <c r="F705" s="179">
        <f ca="1">COUNTIFS(Paste_Report_Here!$E$1:$E$2000,E682, OFFSET(Paste_Report_Here!$A$1,0,$A705,2000,1),F$75)</f>
        <v>0</v>
      </c>
      <c r="G705" s="180">
        <f ca="1">COUNTIFS(Paste_Report_Here!$E$1:$E$2000,E682, OFFSET(Paste_Report_Here!$A$1,0,$A705,2000,1),G$75)</f>
        <v>2</v>
      </c>
      <c r="H705" s="180">
        <f ca="1">COUNTIFS(Paste_Report_Here!$E$1:$E$2000,E682, OFFSET(Paste_Report_Here!$A$1,0,$A705,2000,1),H$75)</f>
        <v>23</v>
      </c>
      <c r="I705" s="180">
        <f ca="1">COUNTIFS(Paste_Report_Here!$E$1:$E$2000,E682, OFFSET(Paste_Report_Here!$A$1,0,$A705,2000,1),I$75)</f>
        <v>6</v>
      </c>
      <c r="J705" s="180">
        <f ca="1">COUNTIFS(Paste_Report_Here!$E$1:$E$2000,E682, OFFSET(Paste_Report_Here!$A$1,0,$A705,2000,1),J$75)</f>
        <v>1</v>
      </c>
      <c r="K705" s="181">
        <f ca="1">COUNTIFS(Paste_Report_Here!$E$1:$E$2000,E682, OFFSET(Paste_Report_Here!$A$1,0,$A705,2000,1),K$75)</f>
        <v>1</v>
      </c>
      <c r="L705" s="166">
        <f t="shared" ca="1" si="102"/>
        <v>33</v>
      </c>
      <c r="M705" s="183">
        <f ca="1">SUMPRODUCT(F705:K705,F686:K686)/L:L</f>
        <v>6.0606060606060606E-3</v>
      </c>
      <c r="N705" s="166">
        <f t="shared" ca="1" si="103"/>
        <v>1.0060790086917657</v>
      </c>
      <c r="O705" s="165">
        <f t="shared" ca="1" si="105"/>
        <v>2051.6208863543347</v>
      </c>
      <c r="P705" s="165">
        <f t="shared" ca="1" si="104"/>
        <v>2064.0927075546906</v>
      </c>
    </row>
    <row r="706" spans="1:16" s="165" customFormat="1" x14ac:dyDescent="0.3">
      <c r="A706" s="165">
        <f>MATCH(Calcs!B706,Paste_Report_Here!$1:$1,0) -1</f>
        <v>23</v>
      </c>
      <c r="B706" s="165" t="s">
        <v>186</v>
      </c>
      <c r="C706" s="166">
        <f ca="1">RANK(N706,N688:N712)</f>
        <v>4</v>
      </c>
      <c r="D706" s="166">
        <f ca="1">RANK(P706,P688:P712)</f>
        <v>3</v>
      </c>
      <c r="E706" s="189" t="s">
        <v>180</v>
      </c>
      <c r="F706" s="179">
        <f ca="1">COUNTIFS(Paste_Report_Here!$E$1:$E$2000,E682, OFFSET(Paste_Report_Here!$A$1,0,$A706,2000,1),F$75)</f>
        <v>0</v>
      </c>
      <c r="G706" s="180">
        <f ca="1">COUNTIFS(Paste_Report_Here!$E$1:$E$2000,E682, OFFSET(Paste_Report_Here!$A$1,0,$A706,2000,1),G$75)</f>
        <v>1</v>
      </c>
      <c r="H706" s="180">
        <f ca="1">COUNTIFS(Paste_Report_Here!$E$1:$E$2000,E682, OFFSET(Paste_Report_Here!$A$1,0,$A706,2000,1),H$75)</f>
        <v>23</v>
      </c>
      <c r="I706" s="180">
        <f ca="1">COUNTIFS(Paste_Report_Here!$E$1:$E$2000,E682, OFFSET(Paste_Report_Here!$A$1,0,$A706,2000,1),I$75)</f>
        <v>8</v>
      </c>
      <c r="J706" s="180">
        <f ca="1">COUNTIFS(Paste_Report_Here!$E$1:$E$2000,E682, OFFSET(Paste_Report_Here!$A$1,0,$A706,2000,1),J$75)</f>
        <v>1</v>
      </c>
      <c r="K706" s="181">
        <f ca="1">COUNTIFS(Paste_Report_Here!$E$1:$E$2000,E682, OFFSET(Paste_Report_Here!$A$1,0,$A706,2000,1),K$75)</f>
        <v>0</v>
      </c>
      <c r="L706" s="166">
        <f t="shared" ca="1" si="102"/>
        <v>33</v>
      </c>
      <c r="M706" s="183">
        <f ca="1">SUMPRODUCT(F706:K706,F686:K686)/L:L</f>
        <v>6.0606060606060606E-3</v>
      </c>
      <c r="N706" s="166">
        <f t="shared" ca="1" si="103"/>
        <v>1.0060790086917657</v>
      </c>
      <c r="O706" s="165">
        <f t="shared" ca="1" si="105"/>
        <v>3842.2555008465247</v>
      </c>
      <c r="P706" s="165">
        <f t="shared" ca="1" si="104"/>
        <v>3865.6126054321553</v>
      </c>
    </row>
    <row r="707" spans="1:16" s="165" customFormat="1" x14ac:dyDescent="0.3">
      <c r="A707" s="165">
        <f>MATCH(Calcs!B707,Paste_Report_Here!$1:$1,0) -1</f>
        <v>24</v>
      </c>
      <c r="B707" s="165" t="s">
        <v>209</v>
      </c>
      <c r="C707" s="166">
        <f ca="1">RANK(N707,N688:N712)</f>
        <v>12</v>
      </c>
      <c r="D707" s="166">
        <f ca="1">RANK(P707,P688:P712)</f>
        <v>24</v>
      </c>
      <c r="E707" s="202" t="s">
        <v>211</v>
      </c>
      <c r="F707" s="179">
        <f ca="1">COUNTIFS(Paste_Report_Here!$E$1:$E$2000,E682, OFFSET(Paste_Report_Here!$A$1,0,$A707,2000,1),F$75)</f>
        <v>0</v>
      </c>
      <c r="G707" s="180">
        <f ca="1">COUNTIFS(Paste_Report_Here!$E$1:$E$2000,E682, OFFSET(Paste_Report_Here!$A$1,0,$A707,2000,1),G$75)</f>
        <v>2</v>
      </c>
      <c r="H707" s="180">
        <f ca="1">COUNTIFS(Paste_Report_Here!$E$1:$E$2000,E682, OFFSET(Paste_Report_Here!$A$1,0,$A707,2000,1),H$75)</f>
        <v>25</v>
      </c>
      <c r="I707" s="180">
        <f ca="1">COUNTIFS(Paste_Report_Here!$E$1:$E$2000,E682, OFFSET(Paste_Report_Here!$A$1,0,$A707,2000,1),I$75)</f>
        <v>3</v>
      </c>
      <c r="J707" s="180">
        <f ca="1">COUNTIFS(Paste_Report_Here!$E$1:$E$2000,E682, OFFSET(Paste_Report_Here!$A$1,0,$A707,2000,1),J$75)</f>
        <v>0</v>
      </c>
      <c r="K707" s="181">
        <f ca="1">COUNTIFS(Paste_Report_Here!$E$1:$E$2000,E682, OFFSET(Paste_Report_Here!$A$1,0,$A707,2000,1),K$75)</f>
        <v>3</v>
      </c>
      <c r="L707" s="166">
        <f t="shared" ca="1" si="102"/>
        <v>33</v>
      </c>
      <c r="M707" s="183">
        <f ca="1">SUMPRODUCT(F707:K707,F686:K686)/L:L</f>
        <v>0</v>
      </c>
      <c r="N707" s="166">
        <f t="shared" ca="1" si="103"/>
        <v>1</v>
      </c>
      <c r="O707" s="165">
        <f t="shared" ca="1" si="105"/>
        <v>1180.0265503753844</v>
      </c>
      <c r="P707" s="165">
        <f t="shared" ca="1" si="104"/>
        <v>1180.0265503753844</v>
      </c>
    </row>
    <row r="708" spans="1:16" s="165" customFormat="1" x14ac:dyDescent="0.3">
      <c r="A708" s="165">
        <f>MATCH(Calcs!B708,Paste_Report_Here!$1:$1,0) -1</f>
        <v>25</v>
      </c>
      <c r="B708" s="165" t="s">
        <v>141</v>
      </c>
      <c r="C708" s="166">
        <f ca="1">RANK(N708,N688:N712)</f>
        <v>4</v>
      </c>
      <c r="D708" s="166">
        <f ca="1">RANK(P708,P688:P712)</f>
        <v>22</v>
      </c>
      <c r="E708" s="189" t="s">
        <v>170</v>
      </c>
      <c r="F708" s="179">
        <f ca="1">COUNTIFS(Paste_Report_Here!$E$1:$E$2000,E682, OFFSET(Paste_Report_Here!$A$1,0,$A708,2000,1),F$75)</f>
        <v>0</v>
      </c>
      <c r="G708" s="180">
        <f ca="1">COUNTIFS(Paste_Report_Here!$E$1:$E$2000,E682, OFFSET(Paste_Report_Here!$A$1,0,$A708,2000,1),G$75)</f>
        <v>5</v>
      </c>
      <c r="H708" s="180">
        <f ca="1">COUNTIFS(Paste_Report_Here!$E$1:$E$2000,E682, OFFSET(Paste_Report_Here!$A$1,0,$A708,2000,1),H$75)</f>
        <v>24</v>
      </c>
      <c r="I708" s="180">
        <f ca="1">COUNTIFS(Paste_Report_Here!$E$1:$E$2000,E682, OFFSET(Paste_Report_Here!$A$1,0,$A708,2000,1),I$75)</f>
        <v>3</v>
      </c>
      <c r="J708" s="180">
        <f ca="1">COUNTIFS(Paste_Report_Here!$E$1:$E$2000,E682, OFFSET(Paste_Report_Here!$A$1,0,$A708,2000,1),J$75)</f>
        <v>1</v>
      </c>
      <c r="K708" s="181">
        <f ca="1">COUNTIFS(Paste_Report_Here!$E$1:$E$2000,E682, OFFSET(Paste_Report_Here!$A$1,0,$A708,2000,1),K$75)</f>
        <v>0</v>
      </c>
      <c r="L708" s="166">
        <f t="shared" ca="1" si="102"/>
        <v>33</v>
      </c>
      <c r="M708" s="183">
        <f ca="1">SUMPRODUCT(F708:K708,F686:K686)/L:L</f>
        <v>6.0606060606060606E-3</v>
      </c>
      <c r="N708" s="166">
        <f t="shared" ca="1" si="103"/>
        <v>1.0060790086917657</v>
      </c>
      <c r="O708" s="165">
        <f t="shared" ca="1" si="105"/>
        <v>1387.661989146708</v>
      </c>
      <c r="P708" s="165">
        <f t="shared" ca="1" si="104"/>
        <v>1396.0975984399638</v>
      </c>
    </row>
    <row r="709" spans="1:16" s="165" customFormat="1" x14ac:dyDescent="0.3">
      <c r="A709" s="165">
        <f>MATCH(Calcs!B709,Paste_Report_Here!$1:$1,0) -1</f>
        <v>26</v>
      </c>
      <c r="B709" s="165" t="s">
        <v>142</v>
      </c>
      <c r="C709" s="166">
        <f ca="1">RANK(N709,N688:N712)</f>
        <v>4</v>
      </c>
      <c r="D709" s="166">
        <f ca="1">RANK(P709,P688:P712)</f>
        <v>11</v>
      </c>
      <c r="E709" s="189" t="s">
        <v>171</v>
      </c>
      <c r="F709" s="179">
        <f ca="1">COUNTIFS(Paste_Report_Here!$E$1:$E$2000,E682, OFFSET(Paste_Report_Here!$A$1,0,$A709,2000,1),F$75)</f>
        <v>0</v>
      </c>
      <c r="G709" s="180">
        <f ca="1">COUNTIFS(Paste_Report_Here!$E$1:$E$2000,E682, OFFSET(Paste_Report_Here!$A$1,0,$A709,2000,1),G$75)</f>
        <v>2</v>
      </c>
      <c r="H709" s="180">
        <f ca="1">COUNTIFS(Paste_Report_Here!$E$1:$E$2000,E682, OFFSET(Paste_Report_Here!$A$1,0,$A709,2000,1),H$75)</f>
        <v>26</v>
      </c>
      <c r="I709" s="180">
        <f ca="1">COUNTIFS(Paste_Report_Here!$E$1:$E$2000,E682, OFFSET(Paste_Report_Here!$A$1,0,$A709,2000,1),I$75)</f>
        <v>4</v>
      </c>
      <c r="J709" s="180">
        <f ca="1">COUNTIFS(Paste_Report_Here!$E$1:$E$2000,E682, OFFSET(Paste_Report_Here!$A$1,0,$A709,2000,1),J$75)</f>
        <v>1</v>
      </c>
      <c r="K709" s="181">
        <f ca="1">COUNTIFS(Paste_Report_Here!$E$1:$E$2000,E682, OFFSET(Paste_Report_Here!$A$1,0,$A709,2000,1),K$75)</f>
        <v>0</v>
      </c>
      <c r="L709" s="166">
        <f t="shared" ca="1" si="102"/>
        <v>33</v>
      </c>
      <c r="M709" s="183">
        <f ca="1">SUMPRODUCT(F709:K709,F686:K686)/L:L</f>
        <v>6.0606060606060606E-3</v>
      </c>
      <c r="N709" s="166">
        <f t="shared" ca="1" si="103"/>
        <v>1.0060790086917657</v>
      </c>
      <c r="O709" s="165">
        <f t="shared" ca="1" si="105"/>
        <v>2276.2855202195797</v>
      </c>
      <c r="P709" s="165">
        <f t="shared" ca="1" si="104"/>
        <v>2290.123079681935</v>
      </c>
    </row>
    <row r="710" spans="1:16" s="165" customFormat="1" x14ac:dyDescent="0.3">
      <c r="A710" s="165">
        <f>MATCH(Calcs!B710,Paste_Report_Here!$1:$1,0) -1</f>
        <v>27</v>
      </c>
      <c r="B710" s="165" t="s">
        <v>210</v>
      </c>
      <c r="C710" s="166">
        <f ca="1">RANK(N710,N688:N712)</f>
        <v>12</v>
      </c>
      <c r="D710" s="166">
        <f ca="1">RANK(P710,P688:P712)</f>
        <v>25</v>
      </c>
      <c r="E710" s="202" t="s">
        <v>212</v>
      </c>
      <c r="F710" s="179">
        <f ca="1">COUNTIFS(Paste_Report_Here!$E$1:$E$2000,E682, OFFSET(Paste_Report_Here!$A$1,0,$A710,2000,1),F$75)</f>
        <v>0</v>
      </c>
      <c r="G710" s="180">
        <f ca="1">COUNTIFS(Paste_Report_Here!$E$1:$E$2000,E682, OFFSET(Paste_Report_Here!$A$1,0,$A710,2000,1),G$75)</f>
        <v>2</v>
      </c>
      <c r="H710" s="180">
        <f ca="1">COUNTIFS(Paste_Report_Here!$E$1:$E$2000,E682, OFFSET(Paste_Report_Here!$A$1,0,$A710,2000,1),H$75)</f>
        <v>25</v>
      </c>
      <c r="I710" s="180">
        <f ca="1">COUNTIFS(Paste_Report_Here!$E$1:$E$2000,E682, OFFSET(Paste_Report_Here!$A$1,0,$A710,2000,1),I$75)</f>
        <v>6</v>
      </c>
      <c r="J710" s="180">
        <f ca="1">COUNTIFS(Paste_Report_Here!$E$1:$E$2000,E682, OFFSET(Paste_Report_Here!$A$1,0,$A710,2000,1),J$75)</f>
        <v>0</v>
      </c>
      <c r="K710" s="181">
        <f ca="1">COUNTIFS(Paste_Report_Here!$E$1:$E$2000,E682, OFFSET(Paste_Report_Here!$A$1,0,$A710,2000,1),K$75)</f>
        <v>0</v>
      </c>
      <c r="L710" s="166">
        <f t="shared" ca="1" si="102"/>
        <v>33</v>
      </c>
      <c r="M710" s="183">
        <f ca="1">SUMPRODUCT(F710:K710,F686:K686)/L:L</f>
        <v>0</v>
      </c>
      <c r="N710" s="166">
        <f t="shared" ca="1" si="103"/>
        <v>1</v>
      </c>
      <c r="O710" s="165">
        <f t="shared" ca="1" si="105"/>
        <v>1138.0832807918787</v>
      </c>
      <c r="P710" s="165">
        <f t="shared" ca="1" si="104"/>
        <v>1138.0832807918787</v>
      </c>
    </row>
    <row r="711" spans="1:16" s="165" customFormat="1" x14ac:dyDescent="0.3">
      <c r="A711" s="165">
        <f>MATCH(Calcs!B711,Paste_Report_Here!$1:$1,0) -1</f>
        <v>28</v>
      </c>
      <c r="B711" s="165" t="s">
        <v>143</v>
      </c>
      <c r="C711" s="166">
        <v>2</v>
      </c>
      <c r="D711" s="166">
        <f ca="1">RANK(P711,P688:P712)</f>
        <v>1</v>
      </c>
      <c r="E711" s="189" t="s">
        <v>172</v>
      </c>
      <c r="F711" s="179">
        <f ca="1">COUNTIFS(Paste_Report_Here!$E$1:$E$2000,E682, OFFSET(Paste_Report_Here!$A$1,0,$A711,2000,1),F$75)</f>
        <v>0</v>
      </c>
      <c r="G711" s="180">
        <f ca="1">COUNTIFS(Paste_Report_Here!$E$1:$E$2000,E682, OFFSET(Paste_Report_Here!$A$1,0,$A711,2000,1),G$75)</f>
        <v>0</v>
      </c>
      <c r="H711" s="180">
        <f ca="1">COUNTIFS(Paste_Report_Here!$E$1:$E$2000,E682, OFFSET(Paste_Report_Here!$A$1,0,$A711,2000,1),H$75)</f>
        <v>26</v>
      </c>
      <c r="I711" s="180">
        <f ca="1">COUNTIFS(Paste_Report_Here!$E$1:$E$2000,E682, OFFSET(Paste_Report_Here!$A$1,0,$A711,2000,1),I$75)</f>
        <v>4</v>
      </c>
      <c r="J711" s="180">
        <f ca="1">COUNTIFS(Paste_Report_Here!$E$1:$E$2000,E682, OFFSET(Paste_Report_Here!$A$1,0,$A711,2000,1),J$75)</f>
        <v>3</v>
      </c>
      <c r="K711" s="181">
        <f ca="1">COUNTIFS(Paste_Report_Here!$E$1:$E$2000,E682, OFFSET(Paste_Report_Here!$A$1,0,$A711,2000,1),K$75)</f>
        <v>0</v>
      </c>
      <c r="L711" s="166">
        <f t="shared" ca="1" si="102"/>
        <v>33</v>
      </c>
      <c r="M711" s="183">
        <f ca="1">SUMPRODUCT(F711:K711,F686:K686)/L:L</f>
        <v>1.8181818181818184E-2</v>
      </c>
      <c r="N711" s="166">
        <f t="shared" ca="1" si="103"/>
        <v>1.0183481137611157</v>
      </c>
      <c r="O711" s="165">
        <f t="shared" ca="1" si="105"/>
        <v>7791.2149493925572</v>
      </c>
      <c r="P711" s="165">
        <f t="shared" ca="1" si="104"/>
        <v>7934.1690476213171</v>
      </c>
    </row>
    <row r="712" spans="1:16" s="165" customFormat="1" x14ac:dyDescent="0.3">
      <c r="A712" s="165">
        <f>MATCH(Calcs!B712,Paste_Report_Here!$1:$1,0) -1</f>
        <v>29</v>
      </c>
      <c r="B712" s="187" t="s">
        <v>144</v>
      </c>
      <c r="C712" s="147">
        <f ca="1">RANK(N712,N688:N712)</f>
        <v>12</v>
      </c>
      <c r="D712" s="147">
        <f ca="1">RANK(P712,P688:P712)</f>
        <v>12</v>
      </c>
      <c r="E712" s="145" t="s">
        <v>173</v>
      </c>
      <c r="F712" s="146">
        <f ca="1">COUNTIFS(Paste_Report_Here!$E$1:$E$2000,E682, OFFSET(Paste_Report_Here!$A$1,0,$A712,2000,1),F$75)</f>
        <v>0</v>
      </c>
      <c r="G712" s="147">
        <f ca="1">COUNTIFS(Paste_Report_Here!$E$1:$E$2000,E682, OFFSET(Paste_Report_Here!$A$1,0,$A712,2000,1),G$75)</f>
        <v>3</v>
      </c>
      <c r="H712" s="147">
        <f ca="1">COUNTIFS(Paste_Report_Here!$E$1:$E$2000,E682, OFFSET(Paste_Report_Here!$A$1,0,$A712,2000,1),H$75)</f>
        <v>26</v>
      </c>
      <c r="I712" s="147">
        <f ca="1">COUNTIFS(Paste_Report_Here!$E$1:$E$2000,E682, OFFSET(Paste_Report_Here!$A$1,0,$A712,2000,1),I$75)</f>
        <v>4</v>
      </c>
      <c r="J712" s="147">
        <f ca="1">COUNTIFS(Paste_Report_Here!$E$1:$E$2000,E682, OFFSET(Paste_Report_Here!$A$1,0,$A712,2000,1),J$75)</f>
        <v>0</v>
      </c>
      <c r="K712" s="148">
        <f ca="1">COUNTIFS(Paste_Report_Here!$E$1:$E$2000,E682, OFFSET(Paste_Report_Here!$A$1,0,$A712,2000,1),K$75)</f>
        <v>0</v>
      </c>
      <c r="L712" s="147">
        <f t="shared" ca="1" si="102"/>
        <v>33</v>
      </c>
      <c r="M712" s="149">
        <f ca="1">SUMPRODUCT(F712:K712,F686:K686)/L:L</f>
        <v>0</v>
      </c>
      <c r="N712" s="147">
        <f t="shared" ca="1" si="103"/>
        <v>1</v>
      </c>
      <c r="O712" s="187">
        <f t="shared" ca="1" si="105"/>
        <v>2287.6229277911043</v>
      </c>
      <c r="P712" s="165">
        <f t="shared" ca="1" si="104"/>
        <v>2287.6229277911043</v>
      </c>
    </row>
    <row r="713" spans="1:16" s="165" customFormat="1" x14ac:dyDescent="0.3">
      <c r="C713" s="166"/>
      <c r="E713" s="140" t="s">
        <v>293</v>
      </c>
      <c r="F713" s="180">
        <f ca="1">SUM(F688:F712)</f>
        <v>9</v>
      </c>
      <c r="G713" s="180">
        <f t="shared" ref="G713:L713" ca="1" si="106">SUM(G688:G712)</f>
        <v>55</v>
      </c>
      <c r="H713" s="180">
        <f t="shared" ca="1" si="106"/>
        <v>584</v>
      </c>
      <c r="I713" s="180">
        <f t="shared" ca="1" si="106"/>
        <v>155</v>
      </c>
      <c r="J713" s="180">
        <f t="shared" ca="1" si="106"/>
        <v>17</v>
      </c>
      <c r="K713" s="180">
        <f t="shared" ca="1" si="106"/>
        <v>5</v>
      </c>
      <c r="L713" s="180">
        <f t="shared" ca="1" si="106"/>
        <v>825</v>
      </c>
      <c r="M713" s="144">
        <f ca="1">SUMPRODUCT(F713:K713,F686:K686)/L713</f>
        <v>1.9393939393939398E-3</v>
      </c>
      <c r="N713" s="166">
        <f t="shared" ca="1" si="103"/>
        <v>1.0019412757801669</v>
      </c>
      <c r="O713" s="165">
        <f t="shared" ca="1" si="105"/>
        <v>2642.7976339607558</v>
      </c>
      <c r="P713" s="165">
        <f t="shared" ca="1" si="104"/>
        <v>2647.9280329994463</v>
      </c>
    </row>
    <row r="714" spans="1:16" s="165" customFormat="1" x14ac:dyDescent="0.3">
      <c r="A714" s="194"/>
      <c r="B714" s="194"/>
      <c r="C714" s="153"/>
      <c r="D714" s="194"/>
      <c r="E714" s="164"/>
      <c r="F714" s="151"/>
      <c r="G714" s="151"/>
      <c r="H714" s="151"/>
      <c r="I714" s="151"/>
      <c r="J714" s="151"/>
      <c r="K714" s="151"/>
      <c r="L714" s="151"/>
      <c r="M714" s="162"/>
      <c r="N714" s="153"/>
      <c r="O714" s="194"/>
      <c r="P714" s="194"/>
    </row>
    <row r="715" spans="1:16" s="165" customFormat="1" x14ac:dyDescent="0.3">
      <c r="E715" s="173" t="s">
        <v>292</v>
      </c>
    </row>
    <row r="716" spans="1:16" s="165" customFormat="1" x14ac:dyDescent="0.3">
      <c r="E716" s="141">
        <v>41181</v>
      </c>
    </row>
    <row r="717" spans="1:16" s="165" customFormat="1" ht="15" thickBot="1" x14ac:dyDescent="0.35"/>
    <row r="718" spans="1:16" s="165" customFormat="1" ht="24.6" thickBot="1" x14ac:dyDescent="0.35">
      <c r="F718" s="174" t="s">
        <v>23</v>
      </c>
      <c r="G718" s="168" t="s">
        <v>18</v>
      </c>
      <c r="H718" s="168" t="s">
        <v>16</v>
      </c>
      <c r="I718" s="168" t="s">
        <v>17</v>
      </c>
      <c r="J718" s="168" t="s">
        <v>19</v>
      </c>
      <c r="K718" s="169" t="s">
        <v>114</v>
      </c>
    </row>
    <row r="719" spans="1:16" s="165" customFormat="1" x14ac:dyDescent="0.3">
      <c r="F719" s="267" t="s">
        <v>201</v>
      </c>
      <c r="G719" s="268"/>
      <c r="H719" s="268"/>
      <c r="I719" s="268"/>
      <c r="J719" s="268"/>
      <c r="K719" s="169"/>
      <c r="M719" s="203">
        <f ca="1">(H747+K747)/L747</f>
        <v>0.69939393939393935</v>
      </c>
      <c r="N719" s="204" t="s">
        <v>501</v>
      </c>
    </row>
    <row r="720" spans="1:16" s="165" customFormat="1" ht="43.8" thickBot="1" x14ac:dyDescent="0.35">
      <c r="A720" s="142" t="s">
        <v>294</v>
      </c>
      <c r="B720" s="142" t="s">
        <v>295</v>
      </c>
      <c r="C720" s="197" t="s">
        <v>440</v>
      </c>
      <c r="D720" s="142" t="s">
        <v>441</v>
      </c>
      <c r="E720" s="171" t="s">
        <v>30</v>
      </c>
      <c r="F720" s="175">
        <f>Falling_fast</f>
        <v>-0.2</v>
      </c>
      <c r="G720" s="176">
        <f>Falling</f>
        <v>0</v>
      </c>
      <c r="H720" s="177">
        <f>Static</f>
        <v>0</v>
      </c>
      <c r="I720" s="176">
        <f>Rising</f>
        <v>0</v>
      </c>
      <c r="J720" s="178">
        <f>Rising_fast</f>
        <v>0.2</v>
      </c>
      <c r="K720" s="182">
        <v>0</v>
      </c>
      <c r="L720" s="171" t="s">
        <v>28</v>
      </c>
      <c r="M720" s="172" t="s">
        <v>29</v>
      </c>
      <c r="N720" s="143" t="s">
        <v>296</v>
      </c>
      <c r="O720" s="142" t="s">
        <v>297</v>
      </c>
      <c r="P720" s="142" t="s">
        <v>298</v>
      </c>
    </row>
    <row r="721" spans="1:16" s="165" customFormat="1" x14ac:dyDescent="0.3">
      <c r="C721" s="166"/>
      <c r="E721" s="192"/>
      <c r="F721" s="198" t="s">
        <v>151</v>
      </c>
      <c r="G721" s="199" t="s">
        <v>149</v>
      </c>
      <c r="H721" s="199" t="s">
        <v>16</v>
      </c>
      <c r="I721" s="199" t="s">
        <v>148</v>
      </c>
      <c r="J721" s="199" t="s">
        <v>150</v>
      </c>
      <c r="K721" s="200" t="s">
        <v>114</v>
      </c>
      <c r="L721" s="166"/>
      <c r="M721" s="170"/>
      <c r="N721" s="166"/>
    </row>
    <row r="722" spans="1:16" s="165" customFormat="1" x14ac:dyDescent="0.3">
      <c r="A722" s="165">
        <f>MATCH(Calcs!B722,Paste_Report_Here!$1:$1,0) -1</f>
        <v>5</v>
      </c>
      <c r="B722" s="165" t="s">
        <v>124</v>
      </c>
      <c r="C722" s="166">
        <f ca="1">RANK(N722,N722:N746)</f>
        <v>12</v>
      </c>
      <c r="D722" s="166">
        <f ca="1">RANK(P722,P722:P746)</f>
        <v>16</v>
      </c>
      <c r="E722" s="189" t="s">
        <v>152</v>
      </c>
      <c r="F722" s="179">
        <f ca="1">COUNTIFS(Paste_Report_Here!$E$1:$E$2000,E716, OFFSET(Paste_Report_Here!$A$1,0,$A722,2000,1),F$75)</f>
        <v>0</v>
      </c>
      <c r="G722" s="180">
        <f ca="1">COUNTIFS(Paste_Report_Here!$E$1:$E$2000,E716, OFFSET(Paste_Report_Here!$A$1,0,$A722,2000,1),G$75)</f>
        <v>2</v>
      </c>
      <c r="H722" s="180">
        <f ca="1">COUNTIFS(Paste_Report_Here!$E$1:$E$2000,E716, OFFSET(Paste_Report_Here!$A$1,0,$A722,2000,1),H$75)</f>
        <v>27</v>
      </c>
      <c r="I722" s="180">
        <f ca="1">COUNTIFS(Paste_Report_Here!$E$1:$E$2000,E716, OFFSET(Paste_Report_Here!$A$1,0,$A722,2000,1),I$75)</f>
        <v>4</v>
      </c>
      <c r="J722" s="180">
        <f ca="1">COUNTIFS(Paste_Report_Here!$E$1:$E$2000,E716, OFFSET(Paste_Report_Here!$A$1,0,$A722,2000,1),J$75)</f>
        <v>0</v>
      </c>
      <c r="K722" s="181">
        <f ca="1">COUNTIFS(Paste_Report_Here!$E$1:$E$2000,E716, OFFSET(Paste_Report_Here!$A$1,0,$A722,2000,1),K$75)</f>
        <v>0</v>
      </c>
      <c r="L722" s="166">
        <f t="shared" ref="L722:L746" ca="1" si="107">SUM(F722:K722)</f>
        <v>33</v>
      </c>
      <c r="M722" s="183">
        <f ca="1">SUMPRODUCT(F722:K722,F720:K720)/L:L</f>
        <v>0</v>
      </c>
      <c r="N722" s="166">
        <f t="shared" ref="N722:N747" ca="1" si="108">EXP(M722)</f>
        <v>1</v>
      </c>
      <c r="O722" s="165">
        <f ca="1">P688</f>
        <v>2099.6682755463339</v>
      </c>
      <c r="P722" s="165">
        <f t="shared" ref="P722:P747" ca="1" si="109">O722*N722</f>
        <v>2099.6682755463339</v>
      </c>
    </row>
    <row r="723" spans="1:16" s="165" customFormat="1" x14ac:dyDescent="0.3">
      <c r="A723" s="165">
        <f>MATCH(Calcs!B723,Paste_Report_Here!$1:$1,0) -1</f>
        <v>6</v>
      </c>
      <c r="B723" s="165" t="s">
        <v>125</v>
      </c>
      <c r="C723" s="166">
        <f ca="1">RANK(N723,N722:N746)</f>
        <v>23</v>
      </c>
      <c r="D723" s="166">
        <f ca="1">RANK(P723,P722:P746)</f>
        <v>13</v>
      </c>
      <c r="E723" s="189" t="s">
        <v>153</v>
      </c>
      <c r="F723" s="179">
        <f ca="1">COUNTIFS(Paste_Report_Here!$E$1:$E$2000,E716, OFFSET(Paste_Report_Here!$A$1,0,$A723,2000,1),F$75)</f>
        <v>1</v>
      </c>
      <c r="G723" s="180">
        <f ca="1">COUNTIFS(Paste_Report_Here!$E$1:$E$2000,E716, OFFSET(Paste_Report_Here!$A$1,0,$A723,2000,1),G$75)</f>
        <v>0</v>
      </c>
      <c r="H723" s="180">
        <f ca="1">COUNTIFS(Paste_Report_Here!$E$1:$E$2000,E716, OFFSET(Paste_Report_Here!$A$1,0,$A723,2000,1),H$75)</f>
        <v>23</v>
      </c>
      <c r="I723" s="180">
        <f ca="1">COUNTIFS(Paste_Report_Here!$E$1:$E$2000,E716, OFFSET(Paste_Report_Here!$A$1,0,$A723,2000,1),I$75)</f>
        <v>8</v>
      </c>
      <c r="J723" s="180">
        <f ca="1">COUNTIFS(Paste_Report_Here!$E$1:$E$2000,E716, OFFSET(Paste_Report_Here!$A$1,0,$A723,2000,1),J$75)</f>
        <v>0</v>
      </c>
      <c r="K723" s="181">
        <f ca="1">COUNTIFS(Paste_Report_Here!$E$1:$E$2000,E716, OFFSET(Paste_Report_Here!$A$1,0,$A723,2000,1),K$75)</f>
        <v>1</v>
      </c>
      <c r="L723" s="166">
        <f t="shared" ca="1" si="107"/>
        <v>33</v>
      </c>
      <c r="M723" s="183">
        <f ca="1">SUMPRODUCT(F723:K723,F720:K720)/L:L</f>
        <v>-6.0606060606060606E-3</v>
      </c>
      <c r="N723" s="166">
        <f t="shared" ca="1" si="108"/>
        <v>0.99395772236648638</v>
      </c>
      <c r="O723" s="165">
        <f t="shared" ref="O723:O747" ca="1" si="110">P689</f>
        <v>2192.7432504117928</v>
      </c>
      <c r="P723" s="165">
        <f t="shared" ca="1" si="109"/>
        <v>2179.4940869137918</v>
      </c>
    </row>
    <row r="724" spans="1:16" s="165" customFormat="1" x14ac:dyDescent="0.3">
      <c r="A724" s="165">
        <f>MATCH(Calcs!B724,Paste_Report_Here!$1:$1,0) -1</f>
        <v>7</v>
      </c>
      <c r="B724" s="165" t="s">
        <v>126</v>
      </c>
      <c r="C724" s="166">
        <f ca="1">RANK(N724,N722:N746)</f>
        <v>25</v>
      </c>
      <c r="D724" s="166">
        <f ca="1">RANK(P724,P722:P746)</f>
        <v>7</v>
      </c>
      <c r="E724" s="189" t="s">
        <v>154</v>
      </c>
      <c r="F724" s="179">
        <f ca="1">COUNTIFS(Paste_Report_Here!$E$1:$E$2000,E716, OFFSET(Paste_Report_Here!$A$1,0,$A724,2000,1),F$75)</f>
        <v>2</v>
      </c>
      <c r="G724" s="180">
        <f ca="1">COUNTIFS(Paste_Report_Here!$E$1:$E$2000,E716, OFFSET(Paste_Report_Here!$A$1,0,$A724,2000,1),G$75)</f>
        <v>5</v>
      </c>
      <c r="H724" s="180">
        <f ca="1">COUNTIFS(Paste_Report_Here!$E$1:$E$2000,E716, OFFSET(Paste_Report_Here!$A$1,0,$A724,2000,1),H$75)</f>
        <v>19</v>
      </c>
      <c r="I724" s="180">
        <f ca="1">COUNTIFS(Paste_Report_Here!$E$1:$E$2000,E716, OFFSET(Paste_Report_Here!$A$1,0,$A724,2000,1),I$75)</f>
        <v>7</v>
      </c>
      <c r="J724" s="180">
        <f ca="1">COUNTIFS(Paste_Report_Here!$E$1:$E$2000,E716, OFFSET(Paste_Report_Here!$A$1,0,$A724,2000,1),J$75)</f>
        <v>0</v>
      </c>
      <c r="K724" s="181">
        <f ca="1">COUNTIFS(Paste_Report_Here!$E$1:$E$2000,E716, OFFSET(Paste_Report_Here!$A$1,0,$A724,2000,1),K$75)</f>
        <v>0</v>
      </c>
      <c r="L724" s="166">
        <f t="shared" ca="1" si="107"/>
        <v>33</v>
      </c>
      <c r="M724" s="183">
        <f ca="1">SUMPRODUCT(F724:K724,F720:K720)/L:L</f>
        <v>-1.2121212121212121E-2</v>
      </c>
      <c r="N724" s="166">
        <f t="shared" ca="1" si="108"/>
        <v>0.98795195385197332</v>
      </c>
      <c r="O724" s="165">
        <f t="shared" ca="1" si="110"/>
        <v>2878.2737548233176</v>
      </c>
      <c r="P724" s="165">
        <f t="shared" ca="1" si="109"/>
        <v>2843.5961797985524</v>
      </c>
    </row>
    <row r="725" spans="1:16" s="165" customFormat="1" x14ac:dyDescent="0.3">
      <c r="A725" s="165">
        <f>MATCH(Calcs!B725,Paste_Report_Here!$1:$1,0) -1</f>
        <v>8</v>
      </c>
      <c r="B725" s="165" t="s">
        <v>127</v>
      </c>
      <c r="C725" s="166">
        <f ca="1">RANK(N725,N722:N746)</f>
        <v>3</v>
      </c>
      <c r="D725" s="166">
        <f ca="1">RANK(P725,P722:P746)</f>
        <v>8</v>
      </c>
      <c r="E725" s="189" t="s">
        <v>155</v>
      </c>
      <c r="F725" s="179">
        <f ca="1">COUNTIFS(Paste_Report_Here!$E$1:$E$2000,E716, OFFSET(Paste_Report_Here!$A$1,0,$A725,2000,1),F$75)</f>
        <v>0</v>
      </c>
      <c r="G725" s="180">
        <f ca="1">COUNTIFS(Paste_Report_Here!$E$1:$E$2000,E716, OFFSET(Paste_Report_Here!$A$1,0,$A725,2000,1),G$75)</f>
        <v>4</v>
      </c>
      <c r="H725" s="180">
        <f ca="1">COUNTIFS(Paste_Report_Here!$E$1:$E$2000,E716, OFFSET(Paste_Report_Here!$A$1,0,$A725,2000,1),H$75)</f>
        <v>18</v>
      </c>
      <c r="I725" s="180">
        <f ca="1">COUNTIFS(Paste_Report_Here!$E$1:$E$2000,E716, OFFSET(Paste_Report_Here!$A$1,0,$A725,2000,1),I$75)</f>
        <v>10</v>
      </c>
      <c r="J725" s="180">
        <f ca="1">COUNTIFS(Paste_Report_Here!$E$1:$E$2000,E716, OFFSET(Paste_Report_Here!$A$1,0,$A725,2000,1),J$75)</f>
        <v>1</v>
      </c>
      <c r="K725" s="181">
        <f ca="1">COUNTIFS(Paste_Report_Here!$E$1:$E$2000,E716, OFFSET(Paste_Report_Here!$A$1,0,$A725,2000,1),K$75)</f>
        <v>0</v>
      </c>
      <c r="L725" s="166">
        <f t="shared" ca="1" si="107"/>
        <v>33</v>
      </c>
      <c r="M725" s="183">
        <f ca="1">SUMPRODUCT(F725:K725,F720:K720)/L:L</f>
        <v>6.0606060606060606E-3</v>
      </c>
      <c r="N725" s="166">
        <f t="shared" ca="1" si="108"/>
        <v>1.0060790086917657</v>
      </c>
      <c r="O725" s="165">
        <f t="shared" ca="1" si="110"/>
        <v>2736.9209793377809</v>
      </c>
      <c r="P725" s="165">
        <f t="shared" ca="1" si="109"/>
        <v>2753.5587457598513</v>
      </c>
    </row>
    <row r="726" spans="1:16" s="165" customFormat="1" x14ac:dyDescent="0.3">
      <c r="A726" s="165">
        <f>MATCH(Calcs!B726,Paste_Report_Here!$1:$1,0) -1</f>
        <v>9</v>
      </c>
      <c r="B726" s="165" t="s">
        <v>214</v>
      </c>
      <c r="C726" s="166">
        <f ca="1">RANK(N726,N722:N746)</f>
        <v>12</v>
      </c>
      <c r="D726" s="166">
        <f ca="1">RANK(P726,P722:P746)</f>
        <v>5</v>
      </c>
      <c r="E726" s="189" t="s">
        <v>156</v>
      </c>
      <c r="F726" s="179">
        <f ca="1">COUNTIFS(Paste_Report_Here!$E$1:$E$2000,E716, OFFSET(Paste_Report_Here!$A$1,0,$A726,2000,1),F$75)</f>
        <v>0</v>
      </c>
      <c r="G726" s="180">
        <f ca="1">COUNTIFS(Paste_Report_Here!$E$1:$E$2000,E716, OFFSET(Paste_Report_Here!$A$1,0,$A726,2000,1),G$75)</f>
        <v>4</v>
      </c>
      <c r="H726" s="180">
        <f ca="1">COUNTIFS(Paste_Report_Here!$E$1:$E$2000,E716, OFFSET(Paste_Report_Here!$A$1,0,$A726,2000,1),H$75)</f>
        <v>20</v>
      </c>
      <c r="I726" s="180">
        <f ca="1">COUNTIFS(Paste_Report_Here!$E$1:$E$2000,E716, OFFSET(Paste_Report_Here!$A$1,0,$A726,2000,1),I$75)</f>
        <v>8</v>
      </c>
      <c r="J726" s="180">
        <f ca="1">COUNTIFS(Paste_Report_Here!$E$1:$E$2000,E716, OFFSET(Paste_Report_Here!$A$1,0,$A726,2000,1),J$75)</f>
        <v>0</v>
      </c>
      <c r="K726" s="181">
        <f ca="1">COUNTIFS(Paste_Report_Here!$E$1:$E$2000,E716, OFFSET(Paste_Report_Here!$A$1,0,$A726,2000,1),K$75)</f>
        <v>1</v>
      </c>
      <c r="L726" s="166">
        <f t="shared" ca="1" si="107"/>
        <v>33</v>
      </c>
      <c r="M726" s="183">
        <f ca="1">SUMPRODUCT(F726:K726,F720:K720)/L:L</f>
        <v>0</v>
      </c>
      <c r="N726" s="166">
        <f t="shared" ca="1" si="108"/>
        <v>1</v>
      </c>
      <c r="O726" s="165">
        <f t="shared" ca="1" si="110"/>
        <v>3588.2778468117349</v>
      </c>
      <c r="P726" s="165">
        <f t="shared" ca="1" si="109"/>
        <v>3588.2778468117349</v>
      </c>
    </row>
    <row r="727" spans="1:16" s="165" customFormat="1" x14ac:dyDescent="0.3">
      <c r="A727" s="165">
        <f>MATCH(Calcs!B727,Paste_Report_Here!$1:$1,0) -1</f>
        <v>10</v>
      </c>
      <c r="B727" s="165" t="s">
        <v>128</v>
      </c>
      <c r="C727" s="166">
        <f ca="1">RANK(N727,N722:N746)</f>
        <v>3</v>
      </c>
      <c r="D727" s="166">
        <f ca="1">RANK(P727,P722:P746)</f>
        <v>21</v>
      </c>
      <c r="E727" s="189" t="s">
        <v>157</v>
      </c>
      <c r="F727" s="179">
        <f ca="1">COUNTIFS(Paste_Report_Here!$E$1:$E$2000,E716, OFFSET(Paste_Report_Here!$A$1,0,$A727,2000,1),F$75)</f>
        <v>0</v>
      </c>
      <c r="G727" s="180">
        <f ca="1">COUNTIFS(Paste_Report_Here!$E$1:$E$2000,E716, OFFSET(Paste_Report_Here!$A$1,0,$A727,2000,1),G$75)</f>
        <v>4</v>
      </c>
      <c r="H727" s="180">
        <f ca="1">COUNTIFS(Paste_Report_Here!$E$1:$E$2000,E716, OFFSET(Paste_Report_Here!$A$1,0,$A727,2000,1),H$75)</f>
        <v>24</v>
      </c>
      <c r="I727" s="180">
        <f ca="1">COUNTIFS(Paste_Report_Here!$E$1:$E$2000,E716, OFFSET(Paste_Report_Here!$A$1,0,$A727,2000,1),I$75)</f>
        <v>4</v>
      </c>
      <c r="J727" s="180">
        <f ca="1">COUNTIFS(Paste_Report_Here!$E$1:$E$2000,E716, OFFSET(Paste_Report_Here!$A$1,0,$A727,2000,1),J$75)</f>
        <v>1</v>
      </c>
      <c r="K727" s="181">
        <f ca="1">COUNTIFS(Paste_Report_Here!$E$1:$E$2000,E716, OFFSET(Paste_Report_Here!$A$1,0,$A727,2000,1),K$75)</f>
        <v>0</v>
      </c>
      <c r="L727" s="166">
        <f t="shared" ca="1" si="107"/>
        <v>33</v>
      </c>
      <c r="M727" s="183">
        <f ca="1">SUMPRODUCT(F727:K727,F720:K720)/L:L</f>
        <v>6.0606060606060606E-3</v>
      </c>
      <c r="N727" s="166">
        <f t="shared" ca="1" si="108"/>
        <v>1.0060790086917657</v>
      </c>
      <c r="O727" s="165">
        <f t="shared" ca="1" si="110"/>
        <v>1631.8466903700307</v>
      </c>
      <c r="P727" s="165">
        <f t="shared" ca="1" si="109"/>
        <v>1641.7667005844191</v>
      </c>
    </row>
    <row r="728" spans="1:16" s="165" customFormat="1" x14ac:dyDescent="0.3">
      <c r="A728" s="165">
        <f>MATCH(Calcs!B728,Paste_Report_Here!$1:$1,0) -1</f>
        <v>11</v>
      </c>
      <c r="B728" s="165" t="s">
        <v>129</v>
      </c>
      <c r="C728" s="166">
        <f ca="1">RANK(N728,N722:N746)</f>
        <v>3</v>
      </c>
      <c r="D728" s="166">
        <f ca="1">RANK(P728,P722:P746)</f>
        <v>9</v>
      </c>
      <c r="E728" s="189" t="s">
        <v>158</v>
      </c>
      <c r="F728" s="179">
        <f ca="1">COUNTIFS(Paste_Report_Here!$E$1:$E$2000,E716, OFFSET(Paste_Report_Here!$A$1,0,$A728,2000,1),F$75)</f>
        <v>0</v>
      </c>
      <c r="G728" s="180">
        <f ca="1">COUNTIFS(Paste_Report_Here!$E$1:$E$2000,E716, OFFSET(Paste_Report_Here!$A$1,0,$A728,2000,1),G$75)</f>
        <v>3</v>
      </c>
      <c r="H728" s="180">
        <f ca="1">COUNTIFS(Paste_Report_Here!$E$1:$E$2000,E716, OFFSET(Paste_Report_Here!$A$1,0,$A728,2000,1),H$75)</f>
        <v>24</v>
      </c>
      <c r="I728" s="180">
        <f ca="1">COUNTIFS(Paste_Report_Here!$E$1:$E$2000,E716, OFFSET(Paste_Report_Here!$A$1,0,$A728,2000,1),I$75)</f>
        <v>5</v>
      </c>
      <c r="J728" s="180">
        <f ca="1">COUNTIFS(Paste_Report_Here!$E$1:$E$2000,E716, OFFSET(Paste_Report_Here!$A$1,0,$A728,2000,1),J$75)</f>
        <v>1</v>
      </c>
      <c r="K728" s="181">
        <f ca="1">COUNTIFS(Paste_Report_Here!$E$1:$E$2000,E716, OFFSET(Paste_Report_Here!$A$1,0,$A728,2000,1),K$75)</f>
        <v>0</v>
      </c>
      <c r="L728" s="166">
        <f t="shared" ca="1" si="107"/>
        <v>33</v>
      </c>
      <c r="M728" s="183">
        <f ca="1">SUMPRODUCT(F728:K728,F720:K720)/L:L</f>
        <v>6.0606060606060606E-3</v>
      </c>
      <c r="N728" s="166">
        <f t="shared" ca="1" si="108"/>
        <v>1.0060790086917657</v>
      </c>
      <c r="O728" s="165">
        <f t="shared" ca="1" si="110"/>
        <v>2544.6422112533105</v>
      </c>
      <c r="P728" s="165">
        <f t="shared" ca="1" si="109"/>
        <v>2560.1111133729532</v>
      </c>
    </row>
    <row r="729" spans="1:16" s="165" customFormat="1" x14ac:dyDescent="0.3">
      <c r="A729" s="165">
        <f>MATCH(Calcs!B729,Paste_Report_Here!$1:$1,0) -1</f>
        <v>12</v>
      </c>
      <c r="B729" s="165" t="s">
        <v>130</v>
      </c>
      <c r="C729" s="166">
        <f ca="1">RANK(N729,N722:N746)</f>
        <v>3</v>
      </c>
      <c r="D729" s="166">
        <f ca="1">RANK(P729,P722:P746)</f>
        <v>10</v>
      </c>
      <c r="E729" s="189" t="s">
        <v>159</v>
      </c>
      <c r="F729" s="179">
        <f ca="1">COUNTIFS(Paste_Report_Here!$E$1:$E$2000,E716, OFFSET(Paste_Report_Here!$A$1,0,$A729,2000,1),F$75)</f>
        <v>0</v>
      </c>
      <c r="G729" s="180">
        <f ca="1">COUNTIFS(Paste_Report_Here!$E$1:$E$2000,E716, OFFSET(Paste_Report_Here!$A$1,0,$A729,2000,1),G$75)</f>
        <v>3</v>
      </c>
      <c r="H729" s="180">
        <f ca="1">COUNTIFS(Paste_Report_Here!$E$1:$E$2000,E716, OFFSET(Paste_Report_Here!$A$1,0,$A729,2000,1),H$75)</f>
        <v>25</v>
      </c>
      <c r="I729" s="180">
        <f ca="1">COUNTIFS(Paste_Report_Here!$E$1:$E$2000,E716, OFFSET(Paste_Report_Here!$A$1,0,$A729,2000,1),I$75)</f>
        <v>4</v>
      </c>
      <c r="J729" s="180">
        <f ca="1">COUNTIFS(Paste_Report_Here!$E$1:$E$2000,E716, OFFSET(Paste_Report_Here!$A$1,0,$A729,2000,1),J$75)</f>
        <v>1</v>
      </c>
      <c r="K729" s="181">
        <f ca="1">COUNTIFS(Paste_Report_Here!$E$1:$E$2000,E716, OFFSET(Paste_Report_Here!$A$1,0,$A729,2000,1),K$75)</f>
        <v>0</v>
      </c>
      <c r="L729" s="166">
        <f t="shared" ca="1" si="107"/>
        <v>33</v>
      </c>
      <c r="M729" s="183">
        <f ca="1">SUMPRODUCT(F729:K729,F720:K720)/L:L</f>
        <v>6.0606060606060606E-3</v>
      </c>
      <c r="N729" s="166">
        <f t="shared" ca="1" si="108"/>
        <v>1.0060790086917657</v>
      </c>
      <c r="O729" s="165">
        <f t="shared" ca="1" si="110"/>
        <v>2325.6230327728304</v>
      </c>
      <c r="P729" s="165">
        <f t="shared" ca="1" si="109"/>
        <v>2339.760515402827</v>
      </c>
    </row>
    <row r="730" spans="1:16" s="165" customFormat="1" x14ac:dyDescent="0.3">
      <c r="A730" s="165">
        <f>MATCH(Calcs!B730,Paste_Report_Here!$1:$1,0) -1</f>
        <v>13</v>
      </c>
      <c r="B730" s="165" t="s">
        <v>131</v>
      </c>
      <c r="C730" s="166">
        <f ca="1">RANK(N730,N722:N746)</f>
        <v>12</v>
      </c>
      <c r="D730" s="166">
        <f ca="1">RANK(P730,P722:P746)</f>
        <v>2</v>
      </c>
      <c r="E730" s="189" t="s">
        <v>160</v>
      </c>
      <c r="F730" s="179">
        <f ca="1">COUNTIFS(Paste_Report_Here!$E$1:$E$2000,E716, OFFSET(Paste_Report_Here!$A$1,0,$A730,2000,1),F$75)</f>
        <v>1</v>
      </c>
      <c r="G730" s="180">
        <f ca="1">COUNTIFS(Paste_Report_Here!$E$1:$E$2000,E716, OFFSET(Paste_Report_Here!$A$1,0,$A730,2000,1),G$75)</f>
        <v>2</v>
      </c>
      <c r="H730" s="180">
        <f ca="1">COUNTIFS(Paste_Report_Here!$E$1:$E$2000,E716, OFFSET(Paste_Report_Here!$A$1,0,$A730,2000,1),H$75)</f>
        <v>17</v>
      </c>
      <c r="I730" s="180">
        <f ca="1">COUNTIFS(Paste_Report_Here!$E$1:$E$2000,E716, OFFSET(Paste_Report_Here!$A$1,0,$A730,2000,1),I$75)</f>
        <v>12</v>
      </c>
      <c r="J730" s="180">
        <f ca="1">COUNTIFS(Paste_Report_Here!$E$1:$E$2000,E716, OFFSET(Paste_Report_Here!$A$1,0,$A730,2000,1),J$75)</f>
        <v>1</v>
      </c>
      <c r="K730" s="181">
        <f ca="1">COUNTIFS(Paste_Report_Here!$E$1:$E$2000,E716, OFFSET(Paste_Report_Here!$A$1,0,$A730,2000,1),K$75)</f>
        <v>0</v>
      </c>
      <c r="L730" s="166">
        <f t="shared" ca="1" si="107"/>
        <v>33</v>
      </c>
      <c r="M730" s="183">
        <f ca="1">SUMPRODUCT(F730:K730,F720:K720)/L:L</f>
        <v>0</v>
      </c>
      <c r="N730" s="166">
        <f t="shared" ca="1" si="108"/>
        <v>1</v>
      </c>
      <c r="O730" s="165">
        <f t="shared" ca="1" si="110"/>
        <v>4084.8363710946546</v>
      </c>
      <c r="P730" s="165">
        <f t="shared" ca="1" si="109"/>
        <v>4084.8363710946546</v>
      </c>
    </row>
    <row r="731" spans="1:16" s="165" customFormat="1" x14ac:dyDescent="0.3">
      <c r="A731" s="165">
        <f>MATCH(Calcs!B731,Paste_Report_Here!$1:$1,0) -1</f>
        <v>14</v>
      </c>
      <c r="B731" s="165" t="s">
        <v>132</v>
      </c>
      <c r="C731" s="166">
        <f ca="1">RANK(N731,N720:N744)</f>
        <v>11</v>
      </c>
      <c r="D731" s="166">
        <f ca="1">RANK(P731,P722:P746)</f>
        <v>18</v>
      </c>
      <c r="E731" s="189" t="s">
        <v>161</v>
      </c>
      <c r="F731" s="179">
        <f ca="1">COUNTIFS(Paste_Report_Here!$E$1:$E$2000,E716, OFFSET(Paste_Report_Here!$A$1,0,$A731,2000,1),F$75)</f>
        <v>1</v>
      </c>
      <c r="G731" s="180">
        <f ca="1">COUNTIFS(Paste_Report_Here!$E$1:$E$2000,E716, OFFSET(Paste_Report_Here!$A$1,0,$A731,2000,1),G$75)</f>
        <v>3</v>
      </c>
      <c r="H731" s="180">
        <f ca="1">COUNTIFS(Paste_Report_Here!$E$1:$E$2000,E716, OFFSET(Paste_Report_Here!$A$1,0,$A731,2000,1),H$75)</f>
        <v>21</v>
      </c>
      <c r="I731" s="180">
        <f ca="1">COUNTIFS(Paste_Report_Here!$E$1:$E$2000,E716, OFFSET(Paste_Report_Here!$A$1,0,$A731,2000,1),I$75)</f>
        <v>7</v>
      </c>
      <c r="J731" s="180">
        <f ca="1">COUNTIFS(Paste_Report_Here!$E$1:$E$2000,E716, OFFSET(Paste_Report_Here!$A$1,0,$A731,2000,1),J$75)</f>
        <v>1</v>
      </c>
      <c r="K731" s="181">
        <f ca="1">COUNTIFS(Paste_Report_Here!$E$1:$E$2000,E716, OFFSET(Paste_Report_Here!$A$1,0,$A731,2000,1),K$75)</f>
        <v>0</v>
      </c>
      <c r="L731" s="166">
        <f t="shared" ca="1" si="107"/>
        <v>33</v>
      </c>
      <c r="M731" s="183">
        <f ca="1">SUMPRODUCT(F731:K731,F720:K720)/L:L</f>
        <v>0</v>
      </c>
      <c r="N731" s="166">
        <f t="shared" ca="1" si="108"/>
        <v>1</v>
      </c>
      <c r="O731" s="165">
        <f t="shared" ca="1" si="110"/>
        <v>2058.385932999915</v>
      </c>
      <c r="P731" s="165">
        <f t="shared" ca="1" si="109"/>
        <v>2058.385932999915</v>
      </c>
    </row>
    <row r="732" spans="1:16" s="165" customFormat="1" x14ac:dyDescent="0.3">
      <c r="A732" s="165">
        <f>MATCH(Calcs!B732,Paste_Report_Here!$1:$1,0) -1</f>
        <v>15</v>
      </c>
      <c r="B732" s="165" t="s">
        <v>133</v>
      </c>
      <c r="C732" s="166">
        <f ca="1">RANK(N732,N721:N745)</f>
        <v>12</v>
      </c>
      <c r="D732" s="166">
        <f ca="1">RANK(P732,P722:P746)</f>
        <v>6</v>
      </c>
      <c r="E732" s="189" t="s">
        <v>162</v>
      </c>
      <c r="F732" s="179">
        <f ca="1">COUNTIFS(Paste_Report_Here!$E$1:$E$2000,E716, OFFSET(Paste_Report_Here!$A$1,0,$A732,2000,1),F$75)</f>
        <v>0</v>
      </c>
      <c r="G732" s="180">
        <f ca="1">COUNTIFS(Paste_Report_Here!$E$1:$E$2000,E716, OFFSET(Paste_Report_Here!$A$1,0,$A732,2000,1),G$75)</f>
        <v>2</v>
      </c>
      <c r="H732" s="180">
        <f ca="1">COUNTIFS(Paste_Report_Here!$E$1:$E$2000,E716, OFFSET(Paste_Report_Here!$A$1,0,$A732,2000,1),H$75)</f>
        <v>19</v>
      </c>
      <c r="I732" s="180">
        <f ca="1">COUNTIFS(Paste_Report_Here!$E$1:$E$2000,E716, OFFSET(Paste_Report_Here!$A$1,0,$A732,2000,1),I$75)</f>
        <v>12</v>
      </c>
      <c r="J732" s="180">
        <f ca="1">COUNTIFS(Paste_Report_Here!$E$1:$E$2000,E716, OFFSET(Paste_Report_Here!$A$1,0,$A732,2000,1),J$75)</f>
        <v>0</v>
      </c>
      <c r="K732" s="181">
        <f ca="1">COUNTIFS(Paste_Report_Here!$E$1:$E$2000,E716, OFFSET(Paste_Report_Here!$A$1,0,$A732,2000,1),K$75)</f>
        <v>0</v>
      </c>
      <c r="L732" s="166">
        <f t="shared" ca="1" si="107"/>
        <v>33</v>
      </c>
      <c r="M732" s="183">
        <f ca="1">SUMPRODUCT(F732:K732,F720:K720)/L:L</f>
        <v>0</v>
      </c>
      <c r="N732" s="166">
        <f t="shared" ca="1" si="108"/>
        <v>1</v>
      </c>
      <c r="O732" s="165">
        <f t="shared" ca="1" si="110"/>
        <v>2954.1114146333643</v>
      </c>
      <c r="P732" s="165">
        <f t="shared" ca="1" si="109"/>
        <v>2954.1114146333643</v>
      </c>
    </row>
    <row r="733" spans="1:16" s="165" customFormat="1" x14ac:dyDescent="0.3">
      <c r="A733" s="165">
        <f>MATCH(Calcs!B733,Paste_Report_Here!$1:$1,0) -1</f>
        <v>16</v>
      </c>
      <c r="B733" s="165" t="s">
        <v>134</v>
      </c>
      <c r="C733" s="166">
        <f ca="1">RANK(N733,N722:N746)</f>
        <v>23</v>
      </c>
      <c r="D733" s="166">
        <f ca="1">RANK(P733,P722:P746)</f>
        <v>24</v>
      </c>
      <c r="E733" s="189" t="s">
        <v>163</v>
      </c>
      <c r="F733" s="179">
        <f ca="1">COUNTIFS(Paste_Report_Here!$E$1:$E$2000,E716, OFFSET(Paste_Report_Here!$A$1,0,$A733,2000,1),F$75)</f>
        <v>1</v>
      </c>
      <c r="G733" s="180">
        <f ca="1">COUNTIFS(Paste_Report_Here!$E$1:$E$2000,E716, OFFSET(Paste_Report_Here!$A$1,0,$A733,2000,1),G$75)</f>
        <v>2</v>
      </c>
      <c r="H733" s="180">
        <f ca="1">COUNTIFS(Paste_Report_Here!$E$1:$E$2000,E716, OFFSET(Paste_Report_Here!$A$1,0,$A733,2000,1),H$75)</f>
        <v>27</v>
      </c>
      <c r="I733" s="180">
        <f ca="1">COUNTIFS(Paste_Report_Here!$E$1:$E$2000,E716, OFFSET(Paste_Report_Here!$A$1,0,$A733,2000,1),I$75)</f>
        <v>3</v>
      </c>
      <c r="J733" s="180">
        <f ca="1">COUNTIFS(Paste_Report_Here!$E$1:$E$2000,E716, OFFSET(Paste_Report_Here!$A$1,0,$A733,2000,1),J$75)</f>
        <v>0</v>
      </c>
      <c r="K733" s="181">
        <f ca="1">COUNTIFS(Paste_Report_Here!$E$1:$E$2000,E716, OFFSET(Paste_Report_Here!$A$1,0,$A733,2000,1),K$75)</f>
        <v>0</v>
      </c>
      <c r="L733" s="166">
        <f t="shared" ca="1" si="107"/>
        <v>33</v>
      </c>
      <c r="M733" s="183">
        <f ca="1">SUMPRODUCT(F733:K733,F720:K720)/L:L</f>
        <v>-6.0606060606060606E-3</v>
      </c>
      <c r="N733" s="166">
        <f t="shared" ca="1" si="108"/>
        <v>0.99395772236648638</v>
      </c>
      <c r="O733" s="165">
        <f t="shared" ca="1" si="110"/>
        <v>1187.6702607416908</v>
      </c>
      <c r="P733" s="165">
        <f t="shared" ca="1" si="109"/>
        <v>1180.494027289222</v>
      </c>
    </row>
    <row r="734" spans="1:16" s="165" customFormat="1" x14ac:dyDescent="0.3">
      <c r="A734" s="165">
        <f>MATCH(Calcs!B734,Paste_Report_Here!$1:$1,0) -1</f>
        <v>17</v>
      </c>
      <c r="B734" s="165" t="s">
        <v>135</v>
      </c>
      <c r="C734" s="166">
        <f ca="1">RANK(N734,N722:N746)</f>
        <v>3</v>
      </c>
      <c r="D734" s="166">
        <f ca="1">RANK(P734,P722:P746)</f>
        <v>20</v>
      </c>
      <c r="E734" s="189" t="s">
        <v>164</v>
      </c>
      <c r="F734" s="179">
        <f ca="1">COUNTIFS(Paste_Report_Here!$E$1:$E$2000,E716, OFFSET(Paste_Report_Here!$A$1,0,$A734,2000,1),F$75)</f>
        <v>0</v>
      </c>
      <c r="G734" s="180">
        <f ca="1">COUNTIFS(Paste_Report_Here!$E$1:$E$2000,E716, OFFSET(Paste_Report_Here!$A$1,0,$A734,2000,1),G$75)</f>
        <v>3</v>
      </c>
      <c r="H734" s="180">
        <f ca="1">COUNTIFS(Paste_Report_Here!$E$1:$E$2000,E716, OFFSET(Paste_Report_Here!$A$1,0,$A734,2000,1),H$75)</f>
        <v>23</v>
      </c>
      <c r="I734" s="180">
        <f ca="1">COUNTIFS(Paste_Report_Here!$E$1:$E$2000,E716, OFFSET(Paste_Report_Here!$A$1,0,$A734,2000,1),I$75)</f>
        <v>6</v>
      </c>
      <c r="J734" s="180">
        <f ca="1">COUNTIFS(Paste_Report_Here!$E$1:$E$2000,E716, OFFSET(Paste_Report_Here!$A$1,0,$A734,2000,1),J$75)</f>
        <v>1</v>
      </c>
      <c r="K734" s="181">
        <f ca="1">COUNTIFS(Paste_Report_Here!$E$1:$E$2000,E716, OFFSET(Paste_Report_Here!$A$1,0,$A734,2000,1),K$75)</f>
        <v>0</v>
      </c>
      <c r="L734" s="166">
        <f t="shared" ca="1" si="107"/>
        <v>33</v>
      </c>
      <c r="M734" s="183">
        <f ca="1">SUMPRODUCT(F734:K734,F720:K720)/L:L</f>
        <v>6.0606060606060606E-3</v>
      </c>
      <c r="N734" s="166">
        <f t="shared" ca="1" si="108"/>
        <v>1.0060790086917657</v>
      </c>
      <c r="O734" s="165">
        <f t="shared" ca="1" si="110"/>
        <v>1854.5076665529878</v>
      </c>
      <c r="P734" s="165">
        <f t="shared" ca="1" si="109"/>
        <v>1865.7812347769095</v>
      </c>
    </row>
    <row r="735" spans="1:16" s="165" customFormat="1" x14ac:dyDescent="0.3">
      <c r="A735" s="165">
        <f>MATCH(Calcs!B735,Paste_Report_Here!$1:$1,0) -1</f>
        <v>18</v>
      </c>
      <c r="B735" s="165" t="s">
        <v>136</v>
      </c>
      <c r="C735" s="166">
        <f ca="1">RANK(N735,N722:N746)</f>
        <v>2</v>
      </c>
      <c r="D735" s="166">
        <f ca="1">RANK(P735,P722:P746)</f>
        <v>4</v>
      </c>
      <c r="E735" s="189" t="s">
        <v>165</v>
      </c>
      <c r="F735" s="179">
        <f ca="1">COUNTIFS(Paste_Report_Here!$E$1:$E$2000,E716, OFFSET(Paste_Report_Here!$A$1,0,$A735,2000,1),F$75)</f>
        <v>0</v>
      </c>
      <c r="G735" s="180">
        <f ca="1">COUNTIFS(Paste_Report_Here!$E$1:$E$2000,E716, OFFSET(Paste_Report_Here!$A$1,0,$A735,2000,1),G$75)</f>
        <v>5</v>
      </c>
      <c r="H735" s="180">
        <f ca="1">COUNTIFS(Paste_Report_Here!$E$1:$E$2000,E716, OFFSET(Paste_Report_Here!$A$1,0,$A735,2000,1),H$75)</f>
        <v>22</v>
      </c>
      <c r="I735" s="180">
        <f ca="1">COUNTIFS(Paste_Report_Here!$E$1:$E$2000,E716, OFFSET(Paste_Report_Here!$A$1,0,$A735,2000,1),I$75)</f>
        <v>4</v>
      </c>
      <c r="J735" s="180">
        <f ca="1">COUNTIFS(Paste_Report_Here!$E$1:$E$2000,E716, OFFSET(Paste_Report_Here!$A$1,0,$A735,2000,1),J$75)</f>
        <v>2</v>
      </c>
      <c r="K735" s="181">
        <f ca="1">COUNTIFS(Paste_Report_Here!$E$1:$E$2000,E716, OFFSET(Paste_Report_Here!$A$1,0,$A735,2000,1),K$75)</f>
        <v>0</v>
      </c>
      <c r="L735" s="166">
        <f t="shared" ca="1" si="107"/>
        <v>33</v>
      </c>
      <c r="M735" s="183">
        <f ca="1">SUMPRODUCT(F735:K735,F720:K720)/L:L</f>
        <v>1.2121212121212121E-2</v>
      </c>
      <c r="N735" s="166">
        <f t="shared" ca="1" si="108"/>
        <v>1.0121949717302061</v>
      </c>
      <c r="O735" s="165">
        <f t="shared" ca="1" si="110"/>
        <v>3761.5597968973993</v>
      </c>
      <c r="P735" s="165">
        <f t="shared" ca="1" si="109"/>
        <v>3807.431912282043</v>
      </c>
    </row>
    <row r="736" spans="1:16" s="165" customFormat="1" x14ac:dyDescent="0.3">
      <c r="A736" s="165">
        <f>MATCH(Calcs!B736,Paste_Report_Here!$1:$1,0) -1</f>
        <v>19</v>
      </c>
      <c r="B736" s="165" t="s">
        <v>137</v>
      </c>
      <c r="C736" s="166">
        <f ca="1">RANK(N736,N722:N746)</f>
        <v>12</v>
      </c>
      <c r="D736" s="166">
        <f ca="1">RANK(P736,P722:P746)</f>
        <v>15</v>
      </c>
      <c r="E736" s="189" t="s">
        <v>166</v>
      </c>
      <c r="F736" s="179">
        <f ca="1">COUNTIFS(Paste_Report_Here!$E$1:$E$2000,E716, OFFSET(Paste_Report_Here!$A$1,0,$A736,2000,1),F$75)</f>
        <v>0</v>
      </c>
      <c r="G736" s="180">
        <f ca="1">COUNTIFS(Paste_Report_Here!$E$1:$E$2000,E716, OFFSET(Paste_Report_Here!$A$1,0,$A736,2000,1),G$75)</f>
        <v>2</v>
      </c>
      <c r="H736" s="180">
        <f ca="1">COUNTIFS(Paste_Report_Here!$E$1:$E$2000,E716, OFFSET(Paste_Report_Here!$A$1,0,$A736,2000,1),H$75)</f>
        <v>24</v>
      </c>
      <c r="I736" s="180">
        <f ca="1">COUNTIFS(Paste_Report_Here!$E$1:$E$2000,E716, OFFSET(Paste_Report_Here!$A$1,0,$A736,2000,1),I$75)</f>
        <v>7</v>
      </c>
      <c r="J736" s="180">
        <f ca="1">COUNTIFS(Paste_Report_Here!$E$1:$E$2000,E716, OFFSET(Paste_Report_Here!$A$1,0,$A736,2000,1),J$75)</f>
        <v>0</v>
      </c>
      <c r="K736" s="181">
        <f ca="1">COUNTIFS(Paste_Report_Here!$E$1:$E$2000,E716, OFFSET(Paste_Report_Here!$A$1,0,$A736,2000,1),K$75)</f>
        <v>0</v>
      </c>
      <c r="L736" s="166">
        <f t="shared" ca="1" si="107"/>
        <v>33</v>
      </c>
      <c r="M736" s="183">
        <f ca="1">SUMPRODUCT(F736:K736,F720:K720)/L:L</f>
        <v>0</v>
      </c>
      <c r="N736" s="166">
        <f t="shared" ca="1" si="108"/>
        <v>1</v>
      </c>
      <c r="O736" s="165">
        <f t="shared" ca="1" si="110"/>
        <v>2109.8523026603502</v>
      </c>
      <c r="P736" s="165">
        <f t="shared" ca="1" si="109"/>
        <v>2109.8523026603502</v>
      </c>
    </row>
    <row r="737" spans="1:16" s="165" customFormat="1" x14ac:dyDescent="0.3">
      <c r="A737" s="165">
        <f>MATCH(Calcs!B737,Paste_Report_Here!$1:$1,0) -1</f>
        <v>20</v>
      </c>
      <c r="B737" s="165" t="s">
        <v>138</v>
      </c>
      <c r="C737" s="166">
        <f ca="1">RANK(N737,N723:N747)</f>
        <v>13</v>
      </c>
      <c r="D737" s="166">
        <f ca="1">RANK(P737,P722:P746)</f>
        <v>19</v>
      </c>
      <c r="E737" s="189" t="s">
        <v>167</v>
      </c>
      <c r="F737" s="179">
        <f ca="1">COUNTIFS(Paste_Report_Here!$E$1:$E$2000,E716, OFFSET(Paste_Report_Here!$A$1,0,$A737,2000,1),F$75)</f>
        <v>0</v>
      </c>
      <c r="G737" s="180">
        <f ca="1">COUNTIFS(Paste_Report_Here!$E$1:$E$2000,E716, OFFSET(Paste_Report_Here!$A$1,0,$A737,2000,1),G$75)</f>
        <v>1</v>
      </c>
      <c r="H737" s="180">
        <f ca="1">COUNTIFS(Paste_Report_Here!$E$1:$E$2000,E716, OFFSET(Paste_Report_Here!$A$1,0,$A737,2000,1),H$75)</f>
        <v>20</v>
      </c>
      <c r="I737" s="180">
        <f ca="1">COUNTIFS(Paste_Report_Here!$E$1:$E$2000,E716, OFFSET(Paste_Report_Here!$A$1,0,$A737,2000,1),I$75)</f>
        <v>12</v>
      </c>
      <c r="J737" s="180">
        <f ca="1">COUNTIFS(Paste_Report_Here!$E$1:$E$2000,E716, OFFSET(Paste_Report_Here!$A$1,0,$A737,2000,1),J$75)</f>
        <v>0</v>
      </c>
      <c r="K737" s="181">
        <f ca="1">COUNTIFS(Paste_Report_Here!$E$1:$E$2000,E716, OFFSET(Paste_Report_Here!$A$1,0,$A737,2000,1),K$75)</f>
        <v>0</v>
      </c>
      <c r="L737" s="166">
        <f t="shared" ca="1" si="107"/>
        <v>33</v>
      </c>
      <c r="M737" s="183">
        <f ca="1">SUMPRODUCT(F737:K737,F720:K720)/L:L</f>
        <v>0</v>
      </c>
      <c r="N737" s="166">
        <f t="shared" ca="1" si="108"/>
        <v>1</v>
      </c>
      <c r="O737" s="165">
        <f t="shared" ca="1" si="110"/>
        <v>2021.0621988216167</v>
      </c>
      <c r="P737" s="165">
        <f t="shared" ca="1" si="109"/>
        <v>2021.0621988216167</v>
      </c>
    </row>
    <row r="738" spans="1:16" s="165" customFormat="1" x14ac:dyDescent="0.3">
      <c r="A738" s="165">
        <f>MATCH(Calcs!B738,Paste_Report_Here!$1:$1,0) -1</f>
        <v>21</v>
      </c>
      <c r="B738" s="165" t="s">
        <v>139</v>
      </c>
      <c r="C738" s="166">
        <f ca="1">RANK(N738,N722:N746)</f>
        <v>12</v>
      </c>
      <c r="D738" s="166">
        <f ca="1">RANK(P738,P722:P746)</f>
        <v>14</v>
      </c>
      <c r="E738" s="189" t="s">
        <v>168</v>
      </c>
      <c r="F738" s="179">
        <f ca="1">COUNTIFS(Paste_Report_Here!$E$1:$E$2000,E716, OFFSET(Paste_Report_Here!$A$1,0,$A738,2000,1),F$75)</f>
        <v>0</v>
      </c>
      <c r="G738" s="180">
        <f ca="1">COUNTIFS(Paste_Report_Here!$E$1:$E$2000,E716, OFFSET(Paste_Report_Here!$A$1,0,$A738,2000,1),G$75)</f>
        <v>2</v>
      </c>
      <c r="H738" s="180">
        <f ca="1">COUNTIFS(Paste_Report_Here!$E$1:$E$2000,E716, OFFSET(Paste_Report_Here!$A$1,0,$A738,2000,1),H$75)</f>
        <v>26</v>
      </c>
      <c r="I738" s="180">
        <f ca="1">COUNTIFS(Paste_Report_Here!$E$1:$E$2000,E716, OFFSET(Paste_Report_Here!$A$1,0,$A738,2000,1),I$75)</f>
        <v>5</v>
      </c>
      <c r="J738" s="180">
        <f ca="1">COUNTIFS(Paste_Report_Here!$E$1:$E$2000,E716, OFFSET(Paste_Report_Here!$A$1,0,$A738,2000,1),J$75)</f>
        <v>0</v>
      </c>
      <c r="K738" s="181">
        <f ca="1">COUNTIFS(Paste_Report_Here!$E$1:$E$2000,E716, OFFSET(Paste_Report_Here!$A$1,0,$A738,2000,1),K$75)</f>
        <v>0</v>
      </c>
      <c r="L738" s="166">
        <f t="shared" ca="1" si="107"/>
        <v>33</v>
      </c>
      <c r="M738" s="183">
        <f ca="1">SUMPRODUCT(F738:K738,F720:K720)/L:L</f>
        <v>0</v>
      </c>
      <c r="N738" s="166">
        <f t="shared" ca="1" si="108"/>
        <v>1</v>
      </c>
      <c r="O738" s="165">
        <f t="shared" ca="1" si="110"/>
        <v>2116.7880154710142</v>
      </c>
      <c r="P738" s="165">
        <f t="shared" ca="1" si="109"/>
        <v>2116.7880154710142</v>
      </c>
    </row>
    <row r="739" spans="1:16" s="165" customFormat="1" x14ac:dyDescent="0.3">
      <c r="A739" s="165">
        <f>MATCH(Calcs!B739,Paste_Report_Here!$1:$1,0) -1</f>
        <v>22</v>
      </c>
      <c r="B739" s="165" t="s">
        <v>140</v>
      </c>
      <c r="C739" s="166">
        <f ca="1">RANK(N739,N722:N746)</f>
        <v>3</v>
      </c>
      <c r="D739" s="166">
        <f ca="1">RANK(P739,P722:P746)</f>
        <v>17</v>
      </c>
      <c r="E739" s="189" t="s">
        <v>169</v>
      </c>
      <c r="F739" s="179">
        <f ca="1">COUNTIFS(Paste_Report_Here!$E$1:$E$2000,E716, OFFSET(Paste_Report_Here!$A$1,0,$A739,2000,1),F$75)</f>
        <v>0</v>
      </c>
      <c r="G739" s="180">
        <f ca="1">COUNTIFS(Paste_Report_Here!$E$1:$E$2000,E716, OFFSET(Paste_Report_Here!$A$1,0,$A739,2000,1),G$75)</f>
        <v>3</v>
      </c>
      <c r="H739" s="180">
        <f ca="1">COUNTIFS(Paste_Report_Here!$E$1:$E$2000,E716, OFFSET(Paste_Report_Here!$A$1,0,$A739,2000,1),H$75)</f>
        <v>23</v>
      </c>
      <c r="I739" s="180">
        <f ca="1">COUNTIFS(Paste_Report_Here!$E$1:$E$2000,E716, OFFSET(Paste_Report_Here!$A$1,0,$A739,2000,1),I$75)</f>
        <v>6</v>
      </c>
      <c r="J739" s="180">
        <f ca="1">COUNTIFS(Paste_Report_Here!$E$1:$E$2000,E716, OFFSET(Paste_Report_Here!$A$1,0,$A739,2000,1),J$75)</f>
        <v>1</v>
      </c>
      <c r="K739" s="181">
        <f ca="1">COUNTIFS(Paste_Report_Here!$E$1:$E$2000,E716, OFFSET(Paste_Report_Here!$A$1,0,$A739,2000,1),K$75)</f>
        <v>0</v>
      </c>
      <c r="L739" s="166">
        <f t="shared" ca="1" si="107"/>
        <v>33</v>
      </c>
      <c r="M739" s="183">
        <f ca="1">SUMPRODUCT(F739:K739,F720:K720)/L:L</f>
        <v>6.0606060606060606E-3</v>
      </c>
      <c r="N739" s="166">
        <f t="shared" ca="1" si="108"/>
        <v>1.0060790086917657</v>
      </c>
      <c r="O739" s="165">
        <f t="shared" ca="1" si="110"/>
        <v>2064.0927075546906</v>
      </c>
      <c r="P739" s="165">
        <f t="shared" ca="1" si="109"/>
        <v>2076.6403450645257</v>
      </c>
    </row>
    <row r="740" spans="1:16" s="165" customFormat="1" x14ac:dyDescent="0.3">
      <c r="A740" s="165">
        <f>MATCH(Calcs!B740,Paste_Report_Here!$1:$1,0) -1</f>
        <v>23</v>
      </c>
      <c r="B740" s="165" t="s">
        <v>186</v>
      </c>
      <c r="C740" s="166">
        <f ca="1">RANK(N740,N722:N746)</f>
        <v>1</v>
      </c>
      <c r="D740" s="166">
        <f ca="1">RANK(P740,P722:P746)</f>
        <v>3</v>
      </c>
      <c r="E740" s="189" t="s">
        <v>180</v>
      </c>
      <c r="F740" s="179">
        <f ca="1">COUNTIFS(Paste_Report_Here!$E$1:$E$2000,E716, OFFSET(Paste_Report_Here!$A$1,0,$A740,2000,1),F$75)</f>
        <v>0</v>
      </c>
      <c r="G740" s="180">
        <f ca="1">COUNTIFS(Paste_Report_Here!$E$1:$E$2000,E716, OFFSET(Paste_Report_Here!$A$1,0,$A740,2000,1),G$75)</f>
        <v>1</v>
      </c>
      <c r="H740" s="180">
        <f ca="1">COUNTIFS(Paste_Report_Here!$E$1:$E$2000,E716, OFFSET(Paste_Report_Here!$A$1,0,$A740,2000,1),H$75)</f>
        <v>24</v>
      </c>
      <c r="I740" s="180">
        <f ca="1">COUNTIFS(Paste_Report_Here!$E$1:$E$2000,E716, OFFSET(Paste_Report_Here!$A$1,0,$A740,2000,1),I$75)</f>
        <v>5</v>
      </c>
      <c r="J740" s="180">
        <f ca="1">COUNTIFS(Paste_Report_Here!$E$1:$E$2000,E716, OFFSET(Paste_Report_Here!$A$1,0,$A740,2000,1),J$75)</f>
        <v>3</v>
      </c>
      <c r="K740" s="181">
        <f ca="1">COUNTIFS(Paste_Report_Here!$E$1:$E$2000,E716, OFFSET(Paste_Report_Here!$A$1,0,$A740,2000,1),K$75)</f>
        <v>0</v>
      </c>
      <c r="L740" s="166">
        <f t="shared" ca="1" si="107"/>
        <v>33</v>
      </c>
      <c r="M740" s="183">
        <f ca="1">SUMPRODUCT(F740:K740,F720:K720)/L:L</f>
        <v>1.8181818181818184E-2</v>
      </c>
      <c r="N740" s="166">
        <f t="shared" ca="1" si="108"/>
        <v>1.0183481137611157</v>
      </c>
      <c r="O740" s="165">
        <f t="shared" ca="1" si="110"/>
        <v>3865.6126054321553</v>
      </c>
      <c r="P740" s="165">
        <f t="shared" ca="1" si="109"/>
        <v>3936.5393052730274</v>
      </c>
    </row>
    <row r="741" spans="1:16" s="165" customFormat="1" x14ac:dyDescent="0.3">
      <c r="A741" s="165">
        <f>MATCH(Calcs!B741,Paste_Report_Here!$1:$1,0) -1</f>
        <v>24</v>
      </c>
      <c r="B741" s="165" t="s">
        <v>209</v>
      </c>
      <c r="C741" s="166">
        <f ca="1">RANK(N741,N722:N746)</f>
        <v>3</v>
      </c>
      <c r="D741" s="166">
        <f ca="1">RANK(P741,P722:P746)</f>
        <v>23</v>
      </c>
      <c r="E741" s="202" t="s">
        <v>211</v>
      </c>
      <c r="F741" s="179">
        <f ca="1">COUNTIFS(Paste_Report_Here!$E$1:$E$2000,E716, OFFSET(Paste_Report_Here!$A$1,0,$A741,2000,1),F$75)</f>
        <v>0</v>
      </c>
      <c r="G741" s="180">
        <f ca="1">COUNTIFS(Paste_Report_Here!$E$1:$E$2000,E716, OFFSET(Paste_Report_Here!$A$1,0,$A741,2000,1),G$75)</f>
        <v>1</v>
      </c>
      <c r="H741" s="180">
        <f ca="1">COUNTIFS(Paste_Report_Here!$E$1:$E$2000,E716, OFFSET(Paste_Report_Here!$A$1,0,$A741,2000,1),H$75)</f>
        <v>24</v>
      </c>
      <c r="I741" s="180">
        <f ca="1">COUNTIFS(Paste_Report_Here!$E$1:$E$2000,E716, OFFSET(Paste_Report_Here!$A$1,0,$A741,2000,1),I$75)</f>
        <v>6</v>
      </c>
      <c r="J741" s="180">
        <f ca="1">COUNTIFS(Paste_Report_Here!$E$1:$E$2000,E716, OFFSET(Paste_Report_Here!$A$1,0,$A741,2000,1),J$75)</f>
        <v>1</v>
      </c>
      <c r="K741" s="181">
        <f ca="1">COUNTIFS(Paste_Report_Here!$E$1:$E$2000,E716, OFFSET(Paste_Report_Here!$A$1,0,$A741,2000,1),K$75)</f>
        <v>1</v>
      </c>
      <c r="L741" s="166">
        <f t="shared" ca="1" si="107"/>
        <v>33</v>
      </c>
      <c r="M741" s="183">
        <f ca="1">SUMPRODUCT(F741:K741,F720:K720)/L:L</f>
        <v>6.0606060606060606E-3</v>
      </c>
      <c r="N741" s="166">
        <f t="shared" ca="1" si="108"/>
        <v>1.0060790086917657</v>
      </c>
      <c r="O741" s="165">
        <f t="shared" ca="1" si="110"/>
        <v>1180.0265503753844</v>
      </c>
      <c r="P741" s="165">
        <f t="shared" ca="1" si="109"/>
        <v>1187.1999420316306</v>
      </c>
    </row>
    <row r="742" spans="1:16" s="165" customFormat="1" x14ac:dyDescent="0.3">
      <c r="A742" s="165">
        <f>MATCH(Calcs!B742,Paste_Report_Here!$1:$1,0) -1</f>
        <v>25</v>
      </c>
      <c r="B742" s="165" t="s">
        <v>141</v>
      </c>
      <c r="C742" s="166">
        <f ca="1">RANK(N742,N722:N746)</f>
        <v>12</v>
      </c>
      <c r="D742" s="166">
        <f ca="1">RANK(P742,P722:P746)</f>
        <v>22</v>
      </c>
      <c r="E742" s="189" t="s">
        <v>170</v>
      </c>
      <c r="F742" s="179">
        <f ca="1">COUNTIFS(Paste_Report_Here!$E$1:$E$2000,E716, OFFSET(Paste_Report_Here!$A$1,0,$A742,2000,1),F$75)</f>
        <v>0</v>
      </c>
      <c r="G742" s="180">
        <f ca="1">COUNTIFS(Paste_Report_Here!$E$1:$E$2000,E716, OFFSET(Paste_Report_Here!$A$1,0,$A742,2000,1),G$75)</f>
        <v>5</v>
      </c>
      <c r="H742" s="180">
        <f ca="1">COUNTIFS(Paste_Report_Here!$E$1:$E$2000,E716, OFFSET(Paste_Report_Here!$A$1,0,$A742,2000,1),H$75)</f>
        <v>24</v>
      </c>
      <c r="I742" s="180">
        <f ca="1">COUNTIFS(Paste_Report_Here!$E$1:$E$2000,E716, OFFSET(Paste_Report_Here!$A$1,0,$A742,2000,1),I$75)</f>
        <v>4</v>
      </c>
      <c r="J742" s="180">
        <f ca="1">COUNTIFS(Paste_Report_Here!$E$1:$E$2000,E716, OFFSET(Paste_Report_Here!$A$1,0,$A742,2000,1),J$75)</f>
        <v>0</v>
      </c>
      <c r="K742" s="181">
        <f ca="1">COUNTIFS(Paste_Report_Here!$E$1:$E$2000,E716, OFFSET(Paste_Report_Here!$A$1,0,$A742,2000,1),K$75)</f>
        <v>0</v>
      </c>
      <c r="L742" s="166">
        <f t="shared" ca="1" si="107"/>
        <v>33</v>
      </c>
      <c r="M742" s="183">
        <f ca="1">SUMPRODUCT(F742:K742,F720:K720)/L:L</f>
        <v>0</v>
      </c>
      <c r="N742" s="166">
        <f t="shared" ca="1" si="108"/>
        <v>1</v>
      </c>
      <c r="O742" s="165">
        <f t="shared" ca="1" si="110"/>
        <v>1396.0975984399638</v>
      </c>
      <c r="P742" s="165">
        <f t="shared" ca="1" si="109"/>
        <v>1396.0975984399638</v>
      </c>
    </row>
    <row r="743" spans="1:16" s="165" customFormat="1" x14ac:dyDescent="0.3">
      <c r="A743" s="165">
        <f>MATCH(Calcs!B743,Paste_Report_Here!$1:$1,0) -1</f>
        <v>26</v>
      </c>
      <c r="B743" s="165" t="s">
        <v>142</v>
      </c>
      <c r="C743" s="166">
        <f ca="1">RANK(N743,N722:N746)</f>
        <v>12</v>
      </c>
      <c r="D743" s="166">
        <f ca="1">RANK(P743,P722:P746)</f>
        <v>11</v>
      </c>
      <c r="E743" s="189" t="s">
        <v>171</v>
      </c>
      <c r="F743" s="179">
        <f ca="1">COUNTIFS(Paste_Report_Here!$E$1:$E$2000,E716, OFFSET(Paste_Report_Here!$A$1,0,$A743,2000,1),F$75)</f>
        <v>0</v>
      </c>
      <c r="G743" s="180">
        <f ca="1">COUNTIFS(Paste_Report_Here!$E$1:$E$2000,E716, OFFSET(Paste_Report_Here!$A$1,0,$A743,2000,1),G$75)</f>
        <v>3</v>
      </c>
      <c r="H743" s="180">
        <f ca="1">COUNTIFS(Paste_Report_Here!$E$1:$E$2000,E716, OFFSET(Paste_Report_Here!$A$1,0,$A743,2000,1),H$75)</f>
        <v>26</v>
      </c>
      <c r="I743" s="180">
        <f ca="1">COUNTIFS(Paste_Report_Here!$E$1:$E$2000,E716, OFFSET(Paste_Report_Here!$A$1,0,$A743,2000,1),I$75)</f>
        <v>4</v>
      </c>
      <c r="J743" s="180">
        <f ca="1">COUNTIFS(Paste_Report_Here!$E$1:$E$2000,E716, OFFSET(Paste_Report_Here!$A$1,0,$A743,2000,1),J$75)</f>
        <v>0</v>
      </c>
      <c r="K743" s="181">
        <f ca="1">COUNTIFS(Paste_Report_Here!$E$1:$E$2000,E716, OFFSET(Paste_Report_Here!$A$1,0,$A743,2000,1),K$75)</f>
        <v>0</v>
      </c>
      <c r="L743" s="166">
        <f t="shared" ca="1" si="107"/>
        <v>33</v>
      </c>
      <c r="M743" s="183">
        <f ca="1">SUMPRODUCT(F743:K743,F720:K720)/L:L</f>
        <v>0</v>
      </c>
      <c r="N743" s="166">
        <f t="shared" ca="1" si="108"/>
        <v>1</v>
      </c>
      <c r="O743" s="165">
        <f t="shared" ca="1" si="110"/>
        <v>2290.123079681935</v>
      </c>
      <c r="P743" s="165">
        <f t="shared" ca="1" si="109"/>
        <v>2290.123079681935</v>
      </c>
    </row>
    <row r="744" spans="1:16" s="165" customFormat="1" x14ac:dyDescent="0.3">
      <c r="A744" s="165">
        <f>MATCH(Calcs!B744,Paste_Report_Here!$1:$1,0) -1</f>
        <v>27</v>
      </c>
      <c r="B744" s="165" t="s">
        <v>210</v>
      </c>
      <c r="C744" s="166">
        <f ca="1">RANK(N744,N722:N746)</f>
        <v>3</v>
      </c>
      <c r="D744" s="166">
        <f ca="1">RANK(P744,P722:P746)</f>
        <v>25</v>
      </c>
      <c r="E744" s="202" t="s">
        <v>212</v>
      </c>
      <c r="F744" s="179">
        <f ca="1">COUNTIFS(Paste_Report_Here!$E$1:$E$2000,E716, OFFSET(Paste_Report_Here!$A$1,0,$A744,2000,1),F$75)</f>
        <v>0</v>
      </c>
      <c r="G744" s="180">
        <f ca="1">COUNTIFS(Paste_Report_Here!$E$1:$E$2000,E716, OFFSET(Paste_Report_Here!$A$1,0,$A744,2000,1),G$75)</f>
        <v>0</v>
      </c>
      <c r="H744" s="180">
        <f ca="1">COUNTIFS(Paste_Report_Here!$E$1:$E$2000,E716, OFFSET(Paste_Report_Here!$A$1,0,$A744,2000,1),H$75)</f>
        <v>27</v>
      </c>
      <c r="I744" s="180">
        <f ca="1">COUNTIFS(Paste_Report_Here!$E$1:$E$2000,E716, OFFSET(Paste_Report_Here!$A$1,0,$A744,2000,1),I$75)</f>
        <v>5</v>
      </c>
      <c r="J744" s="180">
        <f ca="1">COUNTIFS(Paste_Report_Here!$E$1:$E$2000,E716, OFFSET(Paste_Report_Here!$A$1,0,$A744,2000,1),J$75)</f>
        <v>1</v>
      </c>
      <c r="K744" s="181">
        <f ca="1">COUNTIFS(Paste_Report_Here!$E$1:$E$2000,E716, OFFSET(Paste_Report_Here!$A$1,0,$A744,2000,1),K$75)</f>
        <v>0</v>
      </c>
      <c r="L744" s="166">
        <f t="shared" ca="1" si="107"/>
        <v>33</v>
      </c>
      <c r="M744" s="183">
        <f ca="1">SUMPRODUCT(F744:K744,F720:K720)/L:L</f>
        <v>6.0606060606060606E-3</v>
      </c>
      <c r="N744" s="166">
        <f t="shared" ca="1" si="108"/>
        <v>1.0060790086917657</v>
      </c>
      <c r="O744" s="165">
        <f t="shared" ca="1" si="110"/>
        <v>1138.0832807918787</v>
      </c>
      <c r="P744" s="165">
        <f t="shared" ca="1" si="109"/>
        <v>1145.0016989477658</v>
      </c>
    </row>
    <row r="745" spans="1:16" s="165" customFormat="1" x14ac:dyDescent="0.3">
      <c r="A745" s="165">
        <f>MATCH(Calcs!B745,Paste_Report_Here!$1:$1,0) -1</f>
        <v>28</v>
      </c>
      <c r="B745" s="165" t="s">
        <v>143</v>
      </c>
      <c r="C745" s="166">
        <f ca="1">RANK(N745,N723:N747)</f>
        <v>3</v>
      </c>
      <c r="D745" s="166">
        <f ca="1">RANK(P745,P722:P746)</f>
        <v>1</v>
      </c>
      <c r="E745" s="189" t="s">
        <v>172</v>
      </c>
      <c r="F745" s="179">
        <f ca="1">COUNTIFS(Paste_Report_Here!$E$1:$E$2000,E716, OFFSET(Paste_Report_Here!$A$1,0,$A745,2000,1),F$75)</f>
        <v>0</v>
      </c>
      <c r="G745" s="180">
        <f ca="1">COUNTIFS(Paste_Report_Here!$E$1:$E$2000,E716, OFFSET(Paste_Report_Here!$A$1,0,$A745,2000,1),G$75)</f>
        <v>1</v>
      </c>
      <c r="H745" s="180">
        <f ca="1">COUNTIFS(Paste_Report_Here!$E$1:$E$2000,E716, OFFSET(Paste_Report_Here!$A$1,0,$A745,2000,1),H$75)</f>
        <v>21</v>
      </c>
      <c r="I745" s="180">
        <f ca="1">COUNTIFS(Paste_Report_Here!$E$1:$E$2000,E716, OFFSET(Paste_Report_Here!$A$1,0,$A745,2000,1),I$75)</f>
        <v>10</v>
      </c>
      <c r="J745" s="180">
        <f ca="1">COUNTIFS(Paste_Report_Here!$E$1:$E$2000,E716, OFFSET(Paste_Report_Here!$A$1,0,$A745,2000,1),J$75)</f>
        <v>1</v>
      </c>
      <c r="K745" s="181">
        <f ca="1">COUNTIFS(Paste_Report_Here!$E$1:$E$2000,E716, OFFSET(Paste_Report_Here!$A$1,0,$A745,2000,1),K$75)</f>
        <v>0</v>
      </c>
      <c r="L745" s="166">
        <f t="shared" ca="1" si="107"/>
        <v>33</v>
      </c>
      <c r="M745" s="183">
        <f ca="1">SUMPRODUCT(F745:K745,F720:K720)/L:L</f>
        <v>6.0606060606060606E-3</v>
      </c>
      <c r="N745" s="166">
        <f t="shared" ca="1" si="108"/>
        <v>1.0060790086917657</v>
      </c>
      <c r="O745" s="165">
        <f t="shared" ca="1" si="110"/>
        <v>7934.1690476213171</v>
      </c>
      <c r="P745" s="165">
        <f t="shared" ca="1" si="109"/>
        <v>7982.4009302237455</v>
      </c>
    </row>
    <row r="746" spans="1:16" s="165" customFormat="1" x14ac:dyDescent="0.3">
      <c r="A746" s="165">
        <f>MATCH(Calcs!B746,Paste_Report_Here!$1:$1,0) -1</f>
        <v>29</v>
      </c>
      <c r="B746" s="187" t="s">
        <v>144</v>
      </c>
      <c r="C746" s="147">
        <f ca="1">RANK(N746,N722:N746)</f>
        <v>12</v>
      </c>
      <c r="D746" s="147">
        <f ca="1">RANK(P746,P722:P746)</f>
        <v>12</v>
      </c>
      <c r="E746" s="145" t="s">
        <v>173</v>
      </c>
      <c r="F746" s="146">
        <f ca="1">COUNTIFS(Paste_Report_Here!$E$1:$E$2000,E716, OFFSET(Paste_Report_Here!$A$1,0,$A746,2000,1),F$75)</f>
        <v>0</v>
      </c>
      <c r="G746" s="147">
        <f ca="1">COUNTIFS(Paste_Report_Here!$E$1:$E$2000,E716, OFFSET(Paste_Report_Here!$A$1,0,$A746,2000,1),G$75)</f>
        <v>1</v>
      </c>
      <c r="H746" s="147">
        <f ca="1">COUNTIFS(Paste_Report_Here!$E$1:$E$2000,E716, OFFSET(Paste_Report_Here!$A$1,0,$A746,2000,1),H$75)</f>
        <v>26</v>
      </c>
      <c r="I746" s="147">
        <f ca="1">COUNTIFS(Paste_Report_Here!$E$1:$E$2000,E716, OFFSET(Paste_Report_Here!$A$1,0,$A746,2000,1),I$75)</f>
        <v>6</v>
      </c>
      <c r="J746" s="147">
        <f ca="1">COUNTIFS(Paste_Report_Here!$E$1:$E$2000,E716, OFFSET(Paste_Report_Here!$A$1,0,$A746,2000,1),J$75)</f>
        <v>0</v>
      </c>
      <c r="K746" s="148">
        <f ca="1">COUNTIFS(Paste_Report_Here!$E$1:$E$2000,E716, OFFSET(Paste_Report_Here!$A$1,0,$A746,2000,1),K$75)</f>
        <v>0</v>
      </c>
      <c r="L746" s="147">
        <f t="shared" ca="1" si="107"/>
        <v>33</v>
      </c>
      <c r="M746" s="149">
        <f ca="1">SUMPRODUCT(F746:K746,F720:K720)/L:L</f>
        <v>0</v>
      </c>
      <c r="N746" s="147">
        <f t="shared" ca="1" si="108"/>
        <v>1</v>
      </c>
      <c r="O746" s="187">
        <f t="shared" ca="1" si="110"/>
        <v>2287.6229277911043</v>
      </c>
      <c r="P746" s="165">
        <f t="shared" ca="1" si="109"/>
        <v>2287.6229277911043</v>
      </c>
    </row>
    <row r="747" spans="1:16" s="165" customFormat="1" x14ac:dyDescent="0.3">
      <c r="C747" s="166"/>
      <c r="E747" s="140" t="s">
        <v>293</v>
      </c>
      <c r="F747" s="180">
        <f ca="1">SUM(F722:F746)</f>
        <v>6</v>
      </c>
      <c r="G747" s="180">
        <f t="shared" ref="G747:L747" ca="1" si="111">SUM(G722:G746)</f>
        <v>62</v>
      </c>
      <c r="H747" s="180">
        <f t="shared" ca="1" si="111"/>
        <v>574</v>
      </c>
      <c r="I747" s="180">
        <f t="shared" ca="1" si="111"/>
        <v>164</v>
      </c>
      <c r="J747" s="180">
        <f t="shared" ca="1" si="111"/>
        <v>16</v>
      </c>
      <c r="K747" s="180">
        <f t="shared" ca="1" si="111"/>
        <v>3</v>
      </c>
      <c r="L747" s="180">
        <f t="shared" ca="1" si="111"/>
        <v>825</v>
      </c>
      <c r="M747" s="144">
        <f ca="1">SUMPRODUCT(F747:K747,F720:K720)/L747</f>
        <v>2.4242424242424242E-3</v>
      </c>
      <c r="N747" s="166">
        <f t="shared" ca="1" si="108"/>
        <v>1.0024271832758738</v>
      </c>
      <c r="O747" s="165">
        <f t="shared" ca="1" si="110"/>
        <v>2647.9280329994463</v>
      </c>
      <c r="P747" s="165">
        <f t="shared" ca="1" si="109"/>
        <v>2654.3550396368601</v>
      </c>
    </row>
    <row r="748" spans="1:16" s="165" customFormat="1" x14ac:dyDescent="0.3">
      <c r="A748" s="194"/>
      <c r="B748" s="194"/>
      <c r="C748" s="153"/>
      <c r="D748" s="194"/>
      <c r="E748" s="164"/>
      <c r="F748" s="151"/>
      <c r="G748" s="151"/>
      <c r="H748" s="151"/>
      <c r="I748" s="151"/>
      <c r="J748" s="151"/>
      <c r="K748" s="151"/>
      <c r="L748" s="151"/>
      <c r="M748" s="162"/>
      <c r="N748" s="153"/>
      <c r="O748" s="194"/>
      <c r="P748" s="194"/>
    </row>
    <row r="749" spans="1:16" s="165" customFormat="1" x14ac:dyDescent="0.3">
      <c r="E749" s="173" t="s">
        <v>292</v>
      </c>
    </row>
    <row r="750" spans="1:16" s="165" customFormat="1" x14ac:dyDescent="0.3">
      <c r="E750" s="141">
        <v>41212</v>
      </c>
    </row>
    <row r="751" spans="1:16" s="165" customFormat="1" ht="15" thickBot="1" x14ac:dyDescent="0.35"/>
    <row r="752" spans="1:16" s="165" customFormat="1" ht="24.6" thickBot="1" x14ac:dyDescent="0.35">
      <c r="F752" s="174" t="s">
        <v>23</v>
      </c>
      <c r="G752" s="168" t="s">
        <v>18</v>
      </c>
      <c r="H752" s="168" t="s">
        <v>16</v>
      </c>
      <c r="I752" s="168" t="s">
        <v>17</v>
      </c>
      <c r="J752" s="168" t="s">
        <v>19</v>
      </c>
      <c r="K752" s="169" t="s">
        <v>114</v>
      </c>
    </row>
    <row r="753" spans="1:16" s="165" customFormat="1" x14ac:dyDescent="0.3">
      <c r="F753" s="267" t="s">
        <v>201</v>
      </c>
      <c r="G753" s="268"/>
      <c r="H753" s="268"/>
      <c r="I753" s="268"/>
      <c r="J753" s="268"/>
      <c r="K753" s="169"/>
      <c r="M753" s="203">
        <f ca="1">(H781+K781)/L781</f>
        <v>0.6925</v>
      </c>
      <c r="N753" s="204" t="s">
        <v>501</v>
      </c>
    </row>
    <row r="754" spans="1:16" s="165" customFormat="1" ht="43.8" thickBot="1" x14ac:dyDescent="0.35">
      <c r="A754" s="142" t="s">
        <v>294</v>
      </c>
      <c r="B754" s="142" t="s">
        <v>295</v>
      </c>
      <c r="C754" s="197" t="s">
        <v>440</v>
      </c>
      <c r="D754" s="142" t="s">
        <v>441</v>
      </c>
      <c r="E754" s="171" t="s">
        <v>30</v>
      </c>
      <c r="F754" s="175">
        <f>Falling_fast</f>
        <v>-0.2</v>
      </c>
      <c r="G754" s="176">
        <f>Falling</f>
        <v>0</v>
      </c>
      <c r="H754" s="177">
        <f>Static</f>
        <v>0</v>
      </c>
      <c r="I754" s="176">
        <f>Rising</f>
        <v>0</v>
      </c>
      <c r="J754" s="178">
        <f>Rising_fast</f>
        <v>0.2</v>
      </c>
      <c r="K754" s="182">
        <v>0</v>
      </c>
      <c r="L754" s="171" t="s">
        <v>28</v>
      </c>
      <c r="M754" s="172" t="s">
        <v>29</v>
      </c>
      <c r="N754" s="143" t="s">
        <v>296</v>
      </c>
      <c r="O754" s="142" t="s">
        <v>297</v>
      </c>
      <c r="P754" s="142" t="s">
        <v>298</v>
      </c>
    </row>
    <row r="755" spans="1:16" s="165" customFormat="1" x14ac:dyDescent="0.3">
      <c r="C755" s="166"/>
      <c r="E755" s="192"/>
      <c r="F755" s="198" t="s">
        <v>151</v>
      </c>
      <c r="G755" s="199" t="s">
        <v>149</v>
      </c>
      <c r="H755" s="199" t="s">
        <v>16</v>
      </c>
      <c r="I755" s="199" t="s">
        <v>148</v>
      </c>
      <c r="J755" s="199" t="s">
        <v>150</v>
      </c>
      <c r="K755" s="200" t="s">
        <v>114</v>
      </c>
      <c r="L755" s="166"/>
      <c r="M755" s="170"/>
      <c r="N755" s="166"/>
    </row>
    <row r="756" spans="1:16" s="165" customFormat="1" x14ac:dyDescent="0.3">
      <c r="A756" s="165">
        <f>MATCH(Calcs!B756,Paste_Report_Here!$1:$1,0) -1</f>
        <v>5</v>
      </c>
      <c r="B756" s="165" t="s">
        <v>124</v>
      </c>
      <c r="C756" s="166">
        <f ca="1">RANK(N756,N756:N780)</f>
        <v>2</v>
      </c>
      <c r="D756" s="166">
        <f ca="1">RANK(P756,P756:P780)</f>
        <v>14</v>
      </c>
      <c r="E756" s="189" t="s">
        <v>152</v>
      </c>
      <c r="F756" s="179">
        <f ca="1">COUNTIFS(Paste_Report_Here!$E$1:$E$2000,E750, OFFSET(Paste_Report_Here!$A$1,0,$A756,2000,1),F$75)</f>
        <v>0</v>
      </c>
      <c r="G756" s="180">
        <f ca="1">COUNTIFS(Paste_Report_Here!$E$1:$E$2000,E750, OFFSET(Paste_Report_Here!$A$1,0,$A756,2000,1),G$75)</f>
        <v>1</v>
      </c>
      <c r="H756" s="180">
        <f ca="1">COUNTIFS(Paste_Report_Here!$E$1:$E$2000,E750, OFFSET(Paste_Report_Here!$A$1,0,$A756,2000,1),H$75)</f>
        <v>22</v>
      </c>
      <c r="I756" s="180">
        <f ca="1">COUNTIFS(Paste_Report_Here!$E$1:$E$2000,E750, OFFSET(Paste_Report_Here!$A$1,0,$A756,2000,1),I$75)</f>
        <v>6</v>
      </c>
      <c r="J756" s="180">
        <f ca="1">COUNTIFS(Paste_Report_Here!$E$1:$E$2000,E750, OFFSET(Paste_Report_Here!$A$1,0,$A756,2000,1),J$75)</f>
        <v>3</v>
      </c>
      <c r="K756" s="181">
        <f ca="1">COUNTIFS(Paste_Report_Here!$E$1:$E$2000,E750, OFFSET(Paste_Report_Here!$A$1,0,$A756,2000,1),K$75)</f>
        <v>0</v>
      </c>
      <c r="L756" s="166">
        <f t="shared" ref="L756:L780" ca="1" si="112">SUM(F756:K756)</f>
        <v>32</v>
      </c>
      <c r="M756" s="183">
        <f ca="1">SUMPRODUCT(F756:K756,F754:K754)/L:L</f>
        <v>1.8750000000000003E-2</v>
      </c>
      <c r="N756" s="166">
        <f t="shared" ref="N756:N781" ca="1" si="113">EXP(M756)</f>
        <v>1.0189268850520263</v>
      </c>
      <c r="O756" s="165">
        <f ca="1">P722</f>
        <v>2099.6682755463339</v>
      </c>
      <c r="P756" s="165">
        <f t="shared" ref="P756:P781" ca="1" si="114">O756*N756</f>
        <v>2139.4084556449857</v>
      </c>
    </row>
    <row r="757" spans="1:16" s="165" customFormat="1" x14ac:dyDescent="0.3">
      <c r="A757" s="165">
        <f>MATCH(Calcs!B757,Paste_Report_Here!$1:$1,0) -1</f>
        <v>6</v>
      </c>
      <c r="B757" s="165" t="s">
        <v>125</v>
      </c>
      <c r="C757" s="166">
        <f ca="1">RANK(N757,N756:N780)</f>
        <v>15</v>
      </c>
      <c r="D757" s="166">
        <f ca="1">RANK(P757,P756:P780)</f>
        <v>13</v>
      </c>
      <c r="E757" s="189" t="s">
        <v>153</v>
      </c>
      <c r="F757" s="179">
        <f ca="1">COUNTIFS(Paste_Report_Here!$E$1:$E$2000,E750, OFFSET(Paste_Report_Here!$A$1,0,$A757,2000,1),F$75)</f>
        <v>0</v>
      </c>
      <c r="G757" s="180">
        <f ca="1">COUNTIFS(Paste_Report_Here!$E$1:$E$2000,E750, OFFSET(Paste_Report_Here!$A$1,0,$A757,2000,1),G$75)</f>
        <v>4</v>
      </c>
      <c r="H757" s="180">
        <f ca="1">COUNTIFS(Paste_Report_Here!$E$1:$E$2000,E750, OFFSET(Paste_Report_Here!$A$1,0,$A757,2000,1),H$75)</f>
        <v>26</v>
      </c>
      <c r="I757" s="180">
        <f ca="1">COUNTIFS(Paste_Report_Here!$E$1:$E$2000,E750, OFFSET(Paste_Report_Here!$A$1,0,$A757,2000,1),I$75)</f>
        <v>2</v>
      </c>
      <c r="J757" s="180">
        <f ca="1">COUNTIFS(Paste_Report_Here!$E$1:$E$2000,E750, OFFSET(Paste_Report_Here!$A$1,0,$A757,2000,1),J$75)</f>
        <v>0</v>
      </c>
      <c r="K757" s="181">
        <f ca="1">COUNTIFS(Paste_Report_Here!$E$1:$E$2000,E750, OFFSET(Paste_Report_Here!$A$1,0,$A757,2000,1),K$75)</f>
        <v>0</v>
      </c>
      <c r="L757" s="166">
        <f t="shared" ca="1" si="112"/>
        <v>32</v>
      </c>
      <c r="M757" s="183">
        <f ca="1">SUMPRODUCT(F757:K757,F754:K754)/L:L</f>
        <v>0</v>
      </c>
      <c r="N757" s="166">
        <f t="shared" ca="1" si="113"/>
        <v>1</v>
      </c>
      <c r="O757" s="165">
        <f t="shared" ref="O757:O781" ca="1" si="115">P723</f>
        <v>2179.4940869137918</v>
      </c>
      <c r="P757" s="165">
        <f t="shared" ca="1" si="114"/>
        <v>2179.4940869137918</v>
      </c>
    </row>
    <row r="758" spans="1:16" s="165" customFormat="1" x14ac:dyDescent="0.3">
      <c r="A758" s="165">
        <f>MATCH(Calcs!B758,Paste_Report_Here!$1:$1,0) -1</f>
        <v>7</v>
      </c>
      <c r="B758" s="165" t="s">
        <v>126</v>
      </c>
      <c r="C758" s="166">
        <f ca="1">RANK(N758,N756:N780)</f>
        <v>15</v>
      </c>
      <c r="D758" s="166">
        <f ca="1">RANK(P758,P756:P780)</f>
        <v>7</v>
      </c>
      <c r="E758" s="189" t="s">
        <v>154</v>
      </c>
      <c r="F758" s="179">
        <f ca="1">COUNTIFS(Paste_Report_Here!$E$1:$E$2000,E750, OFFSET(Paste_Report_Here!$A$1,0,$A758,2000,1),F$75)</f>
        <v>0</v>
      </c>
      <c r="G758" s="180">
        <f ca="1">COUNTIFS(Paste_Report_Here!$E$1:$E$2000,E750, OFFSET(Paste_Report_Here!$A$1,0,$A758,2000,1),G$75)</f>
        <v>2</v>
      </c>
      <c r="H758" s="180">
        <f ca="1">COUNTIFS(Paste_Report_Here!$E$1:$E$2000,E750, OFFSET(Paste_Report_Here!$A$1,0,$A758,2000,1),H$75)</f>
        <v>22</v>
      </c>
      <c r="I758" s="180">
        <f ca="1">COUNTIFS(Paste_Report_Here!$E$1:$E$2000,E750, OFFSET(Paste_Report_Here!$A$1,0,$A758,2000,1),I$75)</f>
        <v>8</v>
      </c>
      <c r="J758" s="180">
        <f ca="1">COUNTIFS(Paste_Report_Here!$E$1:$E$2000,E750, OFFSET(Paste_Report_Here!$A$1,0,$A758,2000,1),J$75)</f>
        <v>0</v>
      </c>
      <c r="K758" s="181">
        <f ca="1">COUNTIFS(Paste_Report_Here!$E$1:$E$2000,E750, OFFSET(Paste_Report_Here!$A$1,0,$A758,2000,1),K$75)</f>
        <v>0</v>
      </c>
      <c r="L758" s="166">
        <f t="shared" ca="1" si="112"/>
        <v>32</v>
      </c>
      <c r="M758" s="183">
        <f ca="1">SUMPRODUCT(F758:K758,F754:K754)/L:L</f>
        <v>0</v>
      </c>
      <c r="N758" s="166">
        <f t="shared" ca="1" si="113"/>
        <v>1</v>
      </c>
      <c r="O758" s="165">
        <f t="shared" ca="1" si="115"/>
        <v>2843.5961797985524</v>
      </c>
      <c r="P758" s="165">
        <f t="shared" ca="1" si="114"/>
        <v>2843.5961797985524</v>
      </c>
    </row>
    <row r="759" spans="1:16" s="165" customFormat="1" x14ac:dyDescent="0.3">
      <c r="A759" s="165">
        <f>MATCH(Calcs!B759,Paste_Report_Here!$1:$1,0) -1</f>
        <v>8</v>
      </c>
      <c r="B759" s="165" t="s">
        <v>127</v>
      </c>
      <c r="C759" s="166">
        <f ca="1">RANK(N759,N756:N780)</f>
        <v>4</v>
      </c>
      <c r="D759" s="166">
        <f ca="1">RANK(P759,P756:P780)</f>
        <v>8</v>
      </c>
      <c r="E759" s="189" t="s">
        <v>155</v>
      </c>
      <c r="F759" s="179">
        <f ca="1">COUNTIFS(Paste_Report_Here!$E$1:$E$2000,E750, OFFSET(Paste_Report_Here!$A$1,0,$A759,2000,1),F$75)</f>
        <v>0</v>
      </c>
      <c r="G759" s="180">
        <f ca="1">COUNTIFS(Paste_Report_Here!$E$1:$E$2000,E750, OFFSET(Paste_Report_Here!$A$1,0,$A759,2000,1),G$75)</f>
        <v>1</v>
      </c>
      <c r="H759" s="180">
        <f ca="1">COUNTIFS(Paste_Report_Here!$E$1:$E$2000,E750, OFFSET(Paste_Report_Here!$A$1,0,$A759,2000,1),H$75)</f>
        <v>18</v>
      </c>
      <c r="I759" s="180">
        <f ca="1">COUNTIFS(Paste_Report_Here!$E$1:$E$2000,E750, OFFSET(Paste_Report_Here!$A$1,0,$A759,2000,1),I$75)</f>
        <v>11</v>
      </c>
      <c r="J759" s="180">
        <f ca="1">COUNTIFS(Paste_Report_Here!$E$1:$E$2000,E750, OFFSET(Paste_Report_Here!$A$1,0,$A759,2000,1),J$75)</f>
        <v>2</v>
      </c>
      <c r="K759" s="181">
        <f ca="1">COUNTIFS(Paste_Report_Here!$E$1:$E$2000,E750, OFFSET(Paste_Report_Here!$A$1,0,$A759,2000,1),K$75)</f>
        <v>0</v>
      </c>
      <c r="L759" s="166">
        <f t="shared" ca="1" si="112"/>
        <v>32</v>
      </c>
      <c r="M759" s="183">
        <f ca="1">SUMPRODUCT(F759:K759,F754:K754)/L:L</f>
        <v>1.2500000000000001E-2</v>
      </c>
      <c r="N759" s="166">
        <f t="shared" ca="1" si="113"/>
        <v>1.0125784515406344</v>
      </c>
      <c r="O759" s="165">
        <f t="shared" ca="1" si="115"/>
        <v>2753.5587457598513</v>
      </c>
      <c r="P759" s="165">
        <f t="shared" ca="1" si="114"/>
        <v>2788.1942510076815</v>
      </c>
    </row>
    <row r="760" spans="1:16" s="165" customFormat="1" x14ac:dyDescent="0.3">
      <c r="A760" s="165">
        <f>MATCH(Calcs!B760,Paste_Report_Here!$1:$1,0) -1</f>
        <v>9</v>
      </c>
      <c r="B760" s="165" t="s">
        <v>214</v>
      </c>
      <c r="C760" s="166">
        <f ca="1">RANK(N760,N756:N780)</f>
        <v>4</v>
      </c>
      <c r="D760" s="166">
        <f ca="1">RANK(P760,P756:P780)</f>
        <v>5</v>
      </c>
      <c r="E760" s="189" t="s">
        <v>156</v>
      </c>
      <c r="F760" s="179">
        <f ca="1">COUNTIFS(Paste_Report_Here!$E$1:$E$2000,E750, OFFSET(Paste_Report_Here!$A$1,0,$A760,2000,1),F$75)</f>
        <v>0</v>
      </c>
      <c r="G760" s="180">
        <f ca="1">COUNTIFS(Paste_Report_Here!$E$1:$E$2000,E750, OFFSET(Paste_Report_Here!$A$1,0,$A760,2000,1),G$75)</f>
        <v>3</v>
      </c>
      <c r="H760" s="180">
        <f ca="1">COUNTIFS(Paste_Report_Here!$E$1:$E$2000,E750, OFFSET(Paste_Report_Here!$A$1,0,$A760,2000,1),H$75)</f>
        <v>20</v>
      </c>
      <c r="I760" s="180">
        <f ca="1">COUNTIFS(Paste_Report_Here!$E$1:$E$2000,E750, OFFSET(Paste_Report_Here!$A$1,0,$A760,2000,1),I$75)</f>
        <v>6</v>
      </c>
      <c r="J760" s="180">
        <f ca="1">COUNTIFS(Paste_Report_Here!$E$1:$E$2000,E750, OFFSET(Paste_Report_Here!$A$1,0,$A760,2000,1),J$75)</f>
        <v>2</v>
      </c>
      <c r="K760" s="181">
        <f ca="1">COUNTIFS(Paste_Report_Here!$E$1:$E$2000,E750, OFFSET(Paste_Report_Here!$A$1,0,$A760,2000,1),K$75)</f>
        <v>1</v>
      </c>
      <c r="L760" s="166">
        <f t="shared" ca="1" si="112"/>
        <v>32</v>
      </c>
      <c r="M760" s="183">
        <f ca="1">SUMPRODUCT(F760:K760,F754:K754)/L:L</f>
        <v>1.2500000000000001E-2</v>
      </c>
      <c r="N760" s="166">
        <f t="shared" ca="1" si="113"/>
        <v>1.0125784515406344</v>
      </c>
      <c r="O760" s="165">
        <f t="shared" ca="1" si="115"/>
        <v>3588.2778468117349</v>
      </c>
      <c r="P760" s="165">
        <f t="shared" ca="1" si="114"/>
        <v>3633.4128258221881</v>
      </c>
    </row>
    <row r="761" spans="1:16" s="165" customFormat="1" x14ac:dyDescent="0.3">
      <c r="A761" s="165">
        <f>MATCH(Calcs!B761,Paste_Report_Here!$1:$1,0) -1</f>
        <v>10</v>
      </c>
      <c r="B761" s="165" t="s">
        <v>128</v>
      </c>
      <c r="C761" s="166">
        <f ca="1">RANK(N761,N756:N780)</f>
        <v>1</v>
      </c>
      <c r="D761" s="166">
        <f ca="1">RANK(P761,P756:P780)</f>
        <v>21</v>
      </c>
      <c r="E761" s="189" t="s">
        <v>157</v>
      </c>
      <c r="F761" s="179">
        <f ca="1">COUNTIFS(Paste_Report_Here!$E$1:$E$2000,E750, OFFSET(Paste_Report_Here!$A$1,0,$A761,2000,1),F$75)</f>
        <v>0</v>
      </c>
      <c r="G761" s="180">
        <f ca="1">COUNTIFS(Paste_Report_Here!$E$1:$E$2000,E750, OFFSET(Paste_Report_Here!$A$1,0,$A761,2000,1),G$75)</f>
        <v>1</v>
      </c>
      <c r="H761" s="180">
        <f ca="1">COUNTIFS(Paste_Report_Here!$E$1:$E$2000,E750, OFFSET(Paste_Report_Here!$A$1,0,$A761,2000,1),H$75)</f>
        <v>13</v>
      </c>
      <c r="I761" s="180">
        <f ca="1">COUNTIFS(Paste_Report_Here!$E$1:$E$2000,E750, OFFSET(Paste_Report_Here!$A$1,0,$A761,2000,1),I$75)</f>
        <v>14</v>
      </c>
      <c r="J761" s="180">
        <f ca="1">COUNTIFS(Paste_Report_Here!$E$1:$E$2000,E750, OFFSET(Paste_Report_Here!$A$1,0,$A761,2000,1),J$75)</f>
        <v>4</v>
      </c>
      <c r="K761" s="181">
        <f ca="1">COUNTIFS(Paste_Report_Here!$E$1:$E$2000,E750, OFFSET(Paste_Report_Here!$A$1,0,$A761,2000,1),K$75)</f>
        <v>0</v>
      </c>
      <c r="L761" s="166">
        <f t="shared" ca="1" si="112"/>
        <v>32</v>
      </c>
      <c r="M761" s="183">
        <f ca="1">SUMPRODUCT(F761:K761,F754:K754)/L:L</f>
        <v>2.5000000000000001E-2</v>
      </c>
      <c r="N761" s="166">
        <f t="shared" ca="1" si="113"/>
        <v>1.0253151205244289</v>
      </c>
      <c r="O761" s="165">
        <f t="shared" ca="1" si="115"/>
        <v>1641.7667005844191</v>
      </c>
      <c r="P761" s="165">
        <f t="shared" ca="1" si="114"/>
        <v>1683.3282224827076</v>
      </c>
    </row>
    <row r="762" spans="1:16" s="165" customFormat="1" x14ac:dyDescent="0.3">
      <c r="A762" s="165">
        <f>MATCH(Calcs!B762,Paste_Report_Here!$1:$1,0) -1</f>
        <v>11</v>
      </c>
      <c r="B762" s="165" t="s">
        <v>129</v>
      </c>
      <c r="C762" s="166">
        <f ca="1">RANK(N762,N756:N780)</f>
        <v>15</v>
      </c>
      <c r="D762" s="166">
        <f ca="1">RANK(P762,P756:P780)</f>
        <v>9</v>
      </c>
      <c r="E762" s="189" t="s">
        <v>158</v>
      </c>
      <c r="F762" s="179">
        <f ca="1">COUNTIFS(Paste_Report_Here!$E$1:$E$2000,E750, OFFSET(Paste_Report_Here!$A$1,0,$A762,2000,1),F$75)</f>
        <v>0</v>
      </c>
      <c r="G762" s="180">
        <f ca="1">COUNTIFS(Paste_Report_Here!$E$1:$E$2000,E750, OFFSET(Paste_Report_Here!$A$1,0,$A762,2000,1),G$75)</f>
        <v>1</v>
      </c>
      <c r="H762" s="180">
        <f ca="1">COUNTIFS(Paste_Report_Here!$E$1:$E$2000,E750, OFFSET(Paste_Report_Here!$A$1,0,$A762,2000,1),H$75)</f>
        <v>23</v>
      </c>
      <c r="I762" s="180">
        <f ca="1">COUNTIFS(Paste_Report_Here!$E$1:$E$2000,E750, OFFSET(Paste_Report_Here!$A$1,0,$A762,2000,1),I$75)</f>
        <v>8</v>
      </c>
      <c r="J762" s="180">
        <f ca="1">COUNTIFS(Paste_Report_Here!$E$1:$E$2000,E750, OFFSET(Paste_Report_Here!$A$1,0,$A762,2000,1),J$75)</f>
        <v>0</v>
      </c>
      <c r="K762" s="181">
        <f ca="1">COUNTIFS(Paste_Report_Here!$E$1:$E$2000,E750, OFFSET(Paste_Report_Here!$A$1,0,$A762,2000,1),K$75)</f>
        <v>0</v>
      </c>
      <c r="L762" s="166">
        <f t="shared" ca="1" si="112"/>
        <v>32</v>
      </c>
      <c r="M762" s="183">
        <f ca="1">SUMPRODUCT(F762:K762,F754:K754)/L:L</f>
        <v>0</v>
      </c>
      <c r="N762" s="166">
        <f t="shared" ca="1" si="113"/>
        <v>1</v>
      </c>
      <c r="O762" s="165">
        <f t="shared" ca="1" si="115"/>
        <v>2560.1111133729532</v>
      </c>
      <c r="P762" s="165">
        <f t="shared" ca="1" si="114"/>
        <v>2560.1111133729532</v>
      </c>
    </row>
    <row r="763" spans="1:16" s="165" customFormat="1" x14ac:dyDescent="0.3">
      <c r="A763" s="165">
        <f>MATCH(Calcs!B763,Paste_Report_Here!$1:$1,0) -1</f>
        <v>12</v>
      </c>
      <c r="B763" s="165" t="s">
        <v>130</v>
      </c>
      <c r="C763" s="166">
        <f ca="1">RANK(N763,N756:N780)</f>
        <v>12</v>
      </c>
      <c r="D763" s="166">
        <f ca="1">RANK(P763,P756:P780)</f>
        <v>10</v>
      </c>
      <c r="E763" s="189" t="s">
        <v>159</v>
      </c>
      <c r="F763" s="179">
        <f ca="1">COUNTIFS(Paste_Report_Here!$E$1:$E$2000,E750, OFFSET(Paste_Report_Here!$A$1,0,$A763,2000,1),F$75)</f>
        <v>0</v>
      </c>
      <c r="G763" s="180">
        <f ca="1">COUNTIFS(Paste_Report_Here!$E$1:$E$2000,E750, OFFSET(Paste_Report_Here!$A$1,0,$A763,2000,1),G$75)</f>
        <v>2</v>
      </c>
      <c r="H763" s="180">
        <f ca="1">COUNTIFS(Paste_Report_Here!$E$1:$E$2000,E750, OFFSET(Paste_Report_Here!$A$1,0,$A763,2000,1),H$75)</f>
        <v>23</v>
      </c>
      <c r="I763" s="180">
        <f ca="1">COUNTIFS(Paste_Report_Here!$E$1:$E$2000,E750, OFFSET(Paste_Report_Here!$A$1,0,$A763,2000,1),I$75)</f>
        <v>6</v>
      </c>
      <c r="J763" s="180">
        <f ca="1">COUNTIFS(Paste_Report_Here!$E$1:$E$2000,E750, OFFSET(Paste_Report_Here!$A$1,0,$A763,2000,1),J$75)</f>
        <v>1</v>
      </c>
      <c r="K763" s="181">
        <f ca="1">COUNTIFS(Paste_Report_Here!$E$1:$E$2000,E750, OFFSET(Paste_Report_Here!$A$1,0,$A763,2000,1),K$75)</f>
        <v>0</v>
      </c>
      <c r="L763" s="166">
        <f t="shared" ca="1" si="112"/>
        <v>32</v>
      </c>
      <c r="M763" s="183">
        <f ca="1">SUMPRODUCT(F763:K763,F754:K754)/L:L</f>
        <v>6.2500000000000003E-3</v>
      </c>
      <c r="N763" s="166">
        <f t="shared" ca="1" si="113"/>
        <v>1.006269572003762</v>
      </c>
      <c r="O763" s="165">
        <f t="shared" ca="1" si="115"/>
        <v>2339.760515402827</v>
      </c>
      <c r="P763" s="165">
        <f t="shared" ca="1" si="114"/>
        <v>2354.4298124257043</v>
      </c>
    </row>
    <row r="764" spans="1:16" s="165" customFormat="1" x14ac:dyDescent="0.3">
      <c r="A764" s="165">
        <f>MATCH(Calcs!B764,Paste_Report_Here!$1:$1,0) -1</f>
        <v>13</v>
      </c>
      <c r="B764" s="165" t="s">
        <v>131</v>
      </c>
      <c r="C764" s="166">
        <f ca="1">RANK(N764,N756:N780)</f>
        <v>4</v>
      </c>
      <c r="D764" s="166">
        <f ca="1">RANK(P764,P756:P780)</f>
        <v>2</v>
      </c>
      <c r="E764" s="189" t="s">
        <v>160</v>
      </c>
      <c r="F764" s="179">
        <f ca="1">COUNTIFS(Paste_Report_Here!$E$1:$E$2000,E750, OFFSET(Paste_Report_Here!$A$1,0,$A764,2000,1),F$75)</f>
        <v>0</v>
      </c>
      <c r="G764" s="180">
        <f ca="1">COUNTIFS(Paste_Report_Here!$E$1:$E$2000,E750, OFFSET(Paste_Report_Here!$A$1,0,$A764,2000,1),G$75)</f>
        <v>0</v>
      </c>
      <c r="H764" s="180">
        <f ca="1">COUNTIFS(Paste_Report_Here!$E$1:$E$2000,E750, OFFSET(Paste_Report_Here!$A$1,0,$A764,2000,1),H$75)</f>
        <v>21</v>
      </c>
      <c r="I764" s="180">
        <f ca="1">COUNTIFS(Paste_Report_Here!$E$1:$E$2000,E750, OFFSET(Paste_Report_Here!$A$1,0,$A764,2000,1),I$75)</f>
        <v>9</v>
      </c>
      <c r="J764" s="180">
        <f ca="1">COUNTIFS(Paste_Report_Here!$E$1:$E$2000,E750, OFFSET(Paste_Report_Here!$A$1,0,$A764,2000,1),J$75)</f>
        <v>2</v>
      </c>
      <c r="K764" s="181">
        <f ca="1">COUNTIFS(Paste_Report_Here!$E$1:$E$2000,E750, OFFSET(Paste_Report_Here!$A$1,0,$A764,2000,1),K$75)</f>
        <v>0</v>
      </c>
      <c r="L764" s="166">
        <f t="shared" ca="1" si="112"/>
        <v>32</v>
      </c>
      <c r="M764" s="183">
        <f ca="1">SUMPRODUCT(F764:K764,F754:K754)/L:L</f>
        <v>1.2500000000000001E-2</v>
      </c>
      <c r="N764" s="166">
        <f t="shared" ca="1" si="113"/>
        <v>1.0125784515406344</v>
      </c>
      <c r="O764" s="165">
        <f t="shared" ca="1" si="115"/>
        <v>4084.8363710946546</v>
      </c>
      <c r="P764" s="165">
        <f t="shared" ca="1" si="114"/>
        <v>4136.2172874398893</v>
      </c>
    </row>
    <row r="765" spans="1:16" s="165" customFormat="1" x14ac:dyDescent="0.3">
      <c r="A765" s="165">
        <f>MATCH(Calcs!B765,Paste_Report_Here!$1:$1,0) -1</f>
        <v>14</v>
      </c>
      <c r="B765" s="165" t="s">
        <v>132</v>
      </c>
      <c r="C765" s="166">
        <f ca="1">RANK(N765,N754:N778)</f>
        <v>4</v>
      </c>
      <c r="D765" s="166">
        <f ca="1">RANK(P765,P756:P780)</f>
        <v>18</v>
      </c>
      <c r="E765" s="189" t="s">
        <v>161</v>
      </c>
      <c r="F765" s="179">
        <f ca="1">COUNTIFS(Paste_Report_Here!$E$1:$E$2000,E750, OFFSET(Paste_Report_Here!$A$1,0,$A765,2000,1),F$75)</f>
        <v>0</v>
      </c>
      <c r="G765" s="180">
        <f ca="1">COUNTIFS(Paste_Report_Here!$E$1:$E$2000,E750, OFFSET(Paste_Report_Here!$A$1,0,$A765,2000,1),G$75)</f>
        <v>2</v>
      </c>
      <c r="H765" s="180">
        <f ca="1">COUNTIFS(Paste_Report_Here!$E$1:$E$2000,E750, OFFSET(Paste_Report_Here!$A$1,0,$A765,2000,1),H$75)</f>
        <v>23</v>
      </c>
      <c r="I765" s="180">
        <f ca="1">COUNTIFS(Paste_Report_Here!$E$1:$E$2000,E750, OFFSET(Paste_Report_Here!$A$1,0,$A765,2000,1),I$75)</f>
        <v>5</v>
      </c>
      <c r="J765" s="180">
        <f ca="1">COUNTIFS(Paste_Report_Here!$E$1:$E$2000,E750, OFFSET(Paste_Report_Here!$A$1,0,$A765,2000,1),J$75)</f>
        <v>2</v>
      </c>
      <c r="K765" s="181">
        <f ca="1">COUNTIFS(Paste_Report_Here!$E$1:$E$2000,E750, OFFSET(Paste_Report_Here!$A$1,0,$A765,2000,1),K$75)</f>
        <v>0</v>
      </c>
      <c r="L765" s="166">
        <f t="shared" ca="1" si="112"/>
        <v>32</v>
      </c>
      <c r="M765" s="183">
        <f ca="1">SUMPRODUCT(F765:K765,F754:K754)/L:L</f>
        <v>1.2500000000000001E-2</v>
      </c>
      <c r="N765" s="166">
        <f t="shared" ca="1" si="113"/>
        <v>1.0125784515406344</v>
      </c>
      <c r="O765" s="165">
        <f t="shared" ca="1" si="115"/>
        <v>2058.385932999915</v>
      </c>
      <c r="P765" s="165">
        <f t="shared" ca="1" si="114"/>
        <v>2084.2772407100779</v>
      </c>
    </row>
    <row r="766" spans="1:16" s="165" customFormat="1" x14ac:dyDescent="0.3">
      <c r="A766" s="165">
        <f>MATCH(Calcs!B766,Paste_Report_Here!$1:$1,0) -1</f>
        <v>15</v>
      </c>
      <c r="B766" s="165" t="s">
        <v>133</v>
      </c>
      <c r="C766" s="166">
        <f ca="1">RANK(N766,N755:N779)</f>
        <v>12</v>
      </c>
      <c r="D766" s="166">
        <f ca="1">RANK(P766,P756:P780)</f>
        <v>6</v>
      </c>
      <c r="E766" s="189" t="s">
        <v>162</v>
      </c>
      <c r="F766" s="179">
        <f ca="1">COUNTIFS(Paste_Report_Here!$E$1:$E$2000,E750, OFFSET(Paste_Report_Here!$A$1,0,$A766,2000,1),F$75)</f>
        <v>0</v>
      </c>
      <c r="G766" s="180">
        <f ca="1">COUNTIFS(Paste_Report_Here!$E$1:$E$2000,E750, OFFSET(Paste_Report_Here!$A$1,0,$A766,2000,1),G$75)</f>
        <v>1</v>
      </c>
      <c r="H766" s="180">
        <f ca="1">COUNTIFS(Paste_Report_Here!$E$1:$E$2000,E750, OFFSET(Paste_Report_Here!$A$1,0,$A766,2000,1),H$75)</f>
        <v>20</v>
      </c>
      <c r="I766" s="180">
        <f ca="1">COUNTIFS(Paste_Report_Here!$E$1:$E$2000,E750, OFFSET(Paste_Report_Here!$A$1,0,$A766,2000,1),I$75)</f>
        <v>10</v>
      </c>
      <c r="J766" s="180">
        <f ca="1">COUNTIFS(Paste_Report_Here!$E$1:$E$2000,E750, OFFSET(Paste_Report_Here!$A$1,0,$A766,2000,1),J$75)</f>
        <v>1</v>
      </c>
      <c r="K766" s="181">
        <f ca="1">COUNTIFS(Paste_Report_Here!$E$1:$E$2000,E750, OFFSET(Paste_Report_Here!$A$1,0,$A766,2000,1),K$75)</f>
        <v>0</v>
      </c>
      <c r="L766" s="166">
        <f t="shared" ca="1" si="112"/>
        <v>32</v>
      </c>
      <c r="M766" s="183">
        <f ca="1">SUMPRODUCT(F766:K766,F754:K754)/L:L</f>
        <v>6.2500000000000003E-3</v>
      </c>
      <c r="N766" s="166">
        <f t="shared" ca="1" si="113"/>
        <v>1.006269572003762</v>
      </c>
      <c r="O766" s="165">
        <f t="shared" ca="1" si="115"/>
        <v>2954.1114146333643</v>
      </c>
      <c r="P766" s="165">
        <f t="shared" ca="1" si="114"/>
        <v>2972.6324288545434</v>
      </c>
    </row>
    <row r="767" spans="1:16" s="165" customFormat="1" x14ac:dyDescent="0.3">
      <c r="A767" s="165">
        <f>MATCH(Calcs!B767,Paste_Report_Here!$1:$1,0) -1</f>
        <v>16</v>
      </c>
      <c r="B767" s="165" t="s">
        <v>134</v>
      </c>
      <c r="C767" s="166">
        <f ca="1">RANK(N767,N756:N780)</f>
        <v>15</v>
      </c>
      <c r="D767" s="166">
        <f ca="1">RANK(P767,P756:P780)</f>
        <v>24</v>
      </c>
      <c r="E767" s="189" t="s">
        <v>163</v>
      </c>
      <c r="F767" s="179">
        <f ca="1">COUNTIFS(Paste_Report_Here!$E$1:$E$2000,E750, OFFSET(Paste_Report_Here!$A$1,0,$A767,2000,1),F$75)</f>
        <v>0</v>
      </c>
      <c r="G767" s="180">
        <f ca="1">COUNTIFS(Paste_Report_Here!$E$1:$E$2000,E750, OFFSET(Paste_Report_Here!$A$1,0,$A767,2000,1),G$75)</f>
        <v>2</v>
      </c>
      <c r="H767" s="180">
        <f ca="1">COUNTIFS(Paste_Report_Here!$E$1:$E$2000,E750, OFFSET(Paste_Report_Here!$A$1,0,$A767,2000,1),H$75)</f>
        <v>28</v>
      </c>
      <c r="I767" s="180">
        <f ca="1">COUNTIFS(Paste_Report_Here!$E$1:$E$2000,E750, OFFSET(Paste_Report_Here!$A$1,0,$A767,2000,1),I$75)</f>
        <v>2</v>
      </c>
      <c r="J767" s="180">
        <f ca="1">COUNTIFS(Paste_Report_Here!$E$1:$E$2000,E750, OFFSET(Paste_Report_Here!$A$1,0,$A767,2000,1),J$75)</f>
        <v>0</v>
      </c>
      <c r="K767" s="181">
        <f ca="1">COUNTIFS(Paste_Report_Here!$E$1:$E$2000,E750, OFFSET(Paste_Report_Here!$A$1,0,$A767,2000,1),K$75)</f>
        <v>0</v>
      </c>
      <c r="L767" s="166">
        <f t="shared" ca="1" si="112"/>
        <v>32</v>
      </c>
      <c r="M767" s="183">
        <f ca="1">SUMPRODUCT(F767:K767,F754:K754)/L:L</f>
        <v>0</v>
      </c>
      <c r="N767" s="166">
        <f t="shared" ca="1" si="113"/>
        <v>1</v>
      </c>
      <c r="O767" s="165">
        <f t="shared" ca="1" si="115"/>
        <v>1180.494027289222</v>
      </c>
      <c r="P767" s="165">
        <f t="shared" ca="1" si="114"/>
        <v>1180.494027289222</v>
      </c>
    </row>
    <row r="768" spans="1:16" s="165" customFormat="1" x14ac:dyDescent="0.3">
      <c r="A768" s="165">
        <f>MATCH(Calcs!B768,Paste_Report_Here!$1:$1,0) -1</f>
        <v>17</v>
      </c>
      <c r="B768" s="165" t="s">
        <v>135</v>
      </c>
      <c r="C768" s="166">
        <v>3</v>
      </c>
      <c r="D768" s="166">
        <f ca="1">RANK(P768,P756:P780)</f>
        <v>20</v>
      </c>
      <c r="E768" s="189" t="s">
        <v>164</v>
      </c>
      <c r="F768" s="179">
        <f ca="1">COUNTIFS(Paste_Report_Here!$E$1:$E$2000,E750, OFFSET(Paste_Report_Here!$A$1,0,$A768,2000,1),F$75)</f>
        <v>0</v>
      </c>
      <c r="G768" s="180">
        <f ca="1">COUNTIFS(Paste_Report_Here!$E$1:$E$2000,E750, OFFSET(Paste_Report_Here!$A$1,0,$A768,2000,1),G$75)</f>
        <v>2</v>
      </c>
      <c r="H768" s="180">
        <f ca="1">COUNTIFS(Paste_Report_Here!$E$1:$E$2000,E750, OFFSET(Paste_Report_Here!$A$1,0,$A768,2000,1),H$75)</f>
        <v>16</v>
      </c>
      <c r="I768" s="180">
        <f ca="1">COUNTIFS(Paste_Report_Here!$E$1:$E$2000,E750, OFFSET(Paste_Report_Here!$A$1,0,$A768,2000,1),I$75)</f>
        <v>12</v>
      </c>
      <c r="J768" s="180">
        <f ca="1">COUNTIFS(Paste_Report_Here!$E$1:$E$2000,E750, OFFSET(Paste_Report_Here!$A$1,0,$A768,2000,1),J$75)</f>
        <v>2</v>
      </c>
      <c r="K768" s="181">
        <f ca="1">COUNTIFS(Paste_Report_Here!$E$1:$E$2000,E750, OFFSET(Paste_Report_Here!$A$1,0,$A768,2000,1),K$75)</f>
        <v>0</v>
      </c>
      <c r="L768" s="166">
        <f t="shared" ca="1" si="112"/>
        <v>32</v>
      </c>
      <c r="M768" s="183">
        <f ca="1">SUMPRODUCT(F768:K768,F754:K754)/L:L</f>
        <v>1.2500000000000001E-2</v>
      </c>
      <c r="N768" s="166">
        <f t="shared" ca="1" si="113"/>
        <v>1.0125784515406344</v>
      </c>
      <c r="O768" s="165">
        <f t="shared" ca="1" si="115"/>
        <v>1865.7812347769095</v>
      </c>
      <c r="P768" s="165">
        <f t="shared" ca="1" si="114"/>
        <v>1889.2498736239759</v>
      </c>
    </row>
    <row r="769" spans="1:16" s="165" customFormat="1" x14ac:dyDescent="0.3">
      <c r="A769" s="165">
        <f>MATCH(Calcs!B769,Paste_Report_Here!$1:$1,0) -1</f>
        <v>18</v>
      </c>
      <c r="B769" s="165" t="s">
        <v>136</v>
      </c>
      <c r="C769" s="166">
        <f ca="1">RANK(N769,N756:N780)</f>
        <v>15</v>
      </c>
      <c r="D769" s="166">
        <f ca="1">RANK(P769,P756:P780)</f>
        <v>4</v>
      </c>
      <c r="E769" s="189" t="s">
        <v>165</v>
      </c>
      <c r="F769" s="179">
        <f ca="1">COUNTIFS(Paste_Report_Here!$E$1:$E$2000,E750, OFFSET(Paste_Report_Here!$A$1,0,$A769,2000,1),F$75)</f>
        <v>0</v>
      </c>
      <c r="G769" s="180">
        <f ca="1">COUNTIFS(Paste_Report_Here!$E$1:$E$2000,E750, OFFSET(Paste_Report_Here!$A$1,0,$A769,2000,1),G$75)</f>
        <v>3</v>
      </c>
      <c r="H769" s="180">
        <f ca="1">COUNTIFS(Paste_Report_Here!$E$1:$E$2000,E750, OFFSET(Paste_Report_Here!$A$1,0,$A769,2000,1),H$75)</f>
        <v>21</v>
      </c>
      <c r="I769" s="180">
        <f ca="1">COUNTIFS(Paste_Report_Here!$E$1:$E$2000,E750, OFFSET(Paste_Report_Here!$A$1,0,$A769,2000,1),I$75)</f>
        <v>8</v>
      </c>
      <c r="J769" s="180">
        <f ca="1">COUNTIFS(Paste_Report_Here!$E$1:$E$2000,E750, OFFSET(Paste_Report_Here!$A$1,0,$A769,2000,1),J$75)</f>
        <v>0</v>
      </c>
      <c r="K769" s="181">
        <f ca="1">COUNTIFS(Paste_Report_Here!$E$1:$E$2000,E750, OFFSET(Paste_Report_Here!$A$1,0,$A769,2000,1),K$75)</f>
        <v>0</v>
      </c>
      <c r="L769" s="166">
        <f t="shared" ca="1" si="112"/>
        <v>32</v>
      </c>
      <c r="M769" s="183">
        <f ca="1">SUMPRODUCT(F769:K769,F754:K754)/L:L</f>
        <v>0</v>
      </c>
      <c r="N769" s="166">
        <f t="shared" ca="1" si="113"/>
        <v>1</v>
      </c>
      <c r="O769" s="165">
        <f t="shared" ca="1" si="115"/>
        <v>3807.431912282043</v>
      </c>
      <c r="P769" s="165">
        <f t="shared" ca="1" si="114"/>
        <v>3807.431912282043</v>
      </c>
    </row>
    <row r="770" spans="1:16" s="165" customFormat="1" x14ac:dyDescent="0.3">
      <c r="A770" s="165">
        <f>MATCH(Calcs!B770,Paste_Report_Here!$1:$1,0) -1</f>
        <v>19</v>
      </c>
      <c r="B770" s="165" t="s">
        <v>137</v>
      </c>
      <c r="C770" s="166">
        <f ca="1">RANK(N770,N756:N780)</f>
        <v>4</v>
      </c>
      <c r="D770" s="166">
        <f ca="1">RANK(P770,P756:P780)</f>
        <v>15</v>
      </c>
      <c r="E770" s="189" t="s">
        <v>166</v>
      </c>
      <c r="F770" s="179">
        <f ca="1">COUNTIFS(Paste_Report_Here!$E$1:$E$2000,E750, OFFSET(Paste_Report_Here!$A$1,0,$A770,2000,1),F$75)</f>
        <v>0</v>
      </c>
      <c r="G770" s="180">
        <f ca="1">COUNTIFS(Paste_Report_Here!$E$1:$E$2000,E750, OFFSET(Paste_Report_Here!$A$1,0,$A770,2000,1),G$75)</f>
        <v>2</v>
      </c>
      <c r="H770" s="180">
        <f ca="1">COUNTIFS(Paste_Report_Here!$E$1:$E$2000,E750, OFFSET(Paste_Report_Here!$A$1,0,$A770,2000,1),H$75)</f>
        <v>24</v>
      </c>
      <c r="I770" s="180">
        <f ca="1">COUNTIFS(Paste_Report_Here!$E$1:$E$2000,E750, OFFSET(Paste_Report_Here!$A$1,0,$A770,2000,1),I$75)</f>
        <v>4</v>
      </c>
      <c r="J770" s="180">
        <f ca="1">COUNTIFS(Paste_Report_Here!$E$1:$E$2000,E750, OFFSET(Paste_Report_Here!$A$1,0,$A770,2000,1),J$75)</f>
        <v>2</v>
      </c>
      <c r="K770" s="181">
        <f ca="1">COUNTIFS(Paste_Report_Here!$E$1:$E$2000,E750, OFFSET(Paste_Report_Here!$A$1,0,$A770,2000,1),K$75)</f>
        <v>0</v>
      </c>
      <c r="L770" s="166">
        <f t="shared" ca="1" si="112"/>
        <v>32</v>
      </c>
      <c r="M770" s="183">
        <f ca="1">SUMPRODUCT(F770:K770,F754:K754)/L:L</f>
        <v>1.2500000000000001E-2</v>
      </c>
      <c r="N770" s="166">
        <f t="shared" ca="1" si="113"/>
        <v>1.0125784515406344</v>
      </c>
      <c r="O770" s="165">
        <f t="shared" ca="1" si="115"/>
        <v>2109.8523026603502</v>
      </c>
      <c r="P770" s="165">
        <f t="shared" ca="1" si="114"/>
        <v>2136.3909776072592</v>
      </c>
    </row>
    <row r="771" spans="1:16" s="165" customFormat="1" x14ac:dyDescent="0.3">
      <c r="A771" s="165">
        <f>MATCH(Calcs!B771,Paste_Report_Here!$1:$1,0) -1</f>
        <v>20</v>
      </c>
      <c r="B771" s="165" t="s">
        <v>138</v>
      </c>
      <c r="C771" s="166">
        <f ca="1">RANK(N771,N757:N781)</f>
        <v>15</v>
      </c>
      <c r="D771" s="166">
        <f ca="1">RANK(P771,P756:P780)</f>
        <v>19</v>
      </c>
      <c r="E771" s="189" t="s">
        <v>167</v>
      </c>
      <c r="F771" s="179">
        <f ca="1">COUNTIFS(Paste_Report_Here!$E$1:$E$2000,E750, OFFSET(Paste_Report_Here!$A$1,0,$A771,2000,1),F$75)</f>
        <v>0</v>
      </c>
      <c r="G771" s="180">
        <f ca="1">COUNTIFS(Paste_Report_Here!$E$1:$E$2000,E750, OFFSET(Paste_Report_Here!$A$1,0,$A771,2000,1),G$75)</f>
        <v>1</v>
      </c>
      <c r="H771" s="180">
        <f ca="1">COUNTIFS(Paste_Report_Here!$E$1:$E$2000,E750, OFFSET(Paste_Report_Here!$A$1,0,$A771,2000,1),H$75)</f>
        <v>25</v>
      </c>
      <c r="I771" s="180">
        <f ca="1">COUNTIFS(Paste_Report_Here!$E$1:$E$2000,E750, OFFSET(Paste_Report_Here!$A$1,0,$A771,2000,1),I$75)</f>
        <v>6</v>
      </c>
      <c r="J771" s="180">
        <f ca="1">COUNTIFS(Paste_Report_Here!$E$1:$E$2000,E750, OFFSET(Paste_Report_Here!$A$1,0,$A771,2000,1),J$75)</f>
        <v>0</v>
      </c>
      <c r="K771" s="181">
        <f ca="1">COUNTIFS(Paste_Report_Here!$E$1:$E$2000,E750, OFFSET(Paste_Report_Here!$A$1,0,$A771,2000,1),K$75)</f>
        <v>0</v>
      </c>
      <c r="L771" s="166">
        <f t="shared" ca="1" si="112"/>
        <v>32</v>
      </c>
      <c r="M771" s="183">
        <f ca="1">SUMPRODUCT(F771:K771,F754:K754)/L:L</f>
        <v>0</v>
      </c>
      <c r="N771" s="166">
        <f t="shared" ca="1" si="113"/>
        <v>1</v>
      </c>
      <c r="O771" s="165">
        <f t="shared" ca="1" si="115"/>
        <v>2021.0621988216167</v>
      </c>
      <c r="P771" s="165">
        <f t="shared" ca="1" si="114"/>
        <v>2021.0621988216167</v>
      </c>
    </row>
    <row r="772" spans="1:16" s="165" customFormat="1" x14ac:dyDescent="0.3">
      <c r="A772" s="165">
        <f>MATCH(Calcs!B772,Paste_Report_Here!$1:$1,0) -1</f>
        <v>21</v>
      </c>
      <c r="B772" s="165" t="s">
        <v>139</v>
      </c>
      <c r="C772" s="166">
        <f ca="1">RANK(N772,N756:N780)</f>
        <v>15</v>
      </c>
      <c r="D772" s="166">
        <f ca="1">RANK(P772,P756:P780)</f>
        <v>16</v>
      </c>
      <c r="E772" s="189" t="s">
        <v>168</v>
      </c>
      <c r="F772" s="179">
        <f ca="1">COUNTIFS(Paste_Report_Here!$E$1:$E$2000,E750, OFFSET(Paste_Report_Here!$A$1,0,$A772,2000,1),F$75)</f>
        <v>0</v>
      </c>
      <c r="G772" s="180">
        <f ca="1">COUNTIFS(Paste_Report_Here!$E$1:$E$2000,E750, OFFSET(Paste_Report_Here!$A$1,0,$A772,2000,1),G$75)</f>
        <v>2</v>
      </c>
      <c r="H772" s="180">
        <f ca="1">COUNTIFS(Paste_Report_Here!$E$1:$E$2000,E750, OFFSET(Paste_Report_Here!$A$1,0,$A772,2000,1),H$75)</f>
        <v>26</v>
      </c>
      <c r="I772" s="180">
        <f ca="1">COUNTIFS(Paste_Report_Here!$E$1:$E$2000,E750, OFFSET(Paste_Report_Here!$A$1,0,$A772,2000,1),I$75)</f>
        <v>4</v>
      </c>
      <c r="J772" s="180">
        <f ca="1">COUNTIFS(Paste_Report_Here!$E$1:$E$2000,E750, OFFSET(Paste_Report_Here!$A$1,0,$A772,2000,1),J$75)</f>
        <v>0</v>
      </c>
      <c r="K772" s="181">
        <f ca="1">COUNTIFS(Paste_Report_Here!$E$1:$E$2000,E750, OFFSET(Paste_Report_Here!$A$1,0,$A772,2000,1),K$75)</f>
        <v>0</v>
      </c>
      <c r="L772" s="166">
        <f t="shared" ca="1" si="112"/>
        <v>32</v>
      </c>
      <c r="M772" s="183">
        <f ca="1">SUMPRODUCT(F772:K772,F754:K754)/L:L</f>
        <v>0</v>
      </c>
      <c r="N772" s="166">
        <f t="shared" ca="1" si="113"/>
        <v>1</v>
      </c>
      <c r="O772" s="165">
        <f t="shared" ca="1" si="115"/>
        <v>2116.7880154710142</v>
      </c>
      <c r="P772" s="165">
        <f t="shared" ca="1" si="114"/>
        <v>2116.7880154710142</v>
      </c>
    </row>
    <row r="773" spans="1:16" s="165" customFormat="1" x14ac:dyDescent="0.3">
      <c r="A773" s="165">
        <f>MATCH(Calcs!B773,Paste_Report_Here!$1:$1,0) -1</f>
        <v>22</v>
      </c>
      <c r="B773" s="165" t="s">
        <v>140</v>
      </c>
      <c r="C773" s="166">
        <f ca="1">RANK(N773,N756:N780)</f>
        <v>4</v>
      </c>
      <c r="D773" s="166">
        <f ca="1">RANK(P773,P756:P780)</f>
        <v>17</v>
      </c>
      <c r="E773" s="189" t="s">
        <v>169</v>
      </c>
      <c r="F773" s="179">
        <f ca="1">COUNTIFS(Paste_Report_Here!$E$1:$E$2000,E750, OFFSET(Paste_Report_Here!$A$1,0,$A773,2000,1),F$75)</f>
        <v>0</v>
      </c>
      <c r="G773" s="180">
        <f ca="1">COUNTIFS(Paste_Report_Here!$E$1:$E$2000,E750, OFFSET(Paste_Report_Here!$A$1,0,$A773,2000,1),G$75)</f>
        <v>2</v>
      </c>
      <c r="H773" s="180">
        <f ca="1">COUNTIFS(Paste_Report_Here!$E$1:$E$2000,E750, OFFSET(Paste_Report_Here!$A$1,0,$A773,2000,1),H$75)</f>
        <v>18</v>
      </c>
      <c r="I773" s="180">
        <f ca="1">COUNTIFS(Paste_Report_Here!$E$1:$E$2000,E750, OFFSET(Paste_Report_Here!$A$1,0,$A773,2000,1),I$75)</f>
        <v>10</v>
      </c>
      <c r="J773" s="180">
        <f ca="1">COUNTIFS(Paste_Report_Here!$E$1:$E$2000,E750, OFFSET(Paste_Report_Here!$A$1,0,$A773,2000,1),J$75)</f>
        <v>2</v>
      </c>
      <c r="K773" s="181">
        <f ca="1">COUNTIFS(Paste_Report_Here!$E$1:$E$2000,E750, OFFSET(Paste_Report_Here!$A$1,0,$A773,2000,1),K$75)</f>
        <v>0</v>
      </c>
      <c r="L773" s="166">
        <f t="shared" ca="1" si="112"/>
        <v>32</v>
      </c>
      <c r="M773" s="183">
        <f ca="1">SUMPRODUCT(F773:K773,F754:K754)/L:L</f>
        <v>1.2500000000000001E-2</v>
      </c>
      <c r="N773" s="166">
        <f t="shared" ca="1" si="113"/>
        <v>1.0125784515406344</v>
      </c>
      <c r="O773" s="165">
        <f t="shared" ca="1" si="115"/>
        <v>2076.6403450645257</v>
      </c>
      <c r="P773" s="165">
        <f t="shared" ca="1" si="114"/>
        <v>2102.761265012246</v>
      </c>
    </row>
    <row r="774" spans="1:16" s="165" customFormat="1" x14ac:dyDescent="0.3">
      <c r="A774" s="165">
        <f>MATCH(Calcs!B774,Paste_Report_Here!$1:$1,0) -1</f>
        <v>23</v>
      </c>
      <c r="B774" s="165" t="s">
        <v>186</v>
      </c>
      <c r="C774" s="166">
        <f ca="1">RANK(N774,N756:N780)</f>
        <v>12</v>
      </c>
      <c r="D774" s="166">
        <f ca="1">RANK(P774,P756:P780)</f>
        <v>3</v>
      </c>
      <c r="E774" s="189" t="s">
        <v>180</v>
      </c>
      <c r="F774" s="179">
        <f ca="1">COUNTIFS(Paste_Report_Here!$E$1:$E$2000,E750, OFFSET(Paste_Report_Here!$A$1,0,$A774,2000,1),F$75)</f>
        <v>0</v>
      </c>
      <c r="G774" s="180">
        <f ca="1">COUNTIFS(Paste_Report_Here!$E$1:$E$2000,E750, OFFSET(Paste_Report_Here!$A$1,0,$A774,2000,1),G$75)</f>
        <v>2</v>
      </c>
      <c r="H774" s="180">
        <f ca="1">COUNTIFS(Paste_Report_Here!$E$1:$E$2000,E750, OFFSET(Paste_Report_Here!$A$1,0,$A774,2000,1),H$75)</f>
        <v>25</v>
      </c>
      <c r="I774" s="180">
        <f ca="1">COUNTIFS(Paste_Report_Here!$E$1:$E$2000,E750, OFFSET(Paste_Report_Here!$A$1,0,$A774,2000,1),I$75)</f>
        <v>4</v>
      </c>
      <c r="J774" s="180">
        <f ca="1">COUNTIFS(Paste_Report_Here!$E$1:$E$2000,E750, OFFSET(Paste_Report_Here!$A$1,0,$A774,2000,1),J$75)</f>
        <v>1</v>
      </c>
      <c r="K774" s="181">
        <f ca="1">COUNTIFS(Paste_Report_Here!$E$1:$E$2000,E750, OFFSET(Paste_Report_Here!$A$1,0,$A774,2000,1),K$75)</f>
        <v>0</v>
      </c>
      <c r="L774" s="166">
        <f t="shared" ca="1" si="112"/>
        <v>32</v>
      </c>
      <c r="M774" s="183">
        <f ca="1">SUMPRODUCT(F774:K774,F754:K754)/L:L</f>
        <v>6.2500000000000003E-3</v>
      </c>
      <c r="N774" s="166">
        <f t="shared" ca="1" si="113"/>
        <v>1.006269572003762</v>
      </c>
      <c r="O774" s="165">
        <f t="shared" ca="1" si="115"/>
        <v>3936.5393052730274</v>
      </c>
      <c r="P774" s="165">
        <f t="shared" ca="1" si="114"/>
        <v>3961.219721893076</v>
      </c>
    </row>
    <row r="775" spans="1:16" s="165" customFormat="1" x14ac:dyDescent="0.3">
      <c r="A775" s="165">
        <f>MATCH(Calcs!B775,Paste_Report_Here!$1:$1,0) -1</f>
        <v>24</v>
      </c>
      <c r="B775" s="165" t="s">
        <v>209</v>
      </c>
      <c r="C775" s="166">
        <f ca="1">RANK(N775,N756:N780)</f>
        <v>2</v>
      </c>
      <c r="D775" s="166">
        <f ca="1">RANK(P775,P756:P780)</f>
        <v>23</v>
      </c>
      <c r="E775" s="202" t="s">
        <v>211</v>
      </c>
      <c r="F775" s="179">
        <f ca="1">COUNTIFS(Paste_Report_Here!$E$1:$E$2000,E750, OFFSET(Paste_Report_Here!$A$1,0,$A775,2000,1),F$75)</f>
        <v>0</v>
      </c>
      <c r="G775" s="180">
        <f ca="1">COUNTIFS(Paste_Report_Here!$E$1:$E$2000,E750, OFFSET(Paste_Report_Here!$A$1,0,$A775,2000,1),G$75)</f>
        <v>2</v>
      </c>
      <c r="H775" s="180">
        <f ca="1">COUNTIFS(Paste_Report_Here!$E$1:$E$2000,E750, OFFSET(Paste_Report_Here!$A$1,0,$A775,2000,1),H$75)</f>
        <v>17</v>
      </c>
      <c r="I775" s="180">
        <f ca="1">COUNTIFS(Paste_Report_Here!$E$1:$E$2000,E750, OFFSET(Paste_Report_Here!$A$1,0,$A775,2000,1),I$75)</f>
        <v>9</v>
      </c>
      <c r="J775" s="180">
        <f ca="1">COUNTIFS(Paste_Report_Here!$E$1:$E$2000,E750, OFFSET(Paste_Report_Here!$A$1,0,$A775,2000,1),J$75)</f>
        <v>3</v>
      </c>
      <c r="K775" s="181">
        <f ca="1">COUNTIFS(Paste_Report_Here!$E$1:$E$2000,E750, OFFSET(Paste_Report_Here!$A$1,0,$A775,2000,1),K$75)</f>
        <v>1</v>
      </c>
      <c r="L775" s="166">
        <f t="shared" ca="1" si="112"/>
        <v>32</v>
      </c>
      <c r="M775" s="183">
        <f ca="1">SUMPRODUCT(F775:K775,F754:K754)/L:L</f>
        <v>1.8750000000000003E-2</v>
      </c>
      <c r="N775" s="166">
        <f t="shared" ca="1" si="113"/>
        <v>1.0189268850520263</v>
      </c>
      <c r="O775" s="165">
        <f t="shared" ca="1" si="115"/>
        <v>1187.1999420316306</v>
      </c>
      <c r="P775" s="165">
        <f t="shared" ca="1" si="114"/>
        <v>1209.6699388682357</v>
      </c>
    </row>
    <row r="776" spans="1:16" s="165" customFormat="1" x14ac:dyDescent="0.3">
      <c r="A776" s="165">
        <f>MATCH(Calcs!B776,Paste_Report_Here!$1:$1,0) -1</f>
        <v>25</v>
      </c>
      <c r="B776" s="165" t="s">
        <v>141</v>
      </c>
      <c r="C776" s="166">
        <f ca="1">RANK(N776,N756:N780)</f>
        <v>15</v>
      </c>
      <c r="D776" s="166">
        <f ca="1">RANK(P776,P756:P780)</f>
        <v>22</v>
      </c>
      <c r="E776" s="189" t="s">
        <v>170</v>
      </c>
      <c r="F776" s="179">
        <f ca="1">COUNTIFS(Paste_Report_Here!$E$1:$E$2000,E750, OFFSET(Paste_Report_Here!$A$1,0,$A776,2000,1),F$75)</f>
        <v>0</v>
      </c>
      <c r="G776" s="180">
        <f ca="1">COUNTIFS(Paste_Report_Here!$E$1:$E$2000,E750, OFFSET(Paste_Report_Here!$A$1,0,$A776,2000,1),G$75)</f>
        <v>4</v>
      </c>
      <c r="H776" s="180">
        <f ca="1">COUNTIFS(Paste_Report_Here!$E$1:$E$2000,E750, OFFSET(Paste_Report_Here!$A$1,0,$A776,2000,1),H$75)</f>
        <v>22</v>
      </c>
      <c r="I776" s="180">
        <f ca="1">COUNTIFS(Paste_Report_Here!$E$1:$E$2000,E750, OFFSET(Paste_Report_Here!$A$1,0,$A776,2000,1),I$75)</f>
        <v>6</v>
      </c>
      <c r="J776" s="180">
        <f ca="1">COUNTIFS(Paste_Report_Here!$E$1:$E$2000,E750, OFFSET(Paste_Report_Here!$A$1,0,$A776,2000,1),J$75)</f>
        <v>0</v>
      </c>
      <c r="K776" s="181">
        <f ca="1">COUNTIFS(Paste_Report_Here!$E$1:$E$2000,E750, OFFSET(Paste_Report_Here!$A$1,0,$A776,2000,1),K$75)</f>
        <v>0</v>
      </c>
      <c r="L776" s="166">
        <f t="shared" ca="1" si="112"/>
        <v>32</v>
      </c>
      <c r="M776" s="183">
        <f ca="1">SUMPRODUCT(F776:K776,F754:K754)/L:L</f>
        <v>0</v>
      </c>
      <c r="N776" s="166">
        <f t="shared" ca="1" si="113"/>
        <v>1</v>
      </c>
      <c r="O776" s="165">
        <f t="shared" ca="1" si="115"/>
        <v>1396.0975984399638</v>
      </c>
      <c r="P776" s="165">
        <f t="shared" ca="1" si="114"/>
        <v>1396.0975984399638</v>
      </c>
    </row>
    <row r="777" spans="1:16" s="165" customFormat="1" x14ac:dyDescent="0.3">
      <c r="A777" s="165">
        <f>MATCH(Calcs!B777,Paste_Report_Here!$1:$1,0) -1</f>
        <v>26</v>
      </c>
      <c r="B777" s="165" t="s">
        <v>142</v>
      </c>
      <c r="C777" s="166">
        <f ca="1">RANK(N777,N756:N780)</f>
        <v>15</v>
      </c>
      <c r="D777" s="166">
        <f ca="1">RANK(P777,P756:P780)</f>
        <v>11</v>
      </c>
      <c r="E777" s="189" t="s">
        <v>171</v>
      </c>
      <c r="F777" s="179">
        <f ca="1">COUNTIFS(Paste_Report_Here!$E$1:$E$2000,E750, OFFSET(Paste_Report_Here!$A$1,0,$A777,2000,1),F$75)</f>
        <v>0</v>
      </c>
      <c r="G777" s="180">
        <f ca="1">COUNTIFS(Paste_Report_Here!$E$1:$E$2000,E750, OFFSET(Paste_Report_Here!$A$1,0,$A777,2000,1),G$75)</f>
        <v>4</v>
      </c>
      <c r="H777" s="180">
        <f ca="1">COUNTIFS(Paste_Report_Here!$E$1:$E$2000,E750, OFFSET(Paste_Report_Here!$A$1,0,$A777,2000,1),H$75)</f>
        <v>22</v>
      </c>
      <c r="I777" s="180">
        <f ca="1">COUNTIFS(Paste_Report_Here!$E$1:$E$2000,E750, OFFSET(Paste_Report_Here!$A$1,0,$A777,2000,1),I$75)</f>
        <v>6</v>
      </c>
      <c r="J777" s="180">
        <f ca="1">COUNTIFS(Paste_Report_Here!$E$1:$E$2000,E750, OFFSET(Paste_Report_Here!$A$1,0,$A777,2000,1),J$75)</f>
        <v>0</v>
      </c>
      <c r="K777" s="181">
        <f ca="1">COUNTIFS(Paste_Report_Here!$E$1:$E$2000,E750, OFFSET(Paste_Report_Here!$A$1,0,$A777,2000,1),K$75)</f>
        <v>0</v>
      </c>
      <c r="L777" s="166">
        <f t="shared" ca="1" si="112"/>
        <v>32</v>
      </c>
      <c r="M777" s="183">
        <f ca="1">SUMPRODUCT(F777:K777,F754:K754)/L:L</f>
        <v>0</v>
      </c>
      <c r="N777" s="166">
        <f t="shared" ca="1" si="113"/>
        <v>1</v>
      </c>
      <c r="O777" s="165">
        <f t="shared" ca="1" si="115"/>
        <v>2290.123079681935</v>
      </c>
      <c r="P777" s="165">
        <f t="shared" ca="1" si="114"/>
        <v>2290.123079681935</v>
      </c>
    </row>
    <row r="778" spans="1:16" s="165" customFormat="1" x14ac:dyDescent="0.3">
      <c r="A778" s="165">
        <f>MATCH(Calcs!B778,Paste_Report_Here!$1:$1,0) -1</f>
        <v>27</v>
      </c>
      <c r="B778" s="165" t="s">
        <v>210</v>
      </c>
      <c r="C778" s="166">
        <f ca="1">RANK(N778,N756:N780)</f>
        <v>15</v>
      </c>
      <c r="D778" s="166">
        <f ca="1">RANK(P778,P756:P780)</f>
        <v>25</v>
      </c>
      <c r="E778" s="202" t="s">
        <v>212</v>
      </c>
      <c r="F778" s="179">
        <f ca="1">COUNTIFS(Paste_Report_Here!$E$1:$E$2000,E750, OFFSET(Paste_Report_Here!$A$1,0,$A778,2000,1),F$75)</f>
        <v>0</v>
      </c>
      <c r="G778" s="180">
        <f ca="1">COUNTIFS(Paste_Report_Here!$E$1:$E$2000,E750, OFFSET(Paste_Report_Here!$A$1,0,$A778,2000,1),G$75)</f>
        <v>2</v>
      </c>
      <c r="H778" s="180">
        <f ca="1">COUNTIFS(Paste_Report_Here!$E$1:$E$2000,E750, OFFSET(Paste_Report_Here!$A$1,0,$A778,2000,1),H$75)</f>
        <v>28</v>
      </c>
      <c r="I778" s="180">
        <f ca="1">COUNTIFS(Paste_Report_Here!$E$1:$E$2000,E750, OFFSET(Paste_Report_Here!$A$1,0,$A778,2000,1),I$75)</f>
        <v>2</v>
      </c>
      <c r="J778" s="180">
        <f ca="1">COUNTIFS(Paste_Report_Here!$E$1:$E$2000,E750, OFFSET(Paste_Report_Here!$A$1,0,$A778,2000,1),J$75)</f>
        <v>0</v>
      </c>
      <c r="K778" s="181">
        <f ca="1">COUNTIFS(Paste_Report_Here!$E$1:$E$2000,E750, OFFSET(Paste_Report_Here!$A$1,0,$A778,2000,1),K$75)</f>
        <v>0</v>
      </c>
      <c r="L778" s="166">
        <f t="shared" ca="1" si="112"/>
        <v>32</v>
      </c>
      <c r="M778" s="183">
        <f ca="1">SUMPRODUCT(F778:K778,F754:K754)/L:L</f>
        <v>0</v>
      </c>
      <c r="N778" s="166">
        <f t="shared" ca="1" si="113"/>
        <v>1</v>
      </c>
      <c r="O778" s="165">
        <f t="shared" ca="1" si="115"/>
        <v>1145.0016989477658</v>
      </c>
      <c r="P778" s="165">
        <f t="shared" ca="1" si="114"/>
        <v>1145.0016989477658</v>
      </c>
    </row>
    <row r="779" spans="1:16" s="165" customFormat="1" x14ac:dyDescent="0.3">
      <c r="A779" s="165">
        <f>MATCH(Calcs!B779,Paste_Report_Here!$1:$1,0) -1</f>
        <v>28</v>
      </c>
      <c r="B779" s="165" t="s">
        <v>143</v>
      </c>
      <c r="C779" s="166">
        <f ca="1">RANK(N779,N757:N781)</f>
        <v>3</v>
      </c>
      <c r="D779" s="166">
        <f ca="1">RANK(P779,P756:P780)</f>
        <v>1</v>
      </c>
      <c r="E779" s="189" t="s">
        <v>172</v>
      </c>
      <c r="F779" s="179">
        <f ca="1">COUNTIFS(Paste_Report_Here!$E$1:$E$2000,E750, OFFSET(Paste_Report_Here!$A$1,0,$A779,2000,1),F$75)</f>
        <v>0</v>
      </c>
      <c r="G779" s="180">
        <f ca="1">COUNTIFS(Paste_Report_Here!$E$1:$E$2000,E750, OFFSET(Paste_Report_Here!$A$1,0,$A779,2000,1),G$75)</f>
        <v>1</v>
      </c>
      <c r="H779" s="180">
        <f ca="1">COUNTIFS(Paste_Report_Here!$E$1:$E$2000,E750, OFFSET(Paste_Report_Here!$A$1,0,$A779,2000,1),H$75)</f>
        <v>20</v>
      </c>
      <c r="I779" s="180">
        <f ca="1">COUNTIFS(Paste_Report_Here!$E$1:$E$2000,E750, OFFSET(Paste_Report_Here!$A$1,0,$A779,2000,1),I$75)</f>
        <v>9</v>
      </c>
      <c r="J779" s="180">
        <f ca="1">COUNTIFS(Paste_Report_Here!$E$1:$E$2000,E750, OFFSET(Paste_Report_Here!$A$1,0,$A779,2000,1),J$75)</f>
        <v>2</v>
      </c>
      <c r="K779" s="181">
        <f ca="1">COUNTIFS(Paste_Report_Here!$E$1:$E$2000,E750, OFFSET(Paste_Report_Here!$A$1,0,$A779,2000,1),K$75)</f>
        <v>0</v>
      </c>
      <c r="L779" s="166">
        <f t="shared" ca="1" si="112"/>
        <v>32</v>
      </c>
      <c r="M779" s="183">
        <f ca="1">SUMPRODUCT(F779:K779,F754:K754)/L:L</f>
        <v>1.2500000000000001E-2</v>
      </c>
      <c r="N779" s="166">
        <f t="shared" ca="1" si="113"/>
        <v>1.0125784515406344</v>
      </c>
      <c r="O779" s="165">
        <f t="shared" ca="1" si="115"/>
        <v>7982.4009302237455</v>
      </c>
      <c r="P779" s="165">
        <f t="shared" ca="1" si="114"/>
        <v>8082.8071735024796</v>
      </c>
    </row>
    <row r="780" spans="1:16" s="165" customFormat="1" x14ac:dyDescent="0.3">
      <c r="A780" s="165">
        <f>MATCH(Calcs!B780,Paste_Report_Here!$1:$1,0) -1</f>
        <v>29</v>
      </c>
      <c r="B780" s="187" t="s">
        <v>144</v>
      </c>
      <c r="C780" s="147">
        <f ca="1">RANK(N780,N756:N780)</f>
        <v>15</v>
      </c>
      <c r="D780" s="147">
        <f ca="1">RANK(P780,P756:P780)</f>
        <v>12</v>
      </c>
      <c r="E780" s="145" t="s">
        <v>173</v>
      </c>
      <c r="F780" s="146">
        <f ca="1">COUNTIFS(Paste_Report_Here!$E$1:$E$2000,E750, OFFSET(Paste_Report_Here!$A$1,0,$A780,2000,1),F$75)</f>
        <v>0</v>
      </c>
      <c r="G780" s="147">
        <f ca="1">COUNTIFS(Paste_Report_Here!$E$1:$E$2000,E750, OFFSET(Paste_Report_Here!$A$1,0,$A780,2000,1),G$75)</f>
        <v>1</v>
      </c>
      <c r="H780" s="147">
        <f ca="1">COUNTIFS(Paste_Report_Here!$E$1:$E$2000,E750, OFFSET(Paste_Report_Here!$A$1,0,$A780,2000,1),H$75)</f>
        <v>29</v>
      </c>
      <c r="I780" s="147">
        <f ca="1">COUNTIFS(Paste_Report_Here!$E$1:$E$2000,E750, OFFSET(Paste_Report_Here!$A$1,0,$A780,2000,1),I$75)</f>
        <v>2</v>
      </c>
      <c r="J780" s="147">
        <f ca="1">COUNTIFS(Paste_Report_Here!$E$1:$E$2000,E750, OFFSET(Paste_Report_Here!$A$1,0,$A780,2000,1),J$75)</f>
        <v>0</v>
      </c>
      <c r="K780" s="148">
        <f ca="1">COUNTIFS(Paste_Report_Here!$E$1:$E$2000,E750, OFFSET(Paste_Report_Here!$A$1,0,$A780,2000,1),K$75)</f>
        <v>0</v>
      </c>
      <c r="L780" s="147">
        <f t="shared" ca="1" si="112"/>
        <v>32</v>
      </c>
      <c r="M780" s="149">
        <f ca="1">SUMPRODUCT(F780:K780,F754:K754)/L:L</f>
        <v>0</v>
      </c>
      <c r="N780" s="147">
        <f t="shared" ca="1" si="113"/>
        <v>1</v>
      </c>
      <c r="O780" s="187">
        <f t="shared" ca="1" si="115"/>
        <v>2287.6229277911043</v>
      </c>
      <c r="P780" s="165">
        <f t="shared" ca="1" si="114"/>
        <v>2287.6229277911043</v>
      </c>
    </row>
    <row r="781" spans="1:16" s="165" customFormat="1" x14ac:dyDescent="0.3">
      <c r="C781" s="166"/>
      <c r="E781" s="140" t="s">
        <v>293</v>
      </c>
      <c r="F781" s="180">
        <f ca="1">SUM(F756:F780)</f>
        <v>0</v>
      </c>
      <c r="G781" s="180">
        <f t="shared" ref="G781:L781" ca="1" si="116">SUM(G756:G780)</f>
        <v>48</v>
      </c>
      <c r="H781" s="180">
        <f t="shared" ca="1" si="116"/>
        <v>552</v>
      </c>
      <c r="I781" s="180">
        <f t="shared" ca="1" si="116"/>
        <v>169</v>
      </c>
      <c r="J781" s="180">
        <f t="shared" ca="1" si="116"/>
        <v>29</v>
      </c>
      <c r="K781" s="180">
        <f t="shared" ca="1" si="116"/>
        <v>2</v>
      </c>
      <c r="L781" s="180">
        <f t="shared" ca="1" si="116"/>
        <v>800</v>
      </c>
      <c r="M781" s="144">
        <f ca="1">SUMPRODUCT(F781:K781,F754:K754)/L781</f>
        <v>7.2500000000000012E-3</v>
      </c>
      <c r="N781" s="166">
        <f t="shared" ca="1" si="113"/>
        <v>1.0072763448783053</v>
      </c>
      <c r="O781" s="165">
        <f t="shared" ca="1" si="115"/>
        <v>2654.3550396368601</v>
      </c>
      <c r="P781" s="165">
        <f t="shared" ca="1" si="114"/>
        <v>2673.6690423347254</v>
      </c>
    </row>
    <row r="782" spans="1:16" s="165" customFormat="1" x14ac:dyDescent="0.3">
      <c r="A782" s="194"/>
      <c r="B782" s="194"/>
      <c r="C782" s="153"/>
      <c r="D782" s="194"/>
      <c r="E782" s="164"/>
      <c r="F782" s="151"/>
      <c r="G782" s="151"/>
      <c r="H782" s="151"/>
      <c r="I782" s="151"/>
      <c r="J782" s="151"/>
      <c r="K782" s="151"/>
      <c r="L782" s="151"/>
      <c r="M782" s="162"/>
      <c r="N782" s="153"/>
      <c r="O782" s="194"/>
      <c r="P782" s="194"/>
    </row>
    <row r="783" spans="1:16" s="165" customFormat="1" x14ac:dyDescent="0.3">
      <c r="E783" s="173" t="s">
        <v>292</v>
      </c>
    </row>
    <row r="784" spans="1:16" s="165" customFormat="1" x14ac:dyDescent="0.3">
      <c r="E784" s="141">
        <v>41242</v>
      </c>
    </row>
    <row r="785" spans="1:16" s="165" customFormat="1" ht="15" thickBot="1" x14ac:dyDescent="0.35"/>
    <row r="786" spans="1:16" s="165" customFormat="1" ht="24.6" thickBot="1" x14ac:dyDescent="0.35">
      <c r="F786" s="174" t="s">
        <v>23</v>
      </c>
      <c r="G786" s="168" t="s">
        <v>18</v>
      </c>
      <c r="H786" s="168" t="s">
        <v>16</v>
      </c>
      <c r="I786" s="168" t="s">
        <v>17</v>
      </c>
      <c r="J786" s="168" t="s">
        <v>19</v>
      </c>
      <c r="K786" s="169" t="s">
        <v>114</v>
      </c>
    </row>
    <row r="787" spans="1:16" s="165" customFormat="1" x14ac:dyDescent="0.3">
      <c r="F787" s="267" t="s">
        <v>201</v>
      </c>
      <c r="G787" s="268"/>
      <c r="H787" s="268"/>
      <c r="I787" s="268"/>
      <c r="J787" s="268"/>
      <c r="K787" s="169"/>
      <c r="M787" s="203">
        <f ca="1">(H815+K815)/L815</f>
        <v>0.76588235294117646</v>
      </c>
      <c r="N787" s="204" t="s">
        <v>501</v>
      </c>
    </row>
    <row r="788" spans="1:16" s="165" customFormat="1" ht="43.8" thickBot="1" x14ac:dyDescent="0.35">
      <c r="A788" s="142" t="s">
        <v>294</v>
      </c>
      <c r="B788" s="142" t="s">
        <v>295</v>
      </c>
      <c r="C788" s="197" t="s">
        <v>440</v>
      </c>
      <c r="D788" s="142" t="s">
        <v>441</v>
      </c>
      <c r="E788" s="171" t="s">
        <v>30</v>
      </c>
      <c r="F788" s="175">
        <f>Falling_fast</f>
        <v>-0.2</v>
      </c>
      <c r="G788" s="176">
        <f>Falling</f>
        <v>0</v>
      </c>
      <c r="H788" s="177">
        <f>Static</f>
        <v>0</v>
      </c>
      <c r="I788" s="176">
        <f>Rising</f>
        <v>0</v>
      </c>
      <c r="J788" s="178">
        <f>Rising_fast</f>
        <v>0.2</v>
      </c>
      <c r="K788" s="182">
        <v>0</v>
      </c>
      <c r="L788" s="171" t="s">
        <v>28</v>
      </c>
      <c r="M788" s="172" t="s">
        <v>29</v>
      </c>
      <c r="N788" s="143" t="s">
        <v>296</v>
      </c>
      <c r="O788" s="142" t="s">
        <v>297</v>
      </c>
      <c r="P788" s="142" t="s">
        <v>298</v>
      </c>
    </row>
    <row r="789" spans="1:16" s="165" customFormat="1" x14ac:dyDescent="0.3">
      <c r="C789" s="166"/>
      <c r="E789" s="192"/>
      <c r="F789" s="198" t="s">
        <v>151</v>
      </c>
      <c r="G789" s="199" t="s">
        <v>149</v>
      </c>
      <c r="H789" s="199" t="s">
        <v>16</v>
      </c>
      <c r="I789" s="199" t="s">
        <v>148</v>
      </c>
      <c r="J789" s="199" t="s">
        <v>150</v>
      </c>
      <c r="K789" s="200" t="s">
        <v>114</v>
      </c>
      <c r="L789" s="166"/>
      <c r="M789" s="170"/>
      <c r="N789" s="166"/>
    </row>
    <row r="790" spans="1:16" s="165" customFormat="1" x14ac:dyDescent="0.3">
      <c r="A790" s="165">
        <f>MATCH(Calcs!B790,Paste_Report_Here!$1:$1,0) -1</f>
        <v>5</v>
      </c>
      <c r="B790" s="165" t="s">
        <v>124</v>
      </c>
      <c r="C790" s="166">
        <f ca="1">RANK(N790,N790:N814)</f>
        <v>1</v>
      </c>
      <c r="D790" s="166">
        <f ca="1">RANK(P790,P790:P814)</f>
        <v>14</v>
      </c>
      <c r="E790" s="189" t="s">
        <v>152</v>
      </c>
      <c r="F790" s="179">
        <f ca="1">COUNTIFS(Paste_Report_Here!$E$1:$E$2000,E784, OFFSET(Paste_Report_Here!$A$1,0,$A790,2000,1),F$75)</f>
        <v>1</v>
      </c>
      <c r="G790" s="180">
        <f ca="1">COUNTIFS(Paste_Report_Here!$E$1:$E$2000,E784, OFFSET(Paste_Report_Here!$A$1,0,$A790,2000,1),G$75)</f>
        <v>2</v>
      </c>
      <c r="H790" s="180">
        <f ca="1">COUNTIFS(Paste_Report_Here!$E$1:$E$2000,E784, OFFSET(Paste_Report_Here!$A$1,0,$A790,2000,1),H$75)</f>
        <v>23</v>
      </c>
      <c r="I790" s="180">
        <f ca="1">COUNTIFS(Paste_Report_Here!$E$1:$E$2000,E784, OFFSET(Paste_Report_Here!$A$1,0,$A790,2000,1),I$75)</f>
        <v>4</v>
      </c>
      <c r="J790" s="180">
        <f ca="1">COUNTIFS(Paste_Report_Here!$E$1:$E$2000,E784, OFFSET(Paste_Report_Here!$A$1,0,$A790,2000,1),J$75)</f>
        <v>4</v>
      </c>
      <c r="K790" s="181">
        <f ca="1">COUNTIFS(Paste_Report_Here!$E$1:$E$2000,E784, OFFSET(Paste_Report_Here!$A$1,0,$A790,2000,1),K$75)</f>
        <v>0</v>
      </c>
      <c r="L790" s="166">
        <f t="shared" ref="L790:L814" ca="1" si="117">SUM(F790:K790)</f>
        <v>34</v>
      </c>
      <c r="M790" s="183">
        <f ca="1">SUMPRODUCT(F790:K790,F788:K788)/L:L</f>
        <v>1.7647058823529415E-2</v>
      </c>
      <c r="N790" s="166">
        <f t="shared" ref="N790:N815" ca="1" si="118">EXP(M790)</f>
        <v>1.017803688158603</v>
      </c>
      <c r="O790" s="165">
        <f ca="1">P756</f>
        <v>2139.4084556449857</v>
      </c>
      <c r="P790" s="165">
        <f t="shared" ref="P790:P815" ca="1" si="119">O790*N790</f>
        <v>2177.4978166331675</v>
      </c>
    </row>
    <row r="791" spans="1:16" s="165" customFormat="1" x14ac:dyDescent="0.3">
      <c r="A791" s="165">
        <f>MATCH(Calcs!B791,Paste_Report_Here!$1:$1,0) -1</f>
        <v>6</v>
      </c>
      <c r="B791" s="165" t="s">
        <v>125</v>
      </c>
      <c r="C791" s="166">
        <f ca="1">RANK(N791,N790:N814)</f>
        <v>10</v>
      </c>
      <c r="D791" s="166">
        <f ca="1">RANK(P791,P790:P814)</f>
        <v>13</v>
      </c>
      <c r="E791" s="189" t="s">
        <v>153</v>
      </c>
      <c r="F791" s="179">
        <f ca="1">COUNTIFS(Paste_Report_Here!$E$1:$E$2000,E784, OFFSET(Paste_Report_Here!$A$1,0,$A791,2000,1),F$75)</f>
        <v>0</v>
      </c>
      <c r="G791" s="180">
        <f ca="1">COUNTIFS(Paste_Report_Here!$E$1:$E$2000,E784, OFFSET(Paste_Report_Here!$A$1,0,$A791,2000,1),G$75)</f>
        <v>4</v>
      </c>
      <c r="H791" s="180">
        <f ca="1">COUNTIFS(Paste_Report_Here!$E$1:$E$2000,E784, OFFSET(Paste_Report_Here!$A$1,0,$A791,2000,1),H$75)</f>
        <v>27</v>
      </c>
      <c r="I791" s="180">
        <f ca="1">COUNTIFS(Paste_Report_Here!$E$1:$E$2000,E784, OFFSET(Paste_Report_Here!$A$1,0,$A791,2000,1),I$75)</f>
        <v>2</v>
      </c>
      <c r="J791" s="180">
        <f ca="1">COUNTIFS(Paste_Report_Here!$E$1:$E$2000,E784, OFFSET(Paste_Report_Here!$A$1,0,$A791,2000,1),J$75)</f>
        <v>0</v>
      </c>
      <c r="K791" s="181">
        <f ca="1">COUNTIFS(Paste_Report_Here!$E$1:$E$2000,E784, OFFSET(Paste_Report_Here!$A$1,0,$A791,2000,1),K$75)</f>
        <v>1</v>
      </c>
      <c r="L791" s="166">
        <f t="shared" ca="1" si="117"/>
        <v>34</v>
      </c>
      <c r="M791" s="183">
        <f ca="1">SUMPRODUCT(F791:K791,F788:K788)/L:L</f>
        <v>0</v>
      </c>
      <c r="N791" s="166">
        <f t="shared" ca="1" si="118"/>
        <v>1</v>
      </c>
      <c r="O791" s="165">
        <f t="shared" ref="O791:O815" ca="1" si="120">P757</f>
        <v>2179.4940869137918</v>
      </c>
      <c r="P791" s="165">
        <f t="shared" ca="1" si="119"/>
        <v>2179.4940869137918</v>
      </c>
    </row>
    <row r="792" spans="1:16" s="165" customFormat="1" x14ac:dyDescent="0.3">
      <c r="A792" s="165">
        <f>MATCH(Calcs!B792,Paste_Report_Here!$1:$1,0) -1</f>
        <v>7</v>
      </c>
      <c r="B792" s="165" t="s">
        <v>126</v>
      </c>
      <c r="C792" s="166">
        <f ca="1">RANK(N792,N790:N814)</f>
        <v>10</v>
      </c>
      <c r="D792" s="166">
        <f ca="1">RANK(P792,P790:P814)</f>
        <v>7</v>
      </c>
      <c r="E792" s="189" t="s">
        <v>154</v>
      </c>
      <c r="F792" s="179">
        <f ca="1">COUNTIFS(Paste_Report_Here!$E$1:$E$2000,E784, OFFSET(Paste_Report_Here!$A$1,0,$A792,2000,1),F$75)</f>
        <v>0</v>
      </c>
      <c r="G792" s="180">
        <f ca="1">COUNTIFS(Paste_Report_Here!$E$1:$E$2000,E784, OFFSET(Paste_Report_Here!$A$1,0,$A792,2000,1),G$75)</f>
        <v>5</v>
      </c>
      <c r="H792" s="180">
        <f ca="1">COUNTIFS(Paste_Report_Here!$E$1:$E$2000,E784, OFFSET(Paste_Report_Here!$A$1,0,$A792,2000,1),H$75)</f>
        <v>24</v>
      </c>
      <c r="I792" s="180">
        <f ca="1">COUNTIFS(Paste_Report_Here!$E$1:$E$2000,E784, OFFSET(Paste_Report_Here!$A$1,0,$A792,2000,1),I$75)</f>
        <v>5</v>
      </c>
      <c r="J792" s="180">
        <f ca="1">COUNTIFS(Paste_Report_Here!$E$1:$E$2000,E784, OFFSET(Paste_Report_Here!$A$1,0,$A792,2000,1),J$75)</f>
        <v>0</v>
      </c>
      <c r="K792" s="181">
        <f ca="1">COUNTIFS(Paste_Report_Here!$E$1:$E$2000,E784, OFFSET(Paste_Report_Here!$A$1,0,$A792,2000,1),K$75)</f>
        <v>0</v>
      </c>
      <c r="L792" s="166">
        <f t="shared" ca="1" si="117"/>
        <v>34</v>
      </c>
      <c r="M792" s="183">
        <f ca="1">SUMPRODUCT(F792:K792,F788:K788)/L:L</f>
        <v>0</v>
      </c>
      <c r="N792" s="166">
        <f t="shared" ca="1" si="118"/>
        <v>1</v>
      </c>
      <c r="O792" s="165">
        <f t="shared" ca="1" si="120"/>
        <v>2843.5961797985524</v>
      </c>
      <c r="P792" s="165">
        <f t="shared" ca="1" si="119"/>
        <v>2843.5961797985524</v>
      </c>
    </row>
    <row r="793" spans="1:16" s="165" customFormat="1" x14ac:dyDescent="0.3">
      <c r="A793" s="165">
        <f>MATCH(Calcs!B793,Paste_Report_Here!$1:$1,0) -1</f>
        <v>8</v>
      </c>
      <c r="B793" s="165" t="s">
        <v>127</v>
      </c>
      <c r="C793" s="166">
        <f ca="1">RANK(N793,N790:N814)</f>
        <v>10</v>
      </c>
      <c r="D793" s="166">
        <f ca="1">RANK(P793,P790:P814)</f>
        <v>8</v>
      </c>
      <c r="E793" s="189" t="s">
        <v>155</v>
      </c>
      <c r="F793" s="179">
        <f ca="1">COUNTIFS(Paste_Report_Here!$E$1:$E$2000,E784, OFFSET(Paste_Report_Here!$A$1,0,$A793,2000,1),F$75)</f>
        <v>0</v>
      </c>
      <c r="G793" s="180">
        <f ca="1">COUNTIFS(Paste_Report_Here!$E$1:$E$2000,E784, OFFSET(Paste_Report_Here!$A$1,0,$A793,2000,1),G$75)</f>
        <v>1</v>
      </c>
      <c r="H793" s="180">
        <f ca="1">COUNTIFS(Paste_Report_Here!$E$1:$E$2000,E784, OFFSET(Paste_Report_Here!$A$1,0,$A793,2000,1),H$75)</f>
        <v>26</v>
      </c>
      <c r="I793" s="180">
        <f ca="1">COUNTIFS(Paste_Report_Here!$E$1:$E$2000,E784, OFFSET(Paste_Report_Here!$A$1,0,$A793,2000,1),I$75)</f>
        <v>7</v>
      </c>
      <c r="J793" s="180">
        <f ca="1">COUNTIFS(Paste_Report_Here!$E$1:$E$2000,E784, OFFSET(Paste_Report_Here!$A$1,0,$A793,2000,1),J$75)</f>
        <v>0</v>
      </c>
      <c r="K793" s="181">
        <f ca="1">COUNTIFS(Paste_Report_Here!$E$1:$E$2000,E784, OFFSET(Paste_Report_Here!$A$1,0,$A793,2000,1),K$75)</f>
        <v>0</v>
      </c>
      <c r="L793" s="166">
        <f t="shared" ca="1" si="117"/>
        <v>34</v>
      </c>
      <c r="M793" s="183">
        <f ca="1">SUMPRODUCT(F793:K793,F788:K788)/L:L</f>
        <v>0</v>
      </c>
      <c r="N793" s="166">
        <f t="shared" ca="1" si="118"/>
        <v>1</v>
      </c>
      <c r="O793" s="165">
        <f t="shared" ca="1" si="120"/>
        <v>2788.1942510076815</v>
      </c>
      <c r="P793" s="165">
        <f t="shared" ca="1" si="119"/>
        <v>2788.1942510076815</v>
      </c>
    </row>
    <row r="794" spans="1:16" s="165" customFormat="1" x14ac:dyDescent="0.3">
      <c r="A794" s="165">
        <f>MATCH(Calcs!B794,Paste_Report_Here!$1:$1,0) -1</f>
        <v>9</v>
      </c>
      <c r="B794" s="165" t="s">
        <v>214</v>
      </c>
      <c r="C794" s="166">
        <f ca="1">RANK(N794,N790:N814)</f>
        <v>10</v>
      </c>
      <c r="D794" s="166">
        <f ca="1">RANK(P794,P790:P814)</f>
        <v>5</v>
      </c>
      <c r="E794" s="189" t="s">
        <v>156</v>
      </c>
      <c r="F794" s="179">
        <f ca="1">COUNTIFS(Paste_Report_Here!$E$1:$E$2000,E784, OFFSET(Paste_Report_Here!$A$1,0,$A794,2000,1),F$75)</f>
        <v>0</v>
      </c>
      <c r="G794" s="180">
        <f ca="1">COUNTIFS(Paste_Report_Here!$E$1:$E$2000,E784, OFFSET(Paste_Report_Here!$A$1,0,$A794,2000,1),G$75)</f>
        <v>1</v>
      </c>
      <c r="H794" s="180">
        <f ca="1">COUNTIFS(Paste_Report_Here!$E$1:$E$2000,E784, OFFSET(Paste_Report_Here!$A$1,0,$A794,2000,1),H$75)</f>
        <v>26</v>
      </c>
      <c r="I794" s="180">
        <f ca="1">COUNTIFS(Paste_Report_Here!$E$1:$E$2000,E784, OFFSET(Paste_Report_Here!$A$1,0,$A794,2000,1),I$75)</f>
        <v>7</v>
      </c>
      <c r="J794" s="180">
        <f ca="1">COUNTIFS(Paste_Report_Here!$E$1:$E$2000,E784, OFFSET(Paste_Report_Here!$A$1,0,$A794,2000,1),J$75)</f>
        <v>0</v>
      </c>
      <c r="K794" s="181">
        <f ca="1">COUNTIFS(Paste_Report_Here!$E$1:$E$2000,E784, OFFSET(Paste_Report_Here!$A$1,0,$A794,2000,1),K$75)</f>
        <v>0</v>
      </c>
      <c r="L794" s="166">
        <f t="shared" ca="1" si="117"/>
        <v>34</v>
      </c>
      <c r="M794" s="183">
        <f ca="1">SUMPRODUCT(F794:K794,F788:K788)/L:L</f>
        <v>0</v>
      </c>
      <c r="N794" s="166">
        <f t="shared" ca="1" si="118"/>
        <v>1</v>
      </c>
      <c r="O794" s="165">
        <f t="shared" ca="1" si="120"/>
        <v>3633.4128258221881</v>
      </c>
      <c r="P794" s="165">
        <f t="shared" ca="1" si="119"/>
        <v>3633.4128258221881</v>
      </c>
    </row>
    <row r="795" spans="1:16" s="165" customFormat="1" x14ac:dyDescent="0.3">
      <c r="A795" s="165">
        <f>MATCH(Calcs!B795,Paste_Report_Here!$1:$1,0) -1</f>
        <v>10</v>
      </c>
      <c r="B795" s="165" t="s">
        <v>128</v>
      </c>
      <c r="C795" s="166">
        <f ca="1">RANK(N795,N790:N814)</f>
        <v>4</v>
      </c>
      <c r="D795" s="166">
        <f ca="1">RANK(P795,P790:P814)</f>
        <v>21</v>
      </c>
      <c r="E795" s="189" t="s">
        <v>157</v>
      </c>
      <c r="F795" s="179">
        <f ca="1">COUNTIFS(Paste_Report_Here!$E$1:$E$2000,E784, OFFSET(Paste_Report_Here!$A$1,0,$A795,2000,1),F$75)</f>
        <v>0</v>
      </c>
      <c r="G795" s="180">
        <f ca="1">COUNTIFS(Paste_Report_Here!$E$1:$E$2000,E784, OFFSET(Paste_Report_Here!$A$1,0,$A795,2000,1),G$75)</f>
        <v>1</v>
      </c>
      <c r="H795" s="180">
        <f ca="1">COUNTIFS(Paste_Report_Here!$E$1:$E$2000,E784, OFFSET(Paste_Report_Here!$A$1,0,$A795,2000,1),H$75)</f>
        <v>27</v>
      </c>
      <c r="I795" s="180">
        <f ca="1">COUNTIFS(Paste_Report_Here!$E$1:$E$2000,E784, OFFSET(Paste_Report_Here!$A$1,0,$A795,2000,1),I$75)</f>
        <v>5</v>
      </c>
      <c r="J795" s="180">
        <f ca="1">COUNTIFS(Paste_Report_Here!$E$1:$E$2000,E784, OFFSET(Paste_Report_Here!$A$1,0,$A795,2000,1),J$75)</f>
        <v>1</v>
      </c>
      <c r="K795" s="181">
        <f ca="1">COUNTIFS(Paste_Report_Here!$E$1:$E$2000,E784, OFFSET(Paste_Report_Here!$A$1,0,$A795,2000,1),K$75)</f>
        <v>0</v>
      </c>
      <c r="L795" s="166">
        <f t="shared" ca="1" si="117"/>
        <v>34</v>
      </c>
      <c r="M795" s="183">
        <f ca="1">SUMPRODUCT(F795:K795,F788:K788)/L:L</f>
        <v>5.8823529411764705E-3</v>
      </c>
      <c r="N795" s="166">
        <f t="shared" ca="1" si="118"/>
        <v>1.0058996879527893</v>
      </c>
      <c r="O795" s="165">
        <f t="shared" ca="1" si="120"/>
        <v>1683.3282224827076</v>
      </c>
      <c r="P795" s="165">
        <f t="shared" ca="1" si="119"/>
        <v>1693.259333717479</v>
      </c>
    </row>
    <row r="796" spans="1:16" s="165" customFormat="1" x14ac:dyDescent="0.3">
      <c r="A796" s="165">
        <f>MATCH(Calcs!B796,Paste_Report_Here!$1:$1,0) -1</f>
        <v>11</v>
      </c>
      <c r="B796" s="165" t="s">
        <v>129</v>
      </c>
      <c r="C796" s="166">
        <f ca="1">RANK(N796,N790:N814)</f>
        <v>4</v>
      </c>
      <c r="D796" s="166">
        <f ca="1">RANK(P796,P790:P814)</f>
        <v>9</v>
      </c>
      <c r="E796" s="189" t="s">
        <v>158</v>
      </c>
      <c r="F796" s="179">
        <f ca="1">COUNTIFS(Paste_Report_Here!$E$1:$E$2000,E784, OFFSET(Paste_Report_Here!$A$1,0,$A796,2000,1),F$75)</f>
        <v>0</v>
      </c>
      <c r="G796" s="180">
        <f ca="1">COUNTIFS(Paste_Report_Here!$E$1:$E$2000,E784, OFFSET(Paste_Report_Here!$A$1,0,$A796,2000,1),G$75)</f>
        <v>1</v>
      </c>
      <c r="H796" s="180">
        <f ca="1">COUNTIFS(Paste_Report_Here!$E$1:$E$2000,E784, OFFSET(Paste_Report_Here!$A$1,0,$A796,2000,1),H$75)</f>
        <v>26</v>
      </c>
      <c r="I796" s="180">
        <f ca="1">COUNTIFS(Paste_Report_Here!$E$1:$E$2000,E784, OFFSET(Paste_Report_Here!$A$1,0,$A796,2000,1),I$75)</f>
        <v>6</v>
      </c>
      <c r="J796" s="180">
        <f ca="1">COUNTIFS(Paste_Report_Here!$E$1:$E$2000,E784, OFFSET(Paste_Report_Here!$A$1,0,$A796,2000,1),J$75)</f>
        <v>1</v>
      </c>
      <c r="K796" s="181">
        <f ca="1">COUNTIFS(Paste_Report_Here!$E$1:$E$2000,E784, OFFSET(Paste_Report_Here!$A$1,0,$A796,2000,1),K$75)</f>
        <v>0</v>
      </c>
      <c r="L796" s="166">
        <f t="shared" ca="1" si="117"/>
        <v>34</v>
      </c>
      <c r="M796" s="183">
        <f ca="1">SUMPRODUCT(F796:K796,F788:K788)/L:L</f>
        <v>5.8823529411764705E-3</v>
      </c>
      <c r="N796" s="166">
        <f t="shared" ca="1" si="118"/>
        <v>1.0058996879527893</v>
      </c>
      <c r="O796" s="165">
        <f t="shared" ca="1" si="120"/>
        <v>2560.1111133729532</v>
      </c>
      <c r="P796" s="165">
        <f t="shared" ca="1" si="119"/>
        <v>2575.2149700663217</v>
      </c>
    </row>
    <row r="797" spans="1:16" s="165" customFormat="1" x14ac:dyDescent="0.3">
      <c r="A797" s="165">
        <f>MATCH(Calcs!B797,Paste_Report_Here!$1:$1,0) -1</f>
        <v>12</v>
      </c>
      <c r="B797" s="165" t="s">
        <v>130</v>
      </c>
      <c r="C797" s="166">
        <f ca="1">RANK(N797,N790:N814)</f>
        <v>23</v>
      </c>
      <c r="D797" s="166">
        <f ca="1">RANK(P797,P790:P814)</f>
        <v>10</v>
      </c>
      <c r="E797" s="189" t="s">
        <v>159</v>
      </c>
      <c r="F797" s="179">
        <f ca="1">COUNTIFS(Paste_Report_Here!$E$1:$E$2000,E784, OFFSET(Paste_Report_Here!$A$1,0,$A797,2000,1),F$75)</f>
        <v>1</v>
      </c>
      <c r="G797" s="180">
        <f ca="1">COUNTIFS(Paste_Report_Here!$E$1:$E$2000,E784, OFFSET(Paste_Report_Here!$A$1,0,$A797,2000,1),G$75)</f>
        <v>1</v>
      </c>
      <c r="H797" s="180">
        <f ca="1">COUNTIFS(Paste_Report_Here!$E$1:$E$2000,E784, OFFSET(Paste_Report_Here!$A$1,0,$A797,2000,1),H$75)</f>
        <v>26</v>
      </c>
      <c r="I797" s="180">
        <f ca="1">COUNTIFS(Paste_Report_Here!$E$1:$E$2000,E784, OFFSET(Paste_Report_Here!$A$1,0,$A797,2000,1),I$75)</f>
        <v>6</v>
      </c>
      <c r="J797" s="180">
        <f ca="1">COUNTIFS(Paste_Report_Here!$E$1:$E$2000,E784, OFFSET(Paste_Report_Here!$A$1,0,$A797,2000,1),J$75)</f>
        <v>0</v>
      </c>
      <c r="K797" s="181">
        <f ca="1">COUNTIFS(Paste_Report_Here!$E$1:$E$2000,E784, OFFSET(Paste_Report_Here!$A$1,0,$A797,2000,1),K$75)</f>
        <v>0</v>
      </c>
      <c r="L797" s="166">
        <f t="shared" ca="1" si="117"/>
        <v>34</v>
      </c>
      <c r="M797" s="183">
        <f ca="1">SUMPRODUCT(F797:K797,F788:K788)/L:L</f>
        <v>-5.8823529411764705E-3</v>
      </c>
      <c r="N797" s="166">
        <f t="shared" ca="1" si="118"/>
        <v>0.99413491422311084</v>
      </c>
      <c r="O797" s="165">
        <f t="shared" ca="1" si="120"/>
        <v>2354.4298124257043</v>
      </c>
      <c r="P797" s="165">
        <f t="shared" ca="1" si="119"/>
        <v>2340.6208796201627</v>
      </c>
    </row>
    <row r="798" spans="1:16" s="165" customFormat="1" x14ac:dyDescent="0.3">
      <c r="A798" s="165">
        <f>MATCH(Calcs!B798,Paste_Report_Here!$1:$1,0) -1</f>
        <v>13</v>
      </c>
      <c r="B798" s="165" t="s">
        <v>131</v>
      </c>
      <c r="C798" s="166">
        <f ca="1">RANK(N798,N790:N814)</f>
        <v>2</v>
      </c>
      <c r="D798" s="166">
        <f ca="1">RANK(P798,P790:P814)</f>
        <v>2</v>
      </c>
      <c r="E798" s="189" t="s">
        <v>160</v>
      </c>
      <c r="F798" s="179">
        <f ca="1">COUNTIFS(Paste_Report_Here!$E$1:$E$2000,E784, OFFSET(Paste_Report_Here!$A$1,0,$A798,2000,1),F$75)</f>
        <v>0</v>
      </c>
      <c r="G798" s="180">
        <f ca="1">COUNTIFS(Paste_Report_Here!$E$1:$E$2000,E784, OFFSET(Paste_Report_Here!$A$1,0,$A798,2000,1),G$75)</f>
        <v>1</v>
      </c>
      <c r="H798" s="180">
        <f ca="1">COUNTIFS(Paste_Report_Here!$E$1:$E$2000,E784, OFFSET(Paste_Report_Here!$A$1,0,$A798,2000,1),H$75)</f>
        <v>22</v>
      </c>
      <c r="I798" s="180">
        <f ca="1">COUNTIFS(Paste_Report_Here!$E$1:$E$2000,E784, OFFSET(Paste_Report_Here!$A$1,0,$A798,2000,1),I$75)</f>
        <v>9</v>
      </c>
      <c r="J798" s="180">
        <f ca="1">COUNTIFS(Paste_Report_Here!$E$1:$E$2000,E784, OFFSET(Paste_Report_Here!$A$1,0,$A798,2000,1),J$75)</f>
        <v>2</v>
      </c>
      <c r="K798" s="181">
        <f ca="1">COUNTIFS(Paste_Report_Here!$E$1:$E$2000,E784, OFFSET(Paste_Report_Here!$A$1,0,$A798,2000,1),K$75)</f>
        <v>0</v>
      </c>
      <c r="L798" s="166">
        <f t="shared" ca="1" si="117"/>
        <v>34</v>
      </c>
      <c r="M798" s="183">
        <f ca="1">SUMPRODUCT(F798:K798,F788:K788)/L:L</f>
        <v>1.1764705882352941E-2</v>
      </c>
      <c r="N798" s="166">
        <f t="shared" ca="1" si="118"/>
        <v>1.0118341822235186</v>
      </c>
      <c r="O798" s="165">
        <f t="shared" ca="1" si="120"/>
        <v>4136.2172874398893</v>
      </c>
      <c r="P798" s="165">
        <f t="shared" ca="1" si="119"/>
        <v>4185.166036535521</v>
      </c>
    </row>
    <row r="799" spans="1:16" s="165" customFormat="1" x14ac:dyDescent="0.3">
      <c r="A799" s="165">
        <f>MATCH(Calcs!B799,Paste_Report_Here!$1:$1,0) -1</f>
        <v>14</v>
      </c>
      <c r="B799" s="165" t="s">
        <v>132</v>
      </c>
      <c r="C799" s="166">
        <f t="shared" ref="C799:C804" ca="1" si="121">RANK(N799,N788:N812)</f>
        <v>4</v>
      </c>
      <c r="D799" s="166">
        <f ca="1">RANK(P799,P790:P814)</f>
        <v>18</v>
      </c>
      <c r="E799" s="189" t="s">
        <v>161</v>
      </c>
      <c r="F799" s="179">
        <f ca="1">COUNTIFS(Paste_Report_Here!$E$1:$E$2000,E784, OFFSET(Paste_Report_Here!$A$1,0,$A799,2000,1),F$75)</f>
        <v>0</v>
      </c>
      <c r="G799" s="180">
        <f ca="1">COUNTIFS(Paste_Report_Here!$E$1:$E$2000,E784, OFFSET(Paste_Report_Here!$A$1,0,$A799,2000,1),G$75)</f>
        <v>1</v>
      </c>
      <c r="H799" s="180">
        <f ca="1">COUNTIFS(Paste_Report_Here!$E$1:$E$2000,E784, OFFSET(Paste_Report_Here!$A$1,0,$A799,2000,1),H$75)</f>
        <v>24</v>
      </c>
      <c r="I799" s="180">
        <f ca="1">COUNTIFS(Paste_Report_Here!$E$1:$E$2000,E784, OFFSET(Paste_Report_Here!$A$1,0,$A799,2000,1),I$75)</f>
        <v>8</v>
      </c>
      <c r="J799" s="180">
        <f ca="1">COUNTIFS(Paste_Report_Here!$E$1:$E$2000,E784, OFFSET(Paste_Report_Here!$A$1,0,$A799,2000,1),J$75)</f>
        <v>1</v>
      </c>
      <c r="K799" s="181">
        <f ca="1">COUNTIFS(Paste_Report_Here!$E$1:$E$2000,E784, OFFSET(Paste_Report_Here!$A$1,0,$A799,2000,1),K$75)</f>
        <v>0</v>
      </c>
      <c r="L799" s="166">
        <f t="shared" ca="1" si="117"/>
        <v>34</v>
      </c>
      <c r="M799" s="183">
        <f ca="1">SUMPRODUCT(F799:K799,F788:K788)/L:L</f>
        <v>5.8823529411764705E-3</v>
      </c>
      <c r="N799" s="166">
        <f t="shared" ca="1" si="118"/>
        <v>1.0058996879527893</v>
      </c>
      <c r="O799" s="165">
        <f t="shared" ca="1" si="120"/>
        <v>2084.2772407100779</v>
      </c>
      <c r="P799" s="165">
        <f t="shared" ca="1" si="119"/>
        <v>2096.5738260373678</v>
      </c>
    </row>
    <row r="800" spans="1:16" s="165" customFormat="1" x14ac:dyDescent="0.3">
      <c r="A800" s="165">
        <f>MATCH(Calcs!B800,Paste_Report_Here!$1:$1,0) -1</f>
        <v>15</v>
      </c>
      <c r="B800" s="165" t="s">
        <v>133</v>
      </c>
      <c r="C800" s="166">
        <f t="shared" ca="1" si="121"/>
        <v>10</v>
      </c>
      <c r="D800" s="166">
        <f ca="1">RANK(P800,P790:P814)</f>
        <v>6</v>
      </c>
      <c r="E800" s="189" t="s">
        <v>162</v>
      </c>
      <c r="F800" s="179">
        <f ca="1">COUNTIFS(Paste_Report_Here!$E$1:$E$2000,E784, OFFSET(Paste_Report_Here!$A$1,0,$A800,2000,1),F$75)</f>
        <v>0</v>
      </c>
      <c r="G800" s="180">
        <f ca="1">COUNTIFS(Paste_Report_Here!$E$1:$E$2000,E784, OFFSET(Paste_Report_Here!$A$1,0,$A800,2000,1),G$75)</f>
        <v>1</v>
      </c>
      <c r="H800" s="180">
        <f ca="1">COUNTIFS(Paste_Report_Here!$E$1:$E$2000,E784, OFFSET(Paste_Report_Here!$A$1,0,$A800,2000,1),H$75)</f>
        <v>23</v>
      </c>
      <c r="I800" s="180">
        <f ca="1">COUNTIFS(Paste_Report_Here!$E$1:$E$2000,E784, OFFSET(Paste_Report_Here!$A$1,0,$A800,2000,1),I$75)</f>
        <v>10</v>
      </c>
      <c r="J800" s="180">
        <f ca="1">COUNTIFS(Paste_Report_Here!$E$1:$E$2000,E784, OFFSET(Paste_Report_Here!$A$1,0,$A800,2000,1),J$75)</f>
        <v>0</v>
      </c>
      <c r="K800" s="181">
        <f ca="1">COUNTIFS(Paste_Report_Here!$E$1:$E$2000,E784, OFFSET(Paste_Report_Here!$A$1,0,$A800,2000,1),K$75)</f>
        <v>0</v>
      </c>
      <c r="L800" s="166">
        <f t="shared" ca="1" si="117"/>
        <v>34</v>
      </c>
      <c r="M800" s="183">
        <f ca="1">SUMPRODUCT(F800:K800,F788:K788)/L:L</f>
        <v>0</v>
      </c>
      <c r="N800" s="166">
        <f t="shared" ca="1" si="118"/>
        <v>1</v>
      </c>
      <c r="O800" s="165">
        <f t="shared" ca="1" si="120"/>
        <v>2972.6324288545434</v>
      </c>
      <c r="P800" s="165">
        <f t="shared" ca="1" si="119"/>
        <v>2972.6324288545434</v>
      </c>
    </row>
    <row r="801" spans="1:16" s="165" customFormat="1" x14ac:dyDescent="0.3">
      <c r="A801" s="165">
        <f>MATCH(Calcs!B801,Paste_Report_Here!$1:$1,0) -1</f>
        <v>16</v>
      </c>
      <c r="B801" s="165" t="s">
        <v>134</v>
      </c>
      <c r="C801" s="166">
        <f t="shared" ca="1" si="121"/>
        <v>10</v>
      </c>
      <c r="D801" s="166">
        <f ca="1">RANK(P801,P790:P814)</f>
        <v>24</v>
      </c>
      <c r="E801" s="189" t="s">
        <v>163</v>
      </c>
      <c r="F801" s="179">
        <f ca="1">COUNTIFS(Paste_Report_Here!$E$1:$E$2000,E784, OFFSET(Paste_Report_Here!$A$1,0,$A801,2000,1),F$75)</f>
        <v>0</v>
      </c>
      <c r="G801" s="180">
        <f ca="1">COUNTIFS(Paste_Report_Here!$E$1:$E$2000,E784, OFFSET(Paste_Report_Here!$A$1,0,$A801,2000,1),G$75)</f>
        <v>3</v>
      </c>
      <c r="H801" s="180">
        <f ca="1">COUNTIFS(Paste_Report_Here!$E$1:$E$2000,E784, OFFSET(Paste_Report_Here!$A$1,0,$A801,2000,1),H$75)</f>
        <v>27</v>
      </c>
      <c r="I801" s="180">
        <f ca="1">COUNTIFS(Paste_Report_Here!$E$1:$E$2000,E784, OFFSET(Paste_Report_Here!$A$1,0,$A801,2000,1),I$75)</f>
        <v>4</v>
      </c>
      <c r="J801" s="180">
        <f ca="1">COUNTIFS(Paste_Report_Here!$E$1:$E$2000,E784, OFFSET(Paste_Report_Here!$A$1,0,$A801,2000,1),J$75)</f>
        <v>0</v>
      </c>
      <c r="K801" s="181">
        <f ca="1">COUNTIFS(Paste_Report_Here!$E$1:$E$2000,E784, OFFSET(Paste_Report_Here!$A$1,0,$A801,2000,1),K$75)</f>
        <v>0</v>
      </c>
      <c r="L801" s="166">
        <f t="shared" ca="1" si="117"/>
        <v>34</v>
      </c>
      <c r="M801" s="183">
        <f ca="1">SUMPRODUCT(F801:K801,F788:K788)/L:L</f>
        <v>0</v>
      </c>
      <c r="N801" s="166">
        <f t="shared" ca="1" si="118"/>
        <v>1</v>
      </c>
      <c r="O801" s="165">
        <f t="shared" ca="1" si="120"/>
        <v>1180.494027289222</v>
      </c>
      <c r="P801" s="165">
        <f t="shared" ca="1" si="119"/>
        <v>1180.494027289222</v>
      </c>
    </row>
    <row r="802" spans="1:16" s="165" customFormat="1" x14ac:dyDescent="0.3">
      <c r="A802" s="165">
        <f>MATCH(Calcs!B802,Paste_Report_Here!$1:$1,0) -1</f>
        <v>17</v>
      </c>
      <c r="B802" s="165" t="s">
        <v>135</v>
      </c>
      <c r="C802" s="166">
        <f t="shared" ca="1" si="121"/>
        <v>10</v>
      </c>
      <c r="D802" s="166">
        <f ca="1">RANK(P802,P790:P814)</f>
        <v>20</v>
      </c>
      <c r="E802" s="189" t="s">
        <v>164</v>
      </c>
      <c r="F802" s="179">
        <f ca="1">COUNTIFS(Paste_Report_Here!$E$1:$E$2000,E784, OFFSET(Paste_Report_Here!$A$1,0,$A802,2000,1),F$75)</f>
        <v>0</v>
      </c>
      <c r="G802" s="180">
        <f ca="1">COUNTIFS(Paste_Report_Here!$E$1:$E$2000,E784, OFFSET(Paste_Report_Here!$A$1,0,$A802,2000,1),G$75)</f>
        <v>1</v>
      </c>
      <c r="H802" s="180">
        <f ca="1">COUNTIFS(Paste_Report_Here!$E$1:$E$2000,E784, OFFSET(Paste_Report_Here!$A$1,0,$A802,2000,1),H$75)</f>
        <v>24</v>
      </c>
      <c r="I802" s="180">
        <f ca="1">COUNTIFS(Paste_Report_Here!$E$1:$E$2000,E784, OFFSET(Paste_Report_Here!$A$1,0,$A802,2000,1),I$75)</f>
        <v>9</v>
      </c>
      <c r="J802" s="180">
        <f ca="1">COUNTIFS(Paste_Report_Here!$E$1:$E$2000,E784, OFFSET(Paste_Report_Here!$A$1,0,$A802,2000,1),J$75)</f>
        <v>0</v>
      </c>
      <c r="K802" s="181">
        <f ca="1">COUNTIFS(Paste_Report_Here!$E$1:$E$2000,E784, OFFSET(Paste_Report_Here!$A$1,0,$A802,2000,1),K$75)</f>
        <v>0</v>
      </c>
      <c r="L802" s="166">
        <f t="shared" ca="1" si="117"/>
        <v>34</v>
      </c>
      <c r="M802" s="183">
        <f ca="1">SUMPRODUCT(F802:K802,F788:K788)/L:L</f>
        <v>0</v>
      </c>
      <c r="N802" s="166">
        <f t="shared" ca="1" si="118"/>
        <v>1</v>
      </c>
      <c r="O802" s="165">
        <f t="shared" ca="1" si="120"/>
        <v>1889.2498736239759</v>
      </c>
      <c r="P802" s="165">
        <f t="shared" ca="1" si="119"/>
        <v>1889.2498736239759</v>
      </c>
    </row>
    <row r="803" spans="1:16" s="165" customFormat="1" x14ac:dyDescent="0.3">
      <c r="A803" s="165">
        <f>MATCH(Calcs!B803,Paste_Report_Here!$1:$1,0) -1</f>
        <v>18</v>
      </c>
      <c r="B803" s="165" t="s">
        <v>136</v>
      </c>
      <c r="C803" s="166">
        <f t="shared" ca="1" si="121"/>
        <v>3</v>
      </c>
      <c r="D803" s="166">
        <f ca="1">RANK(P803,P790:P814)</f>
        <v>4</v>
      </c>
      <c r="E803" s="189" t="s">
        <v>165</v>
      </c>
      <c r="F803" s="179">
        <f ca="1">COUNTIFS(Paste_Report_Here!$E$1:$E$2000,E784, OFFSET(Paste_Report_Here!$A$1,0,$A803,2000,1),F$75)</f>
        <v>0</v>
      </c>
      <c r="G803" s="180">
        <f ca="1">COUNTIFS(Paste_Report_Here!$E$1:$E$2000,E784, OFFSET(Paste_Report_Here!$A$1,0,$A803,2000,1),G$75)</f>
        <v>0</v>
      </c>
      <c r="H803" s="180">
        <f ca="1">COUNTIFS(Paste_Report_Here!$E$1:$E$2000,E784, OFFSET(Paste_Report_Here!$A$1,0,$A803,2000,1),H$75)</f>
        <v>25</v>
      </c>
      <c r="I803" s="180">
        <f ca="1">COUNTIFS(Paste_Report_Here!$E$1:$E$2000,E784, OFFSET(Paste_Report_Here!$A$1,0,$A803,2000,1),I$75)</f>
        <v>8</v>
      </c>
      <c r="J803" s="180">
        <f ca="1">COUNTIFS(Paste_Report_Here!$E$1:$E$2000,E784, OFFSET(Paste_Report_Here!$A$1,0,$A803,2000,1),J$75)</f>
        <v>1</v>
      </c>
      <c r="K803" s="181">
        <f ca="1">COUNTIFS(Paste_Report_Here!$E$1:$E$2000,E784, OFFSET(Paste_Report_Here!$A$1,0,$A803,2000,1),K$75)</f>
        <v>0</v>
      </c>
      <c r="L803" s="166">
        <f t="shared" ca="1" si="117"/>
        <v>34</v>
      </c>
      <c r="M803" s="183">
        <f ca="1">SUMPRODUCT(F803:K803,F788:K788)/L:L</f>
        <v>5.8823529411764705E-3</v>
      </c>
      <c r="N803" s="166">
        <f t="shared" ca="1" si="118"/>
        <v>1.0058996879527893</v>
      </c>
      <c r="O803" s="165">
        <f t="shared" ca="1" si="120"/>
        <v>3807.431912282043</v>
      </c>
      <c r="P803" s="165">
        <f t="shared" ca="1" si="119"/>
        <v>3829.8945724659989</v>
      </c>
    </row>
    <row r="804" spans="1:16" s="165" customFormat="1" x14ac:dyDescent="0.3">
      <c r="A804" s="165">
        <f>MATCH(Calcs!B804,Paste_Report_Here!$1:$1,0) -1</f>
        <v>19</v>
      </c>
      <c r="B804" s="165" t="s">
        <v>137</v>
      </c>
      <c r="C804" s="166">
        <f t="shared" ca="1" si="121"/>
        <v>10</v>
      </c>
      <c r="D804" s="166">
        <f ca="1">RANK(P804,P790:P814)</f>
        <v>15</v>
      </c>
      <c r="E804" s="189" t="s">
        <v>166</v>
      </c>
      <c r="F804" s="179">
        <f ca="1">COUNTIFS(Paste_Report_Here!$E$1:$E$2000,E784, OFFSET(Paste_Report_Here!$A$1,0,$A804,2000,1),F$75)</f>
        <v>0</v>
      </c>
      <c r="G804" s="180">
        <f ca="1">COUNTIFS(Paste_Report_Here!$E$1:$E$2000,E784, OFFSET(Paste_Report_Here!$A$1,0,$A804,2000,1),G$75)</f>
        <v>2</v>
      </c>
      <c r="H804" s="180">
        <f ca="1">COUNTIFS(Paste_Report_Here!$E$1:$E$2000,E784, OFFSET(Paste_Report_Here!$A$1,0,$A804,2000,1),H$75)</f>
        <v>26</v>
      </c>
      <c r="I804" s="180">
        <f ca="1">COUNTIFS(Paste_Report_Here!$E$1:$E$2000,E784, OFFSET(Paste_Report_Here!$A$1,0,$A804,2000,1),I$75)</f>
        <v>6</v>
      </c>
      <c r="J804" s="180">
        <f ca="1">COUNTIFS(Paste_Report_Here!$E$1:$E$2000,E784, OFFSET(Paste_Report_Here!$A$1,0,$A804,2000,1),J$75)</f>
        <v>0</v>
      </c>
      <c r="K804" s="181">
        <f ca="1">COUNTIFS(Paste_Report_Here!$E$1:$E$2000,E784, OFFSET(Paste_Report_Here!$A$1,0,$A804,2000,1),K$75)</f>
        <v>0</v>
      </c>
      <c r="L804" s="166">
        <f t="shared" ca="1" si="117"/>
        <v>34</v>
      </c>
      <c r="M804" s="183">
        <f ca="1">SUMPRODUCT(F804:K804,F788:K788)/L:L</f>
        <v>0</v>
      </c>
      <c r="N804" s="166">
        <f t="shared" ca="1" si="118"/>
        <v>1</v>
      </c>
      <c r="O804" s="165">
        <f t="shared" ca="1" si="120"/>
        <v>2136.3909776072592</v>
      </c>
      <c r="P804" s="165">
        <f t="shared" ca="1" si="119"/>
        <v>2136.3909776072592</v>
      </c>
    </row>
    <row r="805" spans="1:16" s="165" customFormat="1" x14ac:dyDescent="0.3">
      <c r="A805" s="165">
        <f>MATCH(Calcs!B805,Paste_Report_Here!$1:$1,0) -1</f>
        <v>20</v>
      </c>
      <c r="B805" s="165" t="s">
        <v>138</v>
      </c>
      <c r="C805" s="166">
        <f ca="1">RANK(N805,N791:N815)</f>
        <v>10</v>
      </c>
      <c r="D805" s="166">
        <f ca="1">RANK(P805,P790:P814)</f>
        <v>19</v>
      </c>
      <c r="E805" s="189" t="s">
        <v>167</v>
      </c>
      <c r="F805" s="179">
        <f ca="1">COUNTIFS(Paste_Report_Here!$E$1:$E$2000,E784, OFFSET(Paste_Report_Here!$A$1,0,$A805,2000,1),F$75)</f>
        <v>0</v>
      </c>
      <c r="G805" s="180">
        <f ca="1">COUNTIFS(Paste_Report_Here!$E$1:$E$2000,E784, OFFSET(Paste_Report_Here!$A$1,0,$A805,2000,1),G$75)</f>
        <v>1</v>
      </c>
      <c r="H805" s="180">
        <f ca="1">COUNTIFS(Paste_Report_Here!$E$1:$E$2000,E784, OFFSET(Paste_Report_Here!$A$1,0,$A805,2000,1),H$75)</f>
        <v>29</v>
      </c>
      <c r="I805" s="180">
        <f ca="1">COUNTIFS(Paste_Report_Here!$E$1:$E$2000,E784, OFFSET(Paste_Report_Here!$A$1,0,$A805,2000,1),I$75)</f>
        <v>4</v>
      </c>
      <c r="J805" s="180">
        <f ca="1">COUNTIFS(Paste_Report_Here!$E$1:$E$2000,E784, OFFSET(Paste_Report_Here!$A$1,0,$A805,2000,1),J$75)</f>
        <v>0</v>
      </c>
      <c r="K805" s="181">
        <f ca="1">COUNTIFS(Paste_Report_Here!$E$1:$E$2000,E784, OFFSET(Paste_Report_Here!$A$1,0,$A805,2000,1),K$75)</f>
        <v>0</v>
      </c>
      <c r="L805" s="166">
        <f t="shared" ca="1" si="117"/>
        <v>34</v>
      </c>
      <c r="M805" s="183">
        <f ca="1">SUMPRODUCT(F805:K805,F788:K788)/L:L</f>
        <v>0</v>
      </c>
      <c r="N805" s="166">
        <f t="shared" ca="1" si="118"/>
        <v>1</v>
      </c>
      <c r="O805" s="165">
        <f t="shared" ca="1" si="120"/>
        <v>2021.0621988216167</v>
      </c>
      <c r="P805" s="165">
        <f t="shared" ca="1" si="119"/>
        <v>2021.0621988216167</v>
      </c>
    </row>
    <row r="806" spans="1:16" s="165" customFormat="1" x14ac:dyDescent="0.3">
      <c r="A806" s="165">
        <f>MATCH(Calcs!B806,Paste_Report_Here!$1:$1,0) -1</f>
        <v>21</v>
      </c>
      <c r="B806" s="165" t="s">
        <v>139</v>
      </c>
      <c r="C806" s="166">
        <f ca="1">RANK(N806,N790:N814)</f>
        <v>10</v>
      </c>
      <c r="D806" s="166">
        <f ca="1">RANK(P806,P790:P814)</f>
        <v>16</v>
      </c>
      <c r="E806" s="189" t="s">
        <v>168</v>
      </c>
      <c r="F806" s="179">
        <f ca="1">COUNTIFS(Paste_Report_Here!$E$1:$E$2000,E784, OFFSET(Paste_Report_Here!$A$1,0,$A806,2000,1),F$75)</f>
        <v>0</v>
      </c>
      <c r="G806" s="180">
        <f ca="1">COUNTIFS(Paste_Report_Here!$E$1:$E$2000,E784, OFFSET(Paste_Report_Here!$A$1,0,$A806,2000,1),G$75)</f>
        <v>2</v>
      </c>
      <c r="H806" s="180">
        <f ca="1">COUNTIFS(Paste_Report_Here!$E$1:$E$2000,E784, OFFSET(Paste_Report_Here!$A$1,0,$A806,2000,1),H$75)</f>
        <v>29</v>
      </c>
      <c r="I806" s="180">
        <f ca="1">COUNTIFS(Paste_Report_Here!$E$1:$E$2000,E784, OFFSET(Paste_Report_Here!$A$1,0,$A806,2000,1),I$75)</f>
        <v>3</v>
      </c>
      <c r="J806" s="180">
        <f ca="1">COUNTIFS(Paste_Report_Here!$E$1:$E$2000,E784, OFFSET(Paste_Report_Here!$A$1,0,$A806,2000,1),J$75)</f>
        <v>0</v>
      </c>
      <c r="K806" s="181">
        <f ca="1">COUNTIFS(Paste_Report_Here!$E$1:$E$2000,E784, OFFSET(Paste_Report_Here!$A$1,0,$A806,2000,1),K$75)</f>
        <v>0</v>
      </c>
      <c r="L806" s="166">
        <f t="shared" ca="1" si="117"/>
        <v>34</v>
      </c>
      <c r="M806" s="183">
        <f ca="1">SUMPRODUCT(F806:K806,F788:K788)/L:L</f>
        <v>0</v>
      </c>
      <c r="N806" s="166">
        <f t="shared" ca="1" si="118"/>
        <v>1</v>
      </c>
      <c r="O806" s="165">
        <f t="shared" ca="1" si="120"/>
        <v>2116.7880154710142</v>
      </c>
      <c r="P806" s="165">
        <f t="shared" ca="1" si="119"/>
        <v>2116.7880154710142</v>
      </c>
    </row>
    <row r="807" spans="1:16" s="165" customFormat="1" x14ac:dyDescent="0.3">
      <c r="A807" s="165">
        <f>MATCH(Calcs!B807,Paste_Report_Here!$1:$1,0) -1</f>
        <v>22</v>
      </c>
      <c r="B807" s="165" t="s">
        <v>140</v>
      </c>
      <c r="C807" s="166">
        <f ca="1">RANK(N807,N790:N814)</f>
        <v>4</v>
      </c>
      <c r="D807" s="166">
        <f ca="1">RANK(P807,P790:P814)</f>
        <v>17</v>
      </c>
      <c r="E807" s="189" t="s">
        <v>169</v>
      </c>
      <c r="F807" s="179">
        <f ca="1">COUNTIFS(Paste_Report_Here!$E$1:$E$2000,E784, OFFSET(Paste_Report_Here!$A$1,0,$A807,2000,1),F$75)</f>
        <v>0</v>
      </c>
      <c r="G807" s="180">
        <f ca="1">COUNTIFS(Paste_Report_Here!$E$1:$E$2000,E784, OFFSET(Paste_Report_Here!$A$1,0,$A807,2000,1),G$75)</f>
        <v>2</v>
      </c>
      <c r="H807" s="180">
        <f ca="1">COUNTIFS(Paste_Report_Here!$E$1:$E$2000,E784, OFFSET(Paste_Report_Here!$A$1,0,$A807,2000,1),H$75)</f>
        <v>25</v>
      </c>
      <c r="I807" s="180">
        <f ca="1">COUNTIFS(Paste_Report_Here!$E$1:$E$2000,E784, OFFSET(Paste_Report_Here!$A$1,0,$A807,2000,1),I$75)</f>
        <v>6</v>
      </c>
      <c r="J807" s="180">
        <f ca="1">COUNTIFS(Paste_Report_Here!$E$1:$E$2000,E784, OFFSET(Paste_Report_Here!$A$1,0,$A807,2000,1),J$75)</f>
        <v>1</v>
      </c>
      <c r="K807" s="181">
        <f ca="1">COUNTIFS(Paste_Report_Here!$E$1:$E$2000,E784, OFFSET(Paste_Report_Here!$A$1,0,$A807,2000,1),K$75)</f>
        <v>0</v>
      </c>
      <c r="L807" s="166">
        <f t="shared" ca="1" si="117"/>
        <v>34</v>
      </c>
      <c r="M807" s="183">
        <f ca="1">SUMPRODUCT(F807:K807,F788:K788)/L:L</f>
        <v>5.8823529411764705E-3</v>
      </c>
      <c r="N807" s="166">
        <f t="shared" ca="1" si="118"/>
        <v>1.0058996879527893</v>
      </c>
      <c r="O807" s="165">
        <f t="shared" ca="1" si="120"/>
        <v>2102.761265012246</v>
      </c>
      <c r="P807" s="165">
        <f t="shared" ca="1" si="119"/>
        <v>2115.1669003150305</v>
      </c>
    </row>
    <row r="808" spans="1:16" s="165" customFormat="1" x14ac:dyDescent="0.3">
      <c r="A808" s="165">
        <f>MATCH(Calcs!B808,Paste_Report_Here!$1:$1,0) -1</f>
        <v>23</v>
      </c>
      <c r="B808" s="165" t="s">
        <v>186</v>
      </c>
      <c r="C808" s="166">
        <f ca="1">RANK(N808,N790:N814)</f>
        <v>2</v>
      </c>
      <c r="D808" s="166">
        <f ca="1">RANK(P808,P790:P814)</f>
        <v>3</v>
      </c>
      <c r="E808" s="189" t="s">
        <v>180</v>
      </c>
      <c r="F808" s="179">
        <f ca="1">COUNTIFS(Paste_Report_Here!$E$1:$E$2000,E784, OFFSET(Paste_Report_Here!$A$1,0,$A808,2000,1),F$75)</f>
        <v>0</v>
      </c>
      <c r="G808" s="180">
        <f ca="1">COUNTIFS(Paste_Report_Here!$E$1:$E$2000,E784, OFFSET(Paste_Report_Here!$A$1,0,$A808,2000,1),G$75)</f>
        <v>2</v>
      </c>
      <c r="H808" s="180">
        <f ca="1">COUNTIFS(Paste_Report_Here!$E$1:$E$2000,E784, OFFSET(Paste_Report_Here!$A$1,0,$A808,2000,1),H$75)</f>
        <v>27</v>
      </c>
      <c r="I808" s="180">
        <f ca="1">COUNTIFS(Paste_Report_Here!$E$1:$E$2000,E784, OFFSET(Paste_Report_Here!$A$1,0,$A808,2000,1),I$75)</f>
        <v>3</v>
      </c>
      <c r="J808" s="180">
        <f ca="1">COUNTIFS(Paste_Report_Here!$E$1:$E$2000,E784, OFFSET(Paste_Report_Here!$A$1,0,$A808,2000,1),J$75)</f>
        <v>2</v>
      </c>
      <c r="K808" s="181">
        <f ca="1">COUNTIFS(Paste_Report_Here!$E$1:$E$2000,E784, OFFSET(Paste_Report_Here!$A$1,0,$A808,2000,1),K$75)</f>
        <v>0</v>
      </c>
      <c r="L808" s="166">
        <f t="shared" ca="1" si="117"/>
        <v>34</v>
      </c>
      <c r="M808" s="183">
        <f ca="1">SUMPRODUCT(F808:K808,F788:K788)/L:L</f>
        <v>1.1764705882352941E-2</v>
      </c>
      <c r="N808" s="166">
        <f t="shared" ca="1" si="118"/>
        <v>1.0118341822235186</v>
      </c>
      <c r="O808" s="165">
        <f t="shared" ca="1" si="120"/>
        <v>3961.219721893076</v>
      </c>
      <c r="P808" s="165">
        <f t="shared" ca="1" si="119"/>
        <v>4008.0975179093543</v>
      </c>
    </row>
    <row r="809" spans="1:16" s="165" customFormat="1" x14ac:dyDescent="0.3">
      <c r="A809" s="165">
        <f>MATCH(Calcs!B809,Paste_Report_Here!$1:$1,0) -1</f>
        <v>24</v>
      </c>
      <c r="B809" s="165" t="s">
        <v>209</v>
      </c>
      <c r="C809" s="166">
        <f ca="1">RANK(N809,N790:N814)</f>
        <v>23</v>
      </c>
      <c r="D809" s="166">
        <f ca="1">RANK(P809,P790:P814)</f>
        <v>23</v>
      </c>
      <c r="E809" s="202" t="s">
        <v>211</v>
      </c>
      <c r="F809" s="179">
        <f ca="1">COUNTIFS(Paste_Report_Here!$E$1:$E$2000,E784, OFFSET(Paste_Report_Here!$A$1,0,$A809,2000,1),F$75)</f>
        <v>1</v>
      </c>
      <c r="G809" s="180">
        <f ca="1">COUNTIFS(Paste_Report_Here!$E$1:$E$2000,E784, OFFSET(Paste_Report_Here!$A$1,0,$A809,2000,1),G$75)</f>
        <v>2</v>
      </c>
      <c r="H809" s="180">
        <f ca="1">COUNTIFS(Paste_Report_Here!$E$1:$E$2000,E784, OFFSET(Paste_Report_Here!$A$1,0,$A809,2000,1),H$75)</f>
        <v>25</v>
      </c>
      <c r="I809" s="180">
        <f ca="1">COUNTIFS(Paste_Report_Here!$E$1:$E$2000,E784, OFFSET(Paste_Report_Here!$A$1,0,$A809,2000,1),I$75)</f>
        <v>5</v>
      </c>
      <c r="J809" s="180">
        <f ca="1">COUNTIFS(Paste_Report_Here!$E$1:$E$2000,E784, OFFSET(Paste_Report_Here!$A$1,0,$A809,2000,1),J$75)</f>
        <v>0</v>
      </c>
      <c r="K809" s="181">
        <f ca="1">COUNTIFS(Paste_Report_Here!$E$1:$E$2000,E784, OFFSET(Paste_Report_Here!$A$1,0,$A809,2000,1),K$75)</f>
        <v>1</v>
      </c>
      <c r="L809" s="166">
        <f t="shared" ca="1" si="117"/>
        <v>34</v>
      </c>
      <c r="M809" s="183">
        <f ca="1">SUMPRODUCT(F809:K809,F788:K788)/L:L</f>
        <v>-5.8823529411764705E-3</v>
      </c>
      <c r="N809" s="166">
        <f t="shared" ca="1" si="118"/>
        <v>0.99413491422311084</v>
      </c>
      <c r="O809" s="165">
        <f t="shared" ca="1" si="120"/>
        <v>1209.6699388682357</v>
      </c>
      <c r="P809" s="165">
        <f t="shared" ca="1" si="119"/>
        <v>1202.5751209150492</v>
      </c>
    </row>
    <row r="810" spans="1:16" s="165" customFormat="1" x14ac:dyDescent="0.3">
      <c r="A810" s="165">
        <f>MATCH(Calcs!B810,Paste_Report_Here!$1:$1,0) -1</f>
        <v>25</v>
      </c>
      <c r="B810" s="165" t="s">
        <v>141</v>
      </c>
      <c r="C810" s="166">
        <f ca="1">RANK(N810,N790:N814)</f>
        <v>23</v>
      </c>
      <c r="D810" s="166">
        <f ca="1">RANK(P810,P790:P814)</f>
        <v>22</v>
      </c>
      <c r="E810" s="189" t="s">
        <v>170</v>
      </c>
      <c r="F810" s="179">
        <f ca="1">COUNTIFS(Paste_Report_Here!$E$1:$E$2000,E784, OFFSET(Paste_Report_Here!$A$1,0,$A810,2000,1),F$75)</f>
        <v>1</v>
      </c>
      <c r="G810" s="180">
        <f ca="1">COUNTIFS(Paste_Report_Here!$E$1:$E$2000,E784, OFFSET(Paste_Report_Here!$A$1,0,$A810,2000,1),G$75)</f>
        <v>4</v>
      </c>
      <c r="H810" s="180">
        <f ca="1">COUNTIFS(Paste_Report_Here!$E$1:$E$2000,E784, OFFSET(Paste_Report_Here!$A$1,0,$A810,2000,1),H$75)</f>
        <v>25</v>
      </c>
      <c r="I810" s="180">
        <f ca="1">COUNTIFS(Paste_Report_Here!$E$1:$E$2000,E784, OFFSET(Paste_Report_Here!$A$1,0,$A810,2000,1),I$75)</f>
        <v>4</v>
      </c>
      <c r="J810" s="180">
        <f ca="1">COUNTIFS(Paste_Report_Here!$E$1:$E$2000,E784, OFFSET(Paste_Report_Here!$A$1,0,$A810,2000,1),J$75)</f>
        <v>0</v>
      </c>
      <c r="K810" s="181">
        <f ca="1">COUNTIFS(Paste_Report_Here!$E$1:$E$2000,E784, OFFSET(Paste_Report_Here!$A$1,0,$A810,2000,1),K$75)</f>
        <v>0</v>
      </c>
      <c r="L810" s="166">
        <f t="shared" ca="1" si="117"/>
        <v>34</v>
      </c>
      <c r="M810" s="183">
        <f ca="1">SUMPRODUCT(F810:K810,F788:K788)/L:L</f>
        <v>-5.8823529411764705E-3</v>
      </c>
      <c r="N810" s="166">
        <f t="shared" ca="1" si="118"/>
        <v>0.99413491422311084</v>
      </c>
      <c r="O810" s="165">
        <f t="shared" ca="1" si="120"/>
        <v>1396.0975984399638</v>
      </c>
      <c r="P810" s="165">
        <f t="shared" ca="1" si="119"/>
        <v>1387.9093662722044</v>
      </c>
    </row>
    <row r="811" spans="1:16" s="165" customFormat="1" x14ac:dyDescent="0.3">
      <c r="A811" s="165">
        <f>MATCH(Calcs!B811,Paste_Report_Here!$1:$1,0) -1</f>
        <v>26</v>
      </c>
      <c r="B811" s="165" t="s">
        <v>142</v>
      </c>
      <c r="C811" s="166">
        <f ca="1">RANK(N811,N790:N814)</f>
        <v>10</v>
      </c>
      <c r="D811" s="166">
        <f ca="1">RANK(P811,P790:P814)</f>
        <v>11</v>
      </c>
      <c r="E811" s="189" t="s">
        <v>171</v>
      </c>
      <c r="F811" s="179">
        <f ca="1">COUNTIFS(Paste_Report_Here!$E$1:$E$2000,E784, OFFSET(Paste_Report_Here!$A$1,0,$A811,2000,1),F$75)</f>
        <v>0</v>
      </c>
      <c r="G811" s="180">
        <f ca="1">COUNTIFS(Paste_Report_Here!$E$1:$E$2000,E784, OFFSET(Paste_Report_Here!$A$1,0,$A811,2000,1),G$75)</f>
        <v>2</v>
      </c>
      <c r="H811" s="180">
        <f ca="1">COUNTIFS(Paste_Report_Here!$E$1:$E$2000,E784, OFFSET(Paste_Report_Here!$A$1,0,$A811,2000,1),H$75)</f>
        <v>27</v>
      </c>
      <c r="I811" s="180">
        <f ca="1">COUNTIFS(Paste_Report_Here!$E$1:$E$2000,E784, OFFSET(Paste_Report_Here!$A$1,0,$A811,2000,1),I$75)</f>
        <v>5</v>
      </c>
      <c r="J811" s="180">
        <f ca="1">COUNTIFS(Paste_Report_Here!$E$1:$E$2000,E784, OFFSET(Paste_Report_Here!$A$1,0,$A811,2000,1),J$75)</f>
        <v>0</v>
      </c>
      <c r="K811" s="181">
        <f ca="1">COUNTIFS(Paste_Report_Here!$E$1:$E$2000,E784, OFFSET(Paste_Report_Here!$A$1,0,$A811,2000,1),K$75)</f>
        <v>0</v>
      </c>
      <c r="L811" s="166">
        <f t="shared" ca="1" si="117"/>
        <v>34</v>
      </c>
      <c r="M811" s="183">
        <f ca="1">SUMPRODUCT(F811:K811,F788:K788)/L:L</f>
        <v>0</v>
      </c>
      <c r="N811" s="166">
        <f t="shared" ca="1" si="118"/>
        <v>1</v>
      </c>
      <c r="O811" s="165">
        <f t="shared" ca="1" si="120"/>
        <v>2290.123079681935</v>
      </c>
      <c r="P811" s="165">
        <f t="shared" ca="1" si="119"/>
        <v>2290.123079681935</v>
      </c>
    </row>
    <row r="812" spans="1:16" s="165" customFormat="1" x14ac:dyDescent="0.3">
      <c r="A812" s="165">
        <f>MATCH(Calcs!B812,Paste_Report_Here!$1:$1,0) -1</f>
        <v>27</v>
      </c>
      <c r="B812" s="165" t="s">
        <v>210</v>
      </c>
      <c r="C812" s="166">
        <f ca="1">RANK(N812,N790:N814)</f>
        <v>10</v>
      </c>
      <c r="D812" s="166">
        <f ca="1">RANK(P812,P790:P814)</f>
        <v>25</v>
      </c>
      <c r="E812" s="202" t="s">
        <v>212</v>
      </c>
      <c r="F812" s="179">
        <f ca="1">COUNTIFS(Paste_Report_Here!$E$1:$E$2000,E784, OFFSET(Paste_Report_Here!$A$1,0,$A812,2000,1),F$75)</f>
        <v>0</v>
      </c>
      <c r="G812" s="180">
        <f ca="1">COUNTIFS(Paste_Report_Here!$E$1:$E$2000,E784, OFFSET(Paste_Report_Here!$A$1,0,$A812,2000,1),G$75)</f>
        <v>2</v>
      </c>
      <c r="H812" s="180">
        <f ca="1">COUNTIFS(Paste_Report_Here!$E$1:$E$2000,E784, OFFSET(Paste_Report_Here!$A$1,0,$A812,2000,1),H$75)</f>
        <v>29</v>
      </c>
      <c r="I812" s="180">
        <f ca="1">COUNTIFS(Paste_Report_Here!$E$1:$E$2000,E784, OFFSET(Paste_Report_Here!$A$1,0,$A812,2000,1),I$75)</f>
        <v>3</v>
      </c>
      <c r="J812" s="180">
        <f ca="1">COUNTIFS(Paste_Report_Here!$E$1:$E$2000,E784, OFFSET(Paste_Report_Here!$A$1,0,$A812,2000,1),J$75)</f>
        <v>0</v>
      </c>
      <c r="K812" s="181">
        <f ca="1">COUNTIFS(Paste_Report_Here!$E$1:$E$2000,E784, OFFSET(Paste_Report_Here!$A$1,0,$A812,2000,1),K$75)</f>
        <v>0</v>
      </c>
      <c r="L812" s="166">
        <f t="shared" ca="1" si="117"/>
        <v>34</v>
      </c>
      <c r="M812" s="183">
        <f ca="1">SUMPRODUCT(F812:K812,F788:K788)/L:L</f>
        <v>0</v>
      </c>
      <c r="N812" s="166">
        <f t="shared" ca="1" si="118"/>
        <v>1</v>
      </c>
      <c r="O812" s="165">
        <f t="shared" ca="1" si="120"/>
        <v>1145.0016989477658</v>
      </c>
      <c r="P812" s="165">
        <f t="shared" ca="1" si="119"/>
        <v>1145.0016989477658</v>
      </c>
    </row>
    <row r="813" spans="1:16" s="165" customFormat="1" x14ac:dyDescent="0.3">
      <c r="A813" s="165">
        <f>MATCH(Calcs!B813,Paste_Report_Here!$1:$1,0) -1</f>
        <v>28</v>
      </c>
      <c r="B813" s="165" t="s">
        <v>143</v>
      </c>
      <c r="C813" s="166">
        <f ca="1">RANK(N813,N791:N815)</f>
        <v>3</v>
      </c>
      <c r="D813" s="166">
        <f ca="1">RANK(P813,P790:P814)</f>
        <v>1</v>
      </c>
      <c r="E813" s="189" t="s">
        <v>172</v>
      </c>
      <c r="F813" s="179">
        <f ca="1">COUNTIFS(Paste_Report_Here!$E$1:$E$2000,E784, OFFSET(Paste_Report_Here!$A$1,0,$A813,2000,1),F$75)</f>
        <v>0</v>
      </c>
      <c r="G813" s="180">
        <f ca="1">COUNTIFS(Paste_Report_Here!$E$1:$E$2000,E784, OFFSET(Paste_Report_Here!$A$1,0,$A813,2000,1),G$75)</f>
        <v>1</v>
      </c>
      <c r="H813" s="180">
        <f ca="1">COUNTIFS(Paste_Report_Here!$E$1:$E$2000,E784, OFFSET(Paste_Report_Here!$A$1,0,$A813,2000,1),H$75)</f>
        <v>27</v>
      </c>
      <c r="I813" s="180">
        <f ca="1">COUNTIFS(Paste_Report_Here!$E$1:$E$2000,E784, OFFSET(Paste_Report_Here!$A$1,0,$A813,2000,1),I$75)</f>
        <v>5</v>
      </c>
      <c r="J813" s="180">
        <f ca="1">COUNTIFS(Paste_Report_Here!$E$1:$E$2000,E784, OFFSET(Paste_Report_Here!$A$1,0,$A813,2000,1),J$75)</f>
        <v>1</v>
      </c>
      <c r="K813" s="181">
        <f ca="1">COUNTIFS(Paste_Report_Here!$E$1:$E$2000,E784, OFFSET(Paste_Report_Here!$A$1,0,$A813,2000,1),K$75)</f>
        <v>0</v>
      </c>
      <c r="L813" s="166">
        <f t="shared" ca="1" si="117"/>
        <v>34</v>
      </c>
      <c r="M813" s="183">
        <f ca="1">SUMPRODUCT(F813:K813,F788:K788)/L:L</f>
        <v>5.8823529411764705E-3</v>
      </c>
      <c r="N813" s="166">
        <f t="shared" ca="1" si="118"/>
        <v>1.0058996879527893</v>
      </c>
      <c r="O813" s="165">
        <f t="shared" ca="1" si="120"/>
        <v>8082.8071735024796</v>
      </c>
      <c r="P813" s="165">
        <f t="shared" ca="1" si="119"/>
        <v>8130.4932136087109</v>
      </c>
    </row>
    <row r="814" spans="1:16" s="165" customFormat="1" x14ac:dyDescent="0.3">
      <c r="A814" s="165">
        <f>MATCH(Calcs!B814,Paste_Report_Here!$1:$1,0) -1</f>
        <v>29</v>
      </c>
      <c r="B814" s="187" t="s">
        <v>144</v>
      </c>
      <c r="C814" s="147">
        <f ca="1">RANK(N814,N790:N814)</f>
        <v>10</v>
      </c>
      <c r="D814" s="147">
        <f ca="1">RANK(P814,P790:P814)</f>
        <v>12</v>
      </c>
      <c r="E814" s="145" t="s">
        <v>173</v>
      </c>
      <c r="F814" s="146">
        <f ca="1">COUNTIFS(Paste_Report_Here!$E$1:$E$2000,E784, OFFSET(Paste_Report_Here!$A$1,0,$A814,2000,1),F$75)</f>
        <v>0</v>
      </c>
      <c r="G814" s="147">
        <f ca="1">COUNTIFS(Paste_Report_Here!$E$1:$E$2000,E784, OFFSET(Paste_Report_Here!$A$1,0,$A814,2000,1),G$75)</f>
        <v>1</v>
      </c>
      <c r="H814" s="147">
        <f ca="1">COUNTIFS(Paste_Report_Here!$E$1:$E$2000,E784, OFFSET(Paste_Report_Here!$A$1,0,$A814,2000,1),H$75)</f>
        <v>30</v>
      </c>
      <c r="I814" s="147">
        <f ca="1">COUNTIFS(Paste_Report_Here!$E$1:$E$2000,E784, OFFSET(Paste_Report_Here!$A$1,0,$A814,2000,1),I$75)</f>
        <v>3</v>
      </c>
      <c r="J814" s="147">
        <f ca="1">COUNTIFS(Paste_Report_Here!$E$1:$E$2000,E784, OFFSET(Paste_Report_Here!$A$1,0,$A814,2000,1),J$75)</f>
        <v>0</v>
      </c>
      <c r="K814" s="148">
        <f ca="1">COUNTIFS(Paste_Report_Here!$E$1:$E$2000,E784, OFFSET(Paste_Report_Here!$A$1,0,$A814,2000,1),K$75)</f>
        <v>0</v>
      </c>
      <c r="L814" s="147">
        <f t="shared" ca="1" si="117"/>
        <v>34</v>
      </c>
      <c r="M814" s="149">
        <f ca="1">SUMPRODUCT(F814:K814,F788:K788)/L:L</f>
        <v>0</v>
      </c>
      <c r="N814" s="147">
        <f t="shared" ca="1" si="118"/>
        <v>1</v>
      </c>
      <c r="O814" s="187">
        <f t="shared" ca="1" si="120"/>
        <v>2287.6229277911043</v>
      </c>
      <c r="P814" s="165">
        <f t="shared" ca="1" si="119"/>
        <v>2287.6229277911043</v>
      </c>
    </row>
    <row r="815" spans="1:16" s="165" customFormat="1" x14ac:dyDescent="0.3">
      <c r="C815" s="166"/>
      <c r="E815" s="140" t="s">
        <v>293</v>
      </c>
      <c r="F815" s="180">
        <f ca="1">SUM(F790:F814)</f>
        <v>4</v>
      </c>
      <c r="G815" s="180">
        <f t="shared" ref="G815:L815" ca="1" si="122">SUM(G790:G814)</f>
        <v>44</v>
      </c>
      <c r="H815" s="180">
        <f t="shared" ca="1" si="122"/>
        <v>649</v>
      </c>
      <c r="I815" s="180">
        <f t="shared" ca="1" si="122"/>
        <v>137</v>
      </c>
      <c r="J815" s="180">
        <f t="shared" ca="1" si="122"/>
        <v>14</v>
      </c>
      <c r="K815" s="180">
        <f t="shared" ca="1" si="122"/>
        <v>2</v>
      </c>
      <c r="L815" s="180">
        <f t="shared" ca="1" si="122"/>
        <v>850</v>
      </c>
      <c r="M815" s="144">
        <f ca="1">SUMPRODUCT(F815:K815,F788:K788)/L815</f>
        <v>2.352941176470588E-3</v>
      </c>
      <c r="N815" s="166">
        <f t="shared" ca="1" si="118"/>
        <v>1.0023557115149488</v>
      </c>
      <c r="O815" s="165">
        <f t="shared" ca="1" si="120"/>
        <v>2673.6690423347254</v>
      </c>
      <c r="P815" s="165">
        <f t="shared" ca="1" si="119"/>
        <v>2679.9674352849156</v>
      </c>
    </row>
    <row r="816" spans="1:16" s="165" customFormat="1" x14ac:dyDescent="0.3">
      <c r="A816" s="194"/>
      <c r="B816" s="194"/>
      <c r="C816" s="153"/>
      <c r="D816" s="194"/>
      <c r="E816" s="164"/>
      <c r="F816" s="151"/>
      <c r="G816" s="151"/>
      <c r="H816" s="151"/>
      <c r="I816" s="151"/>
      <c r="J816" s="151"/>
      <c r="K816" s="151"/>
      <c r="L816" s="151"/>
      <c r="M816" s="162"/>
      <c r="N816" s="153"/>
      <c r="O816" s="194"/>
      <c r="P816" s="194"/>
    </row>
    <row r="817" spans="1:16" s="165" customFormat="1" x14ac:dyDescent="0.3">
      <c r="E817" s="173" t="s">
        <v>292</v>
      </c>
    </row>
    <row r="818" spans="1:16" s="165" customFormat="1" x14ac:dyDescent="0.3">
      <c r="E818" s="141">
        <v>41273</v>
      </c>
    </row>
    <row r="819" spans="1:16" s="165" customFormat="1" ht="15" thickBot="1" x14ac:dyDescent="0.35"/>
    <row r="820" spans="1:16" s="165" customFormat="1" ht="24.6" thickBot="1" x14ac:dyDescent="0.35">
      <c r="F820" s="174" t="s">
        <v>23</v>
      </c>
      <c r="G820" s="168" t="s">
        <v>18</v>
      </c>
      <c r="H820" s="168" t="s">
        <v>16</v>
      </c>
      <c r="I820" s="168" t="s">
        <v>17</v>
      </c>
      <c r="J820" s="168" t="s">
        <v>19</v>
      </c>
      <c r="K820" s="169" t="s">
        <v>114</v>
      </c>
    </row>
    <row r="821" spans="1:16" s="165" customFormat="1" x14ac:dyDescent="0.3">
      <c r="F821" s="267" t="s">
        <v>201</v>
      </c>
      <c r="G821" s="268"/>
      <c r="H821" s="268"/>
      <c r="I821" s="268"/>
      <c r="J821" s="268"/>
      <c r="K821" s="169"/>
      <c r="M821" s="203">
        <f ca="1">(H849+K849)/L849</f>
        <v>0.72666666666666668</v>
      </c>
      <c r="N821" s="204" t="s">
        <v>501</v>
      </c>
    </row>
    <row r="822" spans="1:16" s="165" customFormat="1" ht="43.8" thickBot="1" x14ac:dyDescent="0.35">
      <c r="A822" s="142" t="s">
        <v>294</v>
      </c>
      <c r="B822" s="142" t="s">
        <v>295</v>
      </c>
      <c r="C822" s="197" t="s">
        <v>440</v>
      </c>
      <c r="D822" s="142" t="s">
        <v>441</v>
      </c>
      <c r="E822" s="171" t="s">
        <v>30</v>
      </c>
      <c r="F822" s="175">
        <f>Falling_fast</f>
        <v>-0.2</v>
      </c>
      <c r="G822" s="176">
        <f>Falling</f>
        <v>0</v>
      </c>
      <c r="H822" s="177">
        <f>Static</f>
        <v>0</v>
      </c>
      <c r="I822" s="176">
        <f>Rising</f>
        <v>0</v>
      </c>
      <c r="J822" s="178">
        <f>Rising_fast</f>
        <v>0.2</v>
      </c>
      <c r="K822" s="182">
        <v>0</v>
      </c>
      <c r="L822" s="171" t="s">
        <v>28</v>
      </c>
      <c r="M822" s="172" t="s">
        <v>29</v>
      </c>
      <c r="N822" s="143" t="s">
        <v>296</v>
      </c>
      <c r="O822" s="142" t="s">
        <v>297</v>
      </c>
      <c r="P822" s="142" t="s">
        <v>298</v>
      </c>
    </row>
    <row r="823" spans="1:16" s="165" customFormat="1" x14ac:dyDescent="0.3">
      <c r="C823" s="166"/>
      <c r="E823" s="192"/>
      <c r="F823" s="198" t="s">
        <v>151</v>
      </c>
      <c r="G823" s="199" t="s">
        <v>149</v>
      </c>
      <c r="H823" s="199" t="s">
        <v>16</v>
      </c>
      <c r="I823" s="199" t="s">
        <v>148</v>
      </c>
      <c r="J823" s="199" t="s">
        <v>150</v>
      </c>
      <c r="K823" s="200" t="s">
        <v>114</v>
      </c>
      <c r="L823" s="166"/>
      <c r="M823" s="170"/>
      <c r="N823" s="166"/>
    </row>
    <row r="824" spans="1:16" s="165" customFormat="1" x14ac:dyDescent="0.3">
      <c r="A824" s="165">
        <f>MATCH(Calcs!B824,Paste_Report_Here!$1:$1,0) -1</f>
        <v>5</v>
      </c>
      <c r="B824" s="165" t="s">
        <v>124</v>
      </c>
      <c r="C824" s="166">
        <f ca="1">RANK(N824,N824:N848)</f>
        <v>19</v>
      </c>
      <c r="D824" s="166">
        <f ca="1">RANK(P824,P824:P848)</f>
        <v>14</v>
      </c>
      <c r="E824" s="189" t="s">
        <v>152</v>
      </c>
      <c r="F824" s="179">
        <f ca="1">COUNTIFS(Paste_Report_Here!$E$1:$E$2000,E818, OFFSET(Paste_Report_Here!$A$1,0,$A824,2000,1),F$75)</f>
        <v>1</v>
      </c>
      <c r="G824" s="180">
        <f ca="1">COUNTIFS(Paste_Report_Here!$E$1:$E$2000,E818, OFFSET(Paste_Report_Here!$A$1,0,$A824,2000,1),G$75)</f>
        <v>2</v>
      </c>
      <c r="H824" s="180">
        <f ca="1">COUNTIFS(Paste_Report_Here!$E$1:$E$2000,E818, OFFSET(Paste_Report_Here!$A$1,0,$A824,2000,1),H$75)</f>
        <v>23</v>
      </c>
      <c r="I824" s="180">
        <f ca="1">COUNTIFS(Paste_Report_Here!$E$1:$E$2000,E818, OFFSET(Paste_Report_Here!$A$1,0,$A824,2000,1),I$75)</f>
        <v>4</v>
      </c>
      <c r="J824" s="180">
        <f ca="1">COUNTIFS(Paste_Report_Here!$E$1:$E$2000,E818, OFFSET(Paste_Report_Here!$A$1,0,$A824,2000,1),J$75)</f>
        <v>0</v>
      </c>
      <c r="K824" s="181">
        <f ca="1">COUNTIFS(Paste_Report_Here!$E$1:$E$2000,E818, OFFSET(Paste_Report_Here!$A$1,0,$A824,2000,1),K$75)</f>
        <v>0</v>
      </c>
      <c r="L824" s="166">
        <f t="shared" ref="L824:L848" ca="1" si="123">SUM(F824:K824)</f>
        <v>30</v>
      </c>
      <c r="M824" s="183">
        <f ca="1">SUMPRODUCT(F824:K824,F822:K822)/L:L</f>
        <v>-6.6666666666666671E-3</v>
      </c>
      <c r="N824" s="166">
        <f t="shared" ref="N824:N849" ca="1" si="124">EXP(M824)</f>
        <v>0.99335550625503444</v>
      </c>
      <c r="O824" s="165">
        <f ca="1">P790</f>
        <v>2177.4978166331675</v>
      </c>
      <c r="P824" s="165">
        <f t="shared" ref="P824:P849" ca="1" si="125">O824*N824</f>
        <v>2163.0294460108721</v>
      </c>
    </row>
    <row r="825" spans="1:16" s="165" customFormat="1" x14ac:dyDescent="0.3">
      <c r="A825" s="165">
        <f>MATCH(Calcs!B825,Paste_Report_Here!$1:$1,0) -1</f>
        <v>6</v>
      </c>
      <c r="B825" s="165" t="s">
        <v>125</v>
      </c>
      <c r="C825" s="166">
        <f ca="1">RANK(N825,N824:N848)</f>
        <v>8</v>
      </c>
      <c r="D825" s="166">
        <f ca="1">RANK(P825,P824:P848)</f>
        <v>13</v>
      </c>
      <c r="E825" s="189" t="s">
        <v>153</v>
      </c>
      <c r="F825" s="179">
        <f ca="1">COUNTIFS(Paste_Report_Here!$E$1:$E$2000,E818, OFFSET(Paste_Report_Here!$A$1,0,$A825,2000,1),F$75)</f>
        <v>1</v>
      </c>
      <c r="G825" s="180">
        <f ca="1">COUNTIFS(Paste_Report_Here!$E$1:$E$2000,E818, OFFSET(Paste_Report_Here!$A$1,0,$A825,2000,1),G$75)</f>
        <v>1</v>
      </c>
      <c r="H825" s="180">
        <f ca="1">COUNTIFS(Paste_Report_Here!$E$1:$E$2000,E818, OFFSET(Paste_Report_Here!$A$1,0,$A825,2000,1),H$75)</f>
        <v>22</v>
      </c>
      <c r="I825" s="180">
        <f ca="1">COUNTIFS(Paste_Report_Here!$E$1:$E$2000,E818, OFFSET(Paste_Report_Here!$A$1,0,$A825,2000,1),I$75)</f>
        <v>5</v>
      </c>
      <c r="J825" s="180">
        <f ca="1">COUNTIFS(Paste_Report_Here!$E$1:$E$2000,E818, OFFSET(Paste_Report_Here!$A$1,0,$A825,2000,1),J$75)</f>
        <v>1</v>
      </c>
      <c r="K825" s="181">
        <f ca="1">COUNTIFS(Paste_Report_Here!$E$1:$E$2000,E818, OFFSET(Paste_Report_Here!$A$1,0,$A825,2000,1),K$75)</f>
        <v>0</v>
      </c>
      <c r="L825" s="166">
        <f t="shared" ca="1" si="123"/>
        <v>30</v>
      </c>
      <c r="M825" s="183">
        <f ca="1">SUMPRODUCT(F825:K825,F822:K822)/L:L</f>
        <v>0</v>
      </c>
      <c r="N825" s="166">
        <f t="shared" ca="1" si="124"/>
        <v>1</v>
      </c>
      <c r="O825" s="165">
        <f t="shared" ref="O825:O849" ca="1" si="126">P791</f>
        <v>2179.4940869137918</v>
      </c>
      <c r="P825" s="165">
        <f t="shared" ca="1" si="125"/>
        <v>2179.4940869137918</v>
      </c>
    </row>
    <row r="826" spans="1:16" s="165" customFormat="1" x14ac:dyDescent="0.3">
      <c r="A826" s="165">
        <f>MATCH(Calcs!B826,Paste_Report_Here!$1:$1,0) -1</f>
        <v>7</v>
      </c>
      <c r="B826" s="165" t="s">
        <v>126</v>
      </c>
      <c r="C826" s="166">
        <f ca="1">RANK(N826,N824:N848)</f>
        <v>19</v>
      </c>
      <c r="D826" s="166">
        <f ca="1">RANK(P826,P824:P848)</f>
        <v>7</v>
      </c>
      <c r="E826" s="189" t="s">
        <v>154</v>
      </c>
      <c r="F826" s="179">
        <f ca="1">COUNTIFS(Paste_Report_Here!$E$1:$E$2000,E818, OFFSET(Paste_Report_Here!$A$1,0,$A826,2000,1),F$75)</f>
        <v>1</v>
      </c>
      <c r="G826" s="180">
        <f ca="1">COUNTIFS(Paste_Report_Here!$E$1:$E$2000,E818, OFFSET(Paste_Report_Here!$A$1,0,$A826,2000,1),G$75)</f>
        <v>5</v>
      </c>
      <c r="H826" s="180">
        <f ca="1">COUNTIFS(Paste_Report_Here!$E$1:$E$2000,E818, OFFSET(Paste_Report_Here!$A$1,0,$A826,2000,1),H$75)</f>
        <v>19</v>
      </c>
      <c r="I826" s="180">
        <f ca="1">COUNTIFS(Paste_Report_Here!$E$1:$E$2000,E818, OFFSET(Paste_Report_Here!$A$1,0,$A826,2000,1),I$75)</f>
        <v>5</v>
      </c>
      <c r="J826" s="180">
        <f ca="1">COUNTIFS(Paste_Report_Here!$E$1:$E$2000,E818, OFFSET(Paste_Report_Here!$A$1,0,$A826,2000,1),J$75)</f>
        <v>0</v>
      </c>
      <c r="K826" s="181">
        <f ca="1">COUNTIFS(Paste_Report_Here!$E$1:$E$2000,E818, OFFSET(Paste_Report_Here!$A$1,0,$A826,2000,1),K$75)</f>
        <v>0</v>
      </c>
      <c r="L826" s="166">
        <f t="shared" ca="1" si="123"/>
        <v>30</v>
      </c>
      <c r="M826" s="183">
        <f ca="1">SUMPRODUCT(F826:K826,F822:K822)/L:L</f>
        <v>-6.6666666666666671E-3</v>
      </c>
      <c r="N826" s="166">
        <f t="shared" ca="1" si="124"/>
        <v>0.99335550625503444</v>
      </c>
      <c r="O826" s="165">
        <f t="shared" ca="1" si="126"/>
        <v>2843.5961797985524</v>
      </c>
      <c r="P826" s="165">
        <f t="shared" ca="1" si="125"/>
        <v>2824.7019227686728</v>
      </c>
    </row>
    <row r="827" spans="1:16" s="165" customFormat="1" x14ac:dyDescent="0.3">
      <c r="A827" s="165">
        <f>MATCH(Calcs!B827,Paste_Report_Here!$1:$1,0) -1</f>
        <v>8</v>
      </c>
      <c r="B827" s="165" t="s">
        <v>127</v>
      </c>
      <c r="C827" s="166">
        <f ca="1">RANK(N827,N824:N848)</f>
        <v>8</v>
      </c>
      <c r="D827" s="166">
        <f ca="1">RANK(P827,P824:P848)</f>
        <v>8</v>
      </c>
      <c r="E827" s="189" t="s">
        <v>155</v>
      </c>
      <c r="F827" s="179">
        <f ca="1">COUNTIFS(Paste_Report_Here!$E$1:$E$2000,E818, OFFSET(Paste_Report_Here!$A$1,0,$A827,2000,1),F$75)</f>
        <v>1</v>
      </c>
      <c r="G827" s="180">
        <f ca="1">COUNTIFS(Paste_Report_Here!$E$1:$E$2000,E818, OFFSET(Paste_Report_Here!$A$1,0,$A827,2000,1),G$75)</f>
        <v>1</v>
      </c>
      <c r="H827" s="180">
        <f ca="1">COUNTIFS(Paste_Report_Here!$E$1:$E$2000,E818, OFFSET(Paste_Report_Here!$A$1,0,$A827,2000,1),H$75)</f>
        <v>22</v>
      </c>
      <c r="I827" s="180">
        <f ca="1">COUNTIFS(Paste_Report_Here!$E$1:$E$2000,E818, OFFSET(Paste_Report_Here!$A$1,0,$A827,2000,1),I$75)</f>
        <v>5</v>
      </c>
      <c r="J827" s="180">
        <f ca="1">COUNTIFS(Paste_Report_Here!$E$1:$E$2000,E818, OFFSET(Paste_Report_Here!$A$1,0,$A827,2000,1),J$75)</f>
        <v>1</v>
      </c>
      <c r="K827" s="181">
        <f ca="1">COUNTIFS(Paste_Report_Here!$E$1:$E$2000,E818, OFFSET(Paste_Report_Here!$A$1,0,$A827,2000,1),K$75)</f>
        <v>0</v>
      </c>
      <c r="L827" s="166">
        <f t="shared" ca="1" si="123"/>
        <v>30</v>
      </c>
      <c r="M827" s="183">
        <f ca="1">SUMPRODUCT(F827:K827,F822:K822)/L:L</f>
        <v>0</v>
      </c>
      <c r="N827" s="166">
        <f t="shared" ca="1" si="124"/>
        <v>1</v>
      </c>
      <c r="O827" s="165">
        <f t="shared" ca="1" si="126"/>
        <v>2788.1942510076815</v>
      </c>
      <c r="P827" s="165">
        <f t="shared" ca="1" si="125"/>
        <v>2788.1942510076815</v>
      </c>
    </row>
    <row r="828" spans="1:16" s="165" customFormat="1" x14ac:dyDescent="0.3">
      <c r="A828" s="165">
        <f>MATCH(Calcs!B828,Paste_Report_Here!$1:$1,0) -1</f>
        <v>9</v>
      </c>
      <c r="B828" s="165" t="s">
        <v>214</v>
      </c>
      <c r="C828" s="166">
        <f ca="1">RANK(N828,N824:N848)</f>
        <v>1</v>
      </c>
      <c r="D828" s="166">
        <f ca="1">RANK(P828,P824:P848)</f>
        <v>5</v>
      </c>
      <c r="E828" s="189" t="s">
        <v>156</v>
      </c>
      <c r="F828" s="179">
        <f ca="1">COUNTIFS(Paste_Report_Here!$E$1:$E$2000,E818, OFFSET(Paste_Report_Here!$A$1,0,$A828,2000,1),F$75)</f>
        <v>0</v>
      </c>
      <c r="G828" s="180">
        <f ca="1">COUNTIFS(Paste_Report_Here!$E$1:$E$2000,E818, OFFSET(Paste_Report_Here!$A$1,0,$A828,2000,1),G$75)</f>
        <v>2</v>
      </c>
      <c r="H828" s="180">
        <f ca="1">COUNTIFS(Paste_Report_Here!$E$1:$E$2000,E818, OFFSET(Paste_Report_Here!$A$1,0,$A828,2000,1),H$75)</f>
        <v>20</v>
      </c>
      <c r="I828" s="180">
        <f ca="1">COUNTIFS(Paste_Report_Here!$E$1:$E$2000,E818, OFFSET(Paste_Report_Here!$A$1,0,$A828,2000,1),I$75)</f>
        <v>7</v>
      </c>
      <c r="J828" s="180">
        <f ca="1">COUNTIFS(Paste_Report_Here!$E$1:$E$2000,E818, OFFSET(Paste_Report_Here!$A$1,0,$A828,2000,1),J$75)</f>
        <v>1</v>
      </c>
      <c r="K828" s="181">
        <f ca="1">COUNTIFS(Paste_Report_Here!$E$1:$E$2000,E818, OFFSET(Paste_Report_Here!$A$1,0,$A828,2000,1),K$75)</f>
        <v>0</v>
      </c>
      <c r="L828" s="166">
        <f t="shared" ca="1" si="123"/>
        <v>30</v>
      </c>
      <c r="M828" s="183">
        <f ca="1">SUMPRODUCT(F828:K828,F822:K822)/L:L</f>
        <v>6.6666666666666671E-3</v>
      </c>
      <c r="N828" s="166">
        <f t="shared" ca="1" si="124"/>
        <v>1.0066889383540194</v>
      </c>
      <c r="O828" s="165">
        <f t="shared" ca="1" si="126"/>
        <v>3633.4128258221881</v>
      </c>
      <c r="P828" s="165">
        <f t="shared" ca="1" si="125"/>
        <v>3657.7165002288161</v>
      </c>
    </row>
    <row r="829" spans="1:16" s="165" customFormat="1" x14ac:dyDescent="0.3">
      <c r="A829" s="165">
        <f>MATCH(Calcs!B829,Paste_Report_Here!$1:$1,0) -1</f>
        <v>10</v>
      </c>
      <c r="B829" s="165" t="s">
        <v>128</v>
      </c>
      <c r="C829" s="166">
        <f ca="1">RANK(N829,N824:N848)</f>
        <v>19</v>
      </c>
      <c r="D829" s="166">
        <f ca="1">RANK(P829,P824:P848)</f>
        <v>21</v>
      </c>
      <c r="E829" s="189" t="s">
        <v>157</v>
      </c>
      <c r="F829" s="179">
        <f ca="1">COUNTIFS(Paste_Report_Here!$E$1:$E$2000,E818, OFFSET(Paste_Report_Here!$A$1,0,$A829,2000,1),F$75)</f>
        <v>1</v>
      </c>
      <c r="G829" s="180">
        <f ca="1">COUNTIFS(Paste_Report_Here!$E$1:$E$2000,E818, OFFSET(Paste_Report_Here!$A$1,0,$A829,2000,1),G$75)</f>
        <v>0</v>
      </c>
      <c r="H829" s="180">
        <f ca="1">COUNTIFS(Paste_Report_Here!$E$1:$E$2000,E818, OFFSET(Paste_Report_Here!$A$1,0,$A829,2000,1),H$75)</f>
        <v>19</v>
      </c>
      <c r="I829" s="180">
        <f ca="1">COUNTIFS(Paste_Report_Here!$E$1:$E$2000,E818, OFFSET(Paste_Report_Here!$A$1,0,$A829,2000,1),I$75)</f>
        <v>10</v>
      </c>
      <c r="J829" s="180">
        <f ca="1">COUNTIFS(Paste_Report_Here!$E$1:$E$2000,E818, OFFSET(Paste_Report_Here!$A$1,0,$A829,2000,1),J$75)</f>
        <v>0</v>
      </c>
      <c r="K829" s="181">
        <f ca="1">COUNTIFS(Paste_Report_Here!$E$1:$E$2000,E818, OFFSET(Paste_Report_Here!$A$1,0,$A829,2000,1),K$75)</f>
        <v>0</v>
      </c>
      <c r="L829" s="166">
        <f t="shared" ca="1" si="123"/>
        <v>30</v>
      </c>
      <c r="M829" s="183">
        <f ca="1">SUMPRODUCT(F829:K829,F822:K822)/L:L</f>
        <v>-6.6666666666666671E-3</v>
      </c>
      <c r="N829" s="166">
        <f t="shared" ca="1" si="124"/>
        <v>0.99335550625503444</v>
      </c>
      <c r="O829" s="165">
        <f t="shared" ca="1" si="126"/>
        <v>1693.259333717479</v>
      </c>
      <c r="P829" s="165">
        <f t="shared" ca="1" si="125"/>
        <v>1682.0084826659886</v>
      </c>
    </row>
    <row r="830" spans="1:16" s="165" customFormat="1" x14ac:dyDescent="0.3">
      <c r="A830" s="165">
        <f>MATCH(Calcs!B830,Paste_Report_Here!$1:$1,0) -1</f>
        <v>11</v>
      </c>
      <c r="B830" s="165" t="s">
        <v>129</v>
      </c>
      <c r="C830" s="166">
        <f ca="1">RANK(N830,N824:N848)</f>
        <v>8</v>
      </c>
      <c r="D830" s="166">
        <f ca="1">RANK(P830,P824:P848)</f>
        <v>9</v>
      </c>
      <c r="E830" s="189" t="s">
        <v>158</v>
      </c>
      <c r="F830" s="179">
        <f ca="1">COUNTIFS(Paste_Report_Here!$E$1:$E$2000,E818, OFFSET(Paste_Report_Here!$A$1,0,$A830,2000,1),F$75)</f>
        <v>1</v>
      </c>
      <c r="G830" s="180">
        <f ca="1">COUNTIFS(Paste_Report_Here!$E$1:$E$2000,E818, OFFSET(Paste_Report_Here!$A$1,0,$A830,2000,1),G$75)</f>
        <v>2</v>
      </c>
      <c r="H830" s="180">
        <f ca="1">COUNTIFS(Paste_Report_Here!$E$1:$E$2000,E818, OFFSET(Paste_Report_Here!$A$1,0,$A830,2000,1),H$75)</f>
        <v>24</v>
      </c>
      <c r="I830" s="180">
        <f ca="1">COUNTIFS(Paste_Report_Here!$E$1:$E$2000,E818, OFFSET(Paste_Report_Here!$A$1,0,$A830,2000,1),I$75)</f>
        <v>2</v>
      </c>
      <c r="J830" s="180">
        <f ca="1">COUNTIFS(Paste_Report_Here!$E$1:$E$2000,E818, OFFSET(Paste_Report_Here!$A$1,0,$A830,2000,1),J$75)</f>
        <v>1</v>
      </c>
      <c r="K830" s="181">
        <f ca="1">COUNTIFS(Paste_Report_Here!$E$1:$E$2000,E818, OFFSET(Paste_Report_Here!$A$1,0,$A830,2000,1),K$75)</f>
        <v>0</v>
      </c>
      <c r="L830" s="166">
        <f t="shared" ca="1" si="123"/>
        <v>30</v>
      </c>
      <c r="M830" s="183">
        <f ca="1">SUMPRODUCT(F830:K830,F822:K822)/L:L</f>
        <v>0</v>
      </c>
      <c r="N830" s="166">
        <f t="shared" ca="1" si="124"/>
        <v>1</v>
      </c>
      <c r="O830" s="165">
        <f t="shared" ca="1" si="126"/>
        <v>2575.2149700663217</v>
      </c>
      <c r="P830" s="165">
        <f t="shared" ca="1" si="125"/>
        <v>2575.2149700663217</v>
      </c>
    </row>
    <row r="831" spans="1:16" s="165" customFormat="1" x14ac:dyDescent="0.3">
      <c r="A831" s="165">
        <f>MATCH(Calcs!B831,Paste_Report_Here!$1:$1,0) -1</f>
        <v>12</v>
      </c>
      <c r="B831" s="165" t="s">
        <v>130</v>
      </c>
      <c r="C831" s="166">
        <f ca="1">RANK(N831,N824:N848)</f>
        <v>1</v>
      </c>
      <c r="D831" s="166">
        <f ca="1">RANK(P831,P824:P848)</f>
        <v>10</v>
      </c>
      <c r="E831" s="189" t="s">
        <v>159</v>
      </c>
      <c r="F831" s="179">
        <f ca="1">COUNTIFS(Paste_Report_Here!$E$1:$E$2000,E818, OFFSET(Paste_Report_Here!$A$1,0,$A831,2000,1),F$75)</f>
        <v>1</v>
      </c>
      <c r="G831" s="180">
        <f ca="1">COUNTIFS(Paste_Report_Here!$E$1:$E$2000,E818, OFFSET(Paste_Report_Here!$A$1,0,$A831,2000,1),G$75)</f>
        <v>2</v>
      </c>
      <c r="H831" s="180">
        <f ca="1">COUNTIFS(Paste_Report_Here!$E$1:$E$2000,E818, OFFSET(Paste_Report_Here!$A$1,0,$A831,2000,1),H$75)</f>
        <v>22</v>
      </c>
      <c r="I831" s="180">
        <f ca="1">COUNTIFS(Paste_Report_Here!$E$1:$E$2000,E818, OFFSET(Paste_Report_Here!$A$1,0,$A831,2000,1),I$75)</f>
        <v>3</v>
      </c>
      <c r="J831" s="180">
        <f ca="1">COUNTIFS(Paste_Report_Here!$E$1:$E$2000,E818, OFFSET(Paste_Report_Here!$A$1,0,$A831,2000,1),J$75)</f>
        <v>2</v>
      </c>
      <c r="K831" s="181">
        <f ca="1">COUNTIFS(Paste_Report_Here!$E$1:$E$2000,E818, OFFSET(Paste_Report_Here!$A$1,0,$A831,2000,1),K$75)</f>
        <v>0</v>
      </c>
      <c r="L831" s="166">
        <f t="shared" ca="1" si="123"/>
        <v>30</v>
      </c>
      <c r="M831" s="183">
        <f ca="1">SUMPRODUCT(F831:K831,F822:K822)/L:L</f>
        <v>6.6666666666666671E-3</v>
      </c>
      <c r="N831" s="166">
        <f t="shared" ca="1" si="124"/>
        <v>1.0066889383540194</v>
      </c>
      <c r="O831" s="165">
        <f t="shared" ca="1" si="126"/>
        <v>2340.6208796201627</v>
      </c>
      <c r="P831" s="165">
        <f t="shared" ca="1" si="125"/>
        <v>2356.2771483940728</v>
      </c>
    </row>
    <row r="832" spans="1:16" s="165" customFormat="1" x14ac:dyDescent="0.3">
      <c r="A832" s="165">
        <f>MATCH(Calcs!B832,Paste_Report_Here!$1:$1,0) -1</f>
        <v>13</v>
      </c>
      <c r="B832" s="165" t="s">
        <v>131</v>
      </c>
      <c r="C832" s="166">
        <f ca="1">RANK(N832,N824:N848)</f>
        <v>8</v>
      </c>
      <c r="D832" s="166">
        <f ca="1">RANK(P832,P824:P848)</f>
        <v>2</v>
      </c>
      <c r="E832" s="189" t="s">
        <v>160</v>
      </c>
      <c r="F832" s="179">
        <f ca="1">COUNTIFS(Paste_Report_Here!$E$1:$E$2000,E818, OFFSET(Paste_Report_Here!$A$1,0,$A832,2000,1),F$75)</f>
        <v>0</v>
      </c>
      <c r="G832" s="180">
        <f ca="1">COUNTIFS(Paste_Report_Here!$E$1:$E$2000,E818, OFFSET(Paste_Report_Here!$A$1,0,$A832,2000,1),G$75)</f>
        <v>3</v>
      </c>
      <c r="H832" s="180">
        <f ca="1">COUNTIFS(Paste_Report_Here!$E$1:$E$2000,E818, OFFSET(Paste_Report_Here!$A$1,0,$A832,2000,1),H$75)</f>
        <v>21</v>
      </c>
      <c r="I832" s="180">
        <f ca="1">COUNTIFS(Paste_Report_Here!$E$1:$E$2000,E818, OFFSET(Paste_Report_Here!$A$1,0,$A832,2000,1),I$75)</f>
        <v>6</v>
      </c>
      <c r="J832" s="180">
        <f ca="1">COUNTIFS(Paste_Report_Here!$E$1:$E$2000,E818, OFFSET(Paste_Report_Here!$A$1,0,$A832,2000,1),J$75)</f>
        <v>0</v>
      </c>
      <c r="K832" s="181">
        <f ca="1">COUNTIFS(Paste_Report_Here!$E$1:$E$2000,E818, OFFSET(Paste_Report_Here!$A$1,0,$A832,2000,1),K$75)</f>
        <v>0</v>
      </c>
      <c r="L832" s="166">
        <f t="shared" ca="1" si="123"/>
        <v>30</v>
      </c>
      <c r="M832" s="183">
        <f ca="1">SUMPRODUCT(F832:K832,F822:K822)/L:L</f>
        <v>0</v>
      </c>
      <c r="N832" s="166">
        <f t="shared" ca="1" si="124"/>
        <v>1</v>
      </c>
      <c r="O832" s="165">
        <f t="shared" ca="1" si="126"/>
        <v>4185.166036535521</v>
      </c>
      <c r="P832" s="165">
        <f t="shared" ca="1" si="125"/>
        <v>4185.166036535521</v>
      </c>
    </row>
    <row r="833" spans="1:16" s="165" customFormat="1" x14ac:dyDescent="0.3">
      <c r="A833" s="165">
        <f>MATCH(Calcs!B833,Paste_Report_Here!$1:$1,0) -1</f>
        <v>14</v>
      </c>
      <c r="B833" s="165" t="s">
        <v>132</v>
      </c>
      <c r="C833" s="166">
        <f t="shared" ref="C833:C838" ca="1" si="127">RANK(N833,N822:N846)</f>
        <v>8</v>
      </c>
      <c r="D833" s="166">
        <f ca="1">RANK(P833,P824:P848)</f>
        <v>18</v>
      </c>
      <c r="E833" s="189" t="s">
        <v>161</v>
      </c>
      <c r="F833" s="179">
        <f ca="1">COUNTIFS(Paste_Report_Here!$E$1:$E$2000,E818, OFFSET(Paste_Report_Here!$A$1,0,$A833,2000,1),F$75)</f>
        <v>0</v>
      </c>
      <c r="G833" s="180">
        <f ca="1">COUNTIFS(Paste_Report_Here!$E$1:$E$2000,E818, OFFSET(Paste_Report_Here!$A$1,0,$A833,2000,1),G$75)</f>
        <v>5</v>
      </c>
      <c r="H833" s="180">
        <f ca="1">COUNTIFS(Paste_Report_Here!$E$1:$E$2000,E818, OFFSET(Paste_Report_Here!$A$1,0,$A833,2000,1),H$75)</f>
        <v>22</v>
      </c>
      <c r="I833" s="180">
        <f ca="1">COUNTIFS(Paste_Report_Here!$E$1:$E$2000,E818, OFFSET(Paste_Report_Here!$A$1,0,$A833,2000,1),I$75)</f>
        <v>3</v>
      </c>
      <c r="J833" s="180">
        <f ca="1">COUNTIFS(Paste_Report_Here!$E$1:$E$2000,E818, OFFSET(Paste_Report_Here!$A$1,0,$A833,2000,1),J$75)</f>
        <v>0</v>
      </c>
      <c r="K833" s="181">
        <f ca="1">COUNTIFS(Paste_Report_Here!$E$1:$E$2000,E818, OFFSET(Paste_Report_Here!$A$1,0,$A833,2000,1),K$75)</f>
        <v>0</v>
      </c>
      <c r="L833" s="166">
        <f t="shared" ca="1" si="123"/>
        <v>30</v>
      </c>
      <c r="M833" s="183">
        <f ca="1">SUMPRODUCT(F833:K833,F822:K822)/L:L</f>
        <v>0</v>
      </c>
      <c r="N833" s="166">
        <f t="shared" ca="1" si="124"/>
        <v>1</v>
      </c>
      <c r="O833" s="165">
        <f t="shared" ca="1" si="126"/>
        <v>2096.5738260373678</v>
      </c>
      <c r="P833" s="165">
        <f t="shared" ca="1" si="125"/>
        <v>2096.5738260373678</v>
      </c>
    </row>
    <row r="834" spans="1:16" s="165" customFormat="1" x14ac:dyDescent="0.3">
      <c r="A834" s="165">
        <f>MATCH(Calcs!B834,Paste_Report_Here!$1:$1,0) -1</f>
        <v>15</v>
      </c>
      <c r="B834" s="165" t="s">
        <v>133</v>
      </c>
      <c r="C834" s="166">
        <f t="shared" ca="1" si="127"/>
        <v>1</v>
      </c>
      <c r="D834" s="166">
        <f ca="1">RANK(P834,P824:P848)</f>
        <v>6</v>
      </c>
      <c r="E834" s="189" t="s">
        <v>162</v>
      </c>
      <c r="F834" s="179">
        <f ca="1">COUNTIFS(Paste_Report_Here!$E$1:$E$2000,E818, OFFSET(Paste_Report_Here!$A$1,0,$A834,2000,1),F$75)</f>
        <v>0</v>
      </c>
      <c r="G834" s="180">
        <f ca="1">COUNTIFS(Paste_Report_Here!$E$1:$E$2000,E818, OFFSET(Paste_Report_Here!$A$1,0,$A834,2000,1),G$75)</f>
        <v>0</v>
      </c>
      <c r="H834" s="180">
        <f ca="1">COUNTIFS(Paste_Report_Here!$E$1:$E$2000,E818, OFFSET(Paste_Report_Here!$A$1,0,$A834,2000,1),H$75)</f>
        <v>20</v>
      </c>
      <c r="I834" s="180">
        <f ca="1">COUNTIFS(Paste_Report_Here!$E$1:$E$2000,E818, OFFSET(Paste_Report_Here!$A$1,0,$A834,2000,1),I$75)</f>
        <v>9</v>
      </c>
      <c r="J834" s="180">
        <f ca="1">COUNTIFS(Paste_Report_Here!$E$1:$E$2000,E818, OFFSET(Paste_Report_Here!$A$1,0,$A834,2000,1),J$75)</f>
        <v>1</v>
      </c>
      <c r="K834" s="181">
        <f ca="1">COUNTIFS(Paste_Report_Here!$E$1:$E$2000,E818, OFFSET(Paste_Report_Here!$A$1,0,$A834,2000,1),K$75)</f>
        <v>0</v>
      </c>
      <c r="L834" s="166">
        <f t="shared" ca="1" si="123"/>
        <v>30</v>
      </c>
      <c r="M834" s="183">
        <f ca="1">SUMPRODUCT(F834:K834,F822:K822)/L:L</f>
        <v>6.6666666666666671E-3</v>
      </c>
      <c r="N834" s="166">
        <f t="shared" ca="1" si="124"/>
        <v>1.0066889383540194</v>
      </c>
      <c r="O834" s="165">
        <f t="shared" ca="1" si="126"/>
        <v>2972.6324288545434</v>
      </c>
      <c r="P834" s="165">
        <f t="shared" ca="1" si="125"/>
        <v>2992.5161839203106</v>
      </c>
    </row>
    <row r="835" spans="1:16" s="165" customFormat="1" x14ac:dyDescent="0.3">
      <c r="A835" s="165">
        <f>MATCH(Calcs!B835,Paste_Report_Here!$1:$1,0) -1</f>
        <v>16</v>
      </c>
      <c r="B835" s="165" t="s">
        <v>134</v>
      </c>
      <c r="C835" s="166">
        <f t="shared" ca="1" si="127"/>
        <v>8</v>
      </c>
      <c r="D835" s="166">
        <f ca="1">RANK(P835,P824:P848)</f>
        <v>24</v>
      </c>
      <c r="E835" s="189" t="s">
        <v>163</v>
      </c>
      <c r="F835" s="179">
        <f ca="1">COUNTIFS(Paste_Report_Here!$E$1:$E$2000,E818, OFFSET(Paste_Report_Here!$A$1,0,$A835,2000,1),F$75)</f>
        <v>0</v>
      </c>
      <c r="G835" s="180">
        <f ca="1">COUNTIFS(Paste_Report_Here!$E$1:$E$2000,E818, OFFSET(Paste_Report_Here!$A$1,0,$A835,2000,1),G$75)</f>
        <v>4</v>
      </c>
      <c r="H835" s="180">
        <f ca="1">COUNTIFS(Paste_Report_Here!$E$1:$E$2000,E818, OFFSET(Paste_Report_Here!$A$1,0,$A835,2000,1),H$75)</f>
        <v>24</v>
      </c>
      <c r="I835" s="180">
        <f ca="1">COUNTIFS(Paste_Report_Here!$E$1:$E$2000,E818, OFFSET(Paste_Report_Here!$A$1,0,$A835,2000,1),I$75)</f>
        <v>2</v>
      </c>
      <c r="J835" s="180">
        <f ca="1">COUNTIFS(Paste_Report_Here!$E$1:$E$2000,E818, OFFSET(Paste_Report_Here!$A$1,0,$A835,2000,1),J$75)</f>
        <v>0</v>
      </c>
      <c r="K835" s="181">
        <f ca="1">COUNTIFS(Paste_Report_Here!$E$1:$E$2000,E818, OFFSET(Paste_Report_Here!$A$1,0,$A835,2000,1),K$75)</f>
        <v>0</v>
      </c>
      <c r="L835" s="166">
        <f t="shared" ca="1" si="123"/>
        <v>30</v>
      </c>
      <c r="M835" s="183">
        <f ca="1">SUMPRODUCT(F835:K835,F822:K822)/L:L</f>
        <v>0</v>
      </c>
      <c r="N835" s="166">
        <f t="shared" ca="1" si="124"/>
        <v>1</v>
      </c>
      <c r="O835" s="165">
        <f t="shared" ca="1" si="126"/>
        <v>1180.494027289222</v>
      </c>
      <c r="P835" s="165">
        <f t="shared" ca="1" si="125"/>
        <v>1180.494027289222</v>
      </c>
    </row>
    <row r="836" spans="1:16" s="165" customFormat="1" x14ac:dyDescent="0.3">
      <c r="A836" s="165">
        <f>MATCH(Calcs!B836,Paste_Report_Here!$1:$1,0) -1</f>
        <v>17</v>
      </c>
      <c r="B836" s="165" t="s">
        <v>135</v>
      </c>
      <c r="C836" s="166">
        <f t="shared" ca="1" si="127"/>
        <v>20</v>
      </c>
      <c r="D836" s="166">
        <f ca="1">RANK(P836,P824:P848)</f>
        <v>20</v>
      </c>
      <c r="E836" s="189" t="s">
        <v>164</v>
      </c>
      <c r="F836" s="179">
        <f ca="1">COUNTIFS(Paste_Report_Here!$E$1:$E$2000,E818, OFFSET(Paste_Report_Here!$A$1,0,$A836,2000,1),F$75)</f>
        <v>1</v>
      </c>
      <c r="G836" s="180">
        <f ca="1">COUNTIFS(Paste_Report_Here!$E$1:$E$2000,E818, OFFSET(Paste_Report_Here!$A$1,0,$A836,2000,1),G$75)</f>
        <v>4</v>
      </c>
      <c r="H836" s="180">
        <f ca="1">COUNTIFS(Paste_Report_Here!$E$1:$E$2000,E818, OFFSET(Paste_Report_Here!$A$1,0,$A836,2000,1),H$75)</f>
        <v>19</v>
      </c>
      <c r="I836" s="180">
        <f ca="1">COUNTIFS(Paste_Report_Here!$E$1:$E$2000,E818, OFFSET(Paste_Report_Here!$A$1,0,$A836,2000,1),I$75)</f>
        <v>6</v>
      </c>
      <c r="J836" s="180">
        <f ca="1">COUNTIFS(Paste_Report_Here!$E$1:$E$2000,E818, OFFSET(Paste_Report_Here!$A$1,0,$A836,2000,1),J$75)</f>
        <v>0</v>
      </c>
      <c r="K836" s="181">
        <f ca="1">COUNTIFS(Paste_Report_Here!$E$1:$E$2000,E818, OFFSET(Paste_Report_Here!$A$1,0,$A836,2000,1),K$75)</f>
        <v>0</v>
      </c>
      <c r="L836" s="166">
        <f t="shared" ca="1" si="123"/>
        <v>30</v>
      </c>
      <c r="M836" s="183">
        <f ca="1">SUMPRODUCT(F836:K836,F822:K822)/L:L</f>
        <v>-6.6666666666666671E-3</v>
      </c>
      <c r="N836" s="166">
        <f t="shared" ca="1" si="124"/>
        <v>0.99335550625503444</v>
      </c>
      <c r="O836" s="165">
        <f t="shared" ca="1" si="126"/>
        <v>1889.2498736239759</v>
      </c>
      <c r="P836" s="165">
        <f t="shared" ca="1" si="125"/>
        <v>1876.6967646560045</v>
      </c>
    </row>
    <row r="837" spans="1:16" s="165" customFormat="1" x14ac:dyDescent="0.3">
      <c r="A837" s="165">
        <f>MATCH(Calcs!B837,Paste_Report_Here!$1:$1,0) -1</f>
        <v>18</v>
      </c>
      <c r="B837" s="165" t="s">
        <v>136</v>
      </c>
      <c r="C837" s="166">
        <f t="shared" ca="1" si="127"/>
        <v>19</v>
      </c>
      <c r="D837" s="166">
        <f ca="1">RANK(P837,P824:P848)</f>
        <v>4</v>
      </c>
      <c r="E837" s="189" t="s">
        <v>165</v>
      </c>
      <c r="F837" s="179">
        <f ca="1">COUNTIFS(Paste_Report_Here!$E$1:$E$2000,E818, OFFSET(Paste_Report_Here!$A$1,0,$A837,2000,1),F$75)</f>
        <v>1</v>
      </c>
      <c r="G837" s="180">
        <f ca="1">COUNTIFS(Paste_Report_Here!$E$1:$E$2000,E818, OFFSET(Paste_Report_Here!$A$1,0,$A837,2000,1),G$75)</f>
        <v>2</v>
      </c>
      <c r="H837" s="180">
        <f ca="1">COUNTIFS(Paste_Report_Here!$E$1:$E$2000,E818, OFFSET(Paste_Report_Here!$A$1,0,$A837,2000,1),H$75)</f>
        <v>20</v>
      </c>
      <c r="I837" s="180">
        <f ca="1">COUNTIFS(Paste_Report_Here!$E$1:$E$2000,E818, OFFSET(Paste_Report_Here!$A$1,0,$A837,2000,1),I$75)</f>
        <v>7</v>
      </c>
      <c r="J837" s="180">
        <f ca="1">COUNTIFS(Paste_Report_Here!$E$1:$E$2000,E818, OFFSET(Paste_Report_Here!$A$1,0,$A837,2000,1),J$75)</f>
        <v>0</v>
      </c>
      <c r="K837" s="181">
        <f ca="1">COUNTIFS(Paste_Report_Here!$E$1:$E$2000,E818, OFFSET(Paste_Report_Here!$A$1,0,$A837,2000,1),K$75)</f>
        <v>0</v>
      </c>
      <c r="L837" s="166">
        <f t="shared" ca="1" si="123"/>
        <v>30</v>
      </c>
      <c r="M837" s="183">
        <f ca="1">SUMPRODUCT(F837:K837,F822:K822)/L:L</f>
        <v>-6.6666666666666671E-3</v>
      </c>
      <c r="N837" s="166">
        <f t="shared" ca="1" si="124"/>
        <v>0.99335550625503444</v>
      </c>
      <c r="O837" s="165">
        <f t="shared" ca="1" si="126"/>
        <v>3829.8945724659989</v>
      </c>
      <c r="P837" s="165">
        <f t="shared" ca="1" si="125"/>
        <v>3804.4468619353711</v>
      </c>
    </row>
    <row r="838" spans="1:16" s="165" customFormat="1" x14ac:dyDescent="0.3">
      <c r="A838" s="165">
        <f>MATCH(Calcs!B838,Paste_Report_Here!$1:$1,0) -1</f>
        <v>19</v>
      </c>
      <c r="B838" s="165" t="s">
        <v>137</v>
      </c>
      <c r="C838" s="166">
        <f t="shared" ca="1" si="127"/>
        <v>19</v>
      </c>
      <c r="D838" s="166">
        <f ca="1">RANK(P838,P824:P848)</f>
        <v>16</v>
      </c>
      <c r="E838" s="189" t="s">
        <v>166</v>
      </c>
      <c r="F838" s="179">
        <f ca="1">COUNTIFS(Paste_Report_Here!$E$1:$E$2000,E818, OFFSET(Paste_Report_Here!$A$1,0,$A838,2000,1),F$75)</f>
        <v>1</v>
      </c>
      <c r="G838" s="180">
        <f ca="1">COUNTIFS(Paste_Report_Here!$E$1:$E$2000,E818, OFFSET(Paste_Report_Here!$A$1,0,$A838,2000,1),G$75)</f>
        <v>1</v>
      </c>
      <c r="H838" s="180">
        <f ca="1">COUNTIFS(Paste_Report_Here!$E$1:$E$2000,E818, OFFSET(Paste_Report_Here!$A$1,0,$A838,2000,1),H$75)</f>
        <v>25</v>
      </c>
      <c r="I838" s="180">
        <f ca="1">COUNTIFS(Paste_Report_Here!$E$1:$E$2000,E818, OFFSET(Paste_Report_Here!$A$1,0,$A838,2000,1),I$75)</f>
        <v>3</v>
      </c>
      <c r="J838" s="180">
        <f ca="1">COUNTIFS(Paste_Report_Here!$E$1:$E$2000,E818, OFFSET(Paste_Report_Here!$A$1,0,$A838,2000,1),J$75)</f>
        <v>0</v>
      </c>
      <c r="K838" s="181">
        <f ca="1">COUNTIFS(Paste_Report_Here!$E$1:$E$2000,E818, OFFSET(Paste_Report_Here!$A$1,0,$A838,2000,1),K$75)</f>
        <v>0</v>
      </c>
      <c r="L838" s="166">
        <f t="shared" ca="1" si="123"/>
        <v>30</v>
      </c>
      <c r="M838" s="183">
        <f ca="1">SUMPRODUCT(F838:K838,F822:K822)/L:L</f>
        <v>-6.6666666666666671E-3</v>
      </c>
      <c r="N838" s="166">
        <f t="shared" ca="1" si="124"/>
        <v>0.99335550625503444</v>
      </c>
      <c r="O838" s="165">
        <f t="shared" ca="1" si="126"/>
        <v>2136.3909776072592</v>
      </c>
      <c r="P838" s="165">
        <f t="shared" ca="1" si="125"/>
        <v>2122.1957411197468</v>
      </c>
    </row>
    <row r="839" spans="1:16" s="165" customFormat="1" x14ac:dyDescent="0.3">
      <c r="A839" s="165">
        <f>MATCH(Calcs!B839,Paste_Report_Here!$1:$1,0) -1</f>
        <v>20</v>
      </c>
      <c r="B839" s="165" t="s">
        <v>138</v>
      </c>
      <c r="C839" s="166">
        <f ca="1">RANK(N839,N825:N849)</f>
        <v>20</v>
      </c>
      <c r="D839" s="166">
        <f ca="1">RANK(P839,P824:P848)</f>
        <v>19</v>
      </c>
      <c r="E839" s="189" t="s">
        <v>167</v>
      </c>
      <c r="F839" s="179">
        <f ca="1">COUNTIFS(Paste_Report_Here!$E$1:$E$2000,E818, OFFSET(Paste_Report_Here!$A$1,0,$A839,2000,1),F$75)</f>
        <v>1</v>
      </c>
      <c r="G839" s="180">
        <f ca="1">COUNTIFS(Paste_Report_Here!$E$1:$E$2000,E818, OFFSET(Paste_Report_Here!$A$1,0,$A839,2000,1),G$75)</f>
        <v>1</v>
      </c>
      <c r="H839" s="180">
        <f ca="1">COUNTIFS(Paste_Report_Here!$E$1:$E$2000,E818, OFFSET(Paste_Report_Here!$A$1,0,$A839,2000,1),H$75)</f>
        <v>22</v>
      </c>
      <c r="I839" s="180">
        <f ca="1">COUNTIFS(Paste_Report_Here!$E$1:$E$2000,E818, OFFSET(Paste_Report_Here!$A$1,0,$A839,2000,1),I$75)</f>
        <v>6</v>
      </c>
      <c r="J839" s="180">
        <f ca="1">COUNTIFS(Paste_Report_Here!$E$1:$E$2000,E818, OFFSET(Paste_Report_Here!$A$1,0,$A839,2000,1),J$75)</f>
        <v>0</v>
      </c>
      <c r="K839" s="181">
        <f ca="1">COUNTIFS(Paste_Report_Here!$E$1:$E$2000,E818, OFFSET(Paste_Report_Here!$A$1,0,$A839,2000,1),K$75)</f>
        <v>0</v>
      </c>
      <c r="L839" s="166">
        <f t="shared" ca="1" si="123"/>
        <v>30</v>
      </c>
      <c r="M839" s="183">
        <f ca="1">SUMPRODUCT(F839:K839,F822:K822)/L:L</f>
        <v>-6.6666666666666671E-3</v>
      </c>
      <c r="N839" s="166">
        <f t="shared" ca="1" si="124"/>
        <v>0.99335550625503444</v>
      </c>
      <c r="O839" s="165">
        <f t="shared" ca="1" si="126"/>
        <v>2021.0621988216167</v>
      </c>
      <c r="P839" s="165">
        <f t="shared" ca="1" si="125"/>
        <v>2007.6332636833602</v>
      </c>
    </row>
    <row r="840" spans="1:16" s="165" customFormat="1" x14ac:dyDescent="0.3">
      <c r="A840" s="165">
        <f>MATCH(Calcs!B840,Paste_Report_Here!$1:$1,0) -1</f>
        <v>21</v>
      </c>
      <c r="B840" s="165" t="s">
        <v>139</v>
      </c>
      <c r="C840" s="166">
        <f ca="1">RANK(N840,N824:N848)</f>
        <v>8</v>
      </c>
      <c r="D840" s="166">
        <f ca="1">RANK(P840,P824:P848)</f>
        <v>17</v>
      </c>
      <c r="E840" s="189" t="s">
        <v>168</v>
      </c>
      <c r="F840" s="179">
        <f ca="1">COUNTIFS(Paste_Report_Here!$E$1:$E$2000,E818, OFFSET(Paste_Report_Here!$A$1,0,$A840,2000,1),F$75)</f>
        <v>1</v>
      </c>
      <c r="G840" s="180">
        <f ca="1">COUNTIFS(Paste_Report_Here!$E$1:$E$2000,E818, OFFSET(Paste_Report_Here!$A$1,0,$A840,2000,1),G$75)</f>
        <v>1</v>
      </c>
      <c r="H840" s="180">
        <f ca="1">COUNTIFS(Paste_Report_Here!$E$1:$E$2000,E818, OFFSET(Paste_Report_Here!$A$1,0,$A840,2000,1),H$75)</f>
        <v>24</v>
      </c>
      <c r="I840" s="180">
        <f ca="1">COUNTIFS(Paste_Report_Here!$E$1:$E$2000,E818, OFFSET(Paste_Report_Here!$A$1,0,$A840,2000,1),I$75)</f>
        <v>3</v>
      </c>
      <c r="J840" s="180">
        <f ca="1">COUNTIFS(Paste_Report_Here!$E$1:$E$2000,E818, OFFSET(Paste_Report_Here!$A$1,0,$A840,2000,1),J$75)</f>
        <v>1</v>
      </c>
      <c r="K840" s="181">
        <f ca="1">COUNTIFS(Paste_Report_Here!$E$1:$E$2000,E818, OFFSET(Paste_Report_Here!$A$1,0,$A840,2000,1),K$75)</f>
        <v>0</v>
      </c>
      <c r="L840" s="166">
        <f t="shared" ca="1" si="123"/>
        <v>30</v>
      </c>
      <c r="M840" s="183">
        <f ca="1">SUMPRODUCT(F840:K840,F822:K822)/L:L</f>
        <v>0</v>
      </c>
      <c r="N840" s="166">
        <f t="shared" ca="1" si="124"/>
        <v>1</v>
      </c>
      <c r="O840" s="165">
        <f t="shared" ca="1" si="126"/>
        <v>2116.7880154710142</v>
      </c>
      <c r="P840" s="165">
        <f t="shared" ca="1" si="125"/>
        <v>2116.7880154710142</v>
      </c>
    </row>
    <row r="841" spans="1:16" s="165" customFormat="1" x14ac:dyDescent="0.3">
      <c r="A841" s="165">
        <f>MATCH(Calcs!B841,Paste_Report_Here!$1:$1,0) -1</f>
        <v>22</v>
      </c>
      <c r="B841" s="165" t="s">
        <v>140</v>
      </c>
      <c r="C841" s="166">
        <f ca="1">RANK(N841,N824:N848)</f>
        <v>1</v>
      </c>
      <c r="D841" s="166">
        <f ca="1">RANK(P841,P824:P848)</f>
        <v>15</v>
      </c>
      <c r="E841" s="189" t="s">
        <v>169</v>
      </c>
      <c r="F841" s="179">
        <f ca="1">COUNTIFS(Paste_Report_Here!$E$1:$E$2000,E818, OFFSET(Paste_Report_Here!$A$1,0,$A841,2000,1),F$75)</f>
        <v>0</v>
      </c>
      <c r="G841" s="180">
        <f ca="1">COUNTIFS(Paste_Report_Here!$E$1:$E$2000,E818, OFFSET(Paste_Report_Here!$A$1,0,$A841,2000,1),G$75)</f>
        <v>2</v>
      </c>
      <c r="H841" s="180">
        <f ca="1">COUNTIFS(Paste_Report_Here!$E$1:$E$2000,E818, OFFSET(Paste_Report_Here!$A$1,0,$A841,2000,1),H$75)</f>
        <v>21</v>
      </c>
      <c r="I841" s="180">
        <f ca="1">COUNTIFS(Paste_Report_Here!$E$1:$E$2000,E818, OFFSET(Paste_Report_Here!$A$1,0,$A841,2000,1),I$75)</f>
        <v>6</v>
      </c>
      <c r="J841" s="180">
        <f ca="1">COUNTIFS(Paste_Report_Here!$E$1:$E$2000,E818, OFFSET(Paste_Report_Here!$A$1,0,$A841,2000,1),J$75)</f>
        <v>1</v>
      </c>
      <c r="K841" s="181">
        <f ca="1">COUNTIFS(Paste_Report_Here!$E$1:$E$2000,E818, OFFSET(Paste_Report_Here!$A$1,0,$A841,2000,1),K$75)</f>
        <v>0</v>
      </c>
      <c r="L841" s="166">
        <f t="shared" ca="1" si="123"/>
        <v>30</v>
      </c>
      <c r="M841" s="183">
        <f ca="1">SUMPRODUCT(F841:K841,F822:K822)/L:L</f>
        <v>6.6666666666666671E-3</v>
      </c>
      <c r="N841" s="166">
        <f t="shared" ca="1" si="124"/>
        <v>1.0066889383540194</v>
      </c>
      <c r="O841" s="165">
        <f t="shared" ca="1" si="126"/>
        <v>2115.1669003150305</v>
      </c>
      <c r="P841" s="165">
        <f t="shared" ca="1" si="125"/>
        <v>2129.3151213197002</v>
      </c>
    </row>
    <row r="842" spans="1:16" s="165" customFormat="1" x14ac:dyDescent="0.3">
      <c r="A842" s="165">
        <f>MATCH(Calcs!B842,Paste_Report_Here!$1:$1,0) -1</f>
        <v>23</v>
      </c>
      <c r="B842" s="165" t="s">
        <v>186</v>
      </c>
      <c r="C842" s="166">
        <f ca="1">RANK(N842,N824:N848)</f>
        <v>1</v>
      </c>
      <c r="D842" s="166">
        <f ca="1">RANK(P842,P824:P848)</f>
        <v>3</v>
      </c>
      <c r="E842" s="189" t="s">
        <v>180</v>
      </c>
      <c r="F842" s="179">
        <f ca="1">COUNTIFS(Paste_Report_Here!$E$1:$E$2000,E818, OFFSET(Paste_Report_Here!$A$1,0,$A842,2000,1),F$75)</f>
        <v>0</v>
      </c>
      <c r="G842" s="180">
        <f ca="1">COUNTIFS(Paste_Report_Here!$E$1:$E$2000,E818, OFFSET(Paste_Report_Here!$A$1,0,$A842,2000,1),G$75)</f>
        <v>3</v>
      </c>
      <c r="H842" s="180">
        <f ca="1">COUNTIFS(Paste_Report_Here!$E$1:$E$2000,E818, OFFSET(Paste_Report_Here!$A$1,0,$A842,2000,1),H$75)</f>
        <v>23</v>
      </c>
      <c r="I842" s="180">
        <f ca="1">COUNTIFS(Paste_Report_Here!$E$1:$E$2000,E818, OFFSET(Paste_Report_Here!$A$1,0,$A842,2000,1),I$75)</f>
        <v>3</v>
      </c>
      <c r="J842" s="180">
        <f ca="1">COUNTIFS(Paste_Report_Here!$E$1:$E$2000,E818, OFFSET(Paste_Report_Here!$A$1,0,$A842,2000,1),J$75)</f>
        <v>1</v>
      </c>
      <c r="K842" s="181">
        <f ca="1">COUNTIFS(Paste_Report_Here!$E$1:$E$2000,E818, OFFSET(Paste_Report_Here!$A$1,0,$A842,2000,1),K$75)</f>
        <v>0</v>
      </c>
      <c r="L842" s="166">
        <f t="shared" ca="1" si="123"/>
        <v>30</v>
      </c>
      <c r="M842" s="183">
        <f ca="1">SUMPRODUCT(F842:K842,F822:K822)/L:L</f>
        <v>6.6666666666666671E-3</v>
      </c>
      <c r="N842" s="166">
        <f t="shared" ca="1" si="124"/>
        <v>1.0066889383540194</v>
      </c>
      <c r="O842" s="165">
        <f t="shared" ca="1" si="126"/>
        <v>4008.0975179093543</v>
      </c>
      <c r="P842" s="165">
        <f t="shared" ca="1" si="125"/>
        <v>4034.9074351235481</v>
      </c>
    </row>
    <row r="843" spans="1:16" s="165" customFormat="1" x14ac:dyDescent="0.3">
      <c r="A843" s="165">
        <f>MATCH(Calcs!B843,Paste_Report_Here!$1:$1,0) -1</f>
        <v>24</v>
      </c>
      <c r="B843" s="165" t="s">
        <v>209</v>
      </c>
      <c r="C843" s="166">
        <f ca="1">RANK(N843,N824:N848)</f>
        <v>1</v>
      </c>
      <c r="D843" s="166">
        <f ca="1">RANK(P843,P824:P848)</f>
        <v>23</v>
      </c>
      <c r="E843" s="202" t="s">
        <v>211</v>
      </c>
      <c r="F843" s="179">
        <f ca="1">COUNTIFS(Paste_Report_Here!$E$1:$E$2000,E818, OFFSET(Paste_Report_Here!$A$1,0,$A843,2000,1),F$75)</f>
        <v>0</v>
      </c>
      <c r="G843" s="180">
        <f ca="1">COUNTIFS(Paste_Report_Here!$E$1:$E$2000,E818, OFFSET(Paste_Report_Here!$A$1,0,$A843,2000,1),G$75)</f>
        <v>1</v>
      </c>
      <c r="H843" s="180">
        <f ca="1">COUNTIFS(Paste_Report_Here!$E$1:$E$2000,E818, OFFSET(Paste_Report_Here!$A$1,0,$A843,2000,1),H$75)</f>
        <v>20</v>
      </c>
      <c r="I843" s="180">
        <f ca="1">COUNTIFS(Paste_Report_Here!$E$1:$E$2000,E818, OFFSET(Paste_Report_Here!$A$1,0,$A843,2000,1),I$75)</f>
        <v>8</v>
      </c>
      <c r="J843" s="180">
        <f ca="1">COUNTIFS(Paste_Report_Here!$E$1:$E$2000,E818, OFFSET(Paste_Report_Here!$A$1,0,$A843,2000,1),J$75)</f>
        <v>1</v>
      </c>
      <c r="K843" s="181">
        <f ca="1">COUNTIFS(Paste_Report_Here!$E$1:$E$2000,E818, OFFSET(Paste_Report_Here!$A$1,0,$A843,2000,1),K$75)</f>
        <v>0</v>
      </c>
      <c r="L843" s="166">
        <f t="shared" ca="1" si="123"/>
        <v>30</v>
      </c>
      <c r="M843" s="183">
        <f ca="1">SUMPRODUCT(F843:K843,F822:K822)/L:L</f>
        <v>6.6666666666666671E-3</v>
      </c>
      <c r="N843" s="166">
        <f t="shared" ca="1" si="124"/>
        <v>1.0066889383540194</v>
      </c>
      <c r="O843" s="165">
        <f t="shared" ca="1" si="126"/>
        <v>1202.5751209150492</v>
      </c>
      <c r="P843" s="165">
        <f t="shared" ca="1" si="125"/>
        <v>1210.6190717649274</v>
      </c>
    </row>
    <row r="844" spans="1:16" s="165" customFormat="1" x14ac:dyDescent="0.3">
      <c r="A844" s="165">
        <f>MATCH(Calcs!B844,Paste_Report_Here!$1:$1,0) -1</f>
        <v>25</v>
      </c>
      <c r="B844" s="165" t="s">
        <v>141</v>
      </c>
      <c r="C844" s="166">
        <f ca="1">RANK(N844,N824:N848)</f>
        <v>8</v>
      </c>
      <c r="D844" s="166">
        <f ca="1">RANK(P844,P824:P848)</f>
        <v>22</v>
      </c>
      <c r="E844" s="189" t="s">
        <v>170</v>
      </c>
      <c r="F844" s="179">
        <f ca="1">COUNTIFS(Paste_Report_Here!$E$1:$E$2000,E818, OFFSET(Paste_Report_Here!$A$1,0,$A844,2000,1),F$75)</f>
        <v>0</v>
      </c>
      <c r="G844" s="180">
        <f ca="1">COUNTIFS(Paste_Report_Here!$E$1:$E$2000,E818, OFFSET(Paste_Report_Here!$A$1,0,$A844,2000,1),G$75)</f>
        <v>6</v>
      </c>
      <c r="H844" s="180">
        <f ca="1">COUNTIFS(Paste_Report_Here!$E$1:$E$2000,E818, OFFSET(Paste_Report_Here!$A$1,0,$A844,2000,1),H$75)</f>
        <v>22</v>
      </c>
      <c r="I844" s="180">
        <f ca="1">COUNTIFS(Paste_Report_Here!$E$1:$E$2000,E818, OFFSET(Paste_Report_Here!$A$1,0,$A844,2000,1),I$75)</f>
        <v>2</v>
      </c>
      <c r="J844" s="180">
        <f ca="1">COUNTIFS(Paste_Report_Here!$E$1:$E$2000,E818, OFFSET(Paste_Report_Here!$A$1,0,$A844,2000,1),J$75)</f>
        <v>0</v>
      </c>
      <c r="K844" s="181">
        <f ca="1">COUNTIFS(Paste_Report_Here!$E$1:$E$2000,E818, OFFSET(Paste_Report_Here!$A$1,0,$A844,2000,1),K$75)</f>
        <v>0</v>
      </c>
      <c r="L844" s="166">
        <f t="shared" ca="1" si="123"/>
        <v>30</v>
      </c>
      <c r="M844" s="183">
        <f ca="1">SUMPRODUCT(F844:K844,F822:K822)/L:L</f>
        <v>0</v>
      </c>
      <c r="N844" s="166">
        <f t="shared" ca="1" si="124"/>
        <v>1</v>
      </c>
      <c r="O844" s="165">
        <f t="shared" ca="1" si="126"/>
        <v>1387.9093662722044</v>
      </c>
      <c r="P844" s="165">
        <f t="shared" ca="1" si="125"/>
        <v>1387.9093662722044</v>
      </c>
    </row>
    <row r="845" spans="1:16" s="165" customFormat="1" x14ac:dyDescent="0.3">
      <c r="A845" s="165">
        <f>MATCH(Calcs!B845,Paste_Report_Here!$1:$1,0) -1</f>
        <v>26</v>
      </c>
      <c r="B845" s="165" t="s">
        <v>142</v>
      </c>
      <c r="C845" s="166">
        <f ca="1">RANK(N845,N824:N848)</f>
        <v>8</v>
      </c>
      <c r="D845" s="166">
        <f ca="1">RANK(P845,P824:P848)</f>
        <v>11</v>
      </c>
      <c r="E845" s="189" t="s">
        <v>171</v>
      </c>
      <c r="F845" s="179">
        <f ca="1">COUNTIFS(Paste_Report_Here!$E$1:$E$2000,E818, OFFSET(Paste_Report_Here!$A$1,0,$A845,2000,1),F$75)</f>
        <v>0</v>
      </c>
      <c r="G845" s="180">
        <f ca="1">COUNTIFS(Paste_Report_Here!$E$1:$E$2000,E818, OFFSET(Paste_Report_Here!$A$1,0,$A845,2000,1),G$75)</f>
        <v>4</v>
      </c>
      <c r="H845" s="180">
        <f ca="1">COUNTIFS(Paste_Report_Here!$E$1:$E$2000,E818, OFFSET(Paste_Report_Here!$A$1,0,$A845,2000,1),H$75)</f>
        <v>23</v>
      </c>
      <c r="I845" s="180">
        <f ca="1">COUNTIFS(Paste_Report_Here!$E$1:$E$2000,E818, OFFSET(Paste_Report_Here!$A$1,0,$A845,2000,1),I$75)</f>
        <v>3</v>
      </c>
      <c r="J845" s="180">
        <f ca="1">COUNTIFS(Paste_Report_Here!$E$1:$E$2000,E818, OFFSET(Paste_Report_Here!$A$1,0,$A845,2000,1),J$75)</f>
        <v>0</v>
      </c>
      <c r="K845" s="181">
        <f ca="1">COUNTIFS(Paste_Report_Here!$E$1:$E$2000,E818, OFFSET(Paste_Report_Here!$A$1,0,$A845,2000,1),K$75)</f>
        <v>0</v>
      </c>
      <c r="L845" s="166">
        <f t="shared" ca="1" si="123"/>
        <v>30</v>
      </c>
      <c r="M845" s="183">
        <f ca="1">SUMPRODUCT(F845:K845,F822:K822)/L:L</f>
        <v>0</v>
      </c>
      <c r="N845" s="166">
        <f t="shared" ca="1" si="124"/>
        <v>1</v>
      </c>
      <c r="O845" s="165">
        <f t="shared" ca="1" si="126"/>
        <v>2290.123079681935</v>
      </c>
      <c r="P845" s="165">
        <f t="shared" ca="1" si="125"/>
        <v>2290.123079681935</v>
      </c>
    </row>
    <row r="846" spans="1:16" s="165" customFormat="1" x14ac:dyDescent="0.3">
      <c r="A846" s="165">
        <f>MATCH(Calcs!B846,Paste_Report_Here!$1:$1,0) -1</f>
        <v>27</v>
      </c>
      <c r="B846" s="165" t="s">
        <v>210</v>
      </c>
      <c r="C846" s="166">
        <f ca="1">RANK(N846,N824:N848)</f>
        <v>1</v>
      </c>
      <c r="D846" s="166">
        <f ca="1">RANK(P846,P824:P848)</f>
        <v>25</v>
      </c>
      <c r="E846" s="202" t="s">
        <v>212</v>
      </c>
      <c r="F846" s="179">
        <f ca="1">COUNTIFS(Paste_Report_Here!$E$1:$E$2000,E818, OFFSET(Paste_Report_Here!$A$1,0,$A846,2000,1),F$75)</f>
        <v>0</v>
      </c>
      <c r="G846" s="180">
        <f ca="1">COUNTIFS(Paste_Report_Here!$E$1:$E$2000,E818, OFFSET(Paste_Report_Here!$A$1,0,$A846,2000,1),G$75)</f>
        <v>1</v>
      </c>
      <c r="H846" s="180">
        <f ca="1">COUNTIFS(Paste_Report_Here!$E$1:$E$2000,E818, OFFSET(Paste_Report_Here!$A$1,0,$A846,2000,1),H$75)</f>
        <v>23</v>
      </c>
      <c r="I846" s="180">
        <f ca="1">COUNTIFS(Paste_Report_Here!$E$1:$E$2000,E818, OFFSET(Paste_Report_Here!$A$1,0,$A846,2000,1),I$75)</f>
        <v>5</v>
      </c>
      <c r="J846" s="180">
        <f ca="1">COUNTIFS(Paste_Report_Here!$E$1:$E$2000,E818, OFFSET(Paste_Report_Here!$A$1,0,$A846,2000,1),J$75)</f>
        <v>1</v>
      </c>
      <c r="K846" s="181">
        <f ca="1">COUNTIFS(Paste_Report_Here!$E$1:$E$2000,E818, OFFSET(Paste_Report_Here!$A$1,0,$A846,2000,1),K$75)</f>
        <v>0</v>
      </c>
      <c r="L846" s="166">
        <f t="shared" ca="1" si="123"/>
        <v>30</v>
      </c>
      <c r="M846" s="183">
        <f ca="1">SUMPRODUCT(F846:K846,F822:K822)/L:L</f>
        <v>6.6666666666666671E-3</v>
      </c>
      <c r="N846" s="166">
        <f t="shared" ca="1" si="124"/>
        <v>1.0066889383540194</v>
      </c>
      <c r="O846" s="165">
        <f t="shared" ca="1" si="126"/>
        <v>1145.0016989477658</v>
      </c>
      <c r="P846" s="165">
        <f t="shared" ca="1" si="125"/>
        <v>1152.660544727275</v>
      </c>
    </row>
    <row r="847" spans="1:16" s="165" customFormat="1" x14ac:dyDescent="0.3">
      <c r="A847" s="165">
        <f>MATCH(Calcs!B847,Paste_Report_Here!$1:$1,0) -1</f>
        <v>28</v>
      </c>
      <c r="B847" s="165" t="s">
        <v>143</v>
      </c>
      <c r="C847" s="166">
        <f ca="1">RANK(N847,N825:N849)</f>
        <v>8</v>
      </c>
      <c r="D847" s="166">
        <f ca="1">RANK(P847,P824:P848)</f>
        <v>1</v>
      </c>
      <c r="E847" s="189" t="s">
        <v>172</v>
      </c>
      <c r="F847" s="179">
        <f ca="1">COUNTIFS(Paste_Report_Here!$E$1:$E$2000,E818, OFFSET(Paste_Report_Here!$A$1,0,$A847,2000,1),F$75)</f>
        <v>0</v>
      </c>
      <c r="G847" s="180">
        <f ca="1">COUNTIFS(Paste_Report_Here!$E$1:$E$2000,E818, OFFSET(Paste_Report_Here!$A$1,0,$A847,2000,1),G$75)</f>
        <v>1</v>
      </c>
      <c r="H847" s="180">
        <f ca="1">COUNTIFS(Paste_Report_Here!$E$1:$E$2000,E818, OFFSET(Paste_Report_Here!$A$1,0,$A847,2000,1),H$75)</f>
        <v>22</v>
      </c>
      <c r="I847" s="180">
        <f ca="1">COUNTIFS(Paste_Report_Here!$E$1:$E$2000,E818, OFFSET(Paste_Report_Here!$A$1,0,$A847,2000,1),I$75)</f>
        <v>7</v>
      </c>
      <c r="J847" s="180">
        <f ca="1">COUNTIFS(Paste_Report_Here!$E$1:$E$2000,E818, OFFSET(Paste_Report_Here!$A$1,0,$A847,2000,1),J$75)</f>
        <v>0</v>
      </c>
      <c r="K847" s="181">
        <f ca="1">COUNTIFS(Paste_Report_Here!$E$1:$E$2000,E818, OFFSET(Paste_Report_Here!$A$1,0,$A847,2000,1),K$75)</f>
        <v>0</v>
      </c>
      <c r="L847" s="166">
        <f t="shared" ca="1" si="123"/>
        <v>30</v>
      </c>
      <c r="M847" s="183">
        <f ca="1">SUMPRODUCT(F847:K847,F822:K822)/L:L</f>
        <v>0</v>
      </c>
      <c r="N847" s="166">
        <f t="shared" ca="1" si="124"/>
        <v>1</v>
      </c>
      <c r="O847" s="165">
        <f t="shared" ca="1" si="126"/>
        <v>8130.4932136087109</v>
      </c>
      <c r="P847" s="165">
        <f t="shared" ca="1" si="125"/>
        <v>8130.4932136087109</v>
      </c>
    </row>
    <row r="848" spans="1:16" s="165" customFormat="1" x14ac:dyDescent="0.3">
      <c r="A848" s="165">
        <f>MATCH(Calcs!B848,Paste_Report_Here!$1:$1,0) -1</f>
        <v>29</v>
      </c>
      <c r="B848" s="187" t="s">
        <v>144</v>
      </c>
      <c r="C848" s="147">
        <f ca="1">RANK(N848,N824:N848)</f>
        <v>8</v>
      </c>
      <c r="D848" s="147">
        <f ca="1">RANK(P848,P824:P848)</f>
        <v>12</v>
      </c>
      <c r="E848" s="145" t="s">
        <v>173</v>
      </c>
      <c r="F848" s="146">
        <f ca="1">COUNTIFS(Paste_Report_Here!$E$1:$E$2000,E818, OFFSET(Paste_Report_Here!$A$1,0,$A848,2000,1),F$75)</f>
        <v>0</v>
      </c>
      <c r="G848" s="147">
        <f ca="1">COUNTIFS(Paste_Report_Here!$E$1:$E$2000,E818, OFFSET(Paste_Report_Here!$A$1,0,$A848,2000,1),G$75)</f>
        <v>2</v>
      </c>
      <c r="H848" s="147">
        <f ca="1">COUNTIFS(Paste_Report_Here!$E$1:$E$2000,E818, OFFSET(Paste_Report_Here!$A$1,0,$A848,2000,1),H$75)</f>
        <v>23</v>
      </c>
      <c r="I848" s="147">
        <f ca="1">COUNTIFS(Paste_Report_Here!$E$1:$E$2000,E818, OFFSET(Paste_Report_Here!$A$1,0,$A848,2000,1),I$75)</f>
        <v>5</v>
      </c>
      <c r="J848" s="147">
        <f ca="1">COUNTIFS(Paste_Report_Here!$E$1:$E$2000,E818, OFFSET(Paste_Report_Here!$A$1,0,$A848,2000,1),J$75)</f>
        <v>0</v>
      </c>
      <c r="K848" s="148">
        <f ca="1">COUNTIFS(Paste_Report_Here!$E$1:$E$2000,E818, OFFSET(Paste_Report_Here!$A$1,0,$A848,2000,1),K$75)</f>
        <v>0</v>
      </c>
      <c r="L848" s="147">
        <f t="shared" ca="1" si="123"/>
        <v>30</v>
      </c>
      <c r="M848" s="149">
        <f ca="1">SUMPRODUCT(F848:K848,F822:K822)/L:L</f>
        <v>0</v>
      </c>
      <c r="N848" s="147">
        <f t="shared" ca="1" si="124"/>
        <v>1</v>
      </c>
      <c r="O848" s="187">
        <f t="shared" ca="1" si="126"/>
        <v>2287.6229277911043</v>
      </c>
      <c r="P848" s="165">
        <f t="shared" ca="1" si="125"/>
        <v>2287.6229277911043</v>
      </c>
    </row>
    <row r="849" spans="1:16" s="165" customFormat="1" x14ac:dyDescent="0.3">
      <c r="C849" s="166"/>
      <c r="E849" s="140" t="s">
        <v>293</v>
      </c>
      <c r="F849" s="180">
        <f ca="1">SUM(F824:F848)</f>
        <v>12</v>
      </c>
      <c r="G849" s="180">
        <f t="shared" ref="G849:L849" ca="1" si="128">SUM(G824:G848)</f>
        <v>56</v>
      </c>
      <c r="H849" s="180">
        <f t="shared" ca="1" si="128"/>
        <v>545</v>
      </c>
      <c r="I849" s="180">
        <f t="shared" ca="1" si="128"/>
        <v>125</v>
      </c>
      <c r="J849" s="180">
        <f t="shared" ca="1" si="128"/>
        <v>12</v>
      </c>
      <c r="K849" s="180">
        <f t="shared" ca="1" si="128"/>
        <v>0</v>
      </c>
      <c r="L849" s="180">
        <f t="shared" ca="1" si="128"/>
        <v>750</v>
      </c>
      <c r="M849" s="144">
        <f ca="1">SUMPRODUCT(F849:K849,F822:K822)/L849</f>
        <v>0</v>
      </c>
      <c r="N849" s="166">
        <f t="shared" ca="1" si="124"/>
        <v>1</v>
      </c>
      <c r="O849" s="165">
        <f t="shared" ca="1" si="126"/>
        <v>2679.9674352849156</v>
      </c>
      <c r="P849" s="165">
        <f t="shared" ca="1" si="125"/>
        <v>2679.9674352849156</v>
      </c>
    </row>
    <row r="850" spans="1:16" s="165" customFormat="1" x14ac:dyDescent="0.3">
      <c r="A850" s="194"/>
      <c r="B850" s="194"/>
      <c r="C850" s="153"/>
      <c r="D850" s="194"/>
      <c r="E850" s="164"/>
      <c r="F850" s="151"/>
      <c r="G850" s="151"/>
      <c r="H850" s="151"/>
      <c r="I850" s="151"/>
      <c r="J850" s="151"/>
      <c r="K850" s="151"/>
      <c r="L850" s="151"/>
      <c r="M850" s="162"/>
      <c r="N850" s="153"/>
      <c r="O850" s="194"/>
      <c r="P850" s="194"/>
    </row>
    <row r="851" spans="1:16" s="165" customFormat="1" x14ac:dyDescent="0.3">
      <c r="E851" s="173" t="s">
        <v>292</v>
      </c>
    </row>
    <row r="852" spans="1:16" s="165" customFormat="1" x14ac:dyDescent="0.3">
      <c r="E852" s="141">
        <v>41304</v>
      </c>
    </row>
    <row r="853" spans="1:16" s="165" customFormat="1" ht="15" thickBot="1" x14ac:dyDescent="0.35"/>
    <row r="854" spans="1:16" s="165" customFormat="1" ht="24.6" thickBot="1" x14ac:dyDescent="0.35">
      <c r="F854" s="174" t="s">
        <v>23</v>
      </c>
      <c r="G854" s="168" t="s">
        <v>18</v>
      </c>
      <c r="H854" s="168" t="s">
        <v>16</v>
      </c>
      <c r="I854" s="168" t="s">
        <v>17</v>
      </c>
      <c r="J854" s="168" t="s">
        <v>19</v>
      </c>
      <c r="K854" s="169" t="s">
        <v>114</v>
      </c>
    </row>
    <row r="855" spans="1:16" s="165" customFormat="1" x14ac:dyDescent="0.3">
      <c r="F855" s="267" t="s">
        <v>201</v>
      </c>
      <c r="G855" s="268"/>
      <c r="H855" s="268"/>
      <c r="I855" s="268"/>
      <c r="J855" s="268"/>
      <c r="K855" s="169"/>
      <c r="M855" s="203">
        <f ca="1">(H883+K883)/L883</f>
        <v>0.77032258064516124</v>
      </c>
      <c r="N855" s="204" t="s">
        <v>501</v>
      </c>
    </row>
    <row r="856" spans="1:16" s="165" customFormat="1" ht="43.8" thickBot="1" x14ac:dyDescent="0.35">
      <c r="A856" s="142" t="s">
        <v>294</v>
      </c>
      <c r="B856" s="142" t="s">
        <v>295</v>
      </c>
      <c r="C856" s="197" t="s">
        <v>440</v>
      </c>
      <c r="D856" s="142" t="s">
        <v>441</v>
      </c>
      <c r="E856" s="171" t="s">
        <v>30</v>
      </c>
      <c r="F856" s="175">
        <f>Falling_fast</f>
        <v>-0.2</v>
      </c>
      <c r="G856" s="176">
        <f>Falling</f>
        <v>0</v>
      </c>
      <c r="H856" s="177">
        <f>Static</f>
        <v>0</v>
      </c>
      <c r="I856" s="176">
        <f>Rising</f>
        <v>0</v>
      </c>
      <c r="J856" s="178">
        <f>Rising_fast</f>
        <v>0.2</v>
      </c>
      <c r="K856" s="182">
        <v>0</v>
      </c>
      <c r="L856" s="171" t="s">
        <v>28</v>
      </c>
      <c r="M856" s="172" t="s">
        <v>29</v>
      </c>
      <c r="N856" s="143" t="s">
        <v>296</v>
      </c>
      <c r="O856" s="142" t="s">
        <v>297</v>
      </c>
      <c r="P856" s="142" t="s">
        <v>298</v>
      </c>
    </row>
    <row r="857" spans="1:16" s="165" customFormat="1" x14ac:dyDescent="0.3">
      <c r="C857" s="166"/>
      <c r="E857" s="192"/>
      <c r="F857" s="198" t="s">
        <v>151</v>
      </c>
      <c r="G857" s="199" t="s">
        <v>149</v>
      </c>
      <c r="H857" s="199" t="s">
        <v>16</v>
      </c>
      <c r="I857" s="199" t="s">
        <v>148</v>
      </c>
      <c r="J857" s="199" t="s">
        <v>150</v>
      </c>
      <c r="K857" s="200" t="s">
        <v>114</v>
      </c>
      <c r="L857" s="166"/>
      <c r="M857" s="170"/>
      <c r="N857" s="166"/>
    </row>
    <row r="858" spans="1:16" s="165" customFormat="1" x14ac:dyDescent="0.3">
      <c r="A858" s="165">
        <f>MATCH(Calcs!B858,Paste_Report_Here!$1:$1,0) -1</f>
        <v>5</v>
      </c>
      <c r="B858" s="165" t="s">
        <v>124</v>
      </c>
      <c r="C858" s="166">
        <f ca="1">RANK(N858,N858:N882)</f>
        <v>13</v>
      </c>
      <c r="D858" s="166">
        <f ca="1">RANK(P858,P858:P882)</f>
        <v>14</v>
      </c>
      <c r="E858" s="189" t="s">
        <v>152</v>
      </c>
      <c r="F858" s="179">
        <f ca="1">COUNTIFS(Paste_Report_Here!$E$1:$E$2000,E852, OFFSET(Paste_Report_Here!$A$1,0,$A858,2000,1),F$75)</f>
        <v>0</v>
      </c>
      <c r="G858" s="180">
        <f ca="1">COUNTIFS(Paste_Report_Here!$E$1:$E$2000,E852, OFFSET(Paste_Report_Here!$A$1,0,$A858,2000,1),G$75)</f>
        <v>2</v>
      </c>
      <c r="H858" s="180">
        <f ca="1">COUNTIFS(Paste_Report_Here!$E$1:$E$2000,E852, OFFSET(Paste_Report_Here!$A$1,0,$A858,2000,1),H$75)</f>
        <v>24</v>
      </c>
      <c r="I858" s="180">
        <f ca="1">COUNTIFS(Paste_Report_Here!$E$1:$E$2000,E852, OFFSET(Paste_Report_Here!$A$1,0,$A858,2000,1),I$75)</f>
        <v>5</v>
      </c>
      <c r="J858" s="180">
        <f ca="1">COUNTIFS(Paste_Report_Here!$E$1:$E$2000,E852, OFFSET(Paste_Report_Here!$A$1,0,$A858,2000,1),J$75)</f>
        <v>0</v>
      </c>
      <c r="K858" s="181">
        <f ca="1">COUNTIFS(Paste_Report_Here!$E$1:$E$2000,E852, OFFSET(Paste_Report_Here!$A$1,0,$A858,2000,1),K$75)</f>
        <v>0</v>
      </c>
      <c r="L858" s="166">
        <f t="shared" ref="L858:L882" ca="1" si="129">SUM(F858:K858)</f>
        <v>31</v>
      </c>
      <c r="M858" s="183">
        <f ca="1">SUMPRODUCT(F858:K858,F856:K856)/L:L</f>
        <v>0</v>
      </c>
      <c r="N858" s="166">
        <f t="shared" ref="N858:N883" ca="1" si="130">EXP(M858)</f>
        <v>1</v>
      </c>
      <c r="O858" s="165">
        <f ca="1">P824</f>
        <v>2163.0294460108721</v>
      </c>
      <c r="P858" s="165">
        <f t="shared" ref="P858:P883" ca="1" si="131">O858*N858</f>
        <v>2163.0294460108721</v>
      </c>
    </row>
    <row r="859" spans="1:16" s="165" customFormat="1" x14ac:dyDescent="0.3">
      <c r="A859" s="165">
        <f>MATCH(Calcs!B859,Paste_Report_Here!$1:$1,0) -1</f>
        <v>6</v>
      </c>
      <c r="B859" s="165" t="s">
        <v>125</v>
      </c>
      <c r="C859" s="166">
        <f ca="1">RANK(N859,N858:N882)</f>
        <v>3</v>
      </c>
      <c r="D859" s="166">
        <f ca="1">RANK(P859,P858:P882)</f>
        <v>13</v>
      </c>
      <c r="E859" s="189" t="s">
        <v>153</v>
      </c>
      <c r="F859" s="179">
        <f ca="1">COUNTIFS(Paste_Report_Here!$E$1:$E$2000,E852, OFFSET(Paste_Report_Here!$A$1,0,$A859,2000,1),F$75)</f>
        <v>0</v>
      </c>
      <c r="G859" s="180">
        <f ca="1">COUNTIFS(Paste_Report_Here!$E$1:$E$2000,E852, OFFSET(Paste_Report_Here!$A$1,0,$A859,2000,1),G$75)</f>
        <v>1</v>
      </c>
      <c r="H859" s="180">
        <f ca="1">COUNTIFS(Paste_Report_Here!$E$1:$E$2000,E852, OFFSET(Paste_Report_Here!$A$1,0,$A859,2000,1),H$75)</f>
        <v>23</v>
      </c>
      <c r="I859" s="180">
        <f ca="1">COUNTIFS(Paste_Report_Here!$E$1:$E$2000,E852, OFFSET(Paste_Report_Here!$A$1,0,$A859,2000,1),I$75)</f>
        <v>4</v>
      </c>
      <c r="J859" s="180">
        <f ca="1">COUNTIFS(Paste_Report_Here!$E$1:$E$2000,E852, OFFSET(Paste_Report_Here!$A$1,0,$A859,2000,1),J$75)</f>
        <v>1</v>
      </c>
      <c r="K859" s="181">
        <f ca="1">COUNTIFS(Paste_Report_Here!$E$1:$E$2000,E852, OFFSET(Paste_Report_Here!$A$1,0,$A859,2000,1),K$75)</f>
        <v>2</v>
      </c>
      <c r="L859" s="166">
        <f t="shared" ca="1" si="129"/>
        <v>31</v>
      </c>
      <c r="M859" s="183">
        <f ca="1">SUMPRODUCT(F859:K859,F856:K856)/L:L</f>
        <v>6.4516129032258064E-3</v>
      </c>
      <c r="N859" s="166">
        <f t="shared" ca="1" si="130"/>
        <v>1.0064724693862794</v>
      </c>
      <c r="O859" s="165">
        <f t="shared" ref="O859:O883" ca="1" si="132">P825</f>
        <v>2179.4940869137918</v>
      </c>
      <c r="P859" s="165">
        <f t="shared" ca="1" si="131"/>
        <v>2193.6007956689182</v>
      </c>
    </row>
    <row r="860" spans="1:16" s="165" customFormat="1" x14ac:dyDescent="0.3">
      <c r="A860" s="165">
        <f>MATCH(Calcs!B860,Paste_Report_Here!$1:$1,0) -1</f>
        <v>7</v>
      </c>
      <c r="B860" s="165" t="s">
        <v>126</v>
      </c>
      <c r="C860" s="166">
        <f ca="1">RANK(N860,N858:N882)</f>
        <v>13</v>
      </c>
      <c r="D860" s="166">
        <f ca="1">RANK(P860,P858:P882)</f>
        <v>7</v>
      </c>
      <c r="E860" s="189" t="s">
        <v>154</v>
      </c>
      <c r="F860" s="179">
        <f ca="1">COUNTIFS(Paste_Report_Here!$E$1:$E$2000,E852, OFFSET(Paste_Report_Here!$A$1,0,$A860,2000,1),F$75)</f>
        <v>0</v>
      </c>
      <c r="G860" s="180">
        <f ca="1">COUNTIFS(Paste_Report_Here!$E$1:$E$2000,E852, OFFSET(Paste_Report_Here!$A$1,0,$A860,2000,1),G$75)</f>
        <v>4</v>
      </c>
      <c r="H860" s="180">
        <f ca="1">COUNTIFS(Paste_Report_Here!$E$1:$E$2000,E852, OFFSET(Paste_Report_Here!$A$1,0,$A860,2000,1),H$75)</f>
        <v>21</v>
      </c>
      <c r="I860" s="180">
        <f ca="1">COUNTIFS(Paste_Report_Here!$E$1:$E$2000,E852, OFFSET(Paste_Report_Here!$A$1,0,$A860,2000,1),I$75)</f>
        <v>5</v>
      </c>
      <c r="J860" s="180">
        <f ca="1">COUNTIFS(Paste_Report_Here!$E$1:$E$2000,E852, OFFSET(Paste_Report_Here!$A$1,0,$A860,2000,1),J$75)</f>
        <v>0</v>
      </c>
      <c r="K860" s="181">
        <f ca="1">COUNTIFS(Paste_Report_Here!$E$1:$E$2000,E852, OFFSET(Paste_Report_Here!$A$1,0,$A860,2000,1),K$75)</f>
        <v>1</v>
      </c>
      <c r="L860" s="166">
        <f t="shared" ca="1" si="129"/>
        <v>31</v>
      </c>
      <c r="M860" s="183">
        <f ca="1">SUMPRODUCT(F860:K860,F856:K856)/L:L</f>
        <v>0</v>
      </c>
      <c r="N860" s="166">
        <f t="shared" ca="1" si="130"/>
        <v>1</v>
      </c>
      <c r="O860" s="165">
        <f t="shared" ca="1" si="132"/>
        <v>2824.7019227686728</v>
      </c>
      <c r="P860" s="165">
        <f t="shared" ca="1" si="131"/>
        <v>2824.7019227686728</v>
      </c>
    </row>
    <row r="861" spans="1:16" s="165" customFormat="1" x14ac:dyDescent="0.3">
      <c r="A861" s="165">
        <f>MATCH(Calcs!B861,Paste_Report_Here!$1:$1,0) -1</f>
        <v>8</v>
      </c>
      <c r="B861" s="165" t="s">
        <v>127</v>
      </c>
      <c r="C861" s="166">
        <f ca="1">RANK(N861,N858:N882)</f>
        <v>3</v>
      </c>
      <c r="D861" s="166">
        <f ca="1">RANK(P861,P858:P882)</f>
        <v>8</v>
      </c>
      <c r="E861" s="189" t="s">
        <v>155</v>
      </c>
      <c r="F861" s="179">
        <f ca="1">COUNTIFS(Paste_Report_Here!$E$1:$E$2000,E852, OFFSET(Paste_Report_Here!$A$1,0,$A861,2000,1),F$75)</f>
        <v>0</v>
      </c>
      <c r="G861" s="180">
        <f ca="1">COUNTIFS(Paste_Report_Here!$E$1:$E$2000,E852, OFFSET(Paste_Report_Here!$A$1,0,$A861,2000,1),G$75)</f>
        <v>2</v>
      </c>
      <c r="H861" s="180">
        <f ca="1">COUNTIFS(Paste_Report_Here!$E$1:$E$2000,E852, OFFSET(Paste_Report_Here!$A$1,0,$A861,2000,1),H$75)</f>
        <v>25</v>
      </c>
      <c r="I861" s="180">
        <f ca="1">COUNTIFS(Paste_Report_Here!$E$1:$E$2000,E852, OFFSET(Paste_Report_Here!$A$1,0,$A861,2000,1),I$75)</f>
        <v>3</v>
      </c>
      <c r="J861" s="180">
        <f ca="1">COUNTIFS(Paste_Report_Here!$E$1:$E$2000,E852, OFFSET(Paste_Report_Here!$A$1,0,$A861,2000,1),J$75)</f>
        <v>1</v>
      </c>
      <c r="K861" s="181">
        <f ca="1">COUNTIFS(Paste_Report_Here!$E$1:$E$2000,E852, OFFSET(Paste_Report_Here!$A$1,0,$A861,2000,1),K$75)</f>
        <v>0</v>
      </c>
      <c r="L861" s="166">
        <f t="shared" ca="1" si="129"/>
        <v>31</v>
      </c>
      <c r="M861" s="183">
        <f ca="1">SUMPRODUCT(F861:K861,F856:K856)/L:L</f>
        <v>6.4516129032258064E-3</v>
      </c>
      <c r="N861" s="166">
        <f t="shared" ca="1" si="130"/>
        <v>1.0064724693862794</v>
      </c>
      <c r="O861" s="165">
        <f t="shared" ca="1" si="132"/>
        <v>2788.1942510076815</v>
      </c>
      <c r="P861" s="165">
        <f t="shared" ca="1" si="131"/>
        <v>2806.240752940329</v>
      </c>
    </row>
    <row r="862" spans="1:16" s="165" customFormat="1" x14ac:dyDescent="0.3">
      <c r="A862" s="165">
        <f>MATCH(Calcs!B862,Paste_Report_Here!$1:$1,0) -1</f>
        <v>9</v>
      </c>
      <c r="B862" s="165" t="s">
        <v>214</v>
      </c>
      <c r="C862" s="166">
        <f ca="1">RANK(N862,N858:N882)</f>
        <v>3</v>
      </c>
      <c r="D862" s="166">
        <f ca="1">RANK(P862,P858:P882)</f>
        <v>5</v>
      </c>
      <c r="E862" s="189" t="s">
        <v>156</v>
      </c>
      <c r="F862" s="179">
        <f ca="1">COUNTIFS(Paste_Report_Here!$E$1:$E$2000,E852, OFFSET(Paste_Report_Here!$A$1,0,$A862,2000,1),F$75)</f>
        <v>0</v>
      </c>
      <c r="G862" s="180">
        <f ca="1">COUNTIFS(Paste_Report_Here!$E$1:$E$2000,E852, OFFSET(Paste_Report_Here!$A$1,0,$A862,2000,1),G$75)</f>
        <v>4</v>
      </c>
      <c r="H862" s="180">
        <f ca="1">COUNTIFS(Paste_Report_Here!$E$1:$E$2000,E852, OFFSET(Paste_Report_Here!$A$1,0,$A862,2000,1),H$75)</f>
        <v>22</v>
      </c>
      <c r="I862" s="180">
        <f ca="1">COUNTIFS(Paste_Report_Here!$E$1:$E$2000,E852, OFFSET(Paste_Report_Here!$A$1,0,$A862,2000,1),I$75)</f>
        <v>3</v>
      </c>
      <c r="J862" s="180">
        <f ca="1">COUNTIFS(Paste_Report_Here!$E$1:$E$2000,E852, OFFSET(Paste_Report_Here!$A$1,0,$A862,2000,1),J$75)</f>
        <v>1</v>
      </c>
      <c r="K862" s="181">
        <f ca="1">COUNTIFS(Paste_Report_Here!$E$1:$E$2000,E852, OFFSET(Paste_Report_Here!$A$1,0,$A862,2000,1),K$75)</f>
        <v>1</v>
      </c>
      <c r="L862" s="166">
        <f t="shared" ca="1" si="129"/>
        <v>31</v>
      </c>
      <c r="M862" s="183">
        <f ca="1">SUMPRODUCT(F862:K862,F856:K856)/L:L</f>
        <v>6.4516129032258064E-3</v>
      </c>
      <c r="N862" s="166">
        <f t="shared" ca="1" si="130"/>
        <v>1.0064724693862794</v>
      </c>
      <c r="O862" s="165">
        <f t="shared" ca="1" si="132"/>
        <v>3657.7165002288161</v>
      </c>
      <c r="P862" s="165">
        <f t="shared" ca="1" si="131"/>
        <v>3681.3909583002364</v>
      </c>
    </row>
    <row r="863" spans="1:16" s="165" customFormat="1" x14ac:dyDescent="0.3">
      <c r="A863" s="165">
        <f>MATCH(Calcs!B863,Paste_Report_Here!$1:$1,0) -1</f>
        <v>10</v>
      </c>
      <c r="B863" s="165" t="s">
        <v>128</v>
      </c>
      <c r="C863" s="166">
        <f ca="1">RANK(N863,N858:N882)</f>
        <v>13</v>
      </c>
      <c r="D863" s="166">
        <f ca="1">RANK(P863,P858:P882)</f>
        <v>21</v>
      </c>
      <c r="E863" s="189" t="s">
        <v>157</v>
      </c>
      <c r="F863" s="179">
        <f ca="1">COUNTIFS(Paste_Report_Here!$E$1:$E$2000,E852, OFFSET(Paste_Report_Here!$A$1,0,$A863,2000,1),F$75)</f>
        <v>0</v>
      </c>
      <c r="G863" s="180">
        <f ca="1">COUNTIFS(Paste_Report_Here!$E$1:$E$2000,E852, OFFSET(Paste_Report_Here!$A$1,0,$A863,2000,1),G$75)</f>
        <v>3</v>
      </c>
      <c r="H863" s="180">
        <f ca="1">COUNTIFS(Paste_Report_Here!$E$1:$E$2000,E852, OFFSET(Paste_Report_Here!$A$1,0,$A863,2000,1),H$75)</f>
        <v>24</v>
      </c>
      <c r="I863" s="180">
        <f ca="1">COUNTIFS(Paste_Report_Here!$E$1:$E$2000,E852, OFFSET(Paste_Report_Here!$A$1,0,$A863,2000,1),I$75)</f>
        <v>4</v>
      </c>
      <c r="J863" s="180">
        <f ca="1">COUNTIFS(Paste_Report_Here!$E$1:$E$2000,E852, OFFSET(Paste_Report_Here!$A$1,0,$A863,2000,1),J$75)</f>
        <v>0</v>
      </c>
      <c r="K863" s="181">
        <f ca="1">COUNTIFS(Paste_Report_Here!$E$1:$E$2000,E852, OFFSET(Paste_Report_Here!$A$1,0,$A863,2000,1),K$75)</f>
        <v>0</v>
      </c>
      <c r="L863" s="166">
        <f t="shared" ca="1" si="129"/>
        <v>31</v>
      </c>
      <c r="M863" s="183">
        <f ca="1">SUMPRODUCT(F863:K863,F856:K856)/L:L</f>
        <v>0</v>
      </c>
      <c r="N863" s="166">
        <f t="shared" ca="1" si="130"/>
        <v>1</v>
      </c>
      <c r="O863" s="165">
        <f t="shared" ca="1" si="132"/>
        <v>1682.0084826659886</v>
      </c>
      <c r="P863" s="165">
        <f t="shared" ca="1" si="131"/>
        <v>1682.0084826659886</v>
      </c>
    </row>
    <row r="864" spans="1:16" s="165" customFormat="1" x14ac:dyDescent="0.3">
      <c r="A864" s="165">
        <f>MATCH(Calcs!B864,Paste_Report_Here!$1:$1,0) -1</f>
        <v>11</v>
      </c>
      <c r="B864" s="165" t="s">
        <v>129</v>
      </c>
      <c r="C864" s="166">
        <f ca="1">RANK(N864,N858:N882)</f>
        <v>13</v>
      </c>
      <c r="D864" s="166">
        <f ca="1">RANK(P864,P858:P882)</f>
        <v>9</v>
      </c>
      <c r="E864" s="189" t="s">
        <v>158</v>
      </c>
      <c r="F864" s="179">
        <f ca="1">COUNTIFS(Paste_Report_Here!$E$1:$E$2000,E852, OFFSET(Paste_Report_Here!$A$1,0,$A864,2000,1),F$75)</f>
        <v>0</v>
      </c>
      <c r="G864" s="180">
        <f ca="1">COUNTIFS(Paste_Report_Here!$E$1:$E$2000,E852, OFFSET(Paste_Report_Here!$A$1,0,$A864,2000,1),G$75)</f>
        <v>3</v>
      </c>
      <c r="H864" s="180">
        <f ca="1">COUNTIFS(Paste_Report_Here!$E$1:$E$2000,E852, OFFSET(Paste_Report_Here!$A$1,0,$A864,2000,1),H$75)</f>
        <v>23</v>
      </c>
      <c r="I864" s="180">
        <f ca="1">COUNTIFS(Paste_Report_Here!$E$1:$E$2000,E852, OFFSET(Paste_Report_Here!$A$1,0,$A864,2000,1),I$75)</f>
        <v>5</v>
      </c>
      <c r="J864" s="180">
        <f ca="1">COUNTIFS(Paste_Report_Here!$E$1:$E$2000,E852, OFFSET(Paste_Report_Here!$A$1,0,$A864,2000,1),J$75)</f>
        <v>0</v>
      </c>
      <c r="K864" s="181">
        <f ca="1">COUNTIFS(Paste_Report_Here!$E$1:$E$2000,E852, OFFSET(Paste_Report_Here!$A$1,0,$A864,2000,1),K$75)</f>
        <v>0</v>
      </c>
      <c r="L864" s="166">
        <f t="shared" ca="1" si="129"/>
        <v>31</v>
      </c>
      <c r="M864" s="183">
        <f ca="1">SUMPRODUCT(F864:K864,F856:K856)/L:L</f>
        <v>0</v>
      </c>
      <c r="N864" s="166">
        <f t="shared" ca="1" si="130"/>
        <v>1</v>
      </c>
      <c r="O864" s="165">
        <f t="shared" ca="1" si="132"/>
        <v>2575.2149700663217</v>
      </c>
      <c r="P864" s="165">
        <f t="shared" ca="1" si="131"/>
        <v>2575.2149700663217</v>
      </c>
    </row>
    <row r="865" spans="1:16" s="165" customFormat="1" x14ac:dyDescent="0.3">
      <c r="A865" s="165">
        <f>MATCH(Calcs!B865,Paste_Report_Here!$1:$1,0) -1</f>
        <v>12</v>
      </c>
      <c r="B865" s="165" t="s">
        <v>130</v>
      </c>
      <c r="C865" s="166">
        <f ca="1">RANK(N865,N858:N882)</f>
        <v>3</v>
      </c>
      <c r="D865" s="166">
        <f ca="1">RANK(P865,P858:P882)</f>
        <v>10</v>
      </c>
      <c r="E865" s="189" t="s">
        <v>159</v>
      </c>
      <c r="F865" s="179">
        <f ca="1">COUNTIFS(Paste_Report_Here!$E$1:$E$2000,E852, OFFSET(Paste_Report_Here!$A$1,0,$A865,2000,1),F$75)</f>
        <v>0</v>
      </c>
      <c r="G865" s="180">
        <f ca="1">COUNTIFS(Paste_Report_Here!$E$1:$E$2000,E852, OFFSET(Paste_Report_Here!$A$1,0,$A865,2000,1),G$75)</f>
        <v>2</v>
      </c>
      <c r="H865" s="180">
        <f ca="1">COUNTIFS(Paste_Report_Here!$E$1:$E$2000,E852, OFFSET(Paste_Report_Here!$A$1,0,$A865,2000,1),H$75)</f>
        <v>26</v>
      </c>
      <c r="I865" s="180">
        <f ca="1">COUNTIFS(Paste_Report_Here!$E$1:$E$2000,E852, OFFSET(Paste_Report_Here!$A$1,0,$A865,2000,1),I$75)</f>
        <v>2</v>
      </c>
      <c r="J865" s="180">
        <f ca="1">COUNTIFS(Paste_Report_Here!$E$1:$E$2000,E852, OFFSET(Paste_Report_Here!$A$1,0,$A865,2000,1),J$75)</f>
        <v>1</v>
      </c>
      <c r="K865" s="181">
        <f ca="1">COUNTIFS(Paste_Report_Here!$E$1:$E$2000,E852, OFFSET(Paste_Report_Here!$A$1,0,$A865,2000,1),K$75)</f>
        <v>0</v>
      </c>
      <c r="L865" s="166">
        <f t="shared" ca="1" si="129"/>
        <v>31</v>
      </c>
      <c r="M865" s="183">
        <f ca="1">SUMPRODUCT(F865:K865,F856:K856)/L:L</f>
        <v>6.4516129032258064E-3</v>
      </c>
      <c r="N865" s="166">
        <f t="shared" ca="1" si="130"/>
        <v>1.0064724693862794</v>
      </c>
      <c r="O865" s="165">
        <f t="shared" ca="1" si="132"/>
        <v>2356.2771483940728</v>
      </c>
      <c r="P865" s="165">
        <f t="shared" ca="1" si="131"/>
        <v>2371.5280801026433</v>
      </c>
    </row>
    <row r="866" spans="1:16" s="165" customFormat="1" x14ac:dyDescent="0.3">
      <c r="A866" s="165">
        <f>MATCH(Calcs!B866,Paste_Report_Here!$1:$1,0) -1</f>
        <v>13</v>
      </c>
      <c r="B866" s="165" t="s">
        <v>131</v>
      </c>
      <c r="C866" s="166">
        <v>3</v>
      </c>
      <c r="D866" s="166">
        <f ca="1">RANK(P866,P858:P882)</f>
        <v>2</v>
      </c>
      <c r="E866" s="189" t="s">
        <v>160</v>
      </c>
      <c r="F866" s="179">
        <f ca="1">COUNTIFS(Paste_Report_Here!$E$1:$E$2000,E852, OFFSET(Paste_Report_Here!$A$1,0,$A866,2000,1),F$75)</f>
        <v>0</v>
      </c>
      <c r="G866" s="180">
        <f ca="1">COUNTIFS(Paste_Report_Here!$E$1:$E$2000,E852, OFFSET(Paste_Report_Here!$A$1,0,$A866,2000,1),G$75)</f>
        <v>1</v>
      </c>
      <c r="H866" s="180">
        <f ca="1">COUNTIFS(Paste_Report_Here!$E$1:$E$2000,E852, OFFSET(Paste_Report_Here!$A$1,0,$A866,2000,1),H$75)</f>
        <v>21</v>
      </c>
      <c r="I866" s="180">
        <f ca="1">COUNTIFS(Paste_Report_Here!$E$1:$E$2000,E852, OFFSET(Paste_Report_Here!$A$1,0,$A866,2000,1),I$75)</f>
        <v>8</v>
      </c>
      <c r="J866" s="180">
        <f ca="1">COUNTIFS(Paste_Report_Here!$E$1:$E$2000,E852, OFFSET(Paste_Report_Here!$A$1,0,$A866,2000,1),J$75)</f>
        <v>1</v>
      </c>
      <c r="K866" s="181">
        <f ca="1">COUNTIFS(Paste_Report_Here!$E$1:$E$2000,E852, OFFSET(Paste_Report_Here!$A$1,0,$A866,2000,1),K$75)</f>
        <v>0</v>
      </c>
      <c r="L866" s="166">
        <f t="shared" ca="1" si="129"/>
        <v>31</v>
      </c>
      <c r="M866" s="183">
        <f ca="1">SUMPRODUCT(F866:K866,F856:K856)/L:L</f>
        <v>6.4516129032258064E-3</v>
      </c>
      <c r="N866" s="166">
        <f t="shared" ca="1" si="130"/>
        <v>1.0064724693862794</v>
      </c>
      <c r="O866" s="165">
        <f t="shared" ca="1" si="132"/>
        <v>4185.166036535521</v>
      </c>
      <c r="P866" s="165">
        <f t="shared" ca="1" si="131"/>
        <v>4212.2543955834935</v>
      </c>
    </row>
    <row r="867" spans="1:16" s="165" customFormat="1" x14ac:dyDescent="0.3">
      <c r="A867" s="165">
        <f>MATCH(Calcs!B867,Paste_Report_Here!$1:$1,0) -1</f>
        <v>14</v>
      </c>
      <c r="B867" s="165" t="s">
        <v>132</v>
      </c>
      <c r="C867" s="166">
        <f t="shared" ref="C867:C872" ca="1" si="133">RANK(N867,N856:N880)</f>
        <v>3</v>
      </c>
      <c r="D867" s="166">
        <f ca="1">RANK(P867,P858:P882)</f>
        <v>18</v>
      </c>
      <c r="E867" s="189" t="s">
        <v>161</v>
      </c>
      <c r="F867" s="179">
        <f ca="1">COUNTIFS(Paste_Report_Here!$E$1:$E$2000,E852, OFFSET(Paste_Report_Here!$A$1,0,$A867,2000,1),F$75)</f>
        <v>0</v>
      </c>
      <c r="G867" s="180">
        <f ca="1">COUNTIFS(Paste_Report_Here!$E$1:$E$2000,E852, OFFSET(Paste_Report_Here!$A$1,0,$A867,2000,1),G$75)</f>
        <v>2</v>
      </c>
      <c r="H867" s="180">
        <f ca="1">COUNTIFS(Paste_Report_Here!$E$1:$E$2000,E852, OFFSET(Paste_Report_Here!$A$1,0,$A867,2000,1),H$75)</f>
        <v>24</v>
      </c>
      <c r="I867" s="180">
        <f ca="1">COUNTIFS(Paste_Report_Here!$E$1:$E$2000,E852, OFFSET(Paste_Report_Here!$A$1,0,$A867,2000,1),I$75)</f>
        <v>4</v>
      </c>
      <c r="J867" s="180">
        <f ca="1">COUNTIFS(Paste_Report_Here!$E$1:$E$2000,E852, OFFSET(Paste_Report_Here!$A$1,0,$A867,2000,1),J$75)</f>
        <v>1</v>
      </c>
      <c r="K867" s="181">
        <f ca="1">COUNTIFS(Paste_Report_Here!$E$1:$E$2000,E852, OFFSET(Paste_Report_Here!$A$1,0,$A867,2000,1),K$75)</f>
        <v>0</v>
      </c>
      <c r="L867" s="166">
        <f t="shared" ca="1" si="129"/>
        <v>31</v>
      </c>
      <c r="M867" s="183">
        <f ca="1">SUMPRODUCT(F867:K867,F856:K856)/L:L</f>
        <v>6.4516129032258064E-3</v>
      </c>
      <c r="N867" s="166">
        <f t="shared" ca="1" si="130"/>
        <v>1.0064724693862794</v>
      </c>
      <c r="O867" s="165">
        <f t="shared" ca="1" si="132"/>
        <v>2096.5738260373678</v>
      </c>
      <c r="P867" s="165">
        <f t="shared" ca="1" si="131"/>
        <v>2110.1438359424692</v>
      </c>
    </row>
    <row r="868" spans="1:16" s="165" customFormat="1" x14ac:dyDescent="0.3">
      <c r="A868" s="165">
        <f>MATCH(Calcs!B868,Paste_Report_Here!$1:$1,0) -1</f>
        <v>15</v>
      </c>
      <c r="B868" s="165" t="s">
        <v>133</v>
      </c>
      <c r="C868" s="166">
        <f t="shared" ca="1" si="133"/>
        <v>3</v>
      </c>
      <c r="D868" s="166">
        <f ca="1">RANK(P868,P858:P882)</f>
        <v>6</v>
      </c>
      <c r="E868" s="189" t="s">
        <v>162</v>
      </c>
      <c r="F868" s="179">
        <f ca="1">COUNTIFS(Paste_Report_Here!$E$1:$E$2000,E852, OFFSET(Paste_Report_Here!$A$1,0,$A868,2000,1),F$75)</f>
        <v>0</v>
      </c>
      <c r="G868" s="180">
        <f ca="1">COUNTIFS(Paste_Report_Here!$E$1:$E$2000,E852, OFFSET(Paste_Report_Here!$A$1,0,$A868,2000,1),G$75)</f>
        <v>2</v>
      </c>
      <c r="H868" s="180">
        <f ca="1">COUNTIFS(Paste_Report_Here!$E$1:$E$2000,E852, OFFSET(Paste_Report_Here!$A$1,0,$A868,2000,1),H$75)</f>
        <v>19</v>
      </c>
      <c r="I868" s="180">
        <f ca="1">COUNTIFS(Paste_Report_Here!$E$1:$E$2000,E852, OFFSET(Paste_Report_Here!$A$1,0,$A868,2000,1),I$75)</f>
        <v>9</v>
      </c>
      <c r="J868" s="180">
        <f ca="1">COUNTIFS(Paste_Report_Here!$E$1:$E$2000,E852, OFFSET(Paste_Report_Here!$A$1,0,$A868,2000,1),J$75)</f>
        <v>1</v>
      </c>
      <c r="K868" s="181">
        <f ca="1">COUNTIFS(Paste_Report_Here!$E$1:$E$2000,E852, OFFSET(Paste_Report_Here!$A$1,0,$A868,2000,1),K$75)</f>
        <v>0</v>
      </c>
      <c r="L868" s="166">
        <f t="shared" ca="1" si="129"/>
        <v>31</v>
      </c>
      <c r="M868" s="183">
        <f ca="1">SUMPRODUCT(F868:K868,F856:K856)/L:L</f>
        <v>6.4516129032258064E-3</v>
      </c>
      <c r="N868" s="166">
        <f t="shared" ca="1" si="130"/>
        <v>1.0064724693862794</v>
      </c>
      <c r="O868" s="165">
        <f t="shared" ca="1" si="132"/>
        <v>2992.5161839203106</v>
      </c>
      <c r="P868" s="165">
        <f t="shared" ca="1" si="131"/>
        <v>3011.8851533086804</v>
      </c>
    </row>
    <row r="869" spans="1:16" s="165" customFormat="1" x14ac:dyDescent="0.3">
      <c r="A869" s="165">
        <f>MATCH(Calcs!B869,Paste_Report_Here!$1:$1,0) -1</f>
        <v>16</v>
      </c>
      <c r="B869" s="165" t="s">
        <v>134</v>
      </c>
      <c r="C869" s="166">
        <f t="shared" ca="1" si="133"/>
        <v>13</v>
      </c>
      <c r="D869" s="166">
        <f ca="1">RANK(P869,P858:P882)</f>
        <v>24</v>
      </c>
      <c r="E869" s="189" t="s">
        <v>163</v>
      </c>
      <c r="F869" s="179">
        <f ca="1">COUNTIFS(Paste_Report_Here!$E$1:$E$2000,E852, OFFSET(Paste_Report_Here!$A$1,0,$A869,2000,1),F$75)</f>
        <v>0</v>
      </c>
      <c r="G869" s="180">
        <f ca="1">COUNTIFS(Paste_Report_Here!$E$1:$E$2000,E852, OFFSET(Paste_Report_Here!$A$1,0,$A869,2000,1),G$75)</f>
        <v>2</v>
      </c>
      <c r="H869" s="180">
        <f ca="1">COUNTIFS(Paste_Report_Here!$E$1:$E$2000,E852, OFFSET(Paste_Report_Here!$A$1,0,$A869,2000,1),H$75)</f>
        <v>25</v>
      </c>
      <c r="I869" s="180">
        <f ca="1">COUNTIFS(Paste_Report_Here!$E$1:$E$2000,E852, OFFSET(Paste_Report_Here!$A$1,0,$A869,2000,1),I$75)</f>
        <v>4</v>
      </c>
      <c r="J869" s="180">
        <f ca="1">COUNTIFS(Paste_Report_Here!$E$1:$E$2000,E852, OFFSET(Paste_Report_Here!$A$1,0,$A869,2000,1),J$75)</f>
        <v>0</v>
      </c>
      <c r="K869" s="181">
        <f ca="1">COUNTIFS(Paste_Report_Here!$E$1:$E$2000,E852, OFFSET(Paste_Report_Here!$A$1,0,$A869,2000,1),K$75)</f>
        <v>0</v>
      </c>
      <c r="L869" s="166">
        <f t="shared" ca="1" si="129"/>
        <v>31</v>
      </c>
      <c r="M869" s="183">
        <f ca="1">SUMPRODUCT(F869:K869,F856:K856)/L:L</f>
        <v>0</v>
      </c>
      <c r="N869" s="166">
        <f t="shared" ca="1" si="130"/>
        <v>1</v>
      </c>
      <c r="O869" s="165">
        <f t="shared" ca="1" si="132"/>
        <v>1180.494027289222</v>
      </c>
      <c r="P869" s="165">
        <f t="shared" ca="1" si="131"/>
        <v>1180.494027289222</v>
      </c>
    </row>
    <row r="870" spans="1:16" s="165" customFormat="1" x14ac:dyDescent="0.3">
      <c r="A870" s="165">
        <f>MATCH(Calcs!B870,Paste_Report_Here!$1:$1,0) -1</f>
        <v>17</v>
      </c>
      <c r="B870" s="165" t="s">
        <v>135</v>
      </c>
      <c r="C870" s="166">
        <f t="shared" ca="1" si="133"/>
        <v>14</v>
      </c>
      <c r="D870" s="166">
        <f ca="1">RANK(P870,P858:P882)</f>
        <v>20</v>
      </c>
      <c r="E870" s="189" t="s">
        <v>164</v>
      </c>
      <c r="F870" s="179">
        <f ca="1">COUNTIFS(Paste_Report_Here!$E$1:$E$2000,E852, OFFSET(Paste_Report_Here!$A$1,0,$A870,2000,1),F$75)</f>
        <v>0</v>
      </c>
      <c r="G870" s="180">
        <f ca="1">COUNTIFS(Paste_Report_Here!$E$1:$E$2000,E852, OFFSET(Paste_Report_Here!$A$1,0,$A870,2000,1),G$75)</f>
        <v>3</v>
      </c>
      <c r="H870" s="180">
        <f ca="1">COUNTIFS(Paste_Report_Here!$E$1:$E$2000,E852, OFFSET(Paste_Report_Here!$A$1,0,$A870,2000,1),H$75)</f>
        <v>26</v>
      </c>
      <c r="I870" s="180">
        <f ca="1">COUNTIFS(Paste_Report_Here!$E$1:$E$2000,E852, OFFSET(Paste_Report_Here!$A$1,0,$A870,2000,1),I$75)</f>
        <v>2</v>
      </c>
      <c r="J870" s="180">
        <f ca="1">COUNTIFS(Paste_Report_Here!$E$1:$E$2000,E852, OFFSET(Paste_Report_Here!$A$1,0,$A870,2000,1),J$75)</f>
        <v>0</v>
      </c>
      <c r="K870" s="181">
        <f ca="1">COUNTIFS(Paste_Report_Here!$E$1:$E$2000,E852, OFFSET(Paste_Report_Here!$A$1,0,$A870,2000,1),K$75)</f>
        <v>0</v>
      </c>
      <c r="L870" s="166">
        <f t="shared" ca="1" si="129"/>
        <v>31</v>
      </c>
      <c r="M870" s="183">
        <f ca="1">SUMPRODUCT(F870:K870,F856:K856)/L:L</f>
        <v>0</v>
      </c>
      <c r="N870" s="166">
        <f t="shared" ca="1" si="130"/>
        <v>1</v>
      </c>
      <c r="O870" s="165">
        <f t="shared" ca="1" si="132"/>
        <v>1876.6967646560045</v>
      </c>
      <c r="P870" s="165">
        <f t="shared" ca="1" si="131"/>
        <v>1876.6967646560045</v>
      </c>
    </row>
    <row r="871" spans="1:16" s="165" customFormat="1" x14ac:dyDescent="0.3">
      <c r="A871" s="165">
        <f>MATCH(Calcs!B871,Paste_Report_Here!$1:$1,0) -1</f>
        <v>18</v>
      </c>
      <c r="B871" s="165" t="s">
        <v>136</v>
      </c>
      <c r="C871" s="166">
        <f t="shared" ca="1" si="133"/>
        <v>3</v>
      </c>
      <c r="D871" s="166">
        <f ca="1">RANK(P871,P858:P882)</f>
        <v>4</v>
      </c>
      <c r="E871" s="189" t="s">
        <v>165</v>
      </c>
      <c r="F871" s="179">
        <f ca="1">COUNTIFS(Paste_Report_Here!$E$1:$E$2000,E852, OFFSET(Paste_Report_Here!$A$1,0,$A871,2000,1),F$75)</f>
        <v>0</v>
      </c>
      <c r="G871" s="180">
        <f ca="1">COUNTIFS(Paste_Report_Here!$E$1:$E$2000,E852, OFFSET(Paste_Report_Here!$A$1,0,$A871,2000,1),G$75)</f>
        <v>2</v>
      </c>
      <c r="H871" s="180">
        <f ca="1">COUNTIFS(Paste_Report_Here!$E$1:$E$2000,E852, OFFSET(Paste_Report_Here!$A$1,0,$A871,2000,1),H$75)</f>
        <v>23</v>
      </c>
      <c r="I871" s="180">
        <f ca="1">COUNTIFS(Paste_Report_Here!$E$1:$E$2000,E852, OFFSET(Paste_Report_Here!$A$1,0,$A871,2000,1),I$75)</f>
        <v>5</v>
      </c>
      <c r="J871" s="180">
        <f ca="1">COUNTIFS(Paste_Report_Here!$E$1:$E$2000,E852, OFFSET(Paste_Report_Here!$A$1,0,$A871,2000,1),J$75)</f>
        <v>1</v>
      </c>
      <c r="K871" s="181">
        <f ca="1">COUNTIFS(Paste_Report_Here!$E$1:$E$2000,E852, OFFSET(Paste_Report_Here!$A$1,0,$A871,2000,1),K$75)</f>
        <v>0</v>
      </c>
      <c r="L871" s="166">
        <f t="shared" ca="1" si="129"/>
        <v>31</v>
      </c>
      <c r="M871" s="183">
        <f ca="1">SUMPRODUCT(F871:K871,F856:K856)/L:L</f>
        <v>6.4516129032258064E-3</v>
      </c>
      <c r="N871" s="166">
        <f t="shared" ca="1" si="130"/>
        <v>1.0064724693862794</v>
      </c>
      <c r="O871" s="165">
        <f t="shared" ca="1" si="132"/>
        <v>3804.4468619353711</v>
      </c>
      <c r="P871" s="165">
        <f t="shared" ca="1" si="131"/>
        <v>3829.0710277809744</v>
      </c>
    </row>
    <row r="872" spans="1:16" s="165" customFormat="1" x14ac:dyDescent="0.3">
      <c r="A872" s="165">
        <f>MATCH(Calcs!B872,Paste_Report_Here!$1:$1,0) -1</f>
        <v>19</v>
      </c>
      <c r="B872" s="165" t="s">
        <v>137</v>
      </c>
      <c r="C872" s="166">
        <f t="shared" ca="1" si="133"/>
        <v>1</v>
      </c>
      <c r="D872" s="166">
        <f ca="1">RANK(P872,P858:P882)</f>
        <v>15</v>
      </c>
      <c r="E872" s="189" t="s">
        <v>166</v>
      </c>
      <c r="F872" s="179">
        <f ca="1">COUNTIFS(Paste_Report_Here!$E$1:$E$2000,E852, OFFSET(Paste_Report_Here!$A$1,0,$A872,2000,1),F$75)</f>
        <v>0</v>
      </c>
      <c r="G872" s="180">
        <f ca="1">COUNTIFS(Paste_Report_Here!$E$1:$E$2000,E852, OFFSET(Paste_Report_Here!$A$1,0,$A872,2000,1),G$75)</f>
        <v>2</v>
      </c>
      <c r="H872" s="180">
        <f ca="1">COUNTIFS(Paste_Report_Here!$E$1:$E$2000,E852, OFFSET(Paste_Report_Here!$A$1,0,$A872,2000,1),H$75)</f>
        <v>23</v>
      </c>
      <c r="I872" s="180">
        <f ca="1">COUNTIFS(Paste_Report_Here!$E$1:$E$2000,E852, OFFSET(Paste_Report_Here!$A$1,0,$A872,2000,1),I$75)</f>
        <v>4</v>
      </c>
      <c r="J872" s="180">
        <f ca="1">COUNTIFS(Paste_Report_Here!$E$1:$E$2000,E852, OFFSET(Paste_Report_Here!$A$1,0,$A872,2000,1),J$75)</f>
        <v>2</v>
      </c>
      <c r="K872" s="181">
        <f ca="1">COUNTIFS(Paste_Report_Here!$E$1:$E$2000,E852, OFFSET(Paste_Report_Here!$A$1,0,$A872,2000,1),K$75)</f>
        <v>0</v>
      </c>
      <c r="L872" s="166">
        <f t="shared" ca="1" si="129"/>
        <v>31</v>
      </c>
      <c r="M872" s="183">
        <f ca="1">SUMPRODUCT(F872:K872,F856:K856)/L:L</f>
        <v>1.2903225806451613E-2</v>
      </c>
      <c r="N872" s="166">
        <f t="shared" ca="1" si="130"/>
        <v>1.012986831632515</v>
      </c>
      <c r="O872" s="165">
        <f t="shared" ca="1" si="132"/>
        <v>2122.1957411197468</v>
      </c>
      <c r="P872" s="165">
        <f t="shared" ca="1" si="131"/>
        <v>2149.7563399009096</v>
      </c>
    </row>
    <row r="873" spans="1:16" s="165" customFormat="1" x14ac:dyDescent="0.3">
      <c r="A873" s="165">
        <f>MATCH(Calcs!B873,Paste_Report_Here!$1:$1,0) -1</f>
        <v>20</v>
      </c>
      <c r="B873" s="165" t="s">
        <v>138</v>
      </c>
      <c r="C873" s="166">
        <f ca="1">RANK(N873,N859:N883)</f>
        <v>3</v>
      </c>
      <c r="D873" s="166">
        <f ca="1">RANK(P873,P858:P882)</f>
        <v>19</v>
      </c>
      <c r="E873" s="189" t="s">
        <v>167</v>
      </c>
      <c r="F873" s="179">
        <f ca="1">COUNTIFS(Paste_Report_Here!$E$1:$E$2000,E852, OFFSET(Paste_Report_Here!$A$1,0,$A873,2000,1),F$75)</f>
        <v>0</v>
      </c>
      <c r="G873" s="180">
        <f ca="1">COUNTIFS(Paste_Report_Here!$E$1:$E$2000,E852, OFFSET(Paste_Report_Here!$A$1,0,$A873,2000,1),G$75)</f>
        <v>2</v>
      </c>
      <c r="H873" s="180">
        <f ca="1">COUNTIFS(Paste_Report_Here!$E$1:$E$2000,E852, OFFSET(Paste_Report_Here!$A$1,0,$A873,2000,1),H$75)</f>
        <v>26</v>
      </c>
      <c r="I873" s="180">
        <f ca="1">COUNTIFS(Paste_Report_Here!$E$1:$E$2000,E852, OFFSET(Paste_Report_Here!$A$1,0,$A873,2000,1),I$75)</f>
        <v>2</v>
      </c>
      <c r="J873" s="180">
        <f ca="1">COUNTIFS(Paste_Report_Here!$E$1:$E$2000,E852, OFFSET(Paste_Report_Here!$A$1,0,$A873,2000,1),J$75)</f>
        <v>1</v>
      </c>
      <c r="K873" s="181">
        <f ca="1">COUNTIFS(Paste_Report_Here!$E$1:$E$2000,E852, OFFSET(Paste_Report_Here!$A$1,0,$A873,2000,1),K$75)</f>
        <v>0</v>
      </c>
      <c r="L873" s="166">
        <f t="shared" ca="1" si="129"/>
        <v>31</v>
      </c>
      <c r="M873" s="183">
        <f ca="1">SUMPRODUCT(F873:K873,F856:K856)/L:L</f>
        <v>6.4516129032258064E-3</v>
      </c>
      <c r="N873" s="166">
        <f t="shared" ca="1" si="130"/>
        <v>1.0064724693862794</v>
      </c>
      <c r="O873" s="165">
        <f t="shared" ca="1" si="132"/>
        <v>2007.6332636833602</v>
      </c>
      <c r="P873" s="165">
        <f t="shared" ca="1" si="131"/>
        <v>2020.627608521427</v>
      </c>
    </row>
    <row r="874" spans="1:16" s="165" customFormat="1" x14ac:dyDescent="0.3">
      <c r="A874" s="165">
        <f>MATCH(Calcs!B874,Paste_Report_Here!$1:$1,0) -1</f>
        <v>21</v>
      </c>
      <c r="B874" s="165" t="s">
        <v>139</v>
      </c>
      <c r="C874" s="166">
        <f ca="1">RANK(N874,N858:N882)</f>
        <v>13</v>
      </c>
      <c r="D874" s="166">
        <f ca="1">RANK(P874,P858:P882)</f>
        <v>17</v>
      </c>
      <c r="E874" s="189" t="s">
        <v>168</v>
      </c>
      <c r="F874" s="179">
        <f ca="1">COUNTIFS(Paste_Report_Here!$E$1:$E$2000,E852, OFFSET(Paste_Report_Here!$A$1,0,$A874,2000,1),F$75)</f>
        <v>0</v>
      </c>
      <c r="G874" s="180">
        <f ca="1">COUNTIFS(Paste_Report_Here!$E$1:$E$2000,E852, OFFSET(Paste_Report_Here!$A$1,0,$A874,2000,1),G$75)</f>
        <v>1</v>
      </c>
      <c r="H874" s="180">
        <f ca="1">COUNTIFS(Paste_Report_Here!$E$1:$E$2000,E852, OFFSET(Paste_Report_Here!$A$1,0,$A874,2000,1),H$75)</f>
        <v>24</v>
      </c>
      <c r="I874" s="180">
        <f ca="1">COUNTIFS(Paste_Report_Here!$E$1:$E$2000,E852, OFFSET(Paste_Report_Here!$A$1,0,$A874,2000,1),I$75)</f>
        <v>6</v>
      </c>
      <c r="J874" s="180">
        <f ca="1">COUNTIFS(Paste_Report_Here!$E$1:$E$2000,E852, OFFSET(Paste_Report_Here!$A$1,0,$A874,2000,1),J$75)</f>
        <v>0</v>
      </c>
      <c r="K874" s="181">
        <f ca="1">COUNTIFS(Paste_Report_Here!$E$1:$E$2000,E852, OFFSET(Paste_Report_Here!$A$1,0,$A874,2000,1),K$75)</f>
        <v>0</v>
      </c>
      <c r="L874" s="166">
        <f t="shared" ca="1" si="129"/>
        <v>31</v>
      </c>
      <c r="M874" s="183">
        <f ca="1">SUMPRODUCT(F874:K874,F856:K856)/L:L</f>
        <v>0</v>
      </c>
      <c r="N874" s="166">
        <f t="shared" ca="1" si="130"/>
        <v>1</v>
      </c>
      <c r="O874" s="165">
        <f t="shared" ca="1" si="132"/>
        <v>2116.7880154710142</v>
      </c>
      <c r="P874" s="165">
        <f t="shared" ca="1" si="131"/>
        <v>2116.7880154710142</v>
      </c>
    </row>
    <row r="875" spans="1:16" s="165" customFormat="1" x14ac:dyDescent="0.3">
      <c r="A875" s="165">
        <f>MATCH(Calcs!B875,Paste_Report_Here!$1:$1,0) -1</f>
        <v>22</v>
      </c>
      <c r="B875" s="165" t="s">
        <v>140</v>
      </c>
      <c r="C875" s="166">
        <f ca="1">RANK(N875,N858:N882)</f>
        <v>13</v>
      </c>
      <c r="D875" s="166">
        <f ca="1">RANK(P875,P858:P882)</f>
        <v>16</v>
      </c>
      <c r="E875" s="189" t="s">
        <v>169</v>
      </c>
      <c r="F875" s="179">
        <f ca="1">COUNTIFS(Paste_Report_Here!$E$1:$E$2000,E852, OFFSET(Paste_Report_Here!$A$1,0,$A875,2000,1),F$75)</f>
        <v>0</v>
      </c>
      <c r="G875" s="180">
        <f ca="1">COUNTIFS(Paste_Report_Here!$E$1:$E$2000,E852, OFFSET(Paste_Report_Here!$A$1,0,$A875,2000,1),G$75)</f>
        <v>1</v>
      </c>
      <c r="H875" s="180">
        <f ca="1">COUNTIFS(Paste_Report_Here!$E$1:$E$2000,E852, OFFSET(Paste_Report_Here!$A$1,0,$A875,2000,1),H$75)</f>
        <v>25</v>
      </c>
      <c r="I875" s="180">
        <f ca="1">COUNTIFS(Paste_Report_Here!$E$1:$E$2000,E852, OFFSET(Paste_Report_Here!$A$1,0,$A875,2000,1),I$75)</f>
        <v>5</v>
      </c>
      <c r="J875" s="180">
        <f ca="1">COUNTIFS(Paste_Report_Here!$E$1:$E$2000,E852, OFFSET(Paste_Report_Here!$A$1,0,$A875,2000,1),J$75)</f>
        <v>0</v>
      </c>
      <c r="K875" s="181">
        <f ca="1">COUNTIFS(Paste_Report_Here!$E$1:$E$2000,E852, OFFSET(Paste_Report_Here!$A$1,0,$A875,2000,1),K$75)</f>
        <v>0</v>
      </c>
      <c r="L875" s="166">
        <f t="shared" ca="1" si="129"/>
        <v>31</v>
      </c>
      <c r="M875" s="183">
        <f ca="1">SUMPRODUCT(F875:K875,F856:K856)/L:L</f>
        <v>0</v>
      </c>
      <c r="N875" s="166">
        <f t="shared" ca="1" si="130"/>
        <v>1</v>
      </c>
      <c r="O875" s="165">
        <f t="shared" ca="1" si="132"/>
        <v>2129.3151213197002</v>
      </c>
      <c r="P875" s="165">
        <f t="shared" ca="1" si="131"/>
        <v>2129.3151213197002</v>
      </c>
    </row>
    <row r="876" spans="1:16" s="165" customFormat="1" x14ac:dyDescent="0.3">
      <c r="A876" s="165">
        <f>MATCH(Calcs!B876,Paste_Report_Here!$1:$1,0) -1</f>
        <v>23</v>
      </c>
      <c r="B876" s="165" t="s">
        <v>186</v>
      </c>
      <c r="C876" s="166">
        <f ca="1">RANK(N876,N858:N882)</f>
        <v>13</v>
      </c>
      <c r="D876" s="166">
        <f ca="1">RANK(P876,P858:P882)</f>
        <v>3</v>
      </c>
      <c r="E876" s="189" t="s">
        <v>180</v>
      </c>
      <c r="F876" s="179">
        <f ca="1">COUNTIFS(Paste_Report_Here!$E$1:$E$2000,E852, OFFSET(Paste_Report_Here!$A$1,0,$A876,2000,1),F$75)</f>
        <v>0</v>
      </c>
      <c r="G876" s="180">
        <f ca="1">COUNTIFS(Paste_Report_Here!$E$1:$E$2000,E852, OFFSET(Paste_Report_Here!$A$1,0,$A876,2000,1),G$75)</f>
        <v>2</v>
      </c>
      <c r="H876" s="180">
        <f ca="1">COUNTIFS(Paste_Report_Here!$E$1:$E$2000,E852, OFFSET(Paste_Report_Here!$A$1,0,$A876,2000,1),H$75)</f>
        <v>24</v>
      </c>
      <c r="I876" s="180">
        <f ca="1">COUNTIFS(Paste_Report_Here!$E$1:$E$2000,E852, OFFSET(Paste_Report_Here!$A$1,0,$A876,2000,1),I$75)</f>
        <v>5</v>
      </c>
      <c r="J876" s="180">
        <f ca="1">COUNTIFS(Paste_Report_Here!$E$1:$E$2000,E852, OFFSET(Paste_Report_Here!$A$1,0,$A876,2000,1),J$75)</f>
        <v>0</v>
      </c>
      <c r="K876" s="181">
        <f ca="1">COUNTIFS(Paste_Report_Here!$E$1:$E$2000,E852, OFFSET(Paste_Report_Here!$A$1,0,$A876,2000,1),K$75)</f>
        <v>0</v>
      </c>
      <c r="L876" s="166">
        <f t="shared" ca="1" si="129"/>
        <v>31</v>
      </c>
      <c r="M876" s="183">
        <f ca="1">SUMPRODUCT(F876:K876,F856:K856)/L:L</f>
        <v>0</v>
      </c>
      <c r="N876" s="166">
        <f t="shared" ca="1" si="130"/>
        <v>1</v>
      </c>
      <c r="O876" s="165">
        <f t="shared" ca="1" si="132"/>
        <v>4034.9074351235481</v>
      </c>
      <c r="P876" s="165">
        <f t="shared" ca="1" si="131"/>
        <v>4034.9074351235481</v>
      </c>
    </row>
    <row r="877" spans="1:16" s="165" customFormat="1" x14ac:dyDescent="0.3">
      <c r="A877" s="165">
        <f>MATCH(Calcs!B877,Paste_Report_Here!$1:$1,0) -1</f>
        <v>24</v>
      </c>
      <c r="B877" s="165" t="s">
        <v>209</v>
      </c>
      <c r="C877" s="166">
        <f ca="1">RANK(N877,N858:N882)</f>
        <v>1</v>
      </c>
      <c r="D877" s="166">
        <f ca="1">RANK(P877,P858:P882)</f>
        <v>23</v>
      </c>
      <c r="E877" s="202" t="s">
        <v>211</v>
      </c>
      <c r="F877" s="179">
        <f ca="1">COUNTIFS(Paste_Report_Here!$E$1:$E$2000,E852, OFFSET(Paste_Report_Here!$A$1,0,$A877,2000,1),F$75)</f>
        <v>0</v>
      </c>
      <c r="G877" s="180">
        <f ca="1">COUNTIFS(Paste_Report_Here!$E$1:$E$2000,E852, OFFSET(Paste_Report_Here!$A$1,0,$A877,2000,1),G$75)</f>
        <v>2</v>
      </c>
      <c r="H877" s="180">
        <f ca="1">COUNTIFS(Paste_Report_Here!$E$1:$E$2000,E852, OFFSET(Paste_Report_Here!$A$1,0,$A877,2000,1),H$75)</f>
        <v>19</v>
      </c>
      <c r="I877" s="180">
        <f ca="1">COUNTIFS(Paste_Report_Here!$E$1:$E$2000,E852, OFFSET(Paste_Report_Here!$A$1,0,$A877,2000,1),I$75)</f>
        <v>7</v>
      </c>
      <c r="J877" s="180">
        <f ca="1">COUNTIFS(Paste_Report_Here!$E$1:$E$2000,E852, OFFSET(Paste_Report_Here!$A$1,0,$A877,2000,1),J$75)</f>
        <v>2</v>
      </c>
      <c r="K877" s="181">
        <f ca="1">COUNTIFS(Paste_Report_Here!$E$1:$E$2000,E852, OFFSET(Paste_Report_Here!$A$1,0,$A877,2000,1),K$75)</f>
        <v>1</v>
      </c>
      <c r="L877" s="166">
        <f t="shared" ca="1" si="129"/>
        <v>31</v>
      </c>
      <c r="M877" s="183">
        <f ca="1">SUMPRODUCT(F877:K877,F856:K856)/L:L</f>
        <v>1.2903225806451613E-2</v>
      </c>
      <c r="N877" s="166">
        <f t="shared" ca="1" si="130"/>
        <v>1.012986831632515</v>
      </c>
      <c r="O877" s="165">
        <f t="shared" ca="1" si="132"/>
        <v>1210.6190717649274</v>
      </c>
      <c r="P877" s="165">
        <f t="shared" ca="1" si="131"/>
        <v>1226.3411778210502</v>
      </c>
    </row>
    <row r="878" spans="1:16" s="165" customFormat="1" x14ac:dyDescent="0.3">
      <c r="A878" s="165">
        <f>MATCH(Calcs!B878,Paste_Report_Here!$1:$1,0) -1</f>
        <v>25</v>
      </c>
      <c r="B878" s="165" t="s">
        <v>141</v>
      </c>
      <c r="C878" s="166">
        <f ca="1">RANK(N878,N858:N882)</f>
        <v>13</v>
      </c>
      <c r="D878" s="166">
        <f ca="1">RANK(P878,P858:P882)</f>
        <v>22</v>
      </c>
      <c r="E878" s="189" t="s">
        <v>170</v>
      </c>
      <c r="F878" s="179">
        <f ca="1">COUNTIFS(Paste_Report_Here!$E$1:$E$2000,E852, OFFSET(Paste_Report_Here!$A$1,0,$A878,2000,1),F$75)</f>
        <v>0</v>
      </c>
      <c r="G878" s="180">
        <f ca="1">COUNTIFS(Paste_Report_Here!$E$1:$E$2000,E852, OFFSET(Paste_Report_Here!$A$1,0,$A878,2000,1),G$75)</f>
        <v>2</v>
      </c>
      <c r="H878" s="180">
        <f ca="1">COUNTIFS(Paste_Report_Here!$E$1:$E$2000,E852, OFFSET(Paste_Report_Here!$A$1,0,$A878,2000,1),H$75)</f>
        <v>26</v>
      </c>
      <c r="I878" s="180">
        <f ca="1">COUNTIFS(Paste_Report_Here!$E$1:$E$2000,E852, OFFSET(Paste_Report_Here!$A$1,0,$A878,2000,1),I$75)</f>
        <v>3</v>
      </c>
      <c r="J878" s="180">
        <f ca="1">COUNTIFS(Paste_Report_Here!$E$1:$E$2000,E852, OFFSET(Paste_Report_Here!$A$1,0,$A878,2000,1),J$75)</f>
        <v>0</v>
      </c>
      <c r="K878" s="181">
        <f ca="1">COUNTIFS(Paste_Report_Here!$E$1:$E$2000,E852, OFFSET(Paste_Report_Here!$A$1,0,$A878,2000,1),K$75)</f>
        <v>0</v>
      </c>
      <c r="L878" s="166">
        <f t="shared" ca="1" si="129"/>
        <v>31</v>
      </c>
      <c r="M878" s="183">
        <f ca="1">SUMPRODUCT(F878:K878,F856:K856)/L:L</f>
        <v>0</v>
      </c>
      <c r="N878" s="166">
        <f t="shared" ca="1" si="130"/>
        <v>1</v>
      </c>
      <c r="O878" s="165">
        <f t="shared" ca="1" si="132"/>
        <v>1387.9093662722044</v>
      </c>
      <c r="P878" s="165">
        <f t="shared" ca="1" si="131"/>
        <v>1387.9093662722044</v>
      </c>
    </row>
    <row r="879" spans="1:16" s="165" customFormat="1" x14ac:dyDescent="0.3">
      <c r="A879" s="165">
        <f>MATCH(Calcs!B879,Paste_Report_Here!$1:$1,0) -1</f>
        <v>26</v>
      </c>
      <c r="B879" s="165" t="s">
        <v>142</v>
      </c>
      <c r="C879" s="166">
        <f ca="1">RANK(N879,N858:N882)</f>
        <v>13</v>
      </c>
      <c r="D879" s="166">
        <f ca="1">RANK(P879,P858:P882)</f>
        <v>11</v>
      </c>
      <c r="E879" s="189" t="s">
        <v>171</v>
      </c>
      <c r="F879" s="179">
        <f ca="1">COUNTIFS(Paste_Report_Here!$E$1:$E$2000,E852, OFFSET(Paste_Report_Here!$A$1,0,$A879,2000,1),F$75)</f>
        <v>0</v>
      </c>
      <c r="G879" s="180">
        <f ca="1">COUNTIFS(Paste_Report_Here!$E$1:$E$2000,E852, OFFSET(Paste_Report_Here!$A$1,0,$A879,2000,1),G$75)</f>
        <v>1</v>
      </c>
      <c r="H879" s="180">
        <f ca="1">COUNTIFS(Paste_Report_Here!$E$1:$E$2000,E852, OFFSET(Paste_Report_Here!$A$1,0,$A879,2000,1),H$75)</f>
        <v>26</v>
      </c>
      <c r="I879" s="180">
        <f ca="1">COUNTIFS(Paste_Report_Here!$E$1:$E$2000,E852, OFFSET(Paste_Report_Here!$A$1,0,$A879,2000,1),I$75)</f>
        <v>4</v>
      </c>
      <c r="J879" s="180">
        <f ca="1">COUNTIFS(Paste_Report_Here!$E$1:$E$2000,E852, OFFSET(Paste_Report_Here!$A$1,0,$A879,2000,1),J$75)</f>
        <v>0</v>
      </c>
      <c r="K879" s="181">
        <f ca="1">COUNTIFS(Paste_Report_Here!$E$1:$E$2000,E852, OFFSET(Paste_Report_Here!$A$1,0,$A879,2000,1),K$75)</f>
        <v>0</v>
      </c>
      <c r="L879" s="166">
        <f t="shared" ca="1" si="129"/>
        <v>31</v>
      </c>
      <c r="M879" s="183">
        <f ca="1">SUMPRODUCT(F879:K879,F856:K856)/L:L</f>
        <v>0</v>
      </c>
      <c r="N879" s="166">
        <f t="shared" ca="1" si="130"/>
        <v>1</v>
      </c>
      <c r="O879" s="165">
        <f t="shared" ca="1" si="132"/>
        <v>2290.123079681935</v>
      </c>
      <c r="P879" s="165">
        <f t="shared" ca="1" si="131"/>
        <v>2290.123079681935</v>
      </c>
    </row>
    <row r="880" spans="1:16" s="165" customFormat="1" x14ac:dyDescent="0.3">
      <c r="A880" s="165">
        <f>MATCH(Calcs!B880,Paste_Report_Here!$1:$1,0) -1</f>
        <v>27</v>
      </c>
      <c r="B880" s="165" t="s">
        <v>210</v>
      </c>
      <c r="C880" s="166">
        <f ca="1">RANK(N880,N858:N882)</f>
        <v>13</v>
      </c>
      <c r="D880" s="166">
        <f ca="1">RANK(P880,P858:P882)</f>
        <v>25</v>
      </c>
      <c r="E880" s="202" t="s">
        <v>212</v>
      </c>
      <c r="F880" s="179">
        <f ca="1">COUNTIFS(Paste_Report_Here!$E$1:$E$2000,E852, OFFSET(Paste_Report_Here!$A$1,0,$A880,2000,1),F$75)</f>
        <v>0</v>
      </c>
      <c r="G880" s="180">
        <f ca="1">COUNTIFS(Paste_Report_Here!$E$1:$E$2000,E852, OFFSET(Paste_Report_Here!$A$1,0,$A880,2000,1),G$75)</f>
        <v>1</v>
      </c>
      <c r="H880" s="180">
        <f ca="1">COUNTIFS(Paste_Report_Here!$E$1:$E$2000,E852, OFFSET(Paste_Report_Here!$A$1,0,$A880,2000,1),H$75)</f>
        <v>25</v>
      </c>
      <c r="I880" s="180">
        <f ca="1">COUNTIFS(Paste_Report_Here!$E$1:$E$2000,E852, OFFSET(Paste_Report_Here!$A$1,0,$A880,2000,1),I$75)</f>
        <v>5</v>
      </c>
      <c r="J880" s="180">
        <f ca="1">COUNTIFS(Paste_Report_Here!$E$1:$E$2000,E852, OFFSET(Paste_Report_Here!$A$1,0,$A880,2000,1),J$75)</f>
        <v>0</v>
      </c>
      <c r="K880" s="181">
        <f ca="1">COUNTIFS(Paste_Report_Here!$E$1:$E$2000,E852, OFFSET(Paste_Report_Here!$A$1,0,$A880,2000,1),K$75)</f>
        <v>0</v>
      </c>
      <c r="L880" s="166">
        <f t="shared" ca="1" si="129"/>
        <v>31</v>
      </c>
      <c r="M880" s="183">
        <f ca="1">SUMPRODUCT(F880:K880,F856:K856)/L:L</f>
        <v>0</v>
      </c>
      <c r="N880" s="166">
        <f t="shared" ca="1" si="130"/>
        <v>1</v>
      </c>
      <c r="O880" s="165">
        <f t="shared" ca="1" si="132"/>
        <v>1152.660544727275</v>
      </c>
      <c r="P880" s="165">
        <f t="shared" ca="1" si="131"/>
        <v>1152.660544727275</v>
      </c>
    </row>
    <row r="881" spans="1:16" s="165" customFormat="1" x14ac:dyDescent="0.3">
      <c r="A881" s="165">
        <f>MATCH(Calcs!B881,Paste_Report_Here!$1:$1,0) -1</f>
        <v>28</v>
      </c>
      <c r="B881" s="165" t="s">
        <v>143</v>
      </c>
      <c r="C881" s="166">
        <f ca="1">RANK(N881,N859:N883)</f>
        <v>3</v>
      </c>
      <c r="D881" s="166">
        <f ca="1">RANK(P881,P858:P882)</f>
        <v>1</v>
      </c>
      <c r="E881" s="189" t="s">
        <v>172</v>
      </c>
      <c r="F881" s="179">
        <f ca="1">COUNTIFS(Paste_Report_Here!$E$1:$E$2000,E852, OFFSET(Paste_Report_Here!$A$1,0,$A881,2000,1),F$75)</f>
        <v>0</v>
      </c>
      <c r="G881" s="180">
        <f ca="1">COUNTIFS(Paste_Report_Here!$E$1:$E$2000,E852, OFFSET(Paste_Report_Here!$A$1,0,$A881,2000,1),G$75)</f>
        <v>1</v>
      </c>
      <c r="H881" s="180">
        <f ca="1">COUNTIFS(Paste_Report_Here!$E$1:$E$2000,E852, OFFSET(Paste_Report_Here!$A$1,0,$A881,2000,1),H$75)</f>
        <v>22</v>
      </c>
      <c r="I881" s="180">
        <f ca="1">COUNTIFS(Paste_Report_Here!$E$1:$E$2000,E852, OFFSET(Paste_Report_Here!$A$1,0,$A881,2000,1),I$75)</f>
        <v>7</v>
      </c>
      <c r="J881" s="180">
        <f ca="1">COUNTIFS(Paste_Report_Here!$E$1:$E$2000,E852, OFFSET(Paste_Report_Here!$A$1,0,$A881,2000,1),J$75)</f>
        <v>1</v>
      </c>
      <c r="K881" s="181">
        <f ca="1">COUNTIFS(Paste_Report_Here!$E$1:$E$2000,E852, OFFSET(Paste_Report_Here!$A$1,0,$A881,2000,1),K$75)</f>
        <v>0</v>
      </c>
      <c r="L881" s="166">
        <f t="shared" ca="1" si="129"/>
        <v>31</v>
      </c>
      <c r="M881" s="183">
        <f ca="1">SUMPRODUCT(F881:K881,F856:K856)/L:L</f>
        <v>6.4516129032258064E-3</v>
      </c>
      <c r="N881" s="166">
        <f t="shared" ca="1" si="130"/>
        <v>1.0064724693862794</v>
      </c>
      <c r="O881" s="165">
        <f t="shared" ca="1" si="132"/>
        <v>8130.4932136087109</v>
      </c>
      <c r="P881" s="165">
        <f t="shared" ca="1" si="131"/>
        <v>8183.1175820291455</v>
      </c>
    </row>
    <row r="882" spans="1:16" s="165" customFormat="1" x14ac:dyDescent="0.3">
      <c r="A882" s="165">
        <f>MATCH(Calcs!B882,Paste_Report_Here!$1:$1,0) -1</f>
        <v>29</v>
      </c>
      <c r="B882" s="187" t="s">
        <v>144</v>
      </c>
      <c r="C882" s="147">
        <f ca="1">RANK(N882,N858:N882)</f>
        <v>13</v>
      </c>
      <c r="D882" s="147">
        <f ca="1">RANK(P882,P858:P882)</f>
        <v>12</v>
      </c>
      <c r="E882" s="145" t="s">
        <v>173</v>
      </c>
      <c r="F882" s="146">
        <f ca="1">COUNTIFS(Paste_Report_Here!$E$1:$E$2000,E852, OFFSET(Paste_Report_Here!$A$1,0,$A882,2000,1),F$75)</f>
        <v>0</v>
      </c>
      <c r="G882" s="147">
        <f ca="1">COUNTIFS(Paste_Report_Here!$E$1:$E$2000,E852, OFFSET(Paste_Report_Here!$A$1,0,$A882,2000,1),G$75)</f>
        <v>1</v>
      </c>
      <c r="H882" s="147">
        <f ca="1">COUNTIFS(Paste_Report_Here!$E$1:$E$2000,E852, OFFSET(Paste_Report_Here!$A$1,0,$A882,2000,1),H$75)</f>
        <v>26</v>
      </c>
      <c r="I882" s="147">
        <f ca="1">COUNTIFS(Paste_Report_Here!$E$1:$E$2000,E852, OFFSET(Paste_Report_Here!$A$1,0,$A882,2000,1),I$75)</f>
        <v>4</v>
      </c>
      <c r="J882" s="147">
        <f ca="1">COUNTIFS(Paste_Report_Here!$E$1:$E$2000,E852, OFFSET(Paste_Report_Here!$A$1,0,$A882,2000,1),J$75)</f>
        <v>0</v>
      </c>
      <c r="K882" s="148">
        <f ca="1">COUNTIFS(Paste_Report_Here!$E$1:$E$2000,E852, OFFSET(Paste_Report_Here!$A$1,0,$A882,2000,1),K$75)</f>
        <v>0</v>
      </c>
      <c r="L882" s="147">
        <f t="shared" ca="1" si="129"/>
        <v>31</v>
      </c>
      <c r="M882" s="149">
        <f ca="1">SUMPRODUCT(F882:K882,F856:K856)/L:L</f>
        <v>0</v>
      </c>
      <c r="N882" s="147">
        <f t="shared" ca="1" si="130"/>
        <v>1</v>
      </c>
      <c r="O882" s="187">
        <f t="shared" ca="1" si="132"/>
        <v>2287.6229277911043</v>
      </c>
      <c r="P882" s="165">
        <f t="shared" ca="1" si="131"/>
        <v>2287.6229277911043</v>
      </c>
    </row>
    <row r="883" spans="1:16" s="165" customFormat="1" x14ac:dyDescent="0.3">
      <c r="C883" s="166"/>
      <c r="E883" s="140" t="s">
        <v>293</v>
      </c>
      <c r="F883" s="180">
        <f ca="1">SUM(F858:F882)</f>
        <v>0</v>
      </c>
      <c r="G883" s="180">
        <f t="shared" ref="G883:L883" ca="1" si="134">SUM(G858:G882)</f>
        <v>49</v>
      </c>
      <c r="H883" s="180">
        <f t="shared" ca="1" si="134"/>
        <v>592</v>
      </c>
      <c r="I883" s="180">
        <f t="shared" ca="1" si="134"/>
        <v>115</v>
      </c>
      <c r="J883" s="180">
        <f t="shared" ca="1" si="134"/>
        <v>14</v>
      </c>
      <c r="K883" s="180">
        <f t="shared" ca="1" si="134"/>
        <v>5</v>
      </c>
      <c r="L883" s="180">
        <f t="shared" ca="1" si="134"/>
        <v>775</v>
      </c>
      <c r="M883" s="144">
        <f ca="1">SUMPRODUCT(F883:K883,F856:K856)/L883</f>
        <v>3.6129032258064519E-3</v>
      </c>
      <c r="N883" s="166">
        <f t="shared" ca="1" si="130"/>
        <v>1.0036194376276832</v>
      </c>
      <c r="O883" s="165">
        <f t="shared" ca="1" si="132"/>
        <v>2679.9674352849156</v>
      </c>
      <c r="P883" s="165">
        <f t="shared" ca="1" si="131"/>
        <v>2689.6674102611514</v>
      </c>
    </row>
    <row r="884" spans="1:16" s="165" customFormat="1" x14ac:dyDescent="0.3">
      <c r="A884" s="194"/>
      <c r="B884" s="194"/>
      <c r="C884" s="153"/>
      <c r="D884" s="194"/>
      <c r="E884" s="164"/>
      <c r="F884" s="151"/>
      <c r="G884" s="151"/>
      <c r="H884" s="151"/>
      <c r="I884" s="151"/>
      <c r="J884" s="151"/>
      <c r="K884" s="151"/>
      <c r="L884" s="151"/>
      <c r="M884" s="162"/>
      <c r="N884" s="153"/>
      <c r="O884" s="194"/>
      <c r="P884" s="194"/>
    </row>
    <row r="885" spans="1:16" s="165" customFormat="1" x14ac:dyDescent="0.3">
      <c r="E885" s="173" t="s">
        <v>292</v>
      </c>
    </row>
    <row r="886" spans="1:16" s="165" customFormat="1" x14ac:dyDescent="0.3">
      <c r="E886" s="141">
        <v>41332</v>
      </c>
    </row>
    <row r="887" spans="1:16" s="165" customFormat="1" ht="15" thickBot="1" x14ac:dyDescent="0.35"/>
    <row r="888" spans="1:16" s="165" customFormat="1" ht="24.6" thickBot="1" x14ac:dyDescent="0.35">
      <c r="F888" s="174" t="s">
        <v>23</v>
      </c>
      <c r="G888" s="168" t="s">
        <v>18</v>
      </c>
      <c r="H888" s="168" t="s">
        <v>16</v>
      </c>
      <c r="I888" s="168" t="s">
        <v>17</v>
      </c>
      <c r="J888" s="168" t="s">
        <v>19</v>
      </c>
      <c r="K888" s="169" t="s">
        <v>114</v>
      </c>
    </row>
    <row r="889" spans="1:16" s="165" customFormat="1" x14ac:dyDescent="0.3">
      <c r="F889" s="267" t="s">
        <v>201</v>
      </c>
      <c r="G889" s="268"/>
      <c r="H889" s="268"/>
      <c r="I889" s="268"/>
      <c r="J889" s="268"/>
      <c r="K889" s="169"/>
      <c r="M889" s="203">
        <f ca="1">(H917+K917)/L917</f>
        <v>0.7264516129032258</v>
      </c>
      <c r="N889" s="204" t="s">
        <v>501</v>
      </c>
    </row>
    <row r="890" spans="1:16" s="165" customFormat="1" ht="43.8" thickBot="1" x14ac:dyDescent="0.35">
      <c r="A890" s="142" t="s">
        <v>294</v>
      </c>
      <c r="B890" s="142" t="s">
        <v>295</v>
      </c>
      <c r="C890" s="197" t="s">
        <v>440</v>
      </c>
      <c r="D890" s="142" t="s">
        <v>441</v>
      </c>
      <c r="E890" s="171" t="s">
        <v>30</v>
      </c>
      <c r="F890" s="175">
        <f>Falling_fast</f>
        <v>-0.2</v>
      </c>
      <c r="G890" s="176">
        <f>Falling</f>
        <v>0</v>
      </c>
      <c r="H890" s="177">
        <f>Static</f>
        <v>0</v>
      </c>
      <c r="I890" s="176">
        <f>Rising</f>
        <v>0</v>
      </c>
      <c r="J890" s="178">
        <f>Rising_fast</f>
        <v>0.2</v>
      </c>
      <c r="K890" s="182">
        <v>0</v>
      </c>
      <c r="L890" s="171" t="s">
        <v>28</v>
      </c>
      <c r="M890" s="172" t="s">
        <v>29</v>
      </c>
      <c r="N890" s="143" t="s">
        <v>296</v>
      </c>
      <c r="O890" s="142" t="s">
        <v>297</v>
      </c>
      <c r="P890" s="142" t="s">
        <v>298</v>
      </c>
    </row>
    <row r="891" spans="1:16" s="165" customFormat="1" x14ac:dyDescent="0.3">
      <c r="C891" s="166"/>
      <c r="E891" s="192"/>
      <c r="F891" s="198" t="s">
        <v>151</v>
      </c>
      <c r="G891" s="199" t="s">
        <v>149</v>
      </c>
      <c r="H891" s="199" t="s">
        <v>16</v>
      </c>
      <c r="I891" s="199" t="s">
        <v>148</v>
      </c>
      <c r="J891" s="199" t="s">
        <v>150</v>
      </c>
      <c r="K891" s="200" t="s">
        <v>114</v>
      </c>
      <c r="L891" s="166"/>
      <c r="M891" s="170"/>
      <c r="N891" s="166"/>
    </row>
    <row r="892" spans="1:16" s="165" customFormat="1" x14ac:dyDescent="0.3">
      <c r="A892" s="165">
        <f>MATCH(Calcs!B892,Paste_Report_Here!$1:$1,0) -1</f>
        <v>5</v>
      </c>
      <c r="B892" s="165" t="s">
        <v>124</v>
      </c>
      <c r="C892" s="166">
        <f ca="1">RANK(N892,N892:N916)</f>
        <v>18</v>
      </c>
      <c r="D892" s="166">
        <f ca="1">RANK(P892,P892:P916)</f>
        <v>15</v>
      </c>
      <c r="E892" s="189" t="s">
        <v>152</v>
      </c>
      <c r="F892" s="179">
        <f ca="1">COUNTIFS(Paste_Report_Here!$E$1:$E$2000,E886, OFFSET(Paste_Report_Here!$A$1,0,$A892,2000,1),F$75)</f>
        <v>1</v>
      </c>
      <c r="G892" s="180">
        <f ca="1">COUNTIFS(Paste_Report_Here!$E$1:$E$2000,E886, OFFSET(Paste_Report_Here!$A$1,0,$A892,2000,1),G$75)</f>
        <v>3</v>
      </c>
      <c r="H892" s="180">
        <f ca="1">COUNTIFS(Paste_Report_Here!$E$1:$E$2000,E886, OFFSET(Paste_Report_Here!$A$1,0,$A892,2000,1),H$75)</f>
        <v>23</v>
      </c>
      <c r="I892" s="180">
        <f ca="1">COUNTIFS(Paste_Report_Here!$E$1:$E$2000,E886, OFFSET(Paste_Report_Here!$A$1,0,$A892,2000,1),I$75)</f>
        <v>4</v>
      </c>
      <c r="J892" s="180">
        <f ca="1">COUNTIFS(Paste_Report_Here!$E$1:$E$2000,E886, OFFSET(Paste_Report_Here!$A$1,0,$A892,2000,1),J$75)</f>
        <v>0</v>
      </c>
      <c r="K892" s="181">
        <f ca="1">COUNTIFS(Paste_Report_Here!$E$1:$E$2000,E886, OFFSET(Paste_Report_Here!$A$1,0,$A892,2000,1),K$75)</f>
        <v>0</v>
      </c>
      <c r="L892" s="166">
        <f t="shared" ref="L892:L916" ca="1" si="135">SUM(F892:K892)</f>
        <v>31</v>
      </c>
      <c r="M892" s="183">
        <f ca="1">SUMPRODUCT(F892:K892,F890:K890)/L:L</f>
        <v>-6.4516129032258064E-3</v>
      </c>
      <c r="N892" s="166">
        <f t="shared" ref="N892:N917" ca="1" si="136">EXP(M892)</f>
        <v>0.99356915406714885</v>
      </c>
      <c r="O892" s="165">
        <f ca="1">P858</f>
        <v>2163.0294460108721</v>
      </c>
      <c r="P892" s="165">
        <f t="shared" ref="P892:P917" ca="1" si="137">O892*N892</f>
        <v>2149.1193368953559</v>
      </c>
    </row>
    <row r="893" spans="1:16" s="165" customFormat="1" x14ac:dyDescent="0.3">
      <c r="A893" s="165">
        <f>MATCH(Calcs!B893,Paste_Report_Here!$1:$1,0) -1</f>
        <v>6</v>
      </c>
      <c r="B893" s="165" t="s">
        <v>125</v>
      </c>
      <c r="C893" s="166">
        <f ca="1">RANK(N893,N892:N916)</f>
        <v>18</v>
      </c>
      <c r="D893" s="166">
        <f ca="1">RANK(P893,P892:P916)</f>
        <v>13</v>
      </c>
      <c r="E893" s="189" t="s">
        <v>153</v>
      </c>
      <c r="F893" s="179">
        <f ca="1">COUNTIFS(Paste_Report_Here!$E$1:$E$2000,E886, OFFSET(Paste_Report_Here!$A$1,0,$A893,2000,1),F$75)</f>
        <v>1</v>
      </c>
      <c r="G893" s="180">
        <f ca="1">COUNTIFS(Paste_Report_Here!$E$1:$E$2000,E886, OFFSET(Paste_Report_Here!$A$1,0,$A893,2000,1),G$75)</f>
        <v>5</v>
      </c>
      <c r="H893" s="180">
        <f ca="1">COUNTIFS(Paste_Report_Here!$E$1:$E$2000,E886, OFFSET(Paste_Report_Here!$A$1,0,$A893,2000,1),H$75)</f>
        <v>23</v>
      </c>
      <c r="I893" s="180">
        <f ca="1">COUNTIFS(Paste_Report_Here!$E$1:$E$2000,E886, OFFSET(Paste_Report_Here!$A$1,0,$A893,2000,1),I$75)</f>
        <v>1</v>
      </c>
      <c r="J893" s="180">
        <f ca="1">COUNTIFS(Paste_Report_Here!$E$1:$E$2000,E886, OFFSET(Paste_Report_Here!$A$1,0,$A893,2000,1),J$75)</f>
        <v>0</v>
      </c>
      <c r="K893" s="181">
        <f ca="1">COUNTIFS(Paste_Report_Here!$E$1:$E$2000,E886, OFFSET(Paste_Report_Here!$A$1,0,$A893,2000,1),K$75)</f>
        <v>1</v>
      </c>
      <c r="L893" s="166">
        <f t="shared" ca="1" si="135"/>
        <v>31</v>
      </c>
      <c r="M893" s="183">
        <f ca="1">SUMPRODUCT(F893:K893,F890:K890)/L:L</f>
        <v>-6.4516129032258064E-3</v>
      </c>
      <c r="N893" s="166">
        <f t="shared" ca="1" si="136"/>
        <v>0.99356915406714885</v>
      </c>
      <c r="O893" s="165">
        <f t="shared" ref="O893:O917" ca="1" si="138">P859</f>
        <v>2193.6007956689182</v>
      </c>
      <c r="P893" s="165">
        <f t="shared" ca="1" si="137"/>
        <v>2179.4940869137918</v>
      </c>
    </row>
    <row r="894" spans="1:16" s="165" customFormat="1" x14ac:dyDescent="0.3">
      <c r="A894" s="165">
        <f>MATCH(Calcs!B894,Paste_Report_Here!$1:$1,0) -1</f>
        <v>7</v>
      </c>
      <c r="B894" s="165" t="s">
        <v>126</v>
      </c>
      <c r="C894" s="166">
        <f ca="1">RANK(N894,N892:N916)</f>
        <v>6</v>
      </c>
      <c r="D894" s="166">
        <f ca="1">RANK(P894,P892:P916)</f>
        <v>7</v>
      </c>
      <c r="E894" s="189" t="s">
        <v>154</v>
      </c>
      <c r="F894" s="179">
        <f ca="1">COUNTIFS(Paste_Report_Here!$E$1:$E$2000,E886, OFFSET(Paste_Report_Here!$A$1,0,$A894,2000,1),F$75)</f>
        <v>0</v>
      </c>
      <c r="G894" s="180">
        <f ca="1">COUNTIFS(Paste_Report_Here!$E$1:$E$2000,E886, OFFSET(Paste_Report_Here!$A$1,0,$A894,2000,1),G$75)</f>
        <v>6</v>
      </c>
      <c r="H894" s="180">
        <f ca="1">COUNTIFS(Paste_Report_Here!$E$1:$E$2000,E886, OFFSET(Paste_Report_Here!$A$1,0,$A894,2000,1),H$75)</f>
        <v>21</v>
      </c>
      <c r="I894" s="180">
        <f ca="1">COUNTIFS(Paste_Report_Here!$E$1:$E$2000,E886, OFFSET(Paste_Report_Here!$A$1,0,$A894,2000,1),I$75)</f>
        <v>4</v>
      </c>
      <c r="J894" s="180">
        <f ca="1">COUNTIFS(Paste_Report_Here!$E$1:$E$2000,E886, OFFSET(Paste_Report_Here!$A$1,0,$A894,2000,1),J$75)</f>
        <v>0</v>
      </c>
      <c r="K894" s="181">
        <f ca="1">COUNTIFS(Paste_Report_Here!$E$1:$E$2000,E886, OFFSET(Paste_Report_Here!$A$1,0,$A894,2000,1),K$75)</f>
        <v>0</v>
      </c>
      <c r="L894" s="166">
        <f t="shared" ca="1" si="135"/>
        <v>31</v>
      </c>
      <c r="M894" s="183">
        <f ca="1">SUMPRODUCT(F894:K894,F890:K890)/L:L</f>
        <v>0</v>
      </c>
      <c r="N894" s="166">
        <f t="shared" ca="1" si="136"/>
        <v>1</v>
      </c>
      <c r="O894" s="165">
        <f t="shared" ca="1" si="138"/>
        <v>2824.7019227686728</v>
      </c>
      <c r="P894" s="165">
        <f t="shared" ca="1" si="137"/>
        <v>2824.7019227686728</v>
      </c>
    </row>
    <row r="895" spans="1:16" s="165" customFormat="1" x14ac:dyDescent="0.3">
      <c r="A895" s="165">
        <f>MATCH(Calcs!B895,Paste_Report_Here!$1:$1,0) -1</f>
        <v>8</v>
      </c>
      <c r="B895" s="165" t="s">
        <v>127</v>
      </c>
      <c r="C895" s="166">
        <f ca="1">RANK(N895,N892:N916)</f>
        <v>6</v>
      </c>
      <c r="D895" s="166">
        <f ca="1">RANK(P895,P892:P916)</f>
        <v>8</v>
      </c>
      <c r="E895" s="189" t="s">
        <v>155</v>
      </c>
      <c r="F895" s="179">
        <f ca="1">COUNTIFS(Paste_Report_Here!$E$1:$E$2000,E886, OFFSET(Paste_Report_Here!$A$1,0,$A895,2000,1),F$75)</f>
        <v>0</v>
      </c>
      <c r="G895" s="180">
        <f ca="1">COUNTIFS(Paste_Report_Here!$E$1:$E$2000,E886, OFFSET(Paste_Report_Here!$A$1,0,$A895,2000,1),G$75)</f>
        <v>3</v>
      </c>
      <c r="H895" s="180">
        <f ca="1">COUNTIFS(Paste_Report_Here!$E$1:$E$2000,E886, OFFSET(Paste_Report_Here!$A$1,0,$A895,2000,1),H$75)</f>
        <v>21</v>
      </c>
      <c r="I895" s="180">
        <f ca="1">COUNTIFS(Paste_Report_Here!$E$1:$E$2000,E886, OFFSET(Paste_Report_Here!$A$1,0,$A895,2000,1),I$75)</f>
        <v>7</v>
      </c>
      <c r="J895" s="180">
        <f ca="1">COUNTIFS(Paste_Report_Here!$E$1:$E$2000,E886, OFFSET(Paste_Report_Here!$A$1,0,$A895,2000,1),J$75)</f>
        <v>0</v>
      </c>
      <c r="K895" s="181">
        <f ca="1">COUNTIFS(Paste_Report_Here!$E$1:$E$2000,E886, OFFSET(Paste_Report_Here!$A$1,0,$A895,2000,1),K$75)</f>
        <v>0</v>
      </c>
      <c r="L895" s="166">
        <f t="shared" ca="1" si="135"/>
        <v>31</v>
      </c>
      <c r="M895" s="183">
        <f ca="1">SUMPRODUCT(F895:K895,F890:K890)/L:L</f>
        <v>0</v>
      </c>
      <c r="N895" s="166">
        <f t="shared" ca="1" si="136"/>
        <v>1</v>
      </c>
      <c r="O895" s="165">
        <f t="shared" ca="1" si="138"/>
        <v>2806.240752940329</v>
      </c>
      <c r="P895" s="165">
        <f t="shared" ca="1" si="137"/>
        <v>2806.240752940329</v>
      </c>
    </row>
    <row r="896" spans="1:16" s="165" customFormat="1" x14ac:dyDescent="0.3">
      <c r="A896" s="165">
        <f>MATCH(Calcs!B896,Paste_Report_Here!$1:$1,0) -1</f>
        <v>9</v>
      </c>
      <c r="B896" s="165" t="s">
        <v>214</v>
      </c>
      <c r="C896" s="166">
        <f ca="1">RANK(N896,N892:N916)</f>
        <v>2</v>
      </c>
      <c r="D896" s="166">
        <f ca="1">RANK(P896,P892:P916)</f>
        <v>5</v>
      </c>
      <c r="E896" s="189" t="s">
        <v>156</v>
      </c>
      <c r="F896" s="179">
        <f ca="1">COUNTIFS(Paste_Report_Here!$E$1:$E$2000,E886, OFFSET(Paste_Report_Here!$A$1,0,$A896,2000,1),F$75)</f>
        <v>0</v>
      </c>
      <c r="G896" s="180">
        <f ca="1">COUNTIFS(Paste_Report_Here!$E$1:$E$2000,E886, OFFSET(Paste_Report_Here!$A$1,0,$A896,2000,1),G$75)</f>
        <v>1</v>
      </c>
      <c r="H896" s="180">
        <f ca="1">COUNTIFS(Paste_Report_Here!$E$1:$E$2000,E886, OFFSET(Paste_Report_Here!$A$1,0,$A896,2000,1),H$75)</f>
        <v>22</v>
      </c>
      <c r="I896" s="180">
        <f ca="1">COUNTIFS(Paste_Report_Here!$E$1:$E$2000,E886, OFFSET(Paste_Report_Here!$A$1,0,$A896,2000,1),I$75)</f>
        <v>7</v>
      </c>
      <c r="J896" s="180">
        <f ca="1">COUNTIFS(Paste_Report_Here!$E$1:$E$2000,E886, OFFSET(Paste_Report_Here!$A$1,0,$A896,2000,1),J$75)</f>
        <v>1</v>
      </c>
      <c r="K896" s="181">
        <f ca="1">COUNTIFS(Paste_Report_Here!$E$1:$E$2000,E886, OFFSET(Paste_Report_Here!$A$1,0,$A896,2000,1),K$75)</f>
        <v>0</v>
      </c>
      <c r="L896" s="166">
        <f t="shared" ca="1" si="135"/>
        <v>31</v>
      </c>
      <c r="M896" s="183">
        <f ca="1">SUMPRODUCT(F896:K896,F890:K890)/L:L</f>
        <v>6.4516129032258064E-3</v>
      </c>
      <c r="N896" s="166">
        <f t="shared" ca="1" si="136"/>
        <v>1.0064724693862794</v>
      </c>
      <c r="O896" s="165">
        <f t="shared" ca="1" si="138"/>
        <v>3681.3909583002364</v>
      </c>
      <c r="P896" s="165">
        <f t="shared" ca="1" si="137"/>
        <v>3705.2186485767606</v>
      </c>
    </row>
    <row r="897" spans="1:16" s="165" customFormat="1" x14ac:dyDescent="0.3">
      <c r="A897" s="165">
        <f>MATCH(Calcs!B897,Paste_Report_Here!$1:$1,0) -1</f>
        <v>10</v>
      </c>
      <c r="B897" s="165" t="s">
        <v>128</v>
      </c>
      <c r="C897" s="166">
        <f ca="1">RANK(N897,N892:N916)</f>
        <v>18</v>
      </c>
      <c r="D897" s="166">
        <f ca="1">RANK(P897,P892:P916)</f>
        <v>21</v>
      </c>
      <c r="E897" s="189" t="s">
        <v>157</v>
      </c>
      <c r="F897" s="179">
        <f ca="1">COUNTIFS(Paste_Report_Here!$E$1:$E$2000,E886, OFFSET(Paste_Report_Here!$A$1,0,$A897,2000,1),F$75)</f>
        <v>2</v>
      </c>
      <c r="G897" s="180">
        <f ca="1">COUNTIFS(Paste_Report_Here!$E$1:$E$2000,E886, OFFSET(Paste_Report_Here!$A$1,0,$A897,2000,1),G$75)</f>
        <v>2</v>
      </c>
      <c r="H897" s="180">
        <f ca="1">COUNTIFS(Paste_Report_Here!$E$1:$E$2000,E886, OFFSET(Paste_Report_Here!$A$1,0,$A897,2000,1),H$75)</f>
        <v>22</v>
      </c>
      <c r="I897" s="180">
        <f ca="1">COUNTIFS(Paste_Report_Here!$E$1:$E$2000,E886, OFFSET(Paste_Report_Here!$A$1,0,$A897,2000,1),I$75)</f>
        <v>4</v>
      </c>
      <c r="J897" s="180">
        <f ca="1">COUNTIFS(Paste_Report_Here!$E$1:$E$2000,E886, OFFSET(Paste_Report_Here!$A$1,0,$A897,2000,1),J$75)</f>
        <v>1</v>
      </c>
      <c r="K897" s="181">
        <f ca="1">COUNTIFS(Paste_Report_Here!$E$1:$E$2000,E886, OFFSET(Paste_Report_Here!$A$1,0,$A897,2000,1),K$75)</f>
        <v>0</v>
      </c>
      <c r="L897" s="166">
        <f t="shared" ca="1" si="135"/>
        <v>31</v>
      </c>
      <c r="M897" s="183">
        <f ca="1">SUMPRODUCT(F897:K897,F890:K890)/L:L</f>
        <v>-6.4516129032258064E-3</v>
      </c>
      <c r="N897" s="166">
        <f t="shared" ca="1" si="136"/>
        <v>0.99356915406714885</v>
      </c>
      <c r="O897" s="165">
        <f t="shared" ca="1" si="138"/>
        <v>1682.0084826659886</v>
      </c>
      <c r="P897" s="165">
        <f t="shared" ca="1" si="137"/>
        <v>1671.191745256215</v>
      </c>
    </row>
    <row r="898" spans="1:16" s="165" customFormat="1" x14ac:dyDescent="0.3">
      <c r="A898" s="165">
        <f>MATCH(Calcs!B898,Paste_Report_Here!$1:$1,0) -1</f>
        <v>11</v>
      </c>
      <c r="B898" s="165" t="s">
        <v>129</v>
      </c>
      <c r="C898" s="166">
        <f ca="1">RANK(N898,N892:N916)</f>
        <v>18</v>
      </c>
      <c r="D898" s="166">
        <f ca="1">RANK(P898,P892:P916)</f>
        <v>9</v>
      </c>
      <c r="E898" s="189" t="s">
        <v>158</v>
      </c>
      <c r="F898" s="179">
        <f ca="1">COUNTIFS(Paste_Report_Here!$E$1:$E$2000,E886, OFFSET(Paste_Report_Here!$A$1,0,$A898,2000,1),F$75)</f>
        <v>1</v>
      </c>
      <c r="G898" s="180">
        <f ca="1">COUNTIFS(Paste_Report_Here!$E$1:$E$2000,E886, OFFSET(Paste_Report_Here!$A$1,0,$A898,2000,1),G$75)</f>
        <v>3</v>
      </c>
      <c r="H898" s="180">
        <f ca="1">COUNTIFS(Paste_Report_Here!$E$1:$E$2000,E886, OFFSET(Paste_Report_Here!$A$1,0,$A898,2000,1),H$75)</f>
        <v>21</v>
      </c>
      <c r="I898" s="180">
        <f ca="1">COUNTIFS(Paste_Report_Here!$E$1:$E$2000,E886, OFFSET(Paste_Report_Here!$A$1,0,$A898,2000,1),I$75)</f>
        <v>6</v>
      </c>
      <c r="J898" s="180">
        <f ca="1">COUNTIFS(Paste_Report_Here!$E$1:$E$2000,E886, OFFSET(Paste_Report_Here!$A$1,0,$A898,2000,1),J$75)</f>
        <v>0</v>
      </c>
      <c r="K898" s="181">
        <f ca="1">COUNTIFS(Paste_Report_Here!$E$1:$E$2000,E886, OFFSET(Paste_Report_Here!$A$1,0,$A898,2000,1),K$75)</f>
        <v>0</v>
      </c>
      <c r="L898" s="166">
        <f t="shared" ca="1" si="135"/>
        <v>31</v>
      </c>
      <c r="M898" s="183">
        <f ca="1">SUMPRODUCT(F898:K898,F890:K890)/L:L</f>
        <v>-6.4516129032258064E-3</v>
      </c>
      <c r="N898" s="166">
        <f t="shared" ca="1" si="136"/>
        <v>0.99356915406714885</v>
      </c>
      <c r="O898" s="165">
        <f t="shared" ca="1" si="138"/>
        <v>2575.2149700663217</v>
      </c>
      <c r="P898" s="165">
        <f t="shared" ca="1" si="137"/>
        <v>2558.6541593498532</v>
      </c>
    </row>
    <row r="899" spans="1:16" s="165" customFormat="1" x14ac:dyDescent="0.3">
      <c r="A899" s="165">
        <f>MATCH(Calcs!B899,Paste_Report_Here!$1:$1,0) -1</f>
        <v>12</v>
      </c>
      <c r="B899" s="165" t="s">
        <v>130</v>
      </c>
      <c r="C899" s="166">
        <f ca="1">RANK(N899,N893:N917)</f>
        <v>6</v>
      </c>
      <c r="D899" s="166">
        <f ca="1">RANK(P899,P892:P916)</f>
        <v>10</v>
      </c>
      <c r="E899" s="189" t="s">
        <v>159</v>
      </c>
      <c r="F899" s="179">
        <f ca="1">COUNTIFS(Paste_Report_Here!$E$1:$E$2000,E886, OFFSET(Paste_Report_Here!$A$1,0,$A899,2000,1),F$75)</f>
        <v>0</v>
      </c>
      <c r="G899" s="180">
        <f ca="1">COUNTIFS(Paste_Report_Here!$E$1:$E$2000,E886, OFFSET(Paste_Report_Here!$A$1,0,$A899,2000,1),G$75)</f>
        <v>1</v>
      </c>
      <c r="H899" s="180">
        <f ca="1">COUNTIFS(Paste_Report_Here!$E$1:$E$2000,E886, OFFSET(Paste_Report_Here!$A$1,0,$A899,2000,1),H$75)</f>
        <v>24</v>
      </c>
      <c r="I899" s="180">
        <f ca="1">COUNTIFS(Paste_Report_Here!$E$1:$E$2000,E886, OFFSET(Paste_Report_Here!$A$1,0,$A899,2000,1),I$75)</f>
        <v>6</v>
      </c>
      <c r="J899" s="180">
        <f ca="1">COUNTIFS(Paste_Report_Here!$E$1:$E$2000,E886, OFFSET(Paste_Report_Here!$A$1,0,$A899,2000,1),J$75)</f>
        <v>0</v>
      </c>
      <c r="K899" s="181">
        <f ca="1">COUNTIFS(Paste_Report_Here!$E$1:$E$2000,E886, OFFSET(Paste_Report_Here!$A$1,0,$A899,2000,1),K$75)</f>
        <v>0</v>
      </c>
      <c r="L899" s="166">
        <f t="shared" ca="1" si="135"/>
        <v>31</v>
      </c>
      <c r="M899" s="183">
        <f ca="1">SUMPRODUCT(F899:K899,F890:K890)/L:L</f>
        <v>0</v>
      </c>
      <c r="N899" s="166">
        <f t="shared" ca="1" si="136"/>
        <v>1</v>
      </c>
      <c r="O899" s="165">
        <f t="shared" ca="1" si="138"/>
        <v>2371.5280801026433</v>
      </c>
      <c r="P899" s="165">
        <f t="shared" ca="1" si="137"/>
        <v>2371.5280801026433</v>
      </c>
    </row>
    <row r="900" spans="1:16" s="165" customFormat="1" x14ac:dyDescent="0.3">
      <c r="A900" s="165">
        <f>MATCH(Calcs!B900,Paste_Report_Here!$1:$1,0) -1</f>
        <v>13</v>
      </c>
      <c r="B900" s="165" t="s">
        <v>131</v>
      </c>
      <c r="C900" s="166">
        <f ca="1">RANK(N900,N894:N918)</f>
        <v>6</v>
      </c>
      <c r="D900" s="166">
        <f ca="1">RANK(P900,P892:P916)</f>
        <v>2</v>
      </c>
      <c r="E900" s="189" t="s">
        <v>160</v>
      </c>
      <c r="F900" s="179">
        <f ca="1">COUNTIFS(Paste_Report_Here!$E$1:$E$2000,E886, OFFSET(Paste_Report_Here!$A$1,0,$A900,2000,1),F$75)</f>
        <v>0</v>
      </c>
      <c r="G900" s="180">
        <f ca="1">COUNTIFS(Paste_Report_Here!$E$1:$E$2000,E886, OFFSET(Paste_Report_Here!$A$1,0,$A900,2000,1),G$75)</f>
        <v>0</v>
      </c>
      <c r="H900" s="180">
        <f ca="1">COUNTIFS(Paste_Report_Here!$E$1:$E$2000,E886, OFFSET(Paste_Report_Here!$A$1,0,$A900,2000,1),H$75)</f>
        <v>15</v>
      </c>
      <c r="I900" s="180">
        <f ca="1">COUNTIFS(Paste_Report_Here!$E$1:$E$2000,E886, OFFSET(Paste_Report_Here!$A$1,0,$A900,2000,1),I$75)</f>
        <v>16</v>
      </c>
      <c r="J900" s="180">
        <f ca="1">COUNTIFS(Paste_Report_Here!$E$1:$E$2000,E886, OFFSET(Paste_Report_Here!$A$1,0,$A900,2000,1),J$75)</f>
        <v>0</v>
      </c>
      <c r="K900" s="181">
        <f ca="1">COUNTIFS(Paste_Report_Here!$E$1:$E$2000,E886, OFFSET(Paste_Report_Here!$A$1,0,$A900,2000,1),K$75)</f>
        <v>0</v>
      </c>
      <c r="L900" s="166">
        <f t="shared" ca="1" si="135"/>
        <v>31</v>
      </c>
      <c r="M900" s="183">
        <f ca="1">SUMPRODUCT(F900:K900,F890:K890)/L:L</f>
        <v>0</v>
      </c>
      <c r="N900" s="166">
        <f t="shared" ca="1" si="136"/>
        <v>1</v>
      </c>
      <c r="O900" s="165">
        <f t="shared" ca="1" si="138"/>
        <v>4212.2543955834935</v>
      </c>
      <c r="P900" s="165">
        <f t="shared" ca="1" si="137"/>
        <v>4212.2543955834935</v>
      </c>
    </row>
    <row r="901" spans="1:16" s="165" customFormat="1" x14ac:dyDescent="0.3">
      <c r="A901" s="165">
        <f>MATCH(Calcs!B901,Paste_Report_Here!$1:$1,0) -1</f>
        <v>14</v>
      </c>
      <c r="B901" s="165" t="s">
        <v>132</v>
      </c>
      <c r="C901" s="166">
        <f ca="1">RANK(N901,N895:N919)</f>
        <v>18</v>
      </c>
      <c r="D901" s="166">
        <f ca="1">RANK(P901,P892:P916)</f>
        <v>18</v>
      </c>
      <c r="E901" s="189" t="s">
        <v>161</v>
      </c>
      <c r="F901" s="179">
        <f ca="1">COUNTIFS(Paste_Report_Here!$E$1:$E$2000,E886, OFFSET(Paste_Report_Here!$A$1,0,$A901,2000,1),F$75)</f>
        <v>1</v>
      </c>
      <c r="G901" s="180">
        <f ca="1">COUNTIFS(Paste_Report_Here!$E$1:$E$2000,E886, OFFSET(Paste_Report_Here!$A$1,0,$A901,2000,1),G$75)</f>
        <v>3</v>
      </c>
      <c r="H901" s="180">
        <f ca="1">COUNTIFS(Paste_Report_Here!$E$1:$E$2000,E886, OFFSET(Paste_Report_Here!$A$1,0,$A901,2000,1),H$75)</f>
        <v>21</v>
      </c>
      <c r="I901" s="180">
        <f ca="1">COUNTIFS(Paste_Report_Here!$E$1:$E$2000,E886, OFFSET(Paste_Report_Here!$A$1,0,$A901,2000,1),I$75)</f>
        <v>6</v>
      </c>
      <c r="J901" s="180">
        <f ca="1">COUNTIFS(Paste_Report_Here!$E$1:$E$2000,E886, OFFSET(Paste_Report_Here!$A$1,0,$A901,2000,1),J$75)</f>
        <v>0</v>
      </c>
      <c r="K901" s="181">
        <f ca="1">COUNTIFS(Paste_Report_Here!$E$1:$E$2000,E886, OFFSET(Paste_Report_Here!$A$1,0,$A901,2000,1),K$75)</f>
        <v>0</v>
      </c>
      <c r="L901" s="166">
        <f t="shared" ca="1" si="135"/>
        <v>31</v>
      </c>
      <c r="M901" s="183">
        <f ca="1">SUMPRODUCT(F901:K901,F890:K890)/L:L</f>
        <v>-6.4516129032258064E-3</v>
      </c>
      <c r="N901" s="166">
        <f t="shared" ca="1" si="136"/>
        <v>0.99356915406714885</v>
      </c>
      <c r="O901" s="165">
        <f t="shared" ca="1" si="138"/>
        <v>2110.1438359424692</v>
      </c>
      <c r="P901" s="165">
        <f t="shared" ca="1" si="137"/>
        <v>2096.5738260373678</v>
      </c>
    </row>
    <row r="902" spans="1:16" s="165" customFormat="1" x14ac:dyDescent="0.3">
      <c r="A902" s="165">
        <f>MATCH(Calcs!B902,Paste_Report_Here!$1:$1,0) -1</f>
        <v>15</v>
      </c>
      <c r="B902" s="165" t="s">
        <v>133</v>
      </c>
      <c r="C902" s="166">
        <f ca="1">RANK(N902,N891:N915)</f>
        <v>2</v>
      </c>
      <c r="D902" s="166">
        <f ca="1">RANK(P902,P892:P916)</f>
        <v>6</v>
      </c>
      <c r="E902" s="189" t="s">
        <v>162</v>
      </c>
      <c r="F902" s="179">
        <f ca="1">COUNTIFS(Paste_Report_Here!$E$1:$E$2000,E886, OFFSET(Paste_Report_Here!$A$1,0,$A902,2000,1),F$75)</f>
        <v>0</v>
      </c>
      <c r="G902" s="180">
        <f ca="1">COUNTIFS(Paste_Report_Here!$E$1:$E$2000,E886, OFFSET(Paste_Report_Here!$A$1,0,$A902,2000,1),G$75)</f>
        <v>1</v>
      </c>
      <c r="H902" s="180">
        <f ca="1">COUNTIFS(Paste_Report_Here!$E$1:$E$2000,E886, OFFSET(Paste_Report_Here!$A$1,0,$A902,2000,1),H$75)</f>
        <v>23</v>
      </c>
      <c r="I902" s="180">
        <f ca="1">COUNTIFS(Paste_Report_Here!$E$1:$E$2000,E886, OFFSET(Paste_Report_Here!$A$1,0,$A902,2000,1),I$75)</f>
        <v>6</v>
      </c>
      <c r="J902" s="180">
        <f ca="1">COUNTIFS(Paste_Report_Here!$E$1:$E$2000,E886, OFFSET(Paste_Report_Here!$A$1,0,$A902,2000,1),J$75)</f>
        <v>1</v>
      </c>
      <c r="K902" s="181">
        <f ca="1">COUNTIFS(Paste_Report_Here!$E$1:$E$2000,E886, OFFSET(Paste_Report_Here!$A$1,0,$A902,2000,1),K$75)</f>
        <v>0</v>
      </c>
      <c r="L902" s="166">
        <f t="shared" ca="1" si="135"/>
        <v>31</v>
      </c>
      <c r="M902" s="183">
        <f ca="1">SUMPRODUCT(F902:K902,F890:K890)/L:L</f>
        <v>6.4516129032258064E-3</v>
      </c>
      <c r="N902" s="166">
        <f t="shared" ca="1" si="136"/>
        <v>1.0064724693862794</v>
      </c>
      <c r="O902" s="165">
        <f t="shared" ca="1" si="138"/>
        <v>3011.8851533086804</v>
      </c>
      <c r="P902" s="165">
        <f t="shared" ca="1" si="137"/>
        <v>3031.3794877584605</v>
      </c>
    </row>
    <row r="903" spans="1:16" s="165" customFormat="1" x14ac:dyDescent="0.3">
      <c r="A903" s="165">
        <f>MATCH(Calcs!B903,Paste_Report_Here!$1:$1,0) -1</f>
        <v>16</v>
      </c>
      <c r="B903" s="165" t="s">
        <v>134</v>
      </c>
      <c r="C903" s="166">
        <f ca="1">RANK(N903,N892:N916)</f>
        <v>6</v>
      </c>
      <c r="D903" s="166">
        <f ca="1">RANK(P903,P892:P916)</f>
        <v>24</v>
      </c>
      <c r="E903" s="189" t="s">
        <v>163</v>
      </c>
      <c r="F903" s="179">
        <f ca="1">COUNTIFS(Paste_Report_Here!$E$1:$E$2000,E886, OFFSET(Paste_Report_Here!$A$1,0,$A903,2000,1),F$75)</f>
        <v>0</v>
      </c>
      <c r="G903" s="180">
        <f ca="1">COUNTIFS(Paste_Report_Here!$E$1:$E$2000,E886, OFFSET(Paste_Report_Here!$A$1,0,$A903,2000,1),G$75)</f>
        <v>5</v>
      </c>
      <c r="H903" s="180">
        <f ca="1">COUNTIFS(Paste_Report_Here!$E$1:$E$2000,E886, OFFSET(Paste_Report_Here!$A$1,0,$A903,2000,1),H$75)</f>
        <v>24</v>
      </c>
      <c r="I903" s="180">
        <f ca="1">COUNTIFS(Paste_Report_Here!$E$1:$E$2000,E886, OFFSET(Paste_Report_Here!$A$1,0,$A903,2000,1),I$75)</f>
        <v>2</v>
      </c>
      <c r="J903" s="180">
        <f ca="1">COUNTIFS(Paste_Report_Here!$E$1:$E$2000,E886, OFFSET(Paste_Report_Here!$A$1,0,$A903,2000,1),J$75)</f>
        <v>0</v>
      </c>
      <c r="K903" s="181">
        <f ca="1">COUNTIFS(Paste_Report_Here!$E$1:$E$2000,E886, OFFSET(Paste_Report_Here!$A$1,0,$A903,2000,1),K$75)</f>
        <v>0</v>
      </c>
      <c r="L903" s="166">
        <f t="shared" ca="1" si="135"/>
        <v>31</v>
      </c>
      <c r="M903" s="183">
        <f ca="1">SUMPRODUCT(F903:K903,F890:K890)/L:L</f>
        <v>0</v>
      </c>
      <c r="N903" s="166">
        <f t="shared" ca="1" si="136"/>
        <v>1</v>
      </c>
      <c r="O903" s="165">
        <f t="shared" ca="1" si="138"/>
        <v>1180.494027289222</v>
      </c>
      <c r="P903" s="165">
        <f t="shared" ca="1" si="137"/>
        <v>1180.494027289222</v>
      </c>
    </row>
    <row r="904" spans="1:16" s="165" customFormat="1" x14ac:dyDescent="0.3">
      <c r="A904" s="165">
        <f>MATCH(Calcs!B904,Paste_Report_Here!$1:$1,0) -1</f>
        <v>17</v>
      </c>
      <c r="B904" s="165" t="s">
        <v>135</v>
      </c>
      <c r="C904" s="166">
        <f ca="1">RANK(N904,N893:N917)</f>
        <v>19</v>
      </c>
      <c r="D904" s="166">
        <f ca="1">RANK(P904,P892:P916)</f>
        <v>20</v>
      </c>
      <c r="E904" s="189" t="s">
        <v>164</v>
      </c>
      <c r="F904" s="179">
        <f ca="1">COUNTIFS(Paste_Report_Here!$E$1:$E$2000,E886, OFFSET(Paste_Report_Here!$A$1,0,$A904,2000,1),F$75)</f>
        <v>1</v>
      </c>
      <c r="G904" s="180">
        <f ca="1">COUNTIFS(Paste_Report_Here!$E$1:$E$2000,E886, OFFSET(Paste_Report_Here!$A$1,0,$A904,2000,1),G$75)</f>
        <v>2</v>
      </c>
      <c r="H904" s="180">
        <f ca="1">COUNTIFS(Paste_Report_Here!$E$1:$E$2000,E886, OFFSET(Paste_Report_Here!$A$1,0,$A904,2000,1),H$75)</f>
        <v>23</v>
      </c>
      <c r="I904" s="180">
        <f ca="1">COUNTIFS(Paste_Report_Here!$E$1:$E$2000,E886, OFFSET(Paste_Report_Here!$A$1,0,$A904,2000,1),I$75)</f>
        <v>5</v>
      </c>
      <c r="J904" s="180">
        <f ca="1">COUNTIFS(Paste_Report_Here!$E$1:$E$2000,E886, OFFSET(Paste_Report_Here!$A$1,0,$A904,2000,1),J$75)</f>
        <v>0</v>
      </c>
      <c r="K904" s="181">
        <f ca="1">COUNTIFS(Paste_Report_Here!$E$1:$E$2000,E886, OFFSET(Paste_Report_Here!$A$1,0,$A904,2000,1),K$75)</f>
        <v>0</v>
      </c>
      <c r="L904" s="166">
        <f t="shared" ca="1" si="135"/>
        <v>31</v>
      </c>
      <c r="M904" s="183">
        <f ca="1">SUMPRODUCT(F904:K904,F890:K890)/L:L</f>
        <v>-6.4516129032258064E-3</v>
      </c>
      <c r="N904" s="166">
        <f t="shared" ca="1" si="136"/>
        <v>0.99356915406714885</v>
      </c>
      <c r="O904" s="165">
        <f t="shared" ca="1" si="138"/>
        <v>1876.6967646560045</v>
      </c>
      <c r="P904" s="165">
        <f t="shared" ca="1" si="137"/>
        <v>1864.6280168998214</v>
      </c>
    </row>
    <row r="905" spans="1:16" s="165" customFormat="1" x14ac:dyDescent="0.3">
      <c r="A905" s="165">
        <f>MATCH(Calcs!B905,Paste_Report_Here!$1:$1,0) -1</f>
        <v>18</v>
      </c>
      <c r="B905" s="165" t="s">
        <v>136</v>
      </c>
      <c r="C905" s="166">
        <f ca="1">RANK(N905,N894:N918)</f>
        <v>6</v>
      </c>
      <c r="D905" s="166">
        <f ca="1">RANK(P905,P892:P916)</f>
        <v>4</v>
      </c>
      <c r="E905" s="189" t="s">
        <v>165</v>
      </c>
      <c r="F905" s="179">
        <f ca="1">COUNTIFS(Paste_Report_Here!$E$1:$E$2000,E886, OFFSET(Paste_Report_Here!$A$1,0,$A905,2000,1),F$75)</f>
        <v>0</v>
      </c>
      <c r="G905" s="180">
        <f ca="1">COUNTIFS(Paste_Report_Here!$E$1:$E$2000,E886, OFFSET(Paste_Report_Here!$A$1,0,$A905,2000,1),G$75)</f>
        <v>0</v>
      </c>
      <c r="H905" s="180">
        <f ca="1">COUNTIFS(Paste_Report_Here!$E$1:$E$2000,E886, OFFSET(Paste_Report_Here!$A$1,0,$A905,2000,1),H$75)</f>
        <v>27</v>
      </c>
      <c r="I905" s="180">
        <f ca="1">COUNTIFS(Paste_Report_Here!$E$1:$E$2000,E886, OFFSET(Paste_Report_Here!$A$1,0,$A905,2000,1),I$75)</f>
        <v>4</v>
      </c>
      <c r="J905" s="180">
        <f ca="1">COUNTIFS(Paste_Report_Here!$E$1:$E$2000,E886, OFFSET(Paste_Report_Here!$A$1,0,$A905,2000,1),J$75)</f>
        <v>0</v>
      </c>
      <c r="K905" s="181">
        <f ca="1">COUNTIFS(Paste_Report_Here!$E$1:$E$2000,E886, OFFSET(Paste_Report_Here!$A$1,0,$A905,2000,1),K$75)</f>
        <v>0</v>
      </c>
      <c r="L905" s="166">
        <f t="shared" ca="1" si="135"/>
        <v>31</v>
      </c>
      <c r="M905" s="183">
        <f ca="1">SUMPRODUCT(F905:K905,F890:K890)/L:L</f>
        <v>0</v>
      </c>
      <c r="N905" s="166">
        <f t="shared" ca="1" si="136"/>
        <v>1</v>
      </c>
      <c r="O905" s="165">
        <f t="shared" ca="1" si="138"/>
        <v>3829.0710277809744</v>
      </c>
      <c r="P905" s="165">
        <f t="shared" ca="1" si="137"/>
        <v>3829.0710277809744</v>
      </c>
    </row>
    <row r="906" spans="1:16" s="165" customFormat="1" x14ac:dyDescent="0.3">
      <c r="A906" s="165">
        <f>MATCH(Calcs!B906,Paste_Report_Here!$1:$1,0) -1</f>
        <v>19</v>
      </c>
      <c r="B906" s="165" t="s">
        <v>137</v>
      </c>
      <c r="C906" s="166">
        <f ca="1">RANK(N906,N895:N919)</f>
        <v>6</v>
      </c>
      <c r="D906" s="166">
        <f ca="1">RANK(P906,P892:P916)</f>
        <v>14</v>
      </c>
      <c r="E906" s="189" t="s">
        <v>166</v>
      </c>
      <c r="F906" s="179">
        <f ca="1">COUNTIFS(Paste_Report_Here!$E$1:$E$2000,E886, OFFSET(Paste_Report_Here!$A$1,0,$A906,2000,1),F$75)</f>
        <v>0</v>
      </c>
      <c r="G906" s="180">
        <f ca="1">COUNTIFS(Paste_Report_Here!$E$1:$E$2000,E886, OFFSET(Paste_Report_Here!$A$1,0,$A906,2000,1),G$75)</f>
        <v>1</v>
      </c>
      <c r="H906" s="180">
        <f ca="1">COUNTIFS(Paste_Report_Here!$E$1:$E$2000,E886, OFFSET(Paste_Report_Here!$A$1,0,$A906,2000,1),H$75)</f>
        <v>24</v>
      </c>
      <c r="I906" s="180">
        <f ca="1">COUNTIFS(Paste_Report_Here!$E$1:$E$2000,E886, OFFSET(Paste_Report_Here!$A$1,0,$A906,2000,1),I$75)</f>
        <v>6</v>
      </c>
      <c r="J906" s="180">
        <f ca="1">COUNTIFS(Paste_Report_Here!$E$1:$E$2000,E886, OFFSET(Paste_Report_Here!$A$1,0,$A906,2000,1),J$75)</f>
        <v>0</v>
      </c>
      <c r="K906" s="181">
        <f ca="1">COUNTIFS(Paste_Report_Here!$E$1:$E$2000,E886, OFFSET(Paste_Report_Here!$A$1,0,$A906,2000,1),K$75)</f>
        <v>0</v>
      </c>
      <c r="L906" s="166">
        <f t="shared" ca="1" si="135"/>
        <v>31</v>
      </c>
      <c r="M906" s="183">
        <f ca="1">SUMPRODUCT(F906:K906,F890:K890)/L:L</f>
        <v>0</v>
      </c>
      <c r="N906" s="166">
        <f t="shared" ca="1" si="136"/>
        <v>1</v>
      </c>
      <c r="O906" s="165">
        <f t="shared" ca="1" si="138"/>
        <v>2149.7563399009096</v>
      </c>
      <c r="P906" s="165">
        <f t="shared" ca="1" si="137"/>
        <v>2149.7563399009096</v>
      </c>
    </row>
    <row r="907" spans="1:16" s="165" customFormat="1" x14ac:dyDescent="0.3">
      <c r="A907" s="165">
        <f>MATCH(Calcs!B907,Paste_Report_Here!$1:$1,0) -1</f>
        <v>20</v>
      </c>
      <c r="B907" s="165" t="s">
        <v>138</v>
      </c>
      <c r="C907" s="166">
        <f ca="1">RANK(N907,N893:N917)</f>
        <v>6</v>
      </c>
      <c r="D907" s="166">
        <f ca="1">RANK(P907,P892:P916)</f>
        <v>19</v>
      </c>
      <c r="E907" s="189" t="s">
        <v>167</v>
      </c>
      <c r="F907" s="179">
        <f ca="1">COUNTIFS(Paste_Report_Here!$E$1:$E$2000,E886, OFFSET(Paste_Report_Here!$A$1,0,$A907,2000,1),F$75)</f>
        <v>0</v>
      </c>
      <c r="G907" s="180">
        <f ca="1">COUNTIFS(Paste_Report_Here!$E$1:$E$2000,E886, OFFSET(Paste_Report_Here!$A$1,0,$A907,2000,1),G$75)</f>
        <v>2</v>
      </c>
      <c r="H907" s="180">
        <f ca="1">COUNTIFS(Paste_Report_Here!$E$1:$E$2000,E886, OFFSET(Paste_Report_Here!$A$1,0,$A907,2000,1),H$75)</f>
        <v>21</v>
      </c>
      <c r="I907" s="180">
        <f ca="1">COUNTIFS(Paste_Report_Here!$E$1:$E$2000,E886, OFFSET(Paste_Report_Here!$A$1,0,$A907,2000,1),I$75)</f>
        <v>8</v>
      </c>
      <c r="J907" s="180">
        <f ca="1">COUNTIFS(Paste_Report_Here!$E$1:$E$2000,E886, OFFSET(Paste_Report_Here!$A$1,0,$A907,2000,1),J$75)</f>
        <v>0</v>
      </c>
      <c r="K907" s="181">
        <f ca="1">COUNTIFS(Paste_Report_Here!$E$1:$E$2000,E886, OFFSET(Paste_Report_Here!$A$1,0,$A907,2000,1),K$75)</f>
        <v>0</v>
      </c>
      <c r="L907" s="166">
        <f t="shared" ca="1" si="135"/>
        <v>31</v>
      </c>
      <c r="M907" s="183">
        <f ca="1">SUMPRODUCT(F907:K907,F890:K890)/L:L</f>
        <v>0</v>
      </c>
      <c r="N907" s="166">
        <f t="shared" ca="1" si="136"/>
        <v>1</v>
      </c>
      <c r="O907" s="165">
        <f t="shared" ca="1" si="138"/>
        <v>2020.627608521427</v>
      </c>
      <c r="P907" s="165">
        <f t="shared" ca="1" si="137"/>
        <v>2020.627608521427</v>
      </c>
    </row>
    <row r="908" spans="1:16" s="165" customFormat="1" x14ac:dyDescent="0.3">
      <c r="A908" s="165">
        <f>MATCH(Calcs!B908,Paste_Report_Here!$1:$1,0) -1</f>
        <v>21</v>
      </c>
      <c r="B908" s="165" t="s">
        <v>139</v>
      </c>
      <c r="C908" s="166">
        <f ca="1">RANK(N908,N892:N916)</f>
        <v>18</v>
      </c>
      <c r="D908" s="166">
        <f ca="1">RANK(P908,P892:P916)</f>
        <v>17</v>
      </c>
      <c r="E908" s="189" t="s">
        <v>168</v>
      </c>
      <c r="F908" s="179">
        <f ca="1">COUNTIFS(Paste_Report_Here!$E$1:$E$2000,E886, OFFSET(Paste_Report_Here!$A$1,0,$A908,2000,1),F$75)</f>
        <v>1</v>
      </c>
      <c r="G908" s="180">
        <f ca="1">COUNTIFS(Paste_Report_Here!$E$1:$E$2000,E886, OFFSET(Paste_Report_Here!$A$1,0,$A908,2000,1),G$75)</f>
        <v>0</v>
      </c>
      <c r="H908" s="180">
        <f ca="1">COUNTIFS(Paste_Report_Here!$E$1:$E$2000,E886, OFFSET(Paste_Report_Here!$A$1,0,$A908,2000,1),H$75)</f>
        <v>22</v>
      </c>
      <c r="I908" s="180">
        <f ca="1">COUNTIFS(Paste_Report_Here!$E$1:$E$2000,E886, OFFSET(Paste_Report_Here!$A$1,0,$A908,2000,1),I$75)</f>
        <v>8</v>
      </c>
      <c r="J908" s="180">
        <f ca="1">COUNTIFS(Paste_Report_Here!$E$1:$E$2000,E886, OFFSET(Paste_Report_Here!$A$1,0,$A908,2000,1),J$75)</f>
        <v>0</v>
      </c>
      <c r="K908" s="181">
        <f ca="1">COUNTIFS(Paste_Report_Here!$E$1:$E$2000,E886, OFFSET(Paste_Report_Here!$A$1,0,$A908,2000,1),K$75)</f>
        <v>0</v>
      </c>
      <c r="L908" s="166">
        <f t="shared" ca="1" si="135"/>
        <v>31</v>
      </c>
      <c r="M908" s="183">
        <f ca="1">SUMPRODUCT(F908:K908,F890:K890)/L:L</f>
        <v>-6.4516129032258064E-3</v>
      </c>
      <c r="N908" s="166">
        <f t="shared" ca="1" si="136"/>
        <v>0.99356915406714885</v>
      </c>
      <c r="O908" s="165">
        <f t="shared" ca="1" si="138"/>
        <v>2116.7880154710142</v>
      </c>
      <c r="P908" s="165">
        <f t="shared" ca="1" si="137"/>
        <v>2103.1752778710143</v>
      </c>
    </row>
    <row r="909" spans="1:16" s="165" customFormat="1" x14ac:dyDescent="0.3">
      <c r="A909" s="165">
        <f>MATCH(Calcs!B909,Paste_Report_Here!$1:$1,0) -1</f>
        <v>22</v>
      </c>
      <c r="B909" s="165" t="s">
        <v>140</v>
      </c>
      <c r="C909" s="166">
        <f ca="1">RANK(N909,N892:N916)</f>
        <v>6</v>
      </c>
      <c r="D909" s="166">
        <f ca="1">RANK(P909,P892:P916)</f>
        <v>16</v>
      </c>
      <c r="E909" s="189" t="s">
        <v>169</v>
      </c>
      <c r="F909" s="179">
        <f ca="1">COUNTIFS(Paste_Report_Here!$E$1:$E$2000,E886, OFFSET(Paste_Report_Here!$A$1,0,$A909,2000,1),F$75)</f>
        <v>1</v>
      </c>
      <c r="G909" s="180">
        <f ca="1">COUNTIFS(Paste_Report_Here!$E$1:$E$2000,E886, OFFSET(Paste_Report_Here!$A$1,0,$A909,2000,1),G$75)</f>
        <v>2</v>
      </c>
      <c r="H909" s="180">
        <f ca="1">COUNTIFS(Paste_Report_Here!$E$1:$E$2000,E886, OFFSET(Paste_Report_Here!$A$1,0,$A909,2000,1),H$75)</f>
        <v>22</v>
      </c>
      <c r="I909" s="180">
        <f ca="1">COUNTIFS(Paste_Report_Here!$E$1:$E$2000,E886, OFFSET(Paste_Report_Here!$A$1,0,$A909,2000,1),I$75)</f>
        <v>5</v>
      </c>
      <c r="J909" s="180">
        <f ca="1">COUNTIFS(Paste_Report_Here!$E$1:$E$2000,E886, OFFSET(Paste_Report_Here!$A$1,0,$A909,2000,1),J$75)</f>
        <v>1</v>
      </c>
      <c r="K909" s="181">
        <f ca="1">COUNTIFS(Paste_Report_Here!$E$1:$E$2000,E886, OFFSET(Paste_Report_Here!$A$1,0,$A909,2000,1),K$75)</f>
        <v>0</v>
      </c>
      <c r="L909" s="166">
        <f t="shared" ca="1" si="135"/>
        <v>31</v>
      </c>
      <c r="M909" s="183">
        <f ca="1">SUMPRODUCT(F909:K909,F890:K890)/L:L</f>
        <v>0</v>
      </c>
      <c r="N909" s="166">
        <f t="shared" ca="1" si="136"/>
        <v>1</v>
      </c>
      <c r="O909" s="165">
        <f t="shared" ca="1" si="138"/>
        <v>2129.3151213197002</v>
      </c>
      <c r="P909" s="165">
        <f t="shared" ca="1" si="137"/>
        <v>2129.3151213197002</v>
      </c>
    </row>
    <row r="910" spans="1:16" s="165" customFormat="1" x14ac:dyDescent="0.3">
      <c r="A910" s="165">
        <f>MATCH(Calcs!B910,Paste_Report_Here!$1:$1,0) -1</f>
        <v>23</v>
      </c>
      <c r="B910" s="165" t="s">
        <v>186</v>
      </c>
      <c r="C910" s="166">
        <f ca="1">RANK(N910,N892:N916)</f>
        <v>18</v>
      </c>
      <c r="D910" s="166">
        <f ca="1">RANK(P910,P892:P916)</f>
        <v>3</v>
      </c>
      <c r="E910" s="189" t="s">
        <v>180</v>
      </c>
      <c r="F910" s="179">
        <f ca="1">COUNTIFS(Paste_Report_Here!$E$1:$E$2000,E886, OFFSET(Paste_Report_Here!$A$1,0,$A910,2000,1),F$75)</f>
        <v>1</v>
      </c>
      <c r="G910" s="180">
        <f ca="1">COUNTIFS(Paste_Report_Here!$E$1:$E$2000,E886, OFFSET(Paste_Report_Here!$A$1,0,$A910,2000,1),G$75)</f>
        <v>2</v>
      </c>
      <c r="H910" s="180">
        <f ca="1">COUNTIFS(Paste_Report_Here!$E$1:$E$2000,E886, OFFSET(Paste_Report_Here!$A$1,0,$A910,2000,1),H$75)</f>
        <v>23</v>
      </c>
      <c r="I910" s="180">
        <f ca="1">COUNTIFS(Paste_Report_Here!$E$1:$E$2000,E886, OFFSET(Paste_Report_Here!$A$1,0,$A910,2000,1),I$75)</f>
        <v>5</v>
      </c>
      <c r="J910" s="180">
        <f ca="1">COUNTIFS(Paste_Report_Here!$E$1:$E$2000,E886, OFFSET(Paste_Report_Here!$A$1,0,$A910,2000,1),J$75)</f>
        <v>0</v>
      </c>
      <c r="K910" s="181">
        <f ca="1">COUNTIFS(Paste_Report_Here!$E$1:$E$2000,E886, OFFSET(Paste_Report_Here!$A$1,0,$A910,2000,1),K$75)</f>
        <v>0</v>
      </c>
      <c r="L910" s="166">
        <f t="shared" ca="1" si="135"/>
        <v>31</v>
      </c>
      <c r="M910" s="183">
        <f ca="1">SUMPRODUCT(F910:K910,F890:K890)/L:L</f>
        <v>-6.4516129032258064E-3</v>
      </c>
      <c r="N910" s="166">
        <f t="shared" ca="1" si="136"/>
        <v>0.99356915406714885</v>
      </c>
      <c r="O910" s="165">
        <f t="shared" ca="1" si="138"/>
        <v>4034.9074351235481</v>
      </c>
      <c r="P910" s="165">
        <f t="shared" ca="1" si="137"/>
        <v>4008.9595670549529</v>
      </c>
    </row>
    <row r="911" spans="1:16" s="165" customFormat="1" x14ac:dyDescent="0.3">
      <c r="A911" s="165">
        <f>MATCH(Calcs!B911,Paste_Report_Here!$1:$1,0) -1</f>
        <v>24</v>
      </c>
      <c r="B911" s="165" t="s">
        <v>209</v>
      </c>
      <c r="C911" s="166">
        <f ca="1">RANK(N911,N892:N916)</f>
        <v>1</v>
      </c>
      <c r="D911" s="166">
        <f ca="1">RANK(P911,P892:P916)</f>
        <v>23</v>
      </c>
      <c r="E911" s="202" t="s">
        <v>211</v>
      </c>
      <c r="F911" s="179">
        <f ca="1">COUNTIFS(Paste_Report_Here!$E$1:$E$2000,E886, OFFSET(Paste_Report_Here!$A$1,0,$A911,2000,1),F$75)</f>
        <v>0</v>
      </c>
      <c r="G911" s="180">
        <f ca="1">COUNTIFS(Paste_Report_Here!$E$1:$E$2000,E886, OFFSET(Paste_Report_Here!$A$1,0,$A911,2000,1),G$75)</f>
        <v>2</v>
      </c>
      <c r="H911" s="180">
        <f ca="1">COUNTIFS(Paste_Report_Here!$E$1:$E$2000,E886, OFFSET(Paste_Report_Here!$A$1,0,$A911,2000,1),H$75)</f>
        <v>22</v>
      </c>
      <c r="I911" s="180">
        <f ca="1">COUNTIFS(Paste_Report_Here!$E$1:$E$2000,E886, OFFSET(Paste_Report_Here!$A$1,0,$A911,2000,1),I$75)</f>
        <v>4</v>
      </c>
      <c r="J911" s="180">
        <f ca="1">COUNTIFS(Paste_Report_Here!$E$1:$E$2000,E886, OFFSET(Paste_Report_Here!$A$1,0,$A911,2000,1),J$75)</f>
        <v>3</v>
      </c>
      <c r="K911" s="181">
        <f ca="1">COUNTIFS(Paste_Report_Here!$E$1:$E$2000,E886, OFFSET(Paste_Report_Here!$A$1,0,$A911,2000,1),K$75)</f>
        <v>0</v>
      </c>
      <c r="L911" s="166">
        <f t="shared" ca="1" si="135"/>
        <v>31</v>
      </c>
      <c r="M911" s="183">
        <f ca="1">SUMPRODUCT(F911:K911,F890:K890)/L:L</f>
        <v>1.9354838709677424E-2</v>
      </c>
      <c r="N911" s="166">
        <f t="shared" ca="1" si="136"/>
        <v>1.0195433578889608</v>
      </c>
      <c r="O911" s="165">
        <f t="shared" ca="1" si="138"/>
        <v>1226.3411778210502</v>
      </c>
      <c r="P911" s="165">
        <f t="shared" ca="1" si="137"/>
        <v>1250.3080023531768</v>
      </c>
    </row>
    <row r="912" spans="1:16" s="165" customFormat="1" x14ac:dyDescent="0.3">
      <c r="A912" s="165">
        <f>MATCH(Calcs!B912,Paste_Report_Here!$1:$1,0) -1</f>
        <v>25</v>
      </c>
      <c r="B912" s="165" t="s">
        <v>141</v>
      </c>
      <c r="C912" s="166">
        <f ca="1">RANK(N912,N892:N916)</f>
        <v>6</v>
      </c>
      <c r="D912" s="166">
        <f ca="1">RANK(P912,P892:P916)</f>
        <v>22</v>
      </c>
      <c r="E912" s="189" t="s">
        <v>170</v>
      </c>
      <c r="F912" s="179">
        <f ca="1">COUNTIFS(Paste_Report_Here!$E$1:$E$2000,E886, OFFSET(Paste_Report_Here!$A$1,0,$A912,2000,1),F$75)</f>
        <v>0</v>
      </c>
      <c r="G912" s="180">
        <f ca="1">COUNTIFS(Paste_Report_Here!$E$1:$E$2000,E886, OFFSET(Paste_Report_Here!$A$1,0,$A912,2000,1),G$75)</f>
        <v>4</v>
      </c>
      <c r="H912" s="180">
        <f ca="1">COUNTIFS(Paste_Report_Here!$E$1:$E$2000,E886, OFFSET(Paste_Report_Here!$A$1,0,$A912,2000,1),H$75)</f>
        <v>23</v>
      </c>
      <c r="I912" s="180">
        <f ca="1">COUNTIFS(Paste_Report_Here!$E$1:$E$2000,E886, OFFSET(Paste_Report_Here!$A$1,0,$A912,2000,1),I$75)</f>
        <v>4</v>
      </c>
      <c r="J912" s="180">
        <f ca="1">COUNTIFS(Paste_Report_Here!$E$1:$E$2000,E886, OFFSET(Paste_Report_Here!$A$1,0,$A912,2000,1),J$75)</f>
        <v>0</v>
      </c>
      <c r="K912" s="181">
        <f ca="1">COUNTIFS(Paste_Report_Here!$E$1:$E$2000,E886, OFFSET(Paste_Report_Here!$A$1,0,$A912,2000,1),K$75)</f>
        <v>0</v>
      </c>
      <c r="L912" s="166">
        <f t="shared" ca="1" si="135"/>
        <v>31</v>
      </c>
      <c r="M912" s="183">
        <f ca="1">SUMPRODUCT(F912:K912,F890:K890)/L:L</f>
        <v>0</v>
      </c>
      <c r="N912" s="166">
        <f t="shared" ca="1" si="136"/>
        <v>1</v>
      </c>
      <c r="O912" s="165">
        <f t="shared" ca="1" si="138"/>
        <v>1387.9093662722044</v>
      </c>
      <c r="P912" s="165">
        <f t="shared" ca="1" si="137"/>
        <v>1387.9093662722044</v>
      </c>
    </row>
    <row r="913" spans="1:16" s="165" customFormat="1" x14ac:dyDescent="0.3">
      <c r="A913" s="165">
        <f>MATCH(Calcs!B913,Paste_Report_Here!$1:$1,0) -1</f>
        <v>26</v>
      </c>
      <c r="B913" s="165" t="s">
        <v>142</v>
      </c>
      <c r="C913" s="166">
        <f ca="1">RANK(N913,N892:N916)</f>
        <v>6</v>
      </c>
      <c r="D913" s="166">
        <f ca="1">RANK(P913,P892:P916)</f>
        <v>12</v>
      </c>
      <c r="E913" s="189" t="s">
        <v>171</v>
      </c>
      <c r="F913" s="179">
        <f ca="1">COUNTIFS(Paste_Report_Here!$E$1:$E$2000,E886, OFFSET(Paste_Report_Here!$A$1,0,$A913,2000,1),F$75)</f>
        <v>0</v>
      </c>
      <c r="G913" s="180">
        <f ca="1">COUNTIFS(Paste_Report_Here!$E$1:$E$2000,E886, OFFSET(Paste_Report_Here!$A$1,0,$A913,2000,1),G$75)</f>
        <v>2</v>
      </c>
      <c r="H913" s="180">
        <f ca="1">COUNTIFS(Paste_Report_Here!$E$1:$E$2000,E886, OFFSET(Paste_Report_Here!$A$1,0,$A913,2000,1),H$75)</f>
        <v>23</v>
      </c>
      <c r="I913" s="180">
        <f ca="1">COUNTIFS(Paste_Report_Here!$E$1:$E$2000,E886, OFFSET(Paste_Report_Here!$A$1,0,$A913,2000,1),I$75)</f>
        <v>6</v>
      </c>
      <c r="J913" s="180">
        <f ca="1">COUNTIFS(Paste_Report_Here!$E$1:$E$2000,E886, OFFSET(Paste_Report_Here!$A$1,0,$A913,2000,1),J$75)</f>
        <v>0</v>
      </c>
      <c r="K913" s="181">
        <f ca="1">COUNTIFS(Paste_Report_Here!$E$1:$E$2000,E886, OFFSET(Paste_Report_Here!$A$1,0,$A913,2000,1),K$75)</f>
        <v>0</v>
      </c>
      <c r="L913" s="166">
        <f t="shared" ca="1" si="135"/>
        <v>31</v>
      </c>
      <c r="M913" s="183">
        <f ca="1">SUMPRODUCT(F913:K913,F890:K890)/L:L</f>
        <v>0</v>
      </c>
      <c r="N913" s="166">
        <f t="shared" ca="1" si="136"/>
        <v>1</v>
      </c>
      <c r="O913" s="165">
        <f t="shared" ca="1" si="138"/>
        <v>2290.123079681935</v>
      </c>
      <c r="P913" s="165">
        <f t="shared" ca="1" si="137"/>
        <v>2290.123079681935</v>
      </c>
    </row>
    <row r="914" spans="1:16" s="165" customFormat="1" x14ac:dyDescent="0.3">
      <c r="A914" s="165">
        <f>MATCH(Calcs!B914,Paste_Report_Here!$1:$1,0) -1</f>
        <v>27</v>
      </c>
      <c r="B914" s="165" t="s">
        <v>210</v>
      </c>
      <c r="C914" s="166">
        <f ca="1">RANK(N914,N892:N916)</f>
        <v>6</v>
      </c>
      <c r="D914" s="166">
        <f ca="1">RANK(P914,P892:P916)</f>
        <v>25</v>
      </c>
      <c r="E914" s="202" t="s">
        <v>212</v>
      </c>
      <c r="F914" s="179">
        <f ca="1">COUNTIFS(Paste_Report_Here!$E$1:$E$2000,E886, OFFSET(Paste_Report_Here!$A$1,0,$A914,2000,1),F$75)</f>
        <v>0</v>
      </c>
      <c r="G914" s="180">
        <f ca="1">COUNTIFS(Paste_Report_Here!$E$1:$E$2000,E886, OFFSET(Paste_Report_Here!$A$1,0,$A914,2000,1),G$75)</f>
        <v>2</v>
      </c>
      <c r="H914" s="180">
        <f ca="1">COUNTIFS(Paste_Report_Here!$E$1:$E$2000,E886, OFFSET(Paste_Report_Here!$A$1,0,$A914,2000,1),H$75)</f>
        <v>25</v>
      </c>
      <c r="I914" s="180">
        <f ca="1">COUNTIFS(Paste_Report_Here!$E$1:$E$2000,E886, OFFSET(Paste_Report_Here!$A$1,0,$A914,2000,1),I$75)</f>
        <v>4</v>
      </c>
      <c r="J914" s="180">
        <f ca="1">COUNTIFS(Paste_Report_Here!$E$1:$E$2000,E886, OFFSET(Paste_Report_Here!$A$1,0,$A914,2000,1),J$75)</f>
        <v>0</v>
      </c>
      <c r="K914" s="181">
        <f ca="1">COUNTIFS(Paste_Report_Here!$E$1:$E$2000,E886, OFFSET(Paste_Report_Here!$A$1,0,$A914,2000,1),K$75)</f>
        <v>0</v>
      </c>
      <c r="L914" s="166">
        <f t="shared" ca="1" si="135"/>
        <v>31</v>
      </c>
      <c r="M914" s="183">
        <f ca="1">SUMPRODUCT(F914:K914,F890:K890)/L:L</f>
        <v>0</v>
      </c>
      <c r="N914" s="166">
        <f t="shared" ca="1" si="136"/>
        <v>1</v>
      </c>
      <c r="O914" s="165">
        <f t="shared" ca="1" si="138"/>
        <v>1152.660544727275</v>
      </c>
      <c r="P914" s="165">
        <f t="shared" ca="1" si="137"/>
        <v>1152.660544727275</v>
      </c>
    </row>
    <row r="915" spans="1:16" s="165" customFormat="1" x14ac:dyDescent="0.3">
      <c r="A915" s="165">
        <f>MATCH(Calcs!B915,Paste_Report_Here!$1:$1,0) -1</f>
        <v>28</v>
      </c>
      <c r="B915" s="165" t="s">
        <v>143</v>
      </c>
      <c r="C915" s="166">
        <f ca="1">RANK(N915,N893:N917)</f>
        <v>2</v>
      </c>
      <c r="D915" s="166">
        <f ca="1">RANK(P915,P892:P916)</f>
        <v>1</v>
      </c>
      <c r="E915" s="189" t="s">
        <v>172</v>
      </c>
      <c r="F915" s="179">
        <f ca="1">COUNTIFS(Paste_Report_Here!$E$1:$E$2000,E886, OFFSET(Paste_Report_Here!$A$1,0,$A915,2000,1),F$75)</f>
        <v>0</v>
      </c>
      <c r="G915" s="180">
        <f ca="1">COUNTIFS(Paste_Report_Here!$E$1:$E$2000,E886, OFFSET(Paste_Report_Here!$A$1,0,$A915,2000,1),G$75)</f>
        <v>1</v>
      </c>
      <c r="H915" s="180">
        <f ca="1">COUNTIFS(Paste_Report_Here!$E$1:$E$2000,E886, OFFSET(Paste_Report_Here!$A$1,0,$A915,2000,1),H$75)</f>
        <v>22</v>
      </c>
      <c r="I915" s="180">
        <f ca="1">COUNTIFS(Paste_Report_Here!$E$1:$E$2000,E886, OFFSET(Paste_Report_Here!$A$1,0,$A915,2000,1),I$75)</f>
        <v>7</v>
      </c>
      <c r="J915" s="180">
        <f ca="1">COUNTIFS(Paste_Report_Here!$E$1:$E$2000,E886, OFFSET(Paste_Report_Here!$A$1,0,$A915,2000,1),J$75)</f>
        <v>1</v>
      </c>
      <c r="K915" s="181">
        <f ca="1">COUNTIFS(Paste_Report_Here!$E$1:$E$2000,E886, OFFSET(Paste_Report_Here!$A$1,0,$A915,2000,1),K$75)</f>
        <v>0</v>
      </c>
      <c r="L915" s="166">
        <f t="shared" ca="1" si="135"/>
        <v>31</v>
      </c>
      <c r="M915" s="183">
        <f ca="1">SUMPRODUCT(F915:K915,F890:K890)/L:L</f>
        <v>6.4516129032258064E-3</v>
      </c>
      <c r="N915" s="166">
        <f t="shared" ca="1" si="136"/>
        <v>1.0064724693862794</v>
      </c>
      <c r="O915" s="165">
        <f t="shared" ca="1" si="138"/>
        <v>8183.1175820291455</v>
      </c>
      <c r="P915" s="165">
        <f t="shared" ca="1" si="137"/>
        <v>8236.0825600631542</v>
      </c>
    </row>
    <row r="916" spans="1:16" s="165" customFormat="1" x14ac:dyDescent="0.3">
      <c r="A916" s="165">
        <f>MATCH(Calcs!B916,Paste_Report_Here!$1:$1,0) -1</f>
        <v>29</v>
      </c>
      <c r="B916" s="187" t="s">
        <v>144</v>
      </c>
      <c r="C916" s="147">
        <f ca="1">RANK(N916,N892:N916)</f>
        <v>2</v>
      </c>
      <c r="D916" s="147">
        <f ca="1">RANK(P916,P892:P916)</f>
        <v>11</v>
      </c>
      <c r="E916" s="145" t="s">
        <v>173</v>
      </c>
      <c r="F916" s="146">
        <f ca="1">COUNTIFS(Paste_Report_Here!$E$1:$E$2000,E886, OFFSET(Paste_Report_Here!$A$1,0,$A916,2000,1),F$75)</f>
        <v>0</v>
      </c>
      <c r="G916" s="147">
        <f ca="1">COUNTIFS(Paste_Report_Here!$E$1:$E$2000,E886, OFFSET(Paste_Report_Here!$A$1,0,$A916,2000,1),G$75)</f>
        <v>0</v>
      </c>
      <c r="H916" s="147">
        <f ca="1">COUNTIFS(Paste_Report_Here!$E$1:$E$2000,E886, OFFSET(Paste_Report_Here!$A$1,0,$A916,2000,1),H$75)</f>
        <v>25</v>
      </c>
      <c r="I916" s="147">
        <f ca="1">COUNTIFS(Paste_Report_Here!$E$1:$E$2000,E886, OFFSET(Paste_Report_Here!$A$1,0,$A916,2000,1),I$75)</f>
        <v>5</v>
      </c>
      <c r="J916" s="147">
        <f ca="1">COUNTIFS(Paste_Report_Here!$E$1:$E$2000,E886, OFFSET(Paste_Report_Here!$A$1,0,$A916,2000,1),J$75)</f>
        <v>1</v>
      </c>
      <c r="K916" s="148">
        <f ca="1">COUNTIFS(Paste_Report_Here!$E$1:$E$2000,E886, OFFSET(Paste_Report_Here!$A$1,0,$A916,2000,1),K$75)</f>
        <v>0</v>
      </c>
      <c r="L916" s="147">
        <f t="shared" ca="1" si="135"/>
        <v>31</v>
      </c>
      <c r="M916" s="149">
        <f ca="1">SUMPRODUCT(F916:K916,F890:K890)/L:L</f>
        <v>6.4516129032258064E-3</v>
      </c>
      <c r="N916" s="147">
        <f t="shared" ca="1" si="136"/>
        <v>1.0064724693862794</v>
      </c>
      <c r="O916" s="187">
        <f t="shared" ca="1" si="138"/>
        <v>2287.6229277911043</v>
      </c>
      <c r="P916" s="165">
        <f t="shared" ca="1" si="137"/>
        <v>2302.4294971585832</v>
      </c>
    </row>
    <row r="917" spans="1:16" s="165" customFormat="1" x14ac:dyDescent="0.3">
      <c r="C917" s="166"/>
      <c r="E917" s="140" t="s">
        <v>293</v>
      </c>
      <c r="F917" s="180">
        <f ca="1">SUM(F892:F916)</f>
        <v>10</v>
      </c>
      <c r="G917" s="180">
        <f t="shared" ref="G917:L917" ca="1" si="139">SUM(G892:G916)</f>
        <v>53</v>
      </c>
      <c r="H917" s="180">
        <f t="shared" ca="1" si="139"/>
        <v>562</v>
      </c>
      <c r="I917" s="180">
        <f t="shared" ca="1" si="139"/>
        <v>140</v>
      </c>
      <c r="J917" s="180">
        <f t="shared" ca="1" si="139"/>
        <v>9</v>
      </c>
      <c r="K917" s="180">
        <f t="shared" ca="1" si="139"/>
        <v>1</v>
      </c>
      <c r="L917" s="180">
        <f t="shared" ca="1" si="139"/>
        <v>775</v>
      </c>
      <c r="M917" s="144">
        <f ca="1">SUMPRODUCT(F917:K917,F890:K890)/L917</f>
        <v>-2.5806451612903221E-4</v>
      </c>
      <c r="N917" s="166">
        <f t="shared" ca="1" si="136"/>
        <v>0.99974196877965404</v>
      </c>
      <c r="O917" s="165">
        <f t="shared" ca="1" si="138"/>
        <v>2689.6674102611514</v>
      </c>
      <c r="P917" s="165">
        <f t="shared" ca="1" si="137"/>
        <v>2688.973392096957</v>
      </c>
    </row>
    <row r="918" spans="1:16" s="165" customFormat="1" x14ac:dyDescent="0.3">
      <c r="A918" s="194"/>
      <c r="B918" s="194"/>
      <c r="C918" s="153"/>
      <c r="D918" s="194"/>
      <c r="E918" s="164"/>
      <c r="F918" s="151"/>
      <c r="G918" s="151"/>
      <c r="H918" s="151"/>
      <c r="I918" s="151"/>
      <c r="J918" s="151"/>
      <c r="K918" s="151"/>
      <c r="L918" s="151"/>
      <c r="M918" s="162"/>
      <c r="N918" s="153"/>
      <c r="O918" s="194"/>
      <c r="P918" s="194"/>
    </row>
    <row r="919" spans="1:16" s="165" customFormat="1" x14ac:dyDescent="0.3">
      <c r="E919" s="173" t="s">
        <v>292</v>
      </c>
    </row>
    <row r="920" spans="1:16" s="165" customFormat="1" x14ac:dyDescent="0.3">
      <c r="E920" s="141">
        <v>41363</v>
      </c>
    </row>
    <row r="921" spans="1:16" s="165" customFormat="1" ht="15" thickBot="1" x14ac:dyDescent="0.35"/>
    <row r="922" spans="1:16" s="165" customFormat="1" ht="24.6" thickBot="1" x14ac:dyDescent="0.35">
      <c r="F922" s="174" t="s">
        <v>23</v>
      </c>
      <c r="G922" s="168" t="s">
        <v>18</v>
      </c>
      <c r="H922" s="168" t="s">
        <v>16</v>
      </c>
      <c r="I922" s="168" t="s">
        <v>17</v>
      </c>
      <c r="J922" s="168" t="s">
        <v>19</v>
      </c>
      <c r="K922" s="169" t="s">
        <v>114</v>
      </c>
    </row>
    <row r="923" spans="1:16" s="165" customFormat="1" x14ac:dyDescent="0.3">
      <c r="F923" s="267" t="s">
        <v>201</v>
      </c>
      <c r="G923" s="268"/>
      <c r="H923" s="268"/>
      <c r="I923" s="268"/>
      <c r="J923" s="268"/>
      <c r="K923" s="169"/>
      <c r="M923" s="203">
        <f ca="1">(H951+K951)/L951</f>
        <v>0.78266666666666662</v>
      </c>
      <c r="N923" s="204" t="s">
        <v>501</v>
      </c>
    </row>
    <row r="924" spans="1:16" s="165" customFormat="1" ht="43.8" thickBot="1" x14ac:dyDescent="0.35">
      <c r="A924" s="142" t="s">
        <v>294</v>
      </c>
      <c r="B924" s="142" t="s">
        <v>295</v>
      </c>
      <c r="C924" s="197" t="s">
        <v>440</v>
      </c>
      <c r="D924" s="142" t="s">
        <v>441</v>
      </c>
      <c r="E924" s="171" t="s">
        <v>30</v>
      </c>
      <c r="F924" s="175">
        <f>Falling_fast</f>
        <v>-0.2</v>
      </c>
      <c r="G924" s="176">
        <f>Falling</f>
        <v>0</v>
      </c>
      <c r="H924" s="177">
        <f>Static</f>
        <v>0</v>
      </c>
      <c r="I924" s="176">
        <f>Rising</f>
        <v>0</v>
      </c>
      <c r="J924" s="178">
        <f>Rising_fast</f>
        <v>0.2</v>
      </c>
      <c r="K924" s="182">
        <v>0</v>
      </c>
      <c r="L924" s="171" t="s">
        <v>28</v>
      </c>
      <c r="M924" s="172" t="s">
        <v>29</v>
      </c>
      <c r="N924" s="143" t="s">
        <v>296</v>
      </c>
      <c r="O924" s="142" t="s">
        <v>297</v>
      </c>
      <c r="P924" s="142" t="s">
        <v>298</v>
      </c>
    </row>
    <row r="925" spans="1:16" s="165" customFormat="1" x14ac:dyDescent="0.3">
      <c r="C925" s="166"/>
      <c r="E925" s="192"/>
      <c r="F925" s="198" t="s">
        <v>151</v>
      </c>
      <c r="G925" s="199" t="s">
        <v>149</v>
      </c>
      <c r="H925" s="199" t="s">
        <v>16</v>
      </c>
      <c r="I925" s="199" t="s">
        <v>148</v>
      </c>
      <c r="J925" s="199" t="s">
        <v>150</v>
      </c>
      <c r="K925" s="200" t="s">
        <v>114</v>
      </c>
      <c r="L925" s="166"/>
      <c r="M925" s="170"/>
      <c r="N925" s="166"/>
    </row>
    <row r="926" spans="1:16" s="165" customFormat="1" x14ac:dyDescent="0.3">
      <c r="A926" s="165">
        <f>MATCH(Calcs!B926,Paste_Report_Here!$1:$1,0) -1</f>
        <v>5</v>
      </c>
      <c r="B926" s="165" t="s">
        <v>124</v>
      </c>
      <c r="C926" s="166">
        <f ca="1">RANK(N926,N926:N950)</f>
        <v>2</v>
      </c>
      <c r="D926" s="166">
        <f ca="1">RANK(P926,P926:P950)</f>
        <v>14</v>
      </c>
      <c r="E926" s="189" t="s">
        <v>152</v>
      </c>
      <c r="F926" s="179">
        <f ca="1">COUNTIFS(Paste_Report_Here!$E$1:$E$2000,E920, OFFSET(Paste_Report_Here!$A$1,0,$A926,2000,1),F$75)</f>
        <v>0</v>
      </c>
      <c r="G926" s="180">
        <f ca="1">COUNTIFS(Paste_Report_Here!$E$1:$E$2000,E920, OFFSET(Paste_Report_Here!$A$1,0,$A926,2000,1),G$75)</f>
        <v>3</v>
      </c>
      <c r="H926" s="180">
        <f ca="1">COUNTIFS(Paste_Report_Here!$E$1:$E$2000,E920, OFFSET(Paste_Report_Here!$A$1,0,$A926,2000,1),H$75)</f>
        <v>25</v>
      </c>
      <c r="I926" s="180">
        <f ca="1">COUNTIFS(Paste_Report_Here!$E$1:$E$2000,E920, OFFSET(Paste_Report_Here!$A$1,0,$A926,2000,1),I$75)</f>
        <v>2</v>
      </c>
      <c r="J926" s="180">
        <f ca="1">COUNTIFS(Paste_Report_Here!$E$1:$E$2000,E920, OFFSET(Paste_Report_Here!$A$1,0,$A926,2000,1),J$75)</f>
        <v>0</v>
      </c>
      <c r="K926" s="181">
        <f ca="1">COUNTIFS(Paste_Report_Here!$E$1:$E$2000,E920, OFFSET(Paste_Report_Here!$A$1,0,$A926,2000,1),K$75)</f>
        <v>0</v>
      </c>
      <c r="L926" s="166">
        <f t="shared" ref="L926:L950" ca="1" si="140">SUM(F926:K926)</f>
        <v>30</v>
      </c>
      <c r="M926" s="183">
        <f ca="1">SUMPRODUCT(F926:K926,F924:K924)/L:L</f>
        <v>0</v>
      </c>
      <c r="N926" s="166">
        <f t="shared" ref="N926:N951" ca="1" si="141">EXP(M926)</f>
        <v>1</v>
      </c>
      <c r="O926" s="165">
        <f ca="1">P892</f>
        <v>2149.1193368953559</v>
      </c>
      <c r="P926" s="165">
        <f t="shared" ref="P926:P951" ca="1" si="142">O926*N926</f>
        <v>2149.1193368953559</v>
      </c>
    </row>
    <row r="927" spans="1:16" s="165" customFormat="1" x14ac:dyDescent="0.3">
      <c r="A927" s="165">
        <f>MATCH(Calcs!B927,Paste_Report_Here!$1:$1,0) -1</f>
        <v>6</v>
      </c>
      <c r="B927" s="165" t="s">
        <v>125</v>
      </c>
      <c r="C927" s="166">
        <f ca="1">RANK(N927,N926:N950)</f>
        <v>13</v>
      </c>
      <c r="D927" s="166">
        <f ca="1">RANK(P927,P926:P950)</f>
        <v>13</v>
      </c>
      <c r="E927" s="189" t="s">
        <v>153</v>
      </c>
      <c r="F927" s="179">
        <f ca="1">COUNTIFS(Paste_Report_Here!$E$1:$E$2000,E920, OFFSET(Paste_Report_Here!$A$1,0,$A927,2000,1),F$75)</f>
        <v>1</v>
      </c>
      <c r="G927" s="180">
        <f ca="1">COUNTIFS(Paste_Report_Here!$E$1:$E$2000,E920, OFFSET(Paste_Report_Here!$A$1,0,$A927,2000,1),G$75)</f>
        <v>2</v>
      </c>
      <c r="H927" s="180">
        <f ca="1">COUNTIFS(Paste_Report_Here!$E$1:$E$2000,E920, OFFSET(Paste_Report_Here!$A$1,0,$A927,2000,1),H$75)</f>
        <v>24</v>
      </c>
      <c r="I927" s="180">
        <f ca="1">COUNTIFS(Paste_Report_Here!$E$1:$E$2000,E920, OFFSET(Paste_Report_Here!$A$1,0,$A927,2000,1),I$75)</f>
        <v>3</v>
      </c>
      <c r="J927" s="180">
        <f ca="1">COUNTIFS(Paste_Report_Here!$E$1:$E$2000,E920, OFFSET(Paste_Report_Here!$A$1,0,$A927,2000,1),J$75)</f>
        <v>0</v>
      </c>
      <c r="K927" s="181">
        <f ca="1">COUNTIFS(Paste_Report_Here!$E$1:$E$2000,E920, OFFSET(Paste_Report_Here!$A$1,0,$A927,2000,1),K$75)</f>
        <v>0</v>
      </c>
      <c r="L927" s="166">
        <f t="shared" ca="1" si="140"/>
        <v>30</v>
      </c>
      <c r="M927" s="183">
        <f ca="1">SUMPRODUCT(F927:K927,F924:K924)/L:L</f>
        <v>-6.6666666666666671E-3</v>
      </c>
      <c r="N927" s="166">
        <f t="shared" ca="1" si="141"/>
        <v>0.99335550625503444</v>
      </c>
      <c r="O927" s="165">
        <f t="shared" ref="O927:O951" ca="1" si="143">P893</f>
        <v>2179.4940869137918</v>
      </c>
      <c r="P927" s="165">
        <f t="shared" ca="1" si="142"/>
        <v>2165.0124520861036</v>
      </c>
    </row>
    <row r="928" spans="1:16" s="165" customFormat="1" x14ac:dyDescent="0.3">
      <c r="A928" s="165">
        <f>MATCH(Calcs!B928,Paste_Report_Here!$1:$1,0) -1</f>
        <v>7</v>
      </c>
      <c r="B928" s="165" t="s">
        <v>126</v>
      </c>
      <c r="C928" s="166">
        <f ca="1">RANK(N928,N926:N950)</f>
        <v>2</v>
      </c>
      <c r="D928" s="166">
        <f ca="1">RANK(P928,P926:P950)</f>
        <v>7</v>
      </c>
      <c r="E928" s="189" t="s">
        <v>154</v>
      </c>
      <c r="F928" s="179">
        <f ca="1">COUNTIFS(Paste_Report_Here!$E$1:$E$2000,E920, OFFSET(Paste_Report_Here!$A$1,0,$A928,2000,1),F$75)</f>
        <v>0</v>
      </c>
      <c r="G928" s="180">
        <f ca="1">COUNTIFS(Paste_Report_Here!$E$1:$E$2000,E920, OFFSET(Paste_Report_Here!$A$1,0,$A928,2000,1),G$75)</f>
        <v>3</v>
      </c>
      <c r="H928" s="180">
        <f ca="1">COUNTIFS(Paste_Report_Here!$E$1:$E$2000,E920, OFFSET(Paste_Report_Here!$A$1,0,$A928,2000,1),H$75)</f>
        <v>25</v>
      </c>
      <c r="I928" s="180">
        <f ca="1">COUNTIFS(Paste_Report_Here!$E$1:$E$2000,E920, OFFSET(Paste_Report_Here!$A$1,0,$A928,2000,1),I$75)</f>
        <v>2</v>
      </c>
      <c r="J928" s="180">
        <f ca="1">COUNTIFS(Paste_Report_Here!$E$1:$E$2000,E920, OFFSET(Paste_Report_Here!$A$1,0,$A928,2000,1),J$75)</f>
        <v>0</v>
      </c>
      <c r="K928" s="181">
        <f ca="1">COUNTIFS(Paste_Report_Here!$E$1:$E$2000,E920, OFFSET(Paste_Report_Here!$A$1,0,$A928,2000,1),K$75)</f>
        <v>0</v>
      </c>
      <c r="L928" s="166">
        <f t="shared" ca="1" si="140"/>
        <v>30</v>
      </c>
      <c r="M928" s="183">
        <f ca="1">SUMPRODUCT(F928:K928,F924:K924)/L:L</f>
        <v>0</v>
      </c>
      <c r="N928" s="166">
        <f t="shared" ca="1" si="141"/>
        <v>1</v>
      </c>
      <c r="O928" s="165">
        <f t="shared" ca="1" si="143"/>
        <v>2824.7019227686728</v>
      </c>
      <c r="P928" s="165">
        <f t="shared" ca="1" si="142"/>
        <v>2824.7019227686728</v>
      </c>
    </row>
    <row r="929" spans="1:16" s="165" customFormat="1" x14ac:dyDescent="0.3">
      <c r="A929" s="165">
        <f>MATCH(Calcs!B929,Paste_Report_Here!$1:$1,0) -1</f>
        <v>8</v>
      </c>
      <c r="B929" s="165" t="s">
        <v>127</v>
      </c>
      <c r="C929" s="166">
        <f ca="1">RANK(N929,N926:N950)</f>
        <v>13</v>
      </c>
      <c r="D929" s="166">
        <f ca="1">RANK(P929,P926:P950)</f>
        <v>8</v>
      </c>
      <c r="E929" s="189" t="s">
        <v>155</v>
      </c>
      <c r="F929" s="179">
        <f ca="1">COUNTIFS(Paste_Report_Here!$E$1:$E$2000,E920, OFFSET(Paste_Report_Here!$A$1,0,$A929,2000,1),F$75)</f>
        <v>1</v>
      </c>
      <c r="G929" s="180">
        <f ca="1">COUNTIFS(Paste_Report_Here!$E$1:$E$2000,E920, OFFSET(Paste_Report_Here!$A$1,0,$A929,2000,1),G$75)</f>
        <v>2</v>
      </c>
      <c r="H929" s="180">
        <f ca="1">COUNTIFS(Paste_Report_Here!$E$1:$E$2000,E920, OFFSET(Paste_Report_Here!$A$1,0,$A929,2000,1),H$75)</f>
        <v>20</v>
      </c>
      <c r="I929" s="180">
        <f ca="1">COUNTIFS(Paste_Report_Here!$E$1:$E$2000,E920, OFFSET(Paste_Report_Here!$A$1,0,$A929,2000,1),I$75)</f>
        <v>7</v>
      </c>
      <c r="J929" s="180">
        <f ca="1">COUNTIFS(Paste_Report_Here!$E$1:$E$2000,E920, OFFSET(Paste_Report_Here!$A$1,0,$A929,2000,1),J$75)</f>
        <v>0</v>
      </c>
      <c r="K929" s="181">
        <f ca="1">COUNTIFS(Paste_Report_Here!$E$1:$E$2000,E920, OFFSET(Paste_Report_Here!$A$1,0,$A929,2000,1),K$75)</f>
        <v>0</v>
      </c>
      <c r="L929" s="166">
        <f t="shared" ca="1" si="140"/>
        <v>30</v>
      </c>
      <c r="M929" s="183">
        <f ca="1">SUMPRODUCT(F929:K929,F924:K924)/L:L</f>
        <v>-6.6666666666666671E-3</v>
      </c>
      <c r="N929" s="166">
        <f t="shared" ca="1" si="141"/>
        <v>0.99335550625503444</v>
      </c>
      <c r="O929" s="165">
        <f t="shared" ca="1" si="143"/>
        <v>2806.240752940329</v>
      </c>
      <c r="P929" s="165">
        <f t="shared" ca="1" si="142"/>
        <v>2787.5947038105496</v>
      </c>
    </row>
    <row r="930" spans="1:16" s="165" customFormat="1" x14ac:dyDescent="0.3">
      <c r="A930" s="165">
        <f>MATCH(Calcs!B930,Paste_Report_Here!$1:$1,0) -1</f>
        <v>9</v>
      </c>
      <c r="B930" s="165" t="s">
        <v>214</v>
      </c>
      <c r="C930" s="166">
        <f ca="1">RANK(N930,N926:N950)</f>
        <v>1</v>
      </c>
      <c r="D930" s="166">
        <f ca="1">RANK(P930,P926:P950)</f>
        <v>5</v>
      </c>
      <c r="E930" s="189" t="s">
        <v>156</v>
      </c>
      <c r="F930" s="179">
        <f ca="1">COUNTIFS(Paste_Report_Here!$E$1:$E$2000,E920, OFFSET(Paste_Report_Here!$A$1,0,$A930,2000,1),F$75)</f>
        <v>0</v>
      </c>
      <c r="G930" s="180">
        <f ca="1">COUNTIFS(Paste_Report_Here!$E$1:$E$2000,E920, OFFSET(Paste_Report_Here!$A$1,0,$A930,2000,1),G$75)</f>
        <v>1</v>
      </c>
      <c r="H930" s="180">
        <f ca="1">COUNTIFS(Paste_Report_Here!$E$1:$E$2000,E920, OFFSET(Paste_Report_Here!$A$1,0,$A930,2000,1),H$75)</f>
        <v>26</v>
      </c>
      <c r="I930" s="180">
        <f ca="1">COUNTIFS(Paste_Report_Here!$E$1:$E$2000,E920, OFFSET(Paste_Report_Here!$A$1,0,$A930,2000,1),I$75)</f>
        <v>2</v>
      </c>
      <c r="J930" s="180">
        <f ca="1">COUNTIFS(Paste_Report_Here!$E$1:$E$2000,E920, OFFSET(Paste_Report_Here!$A$1,0,$A930,2000,1),J$75)</f>
        <v>1</v>
      </c>
      <c r="K930" s="181">
        <f ca="1">COUNTIFS(Paste_Report_Here!$E$1:$E$2000,E920, OFFSET(Paste_Report_Here!$A$1,0,$A930,2000,1),K$75)</f>
        <v>0</v>
      </c>
      <c r="L930" s="166">
        <f t="shared" ca="1" si="140"/>
        <v>30</v>
      </c>
      <c r="M930" s="183">
        <f ca="1">SUMPRODUCT(F930:K930,F924:K924)/L:L</f>
        <v>6.6666666666666671E-3</v>
      </c>
      <c r="N930" s="166">
        <f t="shared" ca="1" si="141"/>
        <v>1.0066889383540194</v>
      </c>
      <c r="O930" s="165">
        <f t="shared" ca="1" si="143"/>
        <v>3705.2186485767606</v>
      </c>
      <c r="P930" s="165">
        <f t="shared" ca="1" si="142"/>
        <v>3730.0026277052539</v>
      </c>
    </row>
    <row r="931" spans="1:16" s="165" customFormat="1" x14ac:dyDescent="0.3">
      <c r="A931" s="165">
        <f>MATCH(Calcs!B931,Paste_Report_Here!$1:$1,0) -1</f>
        <v>10</v>
      </c>
      <c r="B931" s="165" t="s">
        <v>128</v>
      </c>
      <c r="C931" s="166">
        <f ca="1">RANK(N931,N926:N950)</f>
        <v>13</v>
      </c>
      <c r="D931" s="166">
        <f ca="1">RANK(P931,P926:P950)</f>
        <v>21</v>
      </c>
      <c r="E931" s="189" t="s">
        <v>157</v>
      </c>
      <c r="F931" s="179">
        <f ca="1">COUNTIFS(Paste_Report_Here!$E$1:$E$2000,E920, OFFSET(Paste_Report_Here!$A$1,0,$A931,2000,1),F$75)</f>
        <v>2</v>
      </c>
      <c r="G931" s="180">
        <f ca="1">COUNTIFS(Paste_Report_Here!$E$1:$E$2000,E920, OFFSET(Paste_Report_Here!$A$1,0,$A931,2000,1),G$75)</f>
        <v>1</v>
      </c>
      <c r="H931" s="180">
        <f ca="1">COUNTIFS(Paste_Report_Here!$E$1:$E$2000,E920, OFFSET(Paste_Report_Here!$A$1,0,$A931,2000,1),H$75)</f>
        <v>25</v>
      </c>
      <c r="I931" s="180">
        <f ca="1">COUNTIFS(Paste_Report_Here!$E$1:$E$2000,E920, OFFSET(Paste_Report_Here!$A$1,0,$A931,2000,1),I$75)</f>
        <v>1</v>
      </c>
      <c r="J931" s="180">
        <f ca="1">COUNTIFS(Paste_Report_Here!$E$1:$E$2000,E920, OFFSET(Paste_Report_Here!$A$1,0,$A931,2000,1),J$75)</f>
        <v>1</v>
      </c>
      <c r="K931" s="181">
        <f ca="1">COUNTIFS(Paste_Report_Here!$E$1:$E$2000,E920, OFFSET(Paste_Report_Here!$A$1,0,$A931,2000,1),K$75)</f>
        <v>0</v>
      </c>
      <c r="L931" s="166">
        <f t="shared" ca="1" si="140"/>
        <v>30</v>
      </c>
      <c r="M931" s="183">
        <f ca="1">SUMPRODUCT(F931:K931,F924:K924)/L:L</f>
        <v>-6.6666666666666671E-3</v>
      </c>
      <c r="N931" s="166">
        <f t="shared" ca="1" si="141"/>
        <v>0.99335550625503444</v>
      </c>
      <c r="O931" s="165">
        <f t="shared" ca="1" si="143"/>
        <v>1671.191745256215</v>
      </c>
      <c r="P931" s="165">
        <f t="shared" ca="1" si="142"/>
        <v>1660.0875221582219</v>
      </c>
    </row>
    <row r="932" spans="1:16" s="165" customFormat="1" x14ac:dyDescent="0.3">
      <c r="A932" s="165">
        <f>MATCH(Calcs!B932,Paste_Report_Here!$1:$1,0) -1</f>
        <v>11</v>
      </c>
      <c r="B932" s="165" t="s">
        <v>129</v>
      </c>
      <c r="C932" s="166">
        <f ca="1">RANK(N932,N926:N950)</f>
        <v>2</v>
      </c>
      <c r="D932" s="166">
        <f ca="1">RANK(P932,P926:P950)</f>
        <v>9</v>
      </c>
      <c r="E932" s="189" t="s">
        <v>158</v>
      </c>
      <c r="F932" s="179">
        <f ca="1">COUNTIFS(Paste_Report_Here!$E$1:$E$2000,E920, OFFSET(Paste_Report_Here!$A$1,0,$A932,2000,1),F$75)</f>
        <v>0</v>
      </c>
      <c r="G932" s="180">
        <f ca="1">COUNTIFS(Paste_Report_Here!$E$1:$E$2000,E920, OFFSET(Paste_Report_Here!$A$1,0,$A932,2000,1),G$75)</f>
        <v>3</v>
      </c>
      <c r="H932" s="180">
        <f ca="1">COUNTIFS(Paste_Report_Here!$E$1:$E$2000,E920, OFFSET(Paste_Report_Here!$A$1,0,$A932,2000,1),H$75)</f>
        <v>24</v>
      </c>
      <c r="I932" s="180">
        <f ca="1">COUNTIFS(Paste_Report_Here!$E$1:$E$2000,E920, OFFSET(Paste_Report_Here!$A$1,0,$A932,2000,1),I$75)</f>
        <v>3</v>
      </c>
      <c r="J932" s="180">
        <f ca="1">COUNTIFS(Paste_Report_Here!$E$1:$E$2000,E920, OFFSET(Paste_Report_Here!$A$1,0,$A932,2000,1),J$75)</f>
        <v>0</v>
      </c>
      <c r="K932" s="181">
        <f ca="1">COUNTIFS(Paste_Report_Here!$E$1:$E$2000,E920, OFFSET(Paste_Report_Here!$A$1,0,$A932,2000,1),K$75)</f>
        <v>0</v>
      </c>
      <c r="L932" s="166">
        <f t="shared" ca="1" si="140"/>
        <v>30</v>
      </c>
      <c r="M932" s="183">
        <f ca="1">SUMPRODUCT(F932:K932,F924:K924)/L:L</f>
        <v>0</v>
      </c>
      <c r="N932" s="166">
        <f t="shared" ca="1" si="141"/>
        <v>1</v>
      </c>
      <c r="O932" s="165">
        <f t="shared" ca="1" si="143"/>
        <v>2558.6541593498532</v>
      </c>
      <c r="P932" s="165">
        <f t="shared" ca="1" si="142"/>
        <v>2558.6541593498532</v>
      </c>
    </row>
    <row r="933" spans="1:16" s="165" customFormat="1" x14ac:dyDescent="0.3">
      <c r="A933" s="165">
        <f>MATCH(Calcs!B933,Paste_Report_Here!$1:$1,0) -1</f>
        <v>12</v>
      </c>
      <c r="B933" s="165" t="s">
        <v>130</v>
      </c>
      <c r="C933" s="166">
        <f ca="1">RANK(N933,N927:N951)</f>
        <v>2</v>
      </c>
      <c r="D933" s="166">
        <f ca="1">RANK(P933,P926:P950)</f>
        <v>10</v>
      </c>
      <c r="E933" s="189" t="s">
        <v>159</v>
      </c>
      <c r="F933" s="179">
        <f ca="1">COUNTIFS(Paste_Report_Here!$E$1:$E$2000,E920, OFFSET(Paste_Report_Here!$A$1,0,$A933,2000,1),F$75)</f>
        <v>1</v>
      </c>
      <c r="G933" s="180">
        <f ca="1">COUNTIFS(Paste_Report_Here!$E$1:$E$2000,E920, OFFSET(Paste_Report_Here!$A$1,0,$A933,2000,1),G$75)</f>
        <v>1</v>
      </c>
      <c r="H933" s="180">
        <f ca="1">COUNTIFS(Paste_Report_Here!$E$1:$E$2000,E920, OFFSET(Paste_Report_Here!$A$1,0,$A933,2000,1),H$75)</f>
        <v>21</v>
      </c>
      <c r="I933" s="180">
        <f ca="1">COUNTIFS(Paste_Report_Here!$E$1:$E$2000,E920, OFFSET(Paste_Report_Here!$A$1,0,$A933,2000,1),I$75)</f>
        <v>6</v>
      </c>
      <c r="J933" s="180">
        <f ca="1">COUNTIFS(Paste_Report_Here!$E$1:$E$2000,E920, OFFSET(Paste_Report_Here!$A$1,0,$A933,2000,1),J$75)</f>
        <v>1</v>
      </c>
      <c r="K933" s="181">
        <f ca="1">COUNTIFS(Paste_Report_Here!$E$1:$E$2000,E920, OFFSET(Paste_Report_Here!$A$1,0,$A933,2000,1),K$75)</f>
        <v>0</v>
      </c>
      <c r="L933" s="166">
        <f t="shared" ca="1" si="140"/>
        <v>30</v>
      </c>
      <c r="M933" s="183">
        <f ca="1">SUMPRODUCT(F933:K933,F924:K924)/L:L</f>
        <v>0</v>
      </c>
      <c r="N933" s="166">
        <f t="shared" ca="1" si="141"/>
        <v>1</v>
      </c>
      <c r="O933" s="165">
        <f t="shared" ca="1" si="143"/>
        <v>2371.5280801026433</v>
      </c>
      <c r="P933" s="165">
        <f t="shared" ca="1" si="142"/>
        <v>2371.5280801026433</v>
      </c>
    </row>
    <row r="934" spans="1:16" s="165" customFormat="1" x14ac:dyDescent="0.3">
      <c r="A934" s="165">
        <f>MATCH(Calcs!B934,Paste_Report_Here!$1:$1,0) -1</f>
        <v>13</v>
      </c>
      <c r="B934" s="165" t="s">
        <v>131</v>
      </c>
      <c r="C934" s="166">
        <f ca="1">RANK(N934,N928:N952)</f>
        <v>13</v>
      </c>
      <c r="D934" s="166">
        <f ca="1">RANK(P934,P926:P950)</f>
        <v>2</v>
      </c>
      <c r="E934" s="189" t="s">
        <v>160</v>
      </c>
      <c r="F934" s="179">
        <f ca="1">COUNTIFS(Paste_Report_Here!$E$1:$E$2000,E920, OFFSET(Paste_Report_Here!$A$1,0,$A934,2000,1),F$75)</f>
        <v>1</v>
      </c>
      <c r="G934" s="180">
        <f ca="1">COUNTIFS(Paste_Report_Here!$E$1:$E$2000,E920, OFFSET(Paste_Report_Here!$A$1,0,$A934,2000,1),G$75)</f>
        <v>0</v>
      </c>
      <c r="H934" s="180">
        <f ca="1">COUNTIFS(Paste_Report_Here!$E$1:$E$2000,E920, OFFSET(Paste_Report_Here!$A$1,0,$A934,2000,1),H$75)</f>
        <v>20</v>
      </c>
      <c r="I934" s="180">
        <f ca="1">COUNTIFS(Paste_Report_Here!$E$1:$E$2000,E920, OFFSET(Paste_Report_Here!$A$1,0,$A934,2000,1),I$75)</f>
        <v>9</v>
      </c>
      <c r="J934" s="180">
        <f ca="1">COUNTIFS(Paste_Report_Here!$E$1:$E$2000,E920, OFFSET(Paste_Report_Here!$A$1,0,$A934,2000,1),J$75)</f>
        <v>0</v>
      </c>
      <c r="K934" s="181">
        <f ca="1">COUNTIFS(Paste_Report_Here!$E$1:$E$2000,E920, OFFSET(Paste_Report_Here!$A$1,0,$A934,2000,1),K$75)</f>
        <v>0</v>
      </c>
      <c r="L934" s="166">
        <f t="shared" ca="1" si="140"/>
        <v>30</v>
      </c>
      <c r="M934" s="183">
        <f ca="1">SUMPRODUCT(F934:K934,F924:K924)/L:L</f>
        <v>-6.6666666666666671E-3</v>
      </c>
      <c r="N934" s="166">
        <f t="shared" ca="1" si="141"/>
        <v>0.99335550625503444</v>
      </c>
      <c r="O934" s="165">
        <f t="shared" ca="1" si="143"/>
        <v>4212.2543955834935</v>
      </c>
      <c r="P934" s="165">
        <f t="shared" ca="1" si="142"/>
        <v>4184.2660975998351</v>
      </c>
    </row>
    <row r="935" spans="1:16" s="165" customFormat="1" x14ac:dyDescent="0.3">
      <c r="A935" s="165">
        <f>MATCH(Calcs!B935,Paste_Report_Here!$1:$1,0) -1</f>
        <v>14</v>
      </c>
      <c r="B935" s="165" t="s">
        <v>132</v>
      </c>
      <c r="C935" s="166">
        <f ca="1">RANK(N935,N929:N953)</f>
        <v>12</v>
      </c>
      <c r="D935" s="166">
        <f ca="1">RANK(P935,P926:P950)</f>
        <v>17</v>
      </c>
      <c r="E935" s="189" t="s">
        <v>161</v>
      </c>
      <c r="F935" s="179">
        <f ca="1">COUNTIFS(Paste_Report_Here!$E$1:$E$2000,E920, OFFSET(Paste_Report_Here!$A$1,0,$A935,2000,1),F$75)</f>
        <v>1</v>
      </c>
      <c r="G935" s="180">
        <f ca="1">COUNTIFS(Paste_Report_Here!$E$1:$E$2000,E920, OFFSET(Paste_Report_Here!$A$1,0,$A935,2000,1),G$75)</f>
        <v>3</v>
      </c>
      <c r="H935" s="180">
        <f ca="1">COUNTIFS(Paste_Report_Here!$E$1:$E$2000,E920, OFFSET(Paste_Report_Here!$A$1,0,$A935,2000,1),H$75)</f>
        <v>21</v>
      </c>
      <c r="I935" s="180">
        <f ca="1">COUNTIFS(Paste_Report_Here!$E$1:$E$2000,E920, OFFSET(Paste_Report_Here!$A$1,0,$A935,2000,1),I$75)</f>
        <v>5</v>
      </c>
      <c r="J935" s="180">
        <f ca="1">COUNTIFS(Paste_Report_Here!$E$1:$E$2000,E920, OFFSET(Paste_Report_Here!$A$1,0,$A935,2000,1),J$75)</f>
        <v>0</v>
      </c>
      <c r="K935" s="181">
        <f ca="1">COUNTIFS(Paste_Report_Here!$E$1:$E$2000,E920, OFFSET(Paste_Report_Here!$A$1,0,$A935,2000,1),K$75)</f>
        <v>0</v>
      </c>
      <c r="L935" s="166">
        <f t="shared" ca="1" si="140"/>
        <v>30</v>
      </c>
      <c r="M935" s="183">
        <f ca="1">SUMPRODUCT(F935:K935,F924:K924)/L:L</f>
        <v>-6.6666666666666671E-3</v>
      </c>
      <c r="N935" s="166">
        <f t="shared" ca="1" si="141"/>
        <v>0.99335550625503444</v>
      </c>
      <c r="O935" s="165">
        <f t="shared" ca="1" si="143"/>
        <v>2096.5738260373678</v>
      </c>
      <c r="P935" s="165">
        <f t="shared" ca="1" si="142"/>
        <v>2082.6431543644039</v>
      </c>
    </row>
    <row r="936" spans="1:16" s="165" customFormat="1" x14ac:dyDescent="0.3">
      <c r="A936" s="165">
        <f>MATCH(Calcs!B936,Paste_Report_Here!$1:$1,0) -1</f>
        <v>15</v>
      </c>
      <c r="B936" s="165" t="s">
        <v>133</v>
      </c>
      <c r="C936" s="166">
        <f ca="1">RANK(N936,N925:N949)</f>
        <v>13</v>
      </c>
      <c r="D936" s="166">
        <f ca="1">RANK(P936,P926:P950)</f>
        <v>6</v>
      </c>
      <c r="E936" s="189" t="s">
        <v>162</v>
      </c>
      <c r="F936" s="179">
        <f ca="1">COUNTIFS(Paste_Report_Here!$E$1:$E$2000,E920, OFFSET(Paste_Report_Here!$A$1,0,$A936,2000,1),F$75)</f>
        <v>1</v>
      </c>
      <c r="G936" s="180">
        <f ca="1">COUNTIFS(Paste_Report_Here!$E$1:$E$2000,E920, OFFSET(Paste_Report_Here!$A$1,0,$A936,2000,1),G$75)</f>
        <v>0</v>
      </c>
      <c r="H936" s="180">
        <f ca="1">COUNTIFS(Paste_Report_Here!$E$1:$E$2000,E920, OFFSET(Paste_Report_Here!$A$1,0,$A936,2000,1),H$75)</f>
        <v>21</v>
      </c>
      <c r="I936" s="180">
        <f ca="1">COUNTIFS(Paste_Report_Here!$E$1:$E$2000,E920, OFFSET(Paste_Report_Here!$A$1,0,$A936,2000,1),I$75)</f>
        <v>8</v>
      </c>
      <c r="J936" s="180">
        <f ca="1">COUNTIFS(Paste_Report_Here!$E$1:$E$2000,E920, OFFSET(Paste_Report_Here!$A$1,0,$A936,2000,1),J$75)</f>
        <v>0</v>
      </c>
      <c r="K936" s="181">
        <f ca="1">COUNTIFS(Paste_Report_Here!$E$1:$E$2000,E920, OFFSET(Paste_Report_Here!$A$1,0,$A936,2000,1),K$75)</f>
        <v>0</v>
      </c>
      <c r="L936" s="166">
        <f t="shared" ca="1" si="140"/>
        <v>30</v>
      </c>
      <c r="M936" s="183">
        <f ca="1">SUMPRODUCT(F936:K936,F924:K924)/L:L</f>
        <v>-6.6666666666666671E-3</v>
      </c>
      <c r="N936" s="166">
        <f t="shared" ca="1" si="141"/>
        <v>0.99335550625503444</v>
      </c>
      <c r="O936" s="165">
        <f t="shared" ca="1" si="143"/>
        <v>3031.3794877584605</v>
      </c>
      <c r="P936" s="165">
        <f t="shared" ca="1" si="142"/>
        <v>3011.2375057134327</v>
      </c>
    </row>
    <row r="937" spans="1:16" s="165" customFormat="1" x14ac:dyDescent="0.3">
      <c r="A937" s="165">
        <f>MATCH(Calcs!B937,Paste_Report_Here!$1:$1,0) -1</f>
        <v>16</v>
      </c>
      <c r="B937" s="165" t="s">
        <v>134</v>
      </c>
      <c r="C937" s="166">
        <f ca="1">RANK(N937,N926:N950)</f>
        <v>13</v>
      </c>
      <c r="D937" s="166">
        <f ca="1">RANK(P937,P926:P950)</f>
        <v>24</v>
      </c>
      <c r="E937" s="189" t="s">
        <v>163</v>
      </c>
      <c r="F937" s="179">
        <f ca="1">COUNTIFS(Paste_Report_Here!$E$1:$E$2000,E920, OFFSET(Paste_Report_Here!$A$1,0,$A937,2000,1),F$75)</f>
        <v>2</v>
      </c>
      <c r="G937" s="180">
        <f ca="1">COUNTIFS(Paste_Report_Here!$E$1:$E$2000,E920, OFFSET(Paste_Report_Here!$A$1,0,$A937,2000,1),G$75)</f>
        <v>0</v>
      </c>
      <c r="H937" s="180">
        <f ca="1">COUNTIFS(Paste_Report_Here!$E$1:$E$2000,E920, OFFSET(Paste_Report_Here!$A$1,0,$A937,2000,1),H$75)</f>
        <v>25</v>
      </c>
      <c r="I937" s="180">
        <f ca="1">COUNTIFS(Paste_Report_Here!$E$1:$E$2000,E920, OFFSET(Paste_Report_Here!$A$1,0,$A937,2000,1),I$75)</f>
        <v>2</v>
      </c>
      <c r="J937" s="180">
        <f ca="1">COUNTIFS(Paste_Report_Here!$E$1:$E$2000,E920, OFFSET(Paste_Report_Here!$A$1,0,$A937,2000,1),J$75)</f>
        <v>1</v>
      </c>
      <c r="K937" s="181">
        <f ca="1">COUNTIFS(Paste_Report_Here!$E$1:$E$2000,E920, OFFSET(Paste_Report_Here!$A$1,0,$A937,2000,1),K$75)</f>
        <v>0</v>
      </c>
      <c r="L937" s="166">
        <f t="shared" ca="1" si="140"/>
        <v>30</v>
      </c>
      <c r="M937" s="183">
        <f ca="1">SUMPRODUCT(F937:K937,F924:K924)/L:L</f>
        <v>-6.6666666666666671E-3</v>
      </c>
      <c r="N937" s="166">
        <f t="shared" ca="1" si="141"/>
        <v>0.99335550625503444</v>
      </c>
      <c r="O937" s="165">
        <f t="shared" ca="1" si="143"/>
        <v>1180.494027289222</v>
      </c>
      <c r="P937" s="165">
        <f t="shared" ca="1" si="142"/>
        <v>1172.6502421089297</v>
      </c>
    </row>
    <row r="938" spans="1:16" s="165" customFormat="1" x14ac:dyDescent="0.3">
      <c r="A938" s="165">
        <f>MATCH(Calcs!B938,Paste_Report_Here!$1:$1,0) -1</f>
        <v>17</v>
      </c>
      <c r="B938" s="165" t="s">
        <v>135</v>
      </c>
      <c r="C938" s="166">
        <f ca="1">RANK(N938,N927:N951)</f>
        <v>2</v>
      </c>
      <c r="D938" s="166">
        <f ca="1">RANK(P938,P926:P950)</f>
        <v>20</v>
      </c>
      <c r="E938" s="189" t="s">
        <v>164</v>
      </c>
      <c r="F938" s="179">
        <f ca="1">COUNTIFS(Paste_Report_Here!$E$1:$E$2000,E920, OFFSET(Paste_Report_Here!$A$1,0,$A938,2000,1),F$75)</f>
        <v>0</v>
      </c>
      <c r="G938" s="180">
        <f ca="1">COUNTIFS(Paste_Report_Here!$E$1:$E$2000,E920, OFFSET(Paste_Report_Here!$A$1,0,$A938,2000,1),G$75)</f>
        <v>3</v>
      </c>
      <c r="H938" s="180">
        <f ca="1">COUNTIFS(Paste_Report_Here!$E$1:$E$2000,E920, OFFSET(Paste_Report_Here!$A$1,0,$A938,2000,1),H$75)</f>
        <v>22</v>
      </c>
      <c r="I938" s="180">
        <f ca="1">COUNTIFS(Paste_Report_Here!$E$1:$E$2000,E920, OFFSET(Paste_Report_Here!$A$1,0,$A938,2000,1),I$75)</f>
        <v>5</v>
      </c>
      <c r="J938" s="180">
        <f ca="1">COUNTIFS(Paste_Report_Here!$E$1:$E$2000,E920, OFFSET(Paste_Report_Here!$A$1,0,$A938,2000,1),J$75)</f>
        <v>0</v>
      </c>
      <c r="K938" s="181">
        <f ca="1">COUNTIFS(Paste_Report_Here!$E$1:$E$2000,E920, OFFSET(Paste_Report_Here!$A$1,0,$A938,2000,1),K$75)</f>
        <v>0</v>
      </c>
      <c r="L938" s="166">
        <f t="shared" ca="1" si="140"/>
        <v>30</v>
      </c>
      <c r="M938" s="183">
        <f ca="1">SUMPRODUCT(F938:K938,F924:K924)/L:L</f>
        <v>0</v>
      </c>
      <c r="N938" s="166">
        <f t="shared" ca="1" si="141"/>
        <v>1</v>
      </c>
      <c r="O938" s="165">
        <f t="shared" ca="1" si="143"/>
        <v>1864.6280168998214</v>
      </c>
      <c r="P938" s="165">
        <f t="shared" ca="1" si="142"/>
        <v>1864.6280168998214</v>
      </c>
    </row>
    <row r="939" spans="1:16" s="165" customFormat="1" x14ac:dyDescent="0.3">
      <c r="A939" s="165">
        <f>MATCH(Calcs!B939,Paste_Report_Here!$1:$1,0) -1</f>
        <v>18</v>
      </c>
      <c r="B939" s="165" t="s">
        <v>136</v>
      </c>
      <c r="C939" s="166">
        <f ca="1">RANK(N939,N928:N952)</f>
        <v>2</v>
      </c>
      <c r="D939" s="166">
        <f ca="1">RANK(P939,P926:P950)</f>
        <v>4</v>
      </c>
      <c r="E939" s="189" t="s">
        <v>165</v>
      </c>
      <c r="F939" s="179">
        <f ca="1">COUNTIFS(Paste_Report_Here!$E$1:$E$2000,E920, OFFSET(Paste_Report_Here!$A$1,0,$A939,2000,1),F$75)</f>
        <v>1</v>
      </c>
      <c r="G939" s="180">
        <f ca="1">COUNTIFS(Paste_Report_Here!$E$1:$E$2000,E920, OFFSET(Paste_Report_Here!$A$1,0,$A939,2000,1),G$75)</f>
        <v>1</v>
      </c>
      <c r="H939" s="180">
        <f ca="1">COUNTIFS(Paste_Report_Here!$E$1:$E$2000,E920, OFFSET(Paste_Report_Here!$A$1,0,$A939,2000,1),H$75)</f>
        <v>21</v>
      </c>
      <c r="I939" s="180">
        <f ca="1">COUNTIFS(Paste_Report_Here!$E$1:$E$2000,E920, OFFSET(Paste_Report_Here!$A$1,0,$A939,2000,1),I$75)</f>
        <v>6</v>
      </c>
      <c r="J939" s="180">
        <f ca="1">COUNTIFS(Paste_Report_Here!$E$1:$E$2000,E920, OFFSET(Paste_Report_Here!$A$1,0,$A939,2000,1),J$75)</f>
        <v>1</v>
      </c>
      <c r="K939" s="181">
        <f ca="1">COUNTIFS(Paste_Report_Here!$E$1:$E$2000,E920, OFFSET(Paste_Report_Here!$A$1,0,$A939,2000,1),K$75)</f>
        <v>0</v>
      </c>
      <c r="L939" s="166">
        <f t="shared" ca="1" si="140"/>
        <v>30</v>
      </c>
      <c r="M939" s="183">
        <f ca="1">SUMPRODUCT(F939:K939,F924:K924)/L:L</f>
        <v>0</v>
      </c>
      <c r="N939" s="166">
        <f t="shared" ca="1" si="141"/>
        <v>1</v>
      </c>
      <c r="O939" s="165">
        <f t="shared" ca="1" si="143"/>
        <v>3829.0710277809744</v>
      </c>
      <c r="P939" s="165">
        <f t="shared" ca="1" si="142"/>
        <v>3829.0710277809744</v>
      </c>
    </row>
    <row r="940" spans="1:16" s="165" customFormat="1" x14ac:dyDescent="0.3">
      <c r="A940" s="165">
        <f>MATCH(Calcs!B940,Paste_Report_Here!$1:$1,0) -1</f>
        <v>19</v>
      </c>
      <c r="B940" s="165" t="s">
        <v>137</v>
      </c>
      <c r="C940" s="166">
        <f ca="1">RANK(N940,N929:N953)</f>
        <v>12</v>
      </c>
      <c r="D940" s="166">
        <f ca="1">RANK(P940,P926:P950)</f>
        <v>15</v>
      </c>
      <c r="E940" s="189" t="s">
        <v>166</v>
      </c>
      <c r="F940" s="179">
        <f ca="1">COUNTIFS(Paste_Report_Here!$E$1:$E$2000,E920, OFFSET(Paste_Report_Here!$A$1,0,$A940,2000,1),F$75)</f>
        <v>1</v>
      </c>
      <c r="G940" s="180">
        <f ca="1">COUNTIFS(Paste_Report_Here!$E$1:$E$2000,E920, OFFSET(Paste_Report_Here!$A$1,0,$A940,2000,1),G$75)</f>
        <v>1</v>
      </c>
      <c r="H940" s="180">
        <f ca="1">COUNTIFS(Paste_Report_Here!$E$1:$E$2000,E920, OFFSET(Paste_Report_Here!$A$1,0,$A940,2000,1),H$75)</f>
        <v>23</v>
      </c>
      <c r="I940" s="180">
        <f ca="1">COUNTIFS(Paste_Report_Here!$E$1:$E$2000,E920, OFFSET(Paste_Report_Here!$A$1,0,$A940,2000,1),I$75)</f>
        <v>5</v>
      </c>
      <c r="J940" s="180">
        <f ca="1">COUNTIFS(Paste_Report_Here!$E$1:$E$2000,E920, OFFSET(Paste_Report_Here!$A$1,0,$A940,2000,1),J$75)</f>
        <v>0</v>
      </c>
      <c r="K940" s="181">
        <f ca="1">COUNTIFS(Paste_Report_Here!$E$1:$E$2000,E920, OFFSET(Paste_Report_Here!$A$1,0,$A940,2000,1),K$75)</f>
        <v>0</v>
      </c>
      <c r="L940" s="166">
        <f t="shared" ca="1" si="140"/>
        <v>30</v>
      </c>
      <c r="M940" s="183">
        <f ca="1">SUMPRODUCT(F940:K940,F924:K924)/L:L</f>
        <v>-6.6666666666666671E-3</v>
      </c>
      <c r="N940" s="166">
        <f t="shared" ca="1" si="141"/>
        <v>0.99335550625503444</v>
      </c>
      <c r="O940" s="165">
        <f t="shared" ca="1" si="143"/>
        <v>2149.7563399009096</v>
      </c>
      <c r="P940" s="165">
        <f t="shared" ca="1" si="142"/>
        <v>2135.4722973472381</v>
      </c>
    </row>
    <row r="941" spans="1:16" s="165" customFormat="1" x14ac:dyDescent="0.3">
      <c r="A941" s="165">
        <f>MATCH(Calcs!B941,Paste_Report_Here!$1:$1,0) -1</f>
        <v>20</v>
      </c>
      <c r="B941" s="165" t="s">
        <v>138</v>
      </c>
      <c r="C941" s="166">
        <f ca="1">RANK(N941,N927:N951)</f>
        <v>2</v>
      </c>
      <c r="D941" s="166">
        <f ca="1">RANK(P941,P926:P950)</f>
        <v>19</v>
      </c>
      <c r="E941" s="189" t="s">
        <v>167</v>
      </c>
      <c r="F941" s="179">
        <f ca="1">COUNTIFS(Paste_Report_Here!$E$1:$E$2000,E920, OFFSET(Paste_Report_Here!$A$1,0,$A941,2000,1),F$75)</f>
        <v>1</v>
      </c>
      <c r="G941" s="180">
        <f ca="1">COUNTIFS(Paste_Report_Here!$E$1:$E$2000,E920, OFFSET(Paste_Report_Here!$A$1,0,$A941,2000,1),G$75)</f>
        <v>2</v>
      </c>
      <c r="H941" s="180">
        <f ca="1">COUNTIFS(Paste_Report_Here!$E$1:$E$2000,E920, OFFSET(Paste_Report_Here!$A$1,0,$A941,2000,1),H$75)</f>
        <v>25</v>
      </c>
      <c r="I941" s="180">
        <f ca="1">COUNTIFS(Paste_Report_Here!$E$1:$E$2000,E920, OFFSET(Paste_Report_Here!$A$1,0,$A941,2000,1),I$75)</f>
        <v>1</v>
      </c>
      <c r="J941" s="180">
        <f ca="1">COUNTIFS(Paste_Report_Here!$E$1:$E$2000,E920, OFFSET(Paste_Report_Here!$A$1,0,$A941,2000,1),J$75)</f>
        <v>1</v>
      </c>
      <c r="K941" s="181">
        <f ca="1">COUNTIFS(Paste_Report_Here!$E$1:$E$2000,E920, OFFSET(Paste_Report_Here!$A$1,0,$A941,2000,1),K$75)</f>
        <v>0</v>
      </c>
      <c r="L941" s="166">
        <f t="shared" ca="1" si="140"/>
        <v>30</v>
      </c>
      <c r="M941" s="183">
        <f ca="1">SUMPRODUCT(F941:K941,F924:K924)/L:L</f>
        <v>0</v>
      </c>
      <c r="N941" s="166">
        <f t="shared" ca="1" si="141"/>
        <v>1</v>
      </c>
      <c r="O941" s="165">
        <f t="shared" ca="1" si="143"/>
        <v>2020.627608521427</v>
      </c>
      <c r="P941" s="165">
        <f t="shared" ca="1" si="142"/>
        <v>2020.627608521427</v>
      </c>
    </row>
    <row r="942" spans="1:16" s="165" customFormat="1" x14ac:dyDescent="0.3">
      <c r="A942" s="165">
        <f>MATCH(Calcs!B942,Paste_Report_Here!$1:$1,0) -1</f>
        <v>21</v>
      </c>
      <c r="B942" s="165" t="s">
        <v>139</v>
      </c>
      <c r="C942" s="166">
        <f ca="1">RANK(N942,N926:N950)</f>
        <v>22</v>
      </c>
      <c r="D942" s="166">
        <f ca="1">RANK(P942,P926:P950)</f>
        <v>18</v>
      </c>
      <c r="E942" s="189" t="s">
        <v>168</v>
      </c>
      <c r="F942" s="179">
        <f ca="1">COUNTIFS(Paste_Report_Here!$E$1:$E$2000,E920, OFFSET(Paste_Report_Here!$A$1,0,$A942,2000,1),F$75)</f>
        <v>2</v>
      </c>
      <c r="G942" s="180">
        <f ca="1">COUNTIFS(Paste_Report_Here!$E$1:$E$2000,E920, OFFSET(Paste_Report_Here!$A$1,0,$A942,2000,1),G$75)</f>
        <v>2</v>
      </c>
      <c r="H942" s="180">
        <f ca="1">COUNTIFS(Paste_Report_Here!$E$1:$E$2000,E920, OFFSET(Paste_Report_Here!$A$1,0,$A942,2000,1),H$75)</f>
        <v>23</v>
      </c>
      <c r="I942" s="180">
        <f ca="1">COUNTIFS(Paste_Report_Here!$E$1:$E$2000,E920, OFFSET(Paste_Report_Here!$A$1,0,$A942,2000,1),I$75)</f>
        <v>3</v>
      </c>
      <c r="J942" s="180">
        <f ca="1">COUNTIFS(Paste_Report_Here!$E$1:$E$2000,E920, OFFSET(Paste_Report_Here!$A$1,0,$A942,2000,1),J$75)</f>
        <v>0</v>
      </c>
      <c r="K942" s="181">
        <f ca="1">COUNTIFS(Paste_Report_Here!$E$1:$E$2000,E920, OFFSET(Paste_Report_Here!$A$1,0,$A942,2000,1),K$75)</f>
        <v>0</v>
      </c>
      <c r="L942" s="166">
        <f t="shared" ca="1" si="140"/>
        <v>30</v>
      </c>
      <c r="M942" s="183">
        <f ca="1">SUMPRODUCT(F942:K942,F924:K924)/L:L</f>
        <v>-1.3333333333333334E-2</v>
      </c>
      <c r="N942" s="166">
        <f t="shared" ca="1" si="141"/>
        <v>0.98675516180719569</v>
      </c>
      <c r="O942" s="165">
        <f t="shared" ca="1" si="143"/>
        <v>2103.1752778710143</v>
      </c>
      <c r="P942" s="165">
        <f t="shared" ca="1" si="142"/>
        <v>2075.3190616245065</v>
      </c>
    </row>
    <row r="943" spans="1:16" s="165" customFormat="1" x14ac:dyDescent="0.3">
      <c r="A943" s="165">
        <f>MATCH(Calcs!B943,Paste_Report_Here!$1:$1,0) -1</f>
        <v>22</v>
      </c>
      <c r="B943" s="165" t="s">
        <v>140</v>
      </c>
      <c r="C943" s="166">
        <f ca="1">RANK(N943,N926:N950)</f>
        <v>22</v>
      </c>
      <c r="D943" s="166">
        <f ca="1">RANK(P943,P926:P950)</f>
        <v>16</v>
      </c>
      <c r="E943" s="189" t="s">
        <v>169</v>
      </c>
      <c r="F943" s="179">
        <f ca="1">COUNTIFS(Paste_Report_Here!$E$1:$E$2000,E920, OFFSET(Paste_Report_Here!$A$1,0,$A943,2000,1),F$75)</f>
        <v>2</v>
      </c>
      <c r="G943" s="180">
        <f ca="1">COUNTIFS(Paste_Report_Here!$E$1:$E$2000,E920, OFFSET(Paste_Report_Here!$A$1,0,$A943,2000,1),G$75)</f>
        <v>0</v>
      </c>
      <c r="H943" s="180">
        <f ca="1">COUNTIFS(Paste_Report_Here!$E$1:$E$2000,E920, OFFSET(Paste_Report_Here!$A$1,0,$A943,2000,1),H$75)</f>
        <v>20</v>
      </c>
      <c r="I943" s="180">
        <f ca="1">COUNTIFS(Paste_Report_Here!$E$1:$E$2000,E920, OFFSET(Paste_Report_Here!$A$1,0,$A943,2000,1),I$75)</f>
        <v>8</v>
      </c>
      <c r="J943" s="180">
        <f ca="1">COUNTIFS(Paste_Report_Here!$E$1:$E$2000,E920, OFFSET(Paste_Report_Here!$A$1,0,$A943,2000,1),J$75)</f>
        <v>0</v>
      </c>
      <c r="K943" s="181">
        <f ca="1">COUNTIFS(Paste_Report_Here!$E$1:$E$2000,E920, OFFSET(Paste_Report_Here!$A$1,0,$A943,2000,1),K$75)</f>
        <v>0</v>
      </c>
      <c r="L943" s="166">
        <f t="shared" ca="1" si="140"/>
        <v>30</v>
      </c>
      <c r="M943" s="183">
        <f ca="1">SUMPRODUCT(F943:K943,F924:K924)/L:L</f>
        <v>-1.3333333333333334E-2</v>
      </c>
      <c r="N943" s="166">
        <f t="shared" ca="1" si="141"/>
        <v>0.98675516180719569</v>
      </c>
      <c r="O943" s="165">
        <f t="shared" ca="1" si="143"/>
        <v>2129.3151213197002</v>
      </c>
      <c r="P943" s="165">
        <f t="shared" ca="1" si="142"/>
        <v>2101.1126870763292</v>
      </c>
    </row>
    <row r="944" spans="1:16" s="165" customFormat="1" x14ac:dyDescent="0.3">
      <c r="A944" s="165">
        <f>MATCH(Calcs!B944,Paste_Report_Here!$1:$1,0) -1</f>
        <v>23</v>
      </c>
      <c r="B944" s="165" t="s">
        <v>186</v>
      </c>
      <c r="C944" s="166">
        <f ca="1">RANK(N944,N926:N950)</f>
        <v>22</v>
      </c>
      <c r="D944" s="166">
        <f ca="1">RANK(P944,P926:P950)</f>
        <v>3</v>
      </c>
      <c r="E944" s="189" t="s">
        <v>180</v>
      </c>
      <c r="F944" s="179">
        <f ca="1">COUNTIFS(Paste_Report_Here!$E$1:$E$2000,E920, OFFSET(Paste_Report_Here!$A$1,0,$A944,2000,1),F$75)</f>
        <v>2</v>
      </c>
      <c r="G944" s="180">
        <f ca="1">COUNTIFS(Paste_Report_Here!$E$1:$E$2000,E920, OFFSET(Paste_Report_Here!$A$1,0,$A944,2000,1),G$75)</f>
        <v>0</v>
      </c>
      <c r="H944" s="180">
        <f ca="1">COUNTIFS(Paste_Report_Here!$E$1:$E$2000,E920, OFFSET(Paste_Report_Here!$A$1,0,$A944,2000,1),H$75)</f>
        <v>22</v>
      </c>
      <c r="I944" s="180">
        <f ca="1">COUNTIFS(Paste_Report_Here!$E$1:$E$2000,E920, OFFSET(Paste_Report_Here!$A$1,0,$A944,2000,1),I$75)</f>
        <v>6</v>
      </c>
      <c r="J944" s="180">
        <f ca="1">COUNTIFS(Paste_Report_Here!$E$1:$E$2000,E920, OFFSET(Paste_Report_Here!$A$1,0,$A944,2000,1),J$75)</f>
        <v>0</v>
      </c>
      <c r="K944" s="181">
        <f ca="1">COUNTIFS(Paste_Report_Here!$E$1:$E$2000,E920, OFFSET(Paste_Report_Here!$A$1,0,$A944,2000,1),K$75)</f>
        <v>0</v>
      </c>
      <c r="L944" s="166">
        <f t="shared" ca="1" si="140"/>
        <v>30</v>
      </c>
      <c r="M944" s="183">
        <f ca="1">SUMPRODUCT(F944:K944,F924:K924)/L:L</f>
        <v>-1.3333333333333334E-2</v>
      </c>
      <c r="N944" s="166">
        <f t="shared" ca="1" si="141"/>
        <v>0.98675516180719569</v>
      </c>
      <c r="O944" s="165">
        <f t="shared" ca="1" si="143"/>
        <v>4008.9595670549529</v>
      </c>
      <c r="P944" s="165">
        <f t="shared" ca="1" si="142"/>
        <v>3955.8615462678154</v>
      </c>
    </row>
    <row r="945" spans="1:16" s="165" customFormat="1" x14ac:dyDescent="0.3">
      <c r="A945" s="165">
        <f>MATCH(Calcs!B945,Paste_Report_Here!$1:$1,0) -1</f>
        <v>24</v>
      </c>
      <c r="B945" s="165" t="s">
        <v>209</v>
      </c>
      <c r="C945" s="166">
        <f ca="1">RANK(N945,N926:N950)</f>
        <v>25</v>
      </c>
      <c r="D945" s="166">
        <f ca="1">RANK(P945,P926:P950)</f>
        <v>23</v>
      </c>
      <c r="E945" s="202" t="s">
        <v>211</v>
      </c>
      <c r="F945" s="179">
        <f ca="1">COUNTIFS(Paste_Report_Here!$E$1:$E$2000,E920, OFFSET(Paste_Report_Here!$A$1,0,$A945,2000,1),F$75)</f>
        <v>3</v>
      </c>
      <c r="G945" s="180">
        <f ca="1">COUNTIFS(Paste_Report_Here!$E$1:$E$2000,E920, OFFSET(Paste_Report_Here!$A$1,0,$A945,2000,1),G$75)</f>
        <v>0</v>
      </c>
      <c r="H945" s="180">
        <f ca="1">COUNTIFS(Paste_Report_Here!$E$1:$E$2000,E920, OFFSET(Paste_Report_Here!$A$1,0,$A945,2000,1),H$75)</f>
        <v>21</v>
      </c>
      <c r="I945" s="180">
        <f ca="1">COUNTIFS(Paste_Report_Here!$E$1:$E$2000,E920, OFFSET(Paste_Report_Here!$A$1,0,$A945,2000,1),I$75)</f>
        <v>5</v>
      </c>
      <c r="J945" s="180">
        <f ca="1">COUNTIFS(Paste_Report_Here!$E$1:$E$2000,E920, OFFSET(Paste_Report_Here!$A$1,0,$A945,2000,1),J$75)</f>
        <v>0</v>
      </c>
      <c r="K945" s="181">
        <f ca="1">COUNTIFS(Paste_Report_Here!$E$1:$E$2000,E920, OFFSET(Paste_Report_Here!$A$1,0,$A945,2000,1),K$75)</f>
        <v>1</v>
      </c>
      <c r="L945" s="166">
        <f t="shared" ca="1" si="140"/>
        <v>30</v>
      </c>
      <c r="M945" s="183">
        <f ca="1">SUMPRODUCT(F945:K945,F924:K924)/L:L</f>
        <v>-2.0000000000000004E-2</v>
      </c>
      <c r="N945" s="166">
        <f t="shared" ca="1" si="141"/>
        <v>0.98019867330675525</v>
      </c>
      <c r="O945" s="165">
        <f t="shared" ca="1" si="143"/>
        <v>1250.3080023531768</v>
      </c>
      <c r="P945" s="165">
        <f t="shared" ca="1" si="142"/>
        <v>1225.5502451314032</v>
      </c>
    </row>
    <row r="946" spans="1:16" s="165" customFormat="1" x14ac:dyDescent="0.3">
      <c r="A946" s="165">
        <f>MATCH(Calcs!B946,Paste_Report_Here!$1:$1,0) -1</f>
        <v>25</v>
      </c>
      <c r="B946" s="165" t="s">
        <v>141</v>
      </c>
      <c r="C946" s="166">
        <f ca="1">RANK(N946,N926:N950)</f>
        <v>2</v>
      </c>
      <c r="D946" s="166">
        <f ca="1">RANK(P946,P926:P950)</f>
        <v>22</v>
      </c>
      <c r="E946" s="189" t="s">
        <v>170</v>
      </c>
      <c r="F946" s="179">
        <f ca="1">COUNTIFS(Paste_Report_Here!$E$1:$E$2000,E920, OFFSET(Paste_Report_Here!$A$1,0,$A946,2000,1),F$75)</f>
        <v>0</v>
      </c>
      <c r="G946" s="180">
        <f ca="1">COUNTIFS(Paste_Report_Here!$E$1:$E$2000,E920, OFFSET(Paste_Report_Here!$A$1,0,$A946,2000,1),G$75)</f>
        <v>3</v>
      </c>
      <c r="H946" s="180">
        <f ca="1">COUNTIFS(Paste_Report_Here!$E$1:$E$2000,E920, OFFSET(Paste_Report_Here!$A$1,0,$A946,2000,1),H$75)</f>
        <v>24</v>
      </c>
      <c r="I946" s="180">
        <f ca="1">COUNTIFS(Paste_Report_Here!$E$1:$E$2000,E920, OFFSET(Paste_Report_Here!$A$1,0,$A946,2000,1),I$75)</f>
        <v>3</v>
      </c>
      <c r="J946" s="180">
        <f ca="1">COUNTIFS(Paste_Report_Here!$E$1:$E$2000,E920, OFFSET(Paste_Report_Here!$A$1,0,$A946,2000,1),J$75)</f>
        <v>0</v>
      </c>
      <c r="K946" s="181">
        <f ca="1">COUNTIFS(Paste_Report_Here!$E$1:$E$2000,E920, OFFSET(Paste_Report_Here!$A$1,0,$A946,2000,1),K$75)</f>
        <v>0</v>
      </c>
      <c r="L946" s="166">
        <f t="shared" ca="1" si="140"/>
        <v>30</v>
      </c>
      <c r="M946" s="183">
        <f ca="1">SUMPRODUCT(F946:K946,F924:K924)/L:L</f>
        <v>0</v>
      </c>
      <c r="N946" s="166">
        <f t="shared" ca="1" si="141"/>
        <v>1</v>
      </c>
      <c r="O946" s="165">
        <f t="shared" ca="1" si="143"/>
        <v>1387.9093662722044</v>
      </c>
      <c r="P946" s="165">
        <f t="shared" ca="1" si="142"/>
        <v>1387.9093662722044</v>
      </c>
    </row>
    <row r="947" spans="1:16" s="165" customFormat="1" x14ac:dyDescent="0.3">
      <c r="A947" s="165">
        <f>MATCH(Calcs!B947,Paste_Report_Here!$1:$1,0) -1</f>
        <v>26</v>
      </c>
      <c r="B947" s="165" t="s">
        <v>142</v>
      </c>
      <c r="C947" s="166">
        <f ca="1">RANK(N947,N926:N950)</f>
        <v>2</v>
      </c>
      <c r="D947" s="166">
        <f ca="1">RANK(P947,P926:P950)</f>
        <v>11</v>
      </c>
      <c r="E947" s="189" t="s">
        <v>171</v>
      </c>
      <c r="F947" s="179">
        <f ca="1">COUNTIFS(Paste_Report_Here!$E$1:$E$2000,E920, OFFSET(Paste_Report_Here!$A$1,0,$A947,2000,1),F$75)</f>
        <v>0</v>
      </c>
      <c r="G947" s="180">
        <f ca="1">COUNTIFS(Paste_Report_Here!$E$1:$E$2000,E920, OFFSET(Paste_Report_Here!$A$1,0,$A947,2000,1),G$75)</f>
        <v>1</v>
      </c>
      <c r="H947" s="180">
        <f ca="1">COUNTIFS(Paste_Report_Here!$E$1:$E$2000,E920, OFFSET(Paste_Report_Here!$A$1,0,$A947,2000,1),H$75)</f>
        <v>27</v>
      </c>
      <c r="I947" s="180">
        <f ca="1">COUNTIFS(Paste_Report_Here!$E$1:$E$2000,E920, OFFSET(Paste_Report_Here!$A$1,0,$A947,2000,1),I$75)</f>
        <v>2</v>
      </c>
      <c r="J947" s="180">
        <f ca="1">COUNTIFS(Paste_Report_Here!$E$1:$E$2000,E920, OFFSET(Paste_Report_Here!$A$1,0,$A947,2000,1),J$75)</f>
        <v>0</v>
      </c>
      <c r="K947" s="181">
        <f ca="1">COUNTIFS(Paste_Report_Here!$E$1:$E$2000,E920, OFFSET(Paste_Report_Here!$A$1,0,$A947,2000,1),K$75)</f>
        <v>0</v>
      </c>
      <c r="L947" s="166">
        <f t="shared" ca="1" si="140"/>
        <v>30</v>
      </c>
      <c r="M947" s="183">
        <f ca="1">SUMPRODUCT(F947:K947,F924:K924)/L:L</f>
        <v>0</v>
      </c>
      <c r="N947" s="166">
        <f t="shared" ca="1" si="141"/>
        <v>1</v>
      </c>
      <c r="O947" s="165">
        <f t="shared" ca="1" si="143"/>
        <v>2290.123079681935</v>
      </c>
      <c r="P947" s="165">
        <f t="shared" ca="1" si="142"/>
        <v>2290.123079681935</v>
      </c>
    </row>
    <row r="948" spans="1:16" s="165" customFormat="1" x14ac:dyDescent="0.3">
      <c r="A948" s="165">
        <f>MATCH(Calcs!B948,Paste_Report_Here!$1:$1,0) -1</f>
        <v>27</v>
      </c>
      <c r="B948" s="165" t="s">
        <v>210</v>
      </c>
      <c r="C948" s="166">
        <f ca="1">RANK(N948,N926:N950)</f>
        <v>2</v>
      </c>
      <c r="D948" s="166">
        <f ca="1">RANK(P948,P926:P950)</f>
        <v>25</v>
      </c>
      <c r="E948" s="202" t="s">
        <v>212</v>
      </c>
      <c r="F948" s="179">
        <f ca="1">COUNTIFS(Paste_Report_Here!$E$1:$E$2000,E920, OFFSET(Paste_Report_Here!$A$1,0,$A948,2000,1),F$75)</f>
        <v>0</v>
      </c>
      <c r="G948" s="180">
        <f ca="1">COUNTIFS(Paste_Report_Here!$E$1:$E$2000,E920, OFFSET(Paste_Report_Here!$A$1,0,$A948,2000,1),G$75)</f>
        <v>1</v>
      </c>
      <c r="H948" s="180">
        <f ca="1">COUNTIFS(Paste_Report_Here!$E$1:$E$2000,E920, OFFSET(Paste_Report_Here!$A$1,0,$A948,2000,1),H$75)</f>
        <v>26</v>
      </c>
      <c r="I948" s="180">
        <f ca="1">COUNTIFS(Paste_Report_Here!$E$1:$E$2000,E920, OFFSET(Paste_Report_Here!$A$1,0,$A948,2000,1),I$75)</f>
        <v>3</v>
      </c>
      <c r="J948" s="180">
        <f ca="1">COUNTIFS(Paste_Report_Here!$E$1:$E$2000,E920, OFFSET(Paste_Report_Here!$A$1,0,$A948,2000,1),J$75)</f>
        <v>0</v>
      </c>
      <c r="K948" s="181">
        <f ca="1">COUNTIFS(Paste_Report_Here!$E$1:$E$2000,E920, OFFSET(Paste_Report_Here!$A$1,0,$A948,2000,1),K$75)</f>
        <v>0</v>
      </c>
      <c r="L948" s="166">
        <f t="shared" ca="1" si="140"/>
        <v>30</v>
      </c>
      <c r="M948" s="183">
        <f ca="1">SUMPRODUCT(F948:K948,F924:K924)/L:L</f>
        <v>0</v>
      </c>
      <c r="N948" s="166">
        <f t="shared" ca="1" si="141"/>
        <v>1</v>
      </c>
      <c r="O948" s="165">
        <f t="shared" ca="1" si="143"/>
        <v>1152.660544727275</v>
      </c>
      <c r="P948" s="165">
        <f t="shared" ca="1" si="142"/>
        <v>1152.660544727275</v>
      </c>
    </row>
    <row r="949" spans="1:16" s="165" customFormat="1" x14ac:dyDescent="0.3">
      <c r="A949" s="165">
        <f>MATCH(Calcs!B949,Paste_Report_Here!$1:$1,0) -1</f>
        <v>28</v>
      </c>
      <c r="B949" s="165" t="s">
        <v>143</v>
      </c>
      <c r="C949" s="166">
        <f ca="1">RANK(N949,N927:N951)</f>
        <v>2</v>
      </c>
      <c r="D949" s="166">
        <f ca="1">RANK(P949,P926:P950)</f>
        <v>1</v>
      </c>
      <c r="E949" s="189" t="s">
        <v>172</v>
      </c>
      <c r="F949" s="179">
        <f ca="1">COUNTIFS(Paste_Report_Here!$E$1:$E$2000,E920, OFFSET(Paste_Report_Here!$A$1,0,$A949,2000,1),F$75)</f>
        <v>0</v>
      </c>
      <c r="G949" s="180">
        <f ca="1">COUNTIFS(Paste_Report_Here!$E$1:$E$2000,E920, OFFSET(Paste_Report_Here!$A$1,0,$A949,2000,1),G$75)</f>
        <v>1</v>
      </c>
      <c r="H949" s="180">
        <f ca="1">COUNTIFS(Paste_Report_Here!$E$1:$E$2000,E920, OFFSET(Paste_Report_Here!$A$1,0,$A949,2000,1),H$75)</f>
        <v>27</v>
      </c>
      <c r="I949" s="180">
        <f ca="1">COUNTIFS(Paste_Report_Here!$E$1:$E$2000,E920, OFFSET(Paste_Report_Here!$A$1,0,$A949,2000,1),I$75)</f>
        <v>2</v>
      </c>
      <c r="J949" s="180">
        <f ca="1">COUNTIFS(Paste_Report_Here!$E$1:$E$2000,E920, OFFSET(Paste_Report_Here!$A$1,0,$A949,2000,1),J$75)</f>
        <v>0</v>
      </c>
      <c r="K949" s="181">
        <f ca="1">COUNTIFS(Paste_Report_Here!$E$1:$E$2000,E920, OFFSET(Paste_Report_Here!$A$1,0,$A949,2000,1),K$75)</f>
        <v>0</v>
      </c>
      <c r="L949" s="166">
        <f t="shared" ca="1" si="140"/>
        <v>30</v>
      </c>
      <c r="M949" s="183">
        <f ca="1">SUMPRODUCT(F949:K949,F924:K924)/L:L</f>
        <v>0</v>
      </c>
      <c r="N949" s="166">
        <f t="shared" ca="1" si="141"/>
        <v>1</v>
      </c>
      <c r="O949" s="165">
        <f t="shared" ca="1" si="143"/>
        <v>8236.0825600631542</v>
      </c>
      <c r="P949" s="165">
        <f t="shared" ca="1" si="142"/>
        <v>8236.0825600631542</v>
      </c>
    </row>
    <row r="950" spans="1:16" s="165" customFormat="1" x14ac:dyDescent="0.3">
      <c r="A950" s="165">
        <f>MATCH(Calcs!B950,Paste_Report_Here!$1:$1,0) -1</f>
        <v>29</v>
      </c>
      <c r="B950" s="187" t="s">
        <v>144</v>
      </c>
      <c r="C950" s="147">
        <f ca="1">RANK(N950,N926:N950)</f>
        <v>13</v>
      </c>
      <c r="D950" s="147">
        <f ca="1">RANK(P950,P926:P950)</f>
        <v>12</v>
      </c>
      <c r="E950" s="145" t="s">
        <v>173</v>
      </c>
      <c r="F950" s="146">
        <f ca="1">COUNTIFS(Paste_Report_Here!$E$1:$E$2000,E920, OFFSET(Paste_Report_Here!$A$1,0,$A950,2000,1),F$75)</f>
        <v>1</v>
      </c>
      <c r="G950" s="147">
        <f ca="1">COUNTIFS(Paste_Report_Here!$E$1:$E$2000,E920, OFFSET(Paste_Report_Here!$A$1,0,$A950,2000,1),G$75)</f>
        <v>0</v>
      </c>
      <c r="H950" s="147">
        <f ca="1">COUNTIFS(Paste_Report_Here!$E$1:$E$2000,E920, OFFSET(Paste_Report_Here!$A$1,0,$A950,2000,1),H$75)</f>
        <v>28</v>
      </c>
      <c r="I950" s="147">
        <f ca="1">COUNTIFS(Paste_Report_Here!$E$1:$E$2000,E920, OFFSET(Paste_Report_Here!$A$1,0,$A950,2000,1),I$75)</f>
        <v>1</v>
      </c>
      <c r="J950" s="147">
        <f ca="1">COUNTIFS(Paste_Report_Here!$E$1:$E$2000,E920, OFFSET(Paste_Report_Here!$A$1,0,$A950,2000,1),J$75)</f>
        <v>0</v>
      </c>
      <c r="K950" s="148">
        <f ca="1">COUNTIFS(Paste_Report_Here!$E$1:$E$2000,E920, OFFSET(Paste_Report_Here!$A$1,0,$A950,2000,1),K$75)</f>
        <v>0</v>
      </c>
      <c r="L950" s="147">
        <f t="shared" ca="1" si="140"/>
        <v>30</v>
      </c>
      <c r="M950" s="149">
        <f ca="1">SUMPRODUCT(F950:K950,F924:K924)/L:L</f>
        <v>-6.6666666666666671E-3</v>
      </c>
      <c r="N950" s="147">
        <f t="shared" ca="1" si="141"/>
        <v>0.99335550625503444</v>
      </c>
      <c r="O950" s="187">
        <f t="shared" ca="1" si="143"/>
        <v>2302.4294971585832</v>
      </c>
      <c r="P950" s="165">
        <f t="shared" ca="1" si="142"/>
        <v>2287.131018766489</v>
      </c>
    </row>
    <row r="951" spans="1:16" s="165" customFormat="1" x14ac:dyDescent="0.3">
      <c r="C951" s="166"/>
      <c r="E951" s="140" t="s">
        <v>293</v>
      </c>
      <c r="F951" s="180">
        <f ca="1">SUM(F926:F950)</f>
        <v>23</v>
      </c>
      <c r="G951" s="180">
        <f t="shared" ref="G951:L951" ca="1" si="144">SUM(G926:G950)</f>
        <v>34</v>
      </c>
      <c r="H951" s="180">
        <f t="shared" ca="1" si="144"/>
        <v>586</v>
      </c>
      <c r="I951" s="180">
        <f t="shared" ca="1" si="144"/>
        <v>100</v>
      </c>
      <c r="J951" s="180">
        <f t="shared" ca="1" si="144"/>
        <v>6</v>
      </c>
      <c r="K951" s="180">
        <f t="shared" ca="1" si="144"/>
        <v>1</v>
      </c>
      <c r="L951" s="180">
        <f t="shared" ca="1" si="144"/>
        <v>750</v>
      </c>
      <c r="M951" s="144">
        <f ca="1">SUMPRODUCT(F951:K951,F924:K924)/L951</f>
        <v>-4.5333333333333337E-3</v>
      </c>
      <c r="N951" s="166">
        <f t="shared" ca="1" si="141"/>
        <v>0.99547692671229793</v>
      </c>
      <c r="O951" s="165">
        <f t="shared" ca="1" si="143"/>
        <v>2688.973392096957</v>
      </c>
      <c r="P951" s="165">
        <f t="shared" ca="1" si="142"/>
        <v>2676.8109683758216</v>
      </c>
    </row>
    <row r="952" spans="1:16" s="165" customFormat="1" x14ac:dyDescent="0.3">
      <c r="A952" s="194"/>
      <c r="B952" s="194"/>
      <c r="C952" s="153"/>
      <c r="D952" s="194"/>
      <c r="E952" s="164"/>
      <c r="F952" s="151"/>
      <c r="G952" s="151"/>
      <c r="H952" s="151"/>
      <c r="I952" s="151"/>
      <c r="J952" s="151"/>
      <c r="K952" s="151"/>
      <c r="L952" s="151"/>
      <c r="M952" s="162"/>
      <c r="N952" s="153"/>
      <c r="O952" s="194"/>
      <c r="P952" s="194"/>
    </row>
    <row r="953" spans="1:16" s="165" customFormat="1" x14ac:dyDescent="0.3">
      <c r="E953" s="173" t="s">
        <v>292</v>
      </c>
    </row>
    <row r="954" spans="1:16" s="165" customFormat="1" x14ac:dyDescent="0.3">
      <c r="E954" s="141">
        <v>41393</v>
      </c>
    </row>
    <row r="955" spans="1:16" s="165" customFormat="1" ht="15" thickBot="1" x14ac:dyDescent="0.35"/>
    <row r="956" spans="1:16" s="165" customFormat="1" ht="24.6" thickBot="1" x14ac:dyDescent="0.35">
      <c r="F956" s="174" t="s">
        <v>23</v>
      </c>
      <c r="G956" s="168" t="s">
        <v>18</v>
      </c>
      <c r="H956" s="168" t="s">
        <v>16</v>
      </c>
      <c r="I956" s="168" t="s">
        <v>17</v>
      </c>
      <c r="J956" s="168" t="s">
        <v>19</v>
      </c>
      <c r="K956" s="169" t="s">
        <v>114</v>
      </c>
    </row>
    <row r="957" spans="1:16" s="165" customFormat="1" x14ac:dyDescent="0.3">
      <c r="F957" s="267" t="s">
        <v>201</v>
      </c>
      <c r="G957" s="268"/>
      <c r="H957" s="268"/>
      <c r="I957" s="268"/>
      <c r="J957" s="268"/>
      <c r="K957" s="169"/>
      <c r="M957" s="203">
        <f ca="1">(H985+K985)/L985</f>
        <v>0.76645161290322583</v>
      </c>
      <c r="N957" s="204" t="s">
        <v>501</v>
      </c>
    </row>
    <row r="958" spans="1:16" s="165" customFormat="1" ht="43.8" thickBot="1" x14ac:dyDescent="0.35">
      <c r="A958" s="142" t="s">
        <v>294</v>
      </c>
      <c r="B958" s="142" t="s">
        <v>295</v>
      </c>
      <c r="C958" s="197" t="s">
        <v>440</v>
      </c>
      <c r="D958" s="142" t="s">
        <v>441</v>
      </c>
      <c r="E958" s="171" t="s">
        <v>30</v>
      </c>
      <c r="F958" s="175">
        <f>Falling_fast</f>
        <v>-0.2</v>
      </c>
      <c r="G958" s="176">
        <f>Falling</f>
        <v>0</v>
      </c>
      <c r="H958" s="177">
        <f>Static</f>
        <v>0</v>
      </c>
      <c r="I958" s="176">
        <f>Rising</f>
        <v>0</v>
      </c>
      <c r="J958" s="178">
        <f>Rising_fast</f>
        <v>0.2</v>
      </c>
      <c r="K958" s="182">
        <v>0</v>
      </c>
      <c r="L958" s="171" t="s">
        <v>28</v>
      </c>
      <c r="M958" s="172" t="s">
        <v>29</v>
      </c>
      <c r="N958" s="143" t="s">
        <v>296</v>
      </c>
      <c r="O958" s="142" t="s">
        <v>297</v>
      </c>
      <c r="P958" s="142" t="s">
        <v>298</v>
      </c>
    </row>
    <row r="959" spans="1:16" s="165" customFormat="1" x14ac:dyDescent="0.3">
      <c r="C959" s="166"/>
      <c r="E959" s="192"/>
      <c r="F959" s="198" t="s">
        <v>151</v>
      </c>
      <c r="G959" s="199" t="s">
        <v>149</v>
      </c>
      <c r="H959" s="199" t="s">
        <v>16</v>
      </c>
      <c r="I959" s="199" t="s">
        <v>148</v>
      </c>
      <c r="J959" s="199" t="s">
        <v>150</v>
      </c>
      <c r="K959" s="200" t="s">
        <v>114</v>
      </c>
      <c r="L959" s="166"/>
      <c r="M959" s="170"/>
      <c r="N959" s="166"/>
    </row>
    <row r="960" spans="1:16" s="165" customFormat="1" x14ac:dyDescent="0.3">
      <c r="A960" s="165">
        <f>MATCH(Calcs!B960,Paste_Report_Here!$1:$1,0) -1</f>
        <v>5</v>
      </c>
      <c r="B960" s="165" t="s">
        <v>124</v>
      </c>
      <c r="C960" s="166">
        <f ca="1">RANK(N960,N960:N984)</f>
        <v>23</v>
      </c>
      <c r="D960" s="166">
        <f ca="1">RANK(P960,P960:P984)</f>
        <v>15</v>
      </c>
      <c r="E960" s="189" t="s">
        <v>152</v>
      </c>
      <c r="F960" s="179">
        <f ca="1">COUNTIFS(Paste_Report_Here!$E$1:$E$2000,E954, OFFSET(Paste_Report_Here!$A$1,0,$A960,2000,1),F$75)</f>
        <v>1</v>
      </c>
      <c r="G960" s="180">
        <f ca="1">COUNTIFS(Paste_Report_Here!$E$1:$E$2000,E954, OFFSET(Paste_Report_Here!$A$1,0,$A960,2000,1),G$75)</f>
        <v>1</v>
      </c>
      <c r="H960" s="180">
        <f ca="1">COUNTIFS(Paste_Report_Here!$E$1:$E$2000,E954, OFFSET(Paste_Report_Here!$A$1,0,$A960,2000,1),H$75)</f>
        <v>25</v>
      </c>
      <c r="I960" s="180">
        <f ca="1">COUNTIFS(Paste_Report_Here!$E$1:$E$2000,E954, OFFSET(Paste_Report_Here!$A$1,0,$A960,2000,1),I$75)</f>
        <v>4</v>
      </c>
      <c r="J960" s="180">
        <f ca="1">COUNTIFS(Paste_Report_Here!$E$1:$E$2000,E954, OFFSET(Paste_Report_Here!$A$1,0,$A960,2000,1),J$75)</f>
        <v>0</v>
      </c>
      <c r="K960" s="181">
        <f ca="1">COUNTIFS(Paste_Report_Here!$E$1:$E$2000,E954, OFFSET(Paste_Report_Here!$A$1,0,$A960,2000,1),K$75)</f>
        <v>0</v>
      </c>
      <c r="L960" s="166">
        <f t="shared" ref="L960:L984" ca="1" si="145">SUM(F960:K960)</f>
        <v>31</v>
      </c>
      <c r="M960" s="183">
        <f ca="1">SUMPRODUCT(F960:K960,F958:K958)/L:L</f>
        <v>-6.4516129032258064E-3</v>
      </c>
      <c r="N960" s="166">
        <f t="shared" ref="N960:N985" ca="1" si="146">EXP(M960)</f>
        <v>0.99356915406714885</v>
      </c>
      <c r="O960" s="165">
        <f ca="1">P926</f>
        <v>2149.1193368953559</v>
      </c>
      <c r="P960" s="165">
        <f t="shared" ref="P960:P985" ca="1" si="147">O960*N960</f>
        <v>2135.2986815484705</v>
      </c>
    </row>
    <row r="961" spans="1:16" s="165" customFormat="1" x14ac:dyDescent="0.3">
      <c r="A961" s="165">
        <f>MATCH(Calcs!B961,Paste_Report_Here!$1:$1,0) -1</f>
        <v>6</v>
      </c>
      <c r="B961" s="165" t="s">
        <v>125</v>
      </c>
      <c r="C961" s="166">
        <f ca="1">RANK(N961,N960:N984)</f>
        <v>23</v>
      </c>
      <c r="D961" s="166">
        <f ca="1">RANK(P961,P960:P984)</f>
        <v>13</v>
      </c>
      <c r="E961" s="189" t="s">
        <v>153</v>
      </c>
      <c r="F961" s="179">
        <f ca="1">COUNTIFS(Paste_Report_Here!$E$1:$E$2000,E954, OFFSET(Paste_Report_Here!$A$1,0,$A961,2000,1),F$75)</f>
        <v>1</v>
      </c>
      <c r="G961" s="180">
        <f ca="1">COUNTIFS(Paste_Report_Here!$E$1:$E$2000,E954, OFFSET(Paste_Report_Here!$A$1,0,$A961,2000,1),G$75)</f>
        <v>1</v>
      </c>
      <c r="H961" s="180">
        <f ca="1">COUNTIFS(Paste_Report_Here!$E$1:$E$2000,E954, OFFSET(Paste_Report_Here!$A$1,0,$A961,2000,1),H$75)</f>
        <v>25</v>
      </c>
      <c r="I961" s="180">
        <f ca="1">COUNTIFS(Paste_Report_Here!$E$1:$E$2000,E954, OFFSET(Paste_Report_Here!$A$1,0,$A961,2000,1),I$75)</f>
        <v>3</v>
      </c>
      <c r="J961" s="180">
        <f ca="1">COUNTIFS(Paste_Report_Here!$E$1:$E$2000,E954, OFFSET(Paste_Report_Here!$A$1,0,$A961,2000,1),J$75)</f>
        <v>0</v>
      </c>
      <c r="K961" s="181">
        <f ca="1">COUNTIFS(Paste_Report_Here!$E$1:$E$2000,E954, OFFSET(Paste_Report_Here!$A$1,0,$A961,2000,1),K$75)</f>
        <v>1</v>
      </c>
      <c r="L961" s="166">
        <f t="shared" ca="1" si="145"/>
        <v>31</v>
      </c>
      <c r="M961" s="183">
        <f ca="1">SUMPRODUCT(F961:K961,F958:K958)/L:L</f>
        <v>-6.4516129032258064E-3</v>
      </c>
      <c r="N961" s="166">
        <f t="shared" ca="1" si="146"/>
        <v>0.99356915406714885</v>
      </c>
      <c r="O961" s="165">
        <f t="shared" ref="O961:O985" ca="1" si="148">P927</f>
        <v>2165.0124520861036</v>
      </c>
      <c r="P961" s="165">
        <f t="shared" ca="1" si="147"/>
        <v>2151.0895905640336</v>
      </c>
    </row>
    <row r="962" spans="1:16" s="165" customFormat="1" x14ac:dyDescent="0.3">
      <c r="A962" s="165">
        <f>MATCH(Calcs!B962,Paste_Report_Here!$1:$1,0) -1</f>
        <v>7</v>
      </c>
      <c r="B962" s="165" t="s">
        <v>126</v>
      </c>
      <c r="C962" s="166">
        <f ca="1">RANK(N962,N960:N984)</f>
        <v>7</v>
      </c>
      <c r="D962" s="166">
        <f ca="1">RANK(P962,P960:P984)</f>
        <v>7</v>
      </c>
      <c r="E962" s="189" t="s">
        <v>154</v>
      </c>
      <c r="F962" s="179">
        <f ca="1">COUNTIFS(Paste_Report_Here!$E$1:$E$2000,E954, OFFSET(Paste_Report_Here!$A$1,0,$A962,2000,1),F$75)</f>
        <v>0</v>
      </c>
      <c r="G962" s="180">
        <f ca="1">COUNTIFS(Paste_Report_Here!$E$1:$E$2000,E954, OFFSET(Paste_Report_Here!$A$1,0,$A962,2000,1),G$75)</f>
        <v>1</v>
      </c>
      <c r="H962" s="180">
        <f ca="1">COUNTIFS(Paste_Report_Here!$E$1:$E$2000,E954, OFFSET(Paste_Report_Here!$A$1,0,$A962,2000,1),H$75)</f>
        <v>25</v>
      </c>
      <c r="I962" s="180">
        <f ca="1">COUNTIFS(Paste_Report_Here!$E$1:$E$2000,E954, OFFSET(Paste_Report_Here!$A$1,0,$A962,2000,1),I$75)</f>
        <v>5</v>
      </c>
      <c r="J962" s="180">
        <f ca="1">COUNTIFS(Paste_Report_Here!$E$1:$E$2000,E954, OFFSET(Paste_Report_Here!$A$1,0,$A962,2000,1),J$75)</f>
        <v>0</v>
      </c>
      <c r="K962" s="181">
        <f ca="1">COUNTIFS(Paste_Report_Here!$E$1:$E$2000,E954, OFFSET(Paste_Report_Here!$A$1,0,$A962,2000,1),K$75)</f>
        <v>0</v>
      </c>
      <c r="L962" s="166">
        <f t="shared" ca="1" si="145"/>
        <v>31</v>
      </c>
      <c r="M962" s="183">
        <f ca="1">SUMPRODUCT(F962:K962,F958:K958)/L:L</f>
        <v>0</v>
      </c>
      <c r="N962" s="166">
        <f t="shared" ca="1" si="146"/>
        <v>1</v>
      </c>
      <c r="O962" s="165">
        <f t="shared" ca="1" si="148"/>
        <v>2824.7019227686728</v>
      </c>
      <c r="P962" s="165">
        <f t="shared" ca="1" si="147"/>
        <v>2824.7019227686728</v>
      </c>
    </row>
    <row r="963" spans="1:16" s="165" customFormat="1" x14ac:dyDescent="0.3">
      <c r="A963" s="165">
        <f>MATCH(Calcs!B963,Paste_Report_Here!$1:$1,0) -1</f>
        <v>8</v>
      </c>
      <c r="B963" s="165" t="s">
        <v>127</v>
      </c>
      <c r="C963" s="166">
        <f ca="1">RANK(N963,N960:N984)</f>
        <v>2</v>
      </c>
      <c r="D963" s="166">
        <f ca="1">RANK(P963,P960:P984)</f>
        <v>8</v>
      </c>
      <c r="E963" s="189" t="s">
        <v>155</v>
      </c>
      <c r="F963" s="179">
        <f ca="1">COUNTIFS(Paste_Report_Here!$E$1:$E$2000,E954, OFFSET(Paste_Report_Here!$A$1,0,$A963,2000,1),F$75)</f>
        <v>0</v>
      </c>
      <c r="G963" s="180">
        <f ca="1">COUNTIFS(Paste_Report_Here!$E$1:$E$2000,E954, OFFSET(Paste_Report_Here!$A$1,0,$A963,2000,1),G$75)</f>
        <v>1</v>
      </c>
      <c r="H963" s="180">
        <f ca="1">COUNTIFS(Paste_Report_Here!$E$1:$E$2000,E954, OFFSET(Paste_Report_Here!$A$1,0,$A963,2000,1),H$75)</f>
        <v>23</v>
      </c>
      <c r="I963" s="180">
        <f ca="1">COUNTIFS(Paste_Report_Here!$E$1:$E$2000,E954, OFFSET(Paste_Report_Here!$A$1,0,$A963,2000,1),I$75)</f>
        <v>6</v>
      </c>
      <c r="J963" s="180">
        <f ca="1">COUNTIFS(Paste_Report_Here!$E$1:$E$2000,E954, OFFSET(Paste_Report_Here!$A$1,0,$A963,2000,1),J$75)</f>
        <v>1</v>
      </c>
      <c r="K963" s="181">
        <f ca="1">COUNTIFS(Paste_Report_Here!$E$1:$E$2000,E954, OFFSET(Paste_Report_Here!$A$1,0,$A963,2000,1),K$75)</f>
        <v>0</v>
      </c>
      <c r="L963" s="166">
        <f t="shared" ca="1" si="145"/>
        <v>31</v>
      </c>
      <c r="M963" s="183">
        <f ca="1">SUMPRODUCT(F963:K963,F958:K958)/L:L</f>
        <v>6.4516129032258064E-3</v>
      </c>
      <c r="N963" s="166">
        <f t="shared" ca="1" si="146"/>
        <v>1.0064724693862794</v>
      </c>
      <c r="O963" s="165">
        <f t="shared" ca="1" si="148"/>
        <v>2787.5947038105496</v>
      </c>
      <c r="P963" s="165">
        <f t="shared" ca="1" si="147"/>
        <v>2805.6373251923183</v>
      </c>
    </row>
    <row r="964" spans="1:16" s="165" customFormat="1" x14ac:dyDescent="0.3">
      <c r="A964" s="165">
        <f>MATCH(Calcs!B964,Paste_Report_Here!$1:$1,0) -1</f>
        <v>9</v>
      </c>
      <c r="B964" s="165" t="s">
        <v>214</v>
      </c>
      <c r="C964" s="166">
        <f ca="1">RANK(N964,N960:N984)</f>
        <v>7</v>
      </c>
      <c r="D964" s="166">
        <f ca="1">RANK(P964,P960:P984)</f>
        <v>5</v>
      </c>
      <c r="E964" s="189" t="s">
        <v>156</v>
      </c>
      <c r="F964" s="179">
        <f ca="1">COUNTIFS(Paste_Report_Here!$E$1:$E$2000,E954, OFFSET(Paste_Report_Here!$A$1,0,$A964,2000,1),F$75)</f>
        <v>0</v>
      </c>
      <c r="G964" s="180">
        <f ca="1">COUNTIFS(Paste_Report_Here!$E$1:$E$2000,E954, OFFSET(Paste_Report_Here!$A$1,0,$A964,2000,1),G$75)</f>
        <v>3</v>
      </c>
      <c r="H964" s="180">
        <f ca="1">COUNTIFS(Paste_Report_Here!$E$1:$E$2000,E954, OFFSET(Paste_Report_Here!$A$1,0,$A964,2000,1),H$75)</f>
        <v>22</v>
      </c>
      <c r="I964" s="180">
        <f ca="1">COUNTIFS(Paste_Report_Here!$E$1:$E$2000,E954, OFFSET(Paste_Report_Here!$A$1,0,$A964,2000,1),I$75)</f>
        <v>5</v>
      </c>
      <c r="J964" s="180">
        <f ca="1">COUNTIFS(Paste_Report_Here!$E$1:$E$2000,E954, OFFSET(Paste_Report_Here!$A$1,0,$A964,2000,1),J$75)</f>
        <v>0</v>
      </c>
      <c r="K964" s="181">
        <f ca="1">COUNTIFS(Paste_Report_Here!$E$1:$E$2000,E954, OFFSET(Paste_Report_Here!$A$1,0,$A964,2000,1),K$75)</f>
        <v>1</v>
      </c>
      <c r="L964" s="166">
        <f t="shared" ca="1" si="145"/>
        <v>31</v>
      </c>
      <c r="M964" s="183">
        <f ca="1">SUMPRODUCT(F964:K964,F958:K958)/L:L</f>
        <v>0</v>
      </c>
      <c r="N964" s="166">
        <f t="shared" ca="1" si="146"/>
        <v>1</v>
      </c>
      <c r="O964" s="165">
        <f t="shared" ca="1" si="148"/>
        <v>3730.0026277052539</v>
      </c>
      <c r="P964" s="165">
        <f t="shared" ca="1" si="147"/>
        <v>3730.0026277052539</v>
      </c>
    </row>
    <row r="965" spans="1:16" s="165" customFormat="1" x14ac:dyDescent="0.3">
      <c r="A965" s="165">
        <f>MATCH(Calcs!B965,Paste_Report_Here!$1:$1,0) -1</f>
        <v>10</v>
      </c>
      <c r="B965" s="165" t="s">
        <v>128</v>
      </c>
      <c r="C965" s="166">
        <f ca="1">RANK(N965,N960:N984)</f>
        <v>7</v>
      </c>
      <c r="D965" s="166">
        <f ca="1">RANK(P965,P960:P984)</f>
        <v>21</v>
      </c>
      <c r="E965" s="189" t="s">
        <v>157</v>
      </c>
      <c r="F965" s="179">
        <f ca="1">COUNTIFS(Paste_Report_Here!$E$1:$E$2000,E954, OFFSET(Paste_Report_Here!$A$1,0,$A965,2000,1),F$75)</f>
        <v>0</v>
      </c>
      <c r="G965" s="180">
        <f ca="1">COUNTIFS(Paste_Report_Here!$E$1:$E$2000,E954, OFFSET(Paste_Report_Here!$A$1,0,$A965,2000,1),G$75)</f>
        <v>2</v>
      </c>
      <c r="H965" s="180">
        <f ca="1">COUNTIFS(Paste_Report_Here!$E$1:$E$2000,E954, OFFSET(Paste_Report_Here!$A$1,0,$A965,2000,1),H$75)</f>
        <v>23</v>
      </c>
      <c r="I965" s="180">
        <f ca="1">COUNTIFS(Paste_Report_Here!$E$1:$E$2000,E954, OFFSET(Paste_Report_Here!$A$1,0,$A965,2000,1),I$75)</f>
        <v>6</v>
      </c>
      <c r="J965" s="180">
        <f ca="1">COUNTIFS(Paste_Report_Here!$E$1:$E$2000,E954, OFFSET(Paste_Report_Here!$A$1,0,$A965,2000,1),J$75)</f>
        <v>0</v>
      </c>
      <c r="K965" s="181">
        <f ca="1">COUNTIFS(Paste_Report_Here!$E$1:$E$2000,E954, OFFSET(Paste_Report_Here!$A$1,0,$A965,2000,1),K$75)</f>
        <v>0</v>
      </c>
      <c r="L965" s="166">
        <f t="shared" ca="1" si="145"/>
        <v>31</v>
      </c>
      <c r="M965" s="183">
        <f ca="1">SUMPRODUCT(F965:K965,F958:K958)/L:L</f>
        <v>0</v>
      </c>
      <c r="N965" s="166">
        <f t="shared" ca="1" si="146"/>
        <v>1</v>
      </c>
      <c r="O965" s="165">
        <f t="shared" ca="1" si="148"/>
        <v>1660.0875221582219</v>
      </c>
      <c r="P965" s="165">
        <f t="shared" ca="1" si="147"/>
        <v>1660.0875221582219</v>
      </c>
    </row>
    <row r="966" spans="1:16" s="165" customFormat="1" x14ac:dyDescent="0.3">
      <c r="A966" s="165">
        <f>MATCH(Calcs!B966,Paste_Report_Here!$1:$1,0) -1</f>
        <v>11</v>
      </c>
      <c r="B966" s="165" t="s">
        <v>129</v>
      </c>
      <c r="C966" s="166">
        <f ca="1">RANK(N966,N960:N984)</f>
        <v>7</v>
      </c>
      <c r="D966" s="166">
        <f ca="1">RANK(P966,P960:P984)</f>
        <v>9</v>
      </c>
      <c r="E966" s="189" t="s">
        <v>158</v>
      </c>
      <c r="F966" s="179">
        <f ca="1">COUNTIFS(Paste_Report_Here!$E$1:$E$2000,E954, OFFSET(Paste_Report_Here!$A$1,0,$A966,2000,1),F$75)</f>
        <v>0</v>
      </c>
      <c r="G966" s="180">
        <f ca="1">COUNTIFS(Paste_Report_Here!$E$1:$E$2000,E954, OFFSET(Paste_Report_Here!$A$1,0,$A966,2000,1),G$75)</f>
        <v>3</v>
      </c>
      <c r="H966" s="180">
        <f ca="1">COUNTIFS(Paste_Report_Here!$E$1:$E$2000,E954, OFFSET(Paste_Report_Here!$A$1,0,$A966,2000,1),H$75)</f>
        <v>24</v>
      </c>
      <c r="I966" s="180">
        <f ca="1">COUNTIFS(Paste_Report_Here!$E$1:$E$2000,E954, OFFSET(Paste_Report_Here!$A$1,0,$A966,2000,1),I$75)</f>
        <v>4</v>
      </c>
      <c r="J966" s="180">
        <f ca="1">COUNTIFS(Paste_Report_Here!$E$1:$E$2000,E954, OFFSET(Paste_Report_Here!$A$1,0,$A966,2000,1),J$75)</f>
        <v>0</v>
      </c>
      <c r="K966" s="181">
        <f ca="1">COUNTIFS(Paste_Report_Here!$E$1:$E$2000,E954, OFFSET(Paste_Report_Here!$A$1,0,$A966,2000,1),K$75)</f>
        <v>0</v>
      </c>
      <c r="L966" s="166">
        <f t="shared" ca="1" si="145"/>
        <v>31</v>
      </c>
      <c r="M966" s="183">
        <f ca="1">SUMPRODUCT(F966:K966,F958:K958)/L:L</f>
        <v>0</v>
      </c>
      <c r="N966" s="166">
        <f t="shared" ca="1" si="146"/>
        <v>1</v>
      </c>
      <c r="O966" s="165">
        <f t="shared" ca="1" si="148"/>
        <v>2558.6541593498532</v>
      </c>
      <c r="P966" s="165">
        <f t="shared" ca="1" si="147"/>
        <v>2558.6541593498532</v>
      </c>
    </row>
    <row r="967" spans="1:16" s="165" customFormat="1" x14ac:dyDescent="0.3">
      <c r="A967" s="165">
        <f>MATCH(Calcs!B967,Paste_Report_Here!$1:$1,0) -1</f>
        <v>12</v>
      </c>
      <c r="B967" s="165" t="s">
        <v>130</v>
      </c>
      <c r="C967" s="166">
        <f ca="1">RANK(N967,N961:N985)</f>
        <v>1</v>
      </c>
      <c r="D967" s="166">
        <f ca="1">RANK(P967,P960:P984)</f>
        <v>10</v>
      </c>
      <c r="E967" s="189" t="s">
        <v>159</v>
      </c>
      <c r="F967" s="179">
        <f ca="1">COUNTIFS(Paste_Report_Here!$E$1:$E$2000,E954, OFFSET(Paste_Report_Here!$A$1,0,$A967,2000,1),F$75)</f>
        <v>0</v>
      </c>
      <c r="G967" s="180">
        <f ca="1">COUNTIFS(Paste_Report_Here!$E$1:$E$2000,E954, OFFSET(Paste_Report_Here!$A$1,0,$A967,2000,1),G$75)</f>
        <v>1</v>
      </c>
      <c r="H967" s="180">
        <f ca="1">COUNTIFS(Paste_Report_Here!$E$1:$E$2000,E954, OFFSET(Paste_Report_Here!$A$1,0,$A967,2000,1),H$75)</f>
        <v>22</v>
      </c>
      <c r="I967" s="180">
        <f ca="1">COUNTIFS(Paste_Report_Here!$E$1:$E$2000,E954, OFFSET(Paste_Report_Here!$A$1,0,$A967,2000,1),I$75)</f>
        <v>6</v>
      </c>
      <c r="J967" s="180">
        <f ca="1">COUNTIFS(Paste_Report_Here!$E$1:$E$2000,E954, OFFSET(Paste_Report_Here!$A$1,0,$A967,2000,1),J$75)</f>
        <v>2</v>
      </c>
      <c r="K967" s="181">
        <f ca="1">COUNTIFS(Paste_Report_Here!$E$1:$E$2000,E954, OFFSET(Paste_Report_Here!$A$1,0,$A967,2000,1),K$75)</f>
        <v>0</v>
      </c>
      <c r="L967" s="166">
        <f t="shared" ca="1" si="145"/>
        <v>31</v>
      </c>
      <c r="M967" s="183">
        <f ca="1">SUMPRODUCT(F967:K967,F958:K958)/L:L</f>
        <v>1.2903225806451613E-2</v>
      </c>
      <c r="N967" s="166">
        <f t="shared" ca="1" si="146"/>
        <v>1.012986831632515</v>
      </c>
      <c r="O967" s="165">
        <f t="shared" ca="1" si="148"/>
        <v>2371.5280801026433</v>
      </c>
      <c r="P967" s="165">
        <f t="shared" ca="1" si="147"/>
        <v>2402.3267159907182</v>
      </c>
    </row>
    <row r="968" spans="1:16" s="165" customFormat="1" x14ac:dyDescent="0.3">
      <c r="A968" s="165">
        <f>MATCH(Calcs!B968,Paste_Report_Here!$1:$1,0) -1</f>
        <v>13</v>
      </c>
      <c r="B968" s="165" t="s">
        <v>131</v>
      </c>
      <c r="C968" s="166">
        <f ca="1">RANK(N968,N962:N986)</f>
        <v>8</v>
      </c>
      <c r="D968" s="166">
        <f ca="1">RANK(P968,P960:P984)</f>
        <v>2</v>
      </c>
      <c r="E968" s="189" t="s">
        <v>160</v>
      </c>
      <c r="F968" s="179">
        <f ca="1">COUNTIFS(Paste_Report_Here!$E$1:$E$2000,E954, OFFSET(Paste_Report_Here!$A$1,0,$A968,2000,1),F$75)</f>
        <v>0</v>
      </c>
      <c r="G968" s="180">
        <f ca="1">COUNTIFS(Paste_Report_Here!$E$1:$E$2000,E954, OFFSET(Paste_Report_Here!$A$1,0,$A968,2000,1),G$75)</f>
        <v>2</v>
      </c>
      <c r="H968" s="180">
        <f ca="1">COUNTIFS(Paste_Report_Here!$E$1:$E$2000,E954, OFFSET(Paste_Report_Here!$A$1,0,$A968,2000,1),H$75)</f>
        <v>19</v>
      </c>
      <c r="I968" s="180">
        <f ca="1">COUNTIFS(Paste_Report_Here!$E$1:$E$2000,E954, OFFSET(Paste_Report_Here!$A$1,0,$A968,2000,1),I$75)</f>
        <v>10</v>
      </c>
      <c r="J968" s="180">
        <f ca="1">COUNTIFS(Paste_Report_Here!$E$1:$E$2000,E954, OFFSET(Paste_Report_Here!$A$1,0,$A968,2000,1),J$75)</f>
        <v>0</v>
      </c>
      <c r="K968" s="181">
        <f ca="1">COUNTIFS(Paste_Report_Here!$E$1:$E$2000,E954, OFFSET(Paste_Report_Here!$A$1,0,$A968,2000,1),K$75)</f>
        <v>0</v>
      </c>
      <c r="L968" s="166">
        <f t="shared" ca="1" si="145"/>
        <v>31</v>
      </c>
      <c r="M968" s="183">
        <f ca="1">SUMPRODUCT(F968:K968,F958:K958)/L:L</f>
        <v>0</v>
      </c>
      <c r="N968" s="166">
        <f t="shared" ca="1" si="146"/>
        <v>1</v>
      </c>
      <c r="O968" s="165">
        <f t="shared" ca="1" si="148"/>
        <v>4184.2660975998351</v>
      </c>
      <c r="P968" s="165">
        <f t="shared" ca="1" si="147"/>
        <v>4184.2660975998351</v>
      </c>
    </row>
    <row r="969" spans="1:16" s="165" customFormat="1" x14ac:dyDescent="0.3">
      <c r="A969" s="165">
        <f>MATCH(Calcs!B969,Paste_Report_Here!$1:$1,0) -1</f>
        <v>14</v>
      </c>
      <c r="B969" s="165" t="s">
        <v>132</v>
      </c>
      <c r="C969" s="166">
        <f ca="1">RANK(N969,N963:N987)</f>
        <v>8</v>
      </c>
      <c r="D969" s="166">
        <f ca="1">RANK(P969,P960:P984)</f>
        <v>17</v>
      </c>
      <c r="E969" s="189" t="s">
        <v>161</v>
      </c>
      <c r="F969" s="179">
        <f ca="1">COUNTIFS(Paste_Report_Here!$E$1:$E$2000,E954, OFFSET(Paste_Report_Here!$A$1,0,$A969,2000,1),F$75)</f>
        <v>0</v>
      </c>
      <c r="G969" s="180">
        <f ca="1">COUNTIFS(Paste_Report_Here!$E$1:$E$2000,E954, OFFSET(Paste_Report_Here!$A$1,0,$A969,2000,1),G$75)</f>
        <v>2</v>
      </c>
      <c r="H969" s="180">
        <f ca="1">COUNTIFS(Paste_Report_Here!$E$1:$E$2000,E954, OFFSET(Paste_Report_Here!$A$1,0,$A969,2000,1),H$75)</f>
        <v>25</v>
      </c>
      <c r="I969" s="180">
        <f ca="1">COUNTIFS(Paste_Report_Here!$E$1:$E$2000,E954, OFFSET(Paste_Report_Here!$A$1,0,$A969,2000,1),I$75)</f>
        <v>4</v>
      </c>
      <c r="J969" s="180">
        <f ca="1">COUNTIFS(Paste_Report_Here!$E$1:$E$2000,E954, OFFSET(Paste_Report_Here!$A$1,0,$A969,2000,1),J$75)</f>
        <v>0</v>
      </c>
      <c r="K969" s="181">
        <f ca="1">COUNTIFS(Paste_Report_Here!$E$1:$E$2000,E954, OFFSET(Paste_Report_Here!$A$1,0,$A969,2000,1),K$75)</f>
        <v>0</v>
      </c>
      <c r="L969" s="166">
        <f t="shared" ca="1" si="145"/>
        <v>31</v>
      </c>
      <c r="M969" s="183">
        <f ca="1">SUMPRODUCT(F969:K969,F958:K958)/L:L</f>
        <v>0</v>
      </c>
      <c r="N969" s="166">
        <f t="shared" ca="1" si="146"/>
        <v>1</v>
      </c>
      <c r="O969" s="165">
        <f t="shared" ca="1" si="148"/>
        <v>2082.6431543644039</v>
      </c>
      <c r="P969" s="165">
        <f t="shared" ca="1" si="147"/>
        <v>2082.6431543644039</v>
      </c>
    </row>
    <row r="970" spans="1:16" s="165" customFormat="1" x14ac:dyDescent="0.3">
      <c r="A970" s="165">
        <f>MATCH(Calcs!B970,Paste_Report_Here!$1:$1,0) -1</f>
        <v>15</v>
      </c>
      <c r="B970" s="165" t="s">
        <v>133</v>
      </c>
      <c r="C970" s="166">
        <f ca="1">RANK(N970,N959:N983)</f>
        <v>7</v>
      </c>
      <c r="D970" s="166">
        <f ca="1">RANK(P970,P960:P984)</f>
        <v>6</v>
      </c>
      <c r="E970" s="189" t="s">
        <v>162</v>
      </c>
      <c r="F970" s="179">
        <f ca="1">COUNTIFS(Paste_Report_Here!$E$1:$E$2000,E954, OFFSET(Paste_Report_Here!$A$1,0,$A970,2000,1),F$75)</f>
        <v>0</v>
      </c>
      <c r="G970" s="180">
        <f ca="1">COUNTIFS(Paste_Report_Here!$E$1:$E$2000,E954, OFFSET(Paste_Report_Here!$A$1,0,$A970,2000,1),G$75)</f>
        <v>2</v>
      </c>
      <c r="H970" s="180">
        <f ca="1">COUNTIFS(Paste_Report_Here!$E$1:$E$2000,E954, OFFSET(Paste_Report_Here!$A$1,0,$A970,2000,1),H$75)</f>
        <v>22</v>
      </c>
      <c r="I970" s="180">
        <f ca="1">COUNTIFS(Paste_Report_Here!$E$1:$E$2000,E954, OFFSET(Paste_Report_Here!$A$1,0,$A970,2000,1),I$75)</f>
        <v>7</v>
      </c>
      <c r="J970" s="180">
        <f ca="1">COUNTIFS(Paste_Report_Here!$E$1:$E$2000,E954, OFFSET(Paste_Report_Here!$A$1,0,$A970,2000,1),J$75)</f>
        <v>0</v>
      </c>
      <c r="K970" s="181">
        <f ca="1">COUNTIFS(Paste_Report_Here!$E$1:$E$2000,E954, OFFSET(Paste_Report_Here!$A$1,0,$A970,2000,1),K$75)</f>
        <v>0</v>
      </c>
      <c r="L970" s="166">
        <f t="shared" ca="1" si="145"/>
        <v>31</v>
      </c>
      <c r="M970" s="183">
        <f ca="1">SUMPRODUCT(F970:K970,F958:K958)/L:L</f>
        <v>0</v>
      </c>
      <c r="N970" s="166">
        <f t="shared" ca="1" si="146"/>
        <v>1</v>
      </c>
      <c r="O970" s="165">
        <f t="shared" ca="1" si="148"/>
        <v>3011.2375057134327</v>
      </c>
      <c r="P970" s="165">
        <f t="shared" ca="1" si="147"/>
        <v>3011.2375057134327</v>
      </c>
    </row>
    <row r="971" spans="1:16" s="165" customFormat="1" x14ac:dyDescent="0.3">
      <c r="A971" s="165">
        <f>MATCH(Calcs!B971,Paste_Report_Here!$1:$1,0) -1</f>
        <v>16</v>
      </c>
      <c r="B971" s="165" t="s">
        <v>134</v>
      </c>
      <c r="C971" s="166">
        <f ca="1">RANK(N971,N960:N984)</f>
        <v>7</v>
      </c>
      <c r="D971" s="166">
        <f ca="1">RANK(P971,P960:P984)</f>
        <v>24</v>
      </c>
      <c r="E971" s="189" t="s">
        <v>163</v>
      </c>
      <c r="F971" s="179">
        <f ca="1">COUNTIFS(Paste_Report_Here!$E$1:$E$2000,E954, OFFSET(Paste_Report_Here!$A$1,0,$A971,2000,1),F$75)</f>
        <v>0</v>
      </c>
      <c r="G971" s="180">
        <f ca="1">COUNTIFS(Paste_Report_Here!$E$1:$E$2000,E954, OFFSET(Paste_Report_Here!$A$1,0,$A971,2000,1),G$75)</f>
        <v>2</v>
      </c>
      <c r="H971" s="180">
        <f ca="1">COUNTIFS(Paste_Report_Here!$E$1:$E$2000,E954, OFFSET(Paste_Report_Here!$A$1,0,$A971,2000,1),H$75)</f>
        <v>27</v>
      </c>
      <c r="I971" s="180">
        <f ca="1">COUNTIFS(Paste_Report_Here!$E$1:$E$2000,E954, OFFSET(Paste_Report_Here!$A$1,0,$A971,2000,1),I$75)</f>
        <v>2</v>
      </c>
      <c r="J971" s="180">
        <f ca="1">COUNTIFS(Paste_Report_Here!$E$1:$E$2000,E954, OFFSET(Paste_Report_Here!$A$1,0,$A971,2000,1),J$75)</f>
        <v>0</v>
      </c>
      <c r="K971" s="181">
        <f ca="1">COUNTIFS(Paste_Report_Here!$E$1:$E$2000,E954, OFFSET(Paste_Report_Here!$A$1,0,$A971,2000,1),K$75)</f>
        <v>0</v>
      </c>
      <c r="L971" s="166">
        <f t="shared" ca="1" si="145"/>
        <v>31</v>
      </c>
      <c r="M971" s="183">
        <f ca="1">SUMPRODUCT(F971:K971,F958:K958)/L:L</f>
        <v>0</v>
      </c>
      <c r="N971" s="166">
        <f t="shared" ca="1" si="146"/>
        <v>1</v>
      </c>
      <c r="O971" s="165">
        <f t="shared" ca="1" si="148"/>
        <v>1172.6502421089297</v>
      </c>
      <c r="P971" s="165">
        <f t="shared" ca="1" si="147"/>
        <v>1172.6502421089297</v>
      </c>
    </row>
    <row r="972" spans="1:16" s="165" customFormat="1" x14ac:dyDescent="0.3">
      <c r="A972" s="165">
        <f>MATCH(Calcs!B972,Paste_Report_Here!$1:$1,0) -1</f>
        <v>17</v>
      </c>
      <c r="B972" s="165" t="s">
        <v>135</v>
      </c>
      <c r="C972" s="166">
        <f ca="1">RANK(N972,N961:N985)</f>
        <v>8</v>
      </c>
      <c r="D972" s="166">
        <f ca="1">RANK(P972,P960:P984)</f>
        <v>20</v>
      </c>
      <c r="E972" s="189" t="s">
        <v>164</v>
      </c>
      <c r="F972" s="179">
        <f ca="1">COUNTIFS(Paste_Report_Here!$E$1:$E$2000,E954, OFFSET(Paste_Report_Here!$A$1,0,$A972,2000,1),F$75)</f>
        <v>0</v>
      </c>
      <c r="G972" s="180">
        <f ca="1">COUNTIFS(Paste_Report_Here!$E$1:$E$2000,E954, OFFSET(Paste_Report_Here!$A$1,0,$A972,2000,1),G$75)</f>
        <v>3</v>
      </c>
      <c r="H972" s="180">
        <f ca="1">COUNTIFS(Paste_Report_Here!$E$1:$E$2000,E954, OFFSET(Paste_Report_Here!$A$1,0,$A972,2000,1),H$75)</f>
        <v>23</v>
      </c>
      <c r="I972" s="180">
        <f ca="1">COUNTIFS(Paste_Report_Here!$E$1:$E$2000,E954, OFFSET(Paste_Report_Here!$A$1,0,$A972,2000,1),I$75)</f>
        <v>5</v>
      </c>
      <c r="J972" s="180">
        <f ca="1">COUNTIFS(Paste_Report_Here!$E$1:$E$2000,E954, OFFSET(Paste_Report_Here!$A$1,0,$A972,2000,1),J$75)</f>
        <v>0</v>
      </c>
      <c r="K972" s="181">
        <f ca="1">COUNTIFS(Paste_Report_Here!$E$1:$E$2000,E954, OFFSET(Paste_Report_Here!$A$1,0,$A972,2000,1),K$75)</f>
        <v>0</v>
      </c>
      <c r="L972" s="166">
        <f t="shared" ca="1" si="145"/>
        <v>31</v>
      </c>
      <c r="M972" s="183">
        <f ca="1">SUMPRODUCT(F972:K972,F958:K958)/L:L</f>
        <v>0</v>
      </c>
      <c r="N972" s="166">
        <f t="shared" ca="1" si="146"/>
        <v>1</v>
      </c>
      <c r="O972" s="165">
        <f t="shared" ca="1" si="148"/>
        <v>1864.6280168998214</v>
      </c>
      <c r="P972" s="165">
        <f t="shared" ca="1" si="147"/>
        <v>1864.6280168998214</v>
      </c>
    </row>
    <row r="973" spans="1:16" s="165" customFormat="1" x14ac:dyDescent="0.3">
      <c r="A973" s="165">
        <f>MATCH(Calcs!B973,Paste_Report_Here!$1:$1,0) -1</f>
        <v>18</v>
      </c>
      <c r="B973" s="165" t="s">
        <v>136</v>
      </c>
      <c r="C973" s="166">
        <f ca="1">RANK(N973,N962:N986)</f>
        <v>2</v>
      </c>
      <c r="D973" s="166">
        <f ca="1">RANK(P973,P960:P984)</f>
        <v>4</v>
      </c>
      <c r="E973" s="189" t="s">
        <v>165</v>
      </c>
      <c r="F973" s="179">
        <f ca="1">COUNTIFS(Paste_Report_Here!$E$1:$E$2000,E954, OFFSET(Paste_Report_Here!$A$1,0,$A973,2000,1),F$75)</f>
        <v>0</v>
      </c>
      <c r="G973" s="180">
        <f ca="1">COUNTIFS(Paste_Report_Here!$E$1:$E$2000,E954, OFFSET(Paste_Report_Here!$A$1,0,$A973,2000,1),G$75)</f>
        <v>1</v>
      </c>
      <c r="H973" s="180">
        <f ca="1">COUNTIFS(Paste_Report_Here!$E$1:$E$2000,E954, OFFSET(Paste_Report_Here!$A$1,0,$A973,2000,1),H$75)</f>
        <v>23</v>
      </c>
      <c r="I973" s="180">
        <f ca="1">COUNTIFS(Paste_Report_Here!$E$1:$E$2000,E954, OFFSET(Paste_Report_Here!$A$1,0,$A973,2000,1),I$75)</f>
        <v>6</v>
      </c>
      <c r="J973" s="180">
        <f ca="1">COUNTIFS(Paste_Report_Here!$E$1:$E$2000,E954, OFFSET(Paste_Report_Here!$A$1,0,$A973,2000,1),J$75)</f>
        <v>1</v>
      </c>
      <c r="K973" s="181">
        <f ca="1">COUNTIFS(Paste_Report_Here!$E$1:$E$2000,E954, OFFSET(Paste_Report_Here!$A$1,0,$A973,2000,1),K$75)</f>
        <v>0</v>
      </c>
      <c r="L973" s="166">
        <f t="shared" ca="1" si="145"/>
        <v>31</v>
      </c>
      <c r="M973" s="183">
        <f ca="1">SUMPRODUCT(F973:K973,F958:K958)/L:L</f>
        <v>6.4516129032258064E-3</v>
      </c>
      <c r="N973" s="166">
        <f t="shared" ca="1" si="146"/>
        <v>1.0064724693862794</v>
      </c>
      <c r="O973" s="165">
        <f t="shared" ca="1" si="148"/>
        <v>3829.0710277809744</v>
      </c>
      <c r="P973" s="165">
        <f t="shared" ca="1" si="147"/>
        <v>3853.8545727861765</v>
      </c>
    </row>
    <row r="974" spans="1:16" s="165" customFormat="1" x14ac:dyDescent="0.3">
      <c r="A974" s="165">
        <f>MATCH(Calcs!B974,Paste_Report_Here!$1:$1,0) -1</f>
        <v>19</v>
      </c>
      <c r="B974" s="165" t="s">
        <v>137</v>
      </c>
      <c r="C974" s="166">
        <f ca="1">RANK(N974,N963:N987)</f>
        <v>8</v>
      </c>
      <c r="D974" s="166">
        <f ca="1">RANK(P974,P960:P984)</f>
        <v>14</v>
      </c>
      <c r="E974" s="189" t="s">
        <v>166</v>
      </c>
      <c r="F974" s="179">
        <f ca="1">COUNTIFS(Paste_Report_Here!$E$1:$E$2000,E954, OFFSET(Paste_Report_Here!$A$1,0,$A974,2000,1),F$75)</f>
        <v>0</v>
      </c>
      <c r="G974" s="180">
        <f ca="1">COUNTIFS(Paste_Report_Here!$E$1:$E$2000,E954, OFFSET(Paste_Report_Here!$A$1,0,$A974,2000,1),G$75)</f>
        <v>1</v>
      </c>
      <c r="H974" s="180">
        <f ca="1">COUNTIFS(Paste_Report_Here!$E$1:$E$2000,E954, OFFSET(Paste_Report_Here!$A$1,0,$A974,2000,1),H$75)</f>
        <v>21</v>
      </c>
      <c r="I974" s="180">
        <f ca="1">COUNTIFS(Paste_Report_Here!$E$1:$E$2000,E954, OFFSET(Paste_Report_Here!$A$1,0,$A974,2000,1),I$75)</f>
        <v>9</v>
      </c>
      <c r="J974" s="180">
        <f ca="1">COUNTIFS(Paste_Report_Here!$E$1:$E$2000,E954, OFFSET(Paste_Report_Here!$A$1,0,$A974,2000,1),J$75)</f>
        <v>0</v>
      </c>
      <c r="K974" s="181">
        <f ca="1">COUNTIFS(Paste_Report_Here!$E$1:$E$2000,E954, OFFSET(Paste_Report_Here!$A$1,0,$A974,2000,1),K$75)</f>
        <v>0</v>
      </c>
      <c r="L974" s="166">
        <f t="shared" ca="1" si="145"/>
        <v>31</v>
      </c>
      <c r="M974" s="183">
        <f ca="1">SUMPRODUCT(F974:K974,F958:K958)/L:L</f>
        <v>0</v>
      </c>
      <c r="N974" s="166">
        <f t="shared" ca="1" si="146"/>
        <v>1</v>
      </c>
      <c r="O974" s="165">
        <f t="shared" ca="1" si="148"/>
        <v>2135.4722973472381</v>
      </c>
      <c r="P974" s="165">
        <f t="shared" ca="1" si="147"/>
        <v>2135.4722973472381</v>
      </c>
    </row>
    <row r="975" spans="1:16" s="165" customFormat="1" x14ac:dyDescent="0.3">
      <c r="A975" s="165">
        <f>MATCH(Calcs!B975,Paste_Report_Here!$1:$1,0) -1</f>
        <v>20</v>
      </c>
      <c r="B975" s="165" t="s">
        <v>138</v>
      </c>
      <c r="C975" s="166">
        <f ca="1">RANK(N975,N961:N985)</f>
        <v>8</v>
      </c>
      <c r="D975" s="166">
        <f ca="1">RANK(P975,P960:P984)</f>
        <v>19</v>
      </c>
      <c r="E975" s="189" t="s">
        <v>167</v>
      </c>
      <c r="F975" s="179">
        <f ca="1">COUNTIFS(Paste_Report_Here!$E$1:$E$2000,E954, OFFSET(Paste_Report_Here!$A$1,0,$A975,2000,1),F$75)</f>
        <v>0</v>
      </c>
      <c r="G975" s="180">
        <f ca="1">COUNTIFS(Paste_Report_Here!$E$1:$E$2000,E954, OFFSET(Paste_Report_Here!$A$1,0,$A975,2000,1),G$75)</f>
        <v>3</v>
      </c>
      <c r="H975" s="180">
        <f ca="1">COUNTIFS(Paste_Report_Here!$E$1:$E$2000,E954, OFFSET(Paste_Report_Here!$A$1,0,$A975,2000,1),H$75)</f>
        <v>22</v>
      </c>
      <c r="I975" s="180">
        <f ca="1">COUNTIFS(Paste_Report_Here!$E$1:$E$2000,E954, OFFSET(Paste_Report_Here!$A$1,0,$A975,2000,1),I$75)</f>
        <v>6</v>
      </c>
      <c r="J975" s="180">
        <f ca="1">COUNTIFS(Paste_Report_Here!$E$1:$E$2000,E954, OFFSET(Paste_Report_Here!$A$1,0,$A975,2000,1),J$75)</f>
        <v>0</v>
      </c>
      <c r="K975" s="181">
        <f ca="1">COUNTIFS(Paste_Report_Here!$E$1:$E$2000,E954, OFFSET(Paste_Report_Here!$A$1,0,$A975,2000,1),K$75)</f>
        <v>0</v>
      </c>
      <c r="L975" s="166">
        <f t="shared" ca="1" si="145"/>
        <v>31</v>
      </c>
      <c r="M975" s="183">
        <f ca="1">SUMPRODUCT(F975:K975,F958:K958)/L:L</f>
        <v>0</v>
      </c>
      <c r="N975" s="166">
        <f t="shared" ca="1" si="146"/>
        <v>1</v>
      </c>
      <c r="O975" s="165">
        <f t="shared" ca="1" si="148"/>
        <v>2020.627608521427</v>
      </c>
      <c r="P975" s="165">
        <f t="shared" ca="1" si="147"/>
        <v>2020.627608521427</v>
      </c>
    </row>
    <row r="976" spans="1:16" s="165" customFormat="1" x14ac:dyDescent="0.3">
      <c r="A976" s="165">
        <f>MATCH(Calcs!B976,Paste_Report_Here!$1:$1,0) -1</f>
        <v>21</v>
      </c>
      <c r="B976" s="165" t="s">
        <v>139</v>
      </c>
      <c r="C976" s="166">
        <f ca="1">RANK(N976,N960:N984)</f>
        <v>7</v>
      </c>
      <c r="D976" s="166">
        <f ca="1">RANK(P976,P960:P984)</f>
        <v>18</v>
      </c>
      <c r="E976" s="189" t="s">
        <v>168</v>
      </c>
      <c r="F976" s="179">
        <f ca="1">COUNTIFS(Paste_Report_Here!$E$1:$E$2000,E954, OFFSET(Paste_Report_Here!$A$1,0,$A976,2000,1),F$75)</f>
        <v>0</v>
      </c>
      <c r="G976" s="180">
        <f ca="1">COUNTIFS(Paste_Report_Here!$E$1:$E$2000,E954, OFFSET(Paste_Report_Here!$A$1,0,$A976,2000,1),G$75)</f>
        <v>1</v>
      </c>
      <c r="H976" s="180">
        <f ca="1">COUNTIFS(Paste_Report_Here!$E$1:$E$2000,E954, OFFSET(Paste_Report_Here!$A$1,0,$A976,2000,1),H$75)</f>
        <v>26</v>
      </c>
      <c r="I976" s="180">
        <f ca="1">COUNTIFS(Paste_Report_Here!$E$1:$E$2000,E954, OFFSET(Paste_Report_Here!$A$1,0,$A976,2000,1),I$75)</f>
        <v>4</v>
      </c>
      <c r="J976" s="180">
        <f ca="1">COUNTIFS(Paste_Report_Here!$E$1:$E$2000,E954, OFFSET(Paste_Report_Here!$A$1,0,$A976,2000,1),J$75)</f>
        <v>0</v>
      </c>
      <c r="K976" s="181">
        <f ca="1">COUNTIFS(Paste_Report_Here!$E$1:$E$2000,E954, OFFSET(Paste_Report_Here!$A$1,0,$A976,2000,1),K$75)</f>
        <v>0</v>
      </c>
      <c r="L976" s="166">
        <f t="shared" ca="1" si="145"/>
        <v>31</v>
      </c>
      <c r="M976" s="183">
        <f ca="1">SUMPRODUCT(F976:K976,F958:K958)/L:L</f>
        <v>0</v>
      </c>
      <c r="N976" s="166">
        <f t="shared" ca="1" si="146"/>
        <v>1</v>
      </c>
      <c r="O976" s="165">
        <f t="shared" ca="1" si="148"/>
        <v>2075.3190616245065</v>
      </c>
      <c r="P976" s="165">
        <f t="shared" ca="1" si="147"/>
        <v>2075.3190616245065</v>
      </c>
    </row>
    <row r="977" spans="1:16" s="165" customFormat="1" x14ac:dyDescent="0.3">
      <c r="A977" s="165">
        <f>MATCH(Calcs!B977,Paste_Report_Here!$1:$1,0) -1</f>
        <v>22</v>
      </c>
      <c r="B977" s="165" t="s">
        <v>140</v>
      </c>
      <c r="C977" s="166">
        <f ca="1">RANK(N977,N960:N984)</f>
        <v>7</v>
      </c>
      <c r="D977" s="166">
        <f ca="1">RANK(P977,P960:P984)</f>
        <v>16</v>
      </c>
      <c r="E977" s="189" t="s">
        <v>169</v>
      </c>
      <c r="F977" s="179">
        <f ca="1">COUNTIFS(Paste_Report_Here!$E$1:$E$2000,E954, OFFSET(Paste_Report_Here!$A$1,0,$A977,2000,1),F$75)</f>
        <v>0</v>
      </c>
      <c r="G977" s="180">
        <f ca="1">COUNTIFS(Paste_Report_Here!$E$1:$E$2000,E954, OFFSET(Paste_Report_Here!$A$1,0,$A977,2000,1),G$75)</f>
        <v>1</v>
      </c>
      <c r="H977" s="180">
        <f ca="1">COUNTIFS(Paste_Report_Here!$E$1:$E$2000,E954, OFFSET(Paste_Report_Here!$A$1,0,$A977,2000,1),H$75)</f>
        <v>24</v>
      </c>
      <c r="I977" s="180">
        <f ca="1">COUNTIFS(Paste_Report_Here!$E$1:$E$2000,E954, OFFSET(Paste_Report_Here!$A$1,0,$A977,2000,1),I$75)</f>
        <v>6</v>
      </c>
      <c r="J977" s="180">
        <f ca="1">COUNTIFS(Paste_Report_Here!$E$1:$E$2000,E954, OFFSET(Paste_Report_Here!$A$1,0,$A977,2000,1),J$75)</f>
        <v>0</v>
      </c>
      <c r="K977" s="181">
        <f ca="1">COUNTIFS(Paste_Report_Here!$E$1:$E$2000,E954, OFFSET(Paste_Report_Here!$A$1,0,$A977,2000,1),K$75)</f>
        <v>0</v>
      </c>
      <c r="L977" s="166">
        <f t="shared" ca="1" si="145"/>
        <v>31</v>
      </c>
      <c r="M977" s="183">
        <f ca="1">SUMPRODUCT(F977:K977,F958:K958)/L:L</f>
        <v>0</v>
      </c>
      <c r="N977" s="166">
        <f t="shared" ca="1" si="146"/>
        <v>1</v>
      </c>
      <c r="O977" s="165">
        <f t="shared" ca="1" si="148"/>
        <v>2101.1126870763292</v>
      </c>
      <c r="P977" s="165">
        <f t="shared" ca="1" si="147"/>
        <v>2101.1126870763292</v>
      </c>
    </row>
    <row r="978" spans="1:16" s="165" customFormat="1" x14ac:dyDescent="0.3">
      <c r="A978" s="165">
        <f>MATCH(Calcs!B978,Paste_Report_Here!$1:$1,0) -1</f>
        <v>23</v>
      </c>
      <c r="B978" s="165" t="s">
        <v>186</v>
      </c>
      <c r="C978" s="166">
        <f ca="1">RANK(N978,N960:N984)</f>
        <v>7</v>
      </c>
      <c r="D978" s="166">
        <f ca="1">RANK(P978,P960:P984)</f>
        <v>3</v>
      </c>
      <c r="E978" s="189" t="s">
        <v>180</v>
      </c>
      <c r="F978" s="179">
        <f ca="1">COUNTIFS(Paste_Report_Here!$E$1:$E$2000,E954, OFFSET(Paste_Report_Here!$A$1,0,$A978,2000,1),F$75)</f>
        <v>0</v>
      </c>
      <c r="G978" s="180">
        <f ca="1">COUNTIFS(Paste_Report_Here!$E$1:$E$2000,E954, OFFSET(Paste_Report_Here!$A$1,0,$A978,2000,1),G$75)</f>
        <v>1</v>
      </c>
      <c r="H978" s="180">
        <f ca="1">COUNTIFS(Paste_Report_Here!$E$1:$E$2000,E954, OFFSET(Paste_Report_Here!$A$1,0,$A978,2000,1),H$75)</f>
        <v>22</v>
      </c>
      <c r="I978" s="180">
        <f ca="1">COUNTIFS(Paste_Report_Here!$E$1:$E$2000,E954, OFFSET(Paste_Report_Here!$A$1,0,$A978,2000,1),I$75)</f>
        <v>8</v>
      </c>
      <c r="J978" s="180">
        <f ca="1">COUNTIFS(Paste_Report_Here!$E$1:$E$2000,E954, OFFSET(Paste_Report_Here!$A$1,0,$A978,2000,1),J$75)</f>
        <v>0</v>
      </c>
      <c r="K978" s="181">
        <f ca="1">COUNTIFS(Paste_Report_Here!$E$1:$E$2000,E954, OFFSET(Paste_Report_Here!$A$1,0,$A978,2000,1),K$75)</f>
        <v>0</v>
      </c>
      <c r="L978" s="166">
        <f t="shared" ca="1" si="145"/>
        <v>31</v>
      </c>
      <c r="M978" s="183">
        <f ca="1">SUMPRODUCT(F978:K978,F958:K958)/L:L</f>
        <v>0</v>
      </c>
      <c r="N978" s="166">
        <f t="shared" ca="1" si="146"/>
        <v>1</v>
      </c>
      <c r="O978" s="165">
        <f t="shared" ca="1" si="148"/>
        <v>3955.8615462678154</v>
      </c>
      <c r="P978" s="165">
        <f t="shared" ca="1" si="147"/>
        <v>3955.8615462678154</v>
      </c>
    </row>
    <row r="979" spans="1:16" s="165" customFormat="1" x14ac:dyDescent="0.3">
      <c r="A979" s="165">
        <f>MATCH(Calcs!B979,Paste_Report_Here!$1:$1,0) -1</f>
        <v>24</v>
      </c>
      <c r="B979" s="165" t="s">
        <v>209</v>
      </c>
      <c r="C979" s="166">
        <f ca="1">RANK(N979,N960:N984)</f>
        <v>7</v>
      </c>
      <c r="D979" s="166">
        <f ca="1">RANK(P979,P960:P984)</f>
        <v>23</v>
      </c>
      <c r="E979" s="202" t="s">
        <v>211</v>
      </c>
      <c r="F979" s="179">
        <f ca="1">COUNTIFS(Paste_Report_Here!$E$1:$E$2000,E954, OFFSET(Paste_Report_Here!$A$1,0,$A979,2000,1),F$75)</f>
        <v>0</v>
      </c>
      <c r="G979" s="180">
        <f ca="1">COUNTIFS(Paste_Report_Here!$E$1:$E$2000,E954, OFFSET(Paste_Report_Here!$A$1,0,$A979,2000,1),G$75)</f>
        <v>1</v>
      </c>
      <c r="H979" s="180">
        <f ca="1">COUNTIFS(Paste_Report_Here!$E$1:$E$2000,E954, OFFSET(Paste_Report_Here!$A$1,0,$A979,2000,1),H$75)</f>
        <v>24</v>
      </c>
      <c r="I979" s="180">
        <f ca="1">COUNTIFS(Paste_Report_Here!$E$1:$E$2000,E954, OFFSET(Paste_Report_Here!$A$1,0,$A979,2000,1),I$75)</f>
        <v>5</v>
      </c>
      <c r="J979" s="180">
        <f ca="1">COUNTIFS(Paste_Report_Here!$E$1:$E$2000,E954, OFFSET(Paste_Report_Here!$A$1,0,$A979,2000,1),J$75)</f>
        <v>0</v>
      </c>
      <c r="K979" s="181">
        <f ca="1">COUNTIFS(Paste_Report_Here!$E$1:$E$2000,E954, OFFSET(Paste_Report_Here!$A$1,0,$A979,2000,1),K$75)</f>
        <v>1</v>
      </c>
      <c r="L979" s="166">
        <f t="shared" ca="1" si="145"/>
        <v>31</v>
      </c>
      <c r="M979" s="183">
        <f ca="1">SUMPRODUCT(F979:K979,F958:K958)/L:L</f>
        <v>0</v>
      </c>
      <c r="N979" s="166">
        <f t="shared" ca="1" si="146"/>
        <v>1</v>
      </c>
      <c r="O979" s="165">
        <f t="shared" ca="1" si="148"/>
        <v>1225.5502451314032</v>
      </c>
      <c r="P979" s="165">
        <f t="shared" ca="1" si="147"/>
        <v>1225.5502451314032</v>
      </c>
    </row>
    <row r="980" spans="1:16" s="165" customFormat="1" x14ac:dyDescent="0.3">
      <c r="A980" s="165">
        <f>MATCH(Calcs!B980,Paste_Report_Here!$1:$1,0) -1</f>
        <v>25</v>
      </c>
      <c r="B980" s="165" t="s">
        <v>141</v>
      </c>
      <c r="C980" s="166">
        <f ca="1">RANK(N980,N960:N984)</f>
        <v>2</v>
      </c>
      <c r="D980" s="166">
        <f ca="1">RANK(P980,P960:P984)</f>
        <v>22</v>
      </c>
      <c r="E980" s="189" t="s">
        <v>170</v>
      </c>
      <c r="F980" s="179">
        <f ca="1">COUNTIFS(Paste_Report_Here!$E$1:$E$2000,E954, OFFSET(Paste_Report_Here!$A$1,0,$A980,2000,1),F$75)</f>
        <v>0</v>
      </c>
      <c r="G980" s="180">
        <f ca="1">COUNTIFS(Paste_Report_Here!$E$1:$E$2000,E954, OFFSET(Paste_Report_Here!$A$1,0,$A980,2000,1),G$75)</f>
        <v>3</v>
      </c>
      <c r="H980" s="180">
        <f ca="1">COUNTIFS(Paste_Report_Here!$E$1:$E$2000,E954, OFFSET(Paste_Report_Here!$A$1,0,$A980,2000,1),H$75)</f>
        <v>23</v>
      </c>
      <c r="I980" s="180">
        <f ca="1">COUNTIFS(Paste_Report_Here!$E$1:$E$2000,E954, OFFSET(Paste_Report_Here!$A$1,0,$A980,2000,1),I$75)</f>
        <v>4</v>
      </c>
      <c r="J980" s="180">
        <f ca="1">COUNTIFS(Paste_Report_Here!$E$1:$E$2000,E954, OFFSET(Paste_Report_Here!$A$1,0,$A980,2000,1),J$75)</f>
        <v>1</v>
      </c>
      <c r="K980" s="181">
        <f ca="1">COUNTIFS(Paste_Report_Here!$E$1:$E$2000,E954, OFFSET(Paste_Report_Here!$A$1,0,$A980,2000,1),K$75)</f>
        <v>0</v>
      </c>
      <c r="L980" s="166">
        <f t="shared" ca="1" si="145"/>
        <v>31</v>
      </c>
      <c r="M980" s="183">
        <f ca="1">SUMPRODUCT(F980:K980,F958:K958)/L:L</f>
        <v>6.4516129032258064E-3</v>
      </c>
      <c r="N980" s="166">
        <f t="shared" ca="1" si="146"/>
        <v>1.0064724693862794</v>
      </c>
      <c r="O980" s="165">
        <f t="shared" ca="1" si="148"/>
        <v>1387.9093662722044</v>
      </c>
      <c r="P980" s="165">
        <f t="shared" ca="1" si="147"/>
        <v>1396.8925671563318</v>
      </c>
    </row>
    <row r="981" spans="1:16" s="165" customFormat="1" x14ac:dyDescent="0.3">
      <c r="A981" s="165">
        <f>MATCH(Calcs!B981,Paste_Report_Here!$1:$1,0) -1</f>
        <v>26</v>
      </c>
      <c r="B981" s="165" t="s">
        <v>142</v>
      </c>
      <c r="C981" s="166">
        <f ca="1">RANK(N981,N960:N984)</f>
        <v>2</v>
      </c>
      <c r="D981" s="166">
        <f ca="1">RANK(P981,P960:P984)</f>
        <v>11</v>
      </c>
      <c r="E981" s="189" t="s">
        <v>171</v>
      </c>
      <c r="F981" s="179">
        <f ca="1">COUNTIFS(Paste_Report_Here!$E$1:$E$2000,E954, OFFSET(Paste_Report_Here!$A$1,0,$A981,2000,1),F$75)</f>
        <v>0</v>
      </c>
      <c r="G981" s="180">
        <f ca="1">COUNTIFS(Paste_Report_Here!$E$1:$E$2000,E954, OFFSET(Paste_Report_Here!$A$1,0,$A981,2000,1),G$75)</f>
        <v>1</v>
      </c>
      <c r="H981" s="180">
        <f ca="1">COUNTIFS(Paste_Report_Here!$E$1:$E$2000,E954, OFFSET(Paste_Report_Here!$A$1,0,$A981,2000,1),H$75)</f>
        <v>24</v>
      </c>
      <c r="I981" s="180">
        <f ca="1">COUNTIFS(Paste_Report_Here!$E$1:$E$2000,E954, OFFSET(Paste_Report_Here!$A$1,0,$A981,2000,1),I$75)</f>
        <v>5</v>
      </c>
      <c r="J981" s="180">
        <f ca="1">COUNTIFS(Paste_Report_Here!$E$1:$E$2000,E954, OFFSET(Paste_Report_Here!$A$1,0,$A981,2000,1),J$75)</f>
        <v>1</v>
      </c>
      <c r="K981" s="181">
        <f ca="1">COUNTIFS(Paste_Report_Here!$E$1:$E$2000,E954, OFFSET(Paste_Report_Here!$A$1,0,$A981,2000,1),K$75)</f>
        <v>0</v>
      </c>
      <c r="L981" s="166">
        <f t="shared" ca="1" si="145"/>
        <v>31</v>
      </c>
      <c r="M981" s="183">
        <f ca="1">SUMPRODUCT(F981:K981,F958:K958)/L:L</f>
        <v>6.4516129032258064E-3</v>
      </c>
      <c r="N981" s="166">
        <f t="shared" ca="1" si="146"/>
        <v>1.0064724693862794</v>
      </c>
      <c r="O981" s="165">
        <f t="shared" ca="1" si="148"/>
        <v>2290.123079681935</v>
      </c>
      <c r="P981" s="165">
        <f t="shared" ca="1" si="147"/>
        <v>2304.9458312059883</v>
      </c>
    </row>
    <row r="982" spans="1:16" s="165" customFormat="1" x14ac:dyDescent="0.3">
      <c r="A982" s="165">
        <f>MATCH(Calcs!B982,Paste_Report_Here!$1:$1,0) -1</f>
        <v>27</v>
      </c>
      <c r="B982" s="165" t="s">
        <v>210</v>
      </c>
      <c r="C982" s="166">
        <f ca="1">RANK(N982,N960:N984)</f>
        <v>7</v>
      </c>
      <c r="D982" s="166">
        <f ca="1">RANK(P982,P960:P984)</f>
        <v>25</v>
      </c>
      <c r="E982" s="202" t="s">
        <v>212</v>
      </c>
      <c r="F982" s="179">
        <f ca="1">COUNTIFS(Paste_Report_Here!$E$1:$E$2000,E954, OFFSET(Paste_Report_Here!$A$1,0,$A982,2000,1),F$75)</f>
        <v>0</v>
      </c>
      <c r="G982" s="180">
        <f ca="1">COUNTIFS(Paste_Report_Here!$E$1:$E$2000,E954, OFFSET(Paste_Report_Here!$A$1,0,$A982,2000,1),G$75)</f>
        <v>0</v>
      </c>
      <c r="H982" s="180">
        <f ca="1">COUNTIFS(Paste_Report_Here!$E$1:$E$2000,E954, OFFSET(Paste_Report_Here!$A$1,0,$A982,2000,1),H$75)</f>
        <v>29</v>
      </c>
      <c r="I982" s="180">
        <f ca="1">COUNTIFS(Paste_Report_Here!$E$1:$E$2000,E954, OFFSET(Paste_Report_Here!$A$1,0,$A982,2000,1),I$75)</f>
        <v>2</v>
      </c>
      <c r="J982" s="180">
        <f ca="1">COUNTIFS(Paste_Report_Here!$E$1:$E$2000,E954, OFFSET(Paste_Report_Here!$A$1,0,$A982,2000,1),J$75)</f>
        <v>0</v>
      </c>
      <c r="K982" s="181">
        <f ca="1">COUNTIFS(Paste_Report_Here!$E$1:$E$2000,E954, OFFSET(Paste_Report_Here!$A$1,0,$A982,2000,1),K$75)</f>
        <v>0</v>
      </c>
      <c r="L982" s="166">
        <f t="shared" ca="1" si="145"/>
        <v>31</v>
      </c>
      <c r="M982" s="183">
        <f ca="1">SUMPRODUCT(F982:K982,F958:K958)/L:L</f>
        <v>0</v>
      </c>
      <c r="N982" s="166">
        <f t="shared" ca="1" si="146"/>
        <v>1</v>
      </c>
      <c r="O982" s="165">
        <f t="shared" ca="1" si="148"/>
        <v>1152.660544727275</v>
      </c>
      <c r="P982" s="165">
        <f t="shared" ca="1" si="147"/>
        <v>1152.660544727275</v>
      </c>
    </row>
    <row r="983" spans="1:16" s="165" customFormat="1" x14ac:dyDescent="0.3">
      <c r="A983" s="165">
        <f>MATCH(Calcs!B983,Paste_Report_Here!$1:$1,0) -1</f>
        <v>28</v>
      </c>
      <c r="B983" s="165" t="s">
        <v>143</v>
      </c>
      <c r="C983" s="166">
        <f ca="1">RANK(N983,N961:N985)</f>
        <v>2</v>
      </c>
      <c r="D983" s="166">
        <f ca="1">RANK(P983,P960:P984)</f>
        <v>1</v>
      </c>
      <c r="E983" s="189" t="s">
        <v>172</v>
      </c>
      <c r="F983" s="179">
        <f ca="1">COUNTIFS(Paste_Report_Here!$E$1:$E$2000,E954, OFFSET(Paste_Report_Here!$A$1,0,$A983,2000,1),F$75)</f>
        <v>0</v>
      </c>
      <c r="G983" s="180">
        <f ca="1">COUNTIFS(Paste_Report_Here!$E$1:$E$2000,E954, OFFSET(Paste_Report_Here!$A$1,0,$A983,2000,1),G$75)</f>
        <v>1</v>
      </c>
      <c r="H983" s="180">
        <f ca="1">COUNTIFS(Paste_Report_Here!$E$1:$E$2000,E954, OFFSET(Paste_Report_Here!$A$1,0,$A983,2000,1),H$75)</f>
        <v>22</v>
      </c>
      <c r="I983" s="180">
        <f ca="1">COUNTIFS(Paste_Report_Here!$E$1:$E$2000,E954, OFFSET(Paste_Report_Here!$A$1,0,$A983,2000,1),I$75)</f>
        <v>7</v>
      </c>
      <c r="J983" s="180">
        <f ca="1">COUNTIFS(Paste_Report_Here!$E$1:$E$2000,E954, OFFSET(Paste_Report_Here!$A$1,0,$A983,2000,1),J$75)</f>
        <v>1</v>
      </c>
      <c r="K983" s="181">
        <f ca="1">COUNTIFS(Paste_Report_Here!$E$1:$E$2000,E954, OFFSET(Paste_Report_Here!$A$1,0,$A983,2000,1),K$75)</f>
        <v>0</v>
      </c>
      <c r="L983" s="166">
        <f t="shared" ca="1" si="145"/>
        <v>31</v>
      </c>
      <c r="M983" s="183">
        <f ca="1">SUMPRODUCT(F983:K983,F958:K958)/L:L</f>
        <v>6.4516129032258064E-3</v>
      </c>
      <c r="N983" s="166">
        <f t="shared" ca="1" si="146"/>
        <v>1.0064724693862794</v>
      </c>
      <c r="O983" s="165">
        <f t="shared" ca="1" si="148"/>
        <v>8236.0825600631542</v>
      </c>
      <c r="P983" s="165">
        <f t="shared" ca="1" si="147"/>
        <v>8289.3903522960336</v>
      </c>
    </row>
    <row r="984" spans="1:16" s="165" customFormat="1" x14ac:dyDescent="0.3">
      <c r="A984" s="165">
        <f>MATCH(Calcs!B984,Paste_Report_Here!$1:$1,0) -1</f>
        <v>29</v>
      </c>
      <c r="B984" s="187" t="s">
        <v>144</v>
      </c>
      <c r="C984" s="147">
        <f ca="1">RANK(N984,N960:N984)</f>
        <v>23</v>
      </c>
      <c r="D984" s="147">
        <f ca="1">RANK(P984,P960:P984)</f>
        <v>12</v>
      </c>
      <c r="E984" s="145" t="s">
        <v>173</v>
      </c>
      <c r="F984" s="146">
        <f ca="1">COUNTIFS(Paste_Report_Here!$E$1:$E$2000,E954, OFFSET(Paste_Report_Here!$A$1,0,$A984,2000,1),F$75)</f>
        <v>1</v>
      </c>
      <c r="G984" s="147">
        <f ca="1">COUNTIFS(Paste_Report_Here!$E$1:$E$2000,E954, OFFSET(Paste_Report_Here!$A$1,0,$A984,2000,1),G$75)</f>
        <v>0</v>
      </c>
      <c r="H984" s="147">
        <f ca="1">COUNTIFS(Paste_Report_Here!$E$1:$E$2000,E954, OFFSET(Paste_Report_Here!$A$1,0,$A984,2000,1),H$75)</f>
        <v>26</v>
      </c>
      <c r="I984" s="147">
        <f ca="1">COUNTIFS(Paste_Report_Here!$E$1:$E$2000,E954, OFFSET(Paste_Report_Here!$A$1,0,$A984,2000,1),I$75)</f>
        <v>4</v>
      </c>
      <c r="J984" s="147">
        <f ca="1">COUNTIFS(Paste_Report_Here!$E$1:$E$2000,E954, OFFSET(Paste_Report_Here!$A$1,0,$A984,2000,1),J$75)</f>
        <v>0</v>
      </c>
      <c r="K984" s="148">
        <f ca="1">COUNTIFS(Paste_Report_Here!$E$1:$E$2000,E954, OFFSET(Paste_Report_Here!$A$1,0,$A984,2000,1),K$75)</f>
        <v>0</v>
      </c>
      <c r="L984" s="147">
        <f t="shared" ca="1" si="145"/>
        <v>31</v>
      </c>
      <c r="M984" s="149">
        <f ca="1">SUMPRODUCT(F984:K984,F958:K958)/L:L</f>
        <v>-6.4516129032258064E-3</v>
      </c>
      <c r="N984" s="147">
        <f t="shared" ca="1" si="146"/>
        <v>0.99356915406714885</v>
      </c>
      <c r="O984" s="187">
        <f t="shared" ca="1" si="148"/>
        <v>2287.131018766489</v>
      </c>
      <c r="P984" s="165">
        <f t="shared" ca="1" si="147"/>
        <v>2272.422831556557</v>
      </c>
    </row>
    <row r="985" spans="1:16" s="165" customFormat="1" x14ac:dyDescent="0.3">
      <c r="C985" s="166"/>
      <c r="E985" s="140" t="s">
        <v>293</v>
      </c>
      <c r="F985" s="180">
        <f ca="1">SUM(F960:F984)</f>
        <v>3</v>
      </c>
      <c r="G985" s="180">
        <f t="shared" ref="G985:L985" ca="1" si="149">SUM(G960:G984)</f>
        <v>38</v>
      </c>
      <c r="H985" s="180">
        <f t="shared" ca="1" si="149"/>
        <v>591</v>
      </c>
      <c r="I985" s="180">
        <f t="shared" ca="1" si="149"/>
        <v>133</v>
      </c>
      <c r="J985" s="180">
        <f t="shared" ca="1" si="149"/>
        <v>7</v>
      </c>
      <c r="K985" s="180">
        <f t="shared" ca="1" si="149"/>
        <v>3</v>
      </c>
      <c r="L985" s="180">
        <f t="shared" ca="1" si="149"/>
        <v>775</v>
      </c>
      <c r="M985" s="144">
        <f ca="1">SUMPRODUCT(F985:K985,F958:K958)/L985</f>
        <v>1.0322580645161291E-3</v>
      </c>
      <c r="N985" s="166">
        <f t="shared" ca="1" si="146"/>
        <v>1.0010327910262409</v>
      </c>
      <c r="O985" s="165">
        <f t="shared" ca="1" si="148"/>
        <v>2676.8109683758216</v>
      </c>
      <c r="P985" s="165">
        <f t="shared" ca="1" si="147"/>
        <v>2679.5755547229032</v>
      </c>
    </row>
    <row r="986" spans="1:16" s="165" customFormat="1" x14ac:dyDescent="0.3">
      <c r="A986" s="194"/>
      <c r="B986" s="194"/>
      <c r="C986" s="153"/>
      <c r="D986" s="194"/>
      <c r="E986" s="164"/>
      <c r="F986" s="151"/>
      <c r="G986" s="151"/>
      <c r="H986" s="151"/>
      <c r="I986" s="151"/>
      <c r="J986" s="151"/>
      <c r="K986" s="151"/>
      <c r="L986" s="151"/>
      <c r="M986" s="162"/>
      <c r="N986" s="153"/>
      <c r="O986" s="194"/>
      <c r="P986" s="194"/>
    </row>
    <row r="987" spans="1:16" s="165" customFormat="1" x14ac:dyDescent="0.3">
      <c r="E987" s="173" t="s">
        <v>292</v>
      </c>
    </row>
    <row r="988" spans="1:16" s="165" customFormat="1" x14ac:dyDescent="0.3">
      <c r="E988" s="141">
        <v>41424</v>
      </c>
    </row>
    <row r="989" spans="1:16" s="165" customFormat="1" ht="15" thickBot="1" x14ac:dyDescent="0.35"/>
    <row r="990" spans="1:16" s="165" customFormat="1" ht="24.6" thickBot="1" x14ac:dyDescent="0.35">
      <c r="F990" s="174" t="s">
        <v>23</v>
      </c>
      <c r="G990" s="168" t="s">
        <v>18</v>
      </c>
      <c r="H990" s="168" t="s">
        <v>16</v>
      </c>
      <c r="I990" s="168" t="s">
        <v>17</v>
      </c>
      <c r="J990" s="168" t="s">
        <v>19</v>
      </c>
      <c r="K990" s="169" t="s">
        <v>114</v>
      </c>
    </row>
    <row r="991" spans="1:16" s="165" customFormat="1" x14ac:dyDescent="0.3">
      <c r="F991" s="267" t="s">
        <v>201</v>
      </c>
      <c r="G991" s="268"/>
      <c r="H991" s="268"/>
      <c r="I991" s="268"/>
      <c r="J991" s="268"/>
      <c r="K991" s="169"/>
      <c r="M991" s="203">
        <f ca="1">(H1019+K1019)/L1019</f>
        <v>0.70709677419354844</v>
      </c>
      <c r="N991" s="204" t="s">
        <v>501</v>
      </c>
    </row>
    <row r="992" spans="1:16" s="165" customFormat="1" ht="43.8" thickBot="1" x14ac:dyDescent="0.35">
      <c r="A992" s="142" t="s">
        <v>294</v>
      </c>
      <c r="B992" s="142" t="s">
        <v>295</v>
      </c>
      <c r="C992" s="197" t="s">
        <v>440</v>
      </c>
      <c r="D992" s="142" t="s">
        <v>441</v>
      </c>
      <c r="E992" s="171" t="s">
        <v>30</v>
      </c>
      <c r="F992" s="175">
        <f>Falling_fast</f>
        <v>-0.2</v>
      </c>
      <c r="G992" s="176">
        <f>Falling</f>
        <v>0</v>
      </c>
      <c r="H992" s="177">
        <f>Static</f>
        <v>0</v>
      </c>
      <c r="I992" s="176">
        <f>Rising</f>
        <v>0</v>
      </c>
      <c r="J992" s="178">
        <f>Rising_fast</f>
        <v>0.2</v>
      </c>
      <c r="K992" s="182">
        <v>0</v>
      </c>
      <c r="L992" s="171" t="s">
        <v>28</v>
      </c>
      <c r="M992" s="172" t="s">
        <v>29</v>
      </c>
      <c r="N992" s="143" t="s">
        <v>296</v>
      </c>
      <c r="O992" s="142" t="s">
        <v>297</v>
      </c>
      <c r="P992" s="142" t="s">
        <v>298</v>
      </c>
    </row>
    <row r="993" spans="1:16" s="165" customFormat="1" x14ac:dyDescent="0.3">
      <c r="C993" s="166"/>
      <c r="E993" s="192"/>
      <c r="F993" s="198" t="s">
        <v>151</v>
      </c>
      <c r="G993" s="199" t="s">
        <v>149</v>
      </c>
      <c r="H993" s="199" t="s">
        <v>16</v>
      </c>
      <c r="I993" s="199" t="s">
        <v>148</v>
      </c>
      <c r="J993" s="199" t="s">
        <v>150</v>
      </c>
      <c r="K993" s="200" t="s">
        <v>114</v>
      </c>
      <c r="L993" s="166"/>
      <c r="M993" s="170"/>
      <c r="N993" s="166"/>
    </row>
    <row r="994" spans="1:16" s="165" customFormat="1" x14ac:dyDescent="0.3">
      <c r="A994" s="165">
        <f>MATCH(Calcs!B994,Paste_Report_Here!$1:$1,0) -1</f>
        <v>5</v>
      </c>
      <c r="B994" s="165" t="s">
        <v>124</v>
      </c>
      <c r="C994" s="166">
        <f ca="1">RANK(N994,N994:N1018)</f>
        <v>24</v>
      </c>
      <c r="D994" s="166">
        <f ca="1">RANK(P994,P994:P1018)</f>
        <v>15</v>
      </c>
      <c r="E994" s="189" t="s">
        <v>152</v>
      </c>
      <c r="F994" s="179">
        <f ca="1">COUNTIFS(Paste_Report_Here!$E$1:$E$2000,E988, OFFSET(Paste_Report_Here!$A$1,0,$A994,2000,1),F$75)</f>
        <v>1</v>
      </c>
      <c r="G994" s="180">
        <f ca="1">COUNTIFS(Paste_Report_Here!$E$1:$E$2000,E988, OFFSET(Paste_Report_Here!$A$1,0,$A994,2000,1),G$75)</f>
        <v>2</v>
      </c>
      <c r="H994" s="180">
        <f ca="1">COUNTIFS(Paste_Report_Here!$E$1:$E$2000,E988, OFFSET(Paste_Report_Here!$A$1,0,$A994,2000,1),H$75)</f>
        <v>25</v>
      </c>
      <c r="I994" s="180">
        <f ca="1">COUNTIFS(Paste_Report_Here!$E$1:$E$2000,E988, OFFSET(Paste_Report_Here!$A$1,0,$A994,2000,1),I$75)</f>
        <v>3</v>
      </c>
      <c r="J994" s="180">
        <f ca="1">COUNTIFS(Paste_Report_Here!$E$1:$E$2000,E988, OFFSET(Paste_Report_Here!$A$1,0,$A994,2000,1),J$75)</f>
        <v>0</v>
      </c>
      <c r="K994" s="181">
        <f ca="1">COUNTIFS(Paste_Report_Here!$E$1:$E$2000,E988, OFFSET(Paste_Report_Here!$A$1,0,$A994,2000,1),K$75)</f>
        <v>0</v>
      </c>
      <c r="L994" s="166">
        <f t="shared" ref="L994:L1018" ca="1" si="150">SUM(F994:K994)</f>
        <v>31</v>
      </c>
      <c r="M994" s="183">
        <f ca="1">SUMPRODUCT(F994:K994,F992:K992)/L:L</f>
        <v>-6.4516129032258064E-3</v>
      </c>
      <c r="N994" s="166">
        <f t="shared" ref="N994:N1019" ca="1" si="151">EXP(M994)</f>
        <v>0.99356915406714885</v>
      </c>
      <c r="O994" s="165">
        <f ca="1">P960</f>
        <v>2135.2986815484705</v>
      </c>
      <c r="P994" s="165">
        <f t="shared" ref="P994:P1019" ca="1" si="152">O994*N994</f>
        <v>2121.5669047068122</v>
      </c>
    </row>
    <row r="995" spans="1:16" s="165" customFormat="1" x14ac:dyDescent="0.3">
      <c r="A995" s="165">
        <f>MATCH(Calcs!B995,Paste_Report_Here!$1:$1,0) -1</f>
        <v>6</v>
      </c>
      <c r="B995" s="165" t="s">
        <v>125</v>
      </c>
      <c r="C995" s="166">
        <f ca="1">RANK(N995,N994:N1018)</f>
        <v>13</v>
      </c>
      <c r="D995" s="166">
        <f ca="1">RANK(P995,P994:P1018)</f>
        <v>13</v>
      </c>
      <c r="E995" s="189" t="s">
        <v>153</v>
      </c>
      <c r="F995" s="179">
        <f ca="1">COUNTIFS(Paste_Report_Here!$E$1:$E$2000,E988, OFFSET(Paste_Report_Here!$A$1,0,$A995,2000,1),F$75)</f>
        <v>0</v>
      </c>
      <c r="G995" s="180">
        <f ca="1">COUNTIFS(Paste_Report_Here!$E$1:$E$2000,E988, OFFSET(Paste_Report_Here!$A$1,0,$A995,2000,1),G$75)</f>
        <v>2</v>
      </c>
      <c r="H995" s="180">
        <f ca="1">COUNTIFS(Paste_Report_Here!$E$1:$E$2000,E988, OFFSET(Paste_Report_Here!$A$1,0,$A995,2000,1),H$75)</f>
        <v>25</v>
      </c>
      <c r="I995" s="180">
        <f ca="1">COUNTIFS(Paste_Report_Here!$E$1:$E$2000,E988, OFFSET(Paste_Report_Here!$A$1,0,$A995,2000,1),I$75)</f>
        <v>3</v>
      </c>
      <c r="J995" s="180">
        <f ca="1">COUNTIFS(Paste_Report_Here!$E$1:$E$2000,E988, OFFSET(Paste_Report_Here!$A$1,0,$A995,2000,1),J$75)</f>
        <v>0</v>
      </c>
      <c r="K995" s="181">
        <f ca="1">COUNTIFS(Paste_Report_Here!$E$1:$E$2000,E988, OFFSET(Paste_Report_Here!$A$1,0,$A995,2000,1),K$75)</f>
        <v>1</v>
      </c>
      <c r="L995" s="166">
        <f t="shared" ca="1" si="150"/>
        <v>31</v>
      </c>
      <c r="M995" s="183">
        <f ca="1">SUMPRODUCT(F995:K995,F992:K992)/L:L</f>
        <v>0</v>
      </c>
      <c r="N995" s="166">
        <f t="shared" ca="1" si="151"/>
        <v>1</v>
      </c>
      <c r="O995" s="165">
        <f t="shared" ref="O995:O1019" ca="1" si="153">P961</f>
        <v>2151.0895905640336</v>
      </c>
      <c r="P995" s="165">
        <f t="shared" ca="1" si="152"/>
        <v>2151.0895905640336</v>
      </c>
    </row>
    <row r="996" spans="1:16" s="165" customFormat="1" x14ac:dyDescent="0.3">
      <c r="A996" s="165">
        <f>MATCH(Calcs!B996,Paste_Report_Here!$1:$1,0) -1</f>
        <v>7</v>
      </c>
      <c r="B996" s="165" t="s">
        <v>126</v>
      </c>
      <c r="C996" s="166">
        <f ca="1">RANK(N996,N994:N1018)</f>
        <v>5</v>
      </c>
      <c r="D996" s="166">
        <f ca="1">RANK(P996,P994:P1018)</f>
        <v>7</v>
      </c>
      <c r="E996" s="189" t="s">
        <v>154</v>
      </c>
      <c r="F996" s="179">
        <f ca="1">COUNTIFS(Paste_Report_Here!$E$1:$E$2000,E988, OFFSET(Paste_Report_Here!$A$1,0,$A996,2000,1),F$75)</f>
        <v>0</v>
      </c>
      <c r="G996" s="180">
        <f ca="1">COUNTIFS(Paste_Report_Here!$E$1:$E$2000,E988, OFFSET(Paste_Report_Here!$A$1,0,$A996,2000,1),G$75)</f>
        <v>1</v>
      </c>
      <c r="H996" s="180">
        <f ca="1">COUNTIFS(Paste_Report_Here!$E$1:$E$2000,E988, OFFSET(Paste_Report_Here!$A$1,0,$A996,2000,1),H$75)</f>
        <v>23</v>
      </c>
      <c r="I996" s="180">
        <f ca="1">COUNTIFS(Paste_Report_Here!$E$1:$E$2000,E988, OFFSET(Paste_Report_Here!$A$1,0,$A996,2000,1),I$75)</f>
        <v>6</v>
      </c>
      <c r="J996" s="180">
        <f ca="1">COUNTIFS(Paste_Report_Here!$E$1:$E$2000,E988, OFFSET(Paste_Report_Here!$A$1,0,$A996,2000,1),J$75)</f>
        <v>1</v>
      </c>
      <c r="K996" s="181">
        <f ca="1">COUNTIFS(Paste_Report_Here!$E$1:$E$2000,E988, OFFSET(Paste_Report_Here!$A$1,0,$A996,2000,1),K$75)</f>
        <v>0</v>
      </c>
      <c r="L996" s="166">
        <f t="shared" ca="1" si="150"/>
        <v>31</v>
      </c>
      <c r="M996" s="183">
        <f ca="1">SUMPRODUCT(F996:K996,F992:K992)/L:L</f>
        <v>6.4516129032258064E-3</v>
      </c>
      <c r="N996" s="166">
        <f t="shared" ca="1" si="151"/>
        <v>1.0064724693862794</v>
      </c>
      <c r="O996" s="165">
        <f t="shared" ca="1" si="153"/>
        <v>2824.7019227686728</v>
      </c>
      <c r="P996" s="165">
        <f t="shared" ca="1" si="152"/>
        <v>2842.9847194891577</v>
      </c>
    </row>
    <row r="997" spans="1:16" s="165" customFormat="1" x14ac:dyDescent="0.3">
      <c r="A997" s="165">
        <f>MATCH(Calcs!B997,Paste_Report_Here!$1:$1,0) -1</f>
        <v>8</v>
      </c>
      <c r="B997" s="165" t="s">
        <v>127</v>
      </c>
      <c r="C997" s="166">
        <f ca="1">RANK(N997,N994:N1018)</f>
        <v>4</v>
      </c>
      <c r="D997" s="166">
        <f ca="1">RANK(P997,P994:P1018)</f>
        <v>8</v>
      </c>
      <c r="E997" s="189" t="s">
        <v>155</v>
      </c>
      <c r="F997" s="179">
        <f ca="1">COUNTIFS(Paste_Report_Here!$E$1:$E$2000,E988, OFFSET(Paste_Report_Here!$A$1,0,$A997,2000,1),F$75)</f>
        <v>0</v>
      </c>
      <c r="G997" s="180">
        <f ca="1">COUNTIFS(Paste_Report_Here!$E$1:$E$2000,E988, OFFSET(Paste_Report_Here!$A$1,0,$A997,2000,1),G$75)</f>
        <v>2</v>
      </c>
      <c r="H997" s="180">
        <f ca="1">COUNTIFS(Paste_Report_Here!$E$1:$E$2000,E988, OFFSET(Paste_Report_Here!$A$1,0,$A997,2000,1),H$75)</f>
        <v>12</v>
      </c>
      <c r="I997" s="180">
        <f ca="1">COUNTIFS(Paste_Report_Here!$E$1:$E$2000,E988, OFFSET(Paste_Report_Here!$A$1,0,$A997,2000,1),I$75)</f>
        <v>15</v>
      </c>
      <c r="J997" s="180">
        <f ca="1">COUNTIFS(Paste_Report_Here!$E$1:$E$2000,E988, OFFSET(Paste_Report_Here!$A$1,0,$A997,2000,1),J$75)</f>
        <v>2</v>
      </c>
      <c r="K997" s="181">
        <f ca="1">COUNTIFS(Paste_Report_Here!$E$1:$E$2000,E988, OFFSET(Paste_Report_Here!$A$1,0,$A997,2000,1),K$75)</f>
        <v>0</v>
      </c>
      <c r="L997" s="166">
        <f t="shared" ca="1" si="150"/>
        <v>31</v>
      </c>
      <c r="M997" s="183">
        <f ca="1">SUMPRODUCT(F997:K997,F992:K992)/L:L</f>
        <v>1.2903225806451613E-2</v>
      </c>
      <c r="N997" s="166">
        <f t="shared" ca="1" si="151"/>
        <v>1.012986831632515</v>
      </c>
      <c r="O997" s="165">
        <f t="shared" ca="1" si="153"/>
        <v>2805.6373251923183</v>
      </c>
      <c r="P997" s="165">
        <f t="shared" ca="1" si="152"/>
        <v>2842.0736647564909</v>
      </c>
    </row>
    <row r="998" spans="1:16" s="165" customFormat="1" x14ac:dyDescent="0.3">
      <c r="A998" s="165">
        <f>MATCH(Calcs!B998,Paste_Report_Here!$1:$1,0) -1</f>
        <v>9</v>
      </c>
      <c r="B998" s="165" t="s">
        <v>214</v>
      </c>
      <c r="C998" s="166">
        <f ca="1">RANK(N998,N994:N1018)</f>
        <v>5</v>
      </c>
      <c r="D998" s="166">
        <f ca="1">RANK(P998,P994:P1018)</f>
        <v>5</v>
      </c>
      <c r="E998" s="189" t="s">
        <v>156</v>
      </c>
      <c r="F998" s="179">
        <f ca="1">COUNTIFS(Paste_Report_Here!$E$1:$E$2000,E988, OFFSET(Paste_Report_Here!$A$1,0,$A998,2000,1),F$75)</f>
        <v>0</v>
      </c>
      <c r="G998" s="180">
        <f ca="1">COUNTIFS(Paste_Report_Here!$E$1:$E$2000,E988, OFFSET(Paste_Report_Here!$A$1,0,$A998,2000,1),G$75)</f>
        <v>2</v>
      </c>
      <c r="H998" s="180">
        <f ca="1">COUNTIFS(Paste_Report_Here!$E$1:$E$2000,E988, OFFSET(Paste_Report_Here!$A$1,0,$A998,2000,1),H$75)</f>
        <v>17</v>
      </c>
      <c r="I998" s="180">
        <f ca="1">COUNTIFS(Paste_Report_Here!$E$1:$E$2000,E988, OFFSET(Paste_Report_Here!$A$1,0,$A998,2000,1),I$75)</f>
        <v>10</v>
      </c>
      <c r="J998" s="180">
        <f ca="1">COUNTIFS(Paste_Report_Here!$E$1:$E$2000,E988, OFFSET(Paste_Report_Here!$A$1,0,$A998,2000,1),J$75)</f>
        <v>1</v>
      </c>
      <c r="K998" s="181">
        <f ca="1">COUNTIFS(Paste_Report_Here!$E$1:$E$2000,E988, OFFSET(Paste_Report_Here!$A$1,0,$A998,2000,1),K$75)</f>
        <v>1</v>
      </c>
      <c r="L998" s="166">
        <f t="shared" ca="1" si="150"/>
        <v>31</v>
      </c>
      <c r="M998" s="183">
        <f ca="1">SUMPRODUCT(F998:K998,F992:K992)/L:L</f>
        <v>6.4516129032258064E-3</v>
      </c>
      <c r="N998" s="166">
        <f t="shared" ca="1" si="151"/>
        <v>1.0064724693862794</v>
      </c>
      <c r="O998" s="165">
        <f t="shared" ca="1" si="153"/>
        <v>3730.0026277052539</v>
      </c>
      <c r="P998" s="165">
        <f t="shared" ca="1" si="152"/>
        <v>3754.1449555238178</v>
      </c>
    </row>
    <row r="999" spans="1:16" s="165" customFormat="1" x14ac:dyDescent="0.3">
      <c r="A999" s="165">
        <f>MATCH(Calcs!B999,Paste_Report_Here!$1:$1,0) -1</f>
        <v>10</v>
      </c>
      <c r="B999" s="165" t="s">
        <v>128</v>
      </c>
      <c r="C999" s="166">
        <f ca="1">RANK(N999,N994:N1018)</f>
        <v>13</v>
      </c>
      <c r="D999" s="166">
        <f ca="1">RANK(P999,P994:P1018)</f>
        <v>21</v>
      </c>
      <c r="E999" s="189" t="s">
        <v>157</v>
      </c>
      <c r="F999" s="179">
        <f ca="1">COUNTIFS(Paste_Report_Here!$E$1:$E$2000,E988, OFFSET(Paste_Report_Here!$A$1,0,$A999,2000,1),F$75)</f>
        <v>0</v>
      </c>
      <c r="G999" s="180">
        <f ca="1">COUNTIFS(Paste_Report_Here!$E$1:$E$2000,E988, OFFSET(Paste_Report_Here!$A$1,0,$A999,2000,1),G$75)</f>
        <v>3</v>
      </c>
      <c r="H999" s="180">
        <f ca="1">COUNTIFS(Paste_Report_Here!$E$1:$E$2000,E988, OFFSET(Paste_Report_Here!$A$1,0,$A999,2000,1),H$75)</f>
        <v>25</v>
      </c>
      <c r="I999" s="180">
        <f ca="1">COUNTIFS(Paste_Report_Here!$E$1:$E$2000,E988, OFFSET(Paste_Report_Here!$A$1,0,$A999,2000,1),I$75)</f>
        <v>3</v>
      </c>
      <c r="J999" s="180">
        <f ca="1">COUNTIFS(Paste_Report_Here!$E$1:$E$2000,E988, OFFSET(Paste_Report_Here!$A$1,0,$A999,2000,1),J$75)</f>
        <v>0</v>
      </c>
      <c r="K999" s="181">
        <f ca="1">COUNTIFS(Paste_Report_Here!$E$1:$E$2000,E988, OFFSET(Paste_Report_Here!$A$1,0,$A999,2000,1),K$75)</f>
        <v>0</v>
      </c>
      <c r="L999" s="166">
        <f t="shared" ca="1" si="150"/>
        <v>31</v>
      </c>
      <c r="M999" s="183">
        <f ca="1">SUMPRODUCT(F999:K999,F992:K992)/L:L</f>
        <v>0</v>
      </c>
      <c r="N999" s="166">
        <f t="shared" ca="1" si="151"/>
        <v>1</v>
      </c>
      <c r="O999" s="165">
        <f t="shared" ca="1" si="153"/>
        <v>1660.0875221582219</v>
      </c>
      <c r="P999" s="165">
        <f t="shared" ca="1" si="152"/>
        <v>1660.0875221582219</v>
      </c>
    </row>
    <row r="1000" spans="1:16" s="165" customFormat="1" x14ac:dyDescent="0.3">
      <c r="A1000" s="165">
        <f>MATCH(Calcs!B1000,Paste_Report_Here!$1:$1,0) -1</f>
        <v>11</v>
      </c>
      <c r="B1000" s="165" t="s">
        <v>129</v>
      </c>
      <c r="C1000" s="166">
        <f ca="1">RANK(N1000,N994:N1018)</f>
        <v>2</v>
      </c>
      <c r="D1000" s="166">
        <f ca="1">RANK(P1000,P994:P1018)</f>
        <v>9</v>
      </c>
      <c r="E1000" s="189" t="s">
        <v>158</v>
      </c>
      <c r="F1000" s="179">
        <f ca="1">COUNTIFS(Paste_Report_Here!$E$1:$E$2000,E988, OFFSET(Paste_Report_Here!$A$1,0,$A1000,2000,1),F$75)</f>
        <v>0</v>
      </c>
      <c r="G1000" s="180">
        <f ca="1">COUNTIFS(Paste_Report_Here!$E$1:$E$2000,E988, OFFSET(Paste_Report_Here!$A$1,0,$A1000,2000,1),G$75)</f>
        <v>1</v>
      </c>
      <c r="H1000" s="180">
        <f ca="1">COUNTIFS(Paste_Report_Here!$E$1:$E$2000,E988, OFFSET(Paste_Report_Here!$A$1,0,$A1000,2000,1),H$75)</f>
        <v>17</v>
      </c>
      <c r="I1000" s="180">
        <f ca="1">COUNTIFS(Paste_Report_Here!$E$1:$E$2000,E988, OFFSET(Paste_Report_Here!$A$1,0,$A1000,2000,1),I$75)</f>
        <v>9</v>
      </c>
      <c r="J1000" s="180">
        <f ca="1">COUNTIFS(Paste_Report_Here!$E$1:$E$2000,E988, OFFSET(Paste_Report_Here!$A$1,0,$A1000,2000,1),J$75)</f>
        <v>4</v>
      </c>
      <c r="K1000" s="181">
        <f ca="1">COUNTIFS(Paste_Report_Here!$E$1:$E$2000,E988, OFFSET(Paste_Report_Here!$A$1,0,$A1000,2000,1),K$75)</f>
        <v>0</v>
      </c>
      <c r="L1000" s="166">
        <f t="shared" ca="1" si="150"/>
        <v>31</v>
      </c>
      <c r="M1000" s="183">
        <f ca="1">SUMPRODUCT(F1000:K1000,F992:K992)/L:L</f>
        <v>2.5806451612903226E-2</v>
      </c>
      <c r="N1000" s="166">
        <f t="shared" ca="1" si="151"/>
        <v>1.0261423210608815</v>
      </c>
      <c r="O1000" s="165">
        <f t="shared" ca="1" si="153"/>
        <v>2558.6541593498532</v>
      </c>
      <c r="P1000" s="165">
        <f t="shared" ca="1" si="152"/>
        <v>2625.543317867337</v>
      </c>
    </row>
    <row r="1001" spans="1:16" s="165" customFormat="1" x14ac:dyDescent="0.3">
      <c r="A1001" s="165">
        <f>MATCH(Calcs!B1001,Paste_Report_Here!$1:$1,0) -1</f>
        <v>12</v>
      </c>
      <c r="B1001" s="165" t="s">
        <v>130</v>
      </c>
      <c r="C1001" s="166">
        <f ca="1">RANK(N1001,N995:N1019)</f>
        <v>1</v>
      </c>
      <c r="D1001" s="166">
        <f ca="1">RANK(P1001,P994:P1018)</f>
        <v>10</v>
      </c>
      <c r="E1001" s="189" t="s">
        <v>159</v>
      </c>
      <c r="F1001" s="179">
        <f ca="1">COUNTIFS(Paste_Report_Here!$E$1:$E$2000,E988, OFFSET(Paste_Report_Here!$A$1,0,$A1001,2000,1),F$75)</f>
        <v>0</v>
      </c>
      <c r="G1001" s="180">
        <f ca="1">COUNTIFS(Paste_Report_Here!$E$1:$E$2000,E988, OFFSET(Paste_Report_Here!$A$1,0,$A1001,2000,1),G$75)</f>
        <v>1</v>
      </c>
      <c r="H1001" s="180">
        <f ca="1">COUNTIFS(Paste_Report_Here!$E$1:$E$2000,E988, OFFSET(Paste_Report_Here!$A$1,0,$A1001,2000,1),H$75)</f>
        <v>16</v>
      </c>
      <c r="I1001" s="180">
        <f ca="1">COUNTIFS(Paste_Report_Here!$E$1:$E$2000,E988, OFFSET(Paste_Report_Here!$A$1,0,$A1001,2000,1),I$75)</f>
        <v>8</v>
      </c>
      <c r="J1001" s="180">
        <f ca="1">COUNTIFS(Paste_Report_Here!$E$1:$E$2000,E988, OFFSET(Paste_Report_Here!$A$1,0,$A1001,2000,1),J$75)</f>
        <v>6</v>
      </c>
      <c r="K1001" s="181">
        <f ca="1">COUNTIFS(Paste_Report_Here!$E$1:$E$2000,E988, OFFSET(Paste_Report_Here!$A$1,0,$A1001,2000,1),K$75)</f>
        <v>0</v>
      </c>
      <c r="L1001" s="166">
        <f t="shared" ca="1" si="150"/>
        <v>31</v>
      </c>
      <c r="M1001" s="183">
        <f ca="1">SUMPRODUCT(F1001:K1001,F992:K992)/L:L</f>
        <v>3.8709677419354847E-2</v>
      </c>
      <c r="N1001" s="166">
        <f t="shared" ca="1" si="151"/>
        <v>1.0394686586154973</v>
      </c>
      <c r="O1001" s="165">
        <f t="shared" ca="1" si="153"/>
        <v>2402.3267159907182</v>
      </c>
      <c r="P1001" s="165">
        <f t="shared" ca="1" si="152"/>
        <v>2497.1433290270447</v>
      </c>
    </row>
    <row r="1002" spans="1:16" s="165" customFormat="1" x14ac:dyDescent="0.3">
      <c r="A1002" s="165">
        <f>MATCH(Calcs!B1002,Paste_Report_Here!$1:$1,0) -1</f>
        <v>13</v>
      </c>
      <c r="B1002" s="165" t="s">
        <v>131</v>
      </c>
      <c r="C1002" s="166">
        <f ca="1">RANK(N1002,N996:N1020)</f>
        <v>5</v>
      </c>
      <c r="D1002" s="166">
        <f ca="1">RANK(P1002,P994:P1018)</f>
        <v>2</v>
      </c>
      <c r="E1002" s="189" t="s">
        <v>160</v>
      </c>
      <c r="F1002" s="179">
        <f ca="1">COUNTIFS(Paste_Report_Here!$E$1:$E$2000,E988, OFFSET(Paste_Report_Here!$A$1,0,$A1002,2000,1),F$75)</f>
        <v>0</v>
      </c>
      <c r="G1002" s="180">
        <f ca="1">COUNTIFS(Paste_Report_Here!$E$1:$E$2000,E988, OFFSET(Paste_Report_Here!$A$1,0,$A1002,2000,1),G$75)</f>
        <v>0</v>
      </c>
      <c r="H1002" s="180">
        <f ca="1">COUNTIFS(Paste_Report_Here!$E$1:$E$2000,E988, OFFSET(Paste_Report_Here!$A$1,0,$A1002,2000,1),H$75)</f>
        <v>23</v>
      </c>
      <c r="I1002" s="180">
        <f ca="1">COUNTIFS(Paste_Report_Here!$E$1:$E$2000,E988, OFFSET(Paste_Report_Here!$A$1,0,$A1002,2000,1),I$75)</f>
        <v>7</v>
      </c>
      <c r="J1002" s="180">
        <f ca="1">COUNTIFS(Paste_Report_Here!$E$1:$E$2000,E988, OFFSET(Paste_Report_Here!$A$1,0,$A1002,2000,1),J$75)</f>
        <v>1</v>
      </c>
      <c r="K1002" s="181">
        <f ca="1">COUNTIFS(Paste_Report_Here!$E$1:$E$2000,E988, OFFSET(Paste_Report_Here!$A$1,0,$A1002,2000,1),K$75)</f>
        <v>0</v>
      </c>
      <c r="L1002" s="166">
        <f t="shared" ca="1" si="150"/>
        <v>31</v>
      </c>
      <c r="M1002" s="183">
        <f ca="1">SUMPRODUCT(F1002:K1002,F992:K992)/L:L</f>
        <v>6.4516129032258064E-3</v>
      </c>
      <c r="N1002" s="166">
        <f t="shared" ca="1" si="151"/>
        <v>1.0064724693862794</v>
      </c>
      <c r="O1002" s="165">
        <f t="shared" ca="1" si="153"/>
        <v>4184.2660975998351</v>
      </c>
      <c r="P1002" s="165">
        <f t="shared" ca="1" si="152"/>
        <v>4211.3486318205969</v>
      </c>
    </row>
    <row r="1003" spans="1:16" s="165" customFormat="1" x14ac:dyDescent="0.3">
      <c r="A1003" s="165">
        <f>MATCH(Calcs!B1003,Paste_Report_Here!$1:$1,0) -1</f>
        <v>14</v>
      </c>
      <c r="B1003" s="165" t="s">
        <v>132</v>
      </c>
      <c r="C1003" s="166">
        <f ca="1">RANK(N1003,N997:N1021)</f>
        <v>13</v>
      </c>
      <c r="D1003" s="166">
        <f ca="1">RANK(P1003,P994:P1018)</f>
        <v>17</v>
      </c>
      <c r="E1003" s="189" t="s">
        <v>161</v>
      </c>
      <c r="F1003" s="179">
        <f ca="1">COUNTIFS(Paste_Report_Here!$E$1:$E$2000,E988, OFFSET(Paste_Report_Here!$A$1,0,$A1003,2000,1),F$75)</f>
        <v>0</v>
      </c>
      <c r="G1003" s="180">
        <f ca="1">COUNTIFS(Paste_Report_Here!$E$1:$E$2000,E988, OFFSET(Paste_Report_Here!$A$1,0,$A1003,2000,1),G$75)</f>
        <v>2</v>
      </c>
      <c r="H1003" s="180">
        <f ca="1">COUNTIFS(Paste_Report_Here!$E$1:$E$2000,E988, OFFSET(Paste_Report_Here!$A$1,0,$A1003,2000,1),H$75)</f>
        <v>25</v>
      </c>
      <c r="I1003" s="180">
        <f ca="1">COUNTIFS(Paste_Report_Here!$E$1:$E$2000,E988, OFFSET(Paste_Report_Here!$A$1,0,$A1003,2000,1),I$75)</f>
        <v>4</v>
      </c>
      <c r="J1003" s="180">
        <f ca="1">COUNTIFS(Paste_Report_Here!$E$1:$E$2000,E988, OFFSET(Paste_Report_Here!$A$1,0,$A1003,2000,1),J$75)</f>
        <v>0</v>
      </c>
      <c r="K1003" s="181">
        <f ca="1">COUNTIFS(Paste_Report_Here!$E$1:$E$2000,E988, OFFSET(Paste_Report_Here!$A$1,0,$A1003,2000,1),K$75)</f>
        <v>0</v>
      </c>
      <c r="L1003" s="166">
        <f t="shared" ca="1" si="150"/>
        <v>31</v>
      </c>
      <c r="M1003" s="183">
        <f ca="1">SUMPRODUCT(F1003:K1003,F992:K992)/L:L</f>
        <v>0</v>
      </c>
      <c r="N1003" s="166">
        <f t="shared" ca="1" si="151"/>
        <v>1</v>
      </c>
      <c r="O1003" s="165">
        <f t="shared" ca="1" si="153"/>
        <v>2082.6431543644039</v>
      </c>
      <c r="P1003" s="165">
        <f t="shared" ca="1" si="152"/>
        <v>2082.6431543644039</v>
      </c>
    </row>
    <row r="1004" spans="1:16" s="165" customFormat="1" x14ac:dyDescent="0.3">
      <c r="A1004" s="165">
        <f>MATCH(Calcs!B1004,Paste_Report_Here!$1:$1,0) -1</f>
        <v>15</v>
      </c>
      <c r="B1004" s="165" t="s">
        <v>133</v>
      </c>
      <c r="C1004" s="166">
        <f ca="1">RANK(N1004,N993:N1017)</f>
        <v>13</v>
      </c>
      <c r="D1004" s="166">
        <f ca="1">RANK(P1004,P994:P1018)</f>
        <v>6</v>
      </c>
      <c r="E1004" s="189" t="s">
        <v>162</v>
      </c>
      <c r="F1004" s="179">
        <f ca="1">COUNTIFS(Paste_Report_Here!$E$1:$E$2000,E988, OFFSET(Paste_Report_Here!$A$1,0,$A1004,2000,1),F$75)</f>
        <v>1</v>
      </c>
      <c r="G1004" s="180">
        <f ca="1">COUNTIFS(Paste_Report_Here!$E$1:$E$2000,E988, OFFSET(Paste_Report_Here!$A$1,0,$A1004,2000,1),G$75)</f>
        <v>0</v>
      </c>
      <c r="H1004" s="180">
        <f ca="1">COUNTIFS(Paste_Report_Here!$E$1:$E$2000,E988, OFFSET(Paste_Report_Here!$A$1,0,$A1004,2000,1),H$75)</f>
        <v>25</v>
      </c>
      <c r="I1004" s="180">
        <f ca="1">COUNTIFS(Paste_Report_Here!$E$1:$E$2000,E988, OFFSET(Paste_Report_Here!$A$1,0,$A1004,2000,1),I$75)</f>
        <v>4</v>
      </c>
      <c r="J1004" s="180">
        <f ca="1">COUNTIFS(Paste_Report_Here!$E$1:$E$2000,E988, OFFSET(Paste_Report_Here!$A$1,0,$A1004,2000,1),J$75)</f>
        <v>1</v>
      </c>
      <c r="K1004" s="181">
        <f ca="1">COUNTIFS(Paste_Report_Here!$E$1:$E$2000,E988, OFFSET(Paste_Report_Here!$A$1,0,$A1004,2000,1),K$75)</f>
        <v>0</v>
      </c>
      <c r="L1004" s="166">
        <f t="shared" ca="1" si="150"/>
        <v>31</v>
      </c>
      <c r="M1004" s="183">
        <f ca="1">SUMPRODUCT(F1004:K1004,F992:K992)/L:L</f>
        <v>0</v>
      </c>
      <c r="N1004" s="166">
        <f t="shared" ca="1" si="151"/>
        <v>1</v>
      </c>
      <c r="O1004" s="165">
        <f t="shared" ca="1" si="153"/>
        <v>3011.2375057134327</v>
      </c>
      <c r="P1004" s="165">
        <f t="shared" ca="1" si="152"/>
        <v>3011.2375057134327</v>
      </c>
    </row>
    <row r="1005" spans="1:16" s="165" customFormat="1" x14ac:dyDescent="0.3">
      <c r="A1005" s="165">
        <f>MATCH(Calcs!B1005,Paste_Report_Here!$1:$1,0) -1</f>
        <v>16</v>
      </c>
      <c r="B1005" s="165" t="s">
        <v>134</v>
      </c>
      <c r="C1005" s="166">
        <f ca="1">RANK(N1005,N994:N1018)</f>
        <v>13</v>
      </c>
      <c r="D1005" s="166">
        <f ca="1">RANK(P1005,P994:P1018)</f>
        <v>24</v>
      </c>
      <c r="E1005" s="189" t="s">
        <v>163</v>
      </c>
      <c r="F1005" s="179">
        <f ca="1">COUNTIFS(Paste_Report_Here!$E$1:$E$2000,E988, OFFSET(Paste_Report_Here!$A$1,0,$A1005,2000,1),F$75)</f>
        <v>1</v>
      </c>
      <c r="G1005" s="180">
        <f ca="1">COUNTIFS(Paste_Report_Here!$E$1:$E$2000,E988, OFFSET(Paste_Report_Here!$A$1,0,$A1005,2000,1),G$75)</f>
        <v>0</v>
      </c>
      <c r="H1005" s="180">
        <f ca="1">COUNTIFS(Paste_Report_Here!$E$1:$E$2000,E988, OFFSET(Paste_Report_Here!$A$1,0,$A1005,2000,1),H$75)</f>
        <v>22</v>
      </c>
      <c r="I1005" s="180">
        <f ca="1">COUNTIFS(Paste_Report_Here!$E$1:$E$2000,E988, OFFSET(Paste_Report_Here!$A$1,0,$A1005,2000,1),I$75)</f>
        <v>7</v>
      </c>
      <c r="J1005" s="180">
        <f ca="1">COUNTIFS(Paste_Report_Here!$E$1:$E$2000,E988, OFFSET(Paste_Report_Here!$A$1,0,$A1005,2000,1),J$75)</f>
        <v>1</v>
      </c>
      <c r="K1005" s="181">
        <f ca="1">COUNTIFS(Paste_Report_Here!$E$1:$E$2000,E988, OFFSET(Paste_Report_Here!$A$1,0,$A1005,2000,1),K$75)</f>
        <v>0</v>
      </c>
      <c r="L1005" s="166">
        <f t="shared" ca="1" si="150"/>
        <v>31</v>
      </c>
      <c r="M1005" s="183">
        <f ca="1">SUMPRODUCT(F1005:K1005,F992:K992)/L:L</f>
        <v>0</v>
      </c>
      <c r="N1005" s="166">
        <f t="shared" ca="1" si="151"/>
        <v>1</v>
      </c>
      <c r="O1005" s="165">
        <f t="shared" ca="1" si="153"/>
        <v>1172.6502421089297</v>
      </c>
      <c r="P1005" s="165">
        <f t="shared" ca="1" si="152"/>
        <v>1172.6502421089297</v>
      </c>
    </row>
    <row r="1006" spans="1:16" s="165" customFormat="1" x14ac:dyDescent="0.3">
      <c r="A1006" s="165">
        <f>MATCH(Calcs!B1006,Paste_Report_Here!$1:$1,0) -1</f>
        <v>17</v>
      </c>
      <c r="B1006" s="165" t="s">
        <v>135</v>
      </c>
      <c r="C1006" s="166">
        <f ca="1">RANK(N1006,N995:N1019)</f>
        <v>3</v>
      </c>
      <c r="D1006" s="166">
        <f ca="1">RANK(P1006,P994:P1018)</f>
        <v>20</v>
      </c>
      <c r="E1006" s="189" t="s">
        <v>164</v>
      </c>
      <c r="F1006" s="179">
        <f ca="1">COUNTIFS(Paste_Report_Here!$E$1:$E$2000,E988, OFFSET(Paste_Report_Here!$A$1,0,$A1006,2000,1),F$75)</f>
        <v>0</v>
      </c>
      <c r="G1006" s="180">
        <f ca="1">COUNTIFS(Paste_Report_Here!$E$1:$E$2000,E988, OFFSET(Paste_Report_Here!$A$1,0,$A1006,2000,1),G$75)</f>
        <v>2</v>
      </c>
      <c r="H1006" s="180">
        <f ca="1">COUNTIFS(Paste_Report_Here!$E$1:$E$2000,E988, OFFSET(Paste_Report_Here!$A$1,0,$A1006,2000,1),H$75)</f>
        <v>13</v>
      </c>
      <c r="I1006" s="180">
        <f ca="1">COUNTIFS(Paste_Report_Here!$E$1:$E$2000,E988, OFFSET(Paste_Report_Here!$A$1,0,$A1006,2000,1),I$75)</f>
        <v>13</v>
      </c>
      <c r="J1006" s="180">
        <f ca="1">COUNTIFS(Paste_Report_Here!$E$1:$E$2000,E988, OFFSET(Paste_Report_Here!$A$1,0,$A1006,2000,1),J$75)</f>
        <v>3</v>
      </c>
      <c r="K1006" s="181">
        <f ca="1">COUNTIFS(Paste_Report_Here!$E$1:$E$2000,E988, OFFSET(Paste_Report_Here!$A$1,0,$A1006,2000,1),K$75)</f>
        <v>0</v>
      </c>
      <c r="L1006" s="166">
        <f t="shared" ca="1" si="150"/>
        <v>31</v>
      </c>
      <c r="M1006" s="183">
        <f ca="1">SUMPRODUCT(F1006:K1006,F992:K992)/L:L</f>
        <v>1.9354838709677424E-2</v>
      </c>
      <c r="N1006" s="166">
        <f t="shared" ca="1" si="151"/>
        <v>1.0195433578889608</v>
      </c>
      <c r="O1006" s="165">
        <f t="shared" ca="1" si="153"/>
        <v>1864.6280168998214</v>
      </c>
      <c r="P1006" s="165">
        <f t="shared" ca="1" si="152"/>
        <v>1901.0691095638779</v>
      </c>
    </row>
    <row r="1007" spans="1:16" s="165" customFormat="1" x14ac:dyDescent="0.3">
      <c r="A1007" s="165">
        <f>MATCH(Calcs!B1007,Paste_Report_Here!$1:$1,0) -1</f>
        <v>18</v>
      </c>
      <c r="B1007" s="165" t="s">
        <v>136</v>
      </c>
      <c r="C1007" s="166">
        <f ca="1">RANK(N1007,N996:N1020)</f>
        <v>5</v>
      </c>
      <c r="D1007" s="166">
        <f ca="1">RANK(P1007,P994:P1018)</f>
        <v>4</v>
      </c>
      <c r="E1007" s="189" t="s">
        <v>165</v>
      </c>
      <c r="F1007" s="179">
        <f ca="1">COUNTIFS(Paste_Report_Here!$E$1:$E$2000,E988, OFFSET(Paste_Report_Here!$A$1,0,$A1007,2000,1),F$75)</f>
        <v>0</v>
      </c>
      <c r="G1007" s="180">
        <f ca="1">COUNTIFS(Paste_Report_Here!$E$1:$E$2000,E988, OFFSET(Paste_Report_Here!$A$1,0,$A1007,2000,1),G$75)</f>
        <v>1</v>
      </c>
      <c r="H1007" s="180">
        <f ca="1">COUNTIFS(Paste_Report_Here!$E$1:$E$2000,E988, OFFSET(Paste_Report_Here!$A$1,0,$A1007,2000,1),H$75)</f>
        <v>23</v>
      </c>
      <c r="I1007" s="180">
        <f ca="1">COUNTIFS(Paste_Report_Here!$E$1:$E$2000,E988, OFFSET(Paste_Report_Here!$A$1,0,$A1007,2000,1),I$75)</f>
        <v>6</v>
      </c>
      <c r="J1007" s="180">
        <f ca="1">COUNTIFS(Paste_Report_Here!$E$1:$E$2000,E988, OFFSET(Paste_Report_Here!$A$1,0,$A1007,2000,1),J$75)</f>
        <v>1</v>
      </c>
      <c r="K1007" s="181">
        <f ca="1">COUNTIFS(Paste_Report_Here!$E$1:$E$2000,E988, OFFSET(Paste_Report_Here!$A$1,0,$A1007,2000,1),K$75)</f>
        <v>0</v>
      </c>
      <c r="L1007" s="166">
        <f t="shared" ca="1" si="150"/>
        <v>31</v>
      </c>
      <c r="M1007" s="183">
        <f ca="1">SUMPRODUCT(F1007:K1007,F992:K992)/L:L</f>
        <v>6.4516129032258064E-3</v>
      </c>
      <c r="N1007" s="166">
        <f t="shared" ca="1" si="151"/>
        <v>1.0064724693862794</v>
      </c>
      <c r="O1007" s="165">
        <f t="shared" ca="1" si="153"/>
        <v>3853.8545727861765</v>
      </c>
      <c r="P1007" s="165">
        <f t="shared" ca="1" si="152"/>
        <v>3878.7985285277082</v>
      </c>
    </row>
    <row r="1008" spans="1:16" s="165" customFormat="1" x14ac:dyDescent="0.3">
      <c r="A1008" s="165">
        <f>MATCH(Calcs!B1008,Paste_Report_Here!$1:$1,0) -1</f>
        <v>19</v>
      </c>
      <c r="B1008" s="165" t="s">
        <v>137</v>
      </c>
      <c r="C1008" s="166">
        <f ca="1">RANK(N1008,N997:N1021)</f>
        <v>5</v>
      </c>
      <c r="D1008" s="166">
        <f ca="1">RANK(P1008,P994:P1018)</f>
        <v>14</v>
      </c>
      <c r="E1008" s="189" t="s">
        <v>166</v>
      </c>
      <c r="F1008" s="179">
        <f ca="1">COUNTIFS(Paste_Report_Here!$E$1:$E$2000,E988, OFFSET(Paste_Report_Here!$A$1,0,$A1008,2000,1),F$75)</f>
        <v>0</v>
      </c>
      <c r="G1008" s="180">
        <f ca="1">COUNTIFS(Paste_Report_Here!$E$1:$E$2000,E988, OFFSET(Paste_Report_Here!$A$1,0,$A1008,2000,1),G$75)</f>
        <v>0</v>
      </c>
      <c r="H1008" s="180">
        <f ca="1">COUNTIFS(Paste_Report_Here!$E$1:$E$2000,E988, OFFSET(Paste_Report_Here!$A$1,0,$A1008,2000,1),H$75)</f>
        <v>20</v>
      </c>
      <c r="I1008" s="180">
        <f ca="1">COUNTIFS(Paste_Report_Here!$E$1:$E$2000,E988, OFFSET(Paste_Report_Here!$A$1,0,$A1008,2000,1),I$75)</f>
        <v>10</v>
      </c>
      <c r="J1008" s="180">
        <f ca="1">COUNTIFS(Paste_Report_Here!$E$1:$E$2000,E988, OFFSET(Paste_Report_Here!$A$1,0,$A1008,2000,1),J$75)</f>
        <v>1</v>
      </c>
      <c r="K1008" s="181">
        <f ca="1">COUNTIFS(Paste_Report_Here!$E$1:$E$2000,E988, OFFSET(Paste_Report_Here!$A$1,0,$A1008,2000,1),K$75)</f>
        <v>0</v>
      </c>
      <c r="L1008" s="166">
        <f t="shared" ca="1" si="150"/>
        <v>31</v>
      </c>
      <c r="M1008" s="183">
        <f ca="1">SUMPRODUCT(F1008:K1008,F992:K992)/L:L</f>
        <v>6.4516129032258064E-3</v>
      </c>
      <c r="N1008" s="166">
        <f t="shared" ca="1" si="151"/>
        <v>1.0064724693862794</v>
      </c>
      <c r="O1008" s="165">
        <f t="shared" ca="1" si="153"/>
        <v>2135.4722973472381</v>
      </c>
      <c r="P1008" s="165">
        <f t="shared" ca="1" si="152"/>
        <v>2149.2940764170658</v>
      </c>
    </row>
    <row r="1009" spans="1:16" s="165" customFormat="1" x14ac:dyDescent="0.3">
      <c r="A1009" s="165">
        <f>MATCH(Calcs!B1009,Paste_Report_Here!$1:$1,0) -1</f>
        <v>20</v>
      </c>
      <c r="B1009" s="165" t="s">
        <v>138</v>
      </c>
      <c r="C1009" s="166">
        <f ca="1">RANK(N1009,N995:N1019)</f>
        <v>5</v>
      </c>
      <c r="D1009" s="166">
        <f ca="1">RANK(P1009,P994:P1018)</f>
        <v>19</v>
      </c>
      <c r="E1009" s="189" t="s">
        <v>167</v>
      </c>
      <c r="F1009" s="179">
        <f ca="1">COUNTIFS(Paste_Report_Here!$E$1:$E$2000,E988, OFFSET(Paste_Report_Here!$A$1,0,$A1009,2000,1),F$75)</f>
        <v>0</v>
      </c>
      <c r="G1009" s="180">
        <f ca="1">COUNTIFS(Paste_Report_Here!$E$1:$E$2000,E988, OFFSET(Paste_Report_Here!$A$1,0,$A1009,2000,1),G$75)</f>
        <v>0</v>
      </c>
      <c r="H1009" s="180">
        <f ca="1">COUNTIFS(Paste_Report_Here!$E$1:$E$2000,E988, OFFSET(Paste_Report_Here!$A$1,0,$A1009,2000,1),H$75)</f>
        <v>19</v>
      </c>
      <c r="I1009" s="180">
        <f ca="1">COUNTIFS(Paste_Report_Here!$E$1:$E$2000,E988, OFFSET(Paste_Report_Here!$A$1,0,$A1009,2000,1),I$75)</f>
        <v>11</v>
      </c>
      <c r="J1009" s="180">
        <f ca="1">COUNTIFS(Paste_Report_Here!$E$1:$E$2000,E988, OFFSET(Paste_Report_Here!$A$1,0,$A1009,2000,1),J$75)</f>
        <v>1</v>
      </c>
      <c r="K1009" s="181">
        <f ca="1">COUNTIFS(Paste_Report_Here!$E$1:$E$2000,E988, OFFSET(Paste_Report_Here!$A$1,0,$A1009,2000,1),K$75)</f>
        <v>0</v>
      </c>
      <c r="L1009" s="166">
        <f t="shared" ca="1" si="150"/>
        <v>31</v>
      </c>
      <c r="M1009" s="183">
        <f ca="1">SUMPRODUCT(F1009:K1009,F992:K992)/L:L</f>
        <v>6.4516129032258064E-3</v>
      </c>
      <c r="N1009" s="166">
        <f t="shared" ca="1" si="151"/>
        <v>1.0064724693862794</v>
      </c>
      <c r="O1009" s="165">
        <f t="shared" ca="1" si="153"/>
        <v>2020.627608521427</v>
      </c>
      <c r="P1009" s="165">
        <f t="shared" ca="1" si="152"/>
        <v>2033.706058858653</v>
      </c>
    </row>
    <row r="1010" spans="1:16" s="165" customFormat="1" x14ac:dyDescent="0.3">
      <c r="A1010" s="165">
        <f>MATCH(Calcs!B1010,Paste_Report_Here!$1:$1,0) -1</f>
        <v>21</v>
      </c>
      <c r="B1010" s="165" t="s">
        <v>139</v>
      </c>
      <c r="C1010" s="166">
        <f ca="1">RANK(N1010,N994:N1018)</f>
        <v>24</v>
      </c>
      <c r="D1010" s="166">
        <f ca="1">RANK(P1010,P994:P1018)</f>
        <v>18</v>
      </c>
      <c r="E1010" s="189" t="s">
        <v>168</v>
      </c>
      <c r="F1010" s="179">
        <f ca="1">COUNTIFS(Paste_Report_Here!$E$1:$E$2000,E988, OFFSET(Paste_Report_Here!$A$1,0,$A1010,2000,1),F$75)</f>
        <v>1</v>
      </c>
      <c r="G1010" s="180">
        <f ca="1">COUNTIFS(Paste_Report_Here!$E$1:$E$2000,E988, OFFSET(Paste_Report_Here!$A$1,0,$A1010,2000,1),G$75)</f>
        <v>2</v>
      </c>
      <c r="H1010" s="180">
        <f ca="1">COUNTIFS(Paste_Report_Here!$E$1:$E$2000,E988, OFFSET(Paste_Report_Here!$A$1,0,$A1010,2000,1),H$75)</f>
        <v>25</v>
      </c>
      <c r="I1010" s="180">
        <f ca="1">COUNTIFS(Paste_Report_Here!$E$1:$E$2000,E988, OFFSET(Paste_Report_Here!$A$1,0,$A1010,2000,1),I$75)</f>
        <v>3</v>
      </c>
      <c r="J1010" s="180">
        <f ca="1">COUNTIFS(Paste_Report_Here!$E$1:$E$2000,E988, OFFSET(Paste_Report_Here!$A$1,0,$A1010,2000,1),J$75)</f>
        <v>0</v>
      </c>
      <c r="K1010" s="181">
        <f ca="1">COUNTIFS(Paste_Report_Here!$E$1:$E$2000,E988, OFFSET(Paste_Report_Here!$A$1,0,$A1010,2000,1),K$75)</f>
        <v>0</v>
      </c>
      <c r="L1010" s="166">
        <f t="shared" ca="1" si="150"/>
        <v>31</v>
      </c>
      <c r="M1010" s="183">
        <f ca="1">SUMPRODUCT(F1010:K1010,F992:K992)/L:L</f>
        <v>-6.4516129032258064E-3</v>
      </c>
      <c r="N1010" s="166">
        <f t="shared" ca="1" si="151"/>
        <v>0.99356915406714885</v>
      </c>
      <c r="O1010" s="165">
        <f t="shared" ca="1" si="153"/>
        <v>2075.3190616245065</v>
      </c>
      <c r="P1010" s="165">
        <f t="shared" ca="1" si="152"/>
        <v>2061.9730044776902</v>
      </c>
    </row>
    <row r="1011" spans="1:16" s="165" customFormat="1" x14ac:dyDescent="0.3">
      <c r="A1011" s="165">
        <f>MATCH(Calcs!B1011,Paste_Report_Here!$1:$1,0) -1</f>
        <v>22</v>
      </c>
      <c r="B1011" s="165" t="s">
        <v>140</v>
      </c>
      <c r="C1011" s="166">
        <f ca="1">RANK(N1011,N994:N1018)</f>
        <v>13</v>
      </c>
      <c r="D1011" s="166">
        <f ca="1">RANK(P1011,P994:P1018)</f>
        <v>16</v>
      </c>
      <c r="E1011" s="189" t="s">
        <v>169</v>
      </c>
      <c r="F1011" s="179">
        <f ca="1">COUNTIFS(Paste_Report_Here!$E$1:$E$2000,E988, OFFSET(Paste_Report_Here!$A$1,0,$A1011,2000,1),F$75)</f>
        <v>0</v>
      </c>
      <c r="G1011" s="180">
        <f ca="1">COUNTIFS(Paste_Report_Here!$E$1:$E$2000,E988, OFFSET(Paste_Report_Here!$A$1,0,$A1011,2000,1),G$75)</f>
        <v>3</v>
      </c>
      <c r="H1011" s="180">
        <f ca="1">COUNTIFS(Paste_Report_Here!$E$1:$E$2000,E988, OFFSET(Paste_Report_Here!$A$1,0,$A1011,2000,1),H$75)</f>
        <v>27</v>
      </c>
      <c r="I1011" s="180">
        <f ca="1">COUNTIFS(Paste_Report_Here!$E$1:$E$2000,E988, OFFSET(Paste_Report_Here!$A$1,0,$A1011,2000,1),I$75)</f>
        <v>1</v>
      </c>
      <c r="J1011" s="180">
        <f ca="1">COUNTIFS(Paste_Report_Here!$E$1:$E$2000,E988, OFFSET(Paste_Report_Here!$A$1,0,$A1011,2000,1),J$75)</f>
        <v>0</v>
      </c>
      <c r="K1011" s="181">
        <f ca="1">COUNTIFS(Paste_Report_Here!$E$1:$E$2000,E988, OFFSET(Paste_Report_Here!$A$1,0,$A1011,2000,1),K$75)</f>
        <v>0</v>
      </c>
      <c r="L1011" s="166">
        <f t="shared" ca="1" si="150"/>
        <v>31</v>
      </c>
      <c r="M1011" s="183">
        <f ca="1">SUMPRODUCT(F1011:K1011,F992:K992)/L:L</f>
        <v>0</v>
      </c>
      <c r="N1011" s="166">
        <f t="shared" ca="1" si="151"/>
        <v>1</v>
      </c>
      <c r="O1011" s="165">
        <f t="shared" ca="1" si="153"/>
        <v>2101.1126870763292</v>
      </c>
      <c r="P1011" s="165">
        <f t="shared" ca="1" si="152"/>
        <v>2101.1126870763292</v>
      </c>
    </row>
    <row r="1012" spans="1:16" s="165" customFormat="1" x14ac:dyDescent="0.3">
      <c r="A1012" s="165">
        <f>MATCH(Calcs!B1012,Paste_Report_Here!$1:$1,0) -1</f>
        <v>23</v>
      </c>
      <c r="B1012" s="165" t="s">
        <v>186</v>
      </c>
      <c r="C1012" s="166">
        <f ca="1">RANK(N1012,N994:N1018)</f>
        <v>13</v>
      </c>
      <c r="D1012" s="166">
        <f ca="1">RANK(P1012,P994:P1018)</f>
        <v>3</v>
      </c>
      <c r="E1012" s="189" t="s">
        <v>180</v>
      </c>
      <c r="F1012" s="179">
        <f ca="1">COUNTIFS(Paste_Report_Here!$E$1:$E$2000,E988, OFFSET(Paste_Report_Here!$A$1,0,$A1012,2000,1),F$75)</f>
        <v>0</v>
      </c>
      <c r="G1012" s="180">
        <f ca="1">COUNTIFS(Paste_Report_Here!$E$1:$E$2000,E988, OFFSET(Paste_Report_Here!$A$1,0,$A1012,2000,1),G$75)</f>
        <v>2</v>
      </c>
      <c r="H1012" s="180">
        <f ca="1">COUNTIFS(Paste_Report_Here!$E$1:$E$2000,E988, OFFSET(Paste_Report_Here!$A$1,0,$A1012,2000,1),H$75)</f>
        <v>19</v>
      </c>
      <c r="I1012" s="180">
        <f ca="1">COUNTIFS(Paste_Report_Here!$E$1:$E$2000,E988, OFFSET(Paste_Report_Here!$A$1,0,$A1012,2000,1),I$75)</f>
        <v>10</v>
      </c>
      <c r="J1012" s="180">
        <f ca="1">COUNTIFS(Paste_Report_Here!$E$1:$E$2000,E988, OFFSET(Paste_Report_Here!$A$1,0,$A1012,2000,1),J$75)</f>
        <v>0</v>
      </c>
      <c r="K1012" s="181">
        <f ca="1">COUNTIFS(Paste_Report_Here!$E$1:$E$2000,E988, OFFSET(Paste_Report_Here!$A$1,0,$A1012,2000,1),K$75)</f>
        <v>0</v>
      </c>
      <c r="L1012" s="166">
        <f t="shared" ca="1" si="150"/>
        <v>31</v>
      </c>
      <c r="M1012" s="183">
        <f ca="1">SUMPRODUCT(F1012:K1012,F992:K992)/L:L</f>
        <v>0</v>
      </c>
      <c r="N1012" s="166">
        <f t="shared" ca="1" si="151"/>
        <v>1</v>
      </c>
      <c r="O1012" s="165">
        <f t="shared" ca="1" si="153"/>
        <v>3955.8615462678154</v>
      </c>
      <c r="P1012" s="165">
        <f t="shared" ca="1" si="152"/>
        <v>3955.8615462678154</v>
      </c>
    </row>
    <row r="1013" spans="1:16" s="165" customFormat="1" x14ac:dyDescent="0.3">
      <c r="A1013" s="165">
        <f>MATCH(Calcs!B1013,Paste_Report_Here!$1:$1,0) -1</f>
        <v>24</v>
      </c>
      <c r="B1013" s="165" t="s">
        <v>209</v>
      </c>
      <c r="C1013" s="166">
        <f ca="1">RANK(N1013,N994:N1018)</f>
        <v>13</v>
      </c>
      <c r="D1013" s="166">
        <f ca="1">RANK(P1013,P994:P1018)</f>
        <v>23</v>
      </c>
      <c r="E1013" s="202" t="s">
        <v>211</v>
      </c>
      <c r="F1013" s="179">
        <f ca="1">COUNTIFS(Paste_Report_Here!$E$1:$E$2000,E988, OFFSET(Paste_Report_Here!$A$1,0,$A1013,2000,1),F$75)</f>
        <v>0</v>
      </c>
      <c r="G1013" s="180">
        <f ca="1">COUNTIFS(Paste_Report_Here!$E$1:$E$2000,E988, OFFSET(Paste_Report_Here!$A$1,0,$A1013,2000,1),G$75)</f>
        <v>1</v>
      </c>
      <c r="H1013" s="180">
        <f ca="1">COUNTIFS(Paste_Report_Here!$E$1:$E$2000,E988, OFFSET(Paste_Report_Here!$A$1,0,$A1013,2000,1),H$75)</f>
        <v>25</v>
      </c>
      <c r="I1013" s="180">
        <f ca="1">COUNTIFS(Paste_Report_Here!$E$1:$E$2000,E988, OFFSET(Paste_Report_Here!$A$1,0,$A1013,2000,1),I$75)</f>
        <v>5</v>
      </c>
      <c r="J1013" s="180">
        <f ca="1">COUNTIFS(Paste_Report_Here!$E$1:$E$2000,E988, OFFSET(Paste_Report_Here!$A$1,0,$A1013,2000,1),J$75)</f>
        <v>0</v>
      </c>
      <c r="K1013" s="181">
        <f ca="1">COUNTIFS(Paste_Report_Here!$E$1:$E$2000,E988, OFFSET(Paste_Report_Here!$A$1,0,$A1013,2000,1),K$75)</f>
        <v>0</v>
      </c>
      <c r="L1013" s="166">
        <f t="shared" ca="1" si="150"/>
        <v>31</v>
      </c>
      <c r="M1013" s="183">
        <f ca="1">SUMPRODUCT(F1013:K1013,F992:K992)/L:L</f>
        <v>0</v>
      </c>
      <c r="N1013" s="166">
        <f t="shared" ca="1" si="151"/>
        <v>1</v>
      </c>
      <c r="O1013" s="165">
        <f t="shared" ca="1" si="153"/>
        <v>1225.5502451314032</v>
      </c>
      <c r="P1013" s="165">
        <f t="shared" ca="1" si="152"/>
        <v>1225.5502451314032</v>
      </c>
    </row>
    <row r="1014" spans="1:16" s="165" customFormat="1" x14ac:dyDescent="0.3">
      <c r="A1014" s="165">
        <f>MATCH(Calcs!B1014,Paste_Report_Here!$1:$1,0) -1</f>
        <v>25</v>
      </c>
      <c r="B1014" s="165" t="s">
        <v>141</v>
      </c>
      <c r="C1014" s="166">
        <f ca="1">RANK(N1014,N994:N1018)</f>
        <v>13</v>
      </c>
      <c r="D1014" s="166">
        <f ca="1">RANK(P1014,P994:P1018)</f>
        <v>22</v>
      </c>
      <c r="E1014" s="189" t="s">
        <v>170</v>
      </c>
      <c r="F1014" s="179">
        <f ca="1">COUNTIFS(Paste_Report_Here!$E$1:$E$2000,E988, OFFSET(Paste_Report_Here!$A$1,0,$A1014,2000,1),F$75)</f>
        <v>0</v>
      </c>
      <c r="G1014" s="180">
        <f ca="1">COUNTIFS(Paste_Report_Here!$E$1:$E$2000,E988, OFFSET(Paste_Report_Here!$A$1,0,$A1014,2000,1),G$75)</f>
        <v>2</v>
      </c>
      <c r="H1014" s="180">
        <f ca="1">COUNTIFS(Paste_Report_Here!$E$1:$E$2000,E988, OFFSET(Paste_Report_Here!$A$1,0,$A1014,2000,1),H$75)</f>
        <v>22</v>
      </c>
      <c r="I1014" s="180">
        <f ca="1">COUNTIFS(Paste_Report_Here!$E$1:$E$2000,E988, OFFSET(Paste_Report_Here!$A$1,0,$A1014,2000,1),I$75)</f>
        <v>7</v>
      </c>
      <c r="J1014" s="180">
        <f ca="1">COUNTIFS(Paste_Report_Here!$E$1:$E$2000,E988, OFFSET(Paste_Report_Here!$A$1,0,$A1014,2000,1),J$75)</f>
        <v>0</v>
      </c>
      <c r="K1014" s="181">
        <f ca="1">COUNTIFS(Paste_Report_Here!$E$1:$E$2000,E988, OFFSET(Paste_Report_Here!$A$1,0,$A1014,2000,1),K$75)</f>
        <v>0</v>
      </c>
      <c r="L1014" s="166">
        <f t="shared" ca="1" si="150"/>
        <v>31</v>
      </c>
      <c r="M1014" s="183">
        <f ca="1">SUMPRODUCT(F1014:K1014,F992:K992)/L:L</f>
        <v>0</v>
      </c>
      <c r="N1014" s="166">
        <f t="shared" ca="1" si="151"/>
        <v>1</v>
      </c>
      <c r="O1014" s="165">
        <f t="shared" ca="1" si="153"/>
        <v>1396.8925671563318</v>
      </c>
      <c r="P1014" s="165">
        <f t="shared" ca="1" si="152"/>
        <v>1396.8925671563318</v>
      </c>
    </row>
    <row r="1015" spans="1:16" s="165" customFormat="1" x14ac:dyDescent="0.3">
      <c r="A1015" s="165">
        <f>MATCH(Calcs!B1015,Paste_Report_Here!$1:$1,0) -1</f>
        <v>26</v>
      </c>
      <c r="B1015" s="165" t="s">
        <v>142</v>
      </c>
      <c r="C1015" s="166">
        <f ca="1">RANK(N1015,N994:N1018)</f>
        <v>5</v>
      </c>
      <c r="D1015" s="166">
        <f ca="1">RANK(P1015,P994:P1018)</f>
        <v>11</v>
      </c>
      <c r="E1015" s="189" t="s">
        <v>171</v>
      </c>
      <c r="F1015" s="179">
        <f ca="1">COUNTIFS(Paste_Report_Here!$E$1:$E$2000,E988, OFFSET(Paste_Report_Here!$A$1,0,$A1015,2000,1),F$75)</f>
        <v>0</v>
      </c>
      <c r="G1015" s="180">
        <f ca="1">COUNTIFS(Paste_Report_Here!$E$1:$E$2000,E988, OFFSET(Paste_Report_Here!$A$1,0,$A1015,2000,1),G$75)</f>
        <v>1</v>
      </c>
      <c r="H1015" s="180">
        <f ca="1">COUNTIFS(Paste_Report_Here!$E$1:$E$2000,E988, OFFSET(Paste_Report_Here!$A$1,0,$A1015,2000,1),H$75)</f>
        <v>23</v>
      </c>
      <c r="I1015" s="180">
        <f ca="1">COUNTIFS(Paste_Report_Here!$E$1:$E$2000,E988, OFFSET(Paste_Report_Here!$A$1,0,$A1015,2000,1),I$75)</f>
        <v>6</v>
      </c>
      <c r="J1015" s="180">
        <f ca="1">COUNTIFS(Paste_Report_Here!$E$1:$E$2000,E988, OFFSET(Paste_Report_Here!$A$1,0,$A1015,2000,1),J$75)</f>
        <v>1</v>
      </c>
      <c r="K1015" s="181">
        <f ca="1">COUNTIFS(Paste_Report_Here!$E$1:$E$2000,E988, OFFSET(Paste_Report_Here!$A$1,0,$A1015,2000,1),K$75)</f>
        <v>0</v>
      </c>
      <c r="L1015" s="166">
        <f t="shared" ca="1" si="150"/>
        <v>31</v>
      </c>
      <c r="M1015" s="183">
        <f ca="1">SUMPRODUCT(F1015:K1015,F992:K992)/L:L</f>
        <v>6.4516129032258064E-3</v>
      </c>
      <c r="N1015" s="166">
        <f t="shared" ca="1" si="151"/>
        <v>1.0064724693862794</v>
      </c>
      <c r="O1015" s="165">
        <f t="shared" ca="1" si="153"/>
        <v>2304.9458312059883</v>
      </c>
      <c r="P1015" s="165">
        <f t="shared" ca="1" si="152"/>
        <v>2319.8645225355012</v>
      </c>
    </row>
    <row r="1016" spans="1:16" s="165" customFormat="1" x14ac:dyDescent="0.3">
      <c r="A1016" s="165">
        <f>MATCH(Calcs!B1016,Paste_Report_Here!$1:$1,0) -1</f>
        <v>27</v>
      </c>
      <c r="B1016" s="165" t="s">
        <v>210</v>
      </c>
      <c r="C1016" s="166">
        <f ca="1">RANK(N1016,N994:N1018)</f>
        <v>13</v>
      </c>
      <c r="D1016" s="166">
        <f ca="1">RANK(P1016,P994:P1018)</f>
        <v>25</v>
      </c>
      <c r="E1016" s="202" t="s">
        <v>212</v>
      </c>
      <c r="F1016" s="179">
        <f ca="1">COUNTIFS(Paste_Report_Here!$E$1:$E$2000,E988, OFFSET(Paste_Report_Here!$A$1,0,$A1016,2000,1),F$75)</f>
        <v>0</v>
      </c>
      <c r="G1016" s="180">
        <f ca="1">COUNTIFS(Paste_Report_Here!$E$1:$E$2000,E988, OFFSET(Paste_Report_Here!$A$1,0,$A1016,2000,1),G$75)</f>
        <v>2</v>
      </c>
      <c r="H1016" s="180">
        <f ca="1">COUNTIFS(Paste_Report_Here!$E$1:$E$2000,E988, OFFSET(Paste_Report_Here!$A$1,0,$A1016,2000,1),H$75)</f>
        <v>26</v>
      </c>
      <c r="I1016" s="180">
        <f ca="1">COUNTIFS(Paste_Report_Here!$E$1:$E$2000,E988, OFFSET(Paste_Report_Here!$A$1,0,$A1016,2000,1),I$75)</f>
        <v>3</v>
      </c>
      <c r="J1016" s="180">
        <f ca="1">COUNTIFS(Paste_Report_Here!$E$1:$E$2000,E988, OFFSET(Paste_Report_Here!$A$1,0,$A1016,2000,1),J$75)</f>
        <v>0</v>
      </c>
      <c r="K1016" s="181">
        <f ca="1">COUNTIFS(Paste_Report_Here!$E$1:$E$2000,E988, OFFSET(Paste_Report_Here!$A$1,0,$A1016,2000,1),K$75)</f>
        <v>0</v>
      </c>
      <c r="L1016" s="166">
        <f t="shared" ca="1" si="150"/>
        <v>31</v>
      </c>
      <c r="M1016" s="183">
        <f ca="1">SUMPRODUCT(F1016:K1016,F992:K992)/L:L</f>
        <v>0</v>
      </c>
      <c r="N1016" s="166">
        <f t="shared" ca="1" si="151"/>
        <v>1</v>
      </c>
      <c r="O1016" s="165">
        <f t="shared" ca="1" si="153"/>
        <v>1152.660544727275</v>
      </c>
      <c r="P1016" s="165">
        <f t="shared" ca="1" si="152"/>
        <v>1152.660544727275</v>
      </c>
    </row>
    <row r="1017" spans="1:16" s="165" customFormat="1" x14ac:dyDescent="0.3">
      <c r="A1017" s="165">
        <f>MATCH(Calcs!B1017,Paste_Report_Here!$1:$1,0) -1</f>
        <v>28</v>
      </c>
      <c r="B1017" s="165" t="s">
        <v>143</v>
      </c>
      <c r="C1017" s="166">
        <f ca="1">RANK(N1017,N995:N1019)</f>
        <v>5</v>
      </c>
      <c r="D1017" s="166">
        <f ca="1">RANK(P1017,P994:P1018)</f>
        <v>1</v>
      </c>
      <c r="E1017" s="189" t="s">
        <v>172</v>
      </c>
      <c r="F1017" s="179">
        <f ca="1">COUNTIFS(Paste_Report_Here!$E$1:$E$2000,E988, OFFSET(Paste_Report_Here!$A$1,0,$A1017,2000,1),F$75)</f>
        <v>0</v>
      </c>
      <c r="G1017" s="180">
        <f ca="1">COUNTIFS(Paste_Report_Here!$E$1:$E$2000,E988, OFFSET(Paste_Report_Here!$A$1,0,$A1017,2000,1),G$75)</f>
        <v>2</v>
      </c>
      <c r="H1017" s="180">
        <f ca="1">COUNTIFS(Paste_Report_Here!$E$1:$E$2000,E988, OFFSET(Paste_Report_Here!$A$1,0,$A1017,2000,1),H$75)</f>
        <v>24</v>
      </c>
      <c r="I1017" s="180">
        <f ca="1">COUNTIFS(Paste_Report_Here!$E$1:$E$2000,E988, OFFSET(Paste_Report_Here!$A$1,0,$A1017,2000,1),I$75)</f>
        <v>4</v>
      </c>
      <c r="J1017" s="180">
        <f ca="1">COUNTIFS(Paste_Report_Here!$E$1:$E$2000,E988, OFFSET(Paste_Report_Here!$A$1,0,$A1017,2000,1),J$75)</f>
        <v>1</v>
      </c>
      <c r="K1017" s="181">
        <f ca="1">COUNTIFS(Paste_Report_Here!$E$1:$E$2000,E988, OFFSET(Paste_Report_Here!$A$1,0,$A1017,2000,1),K$75)</f>
        <v>0</v>
      </c>
      <c r="L1017" s="166">
        <f t="shared" ca="1" si="150"/>
        <v>31</v>
      </c>
      <c r="M1017" s="183">
        <f ca="1">SUMPRODUCT(F1017:K1017,F992:K992)/L:L</f>
        <v>6.4516129032258064E-3</v>
      </c>
      <c r="N1017" s="166">
        <f t="shared" ca="1" si="151"/>
        <v>1.0064724693862794</v>
      </c>
      <c r="O1017" s="165">
        <f t="shared" ca="1" si="153"/>
        <v>8289.3903522960336</v>
      </c>
      <c r="P1017" s="165">
        <f t="shared" ca="1" si="152"/>
        <v>8343.0431775821889</v>
      </c>
    </row>
    <row r="1018" spans="1:16" s="165" customFormat="1" x14ac:dyDescent="0.3">
      <c r="A1018" s="165">
        <f>MATCH(Calcs!B1018,Paste_Report_Here!$1:$1,0) -1</f>
        <v>29</v>
      </c>
      <c r="B1018" s="187" t="s">
        <v>144</v>
      </c>
      <c r="C1018" s="147">
        <f ca="1">RANK(N1018,N994:N1018)</f>
        <v>13</v>
      </c>
      <c r="D1018" s="147">
        <f ca="1">RANK(P1018,P994:P1018)</f>
        <v>12</v>
      </c>
      <c r="E1018" s="145" t="s">
        <v>173</v>
      </c>
      <c r="F1018" s="146">
        <f ca="1">COUNTIFS(Paste_Report_Here!$E$1:$E$2000,E988, OFFSET(Paste_Report_Here!$A$1,0,$A1018,2000,1),F$75)</f>
        <v>0</v>
      </c>
      <c r="G1018" s="147">
        <f ca="1">COUNTIFS(Paste_Report_Here!$E$1:$E$2000,E988, OFFSET(Paste_Report_Here!$A$1,0,$A1018,2000,1),G$75)</f>
        <v>1</v>
      </c>
      <c r="H1018" s="147">
        <f ca="1">COUNTIFS(Paste_Report_Here!$E$1:$E$2000,E988, OFFSET(Paste_Report_Here!$A$1,0,$A1018,2000,1),H$75)</f>
        <v>25</v>
      </c>
      <c r="I1018" s="147">
        <f ca="1">COUNTIFS(Paste_Report_Here!$E$1:$E$2000,E988, OFFSET(Paste_Report_Here!$A$1,0,$A1018,2000,1),I$75)</f>
        <v>5</v>
      </c>
      <c r="J1018" s="147">
        <f ca="1">COUNTIFS(Paste_Report_Here!$E$1:$E$2000,E988, OFFSET(Paste_Report_Here!$A$1,0,$A1018,2000,1),J$75)</f>
        <v>0</v>
      </c>
      <c r="K1018" s="148">
        <f ca="1">COUNTIFS(Paste_Report_Here!$E$1:$E$2000,E988, OFFSET(Paste_Report_Here!$A$1,0,$A1018,2000,1),K$75)</f>
        <v>0</v>
      </c>
      <c r="L1018" s="147">
        <f t="shared" ca="1" si="150"/>
        <v>31</v>
      </c>
      <c r="M1018" s="149">
        <f ca="1">SUMPRODUCT(F1018:K1018,F992:K992)/L:L</f>
        <v>0</v>
      </c>
      <c r="N1018" s="147">
        <f t="shared" ca="1" si="151"/>
        <v>1</v>
      </c>
      <c r="O1018" s="187">
        <f t="shared" ca="1" si="153"/>
        <v>2272.422831556557</v>
      </c>
      <c r="P1018" s="165">
        <f t="shared" ca="1" si="152"/>
        <v>2272.422831556557</v>
      </c>
    </row>
    <row r="1019" spans="1:16" s="165" customFormat="1" x14ac:dyDescent="0.3">
      <c r="C1019" s="166"/>
      <c r="E1019" s="140" t="s">
        <v>293</v>
      </c>
      <c r="F1019" s="180">
        <f ca="1">SUM(F994:F1018)</f>
        <v>4</v>
      </c>
      <c r="G1019" s="180">
        <f t="shared" ref="G1019:L1019" ca="1" si="154">SUM(G994:G1018)</f>
        <v>35</v>
      </c>
      <c r="H1019" s="180">
        <f t="shared" ca="1" si="154"/>
        <v>546</v>
      </c>
      <c r="I1019" s="180">
        <f t="shared" ca="1" si="154"/>
        <v>163</v>
      </c>
      <c r="J1019" s="180">
        <f t="shared" ca="1" si="154"/>
        <v>25</v>
      </c>
      <c r="K1019" s="180">
        <f t="shared" ca="1" si="154"/>
        <v>2</v>
      </c>
      <c r="L1019" s="180">
        <f t="shared" ca="1" si="154"/>
        <v>775</v>
      </c>
      <c r="M1019" s="144">
        <f ca="1">SUMPRODUCT(F1019:K1019,F992:K992)/L1019</f>
        <v>5.4193548387096776E-3</v>
      </c>
      <c r="N1019" s="166">
        <f t="shared" ca="1" si="151"/>
        <v>1.0054340661053289</v>
      </c>
      <c r="O1019" s="165">
        <f t="shared" ca="1" si="153"/>
        <v>2679.5755547229032</v>
      </c>
      <c r="P1019" s="165">
        <f t="shared" ca="1" si="152"/>
        <v>2694.1365454214911</v>
      </c>
    </row>
    <row r="1020" spans="1:16" s="165" customFormat="1" x14ac:dyDescent="0.3">
      <c r="A1020" s="194"/>
      <c r="B1020" s="194"/>
      <c r="C1020" s="153"/>
      <c r="D1020" s="194"/>
      <c r="E1020" s="164"/>
      <c r="F1020" s="151"/>
      <c r="G1020" s="151"/>
      <c r="H1020" s="151"/>
      <c r="I1020" s="151"/>
      <c r="J1020" s="151"/>
      <c r="K1020" s="151"/>
      <c r="L1020" s="151"/>
      <c r="M1020" s="162"/>
      <c r="N1020" s="153"/>
      <c r="O1020" s="194"/>
      <c r="P1020" s="194"/>
    </row>
    <row r="1021" spans="1:16" s="165" customFormat="1" x14ac:dyDescent="0.3">
      <c r="E1021" s="173" t="s">
        <v>292</v>
      </c>
    </row>
    <row r="1022" spans="1:16" s="165" customFormat="1" x14ac:dyDescent="0.3">
      <c r="E1022" s="141">
        <v>41454</v>
      </c>
    </row>
    <row r="1023" spans="1:16" s="165" customFormat="1" ht="15" thickBot="1" x14ac:dyDescent="0.35"/>
    <row r="1024" spans="1:16" s="165" customFormat="1" ht="24.6" thickBot="1" x14ac:dyDescent="0.35">
      <c r="F1024" s="174" t="s">
        <v>23</v>
      </c>
      <c r="G1024" s="168" t="s">
        <v>18</v>
      </c>
      <c r="H1024" s="168" t="s">
        <v>16</v>
      </c>
      <c r="I1024" s="168" t="s">
        <v>17</v>
      </c>
      <c r="J1024" s="168" t="s">
        <v>19</v>
      </c>
      <c r="K1024" s="169" t="s">
        <v>114</v>
      </c>
    </row>
    <row r="1025" spans="1:16" s="165" customFormat="1" x14ac:dyDescent="0.3">
      <c r="F1025" s="267" t="s">
        <v>201</v>
      </c>
      <c r="G1025" s="268"/>
      <c r="H1025" s="268"/>
      <c r="I1025" s="268"/>
      <c r="J1025" s="268"/>
      <c r="K1025" s="169"/>
      <c r="M1025" s="203">
        <f ca="1">(H1053+K1053)/L1053</f>
        <v>0.76133333333333331</v>
      </c>
      <c r="N1025" s="204" t="s">
        <v>501</v>
      </c>
    </row>
    <row r="1026" spans="1:16" s="165" customFormat="1" ht="43.8" thickBot="1" x14ac:dyDescent="0.35">
      <c r="A1026" s="142" t="s">
        <v>294</v>
      </c>
      <c r="B1026" s="142" t="s">
        <v>295</v>
      </c>
      <c r="C1026" s="197" t="s">
        <v>440</v>
      </c>
      <c r="D1026" s="142" t="s">
        <v>441</v>
      </c>
      <c r="E1026" s="171" t="s">
        <v>30</v>
      </c>
      <c r="F1026" s="175">
        <f>Falling_fast</f>
        <v>-0.2</v>
      </c>
      <c r="G1026" s="176">
        <f>Falling</f>
        <v>0</v>
      </c>
      <c r="H1026" s="177">
        <f>Static</f>
        <v>0</v>
      </c>
      <c r="I1026" s="176">
        <f>Rising</f>
        <v>0</v>
      </c>
      <c r="J1026" s="178">
        <f>Rising_fast</f>
        <v>0.2</v>
      </c>
      <c r="K1026" s="182">
        <v>0</v>
      </c>
      <c r="L1026" s="171" t="s">
        <v>28</v>
      </c>
      <c r="M1026" s="172" t="s">
        <v>29</v>
      </c>
      <c r="N1026" s="143" t="s">
        <v>296</v>
      </c>
      <c r="O1026" s="142" t="s">
        <v>297</v>
      </c>
      <c r="P1026" s="142" t="s">
        <v>298</v>
      </c>
    </row>
    <row r="1027" spans="1:16" s="165" customFormat="1" x14ac:dyDescent="0.3">
      <c r="C1027" s="166"/>
      <c r="E1027" s="192"/>
      <c r="F1027" s="198" t="s">
        <v>151</v>
      </c>
      <c r="G1027" s="199" t="s">
        <v>149</v>
      </c>
      <c r="H1027" s="199" t="s">
        <v>16</v>
      </c>
      <c r="I1027" s="199" t="s">
        <v>148</v>
      </c>
      <c r="J1027" s="199" t="s">
        <v>150</v>
      </c>
      <c r="K1027" s="200" t="s">
        <v>114</v>
      </c>
      <c r="L1027" s="166"/>
      <c r="M1027" s="170"/>
      <c r="N1027" s="166"/>
    </row>
    <row r="1028" spans="1:16" s="165" customFormat="1" x14ac:dyDescent="0.3">
      <c r="A1028" s="165">
        <f>MATCH(Calcs!B1028,Paste_Report_Here!$1:$1,0) -1</f>
        <v>5</v>
      </c>
      <c r="B1028" s="165" t="s">
        <v>124</v>
      </c>
      <c r="C1028" s="166">
        <f ca="1">RANK(N1028,N1028:N1052)</f>
        <v>18</v>
      </c>
      <c r="D1028" s="166">
        <f ca="1">RANK(P1028,P1028:P1052)</f>
        <v>15</v>
      </c>
      <c r="E1028" s="189" t="s">
        <v>152</v>
      </c>
      <c r="F1028" s="179">
        <f ca="1">COUNTIFS(Paste_Report_Here!$E$1:$E$2000,E1022, OFFSET(Paste_Report_Here!$A$1,0,$A1028,2000,1),F$75)</f>
        <v>1</v>
      </c>
      <c r="G1028" s="180">
        <f ca="1">COUNTIFS(Paste_Report_Here!$E$1:$E$2000,E1022, OFFSET(Paste_Report_Here!$A$1,0,$A1028,2000,1),G$75)</f>
        <v>1</v>
      </c>
      <c r="H1028" s="180">
        <f ca="1">COUNTIFS(Paste_Report_Here!$E$1:$E$2000,E1022, OFFSET(Paste_Report_Here!$A$1,0,$A1028,2000,1),H$75)</f>
        <v>26</v>
      </c>
      <c r="I1028" s="180">
        <f ca="1">COUNTIFS(Paste_Report_Here!$E$1:$E$2000,E1022, OFFSET(Paste_Report_Here!$A$1,0,$A1028,2000,1),I$75)</f>
        <v>2</v>
      </c>
      <c r="J1028" s="180">
        <f ca="1">COUNTIFS(Paste_Report_Here!$E$1:$E$2000,E1022, OFFSET(Paste_Report_Here!$A$1,0,$A1028,2000,1),J$75)</f>
        <v>0</v>
      </c>
      <c r="K1028" s="181">
        <f ca="1">COUNTIFS(Paste_Report_Here!$E$1:$E$2000,E1022, OFFSET(Paste_Report_Here!$A$1,0,$A1028,2000,1),K$75)</f>
        <v>0</v>
      </c>
      <c r="L1028" s="166">
        <f t="shared" ref="L1028:L1052" ca="1" si="155">SUM(F1028:K1028)</f>
        <v>30</v>
      </c>
      <c r="M1028" s="183">
        <f ca="1">SUMPRODUCT(F1028:K1028,F1026:K1026)/L:L</f>
        <v>-6.6666666666666671E-3</v>
      </c>
      <c r="N1028" s="166">
        <f t="shared" ref="N1028:N1053" ca="1" si="156">EXP(M1028)</f>
        <v>0.99335550625503444</v>
      </c>
      <c r="O1028" s="165">
        <f ca="1">P994</f>
        <v>2121.5669047068122</v>
      </c>
      <c r="P1028" s="165">
        <f t="shared" ref="P1028:P1053" ca="1" si="157">O1028*N1028</f>
        <v>2107.470166678962</v>
      </c>
    </row>
    <row r="1029" spans="1:16" s="165" customFormat="1" x14ac:dyDescent="0.3">
      <c r="A1029" s="165">
        <f>MATCH(Calcs!B1029,Paste_Report_Here!$1:$1,0) -1</f>
        <v>6</v>
      </c>
      <c r="B1029" s="165" t="s">
        <v>125</v>
      </c>
      <c r="C1029" s="166">
        <f ca="1">RANK(N1029,N1028:N1052)</f>
        <v>18</v>
      </c>
      <c r="D1029" s="166">
        <f ca="1">RANK(P1029,P1028:P1052)</f>
        <v>14</v>
      </c>
      <c r="E1029" s="189" t="s">
        <v>153</v>
      </c>
      <c r="F1029" s="179">
        <f ca="1">COUNTIFS(Paste_Report_Here!$E$1:$E$2000,E1022, OFFSET(Paste_Report_Here!$A$1,0,$A1029,2000,1),F$75)</f>
        <v>1</v>
      </c>
      <c r="G1029" s="180">
        <f ca="1">COUNTIFS(Paste_Report_Here!$E$1:$E$2000,E1022, OFFSET(Paste_Report_Here!$A$1,0,$A1029,2000,1),G$75)</f>
        <v>1</v>
      </c>
      <c r="H1029" s="180">
        <f ca="1">COUNTIFS(Paste_Report_Here!$E$1:$E$2000,E1022, OFFSET(Paste_Report_Here!$A$1,0,$A1029,2000,1),H$75)</f>
        <v>25</v>
      </c>
      <c r="I1029" s="180">
        <f ca="1">COUNTIFS(Paste_Report_Here!$E$1:$E$2000,E1022, OFFSET(Paste_Report_Here!$A$1,0,$A1029,2000,1),I$75)</f>
        <v>3</v>
      </c>
      <c r="J1029" s="180">
        <f ca="1">COUNTIFS(Paste_Report_Here!$E$1:$E$2000,E1022, OFFSET(Paste_Report_Here!$A$1,0,$A1029,2000,1),J$75)</f>
        <v>0</v>
      </c>
      <c r="K1029" s="181">
        <f ca="1">COUNTIFS(Paste_Report_Here!$E$1:$E$2000,E1022, OFFSET(Paste_Report_Here!$A$1,0,$A1029,2000,1),K$75)</f>
        <v>0</v>
      </c>
      <c r="L1029" s="166">
        <f t="shared" ca="1" si="155"/>
        <v>30</v>
      </c>
      <c r="M1029" s="183">
        <f ca="1">SUMPRODUCT(F1029:K1029,F1026:K1026)/L:L</f>
        <v>-6.6666666666666671E-3</v>
      </c>
      <c r="N1029" s="166">
        <f t="shared" ca="1" si="156"/>
        <v>0.99335550625503444</v>
      </c>
      <c r="O1029" s="165">
        <f t="shared" ref="O1029:O1053" ca="1" si="158">P995</f>
        <v>2151.0895905640336</v>
      </c>
      <c r="P1029" s="165">
        <f t="shared" ca="1" si="157"/>
        <v>2136.7966892346703</v>
      </c>
    </row>
    <row r="1030" spans="1:16" s="165" customFormat="1" x14ac:dyDescent="0.3">
      <c r="A1030" s="165">
        <f>MATCH(Calcs!B1030,Paste_Report_Here!$1:$1,0) -1</f>
        <v>7</v>
      </c>
      <c r="B1030" s="165" t="s">
        <v>126</v>
      </c>
      <c r="C1030" s="166">
        <f ca="1">RANK(N1030,N1028:N1052)</f>
        <v>18</v>
      </c>
      <c r="D1030" s="166">
        <f ca="1">RANK(P1030,P1028:P1052)</f>
        <v>8</v>
      </c>
      <c r="E1030" s="189" t="s">
        <v>154</v>
      </c>
      <c r="F1030" s="179">
        <f ca="1">COUNTIFS(Paste_Report_Here!$E$1:$E$2000,E1022, OFFSET(Paste_Report_Here!$A$1,0,$A1030,2000,1),F$75)</f>
        <v>1</v>
      </c>
      <c r="G1030" s="180">
        <f ca="1">COUNTIFS(Paste_Report_Here!$E$1:$E$2000,E1022, OFFSET(Paste_Report_Here!$A$1,0,$A1030,2000,1),G$75)</f>
        <v>0</v>
      </c>
      <c r="H1030" s="180">
        <f ca="1">COUNTIFS(Paste_Report_Here!$E$1:$E$2000,E1022, OFFSET(Paste_Report_Here!$A$1,0,$A1030,2000,1),H$75)</f>
        <v>24</v>
      </c>
      <c r="I1030" s="180">
        <f ca="1">COUNTIFS(Paste_Report_Here!$E$1:$E$2000,E1022, OFFSET(Paste_Report_Here!$A$1,0,$A1030,2000,1),I$75)</f>
        <v>5</v>
      </c>
      <c r="J1030" s="180">
        <f ca="1">COUNTIFS(Paste_Report_Here!$E$1:$E$2000,E1022, OFFSET(Paste_Report_Here!$A$1,0,$A1030,2000,1),J$75)</f>
        <v>0</v>
      </c>
      <c r="K1030" s="181">
        <f ca="1">COUNTIFS(Paste_Report_Here!$E$1:$E$2000,E1022, OFFSET(Paste_Report_Here!$A$1,0,$A1030,2000,1),K$75)</f>
        <v>0</v>
      </c>
      <c r="L1030" s="166">
        <f t="shared" ca="1" si="155"/>
        <v>30</v>
      </c>
      <c r="M1030" s="183">
        <f ca="1">SUMPRODUCT(F1030:K1030,F1026:K1026)/L:L</f>
        <v>-6.6666666666666671E-3</v>
      </c>
      <c r="N1030" s="166">
        <f t="shared" ca="1" si="156"/>
        <v>0.99335550625503444</v>
      </c>
      <c r="O1030" s="165">
        <f t="shared" ca="1" si="158"/>
        <v>2842.9847194891577</v>
      </c>
      <c r="P1030" s="165">
        <f t="shared" ca="1" si="157"/>
        <v>2824.0945253034793</v>
      </c>
    </row>
    <row r="1031" spans="1:16" s="165" customFormat="1" x14ac:dyDescent="0.3">
      <c r="A1031" s="165">
        <f>MATCH(Calcs!B1031,Paste_Report_Here!$1:$1,0) -1</f>
        <v>8</v>
      </c>
      <c r="B1031" s="165" t="s">
        <v>127</v>
      </c>
      <c r="C1031" s="166">
        <f ca="1">RANK(N1031,N1028:N1052)</f>
        <v>4</v>
      </c>
      <c r="D1031" s="166">
        <f ca="1">RANK(P1031,P1028:P1052)</f>
        <v>7</v>
      </c>
      <c r="E1031" s="189" t="s">
        <v>155</v>
      </c>
      <c r="F1031" s="179">
        <f ca="1">COUNTIFS(Paste_Report_Here!$E$1:$E$2000,E1022, OFFSET(Paste_Report_Here!$A$1,0,$A1031,2000,1),F$75)</f>
        <v>0</v>
      </c>
      <c r="G1031" s="180">
        <f ca="1">COUNTIFS(Paste_Report_Here!$E$1:$E$2000,E1022, OFFSET(Paste_Report_Here!$A$1,0,$A1031,2000,1),G$75)</f>
        <v>1</v>
      </c>
      <c r="H1031" s="180">
        <f ca="1">COUNTIFS(Paste_Report_Here!$E$1:$E$2000,E1022, OFFSET(Paste_Report_Here!$A$1,0,$A1031,2000,1),H$75)</f>
        <v>20</v>
      </c>
      <c r="I1031" s="180">
        <f ca="1">COUNTIFS(Paste_Report_Here!$E$1:$E$2000,E1022, OFFSET(Paste_Report_Here!$A$1,0,$A1031,2000,1),I$75)</f>
        <v>8</v>
      </c>
      <c r="J1031" s="180">
        <f ca="1">COUNTIFS(Paste_Report_Here!$E$1:$E$2000,E1022, OFFSET(Paste_Report_Here!$A$1,0,$A1031,2000,1),J$75)</f>
        <v>1</v>
      </c>
      <c r="K1031" s="181">
        <f ca="1">COUNTIFS(Paste_Report_Here!$E$1:$E$2000,E1022, OFFSET(Paste_Report_Here!$A$1,0,$A1031,2000,1),K$75)</f>
        <v>0</v>
      </c>
      <c r="L1031" s="166">
        <f t="shared" ca="1" si="155"/>
        <v>30</v>
      </c>
      <c r="M1031" s="183">
        <f ca="1">SUMPRODUCT(F1031:K1031,F1026:K1026)/L:L</f>
        <v>6.6666666666666671E-3</v>
      </c>
      <c r="N1031" s="166">
        <f t="shared" ca="1" si="156"/>
        <v>1.0066889383540194</v>
      </c>
      <c r="O1031" s="165">
        <f t="shared" ca="1" si="158"/>
        <v>2842.0736647564909</v>
      </c>
      <c r="P1031" s="165">
        <f t="shared" ca="1" si="157"/>
        <v>2861.0841202976289</v>
      </c>
    </row>
    <row r="1032" spans="1:16" s="165" customFormat="1" x14ac:dyDescent="0.3">
      <c r="A1032" s="165">
        <f>MATCH(Calcs!B1032,Paste_Report_Here!$1:$1,0) -1</f>
        <v>9</v>
      </c>
      <c r="B1032" s="165" t="s">
        <v>214</v>
      </c>
      <c r="C1032" s="166">
        <f ca="1">RANK(N1032,N1028:N1052)</f>
        <v>4</v>
      </c>
      <c r="D1032" s="166">
        <f ca="1">RANK(P1032,P1028:P1052)</f>
        <v>5</v>
      </c>
      <c r="E1032" s="189" t="s">
        <v>156</v>
      </c>
      <c r="F1032" s="179">
        <f ca="1">COUNTIFS(Paste_Report_Here!$E$1:$E$2000,E1022, OFFSET(Paste_Report_Here!$A$1,0,$A1032,2000,1),F$75)</f>
        <v>0</v>
      </c>
      <c r="G1032" s="180">
        <f ca="1">COUNTIFS(Paste_Report_Here!$E$1:$E$2000,E1022, OFFSET(Paste_Report_Here!$A$1,0,$A1032,2000,1),G$75)</f>
        <v>2</v>
      </c>
      <c r="H1032" s="180">
        <f ca="1">COUNTIFS(Paste_Report_Here!$E$1:$E$2000,E1022, OFFSET(Paste_Report_Here!$A$1,0,$A1032,2000,1),H$75)</f>
        <v>23</v>
      </c>
      <c r="I1032" s="180">
        <f ca="1">COUNTIFS(Paste_Report_Here!$E$1:$E$2000,E1022, OFFSET(Paste_Report_Here!$A$1,0,$A1032,2000,1),I$75)</f>
        <v>4</v>
      </c>
      <c r="J1032" s="180">
        <f ca="1">COUNTIFS(Paste_Report_Here!$E$1:$E$2000,E1022, OFFSET(Paste_Report_Here!$A$1,0,$A1032,2000,1),J$75)</f>
        <v>1</v>
      </c>
      <c r="K1032" s="181">
        <f ca="1">COUNTIFS(Paste_Report_Here!$E$1:$E$2000,E1022, OFFSET(Paste_Report_Here!$A$1,0,$A1032,2000,1),K$75)</f>
        <v>0</v>
      </c>
      <c r="L1032" s="166">
        <f t="shared" ca="1" si="155"/>
        <v>30</v>
      </c>
      <c r="M1032" s="183">
        <f ca="1">SUMPRODUCT(F1032:K1032,F1026:K1026)/L:L</f>
        <v>6.6666666666666671E-3</v>
      </c>
      <c r="N1032" s="166">
        <f t="shared" ca="1" si="156"/>
        <v>1.0066889383540194</v>
      </c>
      <c r="O1032" s="165">
        <f t="shared" ca="1" si="158"/>
        <v>3754.1449555238178</v>
      </c>
      <c r="P1032" s="165">
        <f t="shared" ca="1" si="157"/>
        <v>3779.2561997033695</v>
      </c>
    </row>
    <row r="1033" spans="1:16" s="165" customFormat="1" x14ac:dyDescent="0.3">
      <c r="A1033" s="165">
        <f>MATCH(Calcs!B1033,Paste_Report_Here!$1:$1,0) -1</f>
        <v>10</v>
      </c>
      <c r="B1033" s="165" t="s">
        <v>128</v>
      </c>
      <c r="C1033" s="166">
        <f ca="1">RANK(N1033,N1028:N1052)</f>
        <v>10</v>
      </c>
      <c r="D1033" s="166">
        <f ca="1">RANK(P1033,P1028:P1052)</f>
        <v>21</v>
      </c>
      <c r="E1033" s="189" t="s">
        <v>157</v>
      </c>
      <c r="F1033" s="179">
        <f ca="1">COUNTIFS(Paste_Report_Here!$E$1:$E$2000,E1022, OFFSET(Paste_Report_Here!$A$1,0,$A1033,2000,1),F$75)</f>
        <v>1</v>
      </c>
      <c r="G1033" s="180">
        <f ca="1">COUNTIFS(Paste_Report_Here!$E$1:$E$2000,E1022, OFFSET(Paste_Report_Here!$A$1,0,$A1033,2000,1),G$75)</f>
        <v>2</v>
      </c>
      <c r="H1033" s="180">
        <f ca="1">COUNTIFS(Paste_Report_Here!$E$1:$E$2000,E1022, OFFSET(Paste_Report_Here!$A$1,0,$A1033,2000,1),H$75)</f>
        <v>24</v>
      </c>
      <c r="I1033" s="180">
        <f ca="1">COUNTIFS(Paste_Report_Here!$E$1:$E$2000,E1022, OFFSET(Paste_Report_Here!$A$1,0,$A1033,2000,1),I$75)</f>
        <v>2</v>
      </c>
      <c r="J1033" s="180">
        <f ca="1">COUNTIFS(Paste_Report_Here!$E$1:$E$2000,E1022, OFFSET(Paste_Report_Here!$A$1,0,$A1033,2000,1),J$75)</f>
        <v>1</v>
      </c>
      <c r="K1033" s="181">
        <f ca="1">COUNTIFS(Paste_Report_Here!$E$1:$E$2000,E1022, OFFSET(Paste_Report_Here!$A$1,0,$A1033,2000,1),K$75)</f>
        <v>0</v>
      </c>
      <c r="L1033" s="166">
        <f t="shared" ca="1" si="155"/>
        <v>30</v>
      </c>
      <c r="M1033" s="183">
        <f ca="1">SUMPRODUCT(F1033:K1033,F1026:K1026)/L:L</f>
        <v>0</v>
      </c>
      <c r="N1033" s="166">
        <f t="shared" ca="1" si="156"/>
        <v>1</v>
      </c>
      <c r="O1033" s="165">
        <f t="shared" ca="1" si="158"/>
        <v>1660.0875221582219</v>
      </c>
      <c r="P1033" s="165">
        <f t="shared" ca="1" si="157"/>
        <v>1660.0875221582219</v>
      </c>
    </row>
    <row r="1034" spans="1:16" s="165" customFormat="1" x14ac:dyDescent="0.3">
      <c r="A1034" s="165">
        <f>MATCH(Calcs!B1034,Paste_Report_Here!$1:$1,0) -1</f>
        <v>11</v>
      </c>
      <c r="B1034" s="165" t="s">
        <v>129</v>
      </c>
      <c r="C1034" s="166">
        <f ca="1">RANK(N1034,N1028:N1052)</f>
        <v>18</v>
      </c>
      <c r="D1034" s="166">
        <f ca="1">RANK(P1034,P1028:P1052)</f>
        <v>9</v>
      </c>
      <c r="E1034" s="189" t="s">
        <v>158</v>
      </c>
      <c r="F1034" s="179">
        <f ca="1">COUNTIFS(Paste_Report_Here!$E$1:$E$2000,E1022, OFFSET(Paste_Report_Here!$A$1,0,$A1034,2000,1),F$75)</f>
        <v>1</v>
      </c>
      <c r="G1034" s="180">
        <f ca="1">COUNTIFS(Paste_Report_Here!$E$1:$E$2000,E1022, OFFSET(Paste_Report_Here!$A$1,0,$A1034,2000,1),G$75)</f>
        <v>2</v>
      </c>
      <c r="H1034" s="180">
        <f ca="1">COUNTIFS(Paste_Report_Here!$E$1:$E$2000,E1022, OFFSET(Paste_Report_Here!$A$1,0,$A1034,2000,1),H$75)</f>
        <v>21</v>
      </c>
      <c r="I1034" s="180">
        <f ca="1">COUNTIFS(Paste_Report_Here!$E$1:$E$2000,E1022, OFFSET(Paste_Report_Here!$A$1,0,$A1034,2000,1),I$75)</f>
        <v>6</v>
      </c>
      <c r="J1034" s="180">
        <f ca="1">COUNTIFS(Paste_Report_Here!$E$1:$E$2000,E1022, OFFSET(Paste_Report_Here!$A$1,0,$A1034,2000,1),J$75)</f>
        <v>0</v>
      </c>
      <c r="K1034" s="181">
        <f ca="1">COUNTIFS(Paste_Report_Here!$E$1:$E$2000,E1022, OFFSET(Paste_Report_Here!$A$1,0,$A1034,2000,1),K$75)</f>
        <v>0</v>
      </c>
      <c r="L1034" s="166">
        <f t="shared" ca="1" si="155"/>
        <v>30</v>
      </c>
      <c r="M1034" s="183">
        <f ca="1">SUMPRODUCT(F1034:K1034,F1026:K1026)/L:L</f>
        <v>-6.6666666666666671E-3</v>
      </c>
      <c r="N1034" s="166">
        <f t="shared" ca="1" si="156"/>
        <v>0.99335550625503444</v>
      </c>
      <c r="O1034" s="165">
        <f t="shared" ca="1" si="158"/>
        <v>2625.543317867337</v>
      </c>
      <c r="P1034" s="165">
        <f t="shared" ca="1" si="157"/>
        <v>2608.0979117146312</v>
      </c>
    </row>
    <row r="1035" spans="1:16" s="165" customFormat="1" x14ac:dyDescent="0.3">
      <c r="A1035" s="165">
        <f>MATCH(Calcs!B1035,Paste_Report_Here!$1:$1,0) -1</f>
        <v>12</v>
      </c>
      <c r="B1035" s="165" t="s">
        <v>130</v>
      </c>
      <c r="C1035" s="166">
        <f ca="1">RANK(N1035,N1029:N1053)</f>
        <v>1</v>
      </c>
      <c r="D1035" s="166">
        <f ca="1">RANK(P1035,P1028:P1052)</f>
        <v>10</v>
      </c>
      <c r="E1035" s="189" t="s">
        <v>159</v>
      </c>
      <c r="F1035" s="179">
        <f ca="1">COUNTIFS(Paste_Report_Here!$E$1:$E$2000,E1022, OFFSET(Paste_Report_Here!$A$1,0,$A1035,2000,1),F$75)</f>
        <v>1</v>
      </c>
      <c r="G1035" s="180">
        <f ca="1">COUNTIFS(Paste_Report_Here!$E$1:$E$2000,E1022, OFFSET(Paste_Report_Here!$A$1,0,$A1035,2000,1),G$75)</f>
        <v>1</v>
      </c>
      <c r="H1035" s="180">
        <f ca="1">COUNTIFS(Paste_Report_Here!$E$1:$E$2000,E1022, OFFSET(Paste_Report_Here!$A$1,0,$A1035,2000,1),H$75)</f>
        <v>19</v>
      </c>
      <c r="I1035" s="180">
        <f ca="1">COUNTIFS(Paste_Report_Here!$E$1:$E$2000,E1022, OFFSET(Paste_Report_Here!$A$1,0,$A1035,2000,1),I$75)</f>
        <v>6</v>
      </c>
      <c r="J1035" s="180">
        <f ca="1">COUNTIFS(Paste_Report_Here!$E$1:$E$2000,E1022, OFFSET(Paste_Report_Here!$A$1,0,$A1035,2000,1),J$75)</f>
        <v>3</v>
      </c>
      <c r="K1035" s="181">
        <f ca="1">COUNTIFS(Paste_Report_Here!$E$1:$E$2000,E1022, OFFSET(Paste_Report_Here!$A$1,0,$A1035,2000,1),K$75)</f>
        <v>0</v>
      </c>
      <c r="L1035" s="166">
        <f t="shared" ca="1" si="155"/>
        <v>30</v>
      </c>
      <c r="M1035" s="183">
        <f ca="1">SUMPRODUCT(F1035:K1035,F1026:K1026)/L:L</f>
        <v>1.3333333333333336E-2</v>
      </c>
      <c r="N1035" s="166">
        <f t="shared" ca="1" si="156"/>
        <v>1.0134226186043425</v>
      </c>
      <c r="O1035" s="165">
        <f t="shared" ca="1" si="158"/>
        <v>2497.1433290270447</v>
      </c>
      <c r="P1035" s="165">
        <f t="shared" ca="1" si="157"/>
        <v>2530.6615315329527</v>
      </c>
    </row>
    <row r="1036" spans="1:16" s="165" customFormat="1" x14ac:dyDescent="0.3">
      <c r="A1036" s="165">
        <f>MATCH(Calcs!B1036,Paste_Report_Here!$1:$1,0) -1</f>
        <v>13</v>
      </c>
      <c r="B1036" s="165" t="s">
        <v>131</v>
      </c>
      <c r="C1036" s="166">
        <f ca="1">RANK(N1036,N1030:N1054)</f>
        <v>4</v>
      </c>
      <c r="D1036" s="166">
        <f ca="1">RANK(P1036,P1028:P1052)</f>
        <v>2</v>
      </c>
      <c r="E1036" s="189" t="s">
        <v>160</v>
      </c>
      <c r="F1036" s="179">
        <f ca="1">COUNTIFS(Paste_Report_Here!$E$1:$E$2000,E1022, OFFSET(Paste_Report_Here!$A$1,0,$A1036,2000,1),F$75)</f>
        <v>0</v>
      </c>
      <c r="G1036" s="180">
        <f ca="1">COUNTIFS(Paste_Report_Here!$E$1:$E$2000,E1022, OFFSET(Paste_Report_Here!$A$1,0,$A1036,2000,1),G$75)</f>
        <v>1</v>
      </c>
      <c r="H1036" s="180">
        <f ca="1">COUNTIFS(Paste_Report_Here!$E$1:$E$2000,E1022, OFFSET(Paste_Report_Here!$A$1,0,$A1036,2000,1),H$75)</f>
        <v>19</v>
      </c>
      <c r="I1036" s="180">
        <f ca="1">COUNTIFS(Paste_Report_Here!$E$1:$E$2000,E1022, OFFSET(Paste_Report_Here!$A$1,0,$A1036,2000,1),I$75)</f>
        <v>9</v>
      </c>
      <c r="J1036" s="180">
        <f ca="1">COUNTIFS(Paste_Report_Here!$E$1:$E$2000,E1022, OFFSET(Paste_Report_Here!$A$1,0,$A1036,2000,1),J$75)</f>
        <v>1</v>
      </c>
      <c r="K1036" s="181">
        <f ca="1">COUNTIFS(Paste_Report_Here!$E$1:$E$2000,E1022, OFFSET(Paste_Report_Here!$A$1,0,$A1036,2000,1),K$75)</f>
        <v>0</v>
      </c>
      <c r="L1036" s="166">
        <f t="shared" ca="1" si="155"/>
        <v>30</v>
      </c>
      <c r="M1036" s="183">
        <f ca="1">SUMPRODUCT(F1036:K1036,F1026:K1026)/L:L</f>
        <v>6.6666666666666671E-3</v>
      </c>
      <c r="N1036" s="166">
        <f t="shared" ca="1" si="156"/>
        <v>1.0066889383540194</v>
      </c>
      <c r="O1036" s="165">
        <f t="shared" ca="1" si="158"/>
        <v>4211.3486318205969</v>
      </c>
      <c r="P1036" s="165">
        <f t="shared" ca="1" si="157"/>
        <v>4239.5180832061287</v>
      </c>
    </row>
    <row r="1037" spans="1:16" s="165" customFormat="1" x14ac:dyDescent="0.3">
      <c r="A1037" s="165">
        <f>MATCH(Calcs!B1037,Paste_Report_Here!$1:$1,0) -1</f>
        <v>14</v>
      </c>
      <c r="B1037" s="165" t="s">
        <v>132</v>
      </c>
      <c r="C1037" s="166">
        <f ca="1">RANK(N1037,N1031:N1055)</f>
        <v>19</v>
      </c>
      <c r="D1037" s="166">
        <f ca="1">RANK(P1037,P1028:P1052)</f>
        <v>17</v>
      </c>
      <c r="E1037" s="189" t="s">
        <v>161</v>
      </c>
      <c r="F1037" s="179">
        <f ca="1">COUNTIFS(Paste_Report_Here!$E$1:$E$2000,E1022, OFFSET(Paste_Report_Here!$A$1,0,$A1037,2000,1),F$75)</f>
        <v>1</v>
      </c>
      <c r="G1037" s="180">
        <f ca="1">COUNTIFS(Paste_Report_Here!$E$1:$E$2000,E1022, OFFSET(Paste_Report_Here!$A$1,0,$A1037,2000,1),G$75)</f>
        <v>0</v>
      </c>
      <c r="H1037" s="180">
        <f ca="1">COUNTIFS(Paste_Report_Here!$E$1:$E$2000,E1022, OFFSET(Paste_Report_Here!$A$1,0,$A1037,2000,1),H$75)</f>
        <v>23</v>
      </c>
      <c r="I1037" s="180">
        <f ca="1">COUNTIFS(Paste_Report_Here!$E$1:$E$2000,E1022, OFFSET(Paste_Report_Here!$A$1,0,$A1037,2000,1),I$75)</f>
        <v>6</v>
      </c>
      <c r="J1037" s="180">
        <f ca="1">COUNTIFS(Paste_Report_Here!$E$1:$E$2000,E1022, OFFSET(Paste_Report_Here!$A$1,0,$A1037,2000,1),J$75)</f>
        <v>0</v>
      </c>
      <c r="K1037" s="181">
        <f ca="1">COUNTIFS(Paste_Report_Here!$E$1:$E$2000,E1022, OFFSET(Paste_Report_Here!$A$1,0,$A1037,2000,1),K$75)</f>
        <v>0</v>
      </c>
      <c r="L1037" s="166">
        <f t="shared" ca="1" si="155"/>
        <v>30</v>
      </c>
      <c r="M1037" s="183">
        <f ca="1">SUMPRODUCT(F1037:K1037,F1026:K1026)/L:L</f>
        <v>-6.6666666666666671E-3</v>
      </c>
      <c r="N1037" s="166">
        <f t="shared" ca="1" si="156"/>
        <v>0.99335550625503444</v>
      </c>
      <c r="O1037" s="165">
        <f t="shared" ca="1" si="158"/>
        <v>2082.6431543644039</v>
      </c>
      <c r="P1037" s="165">
        <f t="shared" ca="1" si="157"/>
        <v>2068.8050449522343</v>
      </c>
    </row>
    <row r="1038" spans="1:16" s="165" customFormat="1" x14ac:dyDescent="0.3">
      <c r="A1038" s="165">
        <f>MATCH(Calcs!B1038,Paste_Report_Here!$1:$1,0) -1</f>
        <v>15</v>
      </c>
      <c r="B1038" s="165" t="s">
        <v>133</v>
      </c>
      <c r="C1038" s="166">
        <f ca="1">RANK(N1038,N1027:N1051)</f>
        <v>9</v>
      </c>
      <c r="D1038" s="166">
        <f ca="1">RANK(P1038,P1028:P1052)</f>
        <v>6</v>
      </c>
      <c r="E1038" s="189" t="s">
        <v>162</v>
      </c>
      <c r="F1038" s="179">
        <f ca="1">COUNTIFS(Paste_Report_Here!$E$1:$E$2000,E1022, OFFSET(Paste_Report_Here!$A$1,0,$A1038,2000,1),F$75)</f>
        <v>1</v>
      </c>
      <c r="G1038" s="180">
        <f ca="1">COUNTIFS(Paste_Report_Here!$E$1:$E$2000,E1022, OFFSET(Paste_Report_Here!$A$1,0,$A1038,2000,1),G$75)</f>
        <v>1</v>
      </c>
      <c r="H1038" s="180">
        <f ca="1">COUNTIFS(Paste_Report_Here!$E$1:$E$2000,E1022, OFFSET(Paste_Report_Here!$A$1,0,$A1038,2000,1),H$75)</f>
        <v>23</v>
      </c>
      <c r="I1038" s="180">
        <f ca="1">COUNTIFS(Paste_Report_Here!$E$1:$E$2000,E1022, OFFSET(Paste_Report_Here!$A$1,0,$A1038,2000,1),I$75)</f>
        <v>4</v>
      </c>
      <c r="J1038" s="180">
        <f ca="1">COUNTIFS(Paste_Report_Here!$E$1:$E$2000,E1022, OFFSET(Paste_Report_Here!$A$1,0,$A1038,2000,1),J$75)</f>
        <v>1</v>
      </c>
      <c r="K1038" s="181">
        <f ca="1">COUNTIFS(Paste_Report_Here!$E$1:$E$2000,E1022, OFFSET(Paste_Report_Here!$A$1,0,$A1038,2000,1),K$75)</f>
        <v>0</v>
      </c>
      <c r="L1038" s="166">
        <f t="shared" ca="1" si="155"/>
        <v>30</v>
      </c>
      <c r="M1038" s="183">
        <f ca="1">SUMPRODUCT(F1038:K1038,F1026:K1026)/L:L</f>
        <v>0</v>
      </c>
      <c r="N1038" s="166">
        <f t="shared" ca="1" si="156"/>
        <v>1</v>
      </c>
      <c r="O1038" s="165">
        <f t="shared" ca="1" si="158"/>
        <v>3011.2375057134327</v>
      </c>
      <c r="P1038" s="165">
        <f t="shared" ca="1" si="157"/>
        <v>3011.2375057134327</v>
      </c>
    </row>
    <row r="1039" spans="1:16" s="165" customFormat="1" x14ac:dyDescent="0.3">
      <c r="A1039" s="165">
        <f>MATCH(Calcs!B1039,Paste_Report_Here!$1:$1,0) -1</f>
        <v>16</v>
      </c>
      <c r="B1039" s="165" t="s">
        <v>134</v>
      </c>
      <c r="C1039" s="166">
        <f ca="1">RANK(N1039,N1028:N1052)</f>
        <v>18</v>
      </c>
      <c r="D1039" s="166">
        <f ca="1">RANK(P1039,P1028:P1052)</f>
        <v>24</v>
      </c>
      <c r="E1039" s="189" t="s">
        <v>163</v>
      </c>
      <c r="F1039" s="179">
        <f ca="1">COUNTIFS(Paste_Report_Here!$E$1:$E$2000,E1022, OFFSET(Paste_Report_Here!$A$1,0,$A1039,2000,1),F$75)</f>
        <v>1</v>
      </c>
      <c r="G1039" s="180">
        <f ca="1">COUNTIFS(Paste_Report_Here!$E$1:$E$2000,E1022, OFFSET(Paste_Report_Here!$A$1,0,$A1039,2000,1),G$75)</f>
        <v>2</v>
      </c>
      <c r="H1039" s="180">
        <f ca="1">COUNTIFS(Paste_Report_Here!$E$1:$E$2000,E1022, OFFSET(Paste_Report_Here!$A$1,0,$A1039,2000,1),H$75)</f>
        <v>22</v>
      </c>
      <c r="I1039" s="180">
        <f ca="1">COUNTIFS(Paste_Report_Here!$E$1:$E$2000,E1022, OFFSET(Paste_Report_Here!$A$1,0,$A1039,2000,1),I$75)</f>
        <v>5</v>
      </c>
      <c r="J1039" s="180">
        <f ca="1">COUNTIFS(Paste_Report_Here!$E$1:$E$2000,E1022, OFFSET(Paste_Report_Here!$A$1,0,$A1039,2000,1),J$75)</f>
        <v>0</v>
      </c>
      <c r="K1039" s="181">
        <f ca="1">COUNTIFS(Paste_Report_Here!$E$1:$E$2000,E1022, OFFSET(Paste_Report_Here!$A$1,0,$A1039,2000,1),K$75)</f>
        <v>0</v>
      </c>
      <c r="L1039" s="166">
        <f t="shared" ca="1" si="155"/>
        <v>30</v>
      </c>
      <c r="M1039" s="183">
        <f ca="1">SUMPRODUCT(F1039:K1039,F1026:K1026)/L:L</f>
        <v>-6.6666666666666671E-3</v>
      </c>
      <c r="N1039" s="166">
        <f t="shared" ca="1" si="156"/>
        <v>0.99335550625503444</v>
      </c>
      <c r="O1039" s="165">
        <f t="shared" ca="1" si="158"/>
        <v>1172.6502421089297</v>
      </c>
      <c r="P1039" s="165">
        <f t="shared" ca="1" si="157"/>
        <v>1164.8585749102044</v>
      </c>
    </row>
    <row r="1040" spans="1:16" s="165" customFormat="1" x14ac:dyDescent="0.3">
      <c r="A1040" s="165">
        <f>MATCH(Calcs!B1040,Paste_Report_Here!$1:$1,0) -1</f>
        <v>17</v>
      </c>
      <c r="B1040" s="165" t="s">
        <v>135</v>
      </c>
      <c r="C1040" s="166">
        <v>3</v>
      </c>
      <c r="D1040" s="166">
        <f ca="1">RANK(P1040,P1028:P1052)</f>
        <v>20</v>
      </c>
      <c r="E1040" s="189" t="s">
        <v>164</v>
      </c>
      <c r="F1040" s="179">
        <f ca="1">COUNTIFS(Paste_Report_Here!$E$1:$E$2000,E1022, OFFSET(Paste_Report_Here!$A$1,0,$A1040,2000,1),F$75)</f>
        <v>0</v>
      </c>
      <c r="G1040" s="180">
        <f ca="1">COUNTIFS(Paste_Report_Here!$E$1:$E$2000,E1022, OFFSET(Paste_Report_Here!$A$1,0,$A1040,2000,1),G$75)</f>
        <v>1</v>
      </c>
      <c r="H1040" s="180">
        <f ca="1">COUNTIFS(Paste_Report_Here!$E$1:$E$2000,E1022, OFFSET(Paste_Report_Here!$A$1,0,$A1040,2000,1),H$75)</f>
        <v>21</v>
      </c>
      <c r="I1040" s="180">
        <f ca="1">COUNTIFS(Paste_Report_Here!$E$1:$E$2000,E1022, OFFSET(Paste_Report_Here!$A$1,0,$A1040,2000,1),I$75)</f>
        <v>6</v>
      </c>
      <c r="J1040" s="180">
        <f ca="1">COUNTIFS(Paste_Report_Here!$E$1:$E$2000,E1022, OFFSET(Paste_Report_Here!$A$1,0,$A1040,2000,1),J$75)</f>
        <v>2</v>
      </c>
      <c r="K1040" s="181">
        <f ca="1">COUNTIFS(Paste_Report_Here!$E$1:$E$2000,E1022, OFFSET(Paste_Report_Here!$A$1,0,$A1040,2000,1),K$75)</f>
        <v>0</v>
      </c>
      <c r="L1040" s="166">
        <f t="shared" ca="1" si="155"/>
        <v>30</v>
      </c>
      <c r="M1040" s="183">
        <f ca="1">SUMPRODUCT(F1040:K1040,F1026:K1026)/L:L</f>
        <v>1.3333333333333334E-2</v>
      </c>
      <c r="N1040" s="166">
        <f t="shared" ca="1" si="156"/>
        <v>1.0134226186043425</v>
      </c>
      <c r="O1040" s="165">
        <f t="shared" ca="1" si="158"/>
        <v>1901.0691095638779</v>
      </c>
      <c r="P1040" s="165">
        <f t="shared" ca="1" si="157"/>
        <v>1926.5864351620507</v>
      </c>
    </row>
    <row r="1041" spans="1:16" s="165" customFormat="1" x14ac:dyDescent="0.3">
      <c r="A1041" s="165">
        <f>MATCH(Calcs!B1041,Paste_Report_Here!$1:$1,0) -1</f>
        <v>18</v>
      </c>
      <c r="B1041" s="165" t="s">
        <v>136</v>
      </c>
      <c r="C1041" s="166">
        <f ca="1">RANK(N1041,N1030:N1054)</f>
        <v>11</v>
      </c>
      <c r="D1041" s="166">
        <f ca="1">RANK(P1041,P1028:P1052)</f>
        <v>4</v>
      </c>
      <c r="E1041" s="189" t="s">
        <v>165</v>
      </c>
      <c r="F1041" s="179">
        <f ca="1">COUNTIFS(Paste_Report_Here!$E$1:$E$2000,E1022, OFFSET(Paste_Report_Here!$A$1,0,$A1041,2000,1),F$75)</f>
        <v>1</v>
      </c>
      <c r="G1041" s="180">
        <f ca="1">COUNTIFS(Paste_Report_Here!$E$1:$E$2000,E1022, OFFSET(Paste_Report_Here!$A$1,0,$A1041,2000,1),G$75)</f>
        <v>3</v>
      </c>
      <c r="H1041" s="180">
        <f ca="1">COUNTIFS(Paste_Report_Here!$E$1:$E$2000,E1022, OFFSET(Paste_Report_Here!$A$1,0,$A1041,2000,1),H$75)</f>
        <v>22</v>
      </c>
      <c r="I1041" s="180">
        <f ca="1">COUNTIFS(Paste_Report_Here!$E$1:$E$2000,E1022, OFFSET(Paste_Report_Here!$A$1,0,$A1041,2000,1),I$75)</f>
        <v>3</v>
      </c>
      <c r="J1041" s="180">
        <f ca="1">COUNTIFS(Paste_Report_Here!$E$1:$E$2000,E1022, OFFSET(Paste_Report_Here!$A$1,0,$A1041,2000,1),J$75)</f>
        <v>1</v>
      </c>
      <c r="K1041" s="181">
        <f ca="1">COUNTIFS(Paste_Report_Here!$E$1:$E$2000,E1022, OFFSET(Paste_Report_Here!$A$1,0,$A1041,2000,1),K$75)</f>
        <v>0</v>
      </c>
      <c r="L1041" s="166">
        <f t="shared" ca="1" si="155"/>
        <v>30</v>
      </c>
      <c r="M1041" s="183">
        <f ca="1">SUMPRODUCT(F1041:K1041,F1026:K1026)/L:L</f>
        <v>0</v>
      </c>
      <c r="N1041" s="166">
        <f t="shared" ca="1" si="156"/>
        <v>1</v>
      </c>
      <c r="O1041" s="165">
        <f t="shared" ca="1" si="158"/>
        <v>3878.7985285277082</v>
      </c>
      <c r="P1041" s="165">
        <f t="shared" ca="1" si="157"/>
        <v>3878.7985285277082</v>
      </c>
    </row>
    <row r="1042" spans="1:16" s="165" customFormat="1" x14ac:dyDescent="0.3">
      <c r="A1042" s="165">
        <f>MATCH(Calcs!B1042,Paste_Report_Here!$1:$1,0) -1</f>
        <v>19</v>
      </c>
      <c r="B1042" s="165" t="s">
        <v>137</v>
      </c>
      <c r="C1042" s="166">
        <f ca="1">RANK(N1042,N1031:N1055)</f>
        <v>11</v>
      </c>
      <c r="D1042" s="166">
        <f ca="1">RANK(P1042,P1028:P1052)</f>
        <v>13</v>
      </c>
      <c r="E1042" s="189" t="s">
        <v>166</v>
      </c>
      <c r="F1042" s="179">
        <f ca="1">COUNTIFS(Paste_Report_Here!$E$1:$E$2000,E1022, OFFSET(Paste_Report_Here!$A$1,0,$A1042,2000,1),F$75)</f>
        <v>0</v>
      </c>
      <c r="G1042" s="180">
        <f ca="1">COUNTIFS(Paste_Report_Here!$E$1:$E$2000,E1022, OFFSET(Paste_Report_Here!$A$1,0,$A1042,2000,1),G$75)</f>
        <v>1</v>
      </c>
      <c r="H1042" s="180">
        <f ca="1">COUNTIFS(Paste_Report_Here!$E$1:$E$2000,E1022, OFFSET(Paste_Report_Here!$A$1,0,$A1042,2000,1),H$75)</f>
        <v>24</v>
      </c>
      <c r="I1042" s="180">
        <f ca="1">COUNTIFS(Paste_Report_Here!$E$1:$E$2000,E1022, OFFSET(Paste_Report_Here!$A$1,0,$A1042,2000,1),I$75)</f>
        <v>5</v>
      </c>
      <c r="J1042" s="180">
        <f ca="1">COUNTIFS(Paste_Report_Here!$E$1:$E$2000,E1022, OFFSET(Paste_Report_Here!$A$1,0,$A1042,2000,1),J$75)</f>
        <v>0</v>
      </c>
      <c r="K1042" s="181">
        <f ca="1">COUNTIFS(Paste_Report_Here!$E$1:$E$2000,E1022, OFFSET(Paste_Report_Here!$A$1,0,$A1042,2000,1),K$75)</f>
        <v>0</v>
      </c>
      <c r="L1042" s="166">
        <f t="shared" ca="1" si="155"/>
        <v>30</v>
      </c>
      <c r="M1042" s="183">
        <f ca="1">SUMPRODUCT(F1042:K1042,F1026:K1026)/L:L</f>
        <v>0</v>
      </c>
      <c r="N1042" s="166">
        <f t="shared" ca="1" si="156"/>
        <v>1</v>
      </c>
      <c r="O1042" s="165">
        <f t="shared" ca="1" si="158"/>
        <v>2149.2940764170658</v>
      </c>
      <c r="P1042" s="165">
        <f t="shared" ca="1" si="157"/>
        <v>2149.2940764170658</v>
      </c>
    </row>
    <row r="1043" spans="1:16" s="165" customFormat="1" x14ac:dyDescent="0.3">
      <c r="A1043" s="165">
        <f>MATCH(Calcs!B1043,Paste_Report_Here!$1:$1,0) -1</f>
        <v>20</v>
      </c>
      <c r="B1043" s="165" t="s">
        <v>138</v>
      </c>
      <c r="C1043" s="166">
        <f ca="1">RANK(N1043,N1029:N1053)</f>
        <v>19</v>
      </c>
      <c r="D1043" s="166">
        <f ca="1">RANK(P1043,P1028:P1052)</f>
        <v>19</v>
      </c>
      <c r="E1043" s="189" t="s">
        <v>167</v>
      </c>
      <c r="F1043" s="179">
        <f ca="1">COUNTIFS(Paste_Report_Here!$E$1:$E$2000,E1022, OFFSET(Paste_Report_Here!$A$1,0,$A1043,2000,1),F$75)</f>
        <v>1</v>
      </c>
      <c r="G1043" s="180">
        <f ca="1">COUNTIFS(Paste_Report_Here!$E$1:$E$2000,E1022, OFFSET(Paste_Report_Here!$A$1,0,$A1043,2000,1),G$75)</f>
        <v>1</v>
      </c>
      <c r="H1043" s="180">
        <f ca="1">COUNTIFS(Paste_Report_Here!$E$1:$E$2000,E1022, OFFSET(Paste_Report_Here!$A$1,0,$A1043,2000,1),H$75)</f>
        <v>18</v>
      </c>
      <c r="I1043" s="180">
        <f ca="1">COUNTIFS(Paste_Report_Here!$E$1:$E$2000,E1022, OFFSET(Paste_Report_Here!$A$1,0,$A1043,2000,1),I$75)</f>
        <v>10</v>
      </c>
      <c r="J1043" s="180">
        <f ca="1">COUNTIFS(Paste_Report_Here!$E$1:$E$2000,E1022, OFFSET(Paste_Report_Here!$A$1,0,$A1043,2000,1),J$75)</f>
        <v>0</v>
      </c>
      <c r="K1043" s="181">
        <f ca="1">COUNTIFS(Paste_Report_Here!$E$1:$E$2000,E1022, OFFSET(Paste_Report_Here!$A$1,0,$A1043,2000,1),K$75)</f>
        <v>0</v>
      </c>
      <c r="L1043" s="166">
        <f t="shared" ca="1" si="155"/>
        <v>30</v>
      </c>
      <c r="M1043" s="183">
        <f ca="1">SUMPRODUCT(F1043:K1043,F1026:K1026)/L:L</f>
        <v>-6.6666666666666671E-3</v>
      </c>
      <c r="N1043" s="166">
        <f t="shared" ca="1" si="156"/>
        <v>0.99335550625503444</v>
      </c>
      <c r="O1043" s="165">
        <f t="shared" ca="1" si="158"/>
        <v>2033.706058858653</v>
      </c>
      <c r="P1043" s="165">
        <f t="shared" ca="1" si="157"/>
        <v>2020.1931116714682</v>
      </c>
    </row>
    <row r="1044" spans="1:16" s="165" customFormat="1" x14ac:dyDescent="0.3">
      <c r="A1044" s="165">
        <f>MATCH(Calcs!B1044,Paste_Report_Here!$1:$1,0) -1</f>
        <v>21</v>
      </c>
      <c r="B1044" s="165" t="s">
        <v>139</v>
      </c>
      <c r="C1044" s="166">
        <f ca="1">RANK(N1044,N1028:N1052)</f>
        <v>18</v>
      </c>
      <c r="D1044" s="166">
        <f ca="1">RANK(P1044,P1028:P1052)</f>
        <v>18</v>
      </c>
      <c r="E1044" s="189" t="s">
        <v>168</v>
      </c>
      <c r="F1044" s="179">
        <f ca="1">COUNTIFS(Paste_Report_Here!$E$1:$E$2000,E1022, OFFSET(Paste_Report_Here!$A$1,0,$A1044,2000,1),F$75)</f>
        <v>1</v>
      </c>
      <c r="G1044" s="180">
        <f ca="1">COUNTIFS(Paste_Report_Here!$E$1:$E$2000,E1022, OFFSET(Paste_Report_Here!$A$1,0,$A1044,2000,1),G$75)</f>
        <v>0</v>
      </c>
      <c r="H1044" s="180">
        <f ca="1">COUNTIFS(Paste_Report_Here!$E$1:$E$2000,E1022, OFFSET(Paste_Report_Here!$A$1,0,$A1044,2000,1),H$75)</f>
        <v>25</v>
      </c>
      <c r="I1044" s="180">
        <f ca="1">COUNTIFS(Paste_Report_Here!$E$1:$E$2000,E1022, OFFSET(Paste_Report_Here!$A$1,0,$A1044,2000,1),I$75)</f>
        <v>4</v>
      </c>
      <c r="J1044" s="180">
        <f ca="1">COUNTIFS(Paste_Report_Here!$E$1:$E$2000,E1022, OFFSET(Paste_Report_Here!$A$1,0,$A1044,2000,1),J$75)</f>
        <v>0</v>
      </c>
      <c r="K1044" s="181">
        <f ca="1">COUNTIFS(Paste_Report_Here!$E$1:$E$2000,E1022, OFFSET(Paste_Report_Here!$A$1,0,$A1044,2000,1),K$75)</f>
        <v>0</v>
      </c>
      <c r="L1044" s="166">
        <f t="shared" ca="1" si="155"/>
        <v>30</v>
      </c>
      <c r="M1044" s="183">
        <f ca="1">SUMPRODUCT(F1044:K1044,F1026:K1026)/L:L</f>
        <v>-6.6666666666666671E-3</v>
      </c>
      <c r="N1044" s="166">
        <f t="shared" ca="1" si="156"/>
        <v>0.99335550625503444</v>
      </c>
      <c r="O1044" s="165">
        <f t="shared" ca="1" si="158"/>
        <v>2061.9730044776902</v>
      </c>
      <c r="P1044" s="165">
        <f t="shared" ca="1" si="157"/>
        <v>2048.2722377471505</v>
      </c>
    </row>
    <row r="1045" spans="1:16" s="165" customFormat="1" x14ac:dyDescent="0.3">
      <c r="A1045" s="165">
        <f>MATCH(Calcs!B1045,Paste_Report_Here!$1:$1,0) -1</f>
        <v>22</v>
      </c>
      <c r="B1045" s="165" t="s">
        <v>140</v>
      </c>
      <c r="C1045" s="166">
        <f ca="1">RANK(N1045,N1028:N1052)</f>
        <v>10</v>
      </c>
      <c r="D1045" s="166">
        <f ca="1">RANK(P1045,P1028:P1052)</f>
        <v>16</v>
      </c>
      <c r="E1045" s="189" t="s">
        <v>169</v>
      </c>
      <c r="F1045" s="179">
        <f ca="1">COUNTIFS(Paste_Report_Here!$E$1:$E$2000,E1022, OFFSET(Paste_Report_Here!$A$1,0,$A1045,2000,1),F$75)</f>
        <v>0</v>
      </c>
      <c r="G1045" s="180">
        <f ca="1">COUNTIFS(Paste_Report_Here!$E$1:$E$2000,E1022, OFFSET(Paste_Report_Here!$A$1,0,$A1045,2000,1),G$75)</f>
        <v>1</v>
      </c>
      <c r="H1045" s="180">
        <f ca="1">COUNTIFS(Paste_Report_Here!$E$1:$E$2000,E1022, OFFSET(Paste_Report_Here!$A$1,0,$A1045,2000,1),H$75)</f>
        <v>24</v>
      </c>
      <c r="I1045" s="180">
        <f ca="1">COUNTIFS(Paste_Report_Here!$E$1:$E$2000,E1022, OFFSET(Paste_Report_Here!$A$1,0,$A1045,2000,1),I$75)</f>
        <v>5</v>
      </c>
      <c r="J1045" s="180">
        <f ca="1">COUNTIFS(Paste_Report_Here!$E$1:$E$2000,E1022, OFFSET(Paste_Report_Here!$A$1,0,$A1045,2000,1),J$75)</f>
        <v>0</v>
      </c>
      <c r="K1045" s="181">
        <f ca="1">COUNTIFS(Paste_Report_Here!$E$1:$E$2000,E1022, OFFSET(Paste_Report_Here!$A$1,0,$A1045,2000,1),K$75)</f>
        <v>0</v>
      </c>
      <c r="L1045" s="166">
        <f t="shared" ca="1" si="155"/>
        <v>30</v>
      </c>
      <c r="M1045" s="183">
        <f ca="1">SUMPRODUCT(F1045:K1045,F1026:K1026)/L:L</f>
        <v>0</v>
      </c>
      <c r="N1045" s="166">
        <f t="shared" ca="1" si="156"/>
        <v>1</v>
      </c>
      <c r="O1045" s="165">
        <f t="shared" ca="1" si="158"/>
        <v>2101.1126870763292</v>
      </c>
      <c r="P1045" s="165">
        <f t="shared" ca="1" si="157"/>
        <v>2101.1126870763292</v>
      </c>
    </row>
    <row r="1046" spans="1:16" s="165" customFormat="1" x14ac:dyDescent="0.3">
      <c r="A1046" s="165">
        <f>MATCH(Calcs!B1046,Paste_Report_Here!$1:$1,0) -1</f>
        <v>23</v>
      </c>
      <c r="B1046" s="165" t="s">
        <v>186</v>
      </c>
      <c r="C1046" s="166">
        <f ca="1">RANK(N1046,N1028:N1052)</f>
        <v>4</v>
      </c>
      <c r="D1046" s="166">
        <f ca="1">RANK(P1046,P1028:P1052)</f>
        <v>3</v>
      </c>
      <c r="E1046" s="189" t="s">
        <v>180</v>
      </c>
      <c r="F1046" s="179">
        <f ca="1">COUNTIFS(Paste_Report_Here!$E$1:$E$2000,E1022, OFFSET(Paste_Report_Here!$A$1,0,$A1046,2000,1),F$75)</f>
        <v>0</v>
      </c>
      <c r="G1046" s="180">
        <f ca="1">COUNTIFS(Paste_Report_Here!$E$1:$E$2000,E1022, OFFSET(Paste_Report_Here!$A$1,0,$A1046,2000,1),G$75)</f>
        <v>0</v>
      </c>
      <c r="H1046" s="180">
        <f ca="1">COUNTIFS(Paste_Report_Here!$E$1:$E$2000,E1022, OFFSET(Paste_Report_Here!$A$1,0,$A1046,2000,1),H$75)</f>
        <v>23</v>
      </c>
      <c r="I1046" s="180">
        <f ca="1">COUNTIFS(Paste_Report_Here!$E$1:$E$2000,E1022, OFFSET(Paste_Report_Here!$A$1,0,$A1046,2000,1),I$75)</f>
        <v>6</v>
      </c>
      <c r="J1046" s="180">
        <f ca="1">COUNTIFS(Paste_Report_Here!$E$1:$E$2000,E1022, OFFSET(Paste_Report_Here!$A$1,0,$A1046,2000,1),J$75)</f>
        <v>1</v>
      </c>
      <c r="K1046" s="181">
        <f ca="1">COUNTIFS(Paste_Report_Here!$E$1:$E$2000,E1022, OFFSET(Paste_Report_Here!$A$1,0,$A1046,2000,1),K$75)</f>
        <v>0</v>
      </c>
      <c r="L1046" s="166">
        <f t="shared" ca="1" si="155"/>
        <v>30</v>
      </c>
      <c r="M1046" s="183">
        <f ca="1">SUMPRODUCT(F1046:K1046,F1026:K1026)/L:L</f>
        <v>6.6666666666666671E-3</v>
      </c>
      <c r="N1046" s="166">
        <f t="shared" ca="1" si="156"/>
        <v>1.0066889383540194</v>
      </c>
      <c r="O1046" s="165">
        <f t="shared" ca="1" si="158"/>
        <v>3955.8615462678154</v>
      </c>
      <c r="P1046" s="165">
        <f t="shared" ca="1" si="157"/>
        <v>3982.3220602878368</v>
      </c>
    </row>
    <row r="1047" spans="1:16" s="165" customFormat="1" x14ac:dyDescent="0.3">
      <c r="A1047" s="165">
        <f>MATCH(Calcs!B1047,Paste_Report_Here!$1:$1,0) -1</f>
        <v>24</v>
      </c>
      <c r="B1047" s="165" t="s">
        <v>209</v>
      </c>
      <c r="C1047" s="166">
        <f ca="1">RANK(N1047,N1028:N1052)</f>
        <v>4</v>
      </c>
      <c r="D1047" s="166">
        <f ca="1">RANK(P1047,P1028:P1052)</f>
        <v>23</v>
      </c>
      <c r="E1047" s="202" t="s">
        <v>211</v>
      </c>
      <c r="F1047" s="179">
        <f ca="1">COUNTIFS(Paste_Report_Here!$E$1:$E$2000,E1022, OFFSET(Paste_Report_Here!$A$1,0,$A1047,2000,1),F$75)</f>
        <v>0</v>
      </c>
      <c r="G1047" s="180">
        <f ca="1">COUNTIFS(Paste_Report_Here!$E$1:$E$2000,E1022, OFFSET(Paste_Report_Here!$A$1,0,$A1047,2000,1),G$75)</f>
        <v>0</v>
      </c>
      <c r="H1047" s="180">
        <f ca="1">COUNTIFS(Paste_Report_Here!$E$1:$E$2000,E1022, OFFSET(Paste_Report_Here!$A$1,0,$A1047,2000,1),H$75)</f>
        <v>25</v>
      </c>
      <c r="I1047" s="180">
        <f ca="1">COUNTIFS(Paste_Report_Here!$E$1:$E$2000,E1022, OFFSET(Paste_Report_Here!$A$1,0,$A1047,2000,1),I$75)</f>
        <v>4</v>
      </c>
      <c r="J1047" s="180">
        <f ca="1">COUNTIFS(Paste_Report_Here!$E$1:$E$2000,E1022, OFFSET(Paste_Report_Here!$A$1,0,$A1047,2000,1),J$75)</f>
        <v>1</v>
      </c>
      <c r="K1047" s="181">
        <f ca="1">COUNTIFS(Paste_Report_Here!$E$1:$E$2000,E1022, OFFSET(Paste_Report_Here!$A$1,0,$A1047,2000,1),K$75)</f>
        <v>0</v>
      </c>
      <c r="L1047" s="166">
        <f t="shared" ca="1" si="155"/>
        <v>30</v>
      </c>
      <c r="M1047" s="183">
        <f ca="1">SUMPRODUCT(F1047:K1047,F1026:K1026)/L:L</f>
        <v>6.6666666666666671E-3</v>
      </c>
      <c r="N1047" s="166">
        <f t="shared" ca="1" si="156"/>
        <v>1.0066889383540194</v>
      </c>
      <c r="O1047" s="165">
        <f t="shared" ca="1" si="158"/>
        <v>1225.5502451314032</v>
      </c>
      <c r="P1047" s="165">
        <f t="shared" ca="1" si="157"/>
        <v>1233.7478751708406</v>
      </c>
    </row>
    <row r="1048" spans="1:16" s="165" customFormat="1" x14ac:dyDescent="0.3">
      <c r="A1048" s="165">
        <f>MATCH(Calcs!B1048,Paste_Report_Here!$1:$1,0) -1</f>
        <v>25</v>
      </c>
      <c r="B1048" s="165" t="s">
        <v>141</v>
      </c>
      <c r="C1048" s="166">
        <f ca="1">RANK(N1048,N1028:N1052)</f>
        <v>10</v>
      </c>
      <c r="D1048" s="166">
        <f ca="1">RANK(P1048,P1028:P1052)</f>
        <v>22</v>
      </c>
      <c r="E1048" s="189" t="s">
        <v>170</v>
      </c>
      <c r="F1048" s="179">
        <f ca="1">COUNTIFS(Paste_Report_Here!$E$1:$E$2000,E1022, OFFSET(Paste_Report_Here!$A$1,0,$A1048,2000,1),F$75)</f>
        <v>1</v>
      </c>
      <c r="G1048" s="180">
        <f ca="1">COUNTIFS(Paste_Report_Here!$E$1:$E$2000,E1022, OFFSET(Paste_Report_Here!$A$1,0,$A1048,2000,1),G$75)</f>
        <v>2</v>
      </c>
      <c r="H1048" s="180">
        <f ca="1">COUNTIFS(Paste_Report_Here!$E$1:$E$2000,E1022, OFFSET(Paste_Report_Here!$A$1,0,$A1048,2000,1),H$75)</f>
        <v>22</v>
      </c>
      <c r="I1048" s="180">
        <f ca="1">COUNTIFS(Paste_Report_Here!$E$1:$E$2000,E1022, OFFSET(Paste_Report_Here!$A$1,0,$A1048,2000,1),I$75)</f>
        <v>4</v>
      </c>
      <c r="J1048" s="180">
        <f ca="1">COUNTIFS(Paste_Report_Here!$E$1:$E$2000,E1022, OFFSET(Paste_Report_Here!$A$1,0,$A1048,2000,1),J$75)</f>
        <v>1</v>
      </c>
      <c r="K1048" s="181">
        <f ca="1">COUNTIFS(Paste_Report_Here!$E$1:$E$2000,E1022, OFFSET(Paste_Report_Here!$A$1,0,$A1048,2000,1),K$75)</f>
        <v>0</v>
      </c>
      <c r="L1048" s="166">
        <f t="shared" ca="1" si="155"/>
        <v>30</v>
      </c>
      <c r="M1048" s="183">
        <f ca="1">SUMPRODUCT(F1048:K1048,F1026:K1026)/L:L</f>
        <v>0</v>
      </c>
      <c r="N1048" s="166">
        <f t="shared" ca="1" si="156"/>
        <v>1</v>
      </c>
      <c r="O1048" s="165">
        <f t="shared" ca="1" si="158"/>
        <v>1396.8925671563318</v>
      </c>
      <c r="P1048" s="165">
        <f t="shared" ca="1" si="157"/>
        <v>1396.8925671563318</v>
      </c>
    </row>
    <row r="1049" spans="1:16" s="165" customFormat="1" x14ac:dyDescent="0.3">
      <c r="A1049" s="165">
        <f>MATCH(Calcs!B1049,Paste_Report_Here!$1:$1,0) -1</f>
        <v>26</v>
      </c>
      <c r="B1049" s="165" t="s">
        <v>142</v>
      </c>
      <c r="C1049" s="166">
        <f ca="1">RANK(N1049,N1028:N1052)</f>
        <v>10</v>
      </c>
      <c r="D1049" s="166">
        <f ca="1">RANK(P1049,P1028:P1052)</f>
        <v>11</v>
      </c>
      <c r="E1049" s="189" t="s">
        <v>171</v>
      </c>
      <c r="F1049" s="179">
        <f ca="1">COUNTIFS(Paste_Report_Here!$E$1:$E$2000,E1022, OFFSET(Paste_Report_Here!$A$1,0,$A1049,2000,1),F$75)</f>
        <v>1</v>
      </c>
      <c r="G1049" s="180">
        <f ca="1">COUNTIFS(Paste_Report_Here!$E$1:$E$2000,E1022, OFFSET(Paste_Report_Here!$A$1,0,$A1049,2000,1),G$75)</f>
        <v>1</v>
      </c>
      <c r="H1049" s="180">
        <f ca="1">COUNTIFS(Paste_Report_Here!$E$1:$E$2000,E1022, OFFSET(Paste_Report_Here!$A$1,0,$A1049,2000,1),H$75)</f>
        <v>21</v>
      </c>
      <c r="I1049" s="180">
        <f ca="1">COUNTIFS(Paste_Report_Here!$E$1:$E$2000,E1022, OFFSET(Paste_Report_Here!$A$1,0,$A1049,2000,1),I$75)</f>
        <v>6</v>
      </c>
      <c r="J1049" s="180">
        <f ca="1">COUNTIFS(Paste_Report_Here!$E$1:$E$2000,E1022, OFFSET(Paste_Report_Here!$A$1,0,$A1049,2000,1),J$75)</f>
        <v>1</v>
      </c>
      <c r="K1049" s="181">
        <f ca="1">COUNTIFS(Paste_Report_Here!$E$1:$E$2000,E1022, OFFSET(Paste_Report_Here!$A$1,0,$A1049,2000,1),K$75)</f>
        <v>0</v>
      </c>
      <c r="L1049" s="166">
        <f t="shared" ca="1" si="155"/>
        <v>30</v>
      </c>
      <c r="M1049" s="183">
        <f ca="1">SUMPRODUCT(F1049:K1049,F1026:K1026)/L:L</f>
        <v>0</v>
      </c>
      <c r="N1049" s="166">
        <f t="shared" ca="1" si="156"/>
        <v>1</v>
      </c>
      <c r="O1049" s="165">
        <f t="shared" ca="1" si="158"/>
        <v>2319.8645225355012</v>
      </c>
      <c r="P1049" s="165">
        <f t="shared" ca="1" si="157"/>
        <v>2319.8645225355012</v>
      </c>
    </row>
    <row r="1050" spans="1:16" s="165" customFormat="1" x14ac:dyDescent="0.3">
      <c r="A1050" s="165">
        <f>MATCH(Calcs!B1050,Paste_Report_Here!$1:$1,0) -1</f>
        <v>27</v>
      </c>
      <c r="B1050" s="165" t="s">
        <v>210</v>
      </c>
      <c r="C1050" s="166">
        <f ca="1">RANK(N1050,N1028:N1052)</f>
        <v>10</v>
      </c>
      <c r="D1050" s="166">
        <f ca="1">RANK(P1050,P1028:P1052)</f>
        <v>25</v>
      </c>
      <c r="E1050" s="202" t="s">
        <v>212</v>
      </c>
      <c r="F1050" s="179">
        <f ca="1">COUNTIFS(Paste_Report_Here!$E$1:$E$2000,E1022, OFFSET(Paste_Report_Here!$A$1,0,$A1050,2000,1),F$75)</f>
        <v>0</v>
      </c>
      <c r="G1050" s="180">
        <f ca="1">COUNTIFS(Paste_Report_Here!$E$1:$E$2000,E1022, OFFSET(Paste_Report_Here!$A$1,0,$A1050,2000,1),G$75)</f>
        <v>0</v>
      </c>
      <c r="H1050" s="180">
        <f ca="1">COUNTIFS(Paste_Report_Here!$E$1:$E$2000,E1022, OFFSET(Paste_Report_Here!$A$1,0,$A1050,2000,1),H$75)</f>
        <v>26</v>
      </c>
      <c r="I1050" s="180">
        <f ca="1">COUNTIFS(Paste_Report_Here!$E$1:$E$2000,E1022, OFFSET(Paste_Report_Here!$A$1,0,$A1050,2000,1),I$75)</f>
        <v>4</v>
      </c>
      <c r="J1050" s="180">
        <f ca="1">COUNTIFS(Paste_Report_Here!$E$1:$E$2000,E1022, OFFSET(Paste_Report_Here!$A$1,0,$A1050,2000,1),J$75)</f>
        <v>0</v>
      </c>
      <c r="K1050" s="181">
        <f ca="1">COUNTIFS(Paste_Report_Here!$E$1:$E$2000,E1022, OFFSET(Paste_Report_Here!$A$1,0,$A1050,2000,1),K$75)</f>
        <v>0</v>
      </c>
      <c r="L1050" s="166">
        <f t="shared" ca="1" si="155"/>
        <v>30</v>
      </c>
      <c r="M1050" s="183">
        <f ca="1">SUMPRODUCT(F1050:K1050,F1026:K1026)/L:L</f>
        <v>0</v>
      </c>
      <c r="N1050" s="166">
        <f t="shared" ca="1" si="156"/>
        <v>1</v>
      </c>
      <c r="O1050" s="165">
        <f t="shared" ca="1" si="158"/>
        <v>1152.660544727275</v>
      </c>
      <c r="P1050" s="165">
        <f t="shared" ca="1" si="157"/>
        <v>1152.660544727275</v>
      </c>
    </row>
    <row r="1051" spans="1:16" s="165" customFormat="1" x14ac:dyDescent="0.3">
      <c r="A1051" s="165">
        <f>MATCH(Calcs!B1051,Paste_Report_Here!$1:$1,0) -1</f>
        <v>28</v>
      </c>
      <c r="B1051" s="165" t="s">
        <v>143</v>
      </c>
      <c r="C1051" s="166">
        <f ca="1">RANK(N1051,N1029:N1053)</f>
        <v>1</v>
      </c>
      <c r="D1051" s="166">
        <f ca="1">RANK(P1051,P1028:P1052)</f>
        <v>1</v>
      </c>
      <c r="E1051" s="189" t="s">
        <v>172</v>
      </c>
      <c r="F1051" s="179">
        <f ca="1">COUNTIFS(Paste_Report_Here!$E$1:$E$2000,E1022, OFFSET(Paste_Report_Here!$A$1,0,$A1051,2000,1),F$75)</f>
        <v>0</v>
      </c>
      <c r="G1051" s="180">
        <f ca="1">COUNTIFS(Paste_Report_Here!$E$1:$E$2000,E1022, OFFSET(Paste_Report_Here!$A$1,0,$A1051,2000,1),G$75)</f>
        <v>0</v>
      </c>
      <c r="H1051" s="180">
        <f ca="1">COUNTIFS(Paste_Report_Here!$E$1:$E$2000,E1022, OFFSET(Paste_Report_Here!$A$1,0,$A1051,2000,1),H$75)</f>
        <v>23</v>
      </c>
      <c r="I1051" s="180">
        <f ca="1">COUNTIFS(Paste_Report_Here!$E$1:$E$2000,E1022, OFFSET(Paste_Report_Here!$A$1,0,$A1051,2000,1),I$75)</f>
        <v>5</v>
      </c>
      <c r="J1051" s="180">
        <f ca="1">COUNTIFS(Paste_Report_Here!$E$1:$E$2000,E1022, OFFSET(Paste_Report_Here!$A$1,0,$A1051,2000,1),J$75)</f>
        <v>2</v>
      </c>
      <c r="K1051" s="181">
        <f ca="1">COUNTIFS(Paste_Report_Here!$E$1:$E$2000,E1022, OFFSET(Paste_Report_Here!$A$1,0,$A1051,2000,1),K$75)</f>
        <v>0</v>
      </c>
      <c r="L1051" s="166">
        <f t="shared" ca="1" si="155"/>
        <v>30</v>
      </c>
      <c r="M1051" s="183">
        <f ca="1">SUMPRODUCT(F1051:K1051,F1026:K1026)/L:L</f>
        <v>1.3333333333333334E-2</v>
      </c>
      <c r="N1051" s="166">
        <f t="shared" ca="1" si="156"/>
        <v>1.0134226186043425</v>
      </c>
      <c r="O1051" s="165">
        <f t="shared" ca="1" si="158"/>
        <v>8343.0431775821889</v>
      </c>
      <c r="P1051" s="165">
        <f t="shared" ca="1" si="157"/>
        <v>8455.0286641544353</v>
      </c>
    </row>
    <row r="1052" spans="1:16" s="165" customFormat="1" x14ac:dyDescent="0.3">
      <c r="A1052" s="165">
        <f>MATCH(Calcs!B1052,Paste_Report_Here!$1:$1,0) -1</f>
        <v>29</v>
      </c>
      <c r="B1052" s="187" t="s">
        <v>144</v>
      </c>
      <c r="C1052" s="147">
        <f ca="1">RANK(N1052,N1028:N1052)</f>
        <v>4</v>
      </c>
      <c r="D1052" s="147">
        <f ca="1">RANK(P1052,P1028:P1052)</f>
        <v>12</v>
      </c>
      <c r="E1052" s="145" t="s">
        <v>173</v>
      </c>
      <c r="F1052" s="146">
        <f ca="1">COUNTIFS(Paste_Report_Here!$E$1:$E$2000,E1022, OFFSET(Paste_Report_Here!$A$1,0,$A1052,2000,1),F$75)</f>
        <v>0</v>
      </c>
      <c r="G1052" s="147">
        <f ca="1">COUNTIFS(Paste_Report_Here!$E$1:$E$2000,E1022, OFFSET(Paste_Report_Here!$A$1,0,$A1052,2000,1),G$75)</f>
        <v>0</v>
      </c>
      <c r="H1052" s="147">
        <f ca="1">COUNTIFS(Paste_Report_Here!$E$1:$E$2000,E1022, OFFSET(Paste_Report_Here!$A$1,0,$A1052,2000,1),H$75)</f>
        <v>28</v>
      </c>
      <c r="I1052" s="147">
        <f ca="1">COUNTIFS(Paste_Report_Here!$E$1:$E$2000,E1022, OFFSET(Paste_Report_Here!$A$1,0,$A1052,2000,1),I$75)</f>
        <v>1</v>
      </c>
      <c r="J1052" s="147">
        <f ca="1">COUNTIFS(Paste_Report_Here!$E$1:$E$2000,E1022, OFFSET(Paste_Report_Here!$A$1,0,$A1052,2000,1),J$75)</f>
        <v>1</v>
      </c>
      <c r="K1052" s="148">
        <f ca="1">COUNTIFS(Paste_Report_Here!$E$1:$E$2000,E1022, OFFSET(Paste_Report_Here!$A$1,0,$A1052,2000,1),K$75)</f>
        <v>0</v>
      </c>
      <c r="L1052" s="147">
        <f t="shared" ca="1" si="155"/>
        <v>30</v>
      </c>
      <c r="M1052" s="149">
        <f ca="1">SUMPRODUCT(F1052:K1052,F1026:K1026)/L:L</f>
        <v>6.6666666666666671E-3</v>
      </c>
      <c r="N1052" s="147">
        <f t="shared" ca="1" si="156"/>
        <v>1.0066889383540194</v>
      </c>
      <c r="O1052" s="187">
        <f t="shared" ca="1" si="158"/>
        <v>2272.422831556557</v>
      </c>
      <c r="P1052" s="165">
        <f t="shared" ca="1" si="157"/>
        <v>2287.6229277911048</v>
      </c>
    </row>
    <row r="1053" spans="1:16" s="165" customFormat="1" x14ac:dyDescent="0.3">
      <c r="C1053" s="166"/>
      <c r="E1053" s="140" t="s">
        <v>293</v>
      </c>
      <c r="F1053" s="180">
        <f ca="1">SUM(F1028:F1052)</f>
        <v>14</v>
      </c>
      <c r="G1053" s="180">
        <f t="shared" ref="G1053:L1053" ca="1" si="159">SUM(G1028:G1052)</f>
        <v>24</v>
      </c>
      <c r="H1053" s="180">
        <f t="shared" ca="1" si="159"/>
        <v>571</v>
      </c>
      <c r="I1053" s="180">
        <f t="shared" ca="1" si="159"/>
        <v>123</v>
      </c>
      <c r="J1053" s="180">
        <f t="shared" ca="1" si="159"/>
        <v>18</v>
      </c>
      <c r="K1053" s="180">
        <f t="shared" ca="1" si="159"/>
        <v>0</v>
      </c>
      <c r="L1053" s="180">
        <f t="shared" ca="1" si="159"/>
        <v>750</v>
      </c>
      <c r="M1053" s="144">
        <f ca="1">SUMPRODUCT(F1053:K1053,F1026:K1026)/L1053</f>
        <v>1.0666666666666665E-3</v>
      </c>
      <c r="N1053" s="166">
        <f t="shared" ca="1" si="156"/>
        <v>1.0010672357578811</v>
      </c>
      <c r="O1053" s="165">
        <f t="shared" ca="1" si="158"/>
        <v>2694.1365454214911</v>
      </c>
      <c r="P1053" s="165">
        <f t="shared" ca="1" si="157"/>
        <v>2697.0118242793792</v>
      </c>
    </row>
    <row r="1054" spans="1:16" s="165" customFormat="1" x14ac:dyDescent="0.3">
      <c r="A1054" s="194"/>
      <c r="B1054" s="194"/>
      <c r="C1054" s="153"/>
      <c r="D1054" s="194"/>
      <c r="E1054" s="164"/>
      <c r="F1054" s="151"/>
      <c r="G1054" s="151"/>
      <c r="H1054" s="151"/>
      <c r="I1054" s="151"/>
      <c r="J1054" s="151"/>
      <c r="K1054" s="151"/>
      <c r="L1054" s="151"/>
      <c r="M1054" s="162"/>
      <c r="N1054" s="153"/>
      <c r="O1054" s="194"/>
      <c r="P1054" s="194"/>
    </row>
    <row r="1055" spans="1:16" s="165" customFormat="1" x14ac:dyDescent="0.3">
      <c r="E1055" s="173" t="s">
        <v>292</v>
      </c>
    </row>
    <row r="1056" spans="1:16" s="165" customFormat="1" x14ac:dyDescent="0.3">
      <c r="E1056" s="141">
        <v>41485</v>
      </c>
    </row>
    <row r="1057" spans="1:16" s="165" customFormat="1" ht="15" thickBot="1" x14ac:dyDescent="0.35"/>
    <row r="1058" spans="1:16" s="165" customFormat="1" ht="24.6" thickBot="1" x14ac:dyDescent="0.35">
      <c r="F1058" s="174" t="s">
        <v>23</v>
      </c>
      <c r="G1058" s="168" t="s">
        <v>18</v>
      </c>
      <c r="H1058" s="168" t="s">
        <v>16</v>
      </c>
      <c r="I1058" s="168" t="s">
        <v>17</v>
      </c>
      <c r="J1058" s="168" t="s">
        <v>19</v>
      </c>
      <c r="K1058" s="169" t="s">
        <v>114</v>
      </c>
    </row>
    <row r="1059" spans="1:16" s="165" customFormat="1" x14ac:dyDescent="0.3">
      <c r="F1059" s="267" t="s">
        <v>201</v>
      </c>
      <c r="G1059" s="268"/>
      <c r="H1059" s="268"/>
      <c r="I1059" s="268"/>
      <c r="J1059" s="268"/>
      <c r="K1059" s="169"/>
      <c r="M1059" s="203">
        <f ca="1">(H1087+K1087)/L1087</f>
        <v>0.70769230769230773</v>
      </c>
      <c r="N1059" s="204" t="s">
        <v>501</v>
      </c>
    </row>
    <row r="1060" spans="1:16" s="165" customFormat="1" ht="43.8" thickBot="1" x14ac:dyDescent="0.35">
      <c r="A1060" s="142" t="s">
        <v>294</v>
      </c>
      <c r="B1060" s="142" t="s">
        <v>295</v>
      </c>
      <c r="C1060" s="197" t="s">
        <v>440</v>
      </c>
      <c r="D1060" s="142" t="s">
        <v>441</v>
      </c>
      <c r="E1060" s="171" t="s">
        <v>30</v>
      </c>
      <c r="F1060" s="175">
        <f>Falling_fast</f>
        <v>-0.2</v>
      </c>
      <c r="G1060" s="176">
        <f>Falling</f>
        <v>0</v>
      </c>
      <c r="H1060" s="177">
        <f>Static</f>
        <v>0</v>
      </c>
      <c r="I1060" s="176">
        <f>Rising</f>
        <v>0</v>
      </c>
      <c r="J1060" s="178">
        <f>Rising_fast</f>
        <v>0.2</v>
      </c>
      <c r="K1060" s="182">
        <v>0</v>
      </c>
      <c r="L1060" s="171" t="s">
        <v>28</v>
      </c>
      <c r="M1060" s="172" t="s">
        <v>29</v>
      </c>
      <c r="N1060" s="143" t="s">
        <v>296</v>
      </c>
      <c r="O1060" s="142" t="s">
        <v>297</v>
      </c>
      <c r="P1060" s="142" t="s">
        <v>298</v>
      </c>
    </row>
    <row r="1061" spans="1:16" s="165" customFormat="1" x14ac:dyDescent="0.3">
      <c r="C1061" s="166"/>
      <c r="E1061" s="192"/>
      <c r="F1061" s="198" t="s">
        <v>151</v>
      </c>
      <c r="G1061" s="199" t="s">
        <v>149</v>
      </c>
      <c r="H1061" s="199" t="s">
        <v>16</v>
      </c>
      <c r="I1061" s="199" t="s">
        <v>148</v>
      </c>
      <c r="J1061" s="199" t="s">
        <v>150</v>
      </c>
      <c r="K1061" s="200" t="s">
        <v>114</v>
      </c>
      <c r="L1061" s="166"/>
      <c r="M1061" s="170"/>
      <c r="N1061" s="166"/>
    </row>
    <row r="1062" spans="1:16" s="165" customFormat="1" x14ac:dyDescent="0.3">
      <c r="A1062" s="165">
        <f>MATCH(Calcs!B1062,Paste_Report_Here!$1:$1,0) -1</f>
        <v>5</v>
      </c>
      <c r="B1062" s="165" t="s">
        <v>124</v>
      </c>
      <c r="C1062" s="166">
        <f ca="1">RANK(N1062,N1062:N1086)</f>
        <v>24</v>
      </c>
      <c r="D1062" s="166">
        <f ca="1">RANK(P1062,P1062:P1086)</f>
        <v>16</v>
      </c>
      <c r="E1062" s="189" t="s">
        <v>152</v>
      </c>
      <c r="F1062" s="179">
        <f ca="1">COUNTIFS(Paste_Report_Here!$E$1:$E$2000,E1056, OFFSET(Paste_Report_Here!$A$1,0,$A1062,2000,1),F$75)</f>
        <v>1</v>
      </c>
      <c r="G1062" s="180">
        <f ca="1">COUNTIFS(Paste_Report_Here!$E$1:$E$2000,E1056, OFFSET(Paste_Report_Here!$A$1,0,$A1062,2000,1),G$75)</f>
        <v>2</v>
      </c>
      <c r="H1062" s="180">
        <f ca="1">COUNTIFS(Paste_Report_Here!$E$1:$E$2000,E1056, OFFSET(Paste_Report_Here!$A$1,0,$A1062,2000,1),H$75)</f>
        <v>21</v>
      </c>
      <c r="I1062" s="180">
        <f ca="1">COUNTIFS(Paste_Report_Here!$E$1:$E$2000,E1056, OFFSET(Paste_Report_Here!$A$1,0,$A1062,2000,1),I$75)</f>
        <v>2</v>
      </c>
      <c r="J1062" s="180">
        <f ca="1">COUNTIFS(Paste_Report_Here!$E$1:$E$2000,E1056, OFFSET(Paste_Report_Here!$A$1,0,$A1062,2000,1),J$75)</f>
        <v>0</v>
      </c>
      <c r="K1062" s="181">
        <f ca="1">COUNTIFS(Paste_Report_Here!$E$1:$E$2000,E1056, OFFSET(Paste_Report_Here!$A$1,0,$A1062,2000,1),K$75)</f>
        <v>0</v>
      </c>
      <c r="L1062" s="166">
        <f t="shared" ref="L1062:L1086" ca="1" si="160">SUM(F1062:K1062)</f>
        <v>26</v>
      </c>
      <c r="M1062" s="183">
        <f ca="1">SUMPRODUCT(F1062:K1062,F1060:K1060)/L:L</f>
        <v>-7.6923076923076927E-3</v>
      </c>
      <c r="N1062" s="166">
        <f t="shared" ref="N1062:N1087" ca="1" si="161">EXP(M1062)</f>
        <v>0.99233720239114864</v>
      </c>
      <c r="O1062" s="165">
        <f ca="1">P1028</f>
        <v>2107.470166678962</v>
      </c>
      <c r="P1062" s="165">
        <f t="shared" ref="P1062:P1087" ca="1" si="162">O1062*N1062</f>
        <v>2091.321049325009</v>
      </c>
    </row>
    <row r="1063" spans="1:16" s="165" customFormat="1" x14ac:dyDescent="0.3">
      <c r="A1063" s="165">
        <f>MATCH(Calcs!B1063,Paste_Report_Here!$1:$1,0) -1</f>
        <v>6</v>
      </c>
      <c r="B1063" s="165" t="s">
        <v>125</v>
      </c>
      <c r="C1063" s="166">
        <f ca="1">RANK(N1063,N1062:N1086)</f>
        <v>10</v>
      </c>
      <c r="D1063" s="166">
        <f ca="1">RANK(P1063,P1062:P1086)</f>
        <v>14</v>
      </c>
      <c r="E1063" s="189" t="s">
        <v>153</v>
      </c>
      <c r="F1063" s="179">
        <f ca="1">COUNTIFS(Paste_Report_Here!$E$1:$E$2000,E1056, OFFSET(Paste_Report_Here!$A$1,0,$A1063,2000,1),F$75)</f>
        <v>0</v>
      </c>
      <c r="G1063" s="180">
        <f ca="1">COUNTIFS(Paste_Report_Here!$E$1:$E$2000,E1056, OFFSET(Paste_Report_Here!$A$1,0,$A1063,2000,1),G$75)</f>
        <v>3</v>
      </c>
      <c r="H1063" s="180">
        <f ca="1">COUNTIFS(Paste_Report_Here!$E$1:$E$2000,E1056, OFFSET(Paste_Report_Here!$A$1,0,$A1063,2000,1),H$75)</f>
        <v>21</v>
      </c>
      <c r="I1063" s="180">
        <f ca="1">COUNTIFS(Paste_Report_Here!$E$1:$E$2000,E1056, OFFSET(Paste_Report_Here!$A$1,0,$A1063,2000,1),I$75)</f>
        <v>2</v>
      </c>
      <c r="J1063" s="180">
        <f ca="1">COUNTIFS(Paste_Report_Here!$E$1:$E$2000,E1056, OFFSET(Paste_Report_Here!$A$1,0,$A1063,2000,1),J$75)</f>
        <v>0</v>
      </c>
      <c r="K1063" s="181">
        <f ca="1">COUNTIFS(Paste_Report_Here!$E$1:$E$2000,E1056, OFFSET(Paste_Report_Here!$A$1,0,$A1063,2000,1),K$75)</f>
        <v>0</v>
      </c>
      <c r="L1063" s="166">
        <f t="shared" ca="1" si="160"/>
        <v>26</v>
      </c>
      <c r="M1063" s="183">
        <f ca="1">SUMPRODUCT(F1063:K1063,F1060:K1060)/L:L</f>
        <v>0</v>
      </c>
      <c r="N1063" s="166">
        <f t="shared" ca="1" si="161"/>
        <v>1</v>
      </c>
      <c r="O1063" s="165">
        <f t="shared" ref="O1063:O1087" ca="1" si="163">P1029</f>
        <v>2136.7966892346703</v>
      </c>
      <c r="P1063" s="165">
        <f t="shared" ca="1" si="162"/>
        <v>2136.7966892346703</v>
      </c>
    </row>
    <row r="1064" spans="1:16" s="165" customFormat="1" x14ac:dyDescent="0.3">
      <c r="A1064" s="165">
        <f>MATCH(Calcs!B1064,Paste_Report_Here!$1:$1,0) -1</f>
        <v>7</v>
      </c>
      <c r="B1064" s="165" t="s">
        <v>126</v>
      </c>
      <c r="C1064" s="166">
        <f ca="1">RANK(N1064,N1062:N1086)</f>
        <v>10</v>
      </c>
      <c r="D1064" s="166">
        <f ca="1">RANK(P1064,P1062:P1086)</f>
        <v>8</v>
      </c>
      <c r="E1064" s="189" t="s">
        <v>154</v>
      </c>
      <c r="F1064" s="179">
        <f ca="1">COUNTIFS(Paste_Report_Here!$E$1:$E$2000,E1056, OFFSET(Paste_Report_Here!$A$1,0,$A1064,2000,1),F$75)</f>
        <v>0</v>
      </c>
      <c r="G1064" s="180">
        <f ca="1">COUNTIFS(Paste_Report_Here!$E$1:$E$2000,E1056, OFFSET(Paste_Report_Here!$A$1,0,$A1064,2000,1),G$75)</f>
        <v>2</v>
      </c>
      <c r="H1064" s="180">
        <f ca="1">COUNTIFS(Paste_Report_Here!$E$1:$E$2000,E1056, OFFSET(Paste_Report_Here!$A$1,0,$A1064,2000,1),H$75)</f>
        <v>19</v>
      </c>
      <c r="I1064" s="180">
        <f ca="1">COUNTIFS(Paste_Report_Here!$E$1:$E$2000,E1056, OFFSET(Paste_Report_Here!$A$1,0,$A1064,2000,1),I$75)</f>
        <v>5</v>
      </c>
      <c r="J1064" s="180">
        <f ca="1">COUNTIFS(Paste_Report_Here!$E$1:$E$2000,E1056, OFFSET(Paste_Report_Here!$A$1,0,$A1064,2000,1),J$75)</f>
        <v>0</v>
      </c>
      <c r="K1064" s="181">
        <f ca="1">COUNTIFS(Paste_Report_Here!$E$1:$E$2000,E1056, OFFSET(Paste_Report_Here!$A$1,0,$A1064,2000,1),K$75)</f>
        <v>0</v>
      </c>
      <c r="L1064" s="166">
        <f t="shared" ca="1" si="160"/>
        <v>26</v>
      </c>
      <c r="M1064" s="183">
        <f ca="1">SUMPRODUCT(F1064:K1064,F1060:K1060)/L:L</f>
        <v>0</v>
      </c>
      <c r="N1064" s="166">
        <f t="shared" ca="1" si="161"/>
        <v>1</v>
      </c>
      <c r="O1064" s="165">
        <f t="shared" ca="1" si="163"/>
        <v>2824.0945253034793</v>
      </c>
      <c r="P1064" s="165">
        <f t="shared" ca="1" si="162"/>
        <v>2824.0945253034793</v>
      </c>
    </row>
    <row r="1065" spans="1:16" s="165" customFormat="1" x14ac:dyDescent="0.3">
      <c r="A1065" s="165">
        <f>MATCH(Calcs!B1065,Paste_Report_Here!$1:$1,0) -1</f>
        <v>8</v>
      </c>
      <c r="B1065" s="165" t="s">
        <v>127</v>
      </c>
      <c r="C1065" s="166">
        <f ca="1">RANK(N1065,N1062:N1086)</f>
        <v>5</v>
      </c>
      <c r="D1065" s="166">
        <f ca="1">RANK(P1065,P1062:P1086)</f>
        <v>7</v>
      </c>
      <c r="E1065" s="189" t="s">
        <v>155</v>
      </c>
      <c r="F1065" s="179">
        <f ca="1">COUNTIFS(Paste_Report_Here!$E$1:$E$2000,E1056, OFFSET(Paste_Report_Here!$A$1,0,$A1065,2000,1),F$75)</f>
        <v>0</v>
      </c>
      <c r="G1065" s="180">
        <f ca="1">COUNTIFS(Paste_Report_Here!$E$1:$E$2000,E1056, OFFSET(Paste_Report_Here!$A$1,0,$A1065,2000,1),G$75)</f>
        <v>2</v>
      </c>
      <c r="H1065" s="180">
        <f ca="1">COUNTIFS(Paste_Report_Here!$E$1:$E$2000,E1056, OFFSET(Paste_Report_Here!$A$1,0,$A1065,2000,1),H$75)</f>
        <v>17</v>
      </c>
      <c r="I1065" s="180">
        <f ca="1">COUNTIFS(Paste_Report_Here!$E$1:$E$2000,E1056, OFFSET(Paste_Report_Here!$A$1,0,$A1065,2000,1),I$75)</f>
        <v>6</v>
      </c>
      <c r="J1065" s="180">
        <f ca="1">COUNTIFS(Paste_Report_Here!$E$1:$E$2000,E1056, OFFSET(Paste_Report_Here!$A$1,0,$A1065,2000,1),J$75)</f>
        <v>1</v>
      </c>
      <c r="K1065" s="181">
        <f ca="1">COUNTIFS(Paste_Report_Here!$E$1:$E$2000,E1056, OFFSET(Paste_Report_Here!$A$1,0,$A1065,2000,1),K$75)</f>
        <v>0</v>
      </c>
      <c r="L1065" s="166">
        <f t="shared" ca="1" si="160"/>
        <v>26</v>
      </c>
      <c r="M1065" s="183">
        <f ca="1">SUMPRODUCT(F1065:K1065,F1060:K1060)/L:L</f>
        <v>7.6923076923076927E-3</v>
      </c>
      <c r="N1065" s="166">
        <f t="shared" ca="1" si="161"/>
        <v>1.0077219694982582</v>
      </c>
      <c r="O1065" s="165">
        <f t="shared" ca="1" si="163"/>
        <v>2861.0841202976289</v>
      </c>
      <c r="P1065" s="165">
        <f t="shared" ca="1" si="162"/>
        <v>2883.1773246065181</v>
      </c>
    </row>
    <row r="1066" spans="1:16" s="165" customFormat="1" x14ac:dyDescent="0.3">
      <c r="A1066" s="165">
        <f>MATCH(Calcs!B1066,Paste_Report_Here!$1:$1,0) -1</f>
        <v>9</v>
      </c>
      <c r="B1066" s="165" t="s">
        <v>214</v>
      </c>
      <c r="C1066" s="166">
        <f ca="1">RANK(N1066,N1062:N1086)</f>
        <v>10</v>
      </c>
      <c r="D1066" s="166">
        <f ca="1">RANK(P1066,P1062:P1086)</f>
        <v>5</v>
      </c>
      <c r="E1066" s="189" t="s">
        <v>156</v>
      </c>
      <c r="F1066" s="179">
        <f ca="1">COUNTIFS(Paste_Report_Here!$E$1:$E$2000,E1056, OFFSET(Paste_Report_Here!$A$1,0,$A1066,2000,1),F$75)</f>
        <v>0</v>
      </c>
      <c r="G1066" s="180">
        <f ca="1">COUNTIFS(Paste_Report_Here!$E$1:$E$2000,E1056, OFFSET(Paste_Report_Here!$A$1,0,$A1066,2000,1),G$75)</f>
        <v>1</v>
      </c>
      <c r="H1066" s="180">
        <f ca="1">COUNTIFS(Paste_Report_Here!$E$1:$E$2000,E1056, OFFSET(Paste_Report_Here!$A$1,0,$A1066,2000,1),H$75)</f>
        <v>16</v>
      </c>
      <c r="I1066" s="180">
        <f ca="1">COUNTIFS(Paste_Report_Here!$E$1:$E$2000,E1056, OFFSET(Paste_Report_Here!$A$1,0,$A1066,2000,1),I$75)</f>
        <v>8</v>
      </c>
      <c r="J1066" s="180">
        <f ca="1">COUNTIFS(Paste_Report_Here!$E$1:$E$2000,E1056, OFFSET(Paste_Report_Here!$A$1,0,$A1066,2000,1),J$75)</f>
        <v>0</v>
      </c>
      <c r="K1066" s="181">
        <f ca="1">COUNTIFS(Paste_Report_Here!$E$1:$E$2000,E1056, OFFSET(Paste_Report_Here!$A$1,0,$A1066,2000,1),K$75)</f>
        <v>1</v>
      </c>
      <c r="L1066" s="166">
        <f t="shared" ca="1" si="160"/>
        <v>26</v>
      </c>
      <c r="M1066" s="183">
        <f ca="1">SUMPRODUCT(F1066:K1066,F1060:K1060)/L:L</f>
        <v>0</v>
      </c>
      <c r="N1066" s="166">
        <f t="shared" ca="1" si="161"/>
        <v>1</v>
      </c>
      <c r="O1066" s="165">
        <f t="shared" ca="1" si="163"/>
        <v>3779.2561997033695</v>
      </c>
      <c r="P1066" s="165">
        <f t="shared" ca="1" si="162"/>
        <v>3779.2561997033695</v>
      </c>
    </row>
    <row r="1067" spans="1:16" s="165" customFormat="1" x14ac:dyDescent="0.3">
      <c r="A1067" s="165">
        <f>MATCH(Calcs!B1067,Paste_Report_Here!$1:$1,0) -1</f>
        <v>10</v>
      </c>
      <c r="B1067" s="165" t="s">
        <v>128</v>
      </c>
      <c r="C1067" s="166">
        <f ca="1">RANK(N1067,N1062:N1086)</f>
        <v>10</v>
      </c>
      <c r="D1067" s="166">
        <f ca="1">RANK(P1067,P1062:P1086)</f>
        <v>21</v>
      </c>
      <c r="E1067" s="189" t="s">
        <v>157</v>
      </c>
      <c r="F1067" s="179">
        <f ca="1">COUNTIFS(Paste_Report_Here!$E$1:$E$2000,E1056, OFFSET(Paste_Report_Here!$A$1,0,$A1067,2000,1),F$75)</f>
        <v>0</v>
      </c>
      <c r="G1067" s="180">
        <f ca="1">COUNTIFS(Paste_Report_Here!$E$1:$E$2000,E1056, OFFSET(Paste_Report_Here!$A$1,0,$A1067,2000,1),G$75)</f>
        <v>2</v>
      </c>
      <c r="H1067" s="180">
        <f ca="1">COUNTIFS(Paste_Report_Here!$E$1:$E$2000,E1056, OFFSET(Paste_Report_Here!$A$1,0,$A1067,2000,1),H$75)</f>
        <v>22</v>
      </c>
      <c r="I1067" s="180">
        <f ca="1">COUNTIFS(Paste_Report_Here!$E$1:$E$2000,E1056, OFFSET(Paste_Report_Here!$A$1,0,$A1067,2000,1),I$75)</f>
        <v>2</v>
      </c>
      <c r="J1067" s="180">
        <f ca="1">COUNTIFS(Paste_Report_Here!$E$1:$E$2000,E1056, OFFSET(Paste_Report_Here!$A$1,0,$A1067,2000,1),J$75)</f>
        <v>0</v>
      </c>
      <c r="K1067" s="181">
        <f ca="1">COUNTIFS(Paste_Report_Here!$E$1:$E$2000,E1056, OFFSET(Paste_Report_Here!$A$1,0,$A1067,2000,1),K$75)</f>
        <v>0</v>
      </c>
      <c r="L1067" s="166">
        <f t="shared" ca="1" si="160"/>
        <v>26</v>
      </c>
      <c r="M1067" s="183">
        <f ca="1">SUMPRODUCT(F1067:K1067,F1060:K1060)/L:L</f>
        <v>0</v>
      </c>
      <c r="N1067" s="166">
        <f t="shared" ca="1" si="161"/>
        <v>1</v>
      </c>
      <c r="O1067" s="165">
        <f t="shared" ca="1" si="163"/>
        <v>1660.0875221582219</v>
      </c>
      <c r="P1067" s="165">
        <f t="shared" ca="1" si="162"/>
        <v>1660.0875221582219</v>
      </c>
    </row>
    <row r="1068" spans="1:16" s="165" customFormat="1" x14ac:dyDescent="0.3">
      <c r="A1068" s="165">
        <f>MATCH(Calcs!B1068,Paste_Report_Here!$1:$1,0) -1</f>
        <v>11</v>
      </c>
      <c r="B1068" s="165" t="s">
        <v>129</v>
      </c>
      <c r="C1068" s="166">
        <f ca="1">RANK(N1068,N1062:N1086)</f>
        <v>1</v>
      </c>
      <c r="D1068" s="166">
        <f ca="1">RANK(P1068,P1062:P1086)</f>
        <v>9</v>
      </c>
      <c r="E1068" s="189" t="s">
        <v>158</v>
      </c>
      <c r="F1068" s="179">
        <f ca="1">COUNTIFS(Paste_Report_Here!$E$1:$E$2000,E1056, OFFSET(Paste_Report_Here!$A$1,0,$A1068,2000,1),F$75)</f>
        <v>0</v>
      </c>
      <c r="G1068" s="180">
        <f ca="1">COUNTIFS(Paste_Report_Here!$E$1:$E$2000,E1056, OFFSET(Paste_Report_Here!$A$1,0,$A1068,2000,1),G$75)</f>
        <v>2</v>
      </c>
      <c r="H1068" s="180">
        <f ca="1">COUNTIFS(Paste_Report_Here!$E$1:$E$2000,E1056, OFFSET(Paste_Report_Here!$A$1,0,$A1068,2000,1),H$75)</f>
        <v>17</v>
      </c>
      <c r="I1068" s="180">
        <f ca="1">COUNTIFS(Paste_Report_Here!$E$1:$E$2000,E1056, OFFSET(Paste_Report_Here!$A$1,0,$A1068,2000,1),I$75)</f>
        <v>5</v>
      </c>
      <c r="J1068" s="180">
        <f ca="1">COUNTIFS(Paste_Report_Here!$E$1:$E$2000,E1056, OFFSET(Paste_Report_Here!$A$1,0,$A1068,2000,1),J$75)</f>
        <v>2</v>
      </c>
      <c r="K1068" s="181">
        <f ca="1">COUNTIFS(Paste_Report_Here!$E$1:$E$2000,E1056, OFFSET(Paste_Report_Here!$A$1,0,$A1068,2000,1),K$75)</f>
        <v>0</v>
      </c>
      <c r="L1068" s="166">
        <f t="shared" ca="1" si="160"/>
        <v>26</v>
      </c>
      <c r="M1068" s="183">
        <f ca="1">SUMPRODUCT(F1068:K1068,F1060:K1060)/L:L</f>
        <v>1.5384615384615385E-2</v>
      </c>
      <c r="N1068" s="166">
        <f t="shared" ca="1" si="161"/>
        <v>1.0155035678094484</v>
      </c>
      <c r="O1068" s="165">
        <f t="shared" ca="1" si="163"/>
        <v>2608.0979117146312</v>
      </c>
      <c r="P1068" s="165">
        <f t="shared" ca="1" si="162"/>
        <v>2648.5327345425799</v>
      </c>
    </row>
    <row r="1069" spans="1:16" s="165" customFormat="1" x14ac:dyDescent="0.3">
      <c r="A1069" s="165">
        <f>MATCH(Calcs!B1069,Paste_Report_Here!$1:$1,0) -1</f>
        <v>12</v>
      </c>
      <c r="B1069" s="165" t="s">
        <v>130</v>
      </c>
      <c r="C1069" s="166">
        <f ca="1">RANK(N1069,N1063:N1087)</f>
        <v>11</v>
      </c>
      <c r="D1069" s="166">
        <f ca="1">RANK(P1069,P1062:P1086)</f>
        <v>10</v>
      </c>
      <c r="E1069" s="189" t="s">
        <v>159</v>
      </c>
      <c r="F1069" s="179">
        <f ca="1">COUNTIFS(Paste_Report_Here!$E$1:$E$2000,E1056, OFFSET(Paste_Report_Here!$A$1,0,$A1069,2000,1),F$75)</f>
        <v>1</v>
      </c>
      <c r="G1069" s="180">
        <f ca="1">COUNTIFS(Paste_Report_Here!$E$1:$E$2000,E1056, OFFSET(Paste_Report_Here!$A$1,0,$A1069,2000,1),G$75)</f>
        <v>0</v>
      </c>
      <c r="H1069" s="180">
        <f ca="1">COUNTIFS(Paste_Report_Here!$E$1:$E$2000,E1056, OFFSET(Paste_Report_Here!$A$1,0,$A1069,2000,1),H$75)</f>
        <v>19</v>
      </c>
      <c r="I1069" s="180">
        <f ca="1">COUNTIFS(Paste_Report_Here!$E$1:$E$2000,E1056, OFFSET(Paste_Report_Here!$A$1,0,$A1069,2000,1),I$75)</f>
        <v>5</v>
      </c>
      <c r="J1069" s="180">
        <f ca="1">COUNTIFS(Paste_Report_Here!$E$1:$E$2000,E1056, OFFSET(Paste_Report_Here!$A$1,0,$A1069,2000,1),J$75)</f>
        <v>1</v>
      </c>
      <c r="K1069" s="181">
        <f ca="1">COUNTIFS(Paste_Report_Here!$E$1:$E$2000,E1056, OFFSET(Paste_Report_Here!$A$1,0,$A1069,2000,1),K$75)</f>
        <v>0</v>
      </c>
      <c r="L1069" s="166">
        <f t="shared" ca="1" si="160"/>
        <v>26</v>
      </c>
      <c r="M1069" s="183">
        <f ca="1">SUMPRODUCT(F1069:K1069,F1060:K1060)/L:L</f>
        <v>0</v>
      </c>
      <c r="N1069" s="166">
        <f t="shared" ca="1" si="161"/>
        <v>1</v>
      </c>
      <c r="O1069" s="165">
        <f t="shared" ca="1" si="163"/>
        <v>2530.6615315329527</v>
      </c>
      <c r="P1069" s="165">
        <f t="shared" ca="1" si="162"/>
        <v>2530.6615315329527</v>
      </c>
    </row>
    <row r="1070" spans="1:16" s="165" customFormat="1" x14ac:dyDescent="0.3">
      <c r="A1070" s="165">
        <f>MATCH(Calcs!B1070,Paste_Report_Here!$1:$1,0) -1</f>
        <v>13</v>
      </c>
      <c r="B1070" s="165" t="s">
        <v>131</v>
      </c>
      <c r="C1070" s="166">
        <f ca="1">RANK(N1070,N1064:N1088)</f>
        <v>5</v>
      </c>
      <c r="D1070" s="166">
        <f ca="1">RANK(P1070,P1062:P1086)</f>
        <v>2</v>
      </c>
      <c r="E1070" s="189" t="s">
        <v>160</v>
      </c>
      <c r="F1070" s="179">
        <f ca="1">COUNTIFS(Paste_Report_Here!$E$1:$E$2000,E1056, OFFSET(Paste_Report_Here!$A$1,0,$A1070,2000,1),F$75)</f>
        <v>0</v>
      </c>
      <c r="G1070" s="180">
        <f ca="1">COUNTIFS(Paste_Report_Here!$E$1:$E$2000,E1056, OFFSET(Paste_Report_Here!$A$1,0,$A1070,2000,1),G$75)</f>
        <v>2</v>
      </c>
      <c r="H1070" s="180">
        <f ca="1">COUNTIFS(Paste_Report_Here!$E$1:$E$2000,E1056, OFFSET(Paste_Report_Here!$A$1,0,$A1070,2000,1),H$75)</f>
        <v>12</v>
      </c>
      <c r="I1070" s="180">
        <f ca="1">COUNTIFS(Paste_Report_Here!$E$1:$E$2000,E1056, OFFSET(Paste_Report_Here!$A$1,0,$A1070,2000,1),I$75)</f>
        <v>11</v>
      </c>
      <c r="J1070" s="180">
        <f ca="1">COUNTIFS(Paste_Report_Here!$E$1:$E$2000,E1056, OFFSET(Paste_Report_Here!$A$1,0,$A1070,2000,1),J$75)</f>
        <v>1</v>
      </c>
      <c r="K1070" s="181">
        <f ca="1">COUNTIFS(Paste_Report_Here!$E$1:$E$2000,E1056, OFFSET(Paste_Report_Here!$A$1,0,$A1070,2000,1),K$75)</f>
        <v>0</v>
      </c>
      <c r="L1070" s="166">
        <f t="shared" ca="1" si="160"/>
        <v>26</v>
      </c>
      <c r="M1070" s="183">
        <f ca="1">SUMPRODUCT(F1070:K1070,F1060:K1060)/L:L</f>
        <v>7.6923076923076927E-3</v>
      </c>
      <c r="N1070" s="166">
        <f t="shared" ca="1" si="161"/>
        <v>1.0077219694982582</v>
      </c>
      <c r="O1070" s="165">
        <f t="shared" ca="1" si="163"/>
        <v>4239.5180832061287</v>
      </c>
      <c r="P1070" s="165">
        <f t="shared" ca="1" si="162"/>
        <v>4272.2555125319604</v>
      </c>
    </row>
    <row r="1071" spans="1:16" s="165" customFormat="1" x14ac:dyDescent="0.3">
      <c r="A1071" s="165">
        <f>MATCH(Calcs!B1071,Paste_Report_Here!$1:$1,0) -1</f>
        <v>14</v>
      </c>
      <c r="B1071" s="165" t="s">
        <v>132</v>
      </c>
      <c r="C1071" s="166">
        <f ca="1">RANK(N1071,N1065:N1089)</f>
        <v>5</v>
      </c>
      <c r="D1071" s="166">
        <f ca="1">RANK(P1071,P1062:P1086)</f>
        <v>17</v>
      </c>
      <c r="E1071" s="189" t="s">
        <v>161</v>
      </c>
      <c r="F1071" s="179">
        <f ca="1">COUNTIFS(Paste_Report_Here!$E$1:$E$2000,E1056, OFFSET(Paste_Report_Here!$A$1,0,$A1071,2000,1),F$75)</f>
        <v>0</v>
      </c>
      <c r="G1071" s="180">
        <f ca="1">COUNTIFS(Paste_Report_Here!$E$1:$E$2000,E1056, OFFSET(Paste_Report_Here!$A$1,0,$A1071,2000,1),G$75)</f>
        <v>2</v>
      </c>
      <c r="H1071" s="180">
        <f ca="1">COUNTIFS(Paste_Report_Here!$E$1:$E$2000,E1056, OFFSET(Paste_Report_Here!$A$1,0,$A1071,2000,1),H$75)</f>
        <v>18</v>
      </c>
      <c r="I1071" s="180">
        <f ca="1">COUNTIFS(Paste_Report_Here!$E$1:$E$2000,E1056, OFFSET(Paste_Report_Here!$A$1,0,$A1071,2000,1),I$75)</f>
        <v>5</v>
      </c>
      <c r="J1071" s="180">
        <f ca="1">COUNTIFS(Paste_Report_Here!$E$1:$E$2000,E1056, OFFSET(Paste_Report_Here!$A$1,0,$A1071,2000,1),J$75)</f>
        <v>1</v>
      </c>
      <c r="K1071" s="181">
        <f ca="1">COUNTIFS(Paste_Report_Here!$E$1:$E$2000,E1056, OFFSET(Paste_Report_Here!$A$1,0,$A1071,2000,1),K$75)</f>
        <v>0</v>
      </c>
      <c r="L1071" s="166">
        <f t="shared" ca="1" si="160"/>
        <v>26</v>
      </c>
      <c r="M1071" s="183">
        <f ca="1">SUMPRODUCT(F1071:K1071,F1060:K1060)/L:L</f>
        <v>7.6923076923076927E-3</v>
      </c>
      <c r="N1071" s="166">
        <f t="shared" ca="1" si="161"/>
        <v>1.0077219694982582</v>
      </c>
      <c r="O1071" s="165">
        <f t="shared" ca="1" si="163"/>
        <v>2068.8050449522343</v>
      </c>
      <c r="P1071" s="165">
        <f t="shared" ca="1" si="162"/>
        <v>2084.7802944071982</v>
      </c>
    </row>
    <row r="1072" spans="1:16" s="165" customFormat="1" x14ac:dyDescent="0.3">
      <c r="A1072" s="165">
        <f>MATCH(Calcs!B1072,Paste_Report_Here!$1:$1,0) -1</f>
        <v>15</v>
      </c>
      <c r="B1072" s="165" t="s">
        <v>133</v>
      </c>
      <c r="C1072" s="166">
        <f ca="1">RANK(N1072,N1061:N1085)</f>
        <v>10</v>
      </c>
      <c r="D1072" s="166">
        <f ca="1">RANK(P1072,P1062:P1086)</f>
        <v>6</v>
      </c>
      <c r="E1072" s="189" t="s">
        <v>162</v>
      </c>
      <c r="F1072" s="179">
        <f ca="1">COUNTIFS(Paste_Report_Here!$E$1:$E$2000,E1056, OFFSET(Paste_Report_Here!$A$1,0,$A1072,2000,1),F$75)</f>
        <v>0</v>
      </c>
      <c r="G1072" s="180">
        <f ca="1">COUNTIFS(Paste_Report_Here!$E$1:$E$2000,E1056, OFFSET(Paste_Report_Here!$A$1,0,$A1072,2000,1),G$75)</f>
        <v>1</v>
      </c>
      <c r="H1072" s="180">
        <f ca="1">COUNTIFS(Paste_Report_Here!$E$1:$E$2000,E1056, OFFSET(Paste_Report_Here!$A$1,0,$A1072,2000,1),H$75)</f>
        <v>15</v>
      </c>
      <c r="I1072" s="180">
        <f ca="1">COUNTIFS(Paste_Report_Here!$E$1:$E$2000,E1056, OFFSET(Paste_Report_Here!$A$1,0,$A1072,2000,1),I$75)</f>
        <v>10</v>
      </c>
      <c r="J1072" s="180">
        <f ca="1">COUNTIFS(Paste_Report_Here!$E$1:$E$2000,E1056, OFFSET(Paste_Report_Here!$A$1,0,$A1072,2000,1),J$75)</f>
        <v>0</v>
      </c>
      <c r="K1072" s="181">
        <f ca="1">COUNTIFS(Paste_Report_Here!$E$1:$E$2000,E1056, OFFSET(Paste_Report_Here!$A$1,0,$A1072,2000,1),K$75)</f>
        <v>0</v>
      </c>
      <c r="L1072" s="166">
        <f t="shared" ca="1" si="160"/>
        <v>26</v>
      </c>
      <c r="M1072" s="183">
        <f ca="1">SUMPRODUCT(F1072:K1072,F1060:K1060)/L:L</f>
        <v>0</v>
      </c>
      <c r="N1072" s="166">
        <f t="shared" ca="1" si="161"/>
        <v>1</v>
      </c>
      <c r="O1072" s="165">
        <f t="shared" ca="1" si="163"/>
        <v>3011.2375057134327</v>
      </c>
      <c r="P1072" s="165">
        <f t="shared" ca="1" si="162"/>
        <v>3011.2375057134327</v>
      </c>
    </row>
    <row r="1073" spans="1:16" s="165" customFormat="1" x14ac:dyDescent="0.3">
      <c r="A1073" s="165">
        <f>MATCH(Calcs!B1073,Paste_Report_Here!$1:$1,0) -1</f>
        <v>16</v>
      </c>
      <c r="B1073" s="165" t="s">
        <v>134</v>
      </c>
      <c r="C1073" s="166">
        <f ca="1">RANK(N1073,N1062:N1086)</f>
        <v>10</v>
      </c>
      <c r="D1073" s="166">
        <f ca="1">RANK(P1073,P1062:P1086)</f>
        <v>24</v>
      </c>
      <c r="E1073" s="189" t="s">
        <v>163</v>
      </c>
      <c r="F1073" s="179">
        <f ca="1">COUNTIFS(Paste_Report_Here!$E$1:$E$2000,E1056, OFFSET(Paste_Report_Here!$A$1,0,$A1073,2000,1),F$75)</f>
        <v>0</v>
      </c>
      <c r="G1073" s="180">
        <f ca="1">COUNTIFS(Paste_Report_Here!$E$1:$E$2000,E1056, OFFSET(Paste_Report_Here!$A$1,0,$A1073,2000,1),G$75)</f>
        <v>1</v>
      </c>
      <c r="H1073" s="180">
        <f ca="1">COUNTIFS(Paste_Report_Here!$E$1:$E$2000,E1056, OFFSET(Paste_Report_Here!$A$1,0,$A1073,2000,1),H$75)</f>
        <v>22</v>
      </c>
      <c r="I1073" s="180">
        <f ca="1">COUNTIFS(Paste_Report_Here!$E$1:$E$2000,E1056, OFFSET(Paste_Report_Here!$A$1,0,$A1073,2000,1),I$75)</f>
        <v>3</v>
      </c>
      <c r="J1073" s="180">
        <f ca="1">COUNTIFS(Paste_Report_Here!$E$1:$E$2000,E1056, OFFSET(Paste_Report_Here!$A$1,0,$A1073,2000,1),J$75)</f>
        <v>0</v>
      </c>
      <c r="K1073" s="181">
        <f ca="1">COUNTIFS(Paste_Report_Here!$E$1:$E$2000,E1056, OFFSET(Paste_Report_Here!$A$1,0,$A1073,2000,1),K$75)</f>
        <v>0</v>
      </c>
      <c r="L1073" s="166">
        <f t="shared" ca="1" si="160"/>
        <v>26</v>
      </c>
      <c r="M1073" s="183">
        <f ca="1">SUMPRODUCT(F1073:K1073,F1060:K1060)/L:L</f>
        <v>0</v>
      </c>
      <c r="N1073" s="166">
        <f t="shared" ca="1" si="161"/>
        <v>1</v>
      </c>
      <c r="O1073" s="165">
        <f t="shared" ca="1" si="163"/>
        <v>1164.8585749102044</v>
      </c>
      <c r="P1073" s="165">
        <f t="shared" ca="1" si="162"/>
        <v>1164.8585749102044</v>
      </c>
    </row>
    <row r="1074" spans="1:16" s="165" customFormat="1" x14ac:dyDescent="0.3">
      <c r="A1074" s="165">
        <f>MATCH(Calcs!B1074,Paste_Report_Here!$1:$1,0) -1</f>
        <v>17</v>
      </c>
      <c r="B1074" s="165" t="s">
        <v>135</v>
      </c>
      <c r="C1074" s="166">
        <v>3</v>
      </c>
      <c r="D1074" s="166">
        <f ca="1">RANK(P1074,P1062:P1086)</f>
        <v>20</v>
      </c>
      <c r="E1074" s="189" t="s">
        <v>164</v>
      </c>
      <c r="F1074" s="179">
        <f ca="1">COUNTIFS(Paste_Report_Here!$E$1:$E$2000,E1056, OFFSET(Paste_Report_Here!$A$1,0,$A1074,2000,1),F$75)</f>
        <v>1</v>
      </c>
      <c r="G1074" s="180">
        <f ca="1">COUNTIFS(Paste_Report_Here!$E$1:$E$2000,E1056, OFFSET(Paste_Report_Here!$A$1,0,$A1074,2000,1),G$75)</f>
        <v>1</v>
      </c>
      <c r="H1074" s="180">
        <f ca="1">COUNTIFS(Paste_Report_Here!$E$1:$E$2000,E1056, OFFSET(Paste_Report_Here!$A$1,0,$A1074,2000,1),H$75)</f>
        <v>15</v>
      </c>
      <c r="I1074" s="180">
        <f ca="1">COUNTIFS(Paste_Report_Here!$E$1:$E$2000,E1056, OFFSET(Paste_Report_Here!$A$1,0,$A1074,2000,1),I$75)</f>
        <v>8</v>
      </c>
      <c r="J1074" s="180">
        <f ca="1">COUNTIFS(Paste_Report_Here!$E$1:$E$2000,E1056, OFFSET(Paste_Report_Here!$A$1,0,$A1074,2000,1),J$75)</f>
        <v>1</v>
      </c>
      <c r="K1074" s="181">
        <f ca="1">COUNTIFS(Paste_Report_Here!$E$1:$E$2000,E1056, OFFSET(Paste_Report_Here!$A$1,0,$A1074,2000,1),K$75)</f>
        <v>0</v>
      </c>
      <c r="L1074" s="166">
        <f t="shared" ca="1" si="160"/>
        <v>26</v>
      </c>
      <c r="M1074" s="183">
        <f ca="1">SUMPRODUCT(F1074:K1074,F1060:K1060)/L:L</f>
        <v>0</v>
      </c>
      <c r="N1074" s="166">
        <f t="shared" ca="1" si="161"/>
        <v>1</v>
      </c>
      <c r="O1074" s="165">
        <f t="shared" ca="1" si="163"/>
        <v>1926.5864351620507</v>
      </c>
      <c r="P1074" s="165">
        <f t="shared" ca="1" si="162"/>
        <v>1926.5864351620507</v>
      </c>
    </row>
    <row r="1075" spans="1:16" s="165" customFormat="1" x14ac:dyDescent="0.3">
      <c r="A1075" s="165">
        <f>MATCH(Calcs!B1075,Paste_Report_Here!$1:$1,0) -1</f>
        <v>18</v>
      </c>
      <c r="B1075" s="165" t="s">
        <v>136</v>
      </c>
      <c r="C1075" s="166">
        <f ca="1">RANK(N1075,N1064:N1088)</f>
        <v>1</v>
      </c>
      <c r="D1075" s="166">
        <f ca="1">RANK(P1075,P1062:P1086)</f>
        <v>4</v>
      </c>
      <c r="E1075" s="189" t="s">
        <v>165</v>
      </c>
      <c r="F1075" s="179">
        <f ca="1">COUNTIFS(Paste_Report_Here!$E$1:$E$2000,E1056, OFFSET(Paste_Report_Here!$A$1,0,$A1075,2000,1),F$75)</f>
        <v>0</v>
      </c>
      <c r="G1075" s="180">
        <f ca="1">COUNTIFS(Paste_Report_Here!$E$1:$E$2000,E1056, OFFSET(Paste_Report_Here!$A$1,0,$A1075,2000,1),G$75)</f>
        <v>2</v>
      </c>
      <c r="H1075" s="180">
        <f ca="1">COUNTIFS(Paste_Report_Here!$E$1:$E$2000,E1056, OFFSET(Paste_Report_Here!$A$1,0,$A1075,2000,1),H$75)</f>
        <v>15</v>
      </c>
      <c r="I1075" s="180">
        <f ca="1">COUNTIFS(Paste_Report_Here!$E$1:$E$2000,E1056, OFFSET(Paste_Report_Here!$A$1,0,$A1075,2000,1),I$75)</f>
        <v>7</v>
      </c>
      <c r="J1075" s="180">
        <f ca="1">COUNTIFS(Paste_Report_Here!$E$1:$E$2000,E1056, OFFSET(Paste_Report_Here!$A$1,0,$A1075,2000,1),J$75)</f>
        <v>2</v>
      </c>
      <c r="K1075" s="181">
        <f ca="1">COUNTIFS(Paste_Report_Here!$E$1:$E$2000,E1056, OFFSET(Paste_Report_Here!$A$1,0,$A1075,2000,1),K$75)</f>
        <v>0</v>
      </c>
      <c r="L1075" s="166">
        <f t="shared" ca="1" si="160"/>
        <v>26</v>
      </c>
      <c r="M1075" s="183">
        <f ca="1">SUMPRODUCT(F1075:K1075,F1060:K1060)/L:L</f>
        <v>1.5384615384615385E-2</v>
      </c>
      <c r="N1075" s="166">
        <f t="shared" ca="1" si="161"/>
        <v>1.0155035678094484</v>
      </c>
      <c r="O1075" s="165">
        <f t="shared" ca="1" si="163"/>
        <v>3878.7985285277082</v>
      </c>
      <c r="P1075" s="165">
        <f t="shared" ca="1" si="162"/>
        <v>3938.9337445339261</v>
      </c>
    </row>
    <row r="1076" spans="1:16" s="165" customFormat="1" x14ac:dyDescent="0.3">
      <c r="A1076" s="165">
        <f>MATCH(Calcs!B1076,Paste_Report_Here!$1:$1,0) -1</f>
        <v>19</v>
      </c>
      <c r="B1076" s="165" t="s">
        <v>137</v>
      </c>
      <c r="C1076" s="166">
        <f ca="1">RANK(N1076,N1065:N1089)</f>
        <v>5</v>
      </c>
      <c r="D1076" s="166">
        <f ca="1">RANK(P1076,P1062:P1086)</f>
        <v>13</v>
      </c>
      <c r="E1076" s="189" t="s">
        <v>166</v>
      </c>
      <c r="F1076" s="179">
        <f ca="1">COUNTIFS(Paste_Report_Here!$E$1:$E$2000,E1056, OFFSET(Paste_Report_Here!$A$1,0,$A1076,2000,1),F$75)</f>
        <v>0</v>
      </c>
      <c r="G1076" s="180">
        <f ca="1">COUNTIFS(Paste_Report_Here!$E$1:$E$2000,E1056, OFFSET(Paste_Report_Here!$A$1,0,$A1076,2000,1),G$75)</f>
        <v>1</v>
      </c>
      <c r="H1076" s="180">
        <f ca="1">COUNTIFS(Paste_Report_Here!$E$1:$E$2000,E1056, OFFSET(Paste_Report_Here!$A$1,0,$A1076,2000,1),H$75)</f>
        <v>19</v>
      </c>
      <c r="I1076" s="180">
        <f ca="1">COUNTIFS(Paste_Report_Here!$E$1:$E$2000,E1056, OFFSET(Paste_Report_Here!$A$1,0,$A1076,2000,1),I$75)</f>
        <v>5</v>
      </c>
      <c r="J1076" s="180">
        <f ca="1">COUNTIFS(Paste_Report_Here!$E$1:$E$2000,E1056, OFFSET(Paste_Report_Here!$A$1,0,$A1076,2000,1),J$75)</f>
        <v>1</v>
      </c>
      <c r="K1076" s="181">
        <f ca="1">COUNTIFS(Paste_Report_Here!$E$1:$E$2000,E1056, OFFSET(Paste_Report_Here!$A$1,0,$A1076,2000,1),K$75)</f>
        <v>0</v>
      </c>
      <c r="L1076" s="166">
        <f t="shared" ca="1" si="160"/>
        <v>26</v>
      </c>
      <c r="M1076" s="183">
        <f ca="1">SUMPRODUCT(F1076:K1076,F1060:K1060)/L:L</f>
        <v>7.6923076923076927E-3</v>
      </c>
      <c r="N1076" s="166">
        <f t="shared" ca="1" si="161"/>
        <v>1.0077219694982582</v>
      </c>
      <c r="O1076" s="165">
        <f t="shared" ca="1" si="163"/>
        <v>2149.2940764170658</v>
      </c>
      <c r="P1076" s="165">
        <f t="shared" ca="1" si="162"/>
        <v>2165.8908597179452</v>
      </c>
    </row>
    <row r="1077" spans="1:16" s="165" customFormat="1" x14ac:dyDescent="0.3">
      <c r="A1077" s="165">
        <f>MATCH(Calcs!B1077,Paste_Report_Here!$1:$1,0) -1</f>
        <v>20</v>
      </c>
      <c r="B1077" s="165" t="s">
        <v>138</v>
      </c>
      <c r="C1077" s="166">
        <f ca="1">RANK(N1077,N1063:N1087)</f>
        <v>25</v>
      </c>
      <c r="D1077" s="166">
        <f ca="1">RANK(P1077,P1062:P1086)</f>
        <v>19</v>
      </c>
      <c r="E1077" s="189" t="s">
        <v>167</v>
      </c>
      <c r="F1077" s="179">
        <f ca="1">COUNTIFS(Paste_Report_Here!$E$1:$E$2000,E1056, OFFSET(Paste_Report_Here!$A$1,0,$A1077,2000,1),F$75)</f>
        <v>1</v>
      </c>
      <c r="G1077" s="180">
        <f ca="1">COUNTIFS(Paste_Report_Here!$E$1:$E$2000,E1056, OFFSET(Paste_Report_Here!$A$1,0,$A1077,2000,1),G$75)</f>
        <v>1</v>
      </c>
      <c r="H1077" s="180">
        <f ca="1">COUNTIFS(Paste_Report_Here!$E$1:$E$2000,E1056, OFFSET(Paste_Report_Here!$A$1,0,$A1077,2000,1),H$75)</f>
        <v>17</v>
      </c>
      <c r="I1077" s="180">
        <f ca="1">COUNTIFS(Paste_Report_Here!$E$1:$E$2000,E1056, OFFSET(Paste_Report_Here!$A$1,0,$A1077,2000,1),I$75)</f>
        <v>7</v>
      </c>
      <c r="J1077" s="180">
        <f ca="1">COUNTIFS(Paste_Report_Here!$E$1:$E$2000,E1056, OFFSET(Paste_Report_Here!$A$1,0,$A1077,2000,1),J$75)</f>
        <v>0</v>
      </c>
      <c r="K1077" s="181">
        <f ca="1">COUNTIFS(Paste_Report_Here!$E$1:$E$2000,E1056, OFFSET(Paste_Report_Here!$A$1,0,$A1077,2000,1),K$75)</f>
        <v>0</v>
      </c>
      <c r="L1077" s="166">
        <f t="shared" ca="1" si="160"/>
        <v>26</v>
      </c>
      <c r="M1077" s="183">
        <f ca="1">SUMPRODUCT(F1077:K1077,F1060:K1060)/L:L</f>
        <v>-7.6923076923076927E-3</v>
      </c>
      <c r="N1077" s="166">
        <f t="shared" ca="1" si="161"/>
        <v>0.99233720239114864</v>
      </c>
      <c r="O1077" s="165">
        <f t="shared" ca="1" si="163"/>
        <v>2020.1931116714682</v>
      </c>
      <c r="P1077" s="165">
        <f t="shared" ca="1" si="162"/>
        <v>2004.712780725934</v>
      </c>
    </row>
    <row r="1078" spans="1:16" s="165" customFormat="1" x14ac:dyDescent="0.3">
      <c r="A1078" s="165">
        <f>MATCH(Calcs!B1078,Paste_Report_Here!$1:$1,0) -1</f>
        <v>21</v>
      </c>
      <c r="B1078" s="165" t="s">
        <v>139</v>
      </c>
      <c r="C1078" s="166">
        <f ca="1">RANK(N1078,N1062:N1086)</f>
        <v>10</v>
      </c>
      <c r="D1078" s="166">
        <f ca="1">RANK(P1078,P1062:P1086)</f>
        <v>18</v>
      </c>
      <c r="E1078" s="189" t="s">
        <v>168</v>
      </c>
      <c r="F1078" s="179">
        <f ca="1">COUNTIFS(Paste_Report_Here!$E$1:$E$2000,E1056, OFFSET(Paste_Report_Here!$A$1,0,$A1078,2000,1),F$75)</f>
        <v>0</v>
      </c>
      <c r="G1078" s="180">
        <f ca="1">COUNTIFS(Paste_Report_Here!$E$1:$E$2000,E1056, OFFSET(Paste_Report_Here!$A$1,0,$A1078,2000,1),G$75)</f>
        <v>2</v>
      </c>
      <c r="H1078" s="180">
        <f ca="1">COUNTIFS(Paste_Report_Here!$E$1:$E$2000,E1056, OFFSET(Paste_Report_Here!$A$1,0,$A1078,2000,1),H$75)</f>
        <v>18</v>
      </c>
      <c r="I1078" s="180">
        <f ca="1">COUNTIFS(Paste_Report_Here!$E$1:$E$2000,E1056, OFFSET(Paste_Report_Here!$A$1,0,$A1078,2000,1),I$75)</f>
        <v>6</v>
      </c>
      <c r="J1078" s="180">
        <f ca="1">COUNTIFS(Paste_Report_Here!$E$1:$E$2000,E1056, OFFSET(Paste_Report_Here!$A$1,0,$A1078,2000,1),J$75)</f>
        <v>0</v>
      </c>
      <c r="K1078" s="181">
        <f ca="1">COUNTIFS(Paste_Report_Here!$E$1:$E$2000,E1056, OFFSET(Paste_Report_Here!$A$1,0,$A1078,2000,1),K$75)</f>
        <v>0</v>
      </c>
      <c r="L1078" s="166">
        <f t="shared" ca="1" si="160"/>
        <v>26</v>
      </c>
      <c r="M1078" s="183">
        <f ca="1">SUMPRODUCT(F1078:K1078,F1060:K1060)/L:L</f>
        <v>0</v>
      </c>
      <c r="N1078" s="166">
        <f t="shared" ca="1" si="161"/>
        <v>1</v>
      </c>
      <c r="O1078" s="165">
        <f t="shared" ca="1" si="163"/>
        <v>2048.2722377471505</v>
      </c>
      <c r="P1078" s="165">
        <f t="shared" ca="1" si="162"/>
        <v>2048.2722377471505</v>
      </c>
    </row>
    <row r="1079" spans="1:16" s="165" customFormat="1" x14ac:dyDescent="0.3">
      <c r="A1079" s="165">
        <f>MATCH(Calcs!B1079,Paste_Report_Here!$1:$1,0) -1</f>
        <v>22</v>
      </c>
      <c r="B1079" s="165" t="s">
        <v>140</v>
      </c>
      <c r="C1079" s="166">
        <f ca="1">RANK(N1079,N1062:N1086)</f>
        <v>10</v>
      </c>
      <c r="D1079" s="166">
        <f ca="1">RANK(P1079,P1062:P1086)</f>
        <v>15</v>
      </c>
      <c r="E1079" s="189" t="s">
        <v>169</v>
      </c>
      <c r="F1079" s="179">
        <f ca="1">COUNTIFS(Paste_Report_Here!$E$1:$E$2000,E1056, OFFSET(Paste_Report_Here!$A$1,0,$A1079,2000,1),F$75)</f>
        <v>0</v>
      </c>
      <c r="G1079" s="180">
        <f ca="1">COUNTIFS(Paste_Report_Here!$E$1:$E$2000,E1056, OFFSET(Paste_Report_Here!$A$1,0,$A1079,2000,1),G$75)</f>
        <v>1</v>
      </c>
      <c r="H1079" s="180">
        <f ca="1">COUNTIFS(Paste_Report_Here!$E$1:$E$2000,E1056, OFFSET(Paste_Report_Here!$A$1,0,$A1079,2000,1),H$75)</f>
        <v>18</v>
      </c>
      <c r="I1079" s="180">
        <f ca="1">COUNTIFS(Paste_Report_Here!$E$1:$E$2000,E1056, OFFSET(Paste_Report_Here!$A$1,0,$A1079,2000,1),I$75)</f>
        <v>7</v>
      </c>
      <c r="J1079" s="180">
        <f ca="1">COUNTIFS(Paste_Report_Here!$E$1:$E$2000,E1056, OFFSET(Paste_Report_Here!$A$1,0,$A1079,2000,1),J$75)</f>
        <v>0</v>
      </c>
      <c r="K1079" s="181">
        <f ca="1">COUNTIFS(Paste_Report_Here!$E$1:$E$2000,E1056, OFFSET(Paste_Report_Here!$A$1,0,$A1079,2000,1),K$75)</f>
        <v>0</v>
      </c>
      <c r="L1079" s="166">
        <f t="shared" ca="1" si="160"/>
        <v>26</v>
      </c>
      <c r="M1079" s="183">
        <f ca="1">SUMPRODUCT(F1079:K1079,F1060:K1060)/L:L</f>
        <v>0</v>
      </c>
      <c r="N1079" s="166">
        <f t="shared" ca="1" si="161"/>
        <v>1</v>
      </c>
      <c r="O1079" s="165">
        <f t="shared" ca="1" si="163"/>
        <v>2101.1126870763292</v>
      </c>
      <c r="P1079" s="165">
        <f t="shared" ca="1" si="162"/>
        <v>2101.1126870763292</v>
      </c>
    </row>
    <row r="1080" spans="1:16" s="165" customFormat="1" x14ac:dyDescent="0.3">
      <c r="A1080" s="165">
        <f>MATCH(Calcs!B1080,Paste_Report_Here!$1:$1,0) -1</f>
        <v>23</v>
      </c>
      <c r="B1080" s="165" t="s">
        <v>186</v>
      </c>
      <c r="C1080" s="166">
        <f ca="1">RANK(N1080,N1062:N1086)</f>
        <v>1</v>
      </c>
      <c r="D1080" s="166">
        <f ca="1">RANK(P1080,P1062:P1086)</f>
        <v>3</v>
      </c>
      <c r="E1080" s="189" t="s">
        <v>180</v>
      </c>
      <c r="F1080" s="179">
        <f ca="1">COUNTIFS(Paste_Report_Here!$E$1:$E$2000,E1056, OFFSET(Paste_Report_Here!$A$1,0,$A1080,2000,1),F$75)</f>
        <v>0</v>
      </c>
      <c r="G1080" s="180">
        <f ca="1">COUNTIFS(Paste_Report_Here!$E$1:$E$2000,E1056, OFFSET(Paste_Report_Here!$A$1,0,$A1080,2000,1),G$75)</f>
        <v>0</v>
      </c>
      <c r="H1080" s="180">
        <f ca="1">COUNTIFS(Paste_Report_Here!$E$1:$E$2000,E1056, OFFSET(Paste_Report_Here!$A$1,0,$A1080,2000,1),H$75)</f>
        <v>20</v>
      </c>
      <c r="I1080" s="180">
        <f ca="1">COUNTIFS(Paste_Report_Here!$E$1:$E$2000,E1056, OFFSET(Paste_Report_Here!$A$1,0,$A1080,2000,1),I$75)</f>
        <v>4</v>
      </c>
      <c r="J1080" s="180">
        <f ca="1">COUNTIFS(Paste_Report_Here!$E$1:$E$2000,E1056, OFFSET(Paste_Report_Here!$A$1,0,$A1080,2000,1),J$75)</f>
        <v>2</v>
      </c>
      <c r="K1080" s="181">
        <f ca="1">COUNTIFS(Paste_Report_Here!$E$1:$E$2000,E1056, OFFSET(Paste_Report_Here!$A$1,0,$A1080,2000,1),K$75)</f>
        <v>0</v>
      </c>
      <c r="L1080" s="166">
        <f t="shared" ca="1" si="160"/>
        <v>26</v>
      </c>
      <c r="M1080" s="183">
        <f ca="1">SUMPRODUCT(F1080:K1080,F1060:K1060)/L:L</f>
        <v>1.5384615384615385E-2</v>
      </c>
      <c r="N1080" s="166">
        <f t="shared" ca="1" si="161"/>
        <v>1.0155035678094484</v>
      </c>
      <c r="O1080" s="165">
        <f t="shared" ca="1" si="163"/>
        <v>3982.3220602878368</v>
      </c>
      <c r="P1080" s="165">
        <f t="shared" ca="1" si="162"/>
        <v>4044.0622603885718</v>
      </c>
    </row>
    <row r="1081" spans="1:16" s="165" customFormat="1" x14ac:dyDescent="0.3">
      <c r="A1081" s="165">
        <f>MATCH(Calcs!B1081,Paste_Report_Here!$1:$1,0) -1</f>
        <v>24</v>
      </c>
      <c r="B1081" s="165" t="s">
        <v>209</v>
      </c>
      <c r="C1081" s="166">
        <f ca="1">RANK(N1081,N1062:N1086)</f>
        <v>10</v>
      </c>
      <c r="D1081" s="166">
        <f ca="1">RANK(P1081,P1062:P1086)</f>
        <v>23</v>
      </c>
      <c r="E1081" s="202" t="s">
        <v>211</v>
      </c>
      <c r="F1081" s="179">
        <f ca="1">COUNTIFS(Paste_Report_Here!$E$1:$E$2000,E1056, OFFSET(Paste_Report_Here!$A$1,0,$A1081,2000,1),F$75)</f>
        <v>0</v>
      </c>
      <c r="G1081" s="180">
        <f ca="1">COUNTIFS(Paste_Report_Here!$E$1:$E$2000,E1056, OFFSET(Paste_Report_Here!$A$1,0,$A1081,2000,1),G$75)</f>
        <v>1</v>
      </c>
      <c r="H1081" s="180">
        <f ca="1">COUNTIFS(Paste_Report_Here!$E$1:$E$2000,E1056, OFFSET(Paste_Report_Here!$A$1,0,$A1081,2000,1),H$75)</f>
        <v>20</v>
      </c>
      <c r="I1081" s="180">
        <f ca="1">COUNTIFS(Paste_Report_Here!$E$1:$E$2000,E1056, OFFSET(Paste_Report_Here!$A$1,0,$A1081,2000,1),I$75)</f>
        <v>4</v>
      </c>
      <c r="J1081" s="180">
        <f ca="1">COUNTIFS(Paste_Report_Here!$E$1:$E$2000,E1056, OFFSET(Paste_Report_Here!$A$1,0,$A1081,2000,1),J$75)</f>
        <v>0</v>
      </c>
      <c r="K1081" s="181">
        <f ca="1">COUNTIFS(Paste_Report_Here!$E$1:$E$2000,E1056, OFFSET(Paste_Report_Here!$A$1,0,$A1081,2000,1),K$75)</f>
        <v>1</v>
      </c>
      <c r="L1081" s="166">
        <f t="shared" ca="1" si="160"/>
        <v>26</v>
      </c>
      <c r="M1081" s="183">
        <f ca="1">SUMPRODUCT(F1081:K1081,F1060:K1060)/L:L</f>
        <v>0</v>
      </c>
      <c r="N1081" s="166">
        <f t="shared" ca="1" si="161"/>
        <v>1</v>
      </c>
      <c r="O1081" s="165">
        <f t="shared" ca="1" si="163"/>
        <v>1233.7478751708406</v>
      </c>
      <c r="P1081" s="165">
        <f t="shared" ca="1" si="162"/>
        <v>1233.7478751708406</v>
      </c>
    </row>
    <row r="1082" spans="1:16" s="165" customFormat="1" x14ac:dyDescent="0.3">
      <c r="A1082" s="165">
        <f>MATCH(Calcs!B1082,Paste_Report_Here!$1:$1,0) -1</f>
        <v>25</v>
      </c>
      <c r="B1082" s="165" t="s">
        <v>141</v>
      </c>
      <c r="C1082" s="166">
        <f ca="1">RANK(N1082,N1062:N1086)</f>
        <v>10</v>
      </c>
      <c r="D1082" s="166">
        <f ca="1">RANK(P1082,P1062:P1086)</f>
        <v>22</v>
      </c>
      <c r="E1082" s="189" t="s">
        <v>170</v>
      </c>
      <c r="F1082" s="179">
        <f ca="1">COUNTIFS(Paste_Report_Here!$E$1:$E$2000,E1056, OFFSET(Paste_Report_Here!$A$1,0,$A1082,2000,1),F$75)</f>
        <v>0</v>
      </c>
      <c r="G1082" s="180">
        <f ca="1">COUNTIFS(Paste_Report_Here!$E$1:$E$2000,E1056, OFFSET(Paste_Report_Here!$A$1,0,$A1082,2000,1),G$75)</f>
        <v>2</v>
      </c>
      <c r="H1082" s="180">
        <f ca="1">COUNTIFS(Paste_Report_Here!$E$1:$E$2000,E1056, OFFSET(Paste_Report_Here!$A$1,0,$A1082,2000,1),H$75)</f>
        <v>20</v>
      </c>
      <c r="I1082" s="180">
        <f ca="1">COUNTIFS(Paste_Report_Here!$E$1:$E$2000,E1056, OFFSET(Paste_Report_Here!$A$1,0,$A1082,2000,1),I$75)</f>
        <v>4</v>
      </c>
      <c r="J1082" s="180">
        <f ca="1">COUNTIFS(Paste_Report_Here!$E$1:$E$2000,E1056, OFFSET(Paste_Report_Here!$A$1,0,$A1082,2000,1),J$75)</f>
        <v>0</v>
      </c>
      <c r="K1082" s="181">
        <f ca="1">COUNTIFS(Paste_Report_Here!$E$1:$E$2000,E1056, OFFSET(Paste_Report_Here!$A$1,0,$A1082,2000,1),K$75)</f>
        <v>0</v>
      </c>
      <c r="L1082" s="166">
        <f t="shared" ca="1" si="160"/>
        <v>26</v>
      </c>
      <c r="M1082" s="183">
        <f ca="1">SUMPRODUCT(F1082:K1082,F1060:K1060)/L:L</f>
        <v>0</v>
      </c>
      <c r="N1082" s="166">
        <f t="shared" ca="1" si="161"/>
        <v>1</v>
      </c>
      <c r="O1082" s="165">
        <f t="shared" ca="1" si="163"/>
        <v>1396.8925671563318</v>
      </c>
      <c r="P1082" s="165">
        <f t="shared" ca="1" si="162"/>
        <v>1396.8925671563318</v>
      </c>
    </row>
    <row r="1083" spans="1:16" s="165" customFormat="1" x14ac:dyDescent="0.3">
      <c r="A1083" s="165">
        <f>MATCH(Calcs!B1083,Paste_Report_Here!$1:$1,0) -1</f>
        <v>26</v>
      </c>
      <c r="B1083" s="165" t="s">
        <v>142</v>
      </c>
      <c r="C1083" s="166">
        <f ca="1">RANK(N1083,N1062:N1086)</f>
        <v>5</v>
      </c>
      <c r="D1083" s="166">
        <f ca="1">RANK(P1083,P1062:P1086)</f>
        <v>11</v>
      </c>
      <c r="E1083" s="189" t="s">
        <v>171</v>
      </c>
      <c r="F1083" s="179">
        <f ca="1">COUNTIFS(Paste_Report_Here!$E$1:$E$2000,E1056, OFFSET(Paste_Report_Here!$A$1,0,$A1083,2000,1),F$75)</f>
        <v>0</v>
      </c>
      <c r="G1083" s="180">
        <f ca="1">COUNTIFS(Paste_Report_Here!$E$1:$E$2000,E1056, OFFSET(Paste_Report_Here!$A$1,0,$A1083,2000,1),G$75)</f>
        <v>1</v>
      </c>
      <c r="H1083" s="180">
        <f ca="1">COUNTIFS(Paste_Report_Here!$E$1:$E$2000,E1056, OFFSET(Paste_Report_Here!$A$1,0,$A1083,2000,1),H$75)</f>
        <v>20</v>
      </c>
      <c r="I1083" s="180">
        <f ca="1">COUNTIFS(Paste_Report_Here!$E$1:$E$2000,E1056, OFFSET(Paste_Report_Here!$A$1,0,$A1083,2000,1),I$75)</f>
        <v>4</v>
      </c>
      <c r="J1083" s="180">
        <f ca="1">COUNTIFS(Paste_Report_Here!$E$1:$E$2000,E1056, OFFSET(Paste_Report_Here!$A$1,0,$A1083,2000,1),J$75)</f>
        <v>1</v>
      </c>
      <c r="K1083" s="181">
        <f ca="1">COUNTIFS(Paste_Report_Here!$E$1:$E$2000,E1056, OFFSET(Paste_Report_Here!$A$1,0,$A1083,2000,1),K$75)</f>
        <v>0</v>
      </c>
      <c r="L1083" s="166">
        <f t="shared" ca="1" si="160"/>
        <v>26</v>
      </c>
      <c r="M1083" s="183">
        <f ca="1">SUMPRODUCT(F1083:K1083,F1060:K1060)/L:L</f>
        <v>7.6923076923076927E-3</v>
      </c>
      <c r="N1083" s="166">
        <f t="shared" ca="1" si="161"/>
        <v>1.0077219694982582</v>
      </c>
      <c r="O1083" s="165">
        <f t="shared" ca="1" si="163"/>
        <v>2319.8645225355012</v>
      </c>
      <c r="P1083" s="165">
        <f t="shared" ca="1" si="162"/>
        <v>2337.7784456186118</v>
      </c>
    </row>
    <row r="1084" spans="1:16" s="165" customFormat="1" x14ac:dyDescent="0.3">
      <c r="A1084" s="165">
        <f>MATCH(Calcs!B1084,Paste_Report_Here!$1:$1,0) -1</f>
        <v>27</v>
      </c>
      <c r="B1084" s="165" t="s">
        <v>210</v>
      </c>
      <c r="C1084" s="166">
        <f ca="1">RANK(N1084,N1062:N1086)</f>
        <v>10</v>
      </c>
      <c r="D1084" s="166">
        <f ca="1">RANK(P1084,P1062:P1086)</f>
        <v>25</v>
      </c>
      <c r="E1084" s="202" t="s">
        <v>212</v>
      </c>
      <c r="F1084" s="179">
        <f ca="1">COUNTIFS(Paste_Report_Here!$E$1:$E$2000,E1056, OFFSET(Paste_Report_Here!$A$1,0,$A1084,2000,1),F$75)</f>
        <v>0</v>
      </c>
      <c r="G1084" s="180">
        <f ca="1">COUNTIFS(Paste_Report_Here!$E$1:$E$2000,E1056, OFFSET(Paste_Report_Here!$A$1,0,$A1084,2000,1),G$75)</f>
        <v>1</v>
      </c>
      <c r="H1084" s="180">
        <f ca="1">COUNTIFS(Paste_Report_Here!$E$1:$E$2000,E1056, OFFSET(Paste_Report_Here!$A$1,0,$A1084,2000,1),H$75)</f>
        <v>20</v>
      </c>
      <c r="I1084" s="180">
        <f ca="1">COUNTIFS(Paste_Report_Here!$E$1:$E$2000,E1056, OFFSET(Paste_Report_Here!$A$1,0,$A1084,2000,1),I$75)</f>
        <v>5</v>
      </c>
      <c r="J1084" s="180">
        <f ca="1">COUNTIFS(Paste_Report_Here!$E$1:$E$2000,E1056, OFFSET(Paste_Report_Here!$A$1,0,$A1084,2000,1),J$75)</f>
        <v>0</v>
      </c>
      <c r="K1084" s="181">
        <f ca="1">COUNTIFS(Paste_Report_Here!$E$1:$E$2000,E1056, OFFSET(Paste_Report_Here!$A$1,0,$A1084,2000,1),K$75)</f>
        <v>0</v>
      </c>
      <c r="L1084" s="166">
        <f t="shared" ca="1" si="160"/>
        <v>26</v>
      </c>
      <c r="M1084" s="183">
        <f ca="1">SUMPRODUCT(F1084:K1084,F1060:K1060)/L:L</f>
        <v>0</v>
      </c>
      <c r="N1084" s="166">
        <f t="shared" ca="1" si="161"/>
        <v>1</v>
      </c>
      <c r="O1084" s="165">
        <f t="shared" ca="1" si="163"/>
        <v>1152.660544727275</v>
      </c>
      <c r="P1084" s="165">
        <f t="shared" ca="1" si="162"/>
        <v>1152.660544727275</v>
      </c>
    </row>
    <row r="1085" spans="1:16" s="165" customFormat="1" x14ac:dyDescent="0.3">
      <c r="A1085" s="165">
        <f>MATCH(Calcs!B1085,Paste_Report_Here!$1:$1,0) -1</f>
        <v>28</v>
      </c>
      <c r="B1085" s="165" t="s">
        <v>143</v>
      </c>
      <c r="C1085" s="166">
        <f ca="1">RANK(N1085,N1063:N1087)</f>
        <v>1</v>
      </c>
      <c r="D1085" s="166">
        <f ca="1">RANK(P1085,P1062:P1086)</f>
        <v>1</v>
      </c>
      <c r="E1085" s="189" t="s">
        <v>172</v>
      </c>
      <c r="F1085" s="179">
        <f ca="1">COUNTIFS(Paste_Report_Here!$E$1:$E$2000,E1056, OFFSET(Paste_Report_Here!$A$1,0,$A1085,2000,1),F$75)</f>
        <v>0</v>
      </c>
      <c r="G1085" s="180">
        <f ca="1">COUNTIFS(Paste_Report_Here!$E$1:$E$2000,E1056, OFFSET(Paste_Report_Here!$A$1,0,$A1085,2000,1),G$75)</f>
        <v>0</v>
      </c>
      <c r="H1085" s="180">
        <f ca="1">COUNTIFS(Paste_Report_Here!$E$1:$E$2000,E1056, OFFSET(Paste_Report_Here!$A$1,0,$A1085,2000,1),H$75)</f>
        <v>17</v>
      </c>
      <c r="I1085" s="180">
        <f ca="1">COUNTIFS(Paste_Report_Here!$E$1:$E$2000,E1056, OFFSET(Paste_Report_Here!$A$1,0,$A1085,2000,1),I$75)</f>
        <v>7</v>
      </c>
      <c r="J1085" s="180">
        <f ca="1">COUNTIFS(Paste_Report_Here!$E$1:$E$2000,E1056, OFFSET(Paste_Report_Here!$A$1,0,$A1085,2000,1),J$75)</f>
        <v>2</v>
      </c>
      <c r="K1085" s="181">
        <f ca="1">COUNTIFS(Paste_Report_Here!$E$1:$E$2000,E1056, OFFSET(Paste_Report_Here!$A$1,0,$A1085,2000,1),K$75)</f>
        <v>0</v>
      </c>
      <c r="L1085" s="166">
        <f t="shared" ca="1" si="160"/>
        <v>26</v>
      </c>
      <c r="M1085" s="183">
        <f ca="1">SUMPRODUCT(F1085:K1085,F1060:K1060)/L:L</f>
        <v>1.5384615384615385E-2</v>
      </c>
      <c r="N1085" s="166">
        <f t="shared" ca="1" si="161"/>
        <v>1.0155035678094484</v>
      </c>
      <c r="O1085" s="165">
        <f t="shared" ca="1" si="163"/>
        <v>8455.0286641544353</v>
      </c>
      <c r="P1085" s="165">
        <f t="shared" ca="1" si="162"/>
        <v>8586.1117743799841</v>
      </c>
    </row>
    <row r="1086" spans="1:16" s="165" customFormat="1" x14ac:dyDescent="0.3">
      <c r="A1086" s="165">
        <f>MATCH(Calcs!B1086,Paste_Report_Here!$1:$1,0) -1</f>
        <v>29</v>
      </c>
      <c r="B1086" s="187" t="s">
        <v>144</v>
      </c>
      <c r="C1086" s="147">
        <f ca="1">RANK(N1086,N1062:N1086)</f>
        <v>10</v>
      </c>
      <c r="D1086" s="147">
        <f ca="1">RANK(P1086,P1062:P1086)</f>
        <v>12</v>
      </c>
      <c r="E1086" s="145" t="s">
        <v>173</v>
      </c>
      <c r="F1086" s="146">
        <f ca="1">COUNTIFS(Paste_Report_Here!$E$1:$E$2000,E1056, OFFSET(Paste_Report_Here!$A$1,0,$A1086,2000,1),F$75)</f>
        <v>0</v>
      </c>
      <c r="G1086" s="147">
        <f ca="1">COUNTIFS(Paste_Report_Here!$E$1:$E$2000,E1056, OFFSET(Paste_Report_Here!$A$1,0,$A1086,2000,1),G$75)</f>
        <v>0</v>
      </c>
      <c r="H1086" s="147">
        <f ca="1">COUNTIFS(Paste_Report_Here!$E$1:$E$2000,E1056, OFFSET(Paste_Report_Here!$A$1,0,$A1086,2000,1),H$75)</f>
        <v>20</v>
      </c>
      <c r="I1086" s="147">
        <f ca="1">COUNTIFS(Paste_Report_Here!$E$1:$E$2000,E1056, OFFSET(Paste_Report_Here!$A$1,0,$A1086,2000,1),I$75)</f>
        <v>6</v>
      </c>
      <c r="J1086" s="147">
        <f ca="1">COUNTIFS(Paste_Report_Here!$E$1:$E$2000,E1056, OFFSET(Paste_Report_Here!$A$1,0,$A1086,2000,1),J$75)</f>
        <v>0</v>
      </c>
      <c r="K1086" s="148">
        <f ca="1">COUNTIFS(Paste_Report_Here!$E$1:$E$2000,E1056, OFFSET(Paste_Report_Here!$A$1,0,$A1086,2000,1),K$75)</f>
        <v>0</v>
      </c>
      <c r="L1086" s="147">
        <f t="shared" ca="1" si="160"/>
        <v>26</v>
      </c>
      <c r="M1086" s="149">
        <f ca="1">SUMPRODUCT(F1086:K1086,F1060:K1060)/L:L</f>
        <v>0</v>
      </c>
      <c r="N1086" s="147">
        <f t="shared" ca="1" si="161"/>
        <v>1</v>
      </c>
      <c r="O1086" s="187">
        <f t="shared" ca="1" si="163"/>
        <v>2287.6229277911048</v>
      </c>
      <c r="P1086" s="165">
        <f t="shared" ca="1" si="162"/>
        <v>2287.6229277911048</v>
      </c>
    </row>
    <row r="1087" spans="1:16" s="165" customFormat="1" x14ac:dyDescent="0.3">
      <c r="C1087" s="166"/>
      <c r="E1087" s="140" t="s">
        <v>293</v>
      </c>
      <c r="F1087" s="180">
        <f ca="1">SUM(F1062:F1086)</f>
        <v>4</v>
      </c>
      <c r="G1087" s="180">
        <f t="shared" ref="G1087:L1087" ca="1" si="164">SUM(G1062:G1086)</f>
        <v>33</v>
      </c>
      <c r="H1087" s="180">
        <f t="shared" ca="1" si="164"/>
        <v>458</v>
      </c>
      <c r="I1087" s="180">
        <f t="shared" ca="1" si="164"/>
        <v>138</v>
      </c>
      <c r="J1087" s="180">
        <f t="shared" ca="1" si="164"/>
        <v>15</v>
      </c>
      <c r="K1087" s="180">
        <f t="shared" ca="1" si="164"/>
        <v>2</v>
      </c>
      <c r="L1087" s="180">
        <f t="shared" ca="1" si="164"/>
        <v>650</v>
      </c>
      <c r="M1087" s="144">
        <f ca="1">SUMPRODUCT(F1087:K1087,F1060:K1060)/L1087</f>
        <v>3.3846153846153848E-3</v>
      </c>
      <c r="N1087" s="166">
        <f t="shared" ca="1" si="161"/>
        <v>1.0033903496628833</v>
      </c>
      <c r="O1087" s="165">
        <f t="shared" ca="1" si="163"/>
        <v>2697.0118242793792</v>
      </c>
      <c r="P1087" s="165">
        <f t="shared" ca="1" si="162"/>
        <v>2706.1556374086172</v>
      </c>
    </row>
    <row r="1088" spans="1:16" s="165" customFormat="1" x14ac:dyDescent="0.3">
      <c r="A1088" s="194"/>
      <c r="B1088" s="194"/>
      <c r="C1088" s="153"/>
      <c r="D1088" s="194"/>
      <c r="E1088" s="164"/>
      <c r="F1088" s="151"/>
      <c r="G1088" s="151"/>
      <c r="H1088" s="151"/>
      <c r="I1088" s="151"/>
      <c r="J1088" s="151"/>
      <c r="K1088" s="151"/>
      <c r="L1088" s="151"/>
      <c r="M1088" s="162"/>
      <c r="N1088" s="153"/>
      <c r="O1088" s="194"/>
      <c r="P1088" s="194"/>
    </row>
    <row r="1089" spans="1:16" s="165" customFormat="1" x14ac:dyDescent="0.3">
      <c r="E1089" s="173" t="s">
        <v>292</v>
      </c>
    </row>
    <row r="1090" spans="1:16" s="165" customFormat="1" x14ac:dyDescent="0.3">
      <c r="E1090" s="141">
        <v>41516</v>
      </c>
    </row>
    <row r="1091" spans="1:16" s="165" customFormat="1" ht="15" thickBot="1" x14ac:dyDescent="0.35"/>
    <row r="1092" spans="1:16" s="165" customFormat="1" ht="24.6" thickBot="1" x14ac:dyDescent="0.35">
      <c r="F1092" s="174" t="s">
        <v>23</v>
      </c>
      <c r="G1092" s="168" t="s">
        <v>18</v>
      </c>
      <c r="H1092" s="168" t="s">
        <v>16</v>
      </c>
      <c r="I1092" s="168" t="s">
        <v>17</v>
      </c>
      <c r="J1092" s="168" t="s">
        <v>19</v>
      </c>
      <c r="K1092" s="169" t="s">
        <v>114</v>
      </c>
    </row>
    <row r="1093" spans="1:16" s="165" customFormat="1" x14ac:dyDescent="0.3">
      <c r="F1093" s="267" t="s">
        <v>201</v>
      </c>
      <c r="G1093" s="268"/>
      <c r="H1093" s="268"/>
      <c r="I1093" s="268"/>
      <c r="J1093" s="268"/>
      <c r="K1093" s="169"/>
      <c r="M1093" s="203">
        <f ca="1">(H1121+K1121)/L1121</f>
        <v>0.73294117647058821</v>
      </c>
      <c r="N1093" s="204" t="s">
        <v>501</v>
      </c>
    </row>
    <row r="1094" spans="1:16" s="165" customFormat="1" ht="43.8" thickBot="1" x14ac:dyDescent="0.35">
      <c r="A1094" s="142" t="s">
        <v>294</v>
      </c>
      <c r="B1094" s="142" t="s">
        <v>295</v>
      </c>
      <c r="C1094" s="197" t="s">
        <v>440</v>
      </c>
      <c r="D1094" s="142" t="s">
        <v>441</v>
      </c>
      <c r="E1094" s="171" t="s">
        <v>30</v>
      </c>
      <c r="F1094" s="175">
        <f>Falling_fast</f>
        <v>-0.2</v>
      </c>
      <c r="G1094" s="176">
        <f>Falling</f>
        <v>0</v>
      </c>
      <c r="H1094" s="177">
        <f>Static</f>
        <v>0</v>
      </c>
      <c r="I1094" s="176">
        <f>Rising</f>
        <v>0</v>
      </c>
      <c r="J1094" s="178">
        <f>Rising_fast</f>
        <v>0.2</v>
      </c>
      <c r="K1094" s="182">
        <v>0</v>
      </c>
      <c r="L1094" s="171" t="s">
        <v>28</v>
      </c>
      <c r="M1094" s="172" t="s">
        <v>29</v>
      </c>
      <c r="N1094" s="143" t="s">
        <v>296</v>
      </c>
      <c r="O1094" s="142" t="s">
        <v>297</v>
      </c>
      <c r="P1094" s="142" t="s">
        <v>298</v>
      </c>
    </row>
    <row r="1095" spans="1:16" s="165" customFormat="1" x14ac:dyDescent="0.3">
      <c r="C1095" s="166"/>
      <c r="E1095" s="192"/>
      <c r="F1095" s="198" t="s">
        <v>151</v>
      </c>
      <c r="G1095" s="199" t="s">
        <v>149</v>
      </c>
      <c r="H1095" s="199" t="s">
        <v>16</v>
      </c>
      <c r="I1095" s="199" t="s">
        <v>148</v>
      </c>
      <c r="J1095" s="199" t="s">
        <v>150</v>
      </c>
      <c r="K1095" s="200" t="s">
        <v>114</v>
      </c>
      <c r="L1095" s="166"/>
      <c r="M1095" s="170"/>
      <c r="N1095" s="166"/>
    </row>
    <row r="1096" spans="1:16" s="165" customFormat="1" x14ac:dyDescent="0.3">
      <c r="A1096" s="165">
        <f>MATCH(Calcs!B1096,Paste_Report_Here!$1:$1,0) -1</f>
        <v>5</v>
      </c>
      <c r="B1096" s="165" t="s">
        <v>124</v>
      </c>
      <c r="C1096" s="166">
        <f ca="1">RANK(N1096,N1096:N1120)</f>
        <v>6</v>
      </c>
      <c r="D1096" s="166">
        <f ca="1">RANK(P1096,P1096:P1120)</f>
        <v>16</v>
      </c>
      <c r="E1096" s="189" t="s">
        <v>152</v>
      </c>
      <c r="F1096" s="179">
        <f ca="1">COUNTIFS(Paste_Report_Here!$E$1:$E$2000,E1090, OFFSET(Paste_Report_Here!$A$1,0,$A1096,2000,1),F$75)</f>
        <v>1</v>
      </c>
      <c r="G1096" s="180">
        <f ca="1">COUNTIFS(Paste_Report_Here!$E$1:$E$2000,E1090, OFFSET(Paste_Report_Here!$A$1,0,$A1096,2000,1),G$75)</f>
        <v>0</v>
      </c>
      <c r="H1096" s="180">
        <f ca="1">COUNTIFS(Paste_Report_Here!$E$1:$E$2000,E1090, OFFSET(Paste_Report_Here!$A$1,0,$A1096,2000,1),H$75)</f>
        <v>26</v>
      </c>
      <c r="I1096" s="180">
        <f ca="1">COUNTIFS(Paste_Report_Here!$E$1:$E$2000,E1090, OFFSET(Paste_Report_Here!$A$1,0,$A1096,2000,1),I$75)</f>
        <v>6</v>
      </c>
      <c r="J1096" s="180">
        <f ca="1">COUNTIFS(Paste_Report_Here!$E$1:$E$2000,E1090, OFFSET(Paste_Report_Here!$A$1,0,$A1096,2000,1),J$75)</f>
        <v>1</v>
      </c>
      <c r="K1096" s="181">
        <f ca="1">COUNTIFS(Paste_Report_Here!$E$1:$E$2000,E1090, OFFSET(Paste_Report_Here!$A$1,0,$A1096,2000,1),K$75)</f>
        <v>0</v>
      </c>
      <c r="L1096" s="166">
        <f t="shared" ref="L1096:L1120" ca="1" si="165">SUM(F1096:K1096)</f>
        <v>34</v>
      </c>
      <c r="M1096" s="183">
        <f ca="1">SUMPRODUCT(F1096:K1096,F1094:K1094)/L:L</f>
        <v>0</v>
      </c>
      <c r="N1096" s="166">
        <f t="shared" ref="N1096:N1121" ca="1" si="166">EXP(M1096)</f>
        <v>1</v>
      </c>
      <c r="O1096" s="165">
        <f ca="1">P1062</f>
        <v>2091.321049325009</v>
      </c>
      <c r="P1096" s="165">
        <f t="shared" ref="P1096:P1121" ca="1" si="167">O1096*N1096</f>
        <v>2091.321049325009</v>
      </c>
    </row>
    <row r="1097" spans="1:16" s="165" customFormat="1" x14ac:dyDescent="0.3">
      <c r="A1097" s="165">
        <f>MATCH(Calcs!B1097,Paste_Report_Here!$1:$1,0) -1</f>
        <v>6</v>
      </c>
      <c r="B1097" s="165" t="s">
        <v>125</v>
      </c>
      <c r="C1097" s="166">
        <f ca="1">RANK(N1097,N1096:N1120)</f>
        <v>6</v>
      </c>
      <c r="D1097" s="166">
        <f ca="1">RANK(P1097,P1096:P1120)</f>
        <v>14</v>
      </c>
      <c r="E1097" s="189" t="s">
        <v>153</v>
      </c>
      <c r="F1097" s="179">
        <f ca="1">COUNTIFS(Paste_Report_Here!$E$1:$E$2000,E1090, OFFSET(Paste_Report_Here!$A$1,0,$A1097,2000,1),F$75)</f>
        <v>0</v>
      </c>
      <c r="G1097" s="180">
        <f ca="1">COUNTIFS(Paste_Report_Here!$E$1:$E$2000,E1090, OFFSET(Paste_Report_Here!$A$1,0,$A1097,2000,1),G$75)</f>
        <v>2</v>
      </c>
      <c r="H1097" s="180">
        <f ca="1">COUNTIFS(Paste_Report_Here!$E$1:$E$2000,E1090, OFFSET(Paste_Report_Here!$A$1,0,$A1097,2000,1),H$75)</f>
        <v>27</v>
      </c>
      <c r="I1097" s="180">
        <f ca="1">COUNTIFS(Paste_Report_Here!$E$1:$E$2000,E1090, OFFSET(Paste_Report_Here!$A$1,0,$A1097,2000,1),I$75)</f>
        <v>5</v>
      </c>
      <c r="J1097" s="180">
        <f ca="1">COUNTIFS(Paste_Report_Here!$E$1:$E$2000,E1090, OFFSET(Paste_Report_Here!$A$1,0,$A1097,2000,1),J$75)</f>
        <v>0</v>
      </c>
      <c r="K1097" s="181">
        <f ca="1">COUNTIFS(Paste_Report_Here!$E$1:$E$2000,E1090, OFFSET(Paste_Report_Here!$A$1,0,$A1097,2000,1),K$75)</f>
        <v>0</v>
      </c>
      <c r="L1097" s="166">
        <f t="shared" ca="1" si="165"/>
        <v>34</v>
      </c>
      <c r="M1097" s="183">
        <f ca="1">SUMPRODUCT(F1097:K1097,F1094:K1094)/L:L</f>
        <v>0</v>
      </c>
      <c r="N1097" s="166">
        <f t="shared" ca="1" si="166"/>
        <v>1</v>
      </c>
      <c r="O1097" s="165">
        <f t="shared" ref="O1097:O1121" ca="1" si="168">P1063</f>
        <v>2136.7966892346703</v>
      </c>
      <c r="P1097" s="165">
        <f t="shared" ca="1" si="167"/>
        <v>2136.7966892346703</v>
      </c>
    </row>
    <row r="1098" spans="1:16" s="165" customFormat="1" x14ac:dyDescent="0.3">
      <c r="A1098" s="165">
        <f>MATCH(Calcs!B1098,Paste_Report_Here!$1:$1,0) -1</f>
        <v>7</v>
      </c>
      <c r="B1098" s="165" t="s">
        <v>126</v>
      </c>
      <c r="C1098" s="166">
        <f ca="1">RANK(N1098,N1096:N1120)</f>
        <v>6</v>
      </c>
      <c r="D1098" s="166">
        <f ca="1">RANK(P1098,P1096:P1120)</f>
        <v>8</v>
      </c>
      <c r="E1098" s="189" t="s">
        <v>154</v>
      </c>
      <c r="F1098" s="179">
        <f ca="1">COUNTIFS(Paste_Report_Here!$E$1:$E$2000,E1090, OFFSET(Paste_Report_Here!$A$1,0,$A1098,2000,1),F$75)</f>
        <v>0</v>
      </c>
      <c r="G1098" s="180">
        <f ca="1">COUNTIFS(Paste_Report_Here!$E$1:$E$2000,E1090, OFFSET(Paste_Report_Here!$A$1,0,$A1098,2000,1),G$75)</f>
        <v>3</v>
      </c>
      <c r="H1098" s="180">
        <f ca="1">COUNTIFS(Paste_Report_Here!$E$1:$E$2000,E1090, OFFSET(Paste_Report_Here!$A$1,0,$A1098,2000,1),H$75)</f>
        <v>25</v>
      </c>
      <c r="I1098" s="180">
        <f ca="1">COUNTIFS(Paste_Report_Here!$E$1:$E$2000,E1090, OFFSET(Paste_Report_Here!$A$1,0,$A1098,2000,1),I$75)</f>
        <v>6</v>
      </c>
      <c r="J1098" s="180">
        <f ca="1">COUNTIFS(Paste_Report_Here!$E$1:$E$2000,E1090, OFFSET(Paste_Report_Here!$A$1,0,$A1098,2000,1),J$75)</f>
        <v>0</v>
      </c>
      <c r="K1098" s="181">
        <f ca="1">COUNTIFS(Paste_Report_Here!$E$1:$E$2000,E1090, OFFSET(Paste_Report_Here!$A$1,0,$A1098,2000,1),K$75)</f>
        <v>0</v>
      </c>
      <c r="L1098" s="166">
        <f t="shared" ca="1" si="165"/>
        <v>34</v>
      </c>
      <c r="M1098" s="183">
        <f ca="1">SUMPRODUCT(F1098:K1098,F1094:K1094)/L:L</f>
        <v>0</v>
      </c>
      <c r="N1098" s="166">
        <f t="shared" ca="1" si="166"/>
        <v>1</v>
      </c>
      <c r="O1098" s="165">
        <f t="shared" ca="1" si="168"/>
        <v>2824.0945253034793</v>
      </c>
      <c r="P1098" s="165">
        <f t="shared" ca="1" si="167"/>
        <v>2824.0945253034793</v>
      </c>
    </row>
    <row r="1099" spans="1:16" s="165" customFormat="1" x14ac:dyDescent="0.3">
      <c r="A1099" s="165">
        <f>MATCH(Calcs!B1099,Paste_Report_Here!$1:$1,0) -1</f>
        <v>8</v>
      </c>
      <c r="B1099" s="165" t="s">
        <v>127</v>
      </c>
      <c r="C1099" s="166">
        <f ca="1">RANK(N1099,N1096:N1120)</f>
        <v>1</v>
      </c>
      <c r="D1099" s="166">
        <f ca="1">RANK(P1099,P1096:P1120)</f>
        <v>7</v>
      </c>
      <c r="E1099" s="189" t="s">
        <v>155</v>
      </c>
      <c r="F1099" s="179">
        <f ca="1">COUNTIFS(Paste_Report_Here!$E$1:$E$2000,E1090, OFFSET(Paste_Report_Here!$A$1,0,$A1099,2000,1),F$75)</f>
        <v>0</v>
      </c>
      <c r="G1099" s="180">
        <f ca="1">COUNTIFS(Paste_Report_Here!$E$1:$E$2000,E1090, OFFSET(Paste_Report_Here!$A$1,0,$A1099,2000,1),G$75)</f>
        <v>3</v>
      </c>
      <c r="H1099" s="180">
        <f ca="1">COUNTIFS(Paste_Report_Here!$E$1:$E$2000,E1090, OFFSET(Paste_Report_Here!$A$1,0,$A1099,2000,1),H$75)</f>
        <v>23</v>
      </c>
      <c r="I1099" s="180">
        <f ca="1">COUNTIFS(Paste_Report_Here!$E$1:$E$2000,E1090, OFFSET(Paste_Report_Here!$A$1,0,$A1099,2000,1),I$75)</f>
        <v>6</v>
      </c>
      <c r="J1099" s="180">
        <f ca="1">COUNTIFS(Paste_Report_Here!$E$1:$E$2000,E1090, OFFSET(Paste_Report_Here!$A$1,0,$A1099,2000,1),J$75)</f>
        <v>2</v>
      </c>
      <c r="K1099" s="181">
        <f ca="1">COUNTIFS(Paste_Report_Here!$E$1:$E$2000,E1090, OFFSET(Paste_Report_Here!$A$1,0,$A1099,2000,1),K$75)</f>
        <v>0</v>
      </c>
      <c r="L1099" s="166">
        <f t="shared" ca="1" si="165"/>
        <v>34</v>
      </c>
      <c r="M1099" s="183">
        <f ca="1">SUMPRODUCT(F1099:K1099,F1094:K1094)/L:L</f>
        <v>1.1764705882352941E-2</v>
      </c>
      <c r="N1099" s="166">
        <f t="shared" ca="1" si="166"/>
        <v>1.0118341822235186</v>
      </c>
      <c r="O1099" s="165">
        <f t="shared" ca="1" si="168"/>
        <v>2883.1773246065181</v>
      </c>
      <c r="P1099" s="165">
        <f t="shared" ca="1" si="167"/>
        <v>2917.2973704486285</v>
      </c>
    </row>
    <row r="1100" spans="1:16" s="165" customFormat="1" x14ac:dyDescent="0.3">
      <c r="A1100" s="165">
        <f>MATCH(Calcs!B1100,Paste_Report_Here!$1:$1,0) -1</f>
        <v>9</v>
      </c>
      <c r="B1100" s="165" t="s">
        <v>214</v>
      </c>
      <c r="C1100" s="166">
        <f ca="1">RANK(N1100,N1096:N1120)</f>
        <v>6</v>
      </c>
      <c r="D1100" s="166">
        <f ca="1">RANK(P1100,P1096:P1120)</f>
        <v>5</v>
      </c>
      <c r="E1100" s="189" t="s">
        <v>156</v>
      </c>
      <c r="F1100" s="179">
        <f ca="1">COUNTIFS(Paste_Report_Here!$E$1:$E$2000,E1090, OFFSET(Paste_Report_Here!$A$1,0,$A1100,2000,1),F$75)</f>
        <v>1</v>
      </c>
      <c r="G1100" s="180">
        <f ca="1">COUNTIFS(Paste_Report_Here!$E$1:$E$2000,E1090, OFFSET(Paste_Report_Here!$A$1,0,$A1100,2000,1),G$75)</f>
        <v>1</v>
      </c>
      <c r="H1100" s="180">
        <f ca="1">COUNTIFS(Paste_Report_Here!$E$1:$E$2000,E1090, OFFSET(Paste_Report_Here!$A$1,0,$A1100,2000,1),H$75)</f>
        <v>24</v>
      </c>
      <c r="I1100" s="180">
        <f ca="1">COUNTIFS(Paste_Report_Here!$E$1:$E$2000,E1090, OFFSET(Paste_Report_Here!$A$1,0,$A1100,2000,1),I$75)</f>
        <v>6</v>
      </c>
      <c r="J1100" s="180">
        <f ca="1">COUNTIFS(Paste_Report_Here!$E$1:$E$2000,E1090, OFFSET(Paste_Report_Here!$A$1,0,$A1100,2000,1),J$75)</f>
        <v>1</v>
      </c>
      <c r="K1100" s="181">
        <f ca="1">COUNTIFS(Paste_Report_Here!$E$1:$E$2000,E1090, OFFSET(Paste_Report_Here!$A$1,0,$A1100,2000,1),K$75)</f>
        <v>1</v>
      </c>
      <c r="L1100" s="166">
        <f t="shared" ca="1" si="165"/>
        <v>34</v>
      </c>
      <c r="M1100" s="183">
        <f ca="1">SUMPRODUCT(F1100:K1100,F1094:K1094)/L:L</f>
        <v>0</v>
      </c>
      <c r="N1100" s="166">
        <f t="shared" ca="1" si="166"/>
        <v>1</v>
      </c>
      <c r="O1100" s="165">
        <f t="shared" ca="1" si="168"/>
        <v>3779.2561997033695</v>
      </c>
      <c r="P1100" s="165">
        <f t="shared" ca="1" si="167"/>
        <v>3779.2561997033695</v>
      </c>
    </row>
    <row r="1101" spans="1:16" s="165" customFormat="1" x14ac:dyDescent="0.3">
      <c r="A1101" s="165">
        <f>MATCH(Calcs!B1101,Paste_Report_Here!$1:$1,0) -1</f>
        <v>10</v>
      </c>
      <c r="B1101" s="165" t="s">
        <v>128</v>
      </c>
      <c r="C1101" s="166">
        <f ca="1">RANK(N1101,N1096:N1120)</f>
        <v>6</v>
      </c>
      <c r="D1101" s="166">
        <f ca="1">RANK(P1101,P1096:P1120)</f>
        <v>21</v>
      </c>
      <c r="E1101" s="189" t="s">
        <v>157</v>
      </c>
      <c r="F1101" s="179">
        <f ca="1">COUNTIFS(Paste_Report_Here!$E$1:$E$2000,E1090, OFFSET(Paste_Report_Here!$A$1,0,$A1101,2000,1),F$75)</f>
        <v>1</v>
      </c>
      <c r="G1101" s="180">
        <f ca="1">COUNTIFS(Paste_Report_Here!$E$1:$E$2000,E1090, OFFSET(Paste_Report_Here!$A$1,0,$A1101,2000,1),G$75)</f>
        <v>1</v>
      </c>
      <c r="H1101" s="180">
        <f ca="1">COUNTIFS(Paste_Report_Here!$E$1:$E$2000,E1090, OFFSET(Paste_Report_Here!$A$1,0,$A1101,2000,1),H$75)</f>
        <v>27</v>
      </c>
      <c r="I1101" s="180">
        <f ca="1">COUNTIFS(Paste_Report_Here!$E$1:$E$2000,E1090, OFFSET(Paste_Report_Here!$A$1,0,$A1101,2000,1),I$75)</f>
        <v>4</v>
      </c>
      <c r="J1101" s="180">
        <f ca="1">COUNTIFS(Paste_Report_Here!$E$1:$E$2000,E1090, OFFSET(Paste_Report_Here!$A$1,0,$A1101,2000,1),J$75)</f>
        <v>1</v>
      </c>
      <c r="K1101" s="181">
        <f ca="1">COUNTIFS(Paste_Report_Here!$E$1:$E$2000,E1090, OFFSET(Paste_Report_Here!$A$1,0,$A1101,2000,1),K$75)</f>
        <v>0</v>
      </c>
      <c r="L1101" s="166">
        <f t="shared" ca="1" si="165"/>
        <v>34</v>
      </c>
      <c r="M1101" s="183">
        <f ca="1">SUMPRODUCT(F1101:K1101,F1094:K1094)/L:L</f>
        <v>0</v>
      </c>
      <c r="N1101" s="166">
        <f t="shared" ca="1" si="166"/>
        <v>1</v>
      </c>
      <c r="O1101" s="165">
        <f t="shared" ca="1" si="168"/>
        <v>1660.0875221582219</v>
      </c>
      <c r="P1101" s="165">
        <f t="shared" ca="1" si="167"/>
        <v>1660.0875221582219</v>
      </c>
    </row>
    <row r="1102" spans="1:16" s="165" customFormat="1" x14ac:dyDescent="0.3">
      <c r="A1102" s="165">
        <f>MATCH(Calcs!B1102,Paste_Report_Here!$1:$1,0) -1</f>
        <v>11</v>
      </c>
      <c r="B1102" s="165" t="s">
        <v>129</v>
      </c>
      <c r="C1102" s="166">
        <f ca="1">RANK(N1102,N1096:N1120)</f>
        <v>21</v>
      </c>
      <c r="D1102" s="166">
        <f ca="1">RANK(P1102,P1096:P1120)</f>
        <v>9</v>
      </c>
      <c r="E1102" s="189" t="s">
        <v>158</v>
      </c>
      <c r="F1102" s="179">
        <f ca="1">COUNTIFS(Paste_Report_Here!$E$1:$E$2000,E1090, OFFSET(Paste_Report_Here!$A$1,0,$A1102,2000,1),F$75)</f>
        <v>2</v>
      </c>
      <c r="G1102" s="180">
        <f ca="1">COUNTIFS(Paste_Report_Here!$E$1:$E$2000,E1090, OFFSET(Paste_Report_Here!$A$1,0,$A1102,2000,1),G$75)</f>
        <v>1</v>
      </c>
      <c r="H1102" s="180">
        <f ca="1">COUNTIFS(Paste_Report_Here!$E$1:$E$2000,E1090, OFFSET(Paste_Report_Here!$A$1,0,$A1102,2000,1),H$75)</f>
        <v>23</v>
      </c>
      <c r="I1102" s="180">
        <f ca="1">COUNTIFS(Paste_Report_Here!$E$1:$E$2000,E1090, OFFSET(Paste_Report_Here!$A$1,0,$A1102,2000,1),I$75)</f>
        <v>7</v>
      </c>
      <c r="J1102" s="180">
        <f ca="1">COUNTIFS(Paste_Report_Here!$E$1:$E$2000,E1090, OFFSET(Paste_Report_Here!$A$1,0,$A1102,2000,1),J$75)</f>
        <v>1</v>
      </c>
      <c r="K1102" s="181">
        <f ca="1">COUNTIFS(Paste_Report_Here!$E$1:$E$2000,E1090, OFFSET(Paste_Report_Here!$A$1,0,$A1102,2000,1),K$75)</f>
        <v>0</v>
      </c>
      <c r="L1102" s="166">
        <f t="shared" ca="1" si="165"/>
        <v>34</v>
      </c>
      <c r="M1102" s="183">
        <f ca="1">SUMPRODUCT(F1102:K1102,F1094:K1094)/L:L</f>
        <v>-5.8823529411764705E-3</v>
      </c>
      <c r="N1102" s="166">
        <f t="shared" ca="1" si="166"/>
        <v>0.99413491422311084</v>
      </c>
      <c r="O1102" s="165">
        <f t="shared" ca="1" si="168"/>
        <v>2648.5327345425799</v>
      </c>
      <c r="P1102" s="165">
        <f t="shared" ca="1" si="167"/>
        <v>2632.9988628715887</v>
      </c>
    </row>
    <row r="1103" spans="1:16" s="165" customFormat="1" x14ac:dyDescent="0.3">
      <c r="A1103" s="165">
        <f>MATCH(Calcs!B1103,Paste_Report_Here!$1:$1,0) -1</f>
        <v>12</v>
      </c>
      <c r="B1103" s="165" t="s">
        <v>130</v>
      </c>
      <c r="C1103" s="166">
        <f ca="1">RANK(N1103,N1097:N1121)</f>
        <v>3</v>
      </c>
      <c r="D1103" s="166">
        <f ca="1">RANK(P1103,P1096:P1120)</f>
        <v>10</v>
      </c>
      <c r="E1103" s="189" t="s">
        <v>159</v>
      </c>
      <c r="F1103" s="179">
        <f ca="1">COUNTIFS(Paste_Report_Here!$E$1:$E$2000,E1090, OFFSET(Paste_Report_Here!$A$1,0,$A1103,2000,1),F$75)</f>
        <v>1</v>
      </c>
      <c r="G1103" s="180">
        <f ca="1">COUNTIFS(Paste_Report_Here!$E$1:$E$2000,E1090, OFFSET(Paste_Report_Here!$A$1,0,$A1103,2000,1),G$75)</f>
        <v>1</v>
      </c>
      <c r="H1103" s="180">
        <f ca="1">COUNTIFS(Paste_Report_Here!$E$1:$E$2000,E1090, OFFSET(Paste_Report_Here!$A$1,0,$A1103,2000,1),H$75)</f>
        <v>22</v>
      </c>
      <c r="I1103" s="180">
        <f ca="1">COUNTIFS(Paste_Report_Here!$E$1:$E$2000,E1090, OFFSET(Paste_Report_Here!$A$1,0,$A1103,2000,1),I$75)</f>
        <v>8</v>
      </c>
      <c r="J1103" s="180">
        <f ca="1">COUNTIFS(Paste_Report_Here!$E$1:$E$2000,E1090, OFFSET(Paste_Report_Here!$A$1,0,$A1103,2000,1),J$75)</f>
        <v>2</v>
      </c>
      <c r="K1103" s="181">
        <f ca="1">COUNTIFS(Paste_Report_Here!$E$1:$E$2000,E1090, OFFSET(Paste_Report_Here!$A$1,0,$A1103,2000,1),K$75)</f>
        <v>0</v>
      </c>
      <c r="L1103" s="166">
        <f t="shared" ca="1" si="165"/>
        <v>34</v>
      </c>
      <c r="M1103" s="183">
        <f ca="1">SUMPRODUCT(F1103:K1103,F1094:K1094)/L:L</f>
        <v>5.8823529411764705E-3</v>
      </c>
      <c r="N1103" s="166">
        <f t="shared" ca="1" si="166"/>
        <v>1.0058996879527893</v>
      </c>
      <c r="O1103" s="165">
        <f t="shared" ca="1" si="168"/>
        <v>2530.6615315329527</v>
      </c>
      <c r="P1103" s="165">
        <f t="shared" ca="1" si="167"/>
        <v>2545.5916448831249</v>
      </c>
    </row>
    <row r="1104" spans="1:16" s="165" customFormat="1" x14ac:dyDescent="0.3">
      <c r="A1104" s="165">
        <f>MATCH(Calcs!B1104,Paste_Report_Here!$1:$1,0) -1</f>
        <v>13</v>
      </c>
      <c r="B1104" s="165" t="s">
        <v>131</v>
      </c>
      <c r="C1104" s="166">
        <f ca="1">RANK(N1104,N1098:N1122)</f>
        <v>3</v>
      </c>
      <c r="D1104" s="166">
        <f ca="1">RANK(P1104,P1096:P1120)</f>
        <v>2</v>
      </c>
      <c r="E1104" s="189" t="s">
        <v>160</v>
      </c>
      <c r="F1104" s="179">
        <f ca="1">COUNTIFS(Paste_Report_Here!$E$1:$E$2000,E1090, OFFSET(Paste_Report_Here!$A$1,0,$A1104,2000,1),F$75)</f>
        <v>0</v>
      </c>
      <c r="G1104" s="180">
        <f ca="1">COUNTIFS(Paste_Report_Here!$E$1:$E$2000,E1090, OFFSET(Paste_Report_Here!$A$1,0,$A1104,2000,1),G$75)</f>
        <v>2</v>
      </c>
      <c r="H1104" s="180">
        <f ca="1">COUNTIFS(Paste_Report_Here!$E$1:$E$2000,E1090, OFFSET(Paste_Report_Here!$A$1,0,$A1104,2000,1),H$75)</f>
        <v>20</v>
      </c>
      <c r="I1104" s="180">
        <f ca="1">COUNTIFS(Paste_Report_Here!$E$1:$E$2000,E1090, OFFSET(Paste_Report_Here!$A$1,0,$A1104,2000,1),I$75)</f>
        <v>11</v>
      </c>
      <c r="J1104" s="180">
        <f ca="1">COUNTIFS(Paste_Report_Here!$E$1:$E$2000,E1090, OFFSET(Paste_Report_Here!$A$1,0,$A1104,2000,1),J$75)</f>
        <v>1</v>
      </c>
      <c r="K1104" s="181">
        <f ca="1">COUNTIFS(Paste_Report_Here!$E$1:$E$2000,E1090, OFFSET(Paste_Report_Here!$A$1,0,$A1104,2000,1),K$75)</f>
        <v>0</v>
      </c>
      <c r="L1104" s="166">
        <f t="shared" ca="1" si="165"/>
        <v>34</v>
      </c>
      <c r="M1104" s="183">
        <f ca="1">SUMPRODUCT(F1104:K1104,F1094:K1094)/L:L</f>
        <v>5.8823529411764705E-3</v>
      </c>
      <c r="N1104" s="166">
        <f t="shared" ca="1" si="166"/>
        <v>1.0058996879527893</v>
      </c>
      <c r="O1104" s="165">
        <f t="shared" ca="1" si="168"/>
        <v>4272.2555125319604</v>
      </c>
      <c r="P1104" s="165">
        <f t="shared" ca="1" si="167"/>
        <v>4297.4604869104833</v>
      </c>
    </row>
    <row r="1105" spans="1:16" s="165" customFormat="1" x14ac:dyDescent="0.3">
      <c r="A1105" s="165">
        <f>MATCH(Calcs!B1105,Paste_Report_Here!$1:$1,0) -1</f>
        <v>14</v>
      </c>
      <c r="B1105" s="165" t="s">
        <v>132</v>
      </c>
      <c r="C1105" s="166">
        <f ca="1">RANK(N1105,N1099:N1123)</f>
        <v>7</v>
      </c>
      <c r="D1105" s="166">
        <f ca="1">RANK(P1105,P1096:P1120)</f>
        <v>17</v>
      </c>
      <c r="E1105" s="189" t="s">
        <v>161</v>
      </c>
      <c r="F1105" s="179">
        <f ca="1">COUNTIFS(Paste_Report_Here!$E$1:$E$2000,E1090, OFFSET(Paste_Report_Here!$A$1,0,$A1105,2000,1),F$75)</f>
        <v>0</v>
      </c>
      <c r="G1105" s="180">
        <f ca="1">COUNTIFS(Paste_Report_Here!$E$1:$E$2000,E1090, OFFSET(Paste_Report_Here!$A$1,0,$A1105,2000,1),G$75)</f>
        <v>3</v>
      </c>
      <c r="H1105" s="180">
        <f ca="1">COUNTIFS(Paste_Report_Here!$E$1:$E$2000,E1090, OFFSET(Paste_Report_Here!$A$1,0,$A1105,2000,1),H$75)</f>
        <v>23</v>
      </c>
      <c r="I1105" s="180">
        <f ca="1">COUNTIFS(Paste_Report_Here!$E$1:$E$2000,E1090, OFFSET(Paste_Report_Here!$A$1,0,$A1105,2000,1),I$75)</f>
        <v>8</v>
      </c>
      <c r="J1105" s="180">
        <f ca="1">COUNTIFS(Paste_Report_Here!$E$1:$E$2000,E1090, OFFSET(Paste_Report_Here!$A$1,0,$A1105,2000,1),J$75)</f>
        <v>0</v>
      </c>
      <c r="K1105" s="181">
        <f ca="1">COUNTIFS(Paste_Report_Here!$E$1:$E$2000,E1090, OFFSET(Paste_Report_Here!$A$1,0,$A1105,2000,1),K$75)</f>
        <v>0</v>
      </c>
      <c r="L1105" s="166">
        <f t="shared" ca="1" si="165"/>
        <v>34</v>
      </c>
      <c r="M1105" s="183">
        <f ca="1">SUMPRODUCT(F1105:K1105,F1094:K1094)/L:L</f>
        <v>0</v>
      </c>
      <c r="N1105" s="166">
        <f t="shared" ca="1" si="166"/>
        <v>1</v>
      </c>
      <c r="O1105" s="165">
        <f t="shared" ca="1" si="168"/>
        <v>2084.7802944071982</v>
      </c>
      <c r="P1105" s="165">
        <f t="shared" ca="1" si="167"/>
        <v>2084.7802944071982</v>
      </c>
    </row>
    <row r="1106" spans="1:16" s="165" customFormat="1" x14ac:dyDescent="0.3">
      <c r="A1106" s="165">
        <f>MATCH(Calcs!B1106,Paste_Report_Here!$1:$1,0) -1</f>
        <v>15</v>
      </c>
      <c r="B1106" s="165" t="s">
        <v>133</v>
      </c>
      <c r="C1106" s="166">
        <f ca="1">RANK(N1106,N1095:N1119)</f>
        <v>6</v>
      </c>
      <c r="D1106" s="166">
        <f ca="1">RANK(P1106,P1096:P1120)</f>
        <v>6</v>
      </c>
      <c r="E1106" s="189" t="s">
        <v>162</v>
      </c>
      <c r="F1106" s="179">
        <f ca="1">COUNTIFS(Paste_Report_Here!$E$1:$E$2000,E1090, OFFSET(Paste_Report_Here!$A$1,0,$A1106,2000,1),F$75)</f>
        <v>0</v>
      </c>
      <c r="G1106" s="180">
        <f ca="1">COUNTIFS(Paste_Report_Here!$E$1:$E$2000,E1090, OFFSET(Paste_Report_Here!$A$1,0,$A1106,2000,1),G$75)</f>
        <v>0</v>
      </c>
      <c r="H1106" s="180">
        <f ca="1">COUNTIFS(Paste_Report_Here!$E$1:$E$2000,E1090, OFFSET(Paste_Report_Here!$A$1,0,$A1106,2000,1),H$75)</f>
        <v>27</v>
      </c>
      <c r="I1106" s="180">
        <f ca="1">COUNTIFS(Paste_Report_Here!$E$1:$E$2000,E1090, OFFSET(Paste_Report_Here!$A$1,0,$A1106,2000,1),I$75)</f>
        <v>7</v>
      </c>
      <c r="J1106" s="180">
        <f ca="1">COUNTIFS(Paste_Report_Here!$E$1:$E$2000,E1090, OFFSET(Paste_Report_Here!$A$1,0,$A1106,2000,1),J$75)</f>
        <v>0</v>
      </c>
      <c r="K1106" s="181">
        <f ca="1">COUNTIFS(Paste_Report_Here!$E$1:$E$2000,E1090, OFFSET(Paste_Report_Here!$A$1,0,$A1106,2000,1),K$75)</f>
        <v>0</v>
      </c>
      <c r="L1106" s="166">
        <f t="shared" ca="1" si="165"/>
        <v>34</v>
      </c>
      <c r="M1106" s="183">
        <f ca="1">SUMPRODUCT(F1106:K1106,F1094:K1094)/L:L</f>
        <v>0</v>
      </c>
      <c r="N1106" s="166">
        <f t="shared" ca="1" si="166"/>
        <v>1</v>
      </c>
      <c r="O1106" s="165">
        <f t="shared" ca="1" si="168"/>
        <v>3011.2375057134327</v>
      </c>
      <c r="P1106" s="165">
        <f t="shared" ca="1" si="167"/>
        <v>3011.2375057134327</v>
      </c>
    </row>
    <row r="1107" spans="1:16" s="165" customFormat="1" x14ac:dyDescent="0.3">
      <c r="A1107" s="165">
        <f>MATCH(Calcs!B1107,Paste_Report_Here!$1:$1,0) -1</f>
        <v>16</v>
      </c>
      <c r="B1107" s="165" t="s">
        <v>134</v>
      </c>
      <c r="C1107" s="166">
        <f ca="1">RANK(N1107,N1096:N1120)</f>
        <v>6</v>
      </c>
      <c r="D1107" s="166">
        <f ca="1">RANK(P1107,P1096:P1120)</f>
        <v>24</v>
      </c>
      <c r="E1107" s="189" t="s">
        <v>163</v>
      </c>
      <c r="F1107" s="179">
        <f ca="1">COUNTIFS(Paste_Report_Here!$E$1:$E$2000,E1090, OFFSET(Paste_Report_Here!$A$1,0,$A1107,2000,1),F$75)</f>
        <v>0</v>
      </c>
      <c r="G1107" s="180">
        <f ca="1">COUNTIFS(Paste_Report_Here!$E$1:$E$2000,E1090, OFFSET(Paste_Report_Here!$A$1,0,$A1107,2000,1),G$75)</f>
        <v>2</v>
      </c>
      <c r="H1107" s="180">
        <f ca="1">COUNTIFS(Paste_Report_Here!$E$1:$E$2000,E1090, OFFSET(Paste_Report_Here!$A$1,0,$A1107,2000,1),H$75)</f>
        <v>28</v>
      </c>
      <c r="I1107" s="180">
        <f ca="1">COUNTIFS(Paste_Report_Here!$E$1:$E$2000,E1090, OFFSET(Paste_Report_Here!$A$1,0,$A1107,2000,1),I$75)</f>
        <v>4</v>
      </c>
      <c r="J1107" s="180">
        <f ca="1">COUNTIFS(Paste_Report_Here!$E$1:$E$2000,E1090, OFFSET(Paste_Report_Here!$A$1,0,$A1107,2000,1),J$75)</f>
        <v>0</v>
      </c>
      <c r="K1107" s="181">
        <f ca="1">COUNTIFS(Paste_Report_Here!$E$1:$E$2000,E1090, OFFSET(Paste_Report_Here!$A$1,0,$A1107,2000,1),K$75)</f>
        <v>0</v>
      </c>
      <c r="L1107" s="166">
        <f t="shared" ca="1" si="165"/>
        <v>34</v>
      </c>
      <c r="M1107" s="183">
        <f ca="1">SUMPRODUCT(F1107:K1107,F1094:K1094)/L:L</f>
        <v>0</v>
      </c>
      <c r="N1107" s="166">
        <f t="shared" ca="1" si="166"/>
        <v>1</v>
      </c>
      <c r="O1107" s="165">
        <f t="shared" ca="1" si="168"/>
        <v>1164.8585749102044</v>
      </c>
      <c r="P1107" s="165">
        <f t="shared" ca="1" si="167"/>
        <v>1164.8585749102044</v>
      </c>
    </row>
    <row r="1108" spans="1:16" s="165" customFormat="1" x14ac:dyDescent="0.3">
      <c r="A1108" s="165">
        <f>MATCH(Calcs!B1108,Paste_Report_Here!$1:$1,0) -1</f>
        <v>17</v>
      </c>
      <c r="B1108" s="165" t="s">
        <v>135</v>
      </c>
      <c r="C1108" s="166">
        <v>3</v>
      </c>
      <c r="D1108" s="166">
        <f ca="1">RANK(P1108,P1096:P1120)</f>
        <v>20</v>
      </c>
      <c r="E1108" s="189" t="s">
        <v>164</v>
      </c>
      <c r="F1108" s="179">
        <f ca="1">COUNTIFS(Paste_Report_Here!$E$1:$E$2000,E1090, OFFSET(Paste_Report_Here!$A$1,0,$A1108,2000,1),F$75)</f>
        <v>1</v>
      </c>
      <c r="G1108" s="180">
        <f ca="1">COUNTIFS(Paste_Report_Here!$E$1:$E$2000,E1090, OFFSET(Paste_Report_Here!$A$1,0,$A1108,2000,1),G$75)</f>
        <v>2</v>
      </c>
      <c r="H1108" s="180">
        <f ca="1">COUNTIFS(Paste_Report_Here!$E$1:$E$2000,E1090, OFFSET(Paste_Report_Here!$A$1,0,$A1108,2000,1),H$75)</f>
        <v>22</v>
      </c>
      <c r="I1108" s="180">
        <f ca="1">COUNTIFS(Paste_Report_Here!$E$1:$E$2000,E1090, OFFSET(Paste_Report_Here!$A$1,0,$A1108,2000,1),I$75)</f>
        <v>9</v>
      </c>
      <c r="J1108" s="180">
        <f ca="1">COUNTIFS(Paste_Report_Here!$E$1:$E$2000,E1090, OFFSET(Paste_Report_Here!$A$1,0,$A1108,2000,1),J$75)</f>
        <v>0</v>
      </c>
      <c r="K1108" s="181">
        <f ca="1">COUNTIFS(Paste_Report_Here!$E$1:$E$2000,E1090, OFFSET(Paste_Report_Here!$A$1,0,$A1108,2000,1),K$75)</f>
        <v>0</v>
      </c>
      <c r="L1108" s="166">
        <f t="shared" ca="1" si="165"/>
        <v>34</v>
      </c>
      <c r="M1108" s="183">
        <f ca="1">SUMPRODUCT(F1108:K1108,F1094:K1094)/L:L</f>
        <v>-5.8823529411764705E-3</v>
      </c>
      <c r="N1108" s="166">
        <f t="shared" ca="1" si="166"/>
        <v>0.99413491422311084</v>
      </c>
      <c r="O1108" s="165">
        <f t="shared" ca="1" si="168"/>
        <v>1926.5864351620507</v>
      </c>
      <c r="P1108" s="165">
        <f t="shared" ca="1" si="167"/>
        <v>1915.2868404632343</v>
      </c>
    </row>
    <row r="1109" spans="1:16" s="165" customFormat="1" x14ac:dyDescent="0.3">
      <c r="A1109" s="165">
        <f>MATCH(Calcs!B1109,Paste_Report_Here!$1:$1,0) -1</f>
        <v>18</v>
      </c>
      <c r="B1109" s="165" t="s">
        <v>136</v>
      </c>
      <c r="C1109" s="166">
        <f ca="1">RANK(N1109,N1098:N1122)</f>
        <v>3</v>
      </c>
      <c r="D1109" s="166">
        <f ca="1">RANK(P1109,P1096:P1120)</f>
        <v>4</v>
      </c>
      <c r="E1109" s="189" t="s">
        <v>165</v>
      </c>
      <c r="F1109" s="179">
        <f ca="1">COUNTIFS(Paste_Report_Here!$E$1:$E$2000,E1090, OFFSET(Paste_Report_Here!$A$1,0,$A1109,2000,1),F$75)</f>
        <v>0</v>
      </c>
      <c r="G1109" s="180">
        <f ca="1">COUNTIFS(Paste_Report_Here!$E$1:$E$2000,E1090, OFFSET(Paste_Report_Here!$A$1,0,$A1109,2000,1),G$75)</f>
        <v>2</v>
      </c>
      <c r="H1109" s="180">
        <f ca="1">COUNTIFS(Paste_Report_Here!$E$1:$E$2000,E1090, OFFSET(Paste_Report_Here!$A$1,0,$A1109,2000,1),H$75)</f>
        <v>25</v>
      </c>
      <c r="I1109" s="180">
        <f ca="1">COUNTIFS(Paste_Report_Here!$E$1:$E$2000,E1090, OFFSET(Paste_Report_Here!$A$1,0,$A1109,2000,1),I$75)</f>
        <v>6</v>
      </c>
      <c r="J1109" s="180">
        <f ca="1">COUNTIFS(Paste_Report_Here!$E$1:$E$2000,E1090, OFFSET(Paste_Report_Here!$A$1,0,$A1109,2000,1),J$75)</f>
        <v>1</v>
      </c>
      <c r="K1109" s="181">
        <f ca="1">COUNTIFS(Paste_Report_Here!$E$1:$E$2000,E1090, OFFSET(Paste_Report_Here!$A$1,0,$A1109,2000,1),K$75)</f>
        <v>0</v>
      </c>
      <c r="L1109" s="166">
        <f t="shared" ca="1" si="165"/>
        <v>34</v>
      </c>
      <c r="M1109" s="183">
        <f ca="1">SUMPRODUCT(F1109:K1109,F1094:K1094)/L:L</f>
        <v>5.8823529411764705E-3</v>
      </c>
      <c r="N1109" s="166">
        <f t="shared" ca="1" si="166"/>
        <v>1.0058996879527893</v>
      </c>
      <c r="O1109" s="165">
        <f t="shared" ca="1" si="168"/>
        <v>3938.9337445339261</v>
      </c>
      <c r="P1109" s="165">
        <f t="shared" ca="1" si="167"/>
        <v>3962.1722244933881</v>
      </c>
    </row>
    <row r="1110" spans="1:16" s="165" customFormat="1" x14ac:dyDescent="0.3">
      <c r="A1110" s="165">
        <f>MATCH(Calcs!B1110,Paste_Report_Here!$1:$1,0) -1</f>
        <v>19</v>
      </c>
      <c r="B1110" s="165" t="s">
        <v>137</v>
      </c>
      <c r="C1110" s="166">
        <f ca="1">RANK(N1110,N1099:N1123)</f>
        <v>7</v>
      </c>
      <c r="D1110" s="166">
        <f ca="1">RANK(P1110,P1096:P1120)</f>
        <v>13</v>
      </c>
      <c r="E1110" s="189" t="s">
        <v>166</v>
      </c>
      <c r="F1110" s="179">
        <f ca="1">COUNTIFS(Paste_Report_Here!$E$1:$E$2000,E1090, OFFSET(Paste_Report_Here!$A$1,0,$A1110,2000,1),F$75)</f>
        <v>0</v>
      </c>
      <c r="G1110" s="180">
        <f ca="1">COUNTIFS(Paste_Report_Here!$E$1:$E$2000,E1090, OFFSET(Paste_Report_Here!$A$1,0,$A1110,2000,1),G$75)</f>
        <v>2</v>
      </c>
      <c r="H1110" s="180">
        <f ca="1">COUNTIFS(Paste_Report_Here!$E$1:$E$2000,E1090, OFFSET(Paste_Report_Here!$A$1,0,$A1110,2000,1),H$75)</f>
        <v>22</v>
      </c>
      <c r="I1110" s="180">
        <f ca="1">COUNTIFS(Paste_Report_Here!$E$1:$E$2000,E1090, OFFSET(Paste_Report_Here!$A$1,0,$A1110,2000,1),I$75)</f>
        <v>10</v>
      </c>
      <c r="J1110" s="180">
        <f ca="1">COUNTIFS(Paste_Report_Here!$E$1:$E$2000,E1090, OFFSET(Paste_Report_Here!$A$1,0,$A1110,2000,1),J$75)</f>
        <v>0</v>
      </c>
      <c r="K1110" s="181">
        <f ca="1">COUNTIFS(Paste_Report_Here!$E$1:$E$2000,E1090, OFFSET(Paste_Report_Here!$A$1,0,$A1110,2000,1),K$75)</f>
        <v>0</v>
      </c>
      <c r="L1110" s="166">
        <f t="shared" ca="1" si="165"/>
        <v>34</v>
      </c>
      <c r="M1110" s="183">
        <f ca="1">SUMPRODUCT(F1110:K1110,F1094:K1094)/L:L</f>
        <v>0</v>
      </c>
      <c r="N1110" s="166">
        <f t="shared" ca="1" si="166"/>
        <v>1</v>
      </c>
      <c r="O1110" s="165">
        <f t="shared" ca="1" si="168"/>
        <v>2165.8908597179452</v>
      </c>
      <c r="P1110" s="165">
        <f t="shared" ca="1" si="167"/>
        <v>2165.8908597179452</v>
      </c>
    </row>
    <row r="1111" spans="1:16" s="165" customFormat="1" x14ac:dyDescent="0.3">
      <c r="A1111" s="165">
        <f>MATCH(Calcs!B1111,Paste_Report_Here!$1:$1,0) -1</f>
        <v>20</v>
      </c>
      <c r="B1111" s="165" t="s">
        <v>138</v>
      </c>
      <c r="C1111" s="166">
        <f ca="1">RANK(N1111,N1097:N1121)</f>
        <v>25</v>
      </c>
      <c r="D1111" s="166">
        <f ca="1">RANK(P1111,P1096:P1120)</f>
        <v>19</v>
      </c>
      <c r="E1111" s="189" t="s">
        <v>167</v>
      </c>
      <c r="F1111" s="179">
        <f ca="1">COUNTIFS(Paste_Report_Here!$E$1:$E$2000,E1090, OFFSET(Paste_Report_Here!$A$1,0,$A1111,2000,1),F$75)</f>
        <v>2</v>
      </c>
      <c r="G1111" s="180">
        <f ca="1">COUNTIFS(Paste_Report_Here!$E$1:$E$2000,E1090, OFFSET(Paste_Report_Here!$A$1,0,$A1111,2000,1),G$75)</f>
        <v>0</v>
      </c>
      <c r="H1111" s="180">
        <f ca="1">COUNTIFS(Paste_Report_Here!$E$1:$E$2000,E1090, OFFSET(Paste_Report_Here!$A$1,0,$A1111,2000,1),H$75)</f>
        <v>24</v>
      </c>
      <c r="I1111" s="180">
        <f ca="1">COUNTIFS(Paste_Report_Here!$E$1:$E$2000,E1090, OFFSET(Paste_Report_Here!$A$1,0,$A1111,2000,1),I$75)</f>
        <v>8</v>
      </c>
      <c r="J1111" s="180">
        <f ca="1">COUNTIFS(Paste_Report_Here!$E$1:$E$2000,E1090, OFFSET(Paste_Report_Here!$A$1,0,$A1111,2000,1),J$75)</f>
        <v>0</v>
      </c>
      <c r="K1111" s="181">
        <f ca="1">COUNTIFS(Paste_Report_Here!$E$1:$E$2000,E1090, OFFSET(Paste_Report_Here!$A$1,0,$A1111,2000,1),K$75)</f>
        <v>0</v>
      </c>
      <c r="L1111" s="166">
        <f t="shared" ca="1" si="165"/>
        <v>34</v>
      </c>
      <c r="M1111" s="183">
        <f ca="1">SUMPRODUCT(F1111:K1111,F1094:K1094)/L:L</f>
        <v>-1.1764705882352941E-2</v>
      </c>
      <c r="N1111" s="166">
        <f t="shared" ca="1" si="166"/>
        <v>0.9883042276773919</v>
      </c>
      <c r="O1111" s="165">
        <f t="shared" ca="1" si="168"/>
        <v>2004.712780725934</v>
      </c>
      <c r="P1111" s="165">
        <f t="shared" ca="1" si="167"/>
        <v>1981.2661164703409</v>
      </c>
    </row>
    <row r="1112" spans="1:16" s="165" customFormat="1" x14ac:dyDescent="0.3">
      <c r="A1112" s="165">
        <f>MATCH(Calcs!B1112,Paste_Report_Here!$1:$1,0) -1</f>
        <v>21</v>
      </c>
      <c r="B1112" s="165" t="s">
        <v>139</v>
      </c>
      <c r="C1112" s="166">
        <f ca="1">RANK(N1112,N1096:N1120)</f>
        <v>6</v>
      </c>
      <c r="D1112" s="166">
        <f ca="1">RANK(P1112,P1096:P1120)</f>
        <v>18</v>
      </c>
      <c r="E1112" s="189" t="s">
        <v>168</v>
      </c>
      <c r="F1112" s="179">
        <f ca="1">COUNTIFS(Paste_Report_Here!$E$1:$E$2000,E1090, OFFSET(Paste_Report_Here!$A$1,0,$A1112,2000,1),F$75)</f>
        <v>0</v>
      </c>
      <c r="G1112" s="180">
        <f ca="1">COUNTIFS(Paste_Report_Here!$E$1:$E$2000,E1090, OFFSET(Paste_Report_Here!$A$1,0,$A1112,2000,1),G$75)</f>
        <v>4</v>
      </c>
      <c r="H1112" s="180">
        <f ca="1">COUNTIFS(Paste_Report_Here!$E$1:$E$2000,E1090, OFFSET(Paste_Report_Here!$A$1,0,$A1112,2000,1),H$75)</f>
        <v>27</v>
      </c>
      <c r="I1112" s="180">
        <f ca="1">COUNTIFS(Paste_Report_Here!$E$1:$E$2000,E1090, OFFSET(Paste_Report_Here!$A$1,0,$A1112,2000,1),I$75)</f>
        <v>3</v>
      </c>
      <c r="J1112" s="180">
        <f ca="1">COUNTIFS(Paste_Report_Here!$E$1:$E$2000,E1090, OFFSET(Paste_Report_Here!$A$1,0,$A1112,2000,1),J$75)</f>
        <v>0</v>
      </c>
      <c r="K1112" s="181">
        <f ca="1">COUNTIFS(Paste_Report_Here!$E$1:$E$2000,E1090, OFFSET(Paste_Report_Here!$A$1,0,$A1112,2000,1),K$75)</f>
        <v>0</v>
      </c>
      <c r="L1112" s="166">
        <f t="shared" ca="1" si="165"/>
        <v>34</v>
      </c>
      <c r="M1112" s="183">
        <f ca="1">SUMPRODUCT(F1112:K1112,F1094:K1094)/L:L</f>
        <v>0</v>
      </c>
      <c r="N1112" s="166">
        <f t="shared" ca="1" si="166"/>
        <v>1</v>
      </c>
      <c r="O1112" s="165">
        <f t="shared" ca="1" si="168"/>
        <v>2048.2722377471505</v>
      </c>
      <c r="P1112" s="165">
        <f t="shared" ca="1" si="167"/>
        <v>2048.2722377471505</v>
      </c>
    </row>
    <row r="1113" spans="1:16" s="165" customFormat="1" x14ac:dyDescent="0.3">
      <c r="A1113" s="165">
        <f>MATCH(Calcs!B1113,Paste_Report_Here!$1:$1,0) -1</f>
        <v>22</v>
      </c>
      <c r="B1113" s="165" t="s">
        <v>140</v>
      </c>
      <c r="C1113" s="166">
        <f ca="1">RANK(N1113,N1096:N1120)</f>
        <v>6</v>
      </c>
      <c r="D1113" s="166">
        <f ca="1">RANK(P1113,P1096:P1120)</f>
        <v>15</v>
      </c>
      <c r="E1113" s="189" t="s">
        <v>169</v>
      </c>
      <c r="F1113" s="179">
        <f ca="1">COUNTIFS(Paste_Report_Here!$E$1:$E$2000,E1090, OFFSET(Paste_Report_Here!$A$1,0,$A1113,2000,1),F$75)</f>
        <v>0</v>
      </c>
      <c r="G1113" s="180">
        <f ca="1">COUNTIFS(Paste_Report_Here!$E$1:$E$2000,E1090, OFFSET(Paste_Report_Here!$A$1,0,$A1113,2000,1),G$75)</f>
        <v>2</v>
      </c>
      <c r="H1113" s="180">
        <f ca="1">COUNTIFS(Paste_Report_Here!$E$1:$E$2000,E1090, OFFSET(Paste_Report_Here!$A$1,0,$A1113,2000,1),H$75)</f>
        <v>23</v>
      </c>
      <c r="I1113" s="180">
        <f ca="1">COUNTIFS(Paste_Report_Here!$E$1:$E$2000,E1090, OFFSET(Paste_Report_Here!$A$1,0,$A1113,2000,1),I$75)</f>
        <v>9</v>
      </c>
      <c r="J1113" s="180">
        <f ca="1">COUNTIFS(Paste_Report_Here!$E$1:$E$2000,E1090, OFFSET(Paste_Report_Here!$A$1,0,$A1113,2000,1),J$75)</f>
        <v>0</v>
      </c>
      <c r="K1113" s="181">
        <f ca="1">COUNTIFS(Paste_Report_Here!$E$1:$E$2000,E1090, OFFSET(Paste_Report_Here!$A$1,0,$A1113,2000,1),K$75)</f>
        <v>0</v>
      </c>
      <c r="L1113" s="166">
        <f t="shared" ca="1" si="165"/>
        <v>34</v>
      </c>
      <c r="M1113" s="183">
        <f ca="1">SUMPRODUCT(F1113:K1113,F1094:K1094)/L:L</f>
        <v>0</v>
      </c>
      <c r="N1113" s="166">
        <f t="shared" ca="1" si="166"/>
        <v>1</v>
      </c>
      <c r="O1113" s="165">
        <f t="shared" ca="1" si="168"/>
        <v>2101.1126870763292</v>
      </c>
      <c r="P1113" s="165">
        <f t="shared" ca="1" si="167"/>
        <v>2101.1126870763292</v>
      </c>
    </row>
    <row r="1114" spans="1:16" s="165" customFormat="1" x14ac:dyDescent="0.3">
      <c r="A1114" s="165">
        <f>MATCH(Calcs!B1114,Paste_Report_Here!$1:$1,0) -1</f>
        <v>23</v>
      </c>
      <c r="B1114" s="165" t="s">
        <v>186</v>
      </c>
      <c r="C1114" s="166">
        <f ca="1">RANK(N1114,N1096:N1120)</f>
        <v>6</v>
      </c>
      <c r="D1114" s="166">
        <f ca="1">RANK(P1114,P1096:P1120)</f>
        <v>3</v>
      </c>
      <c r="E1114" s="189" t="s">
        <v>180</v>
      </c>
      <c r="F1114" s="179">
        <f ca="1">COUNTIFS(Paste_Report_Here!$E$1:$E$2000,E1090, OFFSET(Paste_Report_Here!$A$1,0,$A1114,2000,1),F$75)</f>
        <v>0</v>
      </c>
      <c r="G1114" s="180">
        <f ca="1">COUNTIFS(Paste_Report_Here!$E$1:$E$2000,E1090, OFFSET(Paste_Report_Here!$A$1,0,$A1114,2000,1),G$75)</f>
        <v>1</v>
      </c>
      <c r="H1114" s="180">
        <f ca="1">COUNTIFS(Paste_Report_Here!$E$1:$E$2000,E1090, OFFSET(Paste_Report_Here!$A$1,0,$A1114,2000,1),H$75)</f>
        <v>23</v>
      </c>
      <c r="I1114" s="180">
        <f ca="1">COUNTIFS(Paste_Report_Here!$E$1:$E$2000,E1090, OFFSET(Paste_Report_Here!$A$1,0,$A1114,2000,1),I$75)</f>
        <v>10</v>
      </c>
      <c r="J1114" s="180">
        <f ca="1">COUNTIFS(Paste_Report_Here!$E$1:$E$2000,E1090, OFFSET(Paste_Report_Here!$A$1,0,$A1114,2000,1),J$75)</f>
        <v>0</v>
      </c>
      <c r="K1114" s="181">
        <f ca="1">COUNTIFS(Paste_Report_Here!$E$1:$E$2000,E1090, OFFSET(Paste_Report_Here!$A$1,0,$A1114,2000,1),K$75)</f>
        <v>0</v>
      </c>
      <c r="L1114" s="166">
        <f t="shared" ca="1" si="165"/>
        <v>34</v>
      </c>
      <c r="M1114" s="183">
        <f ca="1">SUMPRODUCT(F1114:K1114,F1094:K1094)/L:L</f>
        <v>0</v>
      </c>
      <c r="N1114" s="166">
        <f t="shared" ca="1" si="166"/>
        <v>1</v>
      </c>
      <c r="O1114" s="165">
        <f t="shared" ca="1" si="168"/>
        <v>4044.0622603885718</v>
      </c>
      <c r="P1114" s="165">
        <f t="shared" ca="1" si="167"/>
        <v>4044.0622603885718</v>
      </c>
    </row>
    <row r="1115" spans="1:16" s="165" customFormat="1" x14ac:dyDescent="0.3">
      <c r="A1115" s="165">
        <f>MATCH(Calcs!B1115,Paste_Report_Here!$1:$1,0) -1</f>
        <v>24</v>
      </c>
      <c r="B1115" s="165" t="s">
        <v>209</v>
      </c>
      <c r="C1115" s="166">
        <f ca="1">RANK(N1115,N1096:N1120)</f>
        <v>6</v>
      </c>
      <c r="D1115" s="166">
        <f ca="1">RANK(P1115,P1096:P1120)</f>
        <v>23</v>
      </c>
      <c r="E1115" s="202" t="s">
        <v>211</v>
      </c>
      <c r="F1115" s="179">
        <f ca="1">COUNTIFS(Paste_Report_Here!$E$1:$E$2000,E1090, OFFSET(Paste_Report_Here!$A$1,0,$A1115,2000,1),F$75)</f>
        <v>0</v>
      </c>
      <c r="G1115" s="180">
        <f ca="1">COUNTIFS(Paste_Report_Here!$E$1:$E$2000,E1090, OFFSET(Paste_Report_Here!$A$1,0,$A1115,2000,1),G$75)</f>
        <v>0</v>
      </c>
      <c r="H1115" s="180">
        <f ca="1">COUNTIFS(Paste_Report_Here!$E$1:$E$2000,E1090, OFFSET(Paste_Report_Here!$A$1,0,$A1115,2000,1),H$75)</f>
        <v>29</v>
      </c>
      <c r="I1115" s="180">
        <f ca="1">COUNTIFS(Paste_Report_Here!$E$1:$E$2000,E1090, OFFSET(Paste_Report_Here!$A$1,0,$A1115,2000,1),I$75)</f>
        <v>4</v>
      </c>
      <c r="J1115" s="180">
        <f ca="1">COUNTIFS(Paste_Report_Here!$E$1:$E$2000,E1090, OFFSET(Paste_Report_Here!$A$1,0,$A1115,2000,1),J$75)</f>
        <v>0</v>
      </c>
      <c r="K1115" s="181">
        <f ca="1">COUNTIFS(Paste_Report_Here!$E$1:$E$2000,E1090, OFFSET(Paste_Report_Here!$A$1,0,$A1115,2000,1),K$75)</f>
        <v>1</v>
      </c>
      <c r="L1115" s="166">
        <f t="shared" ca="1" si="165"/>
        <v>34</v>
      </c>
      <c r="M1115" s="183">
        <f ca="1">SUMPRODUCT(F1115:K1115,F1094:K1094)/L:L</f>
        <v>0</v>
      </c>
      <c r="N1115" s="166">
        <f t="shared" ca="1" si="166"/>
        <v>1</v>
      </c>
      <c r="O1115" s="165">
        <f t="shared" ca="1" si="168"/>
        <v>1233.7478751708406</v>
      </c>
      <c r="P1115" s="165">
        <f t="shared" ca="1" si="167"/>
        <v>1233.7478751708406</v>
      </c>
    </row>
    <row r="1116" spans="1:16" s="165" customFormat="1" x14ac:dyDescent="0.3">
      <c r="A1116" s="165">
        <f>MATCH(Calcs!B1116,Paste_Report_Here!$1:$1,0) -1</f>
        <v>25</v>
      </c>
      <c r="B1116" s="165" t="s">
        <v>141</v>
      </c>
      <c r="C1116" s="166">
        <f ca="1">RANK(N1116,N1096:N1120)</f>
        <v>6</v>
      </c>
      <c r="D1116" s="166">
        <f ca="1">RANK(P1116,P1096:P1120)</f>
        <v>22</v>
      </c>
      <c r="E1116" s="189" t="s">
        <v>170</v>
      </c>
      <c r="F1116" s="179">
        <f ca="1">COUNTIFS(Paste_Report_Here!$E$1:$E$2000,E1090, OFFSET(Paste_Report_Here!$A$1,0,$A1116,2000,1),F$75)</f>
        <v>1</v>
      </c>
      <c r="G1116" s="180">
        <f ca="1">COUNTIFS(Paste_Report_Here!$E$1:$E$2000,E1090, OFFSET(Paste_Report_Here!$A$1,0,$A1116,2000,1),G$75)</f>
        <v>1</v>
      </c>
      <c r="H1116" s="180">
        <f ca="1">COUNTIFS(Paste_Report_Here!$E$1:$E$2000,E1090, OFFSET(Paste_Report_Here!$A$1,0,$A1116,2000,1),H$75)</f>
        <v>28</v>
      </c>
      <c r="I1116" s="180">
        <f ca="1">COUNTIFS(Paste_Report_Here!$E$1:$E$2000,E1090, OFFSET(Paste_Report_Here!$A$1,0,$A1116,2000,1),I$75)</f>
        <v>3</v>
      </c>
      <c r="J1116" s="180">
        <f ca="1">COUNTIFS(Paste_Report_Here!$E$1:$E$2000,E1090, OFFSET(Paste_Report_Here!$A$1,0,$A1116,2000,1),J$75)</f>
        <v>1</v>
      </c>
      <c r="K1116" s="181">
        <f ca="1">COUNTIFS(Paste_Report_Here!$E$1:$E$2000,E1090, OFFSET(Paste_Report_Here!$A$1,0,$A1116,2000,1),K$75)</f>
        <v>0</v>
      </c>
      <c r="L1116" s="166">
        <f t="shared" ca="1" si="165"/>
        <v>34</v>
      </c>
      <c r="M1116" s="183">
        <f ca="1">SUMPRODUCT(F1116:K1116,F1094:K1094)/L:L</f>
        <v>0</v>
      </c>
      <c r="N1116" s="166">
        <f t="shared" ca="1" si="166"/>
        <v>1</v>
      </c>
      <c r="O1116" s="165">
        <f t="shared" ca="1" si="168"/>
        <v>1396.8925671563318</v>
      </c>
      <c r="P1116" s="165">
        <f t="shared" ca="1" si="167"/>
        <v>1396.8925671563318</v>
      </c>
    </row>
    <row r="1117" spans="1:16" s="165" customFormat="1" x14ac:dyDescent="0.3">
      <c r="A1117" s="165">
        <f>MATCH(Calcs!B1117,Paste_Report_Here!$1:$1,0) -1</f>
        <v>26</v>
      </c>
      <c r="B1117" s="165" t="s">
        <v>142</v>
      </c>
      <c r="C1117" s="166">
        <f ca="1">RANK(N1117,N1096:N1120)</f>
        <v>21</v>
      </c>
      <c r="D1117" s="166">
        <f ca="1">RANK(P1117,P1096:P1120)</f>
        <v>11</v>
      </c>
      <c r="E1117" s="189" t="s">
        <v>171</v>
      </c>
      <c r="F1117" s="179">
        <f ca="1">COUNTIFS(Paste_Report_Here!$E$1:$E$2000,E1090, OFFSET(Paste_Report_Here!$A$1,0,$A1117,2000,1),F$75)</f>
        <v>1</v>
      </c>
      <c r="G1117" s="180">
        <f ca="1">COUNTIFS(Paste_Report_Here!$E$1:$E$2000,E1090, OFFSET(Paste_Report_Here!$A$1,0,$A1117,2000,1),G$75)</f>
        <v>0</v>
      </c>
      <c r="H1117" s="180">
        <f ca="1">COUNTIFS(Paste_Report_Here!$E$1:$E$2000,E1090, OFFSET(Paste_Report_Here!$A$1,0,$A1117,2000,1),H$75)</f>
        <v>24</v>
      </c>
      <c r="I1117" s="180">
        <f ca="1">COUNTIFS(Paste_Report_Here!$E$1:$E$2000,E1090, OFFSET(Paste_Report_Here!$A$1,0,$A1117,2000,1),I$75)</f>
        <v>9</v>
      </c>
      <c r="J1117" s="180">
        <f ca="1">COUNTIFS(Paste_Report_Here!$E$1:$E$2000,E1090, OFFSET(Paste_Report_Here!$A$1,0,$A1117,2000,1),J$75)</f>
        <v>0</v>
      </c>
      <c r="K1117" s="181">
        <f ca="1">COUNTIFS(Paste_Report_Here!$E$1:$E$2000,E1090, OFFSET(Paste_Report_Here!$A$1,0,$A1117,2000,1),K$75)</f>
        <v>0</v>
      </c>
      <c r="L1117" s="166">
        <f t="shared" ca="1" si="165"/>
        <v>34</v>
      </c>
      <c r="M1117" s="183">
        <f ca="1">SUMPRODUCT(F1117:K1117,F1094:K1094)/L:L</f>
        <v>-5.8823529411764705E-3</v>
      </c>
      <c r="N1117" s="166">
        <f t="shared" ca="1" si="166"/>
        <v>0.99413491422311084</v>
      </c>
      <c r="O1117" s="165">
        <f t="shared" ca="1" si="168"/>
        <v>2337.7784456186118</v>
      </c>
      <c r="P1117" s="165">
        <f t="shared" ca="1" si="167"/>
        <v>2324.0671745076961</v>
      </c>
    </row>
    <row r="1118" spans="1:16" s="165" customFormat="1" x14ac:dyDescent="0.3">
      <c r="A1118" s="165">
        <f>MATCH(Calcs!B1118,Paste_Report_Here!$1:$1,0) -1</f>
        <v>27</v>
      </c>
      <c r="B1118" s="165" t="s">
        <v>210</v>
      </c>
      <c r="C1118" s="166">
        <f ca="1">RANK(N1118,N1096:N1120)</f>
        <v>21</v>
      </c>
      <c r="D1118" s="166">
        <f ca="1">RANK(P1118,P1096:P1120)</f>
        <v>25</v>
      </c>
      <c r="E1118" s="202" t="s">
        <v>212</v>
      </c>
      <c r="F1118" s="179">
        <f ca="1">COUNTIFS(Paste_Report_Here!$E$1:$E$2000,E1090, OFFSET(Paste_Report_Here!$A$1,0,$A1118,2000,1),F$75)</f>
        <v>1</v>
      </c>
      <c r="G1118" s="180">
        <f ca="1">COUNTIFS(Paste_Report_Here!$E$1:$E$2000,E1090, OFFSET(Paste_Report_Here!$A$1,0,$A1118,2000,1),G$75)</f>
        <v>1</v>
      </c>
      <c r="H1118" s="180">
        <f ca="1">COUNTIFS(Paste_Report_Here!$E$1:$E$2000,E1090, OFFSET(Paste_Report_Here!$A$1,0,$A1118,2000,1),H$75)</f>
        <v>26</v>
      </c>
      <c r="I1118" s="180">
        <f ca="1">COUNTIFS(Paste_Report_Here!$E$1:$E$2000,E1090, OFFSET(Paste_Report_Here!$A$1,0,$A1118,2000,1),I$75)</f>
        <v>6</v>
      </c>
      <c r="J1118" s="180">
        <f ca="1">COUNTIFS(Paste_Report_Here!$E$1:$E$2000,E1090, OFFSET(Paste_Report_Here!$A$1,0,$A1118,2000,1),J$75)</f>
        <v>0</v>
      </c>
      <c r="K1118" s="181">
        <f ca="1">COUNTIFS(Paste_Report_Here!$E$1:$E$2000,E1090, OFFSET(Paste_Report_Here!$A$1,0,$A1118,2000,1),K$75)</f>
        <v>0</v>
      </c>
      <c r="L1118" s="166">
        <f t="shared" ca="1" si="165"/>
        <v>34</v>
      </c>
      <c r="M1118" s="183">
        <f ca="1">SUMPRODUCT(F1118:K1118,F1094:K1094)/L:L</f>
        <v>-5.8823529411764705E-3</v>
      </c>
      <c r="N1118" s="166">
        <f t="shared" ca="1" si="166"/>
        <v>0.99413491422311084</v>
      </c>
      <c r="O1118" s="165">
        <f t="shared" ca="1" si="168"/>
        <v>1152.660544727275</v>
      </c>
      <c r="P1118" s="165">
        <f t="shared" ca="1" si="167"/>
        <v>1145.9000917608137</v>
      </c>
    </row>
    <row r="1119" spans="1:16" s="165" customFormat="1" x14ac:dyDescent="0.3">
      <c r="A1119" s="165">
        <f>MATCH(Calcs!B1119,Paste_Report_Here!$1:$1,0) -1</f>
        <v>28</v>
      </c>
      <c r="B1119" s="165" t="s">
        <v>143</v>
      </c>
      <c r="C1119" s="166">
        <f ca="1">RANK(N1119,N1097:N1121)</f>
        <v>1</v>
      </c>
      <c r="D1119" s="166">
        <f ca="1">RANK(P1119,P1096:P1120)</f>
        <v>1</v>
      </c>
      <c r="E1119" s="189" t="s">
        <v>172</v>
      </c>
      <c r="F1119" s="179">
        <f ca="1">COUNTIFS(Paste_Report_Here!$E$1:$E$2000,E1090, OFFSET(Paste_Report_Here!$A$1,0,$A1119,2000,1),F$75)</f>
        <v>0</v>
      </c>
      <c r="G1119" s="180">
        <f ca="1">COUNTIFS(Paste_Report_Here!$E$1:$E$2000,E1090, OFFSET(Paste_Report_Here!$A$1,0,$A1119,2000,1),G$75)</f>
        <v>1</v>
      </c>
      <c r="H1119" s="180">
        <f ca="1">COUNTIFS(Paste_Report_Here!$E$1:$E$2000,E1090, OFFSET(Paste_Report_Here!$A$1,0,$A1119,2000,1),H$75)</f>
        <v>24</v>
      </c>
      <c r="I1119" s="180">
        <f ca="1">COUNTIFS(Paste_Report_Here!$E$1:$E$2000,E1090, OFFSET(Paste_Report_Here!$A$1,0,$A1119,2000,1),I$75)</f>
        <v>7</v>
      </c>
      <c r="J1119" s="180">
        <f ca="1">COUNTIFS(Paste_Report_Here!$E$1:$E$2000,E1090, OFFSET(Paste_Report_Here!$A$1,0,$A1119,2000,1),J$75)</f>
        <v>2</v>
      </c>
      <c r="K1119" s="181">
        <f ca="1">COUNTIFS(Paste_Report_Here!$E$1:$E$2000,E1090, OFFSET(Paste_Report_Here!$A$1,0,$A1119,2000,1),K$75)</f>
        <v>0</v>
      </c>
      <c r="L1119" s="166">
        <f t="shared" ca="1" si="165"/>
        <v>34</v>
      </c>
      <c r="M1119" s="183">
        <f ca="1">SUMPRODUCT(F1119:K1119,F1094:K1094)/L:L</f>
        <v>1.1764705882352941E-2</v>
      </c>
      <c r="N1119" s="166">
        <f t="shared" ca="1" si="166"/>
        <v>1.0118341822235186</v>
      </c>
      <c r="O1119" s="165">
        <f t="shared" ca="1" si="168"/>
        <v>8586.1117743799841</v>
      </c>
      <c r="P1119" s="165">
        <f t="shared" ca="1" si="167"/>
        <v>8687.7213857094957</v>
      </c>
    </row>
    <row r="1120" spans="1:16" s="165" customFormat="1" x14ac:dyDescent="0.3">
      <c r="A1120" s="165">
        <f>MATCH(Calcs!B1120,Paste_Report_Here!$1:$1,0) -1</f>
        <v>29</v>
      </c>
      <c r="B1120" s="187" t="s">
        <v>144</v>
      </c>
      <c r="C1120" s="147">
        <f ca="1">RANK(N1120,N1096:N1120)</f>
        <v>6</v>
      </c>
      <c r="D1120" s="147">
        <f ca="1">RANK(P1120,P1096:P1120)</f>
        <v>12</v>
      </c>
      <c r="E1120" s="145" t="s">
        <v>173</v>
      </c>
      <c r="F1120" s="146">
        <f ca="1">COUNTIFS(Paste_Report_Here!$E$1:$E$2000,E1090, OFFSET(Paste_Report_Here!$A$1,0,$A1120,2000,1),F$75)</f>
        <v>0</v>
      </c>
      <c r="G1120" s="147">
        <f ca="1">COUNTIFS(Paste_Report_Here!$E$1:$E$2000,E1090, OFFSET(Paste_Report_Here!$A$1,0,$A1120,2000,1),G$75)</f>
        <v>1</v>
      </c>
      <c r="H1120" s="147">
        <f ca="1">COUNTIFS(Paste_Report_Here!$E$1:$E$2000,E1090, OFFSET(Paste_Report_Here!$A$1,0,$A1120,2000,1),H$75)</f>
        <v>29</v>
      </c>
      <c r="I1120" s="147">
        <f ca="1">COUNTIFS(Paste_Report_Here!$E$1:$E$2000,E1090, OFFSET(Paste_Report_Here!$A$1,0,$A1120,2000,1),I$75)</f>
        <v>4</v>
      </c>
      <c r="J1120" s="147">
        <f ca="1">COUNTIFS(Paste_Report_Here!$E$1:$E$2000,E1090, OFFSET(Paste_Report_Here!$A$1,0,$A1120,2000,1),J$75)</f>
        <v>0</v>
      </c>
      <c r="K1120" s="148">
        <f ca="1">COUNTIFS(Paste_Report_Here!$E$1:$E$2000,E1090, OFFSET(Paste_Report_Here!$A$1,0,$A1120,2000,1),K$75)</f>
        <v>0</v>
      </c>
      <c r="L1120" s="147">
        <f t="shared" ca="1" si="165"/>
        <v>34</v>
      </c>
      <c r="M1120" s="149">
        <f ca="1">SUMPRODUCT(F1120:K1120,F1094:K1094)/L:L</f>
        <v>0</v>
      </c>
      <c r="N1120" s="147">
        <f t="shared" ca="1" si="166"/>
        <v>1</v>
      </c>
      <c r="O1120" s="187">
        <f t="shared" ca="1" si="168"/>
        <v>2287.6229277911048</v>
      </c>
      <c r="P1120" s="165">
        <f t="shared" ca="1" si="167"/>
        <v>2287.6229277911048</v>
      </c>
    </row>
    <row r="1121" spans="1:16" s="165" customFormat="1" x14ac:dyDescent="0.3">
      <c r="C1121" s="166"/>
      <c r="E1121" s="140" t="s">
        <v>293</v>
      </c>
      <c r="F1121" s="180">
        <f ca="1">SUM(F1096:F1120)</f>
        <v>12</v>
      </c>
      <c r="G1121" s="180">
        <f t="shared" ref="G1121:L1121" ca="1" si="169">SUM(G1096:G1120)</f>
        <v>36</v>
      </c>
      <c r="H1121" s="180">
        <f t="shared" ca="1" si="169"/>
        <v>621</v>
      </c>
      <c r="I1121" s="180">
        <f t="shared" ca="1" si="169"/>
        <v>166</v>
      </c>
      <c r="J1121" s="180">
        <f t="shared" ca="1" si="169"/>
        <v>13</v>
      </c>
      <c r="K1121" s="180">
        <f t="shared" ca="1" si="169"/>
        <v>2</v>
      </c>
      <c r="L1121" s="180">
        <f t="shared" ca="1" si="169"/>
        <v>850</v>
      </c>
      <c r="M1121" s="144">
        <f ca="1">SUMPRODUCT(F1121:K1121,F1094:K1094)/L1121</f>
        <v>2.352941176470585E-4</v>
      </c>
      <c r="N1121" s="166">
        <f t="shared" ca="1" si="166"/>
        <v>1.0002353218014792</v>
      </c>
      <c r="O1121" s="165">
        <f t="shared" ca="1" si="168"/>
        <v>2706.1556374086172</v>
      </c>
      <c r="P1121" s="165">
        <f t="shared" ca="1" si="167"/>
        <v>2706.7924548282954</v>
      </c>
    </row>
    <row r="1122" spans="1:16" s="165" customFormat="1" x14ac:dyDescent="0.3">
      <c r="A1122" s="194"/>
      <c r="B1122" s="194"/>
      <c r="C1122" s="153"/>
      <c r="D1122" s="194"/>
      <c r="E1122" s="164"/>
      <c r="F1122" s="151"/>
      <c r="G1122" s="151"/>
      <c r="H1122" s="151"/>
      <c r="I1122" s="151"/>
      <c r="J1122" s="151"/>
      <c r="K1122" s="151"/>
      <c r="L1122" s="151"/>
      <c r="M1122" s="162"/>
      <c r="N1122" s="153"/>
      <c r="O1122" s="194"/>
      <c r="P1122" s="194"/>
    </row>
    <row r="1123" spans="1:16" s="165" customFormat="1" x14ac:dyDescent="0.3">
      <c r="E1123" s="173" t="s">
        <v>292</v>
      </c>
    </row>
    <row r="1124" spans="1:16" s="165" customFormat="1" x14ac:dyDescent="0.3">
      <c r="E1124" s="141">
        <v>41546</v>
      </c>
    </row>
    <row r="1125" spans="1:16" s="165" customFormat="1" ht="15" thickBot="1" x14ac:dyDescent="0.35"/>
    <row r="1126" spans="1:16" s="165" customFormat="1" ht="24.6" thickBot="1" x14ac:dyDescent="0.35">
      <c r="F1126" s="174" t="s">
        <v>23</v>
      </c>
      <c r="G1126" s="168" t="s">
        <v>18</v>
      </c>
      <c r="H1126" s="168" t="s">
        <v>16</v>
      </c>
      <c r="I1126" s="168" t="s">
        <v>17</v>
      </c>
      <c r="J1126" s="168" t="s">
        <v>19</v>
      </c>
      <c r="K1126" s="169" t="s">
        <v>114</v>
      </c>
    </row>
    <row r="1127" spans="1:16" s="165" customFormat="1" x14ac:dyDescent="0.3">
      <c r="F1127" s="267" t="s">
        <v>201</v>
      </c>
      <c r="G1127" s="268"/>
      <c r="H1127" s="268"/>
      <c r="I1127" s="268"/>
      <c r="J1127" s="268"/>
      <c r="K1127" s="169"/>
      <c r="M1127" s="203">
        <f ca="1">(H1155+K1155)/L1155</f>
        <v>0.74888888888888894</v>
      </c>
      <c r="N1127" s="204" t="s">
        <v>501</v>
      </c>
    </row>
    <row r="1128" spans="1:16" s="165" customFormat="1" ht="43.8" thickBot="1" x14ac:dyDescent="0.35">
      <c r="A1128" s="142" t="s">
        <v>294</v>
      </c>
      <c r="B1128" s="142" t="s">
        <v>295</v>
      </c>
      <c r="C1128" s="197" t="s">
        <v>440</v>
      </c>
      <c r="D1128" s="142" t="s">
        <v>441</v>
      </c>
      <c r="E1128" s="171" t="s">
        <v>30</v>
      </c>
      <c r="F1128" s="175">
        <f>Falling_fast</f>
        <v>-0.2</v>
      </c>
      <c r="G1128" s="176">
        <f>Falling</f>
        <v>0</v>
      </c>
      <c r="H1128" s="177">
        <f>Static</f>
        <v>0</v>
      </c>
      <c r="I1128" s="176">
        <f>Rising</f>
        <v>0</v>
      </c>
      <c r="J1128" s="178">
        <f>Rising_fast</f>
        <v>0.2</v>
      </c>
      <c r="K1128" s="182">
        <v>0</v>
      </c>
      <c r="L1128" s="171" t="s">
        <v>28</v>
      </c>
      <c r="M1128" s="172" t="s">
        <v>29</v>
      </c>
      <c r="N1128" s="143" t="s">
        <v>296</v>
      </c>
      <c r="O1128" s="142" t="s">
        <v>297</v>
      </c>
      <c r="P1128" s="142" t="s">
        <v>298</v>
      </c>
    </row>
    <row r="1129" spans="1:16" s="165" customFormat="1" x14ac:dyDescent="0.3">
      <c r="C1129" s="166"/>
      <c r="E1129" s="192"/>
      <c r="F1129" s="198" t="s">
        <v>151</v>
      </c>
      <c r="G1129" s="199" t="s">
        <v>149</v>
      </c>
      <c r="H1129" s="199" t="s">
        <v>16</v>
      </c>
      <c r="I1129" s="199" t="s">
        <v>148</v>
      </c>
      <c r="J1129" s="199" t="s">
        <v>150</v>
      </c>
      <c r="K1129" s="200" t="s">
        <v>114</v>
      </c>
      <c r="L1129" s="166"/>
      <c r="M1129" s="170"/>
      <c r="N1129" s="166"/>
    </row>
    <row r="1130" spans="1:16" s="165" customFormat="1" x14ac:dyDescent="0.3">
      <c r="A1130" s="165">
        <f>MATCH(Calcs!B1130,Paste_Report_Here!$1:$1,0) -1</f>
        <v>5</v>
      </c>
      <c r="B1130" s="165" t="s">
        <v>124</v>
      </c>
      <c r="C1130" s="166">
        <f ca="1">RANK(N1130,N1130:N1154)</f>
        <v>10</v>
      </c>
      <c r="D1130" s="166">
        <f ca="1">RANK(P1130,P1130:P1154)</f>
        <v>16</v>
      </c>
      <c r="E1130" s="189" t="s">
        <v>152</v>
      </c>
      <c r="F1130" s="179">
        <f ca="1">COUNTIFS(Paste_Report_Here!$E$1:$E$2000,E1124, OFFSET(Paste_Report_Here!$A$1,0,$A1130,2000,1),F$75)</f>
        <v>1</v>
      </c>
      <c r="G1130" s="180">
        <f ca="1">COUNTIFS(Paste_Report_Here!$E$1:$E$2000,E1124, OFFSET(Paste_Report_Here!$A$1,0,$A1130,2000,1),G$75)</f>
        <v>2</v>
      </c>
      <c r="H1130" s="180">
        <f ca="1">COUNTIFS(Paste_Report_Here!$E$1:$E$2000,E1124, OFFSET(Paste_Report_Here!$A$1,0,$A1130,2000,1),H$75)</f>
        <v>14</v>
      </c>
      <c r="I1130" s="180">
        <f ca="1">COUNTIFS(Paste_Report_Here!$E$1:$E$2000,E1124, OFFSET(Paste_Report_Here!$A$1,0,$A1130,2000,1),I$75)</f>
        <v>1</v>
      </c>
      <c r="J1130" s="180">
        <f ca="1">COUNTIFS(Paste_Report_Here!$E$1:$E$2000,E1124, OFFSET(Paste_Report_Here!$A$1,0,$A1130,2000,1),J$75)</f>
        <v>0</v>
      </c>
      <c r="K1130" s="181">
        <f ca="1">COUNTIFS(Paste_Report_Here!$E$1:$E$2000,E1124, OFFSET(Paste_Report_Here!$A$1,0,$A1130,2000,1),K$75)</f>
        <v>0</v>
      </c>
      <c r="L1130" s="166">
        <f t="shared" ref="L1130:L1154" ca="1" si="170">SUM(F1130:K1130)</f>
        <v>18</v>
      </c>
      <c r="M1130" s="183">
        <f ca="1">SUMPRODUCT(F1130:K1130,F1128:K1128)/L:L</f>
        <v>-1.1111111111111112E-2</v>
      </c>
      <c r="N1130" s="166">
        <f t="shared" ref="N1130:N1155" ca="1" si="171">EXP(M1130)</f>
        <v>0.98895038929392232</v>
      </c>
      <c r="O1130" s="165">
        <f ca="1">P1096</f>
        <v>2091.321049325009</v>
      </c>
      <c r="P1130" s="165">
        <f t="shared" ref="P1130:P1155" ca="1" si="172">O1130*N1130</f>
        <v>2068.2127658685417</v>
      </c>
    </row>
    <row r="1131" spans="1:16" s="165" customFormat="1" x14ac:dyDescent="0.3">
      <c r="A1131" s="165">
        <f>MATCH(Calcs!B1131,Paste_Report_Here!$1:$1,0) -1</f>
        <v>6</v>
      </c>
      <c r="B1131" s="165" t="s">
        <v>125</v>
      </c>
      <c r="C1131" s="166">
        <f ca="1">RANK(N1131,N1130:N1154)</f>
        <v>10</v>
      </c>
      <c r="D1131" s="166">
        <f ca="1">RANK(P1131,P1130:P1154)</f>
        <v>14</v>
      </c>
      <c r="E1131" s="189" t="s">
        <v>153</v>
      </c>
      <c r="F1131" s="179">
        <f ca="1">COUNTIFS(Paste_Report_Here!$E$1:$E$2000,E1124, OFFSET(Paste_Report_Here!$A$1,0,$A1131,2000,1),F$75)</f>
        <v>1</v>
      </c>
      <c r="G1131" s="180">
        <f ca="1">COUNTIFS(Paste_Report_Here!$E$1:$E$2000,E1124, OFFSET(Paste_Report_Here!$A$1,0,$A1131,2000,1),G$75)</f>
        <v>2</v>
      </c>
      <c r="H1131" s="180">
        <f ca="1">COUNTIFS(Paste_Report_Here!$E$1:$E$2000,E1124, OFFSET(Paste_Report_Here!$A$1,0,$A1131,2000,1),H$75)</f>
        <v>13</v>
      </c>
      <c r="I1131" s="180">
        <f ca="1">COUNTIFS(Paste_Report_Here!$E$1:$E$2000,E1124, OFFSET(Paste_Report_Here!$A$1,0,$A1131,2000,1),I$75)</f>
        <v>2</v>
      </c>
      <c r="J1131" s="180">
        <f ca="1">COUNTIFS(Paste_Report_Here!$E$1:$E$2000,E1124, OFFSET(Paste_Report_Here!$A$1,0,$A1131,2000,1),J$75)</f>
        <v>0</v>
      </c>
      <c r="K1131" s="181">
        <f ca="1">COUNTIFS(Paste_Report_Here!$E$1:$E$2000,E1124, OFFSET(Paste_Report_Here!$A$1,0,$A1131,2000,1),K$75)</f>
        <v>0</v>
      </c>
      <c r="L1131" s="166">
        <f t="shared" ca="1" si="170"/>
        <v>18</v>
      </c>
      <c r="M1131" s="183">
        <f ca="1">SUMPRODUCT(F1131:K1131,F1128:K1128)/L:L</f>
        <v>-1.1111111111111112E-2</v>
      </c>
      <c r="N1131" s="166">
        <f t="shared" ca="1" si="171"/>
        <v>0.98895038929392232</v>
      </c>
      <c r="O1131" s="165">
        <f t="shared" ref="O1131:O1155" ca="1" si="173">P1097</f>
        <v>2136.7966892346703</v>
      </c>
      <c r="P1131" s="165">
        <f t="shared" ca="1" si="172"/>
        <v>2113.1859176605917</v>
      </c>
    </row>
    <row r="1132" spans="1:16" s="165" customFormat="1" x14ac:dyDescent="0.3">
      <c r="A1132" s="165">
        <f>MATCH(Calcs!B1132,Paste_Report_Here!$1:$1,0) -1</f>
        <v>7</v>
      </c>
      <c r="B1132" s="165" t="s">
        <v>126</v>
      </c>
      <c r="C1132" s="166">
        <f ca="1">RANK(N1132,N1130:N1154)</f>
        <v>10</v>
      </c>
      <c r="D1132" s="166">
        <f ca="1">RANK(P1132,P1130:P1154)</f>
        <v>8</v>
      </c>
      <c r="E1132" s="189" t="s">
        <v>154</v>
      </c>
      <c r="F1132" s="179">
        <f ca="1">COUNTIFS(Paste_Report_Here!$E$1:$E$2000,E1124, OFFSET(Paste_Report_Here!$A$1,0,$A1132,2000,1),F$75)</f>
        <v>1</v>
      </c>
      <c r="G1132" s="180">
        <f ca="1">COUNTIFS(Paste_Report_Here!$E$1:$E$2000,E1124, OFFSET(Paste_Report_Here!$A$1,0,$A1132,2000,1),G$75)</f>
        <v>1</v>
      </c>
      <c r="H1132" s="180">
        <f ca="1">COUNTIFS(Paste_Report_Here!$E$1:$E$2000,E1124, OFFSET(Paste_Report_Here!$A$1,0,$A1132,2000,1),H$75)</f>
        <v>12</v>
      </c>
      <c r="I1132" s="180">
        <f ca="1">COUNTIFS(Paste_Report_Here!$E$1:$E$2000,E1124, OFFSET(Paste_Report_Here!$A$1,0,$A1132,2000,1),I$75)</f>
        <v>4</v>
      </c>
      <c r="J1132" s="180">
        <f ca="1">COUNTIFS(Paste_Report_Here!$E$1:$E$2000,E1124, OFFSET(Paste_Report_Here!$A$1,0,$A1132,2000,1),J$75)</f>
        <v>0</v>
      </c>
      <c r="K1132" s="181">
        <f ca="1">COUNTIFS(Paste_Report_Here!$E$1:$E$2000,E1124, OFFSET(Paste_Report_Here!$A$1,0,$A1132,2000,1),K$75)</f>
        <v>0</v>
      </c>
      <c r="L1132" s="166">
        <f t="shared" ca="1" si="170"/>
        <v>18</v>
      </c>
      <c r="M1132" s="183">
        <f ca="1">SUMPRODUCT(F1132:K1132,F1128:K1128)/L:L</f>
        <v>-1.1111111111111112E-2</v>
      </c>
      <c r="N1132" s="166">
        <f t="shared" ca="1" si="171"/>
        <v>0.98895038929392232</v>
      </c>
      <c r="O1132" s="165">
        <f t="shared" ca="1" si="173"/>
        <v>2824.0945253034793</v>
      </c>
      <c r="P1132" s="165">
        <f t="shared" ca="1" si="172"/>
        <v>2792.8893802017105</v>
      </c>
    </row>
    <row r="1133" spans="1:16" s="165" customFormat="1" x14ac:dyDescent="0.3">
      <c r="A1133" s="165">
        <f>MATCH(Calcs!B1133,Paste_Report_Here!$1:$1,0) -1</f>
        <v>8</v>
      </c>
      <c r="B1133" s="165" t="s">
        <v>127</v>
      </c>
      <c r="C1133" s="166">
        <f ca="1">RANK(N1133,N1130:N1154)</f>
        <v>4</v>
      </c>
      <c r="D1133" s="166">
        <f ca="1">RANK(P1133,P1130:P1154)</f>
        <v>7</v>
      </c>
      <c r="E1133" s="189" t="s">
        <v>155</v>
      </c>
      <c r="F1133" s="179">
        <f ca="1">COUNTIFS(Paste_Report_Here!$E$1:$E$2000,E1124, OFFSET(Paste_Report_Here!$A$1,0,$A1133,2000,1),F$75)</f>
        <v>1</v>
      </c>
      <c r="G1133" s="180">
        <f ca="1">COUNTIFS(Paste_Report_Here!$E$1:$E$2000,E1124, OFFSET(Paste_Report_Here!$A$1,0,$A1133,2000,1),G$75)</f>
        <v>1</v>
      </c>
      <c r="H1133" s="180">
        <f ca="1">COUNTIFS(Paste_Report_Here!$E$1:$E$2000,E1124, OFFSET(Paste_Report_Here!$A$1,0,$A1133,2000,1),H$75)</f>
        <v>9</v>
      </c>
      <c r="I1133" s="180">
        <f ca="1">COUNTIFS(Paste_Report_Here!$E$1:$E$2000,E1124, OFFSET(Paste_Report_Here!$A$1,0,$A1133,2000,1),I$75)</f>
        <v>6</v>
      </c>
      <c r="J1133" s="180">
        <f ca="1">COUNTIFS(Paste_Report_Here!$E$1:$E$2000,E1124, OFFSET(Paste_Report_Here!$A$1,0,$A1133,2000,1),J$75)</f>
        <v>1</v>
      </c>
      <c r="K1133" s="181">
        <f ca="1">COUNTIFS(Paste_Report_Here!$E$1:$E$2000,E1124, OFFSET(Paste_Report_Here!$A$1,0,$A1133,2000,1),K$75)</f>
        <v>0</v>
      </c>
      <c r="L1133" s="166">
        <f t="shared" ca="1" si="170"/>
        <v>18</v>
      </c>
      <c r="M1133" s="183">
        <f ca="1">SUMPRODUCT(F1133:K1133,F1128:K1128)/L:L</f>
        <v>0</v>
      </c>
      <c r="N1133" s="166">
        <f t="shared" ca="1" si="171"/>
        <v>1</v>
      </c>
      <c r="O1133" s="165">
        <f t="shared" ca="1" si="173"/>
        <v>2917.2973704486285</v>
      </c>
      <c r="P1133" s="165">
        <f t="shared" ca="1" si="172"/>
        <v>2917.2973704486285</v>
      </c>
    </row>
    <row r="1134" spans="1:16" s="165" customFormat="1" x14ac:dyDescent="0.3">
      <c r="A1134" s="165">
        <f>MATCH(Calcs!B1134,Paste_Report_Here!$1:$1,0) -1</f>
        <v>9</v>
      </c>
      <c r="B1134" s="165" t="s">
        <v>214</v>
      </c>
      <c r="C1134" s="166">
        <f ca="1">RANK(N1134,N1130:N1154)</f>
        <v>4</v>
      </c>
      <c r="D1134" s="166">
        <f ca="1">RANK(P1134,P1130:P1154)</f>
        <v>5</v>
      </c>
      <c r="E1134" s="189" t="s">
        <v>156</v>
      </c>
      <c r="F1134" s="179">
        <f ca="1">COUNTIFS(Paste_Report_Here!$E$1:$E$2000,E1124, OFFSET(Paste_Report_Here!$A$1,0,$A1134,2000,1),F$75)</f>
        <v>1</v>
      </c>
      <c r="G1134" s="180">
        <f ca="1">COUNTIFS(Paste_Report_Here!$E$1:$E$2000,E1124, OFFSET(Paste_Report_Here!$A$1,0,$A1134,2000,1),G$75)</f>
        <v>0</v>
      </c>
      <c r="H1134" s="180">
        <f ca="1">COUNTIFS(Paste_Report_Here!$E$1:$E$2000,E1124, OFFSET(Paste_Report_Here!$A$1,0,$A1134,2000,1),H$75)</f>
        <v>13</v>
      </c>
      <c r="I1134" s="180">
        <f ca="1">COUNTIFS(Paste_Report_Here!$E$1:$E$2000,E1124, OFFSET(Paste_Report_Here!$A$1,0,$A1134,2000,1),I$75)</f>
        <v>3</v>
      </c>
      <c r="J1134" s="180">
        <f ca="1">COUNTIFS(Paste_Report_Here!$E$1:$E$2000,E1124, OFFSET(Paste_Report_Here!$A$1,0,$A1134,2000,1),J$75)</f>
        <v>1</v>
      </c>
      <c r="K1134" s="181">
        <f ca="1">COUNTIFS(Paste_Report_Here!$E$1:$E$2000,E1124, OFFSET(Paste_Report_Here!$A$1,0,$A1134,2000,1),K$75)</f>
        <v>0</v>
      </c>
      <c r="L1134" s="166">
        <f t="shared" ca="1" si="170"/>
        <v>18</v>
      </c>
      <c r="M1134" s="183">
        <f ca="1">SUMPRODUCT(F1134:K1134,F1128:K1128)/L:L</f>
        <v>0</v>
      </c>
      <c r="N1134" s="166">
        <f t="shared" ca="1" si="171"/>
        <v>1</v>
      </c>
      <c r="O1134" s="165">
        <f t="shared" ca="1" si="173"/>
        <v>3779.2561997033695</v>
      </c>
      <c r="P1134" s="165">
        <f t="shared" ca="1" si="172"/>
        <v>3779.2561997033695</v>
      </c>
    </row>
    <row r="1135" spans="1:16" s="165" customFormat="1" x14ac:dyDescent="0.3">
      <c r="A1135" s="165">
        <f>MATCH(Calcs!B1135,Paste_Report_Here!$1:$1,0) -1</f>
        <v>10</v>
      </c>
      <c r="B1135" s="165" t="s">
        <v>128</v>
      </c>
      <c r="C1135" s="166">
        <f ca="1">RANK(N1135,N1130:N1154)</f>
        <v>10</v>
      </c>
      <c r="D1135" s="166">
        <f ca="1">RANK(P1135,P1130:P1154)</f>
        <v>21</v>
      </c>
      <c r="E1135" s="189" t="s">
        <v>157</v>
      </c>
      <c r="F1135" s="179">
        <f ca="1">COUNTIFS(Paste_Report_Here!$E$1:$E$2000,E1124, OFFSET(Paste_Report_Here!$A$1,0,$A1135,2000,1),F$75)</f>
        <v>1</v>
      </c>
      <c r="G1135" s="180">
        <f ca="1">COUNTIFS(Paste_Report_Here!$E$1:$E$2000,E1124, OFFSET(Paste_Report_Here!$A$1,0,$A1135,2000,1),G$75)</f>
        <v>3</v>
      </c>
      <c r="H1135" s="180">
        <f ca="1">COUNTIFS(Paste_Report_Here!$E$1:$E$2000,E1124, OFFSET(Paste_Report_Here!$A$1,0,$A1135,2000,1),H$75)</f>
        <v>13</v>
      </c>
      <c r="I1135" s="180">
        <f ca="1">COUNTIFS(Paste_Report_Here!$E$1:$E$2000,E1124, OFFSET(Paste_Report_Here!$A$1,0,$A1135,2000,1),I$75)</f>
        <v>1</v>
      </c>
      <c r="J1135" s="180">
        <f ca="1">COUNTIFS(Paste_Report_Here!$E$1:$E$2000,E1124, OFFSET(Paste_Report_Here!$A$1,0,$A1135,2000,1),J$75)</f>
        <v>0</v>
      </c>
      <c r="K1135" s="181">
        <f ca="1">COUNTIFS(Paste_Report_Here!$E$1:$E$2000,E1124, OFFSET(Paste_Report_Here!$A$1,0,$A1135,2000,1),K$75)</f>
        <v>0</v>
      </c>
      <c r="L1135" s="166">
        <f t="shared" ca="1" si="170"/>
        <v>18</v>
      </c>
      <c r="M1135" s="183">
        <f ca="1">SUMPRODUCT(F1135:K1135,F1128:K1128)/L:L</f>
        <v>-1.1111111111111112E-2</v>
      </c>
      <c r="N1135" s="166">
        <f t="shared" ca="1" si="171"/>
        <v>0.98895038929392232</v>
      </c>
      <c r="O1135" s="165">
        <f t="shared" ca="1" si="173"/>
        <v>1660.0875221582219</v>
      </c>
      <c r="P1135" s="165">
        <f t="shared" ca="1" si="172"/>
        <v>1641.7442013003565</v>
      </c>
    </row>
    <row r="1136" spans="1:16" s="165" customFormat="1" x14ac:dyDescent="0.3">
      <c r="A1136" s="165">
        <f>MATCH(Calcs!B1136,Paste_Report_Here!$1:$1,0) -1</f>
        <v>11</v>
      </c>
      <c r="B1136" s="165" t="s">
        <v>129</v>
      </c>
      <c r="C1136" s="166">
        <f ca="1">RANK(N1136,N1130:N1154)</f>
        <v>10</v>
      </c>
      <c r="D1136" s="166">
        <f ca="1">RANK(P1136,P1130:P1154)</f>
        <v>9</v>
      </c>
      <c r="E1136" s="189" t="s">
        <v>158</v>
      </c>
      <c r="F1136" s="179">
        <f ca="1">COUNTIFS(Paste_Report_Here!$E$1:$E$2000,E1124, OFFSET(Paste_Report_Here!$A$1,0,$A1136,2000,1),F$75)</f>
        <v>1</v>
      </c>
      <c r="G1136" s="180">
        <f ca="1">COUNTIFS(Paste_Report_Here!$E$1:$E$2000,E1124, OFFSET(Paste_Report_Here!$A$1,0,$A1136,2000,1),G$75)</f>
        <v>2</v>
      </c>
      <c r="H1136" s="180">
        <f ca="1">COUNTIFS(Paste_Report_Here!$E$1:$E$2000,E1124, OFFSET(Paste_Report_Here!$A$1,0,$A1136,2000,1),H$75)</f>
        <v>11</v>
      </c>
      <c r="I1136" s="180">
        <f ca="1">COUNTIFS(Paste_Report_Here!$E$1:$E$2000,E1124, OFFSET(Paste_Report_Here!$A$1,0,$A1136,2000,1),I$75)</f>
        <v>4</v>
      </c>
      <c r="J1136" s="180">
        <f ca="1">COUNTIFS(Paste_Report_Here!$E$1:$E$2000,E1124, OFFSET(Paste_Report_Here!$A$1,0,$A1136,2000,1),J$75)</f>
        <v>0</v>
      </c>
      <c r="K1136" s="181">
        <f ca="1">COUNTIFS(Paste_Report_Here!$E$1:$E$2000,E1124, OFFSET(Paste_Report_Here!$A$1,0,$A1136,2000,1),K$75)</f>
        <v>0</v>
      </c>
      <c r="L1136" s="166">
        <f t="shared" ca="1" si="170"/>
        <v>18</v>
      </c>
      <c r="M1136" s="183">
        <f ca="1">SUMPRODUCT(F1136:K1136,F1128:K1128)/L:L</f>
        <v>-1.1111111111111112E-2</v>
      </c>
      <c r="N1136" s="166">
        <f t="shared" ca="1" si="171"/>
        <v>0.98895038929392232</v>
      </c>
      <c r="O1136" s="165">
        <f t="shared" ca="1" si="173"/>
        <v>2632.9988628715887</v>
      </c>
      <c r="P1136" s="165">
        <f t="shared" ca="1" si="172"/>
        <v>2603.9052504473125</v>
      </c>
    </row>
    <row r="1137" spans="1:16" s="165" customFormat="1" x14ac:dyDescent="0.3">
      <c r="A1137" s="165">
        <f>MATCH(Calcs!B1137,Paste_Report_Here!$1:$1,0) -1</f>
        <v>12</v>
      </c>
      <c r="B1137" s="165" t="s">
        <v>130</v>
      </c>
      <c r="C1137" s="166">
        <f ca="1">RANK(N1137,N1131:N1155)</f>
        <v>11</v>
      </c>
      <c r="D1137" s="166">
        <f ca="1">RANK(P1137,P1130:P1154)</f>
        <v>10</v>
      </c>
      <c r="E1137" s="189" t="s">
        <v>159</v>
      </c>
      <c r="F1137" s="179">
        <f ca="1">COUNTIFS(Paste_Report_Here!$E$1:$E$2000,E1124, OFFSET(Paste_Report_Here!$A$1,0,$A1137,2000,1),F$75)</f>
        <v>1</v>
      </c>
      <c r="G1137" s="180">
        <f ca="1">COUNTIFS(Paste_Report_Here!$E$1:$E$2000,E1124, OFFSET(Paste_Report_Here!$A$1,0,$A1137,2000,1),G$75)</f>
        <v>1</v>
      </c>
      <c r="H1137" s="180">
        <f ca="1">COUNTIFS(Paste_Report_Here!$E$1:$E$2000,E1124, OFFSET(Paste_Report_Here!$A$1,0,$A1137,2000,1),H$75)</f>
        <v>11</v>
      </c>
      <c r="I1137" s="180">
        <f ca="1">COUNTIFS(Paste_Report_Here!$E$1:$E$2000,E1124, OFFSET(Paste_Report_Here!$A$1,0,$A1137,2000,1),I$75)</f>
        <v>5</v>
      </c>
      <c r="J1137" s="180">
        <f ca="1">COUNTIFS(Paste_Report_Here!$E$1:$E$2000,E1124, OFFSET(Paste_Report_Here!$A$1,0,$A1137,2000,1),J$75)</f>
        <v>0</v>
      </c>
      <c r="K1137" s="181">
        <f ca="1">COUNTIFS(Paste_Report_Here!$E$1:$E$2000,E1124, OFFSET(Paste_Report_Here!$A$1,0,$A1137,2000,1),K$75)</f>
        <v>0</v>
      </c>
      <c r="L1137" s="166">
        <f t="shared" ca="1" si="170"/>
        <v>18</v>
      </c>
      <c r="M1137" s="183">
        <f ca="1">SUMPRODUCT(F1137:K1137,F1128:K1128)/L:L</f>
        <v>-1.1111111111111112E-2</v>
      </c>
      <c r="N1137" s="166">
        <f t="shared" ca="1" si="171"/>
        <v>0.98895038929392232</v>
      </c>
      <c r="O1137" s="165">
        <f t="shared" ca="1" si="173"/>
        <v>2545.5916448831249</v>
      </c>
      <c r="P1137" s="165">
        <f t="shared" ca="1" si="172"/>
        <v>2517.4638481905226</v>
      </c>
    </row>
    <row r="1138" spans="1:16" s="165" customFormat="1" x14ac:dyDescent="0.3">
      <c r="A1138" s="165">
        <f>MATCH(Calcs!B1138,Paste_Report_Here!$1:$1,0) -1</f>
        <v>13</v>
      </c>
      <c r="B1138" s="165" t="s">
        <v>131</v>
      </c>
      <c r="C1138" s="166">
        <f ca="1">RANK(N1138,N1132:N1156)</f>
        <v>2</v>
      </c>
      <c r="D1138" s="166">
        <f ca="1">RANK(P1138,P1130:P1154)</f>
        <v>2</v>
      </c>
      <c r="E1138" s="189" t="s">
        <v>160</v>
      </c>
      <c r="F1138" s="179">
        <f ca="1">COUNTIFS(Paste_Report_Here!$E$1:$E$2000,E1124, OFFSET(Paste_Report_Here!$A$1,0,$A1138,2000,1),F$75)</f>
        <v>0</v>
      </c>
      <c r="G1138" s="180">
        <f ca="1">COUNTIFS(Paste_Report_Here!$E$1:$E$2000,E1124, OFFSET(Paste_Report_Here!$A$1,0,$A1138,2000,1),G$75)</f>
        <v>1</v>
      </c>
      <c r="H1138" s="180">
        <f ca="1">COUNTIFS(Paste_Report_Here!$E$1:$E$2000,E1124, OFFSET(Paste_Report_Here!$A$1,0,$A1138,2000,1),H$75)</f>
        <v>8</v>
      </c>
      <c r="I1138" s="180">
        <f ca="1">COUNTIFS(Paste_Report_Here!$E$1:$E$2000,E1124, OFFSET(Paste_Report_Here!$A$1,0,$A1138,2000,1),I$75)</f>
        <v>8</v>
      </c>
      <c r="J1138" s="180">
        <f ca="1">COUNTIFS(Paste_Report_Here!$E$1:$E$2000,E1124, OFFSET(Paste_Report_Here!$A$1,0,$A1138,2000,1),J$75)</f>
        <v>1</v>
      </c>
      <c r="K1138" s="181">
        <f ca="1">COUNTIFS(Paste_Report_Here!$E$1:$E$2000,E1124, OFFSET(Paste_Report_Here!$A$1,0,$A1138,2000,1),K$75)</f>
        <v>0</v>
      </c>
      <c r="L1138" s="166">
        <f t="shared" ca="1" si="170"/>
        <v>18</v>
      </c>
      <c r="M1138" s="183">
        <f ca="1">SUMPRODUCT(F1138:K1138,F1128:K1128)/L:L</f>
        <v>1.1111111111111112E-2</v>
      </c>
      <c r="N1138" s="166">
        <f t="shared" ca="1" si="171"/>
        <v>1.0111730687663378</v>
      </c>
      <c r="O1138" s="165">
        <f t="shared" ca="1" si="173"/>
        <v>4297.4604869104833</v>
      </c>
      <c r="P1138" s="165">
        <f t="shared" ca="1" si="172"/>
        <v>4345.4763084513534</v>
      </c>
    </row>
    <row r="1139" spans="1:16" s="165" customFormat="1" x14ac:dyDescent="0.3">
      <c r="A1139" s="165">
        <f>MATCH(Calcs!B1139,Paste_Report_Here!$1:$1,0) -1</f>
        <v>14</v>
      </c>
      <c r="B1139" s="165" t="s">
        <v>132</v>
      </c>
      <c r="C1139" s="166">
        <f ca="1">RANK(N1139,N1133:N1157)</f>
        <v>23</v>
      </c>
      <c r="D1139" s="166">
        <f ca="1">RANK(P1139,P1130:P1154)</f>
        <v>17</v>
      </c>
      <c r="E1139" s="189" t="s">
        <v>161</v>
      </c>
      <c r="F1139" s="179">
        <f ca="1">COUNTIFS(Paste_Report_Here!$E$1:$E$2000,E1124, OFFSET(Paste_Report_Here!$A$1,0,$A1139,2000,1),F$75)</f>
        <v>2</v>
      </c>
      <c r="G1139" s="180">
        <f ca="1">COUNTIFS(Paste_Report_Here!$E$1:$E$2000,E1124, OFFSET(Paste_Report_Here!$A$1,0,$A1139,2000,1),G$75)</f>
        <v>0</v>
      </c>
      <c r="H1139" s="180">
        <f ca="1">COUNTIFS(Paste_Report_Here!$E$1:$E$2000,E1124, OFFSET(Paste_Report_Here!$A$1,0,$A1139,2000,1),H$75)</f>
        <v>15</v>
      </c>
      <c r="I1139" s="180">
        <f ca="1">COUNTIFS(Paste_Report_Here!$E$1:$E$2000,E1124, OFFSET(Paste_Report_Here!$A$1,0,$A1139,2000,1),I$75)</f>
        <v>1</v>
      </c>
      <c r="J1139" s="180">
        <f ca="1">COUNTIFS(Paste_Report_Here!$E$1:$E$2000,E1124, OFFSET(Paste_Report_Here!$A$1,0,$A1139,2000,1),J$75)</f>
        <v>0</v>
      </c>
      <c r="K1139" s="181">
        <f ca="1">COUNTIFS(Paste_Report_Here!$E$1:$E$2000,E1124, OFFSET(Paste_Report_Here!$A$1,0,$A1139,2000,1),K$75)</f>
        <v>0</v>
      </c>
      <c r="L1139" s="166">
        <f t="shared" ca="1" si="170"/>
        <v>18</v>
      </c>
      <c r="M1139" s="183">
        <f ca="1">SUMPRODUCT(F1139:K1139,F1128:K1128)/L:L</f>
        <v>-2.2222222222222223E-2</v>
      </c>
      <c r="N1139" s="166">
        <f t="shared" ca="1" si="171"/>
        <v>0.97802287248460051</v>
      </c>
      <c r="O1139" s="165">
        <f t="shared" ca="1" si="173"/>
        <v>2084.7802944071982</v>
      </c>
      <c r="P1139" s="165">
        <f t="shared" ca="1" si="172"/>
        <v>2038.9628120354191</v>
      </c>
    </row>
    <row r="1140" spans="1:16" s="165" customFormat="1" x14ac:dyDescent="0.3">
      <c r="A1140" s="165">
        <f>MATCH(Calcs!B1140,Paste_Report_Here!$1:$1,0) -1</f>
        <v>15</v>
      </c>
      <c r="B1140" s="165" t="s">
        <v>133</v>
      </c>
      <c r="C1140" s="166">
        <f ca="1">RANK(N1140,N1129:N1153)</f>
        <v>9</v>
      </c>
      <c r="D1140" s="166">
        <f ca="1">RANK(P1140,P1130:P1154)</f>
        <v>6</v>
      </c>
      <c r="E1140" s="189" t="s">
        <v>162</v>
      </c>
      <c r="F1140" s="179">
        <f ca="1">COUNTIFS(Paste_Report_Here!$E$1:$E$2000,E1124, OFFSET(Paste_Report_Here!$A$1,0,$A1140,2000,1),F$75)</f>
        <v>1</v>
      </c>
      <c r="G1140" s="180">
        <f ca="1">COUNTIFS(Paste_Report_Here!$E$1:$E$2000,E1124, OFFSET(Paste_Report_Here!$A$1,0,$A1140,2000,1),G$75)</f>
        <v>1</v>
      </c>
      <c r="H1140" s="180">
        <f ca="1">COUNTIFS(Paste_Report_Here!$E$1:$E$2000,E1124, OFFSET(Paste_Report_Here!$A$1,0,$A1140,2000,1),H$75)</f>
        <v>10</v>
      </c>
      <c r="I1140" s="180">
        <f ca="1">COUNTIFS(Paste_Report_Here!$E$1:$E$2000,E1124, OFFSET(Paste_Report_Here!$A$1,0,$A1140,2000,1),I$75)</f>
        <v>6</v>
      </c>
      <c r="J1140" s="180">
        <f ca="1">COUNTIFS(Paste_Report_Here!$E$1:$E$2000,E1124, OFFSET(Paste_Report_Here!$A$1,0,$A1140,2000,1),J$75)</f>
        <v>0</v>
      </c>
      <c r="K1140" s="181">
        <f ca="1">COUNTIFS(Paste_Report_Here!$E$1:$E$2000,E1124, OFFSET(Paste_Report_Here!$A$1,0,$A1140,2000,1),K$75)</f>
        <v>0</v>
      </c>
      <c r="L1140" s="166">
        <f t="shared" ca="1" si="170"/>
        <v>18</v>
      </c>
      <c r="M1140" s="183">
        <f ca="1">SUMPRODUCT(F1140:K1140,F1128:K1128)/L:L</f>
        <v>-1.1111111111111112E-2</v>
      </c>
      <c r="N1140" s="166">
        <f t="shared" ca="1" si="171"/>
        <v>0.98895038929392232</v>
      </c>
      <c r="O1140" s="165">
        <f t="shared" ca="1" si="173"/>
        <v>3011.2375057134327</v>
      </c>
      <c r="P1140" s="165">
        <f t="shared" ca="1" si="172"/>
        <v>2977.964503531759</v>
      </c>
    </row>
    <row r="1141" spans="1:16" s="165" customFormat="1" x14ac:dyDescent="0.3">
      <c r="A1141" s="165">
        <f>MATCH(Calcs!B1141,Paste_Report_Here!$1:$1,0) -1</f>
        <v>16</v>
      </c>
      <c r="B1141" s="165" t="s">
        <v>134</v>
      </c>
      <c r="C1141" s="166">
        <f ca="1">RANK(N1141,N1130:N1154)</f>
        <v>10</v>
      </c>
      <c r="D1141" s="166">
        <f ca="1">RANK(P1141,P1130:P1154)</f>
        <v>24</v>
      </c>
      <c r="E1141" s="189" t="s">
        <v>163</v>
      </c>
      <c r="F1141" s="179">
        <f ca="1">COUNTIFS(Paste_Report_Here!$E$1:$E$2000,E1124, OFFSET(Paste_Report_Here!$A$1,0,$A1141,2000,1),F$75)</f>
        <v>1</v>
      </c>
      <c r="G1141" s="180">
        <f ca="1">COUNTIFS(Paste_Report_Here!$E$1:$E$2000,E1124, OFFSET(Paste_Report_Here!$A$1,0,$A1141,2000,1),G$75)</f>
        <v>0</v>
      </c>
      <c r="H1141" s="180">
        <f ca="1">COUNTIFS(Paste_Report_Here!$E$1:$E$2000,E1124, OFFSET(Paste_Report_Here!$A$1,0,$A1141,2000,1),H$75)</f>
        <v>17</v>
      </c>
      <c r="I1141" s="180">
        <f ca="1">COUNTIFS(Paste_Report_Here!$E$1:$E$2000,E1124, OFFSET(Paste_Report_Here!$A$1,0,$A1141,2000,1),I$75)</f>
        <v>0</v>
      </c>
      <c r="J1141" s="180">
        <f ca="1">COUNTIFS(Paste_Report_Here!$E$1:$E$2000,E1124, OFFSET(Paste_Report_Here!$A$1,0,$A1141,2000,1),J$75)</f>
        <v>0</v>
      </c>
      <c r="K1141" s="181">
        <f ca="1">COUNTIFS(Paste_Report_Here!$E$1:$E$2000,E1124, OFFSET(Paste_Report_Here!$A$1,0,$A1141,2000,1),K$75)</f>
        <v>0</v>
      </c>
      <c r="L1141" s="166">
        <f t="shared" ca="1" si="170"/>
        <v>18</v>
      </c>
      <c r="M1141" s="183">
        <f ca="1">SUMPRODUCT(F1141:K1141,F1128:K1128)/L:L</f>
        <v>-1.1111111111111112E-2</v>
      </c>
      <c r="N1141" s="166">
        <f t="shared" ca="1" si="171"/>
        <v>0.98895038929392232</v>
      </c>
      <c r="O1141" s="165">
        <f t="shared" ca="1" si="173"/>
        <v>1164.8585749102044</v>
      </c>
      <c r="P1141" s="165">
        <f t="shared" ca="1" si="172"/>
        <v>1151.9873411298101</v>
      </c>
    </row>
    <row r="1142" spans="1:16" s="165" customFormat="1" x14ac:dyDescent="0.3">
      <c r="A1142" s="165">
        <f>MATCH(Calcs!B1142,Paste_Report_Here!$1:$1,0) -1</f>
        <v>17</v>
      </c>
      <c r="B1142" s="165" t="s">
        <v>135</v>
      </c>
      <c r="C1142" s="166">
        <f ca="1">RANK(N1142,N1130:N1154)</f>
        <v>10</v>
      </c>
      <c r="D1142" s="166">
        <f ca="1">RANK(P1142,P1130:P1154)</f>
        <v>20</v>
      </c>
      <c r="E1142" s="189" t="s">
        <v>164</v>
      </c>
      <c r="F1142" s="179">
        <f ca="1">COUNTIFS(Paste_Report_Here!$E$1:$E$2000,E1124, OFFSET(Paste_Report_Here!$A$1,0,$A1142,2000,1),F$75)</f>
        <v>1</v>
      </c>
      <c r="G1142" s="180">
        <f ca="1">COUNTIFS(Paste_Report_Here!$E$1:$E$2000,E1124, OFFSET(Paste_Report_Here!$A$1,0,$A1142,2000,1),G$75)</f>
        <v>0</v>
      </c>
      <c r="H1142" s="180">
        <f ca="1">COUNTIFS(Paste_Report_Here!$E$1:$E$2000,E1124, OFFSET(Paste_Report_Here!$A$1,0,$A1142,2000,1),H$75)</f>
        <v>16</v>
      </c>
      <c r="I1142" s="180">
        <f ca="1">COUNTIFS(Paste_Report_Here!$E$1:$E$2000,E1124, OFFSET(Paste_Report_Here!$A$1,0,$A1142,2000,1),I$75)</f>
        <v>1</v>
      </c>
      <c r="J1142" s="180">
        <f ca="1">COUNTIFS(Paste_Report_Here!$E$1:$E$2000,E1124, OFFSET(Paste_Report_Here!$A$1,0,$A1142,2000,1),J$75)</f>
        <v>0</v>
      </c>
      <c r="K1142" s="181">
        <f ca="1">COUNTIFS(Paste_Report_Here!$E$1:$E$2000,E1124, OFFSET(Paste_Report_Here!$A$1,0,$A1142,2000,1),K$75)</f>
        <v>0</v>
      </c>
      <c r="L1142" s="166">
        <f t="shared" ca="1" si="170"/>
        <v>18</v>
      </c>
      <c r="M1142" s="183">
        <f ca="1">SUMPRODUCT(F1142:K1142,F1128:K1128)/L:L</f>
        <v>-1.1111111111111112E-2</v>
      </c>
      <c r="N1142" s="166">
        <f t="shared" ca="1" si="171"/>
        <v>0.98895038929392232</v>
      </c>
      <c r="O1142" s="165">
        <f t="shared" ca="1" si="173"/>
        <v>1915.2868404632343</v>
      </c>
      <c r="P1142" s="165">
        <f t="shared" ca="1" si="172"/>
        <v>1894.1236664856419</v>
      </c>
    </row>
    <row r="1143" spans="1:16" s="165" customFormat="1" x14ac:dyDescent="0.3">
      <c r="A1143" s="165">
        <f>MATCH(Calcs!B1143,Paste_Report_Here!$1:$1,0) -1</f>
        <v>18</v>
      </c>
      <c r="B1143" s="165" t="s">
        <v>136</v>
      </c>
      <c r="C1143" s="166">
        <f ca="1">RANK(N1143,N1132:N1156)</f>
        <v>11</v>
      </c>
      <c r="D1143" s="166">
        <f ca="1">RANK(P1143,P1130:P1154)</f>
        <v>4</v>
      </c>
      <c r="E1143" s="189" t="s">
        <v>165</v>
      </c>
      <c r="F1143" s="179">
        <f ca="1">COUNTIFS(Paste_Report_Here!$E$1:$E$2000,E1124, OFFSET(Paste_Report_Here!$A$1,0,$A1143,2000,1),F$75)</f>
        <v>1</v>
      </c>
      <c r="G1143" s="180">
        <f ca="1">COUNTIFS(Paste_Report_Here!$E$1:$E$2000,E1124, OFFSET(Paste_Report_Here!$A$1,0,$A1143,2000,1),G$75)</f>
        <v>0</v>
      </c>
      <c r="H1143" s="180">
        <f ca="1">COUNTIFS(Paste_Report_Here!$E$1:$E$2000,E1124, OFFSET(Paste_Report_Here!$A$1,0,$A1143,2000,1),H$75)</f>
        <v>12</v>
      </c>
      <c r="I1143" s="180">
        <f ca="1">COUNTIFS(Paste_Report_Here!$E$1:$E$2000,E1124, OFFSET(Paste_Report_Here!$A$1,0,$A1143,2000,1),I$75)</f>
        <v>5</v>
      </c>
      <c r="J1143" s="180">
        <f ca="1">COUNTIFS(Paste_Report_Here!$E$1:$E$2000,E1124, OFFSET(Paste_Report_Here!$A$1,0,$A1143,2000,1),J$75)</f>
        <v>0</v>
      </c>
      <c r="K1143" s="181">
        <f ca="1">COUNTIFS(Paste_Report_Here!$E$1:$E$2000,E1124, OFFSET(Paste_Report_Here!$A$1,0,$A1143,2000,1),K$75)</f>
        <v>0</v>
      </c>
      <c r="L1143" s="166">
        <f t="shared" ca="1" si="170"/>
        <v>18</v>
      </c>
      <c r="M1143" s="183">
        <f ca="1">SUMPRODUCT(F1143:K1143,F1128:K1128)/L:L</f>
        <v>-1.1111111111111112E-2</v>
      </c>
      <c r="N1143" s="166">
        <f t="shared" ca="1" si="171"/>
        <v>0.98895038929392232</v>
      </c>
      <c r="O1143" s="165">
        <f t="shared" ca="1" si="173"/>
        <v>3962.1722244933881</v>
      </c>
      <c r="P1143" s="165">
        <f t="shared" ca="1" si="172"/>
        <v>3918.3917638623025</v>
      </c>
    </row>
    <row r="1144" spans="1:16" s="165" customFormat="1" x14ac:dyDescent="0.3">
      <c r="A1144" s="165">
        <f>MATCH(Calcs!B1144,Paste_Report_Here!$1:$1,0) -1</f>
        <v>19</v>
      </c>
      <c r="B1144" s="165" t="s">
        <v>137</v>
      </c>
      <c r="C1144" s="166">
        <f ca="1">RANK(N1144,N1133:N1157)</f>
        <v>4</v>
      </c>
      <c r="D1144" s="166">
        <f ca="1">RANK(P1144,P1130:P1154)</f>
        <v>13</v>
      </c>
      <c r="E1144" s="189" t="s">
        <v>166</v>
      </c>
      <c r="F1144" s="179">
        <f ca="1">COUNTIFS(Paste_Report_Here!$E$1:$E$2000,E1124, OFFSET(Paste_Report_Here!$A$1,0,$A1144,2000,1),F$75)</f>
        <v>1</v>
      </c>
      <c r="G1144" s="180">
        <f ca="1">COUNTIFS(Paste_Report_Here!$E$1:$E$2000,E1124, OFFSET(Paste_Report_Here!$A$1,0,$A1144,2000,1),G$75)</f>
        <v>0</v>
      </c>
      <c r="H1144" s="180">
        <f ca="1">COUNTIFS(Paste_Report_Here!$E$1:$E$2000,E1124, OFFSET(Paste_Report_Here!$A$1,0,$A1144,2000,1),H$75)</f>
        <v>16</v>
      </c>
      <c r="I1144" s="180">
        <f ca="1">COUNTIFS(Paste_Report_Here!$E$1:$E$2000,E1124, OFFSET(Paste_Report_Here!$A$1,0,$A1144,2000,1),I$75)</f>
        <v>0</v>
      </c>
      <c r="J1144" s="180">
        <f ca="1">COUNTIFS(Paste_Report_Here!$E$1:$E$2000,E1124, OFFSET(Paste_Report_Here!$A$1,0,$A1144,2000,1),J$75)</f>
        <v>1</v>
      </c>
      <c r="K1144" s="181">
        <f ca="1">COUNTIFS(Paste_Report_Here!$E$1:$E$2000,E1124, OFFSET(Paste_Report_Here!$A$1,0,$A1144,2000,1),K$75)</f>
        <v>0</v>
      </c>
      <c r="L1144" s="166">
        <f t="shared" ca="1" si="170"/>
        <v>18</v>
      </c>
      <c r="M1144" s="183">
        <f ca="1">SUMPRODUCT(F1144:K1144,F1128:K1128)/L:L</f>
        <v>0</v>
      </c>
      <c r="N1144" s="166">
        <f t="shared" ca="1" si="171"/>
        <v>1</v>
      </c>
      <c r="O1144" s="165">
        <f t="shared" ca="1" si="173"/>
        <v>2165.8908597179452</v>
      </c>
      <c r="P1144" s="165">
        <f t="shared" ca="1" si="172"/>
        <v>2165.8908597179452</v>
      </c>
    </row>
    <row r="1145" spans="1:16" s="165" customFormat="1" x14ac:dyDescent="0.3">
      <c r="A1145" s="165">
        <f>MATCH(Calcs!B1145,Paste_Report_Here!$1:$1,0) -1</f>
        <v>20</v>
      </c>
      <c r="B1145" s="165" t="s">
        <v>138</v>
      </c>
      <c r="C1145" s="166">
        <f ca="1">RANK(N1145,N1131:N1155)</f>
        <v>11</v>
      </c>
      <c r="D1145" s="166">
        <f ca="1">RANK(P1145,P1130:P1154)</f>
        <v>19</v>
      </c>
      <c r="E1145" s="189" t="s">
        <v>167</v>
      </c>
      <c r="F1145" s="179">
        <f ca="1">COUNTIFS(Paste_Report_Here!$E$1:$E$2000,E1124, OFFSET(Paste_Report_Here!$A$1,0,$A1145,2000,1),F$75)</f>
        <v>1</v>
      </c>
      <c r="G1145" s="180">
        <f ca="1">COUNTIFS(Paste_Report_Here!$E$1:$E$2000,E1124, OFFSET(Paste_Report_Here!$A$1,0,$A1145,2000,1),G$75)</f>
        <v>0</v>
      </c>
      <c r="H1145" s="180">
        <f ca="1">COUNTIFS(Paste_Report_Here!$E$1:$E$2000,E1124, OFFSET(Paste_Report_Here!$A$1,0,$A1145,2000,1),H$75)</f>
        <v>14</v>
      </c>
      <c r="I1145" s="180">
        <f ca="1">COUNTIFS(Paste_Report_Here!$E$1:$E$2000,E1124, OFFSET(Paste_Report_Here!$A$1,0,$A1145,2000,1),I$75)</f>
        <v>3</v>
      </c>
      <c r="J1145" s="180">
        <f ca="1">COUNTIFS(Paste_Report_Here!$E$1:$E$2000,E1124, OFFSET(Paste_Report_Here!$A$1,0,$A1145,2000,1),J$75)</f>
        <v>0</v>
      </c>
      <c r="K1145" s="181">
        <f ca="1">COUNTIFS(Paste_Report_Here!$E$1:$E$2000,E1124, OFFSET(Paste_Report_Here!$A$1,0,$A1145,2000,1),K$75)</f>
        <v>0</v>
      </c>
      <c r="L1145" s="166">
        <f t="shared" ca="1" si="170"/>
        <v>18</v>
      </c>
      <c r="M1145" s="183">
        <f ca="1">SUMPRODUCT(F1145:K1145,F1128:K1128)/L:L</f>
        <v>-1.1111111111111112E-2</v>
      </c>
      <c r="N1145" s="166">
        <f t="shared" ca="1" si="171"/>
        <v>0.98895038929392232</v>
      </c>
      <c r="O1145" s="165">
        <f t="shared" ca="1" si="173"/>
        <v>1981.2661164703409</v>
      </c>
      <c r="P1145" s="165">
        <f t="shared" ca="1" si="172"/>
        <v>1959.3738971782013</v>
      </c>
    </row>
    <row r="1146" spans="1:16" s="165" customFormat="1" x14ac:dyDescent="0.3">
      <c r="A1146" s="165">
        <f>MATCH(Calcs!B1146,Paste_Report_Here!$1:$1,0) -1</f>
        <v>21</v>
      </c>
      <c r="B1146" s="165" t="s">
        <v>139</v>
      </c>
      <c r="C1146" s="166">
        <f ca="1">RANK(N1146,N1130:N1154)</f>
        <v>10</v>
      </c>
      <c r="D1146" s="166">
        <f ca="1">RANK(P1146,P1130:P1154)</f>
        <v>18</v>
      </c>
      <c r="E1146" s="189" t="s">
        <v>168</v>
      </c>
      <c r="F1146" s="179">
        <f ca="1">COUNTIFS(Paste_Report_Here!$E$1:$E$2000,E1124, OFFSET(Paste_Report_Here!$A$1,0,$A1146,2000,1),F$75)</f>
        <v>1</v>
      </c>
      <c r="G1146" s="180">
        <f ca="1">COUNTIFS(Paste_Report_Here!$E$1:$E$2000,E1124, OFFSET(Paste_Report_Here!$A$1,0,$A1146,2000,1),G$75)</f>
        <v>0</v>
      </c>
      <c r="H1146" s="180">
        <f ca="1">COUNTIFS(Paste_Report_Here!$E$1:$E$2000,E1124, OFFSET(Paste_Report_Here!$A$1,0,$A1146,2000,1),H$75)</f>
        <v>16</v>
      </c>
      <c r="I1146" s="180">
        <f ca="1">COUNTIFS(Paste_Report_Here!$E$1:$E$2000,E1124, OFFSET(Paste_Report_Here!$A$1,0,$A1146,2000,1),I$75)</f>
        <v>1</v>
      </c>
      <c r="J1146" s="180">
        <f ca="1">COUNTIFS(Paste_Report_Here!$E$1:$E$2000,E1124, OFFSET(Paste_Report_Here!$A$1,0,$A1146,2000,1),J$75)</f>
        <v>0</v>
      </c>
      <c r="K1146" s="181">
        <f ca="1">COUNTIFS(Paste_Report_Here!$E$1:$E$2000,E1124, OFFSET(Paste_Report_Here!$A$1,0,$A1146,2000,1),K$75)</f>
        <v>0</v>
      </c>
      <c r="L1146" s="166">
        <f t="shared" ca="1" si="170"/>
        <v>18</v>
      </c>
      <c r="M1146" s="183">
        <f ca="1">SUMPRODUCT(F1146:K1146,F1128:K1128)/L:L</f>
        <v>-1.1111111111111112E-2</v>
      </c>
      <c r="N1146" s="166">
        <f t="shared" ca="1" si="171"/>
        <v>0.98895038929392232</v>
      </c>
      <c r="O1146" s="165">
        <f t="shared" ca="1" si="173"/>
        <v>2048.2722377471505</v>
      </c>
      <c r="P1146" s="165">
        <f t="shared" ca="1" si="172"/>
        <v>2025.6396268999779</v>
      </c>
    </row>
    <row r="1147" spans="1:16" s="165" customFormat="1" x14ac:dyDescent="0.3">
      <c r="A1147" s="165">
        <f>MATCH(Calcs!B1147,Paste_Report_Here!$1:$1,0) -1</f>
        <v>22</v>
      </c>
      <c r="B1147" s="165" t="s">
        <v>140</v>
      </c>
      <c r="C1147" s="166">
        <f ca="1">RANK(N1147,N1130:N1154)</f>
        <v>4</v>
      </c>
      <c r="D1147" s="166">
        <f ca="1">RANK(P1147,P1130:P1154)</f>
        <v>15</v>
      </c>
      <c r="E1147" s="189" t="s">
        <v>169</v>
      </c>
      <c r="F1147" s="179">
        <f ca="1">COUNTIFS(Paste_Report_Here!$E$1:$E$2000,E1124, OFFSET(Paste_Report_Here!$A$1,0,$A1147,2000,1),F$75)</f>
        <v>0</v>
      </c>
      <c r="G1147" s="180">
        <f ca="1">COUNTIFS(Paste_Report_Here!$E$1:$E$2000,E1124, OFFSET(Paste_Report_Here!$A$1,0,$A1147,2000,1),G$75)</f>
        <v>0</v>
      </c>
      <c r="H1147" s="180">
        <f ca="1">COUNTIFS(Paste_Report_Here!$E$1:$E$2000,E1124, OFFSET(Paste_Report_Here!$A$1,0,$A1147,2000,1),H$75)</f>
        <v>16</v>
      </c>
      <c r="I1147" s="180">
        <f ca="1">COUNTIFS(Paste_Report_Here!$E$1:$E$2000,E1124, OFFSET(Paste_Report_Here!$A$1,0,$A1147,2000,1),I$75)</f>
        <v>2</v>
      </c>
      <c r="J1147" s="180">
        <f ca="1">COUNTIFS(Paste_Report_Here!$E$1:$E$2000,E1124, OFFSET(Paste_Report_Here!$A$1,0,$A1147,2000,1),J$75)</f>
        <v>0</v>
      </c>
      <c r="K1147" s="181">
        <f ca="1">COUNTIFS(Paste_Report_Here!$E$1:$E$2000,E1124, OFFSET(Paste_Report_Here!$A$1,0,$A1147,2000,1),K$75)</f>
        <v>0</v>
      </c>
      <c r="L1147" s="166">
        <f t="shared" ca="1" si="170"/>
        <v>18</v>
      </c>
      <c r="M1147" s="183">
        <f ca="1">SUMPRODUCT(F1147:K1147,F1128:K1128)/L:L</f>
        <v>0</v>
      </c>
      <c r="N1147" s="166">
        <f t="shared" ca="1" si="171"/>
        <v>1</v>
      </c>
      <c r="O1147" s="165">
        <f t="shared" ca="1" si="173"/>
        <v>2101.1126870763292</v>
      </c>
      <c r="P1147" s="165">
        <f t="shared" ca="1" si="172"/>
        <v>2101.1126870763292</v>
      </c>
    </row>
    <row r="1148" spans="1:16" s="165" customFormat="1" x14ac:dyDescent="0.3">
      <c r="A1148" s="165">
        <f>MATCH(Calcs!B1148,Paste_Report_Here!$1:$1,0) -1</f>
        <v>23</v>
      </c>
      <c r="B1148" s="165" t="s">
        <v>186</v>
      </c>
      <c r="C1148" s="166">
        <f ca="1">RANK(N1148,N1130:N1154)</f>
        <v>10</v>
      </c>
      <c r="D1148" s="166">
        <f ca="1">RANK(P1148,P1130:P1154)</f>
        <v>3</v>
      </c>
      <c r="E1148" s="189" t="s">
        <v>180</v>
      </c>
      <c r="F1148" s="179">
        <f ca="1">COUNTIFS(Paste_Report_Here!$E$1:$E$2000,E1124, OFFSET(Paste_Report_Here!$A$1,0,$A1148,2000,1),F$75)</f>
        <v>1</v>
      </c>
      <c r="G1148" s="180">
        <f ca="1">COUNTIFS(Paste_Report_Here!$E$1:$E$2000,E1124, OFFSET(Paste_Report_Here!$A$1,0,$A1148,2000,1),G$75)</f>
        <v>0</v>
      </c>
      <c r="H1148" s="180">
        <f ca="1">COUNTIFS(Paste_Report_Here!$E$1:$E$2000,E1124, OFFSET(Paste_Report_Here!$A$1,0,$A1148,2000,1),H$75)</f>
        <v>15</v>
      </c>
      <c r="I1148" s="180">
        <f ca="1">COUNTIFS(Paste_Report_Here!$E$1:$E$2000,E1124, OFFSET(Paste_Report_Here!$A$1,0,$A1148,2000,1),I$75)</f>
        <v>2</v>
      </c>
      <c r="J1148" s="180">
        <f ca="1">COUNTIFS(Paste_Report_Here!$E$1:$E$2000,E1124, OFFSET(Paste_Report_Here!$A$1,0,$A1148,2000,1),J$75)</f>
        <v>0</v>
      </c>
      <c r="K1148" s="181">
        <f ca="1">COUNTIFS(Paste_Report_Here!$E$1:$E$2000,E1124, OFFSET(Paste_Report_Here!$A$1,0,$A1148,2000,1),K$75)</f>
        <v>0</v>
      </c>
      <c r="L1148" s="166">
        <f t="shared" ca="1" si="170"/>
        <v>18</v>
      </c>
      <c r="M1148" s="183">
        <f ca="1">SUMPRODUCT(F1148:K1148,F1128:K1128)/L:L</f>
        <v>-1.1111111111111112E-2</v>
      </c>
      <c r="N1148" s="166">
        <f t="shared" ca="1" si="171"/>
        <v>0.98895038929392232</v>
      </c>
      <c r="O1148" s="165">
        <f t="shared" ca="1" si="173"/>
        <v>4044.0622603885718</v>
      </c>
      <c r="P1148" s="165">
        <f t="shared" ca="1" si="172"/>
        <v>3999.3769467401376</v>
      </c>
    </row>
    <row r="1149" spans="1:16" s="165" customFormat="1" x14ac:dyDescent="0.3">
      <c r="A1149" s="165">
        <f>MATCH(Calcs!B1149,Paste_Report_Here!$1:$1,0) -1</f>
        <v>24</v>
      </c>
      <c r="B1149" s="165" t="s">
        <v>209</v>
      </c>
      <c r="C1149" s="166">
        <f ca="1">RANK(N1149,N1130:N1154)</f>
        <v>4</v>
      </c>
      <c r="D1149" s="166">
        <f ca="1">RANK(P1149,P1130:P1154)</f>
        <v>23</v>
      </c>
      <c r="E1149" s="202" t="s">
        <v>211</v>
      </c>
      <c r="F1149" s="179">
        <f ca="1">COUNTIFS(Paste_Report_Here!$E$1:$E$2000,E1124, OFFSET(Paste_Report_Here!$A$1,0,$A1149,2000,1),F$75)</f>
        <v>0</v>
      </c>
      <c r="G1149" s="180">
        <f ca="1">COUNTIFS(Paste_Report_Here!$E$1:$E$2000,E1124, OFFSET(Paste_Report_Here!$A$1,0,$A1149,2000,1),G$75)</f>
        <v>0</v>
      </c>
      <c r="H1149" s="180">
        <f ca="1">COUNTIFS(Paste_Report_Here!$E$1:$E$2000,E1124, OFFSET(Paste_Report_Here!$A$1,0,$A1149,2000,1),H$75)</f>
        <v>16</v>
      </c>
      <c r="I1149" s="180">
        <f ca="1">COUNTIFS(Paste_Report_Here!$E$1:$E$2000,E1124, OFFSET(Paste_Report_Here!$A$1,0,$A1149,2000,1),I$75)</f>
        <v>2</v>
      </c>
      <c r="J1149" s="180">
        <f ca="1">COUNTIFS(Paste_Report_Here!$E$1:$E$2000,E1124, OFFSET(Paste_Report_Here!$A$1,0,$A1149,2000,1),J$75)</f>
        <v>0</v>
      </c>
      <c r="K1149" s="181">
        <f ca="1">COUNTIFS(Paste_Report_Here!$E$1:$E$2000,E1124, OFFSET(Paste_Report_Here!$A$1,0,$A1149,2000,1),K$75)</f>
        <v>0</v>
      </c>
      <c r="L1149" s="166">
        <f t="shared" ca="1" si="170"/>
        <v>18</v>
      </c>
      <c r="M1149" s="183">
        <f ca="1">SUMPRODUCT(F1149:K1149,F1128:K1128)/L:L</f>
        <v>0</v>
      </c>
      <c r="N1149" s="166">
        <f t="shared" ca="1" si="171"/>
        <v>1</v>
      </c>
      <c r="O1149" s="165">
        <f t="shared" ca="1" si="173"/>
        <v>1233.7478751708406</v>
      </c>
      <c r="P1149" s="165">
        <f t="shared" ca="1" si="172"/>
        <v>1233.7478751708406</v>
      </c>
    </row>
    <row r="1150" spans="1:16" s="165" customFormat="1" x14ac:dyDescent="0.3">
      <c r="A1150" s="165">
        <f>MATCH(Calcs!B1150,Paste_Report_Here!$1:$1,0) -1</f>
        <v>25</v>
      </c>
      <c r="B1150" s="165" t="s">
        <v>141</v>
      </c>
      <c r="C1150" s="166">
        <f ca="1">RANK(N1150,N1130:N1154)</f>
        <v>10</v>
      </c>
      <c r="D1150" s="166">
        <f ca="1">RANK(P1150,P1130:P1154)</f>
        <v>22</v>
      </c>
      <c r="E1150" s="189" t="s">
        <v>170</v>
      </c>
      <c r="F1150" s="179">
        <f ca="1">COUNTIFS(Paste_Report_Here!$E$1:$E$2000,E1124, OFFSET(Paste_Report_Here!$A$1,0,$A1150,2000,1),F$75)</f>
        <v>1</v>
      </c>
      <c r="G1150" s="180">
        <f ca="1">COUNTIFS(Paste_Report_Here!$E$1:$E$2000,E1124, OFFSET(Paste_Report_Here!$A$1,0,$A1150,2000,1),G$75)</f>
        <v>0</v>
      </c>
      <c r="H1150" s="180">
        <f ca="1">COUNTIFS(Paste_Report_Here!$E$1:$E$2000,E1124, OFFSET(Paste_Report_Here!$A$1,0,$A1150,2000,1),H$75)</f>
        <v>16</v>
      </c>
      <c r="I1150" s="180">
        <f ca="1">COUNTIFS(Paste_Report_Here!$E$1:$E$2000,E1124, OFFSET(Paste_Report_Here!$A$1,0,$A1150,2000,1),I$75)</f>
        <v>1</v>
      </c>
      <c r="J1150" s="180">
        <f ca="1">COUNTIFS(Paste_Report_Here!$E$1:$E$2000,E1124, OFFSET(Paste_Report_Here!$A$1,0,$A1150,2000,1),J$75)</f>
        <v>0</v>
      </c>
      <c r="K1150" s="181">
        <f ca="1">COUNTIFS(Paste_Report_Here!$E$1:$E$2000,E1124, OFFSET(Paste_Report_Here!$A$1,0,$A1150,2000,1),K$75)</f>
        <v>0</v>
      </c>
      <c r="L1150" s="166">
        <f t="shared" ca="1" si="170"/>
        <v>18</v>
      </c>
      <c r="M1150" s="183">
        <f ca="1">SUMPRODUCT(F1150:K1150,F1128:K1128)/L:L</f>
        <v>-1.1111111111111112E-2</v>
      </c>
      <c r="N1150" s="166">
        <f t="shared" ca="1" si="171"/>
        <v>0.98895038929392232</v>
      </c>
      <c r="O1150" s="165">
        <f t="shared" ca="1" si="173"/>
        <v>1396.8925671563318</v>
      </c>
      <c r="P1150" s="165">
        <f t="shared" ca="1" si="172"/>
        <v>1381.4574480910408</v>
      </c>
    </row>
    <row r="1151" spans="1:16" s="165" customFormat="1" x14ac:dyDescent="0.3">
      <c r="A1151" s="165">
        <f>MATCH(Calcs!B1151,Paste_Report_Here!$1:$1,0) -1</f>
        <v>26</v>
      </c>
      <c r="B1151" s="165" t="s">
        <v>142</v>
      </c>
      <c r="C1151" s="166">
        <f ca="1">RANK(N1151,N1130:N1154)</f>
        <v>10</v>
      </c>
      <c r="D1151" s="166">
        <f ca="1">RANK(P1151,P1130:P1154)</f>
        <v>12</v>
      </c>
      <c r="E1151" s="189" t="s">
        <v>171</v>
      </c>
      <c r="F1151" s="179">
        <f ca="1">COUNTIFS(Paste_Report_Here!$E$1:$E$2000,E1124, OFFSET(Paste_Report_Here!$A$1,0,$A1151,2000,1),F$75)</f>
        <v>1</v>
      </c>
      <c r="G1151" s="180">
        <f ca="1">COUNTIFS(Paste_Report_Here!$E$1:$E$2000,E1124, OFFSET(Paste_Report_Here!$A$1,0,$A1151,2000,1),G$75)</f>
        <v>0</v>
      </c>
      <c r="H1151" s="180">
        <f ca="1">COUNTIFS(Paste_Report_Here!$E$1:$E$2000,E1124, OFFSET(Paste_Report_Here!$A$1,0,$A1151,2000,1),H$75)</f>
        <v>16</v>
      </c>
      <c r="I1151" s="180">
        <f ca="1">COUNTIFS(Paste_Report_Here!$E$1:$E$2000,E1124, OFFSET(Paste_Report_Here!$A$1,0,$A1151,2000,1),I$75)</f>
        <v>1</v>
      </c>
      <c r="J1151" s="180">
        <f ca="1">COUNTIFS(Paste_Report_Here!$E$1:$E$2000,E1124, OFFSET(Paste_Report_Here!$A$1,0,$A1151,2000,1),J$75)</f>
        <v>0</v>
      </c>
      <c r="K1151" s="181">
        <f ca="1">COUNTIFS(Paste_Report_Here!$E$1:$E$2000,E1124, OFFSET(Paste_Report_Here!$A$1,0,$A1151,2000,1),K$75)</f>
        <v>0</v>
      </c>
      <c r="L1151" s="166">
        <f t="shared" ca="1" si="170"/>
        <v>18</v>
      </c>
      <c r="M1151" s="183">
        <f ca="1">SUMPRODUCT(F1151:K1151,F1128:K1128)/L:L</f>
        <v>-1.1111111111111112E-2</v>
      </c>
      <c r="N1151" s="166">
        <f t="shared" ca="1" si="171"/>
        <v>0.98895038929392232</v>
      </c>
      <c r="O1151" s="165">
        <f t="shared" ca="1" si="173"/>
        <v>2324.0671745076961</v>
      </c>
      <c r="P1151" s="165">
        <f t="shared" ca="1" si="172"/>
        <v>2298.3871369746121</v>
      </c>
    </row>
    <row r="1152" spans="1:16" s="165" customFormat="1" x14ac:dyDescent="0.3">
      <c r="A1152" s="165">
        <f>MATCH(Calcs!B1152,Paste_Report_Here!$1:$1,0) -1</f>
        <v>27</v>
      </c>
      <c r="B1152" s="165" t="s">
        <v>210</v>
      </c>
      <c r="C1152" s="166">
        <f ca="1">RANK(N1152,N1130:N1154)</f>
        <v>4</v>
      </c>
      <c r="D1152" s="166">
        <f ca="1">RANK(P1152,P1130:P1154)</f>
        <v>25</v>
      </c>
      <c r="E1152" s="202" t="s">
        <v>212</v>
      </c>
      <c r="F1152" s="179">
        <f ca="1">COUNTIFS(Paste_Report_Here!$E$1:$E$2000,E1124, OFFSET(Paste_Report_Here!$A$1,0,$A1152,2000,1),F$75)</f>
        <v>0</v>
      </c>
      <c r="G1152" s="180">
        <f ca="1">COUNTIFS(Paste_Report_Here!$E$1:$E$2000,E1124, OFFSET(Paste_Report_Here!$A$1,0,$A1152,2000,1),G$75)</f>
        <v>1</v>
      </c>
      <c r="H1152" s="180">
        <f ca="1">COUNTIFS(Paste_Report_Here!$E$1:$E$2000,E1124, OFFSET(Paste_Report_Here!$A$1,0,$A1152,2000,1),H$75)</f>
        <v>13</v>
      </c>
      <c r="I1152" s="180">
        <f ca="1">COUNTIFS(Paste_Report_Here!$E$1:$E$2000,E1124, OFFSET(Paste_Report_Here!$A$1,0,$A1152,2000,1),I$75)</f>
        <v>4</v>
      </c>
      <c r="J1152" s="180">
        <f ca="1">COUNTIFS(Paste_Report_Here!$E$1:$E$2000,E1124, OFFSET(Paste_Report_Here!$A$1,0,$A1152,2000,1),J$75)</f>
        <v>0</v>
      </c>
      <c r="K1152" s="181">
        <f ca="1">COUNTIFS(Paste_Report_Here!$E$1:$E$2000,E1124, OFFSET(Paste_Report_Here!$A$1,0,$A1152,2000,1),K$75)</f>
        <v>0</v>
      </c>
      <c r="L1152" s="166">
        <f t="shared" ca="1" si="170"/>
        <v>18</v>
      </c>
      <c r="M1152" s="183">
        <f ca="1">SUMPRODUCT(F1152:K1152,F1128:K1128)/L:L</f>
        <v>0</v>
      </c>
      <c r="N1152" s="166">
        <f t="shared" ca="1" si="171"/>
        <v>1</v>
      </c>
      <c r="O1152" s="165">
        <f t="shared" ca="1" si="173"/>
        <v>1145.9000917608137</v>
      </c>
      <c r="P1152" s="165">
        <f t="shared" ca="1" si="172"/>
        <v>1145.9000917608137</v>
      </c>
    </row>
    <row r="1153" spans="1:16" s="165" customFormat="1" x14ac:dyDescent="0.3">
      <c r="A1153" s="165">
        <f>MATCH(Calcs!B1153,Paste_Report_Here!$1:$1,0) -1</f>
        <v>28</v>
      </c>
      <c r="B1153" s="165" t="s">
        <v>143</v>
      </c>
      <c r="C1153" s="166">
        <f ca="1">RANK(N1153,N1131:N1155)</f>
        <v>2</v>
      </c>
      <c r="D1153" s="166">
        <f ca="1">RANK(P1153,P1130:P1154)</f>
        <v>1</v>
      </c>
      <c r="E1153" s="189" t="s">
        <v>172</v>
      </c>
      <c r="F1153" s="179">
        <f ca="1">COUNTIFS(Paste_Report_Here!$E$1:$E$2000,E1124, OFFSET(Paste_Report_Here!$A$1,0,$A1153,2000,1),F$75)</f>
        <v>0</v>
      </c>
      <c r="G1153" s="180">
        <f ca="1">COUNTIFS(Paste_Report_Here!$E$1:$E$2000,E1124, OFFSET(Paste_Report_Here!$A$1,0,$A1153,2000,1),G$75)</f>
        <v>0</v>
      </c>
      <c r="H1153" s="180">
        <f ca="1">COUNTIFS(Paste_Report_Here!$E$1:$E$2000,E1124, OFFSET(Paste_Report_Here!$A$1,0,$A1153,2000,1),H$75)</f>
        <v>14</v>
      </c>
      <c r="I1153" s="180">
        <f ca="1">COUNTIFS(Paste_Report_Here!$E$1:$E$2000,E1124, OFFSET(Paste_Report_Here!$A$1,0,$A1153,2000,1),I$75)</f>
        <v>3</v>
      </c>
      <c r="J1153" s="180">
        <f ca="1">COUNTIFS(Paste_Report_Here!$E$1:$E$2000,E1124, OFFSET(Paste_Report_Here!$A$1,0,$A1153,2000,1),J$75)</f>
        <v>1</v>
      </c>
      <c r="K1153" s="181">
        <f ca="1">COUNTIFS(Paste_Report_Here!$E$1:$E$2000,E1124, OFFSET(Paste_Report_Here!$A$1,0,$A1153,2000,1),K$75)</f>
        <v>0</v>
      </c>
      <c r="L1153" s="166">
        <f t="shared" ca="1" si="170"/>
        <v>18</v>
      </c>
      <c r="M1153" s="183">
        <f ca="1">SUMPRODUCT(F1153:K1153,F1128:K1128)/L:L</f>
        <v>1.1111111111111112E-2</v>
      </c>
      <c r="N1153" s="166">
        <f t="shared" ca="1" si="171"/>
        <v>1.0111730687663378</v>
      </c>
      <c r="O1153" s="165">
        <f t="shared" ca="1" si="173"/>
        <v>8687.7213857094957</v>
      </c>
      <c r="P1153" s="165">
        <f t="shared" ca="1" si="172"/>
        <v>8784.7898941748117</v>
      </c>
    </row>
    <row r="1154" spans="1:16" s="165" customFormat="1" x14ac:dyDescent="0.3">
      <c r="A1154" s="165">
        <f>MATCH(Calcs!B1154,Paste_Report_Here!$1:$1,0) -1</f>
        <v>29</v>
      </c>
      <c r="B1154" s="187" t="s">
        <v>144</v>
      </c>
      <c r="C1154" s="147">
        <f ca="1">RANK(N1154,N1130:N1154)</f>
        <v>1</v>
      </c>
      <c r="D1154" s="147">
        <f ca="1">RANK(P1154,P1130:P1154)</f>
        <v>11</v>
      </c>
      <c r="E1154" s="145" t="s">
        <v>173</v>
      </c>
      <c r="F1154" s="146">
        <f ca="1">COUNTIFS(Paste_Report_Here!$E$1:$E$2000,E1124, OFFSET(Paste_Report_Here!$A$1,0,$A1154,2000,1),F$75)</f>
        <v>0</v>
      </c>
      <c r="G1154" s="147">
        <f ca="1">COUNTIFS(Paste_Report_Here!$E$1:$E$2000,E1124, OFFSET(Paste_Report_Here!$A$1,0,$A1154,2000,1),G$75)</f>
        <v>1</v>
      </c>
      <c r="H1154" s="147">
        <f ca="1">COUNTIFS(Paste_Report_Here!$E$1:$E$2000,E1124, OFFSET(Paste_Report_Here!$A$1,0,$A1154,2000,1),H$75)</f>
        <v>11</v>
      </c>
      <c r="I1154" s="147">
        <f ca="1">COUNTIFS(Paste_Report_Here!$E$1:$E$2000,E1124, OFFSET(Paste_Report_Here!$A$1,0,$A1154,2000,1),I$75)</f>
        <v>4</v>
      </c>
      <c r="J1154" s="147">
        <f ca="1">COUNTIFS(Paste_Report_Here!$E$1:$E$2000,E1124, OFFSET(Paste_Report_Here!$A$1,0,$A1154,2000,1),J$75)</f>
        <v>2</v>
      </c>
      <c r="K1154" s="148">
        <f ca="1">COUNTIFS(Paste_Report_Here!$E$1:$E$2000,E1124, OFFSET(Paste_Report_Here!$A$1,0,$A1154,2000,1),K$75)</f>
        <v>0</v>
      </c>
      <c r="L1154" s="147">
        <f t="shared" ca="1" si="170"/>
        <v>18</v>
      </c>
      <c r="M1154" s="149">
        <f ca="1">SUMPRODUCT(F1154:K1154,F1128:K1128)/L:L</f>
        <v>2.2222222222222223E-2</v>
      </c>
      <c r="N1154" s="147">
        <f t="shared" ca="1" si="171"/>
        <v>1.0224709749983332</v>
      </c>
      <c r="O1154" s="187">
        <f t="shared" ca="1" si="173"/>
        <v>2287.6229277911048</v>
      </c>
      <c r="P1154" s="165">
        <f t="shared" ca="1" si="172"/>
        <v>2339.0280454071126</v>
      </c>
    </row>
    <row r="1155" spans="1:16" s="165" customFormat="1" x14ac:dyDescent="0.3">
      <c r="C1155" s="166"/>
      <c r="E1155" s="140" t="s">
        <v>293</v>
      </c>
      <c r="F1155" s="180">
        <f ca="1">SUM(F1130:F1154)</f>
        <v>20</v>
      </c>
      <c r="G1155" s="180">
        <f t="shared" ref="G1155:L1155" ca="1" si="174">SUM(G1130:G1154)</f>
        <v>16</v>
      </c>
      <c r="H1155" s="180">
        <f t="shared" ca="1" si="174"/>
        <v>337</v>
      </c>
      <c r="I1155" s="180">
        <f t="shared" ca="1" si="174"/>
        <v>70</v>
      </c>
      <c r="J1155" s="180">
        <f t="shared" ca="1" si="174"/>
        <v>7</v>
      </c>
      <c r="K1155" s="180">
        <f t="shared" ca="1" si="174"/>
        <v>0</v>
      </c>
      <c r="L1155" s="180">
        <f t="shared" ca="1" si="174"/>
        <v>450</v>
      </c>
      <c r="M1155" s="144">
        <f ca="1">SUMPRODUCT(F1155:K1155,F1128:K1128)/L1155</f>
        <v>-5.7777777777777766E-3</v>
      </c>
      <c r="N1155" s="166">
        <f t="shared" ca="1" si="171"/>
        <v>0.9942388814803077</v>
      </c>
      <c r="O1155" s="165">
        <f t="shared" ca="1" si="173"/>
        <v>2706.7924548282954</v>
      </c>
      <c r="P1155" s="165">
        <f t="shared" ca="1" si="172"/>
        <v>2691.1983026878206</v>
      </c>
    </row>
    <row r="1156" spans="1:16" s="165" customFormat="1" x14ac:dyDescent="0.3">
      <c r="A1156" s="194"/>
      <c r="B1156" s="194"/>
      <c r="C1156" s="153"/>
      <c r="D1156" s="194"/>
      <c r="E1156" s="164"/>
      <c r="F1156" s="151"/>
      <c r="G1156" s="151"/>
      <c r="H1156" s="151"/>
      <c r="I1156" s="151"/>
      <c r="J1156" s="151"/>
      <c r="K1156" s="151"/>
      <c r="L1156" s="151"/>
      <c r="M1156" s="162"/>
      <c r="N1156" s="153"/>
      <c r="O1156" s="194"/>
      <c r="P1156" s="194"/>
    </row>
    <row r="1157" spans="1:16" s="165" customFormat="1" x14ac:dyDescent="0.3">
      <c r="E1157" s="173" t="s">
        <v>292</v>
      </c>
    </row>
    <row r="1158" spans="1:16" s="165" customFormat="1" x14ac:dyDescent="0.3">
      <c r="E1158" s="141">
        <v>41577</v>
      </c>
    </row>
    <row r="1159" spans="1:16" s="165" customFormat="1" ht="15" thickBot="1" x14ac:dyDescent="0.35"/>
    <row r="1160" spans="1:16" s="165" customFormat="1" ht="24.6" thickBot="1" x14ac:dyDescent="0.35">
      <c r="F1160" s="174" t="s">
        <v>23</v>
      </c>
      <c r="G1160" s="168" t="s">
        <v>18</v>
      </c>
      <c r="H1160" s="168" t="s">
        <v>16</v>
      </c>
      <c r="I1160" s="168" t="s">
        <v>17</v>
      </c>
      <c r="J1160" s="168" t="s">
        <v>19</v>
      </c>
      <c r="K1160" s="169" t="s">
        <v>114</v>
      </c>
    </row>
    <row r="1161" spans="1:16" s="165" customFormat="1" x14ac:dyDescent="0.3">
      <c r="F1161" s="267" t="s">
        <v>201</v>
      </c>
      <c r="G1161" s="268"/>
      <c r="H1161" s="268"/>
      <c r="I1161" s="268"/>
      <c r="J1161" s="268"/>
      <c r="K1161" s="169"/>
      <c r="M1161" s="203">
        <f ca="1">(H1189+K1189)/L1189</f>
        <v>0.74</v>
      </c>
      <c r="N1161" s="204" t="s">
        <v>501</v>
      </c>
    </row>
    <row r="1162" spans="1:16" s="165" customFormat="1" ht="43.8" thickBot="1" x14ac:dyDescent="0.35">
      <c r="A1162" s="142" t="s">
        <v>294</v>
      </c>
      <c r="B1162" s="142" t="s">
        <v>295</v>
      </c>
      <c r="C1162" s="197" t="s">
        <v>440</v>
      </c>
      <c r="D1162" s="142" t="s">
        <v>441</v>
      </c>
      <c r="E1162" s="171" t="s">
        <v>30</v>
      </c>
      <c r="F1162" s="175">
        <f>Falling_fast</f>
        <v>-0.2</v>
      </c>
      <c r="G1162" s="176">
        <f>Falling</f>
        <v>0</v>
      </c>
      <c r="H1162" s="177">
        <f>Static</f>
        <v>0</v>
      </c>
      <c r="I1162" s="176">
        <f>Rising</f>
        <v>0</v>
      </c>
      <c r="J1162" s="178">
        <f>Rising_fast</f>
        <v>0.2</v>
      </c>
      <c r="K1162" s="182">
        <v>0</v>
      </c>
      <c r="L1162" s="171" t="s">
        <v>28</v>
      </c>
      <c r="M1162" s="172" t="s">
        <v>29</v>
      </c>
      <c r="N1162" s="143" t="s">
        <v>296</v>
      </c>
      <c r="O1162" s="142" t="s">
        <v>297</v>
      </c>
      <c r="P1162" s="142" t="s">
        <v>298</v>
      </c>
    </row>
    <row r="1163" spans="1:16" s="165" customFormat="1" x14ac:dyDescent="0.3">
      <c r="C1163" s="166"/>
      <c r="E1163" s="192"/>
      <c r="F1163" s="198" t="s">
        <v>151</v>
      </c>
      <c r="G1163" s="199" t="s">
        <v>149</v>
      </c>
      <c r="H1163" s="199" t="s">
        <v>16</v>
      </c>
      <c r="I1163" s="199" t="s">
        <v>148</v>
      </c>
      <c r="J1163" s="199" t="s">
        <v>150</v>
      </c>
      <c r="K1163" s="200" t="s">
        <v>114</v>
      </c>
      <c r="L1163" s="166"/>
      <c r="M1163" s="170"/>
      <c r="N1163" s="166"/>
    </row>
    <row r="1164" spans="1:16" s="165" customFormat="1" x14ac:dyDescent="0.3">
      <c r="A1164" s="165">
        <f>MATCH(Calcs!B1164,Paste_Report_Here!$1:$1,0) -1</f>
        <v>5</v>
      </c>
      <c r="B1164" s="165" t="s">
        <v>124</v>
      </c>
      <c r="C1164" s="166">
        <f ca="1">RANK(N1164,N1164:N1188)</f>
        <v>9</v>
      </c>
      <c r="D1164" s="166">
        <f ca="1">RANK(P1164,P1164:P1188)</f>
        <v>16</v>
      </c>
      <c r="E1164" s="189" t="s">
        <v>152</v>
      </c>
      <c r="F1164" s="179">
        <f ca="1">COUNTIFS(Paste_Report_Here!$E$1:$E$2000,E1158, OFFSET(Paste_Report_Here!$A$1,0,$A1164,2000,1),F$75)</f>
        <v>1</v>
      </c>
      <c r="G1164" s="180">
        <f ca="1">COUNTIFS(Paste_Report_Here!$E$1:$E$2000,E1158, OFFSET(Paste_Report_Here!$A$1,0,$A1164,2000,1),G$75)</f>
        <v>0</v>
      </c>
      <c r="H1164" s="180">
        <f ca="1">COUNTIFS(Paste_Report_Here!$E$1:$E$2000,E1158, OFFSET(Paste_Report_Here!$A$1,0,$A1164,2000,1),H$75)</f>
        <v>23</v>
      </c>
      <c r="I1164" s="180">
        <f ca="1">COUNTIFS(Paste_Report_Here!$E$1:$E$2000,E1158, OFFSET(Paste_Report_Here!$A$1,0,$A1164,2000,1),I$75)</f>
        <v>3</v>
      </c>
      <c r="J1164" s="180">
        <f ca="1">COUNTIFS(Paste_Report_Here!$E$1:$E$2000,E1158, OFFSET(Paste_Report_Here!$A$1,0,$A1164,2000,1),J$75)</f>
        <v>1</v>
      </c>
      <c r="K1164" s="181">
        <f ca="1">COUNTIFS(Paste_Report_Here!$E$1:$E$2000,E1158, OFFSET(Paste_Report_Here!$A$1,0,$A1164,2000,1),K$75)</f>
        <v>0</v>
      </c>
      <c r="L1164" s="166">
        <f t="shared" ref="L1164:L1188" ca="1" si="175">SUM(F1164:K1164)</f>
        <v>28</v>
      </c>
      <c r="M1164" s="183">
        <f ca="1">SUMPRODUCT(F1164:K1164,F1162:K1162)/L:L</f>
        <v>0</v>
      </c>
      <c r="N1164" s="166">
        <f t="shared" ref="N1164:N1189" ca="1" si="176">EXP(M1164)</f>
        <v>1</v>
      </c>
      <c r="O1164" s="165">
        <f ca="1">P1130</f>
        <v>2068.2127658685417</v>
      </c>
      <c r="P1164" s="165">
        <f t="shared" ref="P1164:P1189" ca="1" si="177">O1164*N1164</f>
        <v>2068.2127658685417</v>
      </c>
    </row>
    <row r="1165" spans="1:16" s="165" customFormat="1" x14ac:dyDescent="0.3">
      <c r="A1165" s="165">
        <f>MATCH(Calcs!B1165,Paste_Report_Here!$1:$1,0) -1</f>
        <v>6</v>
      </c>
      <c r="B1165" s="165" t="s">
        <v>125</v>
      </c>
      <c r="C1165" s="166">
        <f ca="1">RANK(N1165,N1164:N1188)</f>
        <v>19</v>
      </c>
      <c r="D1165" s="166">
        <f ca="1">RANK(P1165,P1164:P1188)</f>
        <v>15</v>
      </c>
      <c r="E1165" s="189" t="s">
        <v>153</v>
      </c>
      <c r="F1165" s="179">
        <f ca="1">COUNTIFS(Paste_Report_Here!$E$1:$E$2000,E1158, OFFSET(Paste_Report_Here!$A$1,0,$A1165,2000,1),F$75)</f>
        <v>1</v>
      </c>
      <c r="G1165" s="180">
        <f ca="1">COUNTIFS(Paste_Report_Here!$E$1:$E$2000,E1158, OFFSET(Paste_Report_Here!$A$1,0,$A1165,2000,1),G$75)</f>
        <v>0</v>
      </c>
      <c r="H1165" s="180">
        <f ca="1">COUNTIFS(Paste_Report_Here!$E$1:$E$2000,E1158, OFFSET(Paste_Report_Here!$A$1,0,$A1165,2000,1),H$75)</f>
        <v>24</v>
      </c>
      <c r="I1165" s="180">
        <f ca="1">COUNTIFS(Paste_Report_Here!$E$1:$E$2000,E1158, OFFSET(Paste_Report_Here!$A$1,0,$A1165,2000,1),I$75)</f>
        <v>2</v>
      </c>
      <c r="J1165" s="180">
        <f ca="1">COUNTIFS(Paste_Report_Here!$E$1:$E$2000,E1158, OFFSET(Paste_Report_Here!$A$1,0,$A1165,2000,1),J$75)</f>
        <v>0</v>
      </c>
      <c r="K1165" s="181">
        <f ca="1">COUNTIFS(Paste_Report_Here!$E$1:$E$2000,E1158, OFFSET(Paste_Report_Here!$A$1,0,$A1165,2000,1),K$75)</f>
        <v>1</v>
      </c>
      <c r="L1165" s="166">
        <f t="shared" ca="1" si="175"/>
        <v>28</v>
      </c>
      <c r="M1165" s="183">
        <f ca="1">SUMPRODUCT(F1165:K1165,F1162:K1162)/L:L</f>
        <v>-7.1428571428571435E-3</v>
      </c>
      <c r="N1165" s="166">
        <f t="shared" ca="1" si="176"/>
        <v>0.99288259243095034</v>
      </c>
      <c r="O1165" s="165">
        <f t="shared" ref="O1165:O1189" ca="1" si="178">P1131</f>
        <v>2113.1859176605917</v>
      </c>
      <c r="P1165" s="165">
        <f t="shared" ca="1" si="177"/>
        <v>2098.1455122154252</v>
      </c>
    </row>
    <row r="1166" spans="1:16" s="165" customFormat="1" x14ac:dyDescent="0.3">
      <c r="A1166" s="165">
        <f>MATCH(Calcs!B1166,Paste_Report_Here!$1:$1,0) -1</f>
        <v>7</v>
      </c>
      <c r="B1166" s="165" t="s">
        <v>126</v>
      </c>
      <c r="C1166" s="166">
        <f ca="1">RANK(N1166,N1164:N1188)</f>
        <v>19</v>
      </c>
      <c r="D1166" s="166">
        <f ca="1">RANK(P1166,P1164:P1188)</f>
        <v>8</v>
      </c>
      <c r="E1166" s="189" t="s">
        <v>154</v>
      </c>
      <c r="F1166" s="179">
        <f ca="1">COUNTIFS(Paste_Report_Here!$E$1:$E$2000,E1158, OFFSET(Paste_Report_Here!$A$1,0,$A1166,2000,1),F$75)</f>
        <v>1</v>
      </c>
      <c r="G1166" s="180">
        <f ca="1">COUNTIFS(Paste_Report_Here!$E$1:$E$2000,E1158, OFFSET(Paste_Report_Here!$A$1,0,$A1166,2000,1),G$75)</f>
        <v>1</v>
      </c>
      <c r="H1166" s="180">
        <f ca="1">COUNTIFS(Paste_Report_Here!$E$1:$E$2000,E1158, OFFSET(Paste_Report_Here!$A$1,0,$A1166,2000,1),H$75)</f>
        <v>24</v>
      </c>
      <c r="I1166" s="180">
        <f ca="1">COUNTIFS(Paste_Report_Here!$E$1:$E$2000,E1158, OFFSET(Paste_Report_Here!$A$1,0,$A1166,2000,1),I$75)</f>
        <v>2</v>
      </c>
      <c r="J1166" s="180">
        <f ca="1">COUNTIFS(Paste_Report_Here!$E$1:$E$2000,E1158, OFFSET(Paste_Report_Here!$A$1,0,$A1166,2000,1),J$75)</f>
        <v>0</v>
      </c>
      <c r="K1166" s="181">
        <f ca="1">COUNTIFS(Paste_Report_Here!$E$1:$E$2000,E1158, OFFSET(Paste_Report_Here!$A$1,0,$A1166,2000,1),K$75)</f>
        <v>0</v>
      </c>
      <c r="L1166" s="166">
        <f t="shared" ca="1" si="175"/>
        <v>28</v>
      </c>
      <c r="M1166" s="183">
        <f ca="1">SUMPRODUCT(F1166:K1166,F1162:K1162)/L:L</f>
        <v>-7.1428571428571435E-3</v>
      </c>
      <c r="N1166" s="166">
        <f t="shared" ca="1" si="176"/>
        <v>0.99288259243095034</v>
      </c>
      <c r="O1166" s="165">
        <f t="shared" ca="1" si="178"/>
        <v>2792.8893802017105</v>
      </c>
      <c r="P1166" s="165">
        <f t="shared" ca="1" si="177"/>
        <v>2773.0112481875444</v>
      </c>
    </row>
    <row r="1167" spans="1:16" s="165" customFormat="1" x14ac:dyDescent="0.3">
      <c r="A1167" s="165">
        <f>MATCH(Calcs!B1167,Paste_Report_Here!$1:$1,0) -1</f>
        <v>8</v>
      </c>
      <c r="B1167" s="165" t="s">
        <v>127</v>
      </c>
      <c r="C1167" s="166">
        <f ca="1">RANK(N1167,N1164:N1188)</f>
        <v>19</v>
      </c>
      <c r="D1167" s="166">
        <f ca="1">RANK(P1167,P1164:P1188)</f>
        <v>7</v>
      </c>
      <c r="E1167" s="189" t="s">
        <v>155</v>
      </c>
      <c r="F1167" s="179">
        <f ca="1">COUNTIFS(Paste_Report_Here!$E$1:$E$2000,E1158, OFFSET(Paste_Report_Here!$A$1,0,$A1167,2000,1),F$75)</f>
        <v>1</v>
      </c>
      <c r="G1167" s="180">
        <f ca="1">COUNTIFS(Paste_Report_Here!$E$1:$E$2000,E1158, OFFSET(Paste_Report_Here!$A$1,0,$A1167,2000,1),G$75)</f>
        <v>0</v>
      </c>
      <c r="H1167" s="180">
        <f ca="1">COUNTIFS(Paste_Report_Here!$E$1:$E$2000,E1158, OFFSET(Paste_Report_Here!$A$1,0,$A1167,2000,1),H$75)</f>
        <v>18</v>
      </c>
      <c r="I1167" s="180">
        <f ca="1">COUNTIFS(Paste_Report_Here!$E$1:$E$2000,E1158, OFFSET(Paste_Report_Here!$A$1,0,$A1167,2000,1),I$75)</f>
        <v>9</v>
      </c>
      <c r="J1167" s="180">
        <f ca="1">COUNTIFS(Paste_Report_Here!$E$1:$E$2000,E1158, OFFSET(Paste_Report_Here!$A$1,0,$A1167,2000,1),J$75)</f>
        <v>0</v>
      </c>
      <c r="K1167" s="181">
        <f ca="1">COUNTIFS(Paste_Report_Here!$E$1:$E$2000,E1158, OFFSET(Paste_Report_Here!$A$1,0,$A1167,2000,1),K$75)</f>
        <v>0</v>
      </c>
      <c r="L1167" s="166">
        <f t="shared" ca="1" si="175"/>
        <v>28</v>
      </c>
      <c r="M1167" s="183">
        <f ca="1">SUMPRODUCT(F1167:K1167,F1162:K1162)/L:L</f>
        <v>-7.1428571428571435E-3</v>
      </c>
      <c r="N1167" s="166">
        <f t="shared" ca="1" si="176"/>
        <v>0.99288259243095034</v>
      </c>
      <c r="O1167" s="165">
        <f t="shared" ca="1" si="178"/>
        <v>2917.2973704486285</v>
      </c>
      <c r="P1167" s="165">
        <f t="shared" ca="1" si="177"/>
        <v>2896.5337760630287</v>
      </c>
    </row>
    <row r="1168" spans="1:16" s="165" customFormat="1" x14ac:dyDescent="0.3">
      <c r="A1168" s="165">
        <f>MATCH(Calcs!B1168,Paste_Report_Here!$1:$1,0) -1</f>
        <v>9</v>
      </c>
      <c r="B1168" s="165" t="s">
        <v>214</v>
      </c>
      <c r="C1168" s="166">
        <f ca="1">RANK(N1168,N1164:N1188)</f>
        <v>9</v>
      </c>
      <c r="D1168" s="166">
        <f ca="1">RANK(P1168,P1164:P1188)</f>
        <v>5</v>
      </c>
      <c r="E1168" s="189" t="s">
        <v>156</v>
      </c>
      <c r="F1168" s="179">
        <f ca="1">COUNTIFS(Paste_Report_Here!$E$1:$E$2000,E1158, OFFSET(Paste_Report_Here!$A$1,0,$A1168,2000,1),F$75)</f>
        <v>0</v>
      </c>
      <c r="G1168" s="180">
        <f ca="1">COUNTIFS(Paste_Report_Here!$E$1:$E$2000,E1158, OFFSET(Paste_Report_Here!$A$1,0,$A1168,2000,1),G$75)</f>
        <v>0</v>
      </c>
      <c r="H1168" s="180">
        <f ca="1">COUNTIFS(Paste_Report_Here!$E$1:$E$2000,E1158, OFFSET(Paste_Report_Here!$A$1,0,$A1168,2000,1),H$75)</f>
        <v>21</v>
      </c>
      <c r="I1168" s="180">
        <f ca="1">COUNTIFS(Paste_Report_Here!$E$1:$E$2000,E1158, OFFSET(Paste_Report_Here!$A$1,0,$A1168,2000,1),I$75)</f>
        <v>7</v>
      </c>
      <c r="J1168" s="180">
        <f ca="1">COUNTIFS(Paste_Report_Here!$E$1:$E$2000,E1158, OFFSET(Paste_Report_Here!$A$1,0,$A1168,2000,1),J$75)</f>
        <v>0</v>
      </c>
      <c r="K1168" s="181">
        <f ca="1">COUNTIFS(Paste_Report_Here!$E$1:$E$2000,E1158, OFFSET(Paste_Report_Here!$A$1,0,$A1168,2000,1),K$75)</f>
        <v>0</v>
      </c>
      <c r="L1168" s="166">
        <f t="shared" ca="1" si="175"/>
        <v>28</v>
      </c>
      <c r="M1168" s="183">
        <f ca="1">SUMPRODUCT(F1168:K1168,F1162:K1162)/L:L</f>
        <v>0</v>
      </c>
      <c r="N1168" s="166">
        <f t="shared" ca="1" si="176"/>
        <v>1</v>
      </c>
      <c r="O1168" s="165">
        <f t="shared" ca="1" si="178"/>
        <v>3779.2561997033695</v>
      </c>
      <c r="P1168" s="165">
        <f t="shared" ca="1" si="177"/>
        <v>3779.2561997033695</v>
      </c>
    </row>
    <row r="1169" spans="1:16" s="165" customFormat="1" x14ac:dyDescent="0.3">
      <c r="A1169" s="165">
        <f>MATCH(Calcs!B1169,Paste_Report_Here!$1:$1,0) -1</f>
        <v>10</v>
      </c>
      <c r="B1169" s="165" t="s">
        <v>128</v>
      </c>
      <c r="C1169" s="166">
        <f ca="1">RANK(N1169,N1164:N1188)</f>
        <v>19</v>
      </c>
      <c r="D1169" s="166">
        <f ca="1">RANK(P1169,P1164:P1188)</f>
        <v>21</v>
      </c>
      <c r="E1169" s="189" t="s">
        <v>157</v>
      </c>
      <c r="F1169" s="179">
        <f ca="1">COUNTIFS(Paste_Report_Here!$E$1:$E$2000,E1158, OFFSET(Paste_Report_Here!$A$1,0,$A1169,2000,1),F$75)</f>
        <v>1</v>
      </c>
      <c r="G1169" s="180">
        <f ca="1">COUNTIFS(Paste_Report_Here!$E$1:$E$2000,E1158, OFFSET(Paste_Report_Here!$A$1,0,$A1169,2000,1),G$75)</f>
        <v>0</v>
      </c>
      <c r="H1169" s="180">
        <f ca="1">COUNTIFS(Paste_Report_Here!$E$1:$E$2000,E1158, OFFSET(Paste_Report_Here!$A$1,0,$A1169,2000,1),H$75)</f>
        <v>23</v>
      </c>
      <c r="I1169" s="180">
        <f ca="1">COUNTIFS(Paste_Report_Here!$E$1:$E$2000,E1158, OFFSET(Paste_Report_Here!$A$1,0,$A1169,2000,1),I$75)</f>
        <v>4</v>
      </c>
      <c r="J1169" s="180">
        <f ca="1">COUNTIFS(Paste_Report_Here!$E$1:$E$2000,E1158, OFFSET(Paste_Report_Here!$A$1,0,$A1169,2000,1),J$75)</f>
        <v>0</v>
      </c>
      <c r="K1169" s="181">
        <f ca="1">COUNTIFS(Paste_Report_Here!$E$1:$E$2000,E1158, OFFSET(Paste_Report_Here!$A$1,0,$A1169,2000,1),K$75)</f>
        <v>0</v>
      </c>
      <c r="L1169" s="166">
        <f t="shared" ca="1" si="175"/>
        <v>28</v>
      </c>
      <c r="M1169" s="183">
        <f ca="1">SUMPRODUCT(F1169:K1169,F1162:K1162)/L:L</f>
        <v>-7.1428571428571435E-3</v>
      </c>
      <c r="N1169" s="166">
        <f t="shared" ca="1" si="176"/>
        <v>0.99288259243095034</v>
      </c>
      <c r="O1169" s="165">
        <f t="shared" ca="1" si="178"/>
        <v>1641.7442013003565</v>
      </c>
      <c r="P1169" s="165">
        <f t="shared" ca="1" si="177"/>
        <v>1630.059238695578</v>
      </c>
    </row>
    <row r="1170" spans="1:16" s="165" customFormat="1" x14ac:dyDescent="0.3">
      <c r="A1170" s="165">
        <f>MATCH(Calcs!B1170,Paste_Report_Here!$1:$1,0) -1</f>
        <v>11</v>
      </c>
      <c r="B1170" s="165" t="s">
        <v>129</v>
      </c>
      <c r="C1170" s="166">
        <f ca="1">RANK(N1170,N1164:N1188)</f>
        <v>19</v>
      </c>
      <c r="D1170" s="166">
        <f ca="1">RANK(P1170,P1164:P1188)</f>
        <v>9</v>
      </c>
      <c r="E1170" s="189" t="s">
        <v>158</v>
      </c>
      <c r="F1170" s="179">
        <f ca="1">COUNTIFS(Paste_Report_Here!$E$1:$E$2000,E1158, OFFSET(Paste_Report_Here!$A$1,0,$A1170,2000,1),F$75)</f>
        <v>1</v>
      </c>
      <c r="G1170" s="180">
        <f ca="1">COUNTIFS(Paste_Report_Here!$E$1:$E$2000,E1158, OFFSET(Paste_Report_Here!$A$1,0,$A1170,2000,1),G$75)</f>
        <v>1</v>
      </c>
      <c r="H1170" s="180">
        <f ca="1">COUNTIFS(Paste_Report_Here!$E$1:$E$2000,E1158, OFFSET(Paste_Report_Here!$A$1,0,$A1170,2000,1),H$75)</f>
        <v>19</v>
      </c>
      <c r="I1170" s="180">
        <f ca="1">COUNTIFS(Paste_Report_Here!$E$1:$E$2000,E1158, OFFSET(Paste_Report_Here!$A$1,0,$A1170,2000,1),I$75)</f>
        <v>7</v>
      </c>
      <c r="J1170" s="180">
        <f ca="1">COUNTIFS(Paste_Report_Here!$E$1:$E$2000,E1158, OFFSET(Paste_Report_Here!$A$1,0,$A1170,2000,1),J$75)</f>
        <v>0</v>
      </c>
      <c r="K1170" s="181">
        <f ca="1">COUNTIFS(Paste_Report_Here!$E$1:$E$2000,E1158, OFFSET(Paste_Report_Here!$A$1,0,$A1170,2000,1),K$75)</f>
        <v>0</v>
      </c>
      <c r="L1170" s="166">
        <f t="shared" ca="1" si="175"/>
        <v>28</v>
      </c>
      <c r="M1170" s="183">
        <f ca="1">SUMPRODUCT(F1170:K1170,F1162:K1162)/L:L</f>
        <v>-7.1428571428571435E-3</v>
      </c>
      <c r="N1170" s="166">
        <f t="shared" ca="1" si="176"/>
        <v>0.99288259243095034</v>
      </c>
      <c r="O1170" s="165">
        <f t="shared" ca="1" si="178"/>
        <v>2603.9052504473125</v>
      </c>
      <c r="P1170" s="165">
        <f t="shared" ca="1" si="177"/>
        <v>2585.3721955086908</v>
      </c>
    </row>
    <row r="1171" spans="1:16" s="165" customFormat="1" x14ac:dyDescent="0.3">
      <c r="A1171" s="165">
        <f>MATCH(Calcs!B1171,Paste_Report_Here!$1:$1,0) -1</f>
        <v>12</v>
      </c>
      <c r="B1171" s="165" t="s">
        <v>130</v>
      </c>
      <c r="C1171" s="166">
        <f ca="1">RANK(N1171,N1165:N1189)</f>
        <v>10</v>
      </c>
      <c r="D1171" s="166">
        <f ca="1">RANK(P1171,P1164:P1188)</f>
        <v>10</v>
      </c>
      <c r="E1171" s="189" t="s">
        <v>159</v>
      </c>
      <c r="F1171" s="179">
        <f ca="1">COUNTIFS(Paste_Report_Here!$E$1:$E$2000,E1158, OFFSET(Paste_Report_Here!$A$1,0,$A1171,2000,1),F$75)</f>
        <v>1</v>
      </c>
      <c r="G1171" s="180">
        <f ca="1">COUNTIFS(Paste_Report_Here!$E$1:$E$2000,E1158, OFFSET(Paste_Report_Here!$A$1,0,$A1171,2000,1),G$75)</f>
        <v>0</v>
      </c>
      <c r="H1171" s="180">
        <f ca="1">COUNTIFS(Paste_Report_Here!$E$1:$E$2000,E1158, OFFSET(Paste_Report_Here!$A$1,0,$A1171,2000,1),H$75)</f>
        <v>16</v>
      </c>
      <c r="I1171" s="180">
        <f ca="1">COUNTIFS(Paste_Report_Here!$E$1:$E$2000,E1158, OFFSET(Paste_Report_Here!$A$1,0,$A1171,2000,1),I$75)</f>
        <v>10</v>
      </c>
      <c r="J1171" s="180">
        <f ca="1">COUNTIFS(Paste_Report_Here!$E$1:$E$2000,E1158, OFFSET(Paste_Report_Here!$A$1,0,$A1171,2000,1),J$75)</f>
        <v>1</v>
      </c>
      <c r="K1171" s="181">
        <f ca="1">COUNTIFS(Paste_Report_Here!$E$1:$E$2000,E1158, OFFSET(Paste_Report_Here!$A$1,0,$A1171,2000,1),K$75)</f>
        <v>0</v>
      </c>
      <c r="L1171" s="166">
        <f t="shared" ca="1" si="175"/>
        <v>28</v>
      </c>
      <c r="M1171" s="183">
        <f ca="1">SUMPRODUCT(F1171:K1171,F1162:K1162)/L:L</f>
        <v>0</v>
      </c>
      <c r="N1171" s="166">
        <f t="shared" ca="1" si="176"/>
        <v>1</v>
      </c>
      <c r="O1171" s="165">
        <f t="shared" ca="1" si="178"/>
        <v>2517.4638481905226</v>
      </c>
      <c r="P1171" s="165">
        <f t="shared" ca="1" si="177"/>
        <v>2517.4638481905226</v>
      </c>
    </row>
    <row r="1172" spans="1:16" s="165" customFormat="1" x14ac:dyDescent="0.3">
      <c r="A1172" s="165">
        <f>MATCH(Calcs!B1172,Paste_Report_Here!$1:$1,0) -1</f>
        <v>13</v>
      </c>
      <c r="B1172" s="165" t="s">
        <v>131</v>
      </c>
      <c r="C1172" s="166">
        <f ca="1">RANK(N1172,N1166:N1190)</f>
        <v>2</v>
      </c>
      <c r="D1172" s="166">
        <f ca="1">RANK(P1172,P1164:P1188)</f>
        <v>2</v>
      </c>
      <c r="E1172" s="189" t="s">
        <v>160</v>
      </c>
      <c r="F1172" s="179">
        <f ca="1">COUNTIFS(Paste_Report_Here!$E$1:$E$2000,E1158, OFFSET(Paste_Report_Here!$A$1,0,$A1172,2000,1),F$75)</f>
        <v>0</v>
      </c>
      <c r="G1172" s="180">
        <f ca="1">COUNTIFS(Paste_Report_Here!$E$1:$E$2000,E1158, OFFSET(Paste_Report_Here!$A$1,0,$A1172,2000,1),G$75)</f>
        <v>1</v>
      </c>
      <c r="H1172" s="180">
        <f ca="1">COUNTIFS(Paste_Report_Here!$E$1:$E$2000,E1158, OFFSET(Paste_Report_Here!$A$1,0,$A1172,2000,1),H$75)</f>
        <v>20</v>
      </c>
      <c r="I1172" s="180">
        <f ca="1">COUNTIFS(Paste_Report_Here!$E$1:$E$2000,E1158, OFFSET(Paste_Report_Here!$A$1,0,$A1172,2000,1),I$75)</f>
        <v>6</v>
      </c>
      <c r="J1172" s="180">
        <f ca="1">COUNTIFS(Paste_Report_Here!$E$1:$E$2000,E1158, OFFSET(Paste_Report_Here!$A$1,0,$A1172,2000,1),J$75)</f>
        <v>1</v>
      </c>
      <c r="K1172" s="181">
        <f ca="1">COUNTIFS(Paste_Report_Here!$E$1:$E$2000,E1158, OFFSET(Paste_Report_Here!$A$1,0,$A1172,2000,1),K$75)</f>
        <v>0</v>
      </c>
      <c r="L1172" s="166">
        <f t="shared" ca="1" si="175"/>
        <v>28</v>
      </c>
      <c r="M1172" s="183">
        <f ca="1">SUMPRODUCT(F1172:K1172,F1162:K1162)/L:L</f>
        <v>7.1428571428571435E-3</v>
      </c>
      <c r="N1172" s="166">
        <f t="shared" ca="1" si="176"/>
        <v>1.0071684281941369</v>
      </c>
      <c r="O1172" s="165">
        <f t="shared" ca="1" si="178"/>
        <v>4345.4763084513534</v>
      </c>
      <c r="P1172" s="165">
        <f t="shared" ca="1" si="177"/>
        <v>4376.6265433378103</v>
      </c>
    </row>
    <row r="1173" spans="1:16" s="165" customFormat="1" x14ac:dyDescent="0.3">
      <c r="A1173" s="165">
        <f>MATCH(Calcs!B1173,Paste_Report_Here!$1:$1,0) -1</f>
        <v>14</v>
      </c>
      <c r="B1173" s="165" t="s">
        <v>132</v>
      </c>
      <c r="C1173" s="166">
        <f ca="1">RANK(N1173,N1167:N1191)</f>
        <v>10</v>
      </c>
      <c r="D1173" s="166">
        <f ca="1">RANK(P1173,P1164:P1188)</f>
        <v>17</v>
      </c>
      <c r="E1173" s="189" t="s">
        <v>161</v>
      </c>
      <c r="F1173" s="179">
        <f ca="1">COUNTIFS(Paste_Report_Here!$E$1:$E$2000,E1158, OFFSET(Paste_Report_Here!$A$1,0,$A1173,2000,1),F$75)</f>
        <v>0</v>
      </c>
      <c r="G1173" s="180">
        <f ca="1">COUNTIFS(Paste_Report_Here!$E$1:$E$2000,E1158, OFFSET(Paste_Report_Here!$A$1,0,$A1173,2000,1),G$75)</f>
        <v>0</v>
      </c>
      <c r="H1173" s="180">
        <f ca="1">COUNTIFS(Paste_Report_Here!$E$1:$E$2000,E1158, OFFSET(Paste_Report_Here!$A$1,0,$A1173,2000,1),H$75)</f>
        <v>25</v>
      </c>
      <c r="I1173" s="180">
        <f ca="1">COUNTIFS(Paste_Report_Here!$E$1:$E$2000,E1158, OFFSET(Paste_Report_Here!$A$1,0,$A1173,2000,1),I$75)</f>
        <v>3</v>
      </c>
      <c r="J1173" s="180">
        <f ca="1">COUNTIFS(Paste_Report_Here!$E$1:$E$2000,E1158, OFFSET(Paste_Report_Here!$A$1,0,$A1173,2000,1),J$75)</f>
        <v>0</v>
      </c>
      <c r="K1173" s="181">
        <f ca="1">COUNTIFS(Paste_Report_Here!$E$1:$E$2000,E1158, OFFSET(Paste_Report_Here!$A$1,0,$A1173,2000,1),K$75)</f>
        <v>0</v>
      </c>
      <c r="L1173" s="166">
        <f t="shared" ca="1" si="175"/>
        <v>28</v>
      </c>
      <c r="M1173" s="183">
        <f ca="1">SUMPRODUCT(F1173:K1173,F1162:K1162)/L:L</f>
        <v>0</v>
      </c>
      <c r="N1173" s="166">
        <f t="shared" ca="1" si="176"/>
        <v>1</v>
      </c>
      <c r="O1173" s="165">
        <f t="shared" ca="1" si="178"/>
        <v>2038.9628120354191</v>
      </c>
      <c r="P1173" s="165">
        <f t="shared" ca="1" si="177"/>
        <v>2038.9628120354191</v>
      </c>
    </row>
    <row r="1174" spans="1:16" s="165" customFormat="1" x14ac:dyDescent="0.3">
      <c r="A1174" s="165">
        <f>MATCH(Calcs!B1174,Paste_Report_Here!$1:$1,0) -1</f>
        <v>15</v>
      </c>
      <c r="B1174" s="165" t="s">
        <v>133</v>
      </c>
      <c r="C1174" s="166">
        <f ca="1">RANK(N1174,N1163:N1187)</f>
        <v>1</v>
      </c>
      <c r="D1174" s="166">
        <f ca="1">RANK(P1174,P1164:P1188)</f>
        <v>6</v>
      </c>
      <c r="E1174" s="189" t="s">
        <v>162</v>
      </c>
      <c r="F1174" s="179">
        <f ca="1">COUNTIFS(Paste_Report_Here!$E$1:$E$2000,E1158, OFFSET(Paste_Report_Here!$A$1,0,$A1174,2000,1),F$75)</f>
        <v>1</v>
      </c>
      <c r="G1174" s="180">
        <f ca="1">COUNTIFS(Paste_Report_Here!$E$1:$E$2000,E1158, OFFSET(Paste_Report_Here!$A$1,0,$A1174,2000,1),G$75)</f>
        <v>0</v>
      </c>
      <c r="H1174" s="180">
        <f ca="1">COUNTIFS(Paste_Report_Here!$E$1:$E$2000,E1158, OFFSET(Paste_Report_Here!$A$1,0,$A1174,2000,1),H$75)</f>
        <v>20</v>
      </c>
      <c r="I1174" s="180">
        <f ca="1">COUNTIFS(Paste_Report_Here!$E$1:$E$2000,E1158, OFFSET(Paste_Report_Here!$A$1,0,$A1174,2000,1),I$75)</f>
        <v>5</v>
      </c>
      <c r="J1174" s="180">
        <f ca="1">COUNTIFS(Paste_Report_Here!$E$1:$E$2000,E1158, OFFSET(Paste_Report_Here!$A$1,0,$A1174,2000,1),J$75)</f>
        <v>2</v>
      </c>
      <c r="K1174" s="181">
        <f ca="1">COUNTIFS(Paste_Report_Here!$E$1:$E$2000,E1158, OFFSET(Paste_Report_Here!$A$1,0,$A1174,2000,1),K$75)</f>
        <v>0</v>
      </c>
      <c r="L1174" s="166">
        <f t="shared" ca="1" si="175"/>
        <v>28</v>
      </c>
      <c r="M1174" s="183">
        <f ca="1">SUMPRODUCT(F1174:K1174,F1162:K1162)/L:L</f>
        <v>7.1428571428571435E-3</v>
      </c>
      <c r="N1174" s="166">
        <f t="shared" ca="1" si="176"/>
        <v>1.0071684281941369</v>
      </c>
      <c r="O1174" s="165">
        <f t="shared" ca="1" si="178"/>
        <v>2977.964503531759</v>
      </c>
      <c r="P1174" s="165">
        <f t="shared" ca="1" si="177"/>
        <v>2999.3118282400151</v>
      </c>
    </row>
    <row r="1175" spans="1:16" s="165" customFormat="1" x14ac:dyDescent="0.3">
      <c r="A1175" s="165">
        <f>MATCH(Calcs!B1175,Paste_Report_Here!$1:$1,0) -1</f>
        <v>16</v>
      </c>
      <c r="B1175" s="165" t="s">
        <v>134</v>
      </c>
      <c r="C1175" s="166">
        <f ca="1">RANK(N1175,N1164:N1188)</f>
        <v>19</v>
      </c>
      <c r="D1175" s="166">
        <f ca="1">RANK(P1175,P1164:P1188)</f>
        <v>25</v>
      </c>
      <c r="E1175" s="189" t="s">
        <v>163</v>
      </c>
      <c r="F1175" s="179">
        <f ca="1">COUNTIFS(Paste_Report_Here!$E$1:$E$2000,E1158, OFFSET(Paste_Report_Here!$A$1,0,$A1175,2000,1),F$75)</f>
        <v>1</v>
      </c>
      <c r="G1175" s="180">
        <f ca="1">COUNTIFS(Paste_Report_Here!$E$1:$E$2000,E1158, OFFSET(Paste_Report_Here!$A$1,0,$A1175,2000,1),G$75)</f>
        <v>2</v>
      </c>
      <c r="H1175" s="180">
        <f ca="1">COUNTIFS(Paste_Report_Here!$E$1:$E$2000,E1158, OFFSET(Paste_Report_Here!$A$1,0,$A1175,2000,1),H$75)</f>
        <v>24</v>
      </c>
      <c r="I1175" s="180">
        <f ca="1">COUNTIFS(Paste_Report_Here!$E$1:$E$2000,E1158, OFFSET(Paste_Report_Here!$A$1,0,$A1175,2000,1),I$75)</f>
        <v>1</v>
      </c>
      <c r="J1175" s="180">
        <f ca="1">COUNTIFS(Paste_Report_Here!$E$1:$E$2000,E1158, OFFSET(Paste_Report_Here!$A$1,0,$A1175,2000,1),J$75)</f>
        <v>0</v>
      </c>
      <c r="K1175" s="181">
        <f ca="1">COUNTIFS(Paste_Report_Here!$E$1:$E$2000,E1158, OFFSET(Paste_Report_Here!$A$1,0,$A1175,2000,1),K$75)</f>
        <v>0</v>
      </c>
      <c r="L1175" s="166">
        <f t="shared" ca="1" si="175"/>
        <v>28</v>
      </c>
      <c r="M1175" s="183">
        <f ca="1">SUMPRODUCT(F1175:K1175,F1162:K1162)/L:L</f>
        <v>-7.1428571428571435E-3</v>
      </c>
      <c r="N1175" s="166">
        <f t="shared" ca="1" si="176"/>
        <v>0.99288259243095034</v>
      </c>
      <c r="O1175" s="165">
        <f t="shared" ca="1" si="178"/>
        <v>1151.9873411298101</v>
      </c>
      <c r="P1175" s="165">
        <f t="shared" ca="1" si="177"/>
        <v>1143.7881777086034</v>
      </c>
    </row>
    <row r="1176" spans="1:16" s="165" customFormat="1" x14ac:dyDescent="0.3">
      <c r="A1176" s="165">
        <f>MATCH(Calcs!B1176,Paste_Report_Here!$1:$1,0) -1</f>
        <v>17</v>
      </c>
      <c r="B1176" s="165" t="s">
        <v>135</v>
      </c>
      <c r="C1176" s="166">
        <f ca="1">RANK(N1176,N1164:N1188)</f>
        <v>19</v>
      </c>
      <c r="D1176" s="166">
        <f ca="1">RANK(P1176,P1164:P1188)</f>
        <v>20</v>
      </c>
      <c r="E1176" s="189" t="s">
        <v>164</v>
      </c>
      <c r="F1176" s="179">
        <f ca="1">COUNTIFS(Paste_Report_Here!$E$1:$E$2000,E1158, OFFSET(Paste_Report_Here!$A$1,0,$A1176,2000,1),F$75)</f>
        <v>1</v>
      </c>
      <c r="G1176" s="180">
        <f ca="1">COUNTIFS(Paste_Report_Here!$E$1:$E$2000,E1158, OFFSET(Paste_Report_Here!$A$1,0,$A1176,2000,1),G$75)</f>
        <v>2</v>
      </c>
      <c r="H1176" s="180">
        <f ca="1">COUNTIFS(Paste_Report_Here!$E$1:$E$2000,E1158, OFFSET(Paste_Report_Here!$A$1,0,$A1176,2000,1),H$75)</f>
        <v>21</v>
      </c>
      <c r="I1176" s="180">
        <f ca="1">COUNTIFS(Paste_Report_Here!$E$1:$E$2000,E1158, OFFSET(Paste_Report_Here!$A$1,0,$A1176,2000,1),I$75)</f>
        <v>4</v>
      </c>
      <c r="J1176" s="180">
        <f ca="1">COUNTIFS(Paste_Report_Here!$E$1:$E$2000,E1158, OFFSET(Paste_Report_Here!$A$1,0,$A1176,2000,1),J$75)</f>
        <v>0</v>
      </c>
      <c r="K1176" s="181">
        <f ca="1">COUNTIFS(Paste_Report_Here!$E$1:$E$2000,E1158, OFFSET(Paste_Report_Here!$A$1,0,$A1176,2000,1),K$75)</f>
        <v>0</v>
      </c>
      <c r="L1176" s="166">
        <f t="shared" ca="1" si="175"/>
        <v>28</v>
      </c>
      <c r="M1176" s="183">
        <f ca="1">SUMPRODUCT(F1176:K1176,F1162:K1162)/L:L</f>
        <v>-7.1428571428571435E-3</v>
      </c>
      <c r="N1176" s="166">
        <f t="shared" ca="1" si="176"/>
        <v>0.99288259243095034</v>
      </c>
      <c r="O1176" s="165">
        <f t="shared" ca="1" si="178"/>
        <v>1894.1236664856419</v>
      </c>
      <c r="P1176" s="165">
        <f t="shared" ca="1" si="177"/>
        <v>1880.6424163650809</v>
      </c>
    </row>
    <row r="1177" spans="1:16" s="165" customFormat="1" x14ac:dyDescent="0.3">
      <c r="A1177" s="165">
        <f>MATCH(Calcs!B1177,Paste_Report_Here!$1:$1,0) -1</f>
        <v>18</v>
      </c>
      <c r="B1177" s="165" t="s">
        <v>136</v>
      </c>
      <c r="C1177" s="166">
        <f ca="1">RANK(N1177,N1166:N1190)</f>
        <v>2</v>
      </c>
      <c r="D1177" s="166">
        <f ca="1">RANK(P1177,P1164:P1188)</f>
        <v>4</v>
      </c>
      <c r="E1177" s="189" t="s">
        <v>165</v>
      </c>
      <c r="F1177" s="179">
        <f ca="1">COUNTIFS(Paste_Report_Here!$E$1:$E$2000,E1158, OFFSET(Paste_Report_Here!$A$1,0,$A1177,2000,1),F$75)</f>
        <v>1</v>
      </c>
      <c r="G1177" s="180">
        <f ca="1">COUNTIFS(Paste_Report_Here!$E$1:$E$2000,E1158, OFFSET(Paste_Report_Here!$A$1,0,$A1177,2000,1),G$75)</f>
        <v>1</v>
      </c>
      <c r="H1177" s="180">
        <f ca="1">COUNTIFS(Paste_Report_Here!$E$1:$E$2000,E1158, OFFSET(Paste_Report_Here!$A$1,0,$A1177,2000,1),H$75)</f>
        <v>14</v>
      </c>
      <c r="I1177" s="180">
        <f ca="1">COUNTIFS(Paste_Report_Here!$E$1:$E$2000,E1158, OFFSET(Paste_Report_Here!$A$1,0,$A1177,2000,1),I$75)</f>
        <v>10</v>
      </c>
      <c r="J1177" s="180">
        <f ca="1">COUNTIFS(Paste_Report_Here!$E$1:$E$2000,E1158, OFFSET(Paste_Report_Here!$A$1,0,$A1177,2000,1),J$75)</f>
        <v>2</v>
      </c>
      <c r="K1177" s="181">
        <f ca="1">COUNTIFS(Paste_Report_Here!$E$1:$E$2000,E1158, OFFSET(Paste_Report_Here!$A$1,0,$A1177,2000,1),K$75)</f>
        <v>0</v>
      </c>
      <c r="L1177" s="166">
        <f t="shared" ca="1" si="175"/>
        <v>28</v>
      </c>
      <c r="M1177" s="183">
        <f ca="1">SUMPRODUCT(F1177:K1177,F1162:K1162)/L:L</f>
        <v>7.1428571428571435E-3</v>
      </c>
      <c r="N1177" s="166">
        <f t="shared" ca="1" si="176"/>
        <v>1.0071684281941369</v>
      </c>
      <c r="O1177" s="165">
        <f t="shared" ca="1" si="178"/>
        <v>3918.3917638623025</v>
      </c>
      <c r="P1177" s="165">
        <f t="shared" ca="1" si="177"/>
        <v>3946.4804738580469</v>
      </c>
    </row>
    <row r="1178" spans="1:16" s="165" customFormat="1" x14ac:dyDescent="0.3">
      <c r="A1178" s="165">
        <f>MATCH(Calcs!B1178,Paste_Report_Here!$1:$1,0) -1</f>
        <v>19</v>
      </c>
      <c r="B1178" s="165" t="s">
        <v>137</v>
      </c>
      <c r="C1178" s="166">
        <f ca="1">RANK(N1178,N1167:N1191)</f>
        <v>10</v>
      </c>
      <c r="D1178" s="166">
        <f ca="1">RANK(P1178,P1164:P1188)</f>
        <v>13</v>
      </c>
      <c r="E1178" s="189" t="s">
        <v>166</v>
      </c>
      <c r="F1178" s="179">
        <f ca="1">COUNTIFS(Paste_Report_Here!$E$1:$E$2000,E1158, OFFSET(Paste_Report_Here!$A$1,0,$A1178,2000,1),F$75)</f>
        <v>1</v>
      </c>
      <c r="G1178" s="180">
        <f ca="1">COUNTIFS(Paste_Report_Here!$E$1:$E$2000,E1158, OFFSET(Paste_Report_Here!$A$1,0,$A1178,2000,1),G$75)</f>
        <v>1</v>
      </c>
      <c r="H1178" s="180">
        <f ca="1">COUNTIFS(Paste_Report_Here!$E$1:$E$2000,E1158, OFFSET(Paste_Report_Here!$A$1,0,$A1178,2000,1),H$75)</f>
        <v>18</v>
      </c>
      <c r="I1178" s="180">
        <f ca="1">COUNTIFS(Paste_Report_Here!$E$1:$E$2000,E1158, OFFSET(Paste_Report_Here!$A$1,0,$A1178,2000,1),I$75)</f>
        <v>7</v>
      </c>
      <c r="J1178" s="180">
        <f ca="1">COUNTIFS(Paste_Report_Here!$E$1:$E$2000,E1158, OFFSET(Paste_Report_Here!$A$1,0,$A1178,2000,1),J$75)</f>
        <v>1</v>
      </c>
      <c r="K1178" s="181">
        <f ca="1">COUNTIFS(Paste_Report_Here!$E$1:$E$2000,E1158, OFFSET(Paste_Report_Here!$A$1,0,$A1178,2000,1),K$75)</f>
        <v>0</v>
      </c>
      <c r="L1178" s="166">
        <f t="shared" ca="1" si="175"/>
        <v>28</v>
      </c>
      <c r="M1178" s="183">
        <f ca="1">SUMPRODUCT(F1178:K1178,F1162:K1162)/L:L</f>
        <v>0</v>
      </c>
      <c r="N1178" s="166">
        <f t="shared" ca="1" si="176"/>
        <v>1</v>
      </c>
      <c r="O1178" s="165">
        <f t="shared" ca="1" si="178"/>
        <v>2165.8908597179452</v>
      </c>
      <c r="P1178" s="165">
        <f t="shared" ca="1" si="177"/>
        <v>2165.8908597179452</v>
      </c>
    </row>
    <row r="1179" spans="1:16" s="165" customFormat="1" x14ac:dyDescent="0.3">
      <c r="A1179" s="165">
        <f>MATCH(Calcs!B1179,Paste_Report_Here!$1:$1,0) -1</f>
        <v>20</v>
      </c>
      <c r="B1179" s="165" t="s">
        <v>138</v>
      </c>
      <c r="C1179" s="166">
        <f ca="1">RANK(N1179,N1165:N1189)</f>
        <v>10</v>
      </c>
      <c r="D1179" s="166">
        <f ca="1">RANK(P1179,P1164:P1188)</f>
        <v>19</v>
      </c>
      <c r="E1179" s="189" t="s">
        <v>167</v>
      </c>
      <c r="F1179" s="179">
        <f ca="1">COUNTIFS(Paste_Report_Here!$E$1:$E$2000,E1158, OFFSET(Paste_Report_Here!$A$1,0,$A1179,2000,1),F$75)</f>
        <v>1</v>
      </c>
      <c r="G1179" s="180">
        <f ca="1">COUNTIFS(Paste_Report_Here!$E$1:$E$2000,E1158, OFFSET(Paste_Report_Here!$A$1,0,$A1179,2000,1),G$75)</f>
        <v>1</v>
      </c>
      <c r="H1179" s="180">
        <f ca="1">COUNTIFS(Paste_Report_Here!$E$1:$E$2000,E1158, OFFSET(Paste_Report_Here!$A$1,0,$A1179,2000,1),H$75)</f>
        <v>20</v>
      </c>
      <c r="I1179" s="180">
        <f ca="1">COUNTIFS(Paste_Report_Here!$E$1:$E$2000,E1158, OFFSET(Paste_Report_Here!$A$1,0,$A1179,2000,1),I$75)</f>
        <v>5</v>
      </c>
      <c r="J1179" s="180">
        <f ca="1">COUNTIFS(Paste_Report_Here!$E$1:$E$2000,E1158, OFFSET(Paste_Report_Here!$A$1,0,$A1179,2000,1),J$75)</f>
        <v>1</v>
      </c>
      <c r="K1179" s="181">
        <f ca="1">COUNTIFS(Paste_Report_Here!$E$1:$E$2000,E1158, OFFSET(Paste_Report_Here!$A$1,0,$A1179,2000,1),K$75)</f>
        <v>0</v>
      </c>
      <c r="L1179" s="166">
        <f t="shared" ca="1" si="175"/>
        <v>28</v>
      </c>
      <c r="M1179" s="183">
        <f ca="1">SUMPRODUCT(F1179:K1179,F1162:K1162)/L:L</f>
        <v>0</v>
      </c>
      <c r="N1179" s="166">
        <f t="shared" ca="1" si="176"/>
        <v>1</v>
      </c>
      <c r="O1179" s="165">
        <f t="shared" ca="1" si="178"/>
        <v>1959.3738971782013</v>
      </c>
      <c r="P1179" s="165">
        <f t="shared" ca="1" si="177"/>
        <v>1959.3738971782013</v>
      </c>
    </row>
    <row r="1180" spans="1:16" s="165" customFormat="1" x14ac:dyDescent="0.3">
      <c r="A1180" s="165">
        <f>MATCH(Calcs!B1180,Paste_Report_Here!$1:$1,0) -1</f>
        <v>21</v>
      </c>
      <c r="B1180" s="165" t="s">
        <v>139</v>
      </c>
      <c r="C1180" s="166">
        <f ca="1">RANK(N1180,N1164:N1188)</f>
        <v>9</v>
      </c>
      <c r="D1180" s="166">
        <f ca="1">RANK(P1180,P1164:P1188)</f>
        <v>18</v>
      </c>
      <c r="E1180" s="189" t="s">
        <v>168</v>
      </c>
      <c r="F1180" s="179">
        <f ca="1">COUNTIFS(Paste_Report_Here!$E$1:$E$2000,E1158, OFFSET(Paste_Report_Here!$A$1,0,$A1180,2000,1),F$75)</f>
        <v>1</v>
      </c>
      <c r="G1180" s="180">
        <f ca="1">COUNTIFS(Paste_Report_Here!$E$1:$E$2000,E1158, OFFSET(Paste_Report_Here!$A$1,0,$A1180,2000,1),G$75)</f>
        <v>2</v>
      </c>
      <c r="H1180" s="180">
        <f ca="1">COUNTIFS(Paste_Report_Here!$E$1:$E$2000,E1158, OFFSET(Paste_Report_Here!$A$1,0,$A1180,2000,1),H$75)</f>
        <v>19</v>
      </c>
      <c r="I1180" s="180">
        <f ca="1">COUNTIFS(Paste_Report_Here!$E$1:$E$2000,E1158, OFFSET(Paste_Report_Here!$A$1,0,$A1180,2000,1),I$75)</f>
        <v>5</v>
      </c>
      <c r="J1180" s="180">
        <f ca="1">COUNTIFS(Paste_Report_Here!$E$1:$E$2000,E1158, OFFSET(Paste_Report_Here!$A$1,0,$A1180,2000,1),J$75)</f>
        <v>1</v>
      </c>
      <c r="K1180" s="181">
        <f ca="1">COUNTIFS(Paste_Report_Here!$E$1:$E$2000,E1158, OFFSET(Paste_Report_Here!$A$1,0,$A1180,2000,1),K$75)</f>
        <v>0</v>
      </c>
      <c r="L1180" s="166">
        <f t="shared" ca="1" si="175"/>
        <v>28</v>
      </c>
      <c r="M1180" s="183">
        <f ca="1">SUMPRODUCT(F1180:K1180,F1162:K1162)/L:L</f>
        <v>0</v>
      </c>
      <c r="N1180" s="166">
        <f t="shared" ca="1" si="176"/>
        <v>1</v>
      </c>
      <c r="O1180" s="165">
        <f t="shared" ca="1" si="178"/>
        <v>2025.6396268999779</v>
      </c>
      <c r="P1180" s="165">
        <f t="shared" ca="1" si="177"/>
        <v>2025.6396268999779</v>
      </c>
    </row>
    <row r="1181" spans="1:16" s="165" customFormat="1" x14ac:dyDescent="0.3">
      <c r="A1181" s="165">
        <f>MATCH(Calcs!B1181,Paste_Report_Here!$1:$1,0) -1</f>
        <v>22</v>
      </c>
      <c r="B1181" s="165" t="s">
        <v>140</v>
      </c>
      <c r="C1181" s="166">
        <f ca="1">RANK(N1181,N1164:N1188)</f>
        <v>9</v>
      </c>
      <c r="D1181" s="166">
        <f ca="1">RANK(P1181,P1164:P1188)</f>
        <v>14</v>
      </c>
      <c r="E1181" s="189" t="s">
        <v>169</v>
      </c>
      <c r="F1181" s="179">
        <f ca="1">COUNTIFS(Paste_Report_Here!$E$1:$E$2000,E1158, OFFSET(Paste_Report_Here!$A$1,0,$A1181,2000,1),F$75)</f>
        <v>1</v>
      </c>
      <c r="G1181" s="180">
        <f ca="1">COUNTIFS(Paste_Report_Here!$E$1:$E$2000,E1158, OFFSET(Paste_Report_Here!$A$1,0,$A1181,2000,1),G$75)</f>
        <v>0</v>
      </c>
      <c r="H1181" s="180">
        <f ca="1">COUNTIFS(Paste_Report_Here!$E$1:$E$2000,E1158, OFFSET(Paste_Report_Here!$A$1,0,$A1181,2000,1),H$75)</f>
        <v>20</v>
      </c>
      <c r="I1181" s="180">
        <f ca="1">COUNTIFS(Paste_Report_Here!$E$1:$E$2000,E1158, OFFSET(Paste_Report_Here!$A$1,0,$A1181,2000,1),I$75)</f>
        <v>6</v>
      </c>
      <c r="J1181" s="180">
        <f ca="1">COUNTIFS(Paste_Report_Here!$E$1:$E$2000,E1158, OFFSET(Paste_Report_Here!$A$1,0,$A1181,2000,1),J$75)</f>
        <v>1</v>
      </c>
      <c r="K1181" s="181">
        <f ca="1">COUNTIFS(Paste_Report_Here!$E$1:$E$2000,E1158, OFFSET(Paste_Report_Here!$A$1,0,$A1181,2000,1),K$75)</f>
        <v>0</v>
      </c>
      <c r="L1181" s="166">
        <f t="shared" ca="1" si="175"/>
        <v>28</v>
      </c>
      <c r="M1181" s="183">
        <f ca="1">SUMPRODUCT(F1181:K1181,F1162:K1162)/L:L</f>
        <v>0</v>
      </c>
      <c r="N1181" s="166">
        <f t="shared" ca="1" si="176"/>
        <v>1</v>
      </c>
      <c r="O1181" s="165">
        <f t="shared" ca="1" si="178"/>
        <v>2101.1126870763292</v>
      </c>
      <c r="P1181" s="165">
        <f t="shared" ca="1" si="177"/>
        <v>2101.1126870763292</v>
      </c>
    </row>
    <row r="1182" spans="1:16" s="165" customFormat="1" x14ac:dyDescent="0.3">
      <c r="A1182" s="165">
        <f>MATCH(Calcs!B1182,Paste_Report_Here!$1:$1,0) -1</f>
        <v>23</v>
      </c>
      <c r="B1182" s="165" t="s">
        <v>186</v>
      </c>
      <c r="C1182" s="166">
        <f ca="1">RANK(N1182,N1164:N1188)</f>
        <v>2</v>
      </c>
      <c r="D1182" s="166">
        <f ca="1">RANK(P1182,P1164:P1188)</f>
        <v>3</v>
      </c>
      <c r="E1182" s="189" t="s">
        <v>180</v>
      </c>
      <c r="F1182" s="179">
        <f ca="1">COUNTIFS(Paste_Report_Here!$E$1:$E$2000,E1158, OFFSET(Paste_Report_Here!$A$1,0,$A1182,2000,1),F$75)</f>
        <v>0</v>
      </c>
      <c r="G1182" s="180">
        <f ca="1">COUNTIFS(Paste_Report_Here!$E$1:$E$2000,E1158, OFFSET(Paste_Report_Here!$A$1,0,$A1182,2000,1),G$75)</f>
        <v>0</v>
      </c>
      <c r="H1182" s="180">
        <f ca="1">COUNTIFS(Paste_Report_Here!$E$1:$E$2000,E1158, OFFSET(Paste_Report_Here!$A$1,0,$A1182,2000,1),H$75)</f>
        <v>22</v>
      </c>
      <c r="I1182" s="180">
        <f ca="1">COUNTIFS(Paste_Report_Here!$E$1:$E$2000,E1158, OFFSET(Paste_Report_Here!$A$1,0,$A1182,2000,1),I$75)</f>
        <v>5</v>
      </c>
      <c r="J1182" s="180">
        <f ca="1">COUNTIFS(Paste_Report_Here!$E$1:$E$2000,E1158, OFFSET(Paste_Report_Here!$A$1,0,$A1182,2000,1),J$75)</f>
        <v>1</v>
      </c>
      <c r="K1182" s="181">
        <f ca="1">COUNTIFS(Paste_Report_Here!$E$1:$E$2000,E1158, OFFSET(Paste_Report_Here!$A$1,0,$A1182,2000,1),K$75)</f>
        <v>0</v>
      </c>
      <c r="L1182" s="166">
        <f t="shared" ca="1" si="175"/>
        <v>28</v>
      </c>
      <c r="M1182" s="183">
        <f ca="1">SUMPRODUCT(F1182:K1182,F1162:K1162)/L:L</f>
        <v>7.1428571428571435E-3</v>
      </c>
      <c r="N1182" s="166">
        <f t="shared" ca="1" si="176"/>
        <v>1.0071684281941369</v>
      </c>
      <c r="O1182" s="165">
        <f t="shared" ca="1" si="178"/>
        <v>3999.3769467401376</v>
      </c>
      <c r="P1182" s="165">
        <f t="shared" ca="1" si="177"/>
        <v>4028.0461932041308</v>
      </c>
    </row>
    <row r="1183" spans="1:16" s="165" customFormat="1" x14ac:dyDescent="0.3">
      <c r="A1183" s="165">
        <f>MATCH(Calcs!B1183,Paste_Report_Here!$1:$1,0) -1</f>
        <v>24</v>
      </c>
      <c r="B1183" s="165" t="s">
        <v>209</v>
      </c>
      <c r="C1183" s="166">
        <f ca="1">RANK(N1183,N1164:N1188)</f>
        <v>2</v>
      </c>
      <c r="D1183" s="166">
        <f ca="1">RANK(P1183,P1164:P1188)</f>
        <v>23</v>
      </c>
      <c r="E1183" s="202" t="s">
        <v>211</v>
      </c>
      <c r="F1183" s="179">
        <f ca="1">COUNTIFS(Paste_Report_Here!$E$1:$E$2000,E1158, OFFSET(Paste_Report_Here!$A$1,0,$A1183,2000,1),F$75)</f>
        <v>0</v>
      </c>
      <c r="G1183" s="180">
        <f ca="1">COUNTIFS(Paste_Report_Here!$E$1:$E$2000,E1158, OFFSET(Paste_Report_Here!$A$1,0,$A1183,2000,1),G$75)</f>
        <v>1</v>
      </c>
      <c r="H1183" s="180">
        <f ca="1">COUNTIFS(Paste_Report_Here!$E$1:$E$2000,E1158, OFFSET(Paste_Report_Here!$A$1,0,$A1183,2000,1),H$75)</f>
        <v>22</v>
      </c>
      <c r="I1183" s="180">
        <f ca="1">COUNTIFS(Paste_Report_Here!$E$1:$E$2000,E1158, OFFSET(Paste_Report_Here!$A$1,0,$A1183,2000,1),I$75)</f>
        <v>4</v>
      </c>
      <c r="J1183" s="180">
        <f ca="1">COUNTIFS(Paste_Report_Here!$E$1:$E$2000,E1158, OFFSET(Paste_Report_Here!$A$1,0,$A1183,2000,1),J$75)</f>
        <v>1</v>
      </c>
      <c r="K1183" s="181">
        <f ca="1">COUNTIFS(Paste_Report_Here!$E$1:$E$2000,E1158, OFFSET(Paste_Report_Here!$A$1,0,$A1183,2000,1),K$75)</f>
        <v>0</v>
      </c>
      <c r="L1183" s="166">
        <f t="shared" ca="1" si="175"/>
        <v>28</v>
      </c>
      <c r="M1183" s="183">
        <f ca="1">SUMPRODUCT(F1183:K1183,F1162:K1162)/L:L</f>
        <v>7.1428571428571435E-3</v>
      </c>
      <c r="N1183" s="166">
        <f t="shared" ca="1" si="176"/>
        <v>1.0071684281941369</v>
      </c>
      <c r="O1183" s="165">
        <f t="shared" ca="1" si="178"/>
        <v>1233.7478751708406</v>
      </c>
      <c r="P1183" s="165">
        <f t="shared" ca="1" si="177"/>
        <v>1242.5919082236717</v>
      </c>
    </row>
    <row r="1184" spans="1:16" s="165" customFormat="1" x14ac:dyDescent="0.3">
      <c r="A1184" s="165">
        <f>MATCH(Calcs!B1184,Paste_Report_Here!$1:$1,0) -1</f>
        <v>25</v>
      </c>
      <c r="B1184" s="165" t="s">
        <v>141</v>
      </c>
      <c r="C1184" s="166">
        <f ca="1">RANK(N1184,N1164:N1188)</f>
        <v>9</v>
      </c>
      <c r="D1184" s="166">
        <f ca="1">RANK(P1184,P1164:P1188)</f>
        <v>22</v>
      </c>
      <c r="E1184" s="189" t="s">
        <v>170</v>
      </c>
      <c r="F1184" s="179">
        <f ca="1">COUNTIFS(Paste_Report_Here!$E$1:$E$2000,E1158, OFFSET(Paste_Report_Here!$A$1,0,$A1184,2000,1),F$75)</f>
        <v>0</v>
      </c>
      <c r="G1184" s="180">
        <f ca="1">COUNTIFS(Paste_Report_Here!$E$1:$E$2000,E1158, OFFSET(Paste_Report_Here!$A$1,0,$A1184,2000,1),G$75)</f>
        <v>2</v>
      </c>
      <c r="H1184" s="180">
        <f ca="1">COUNTIFS(Paste_Report_Here!$E$1:$E$2000,E1158, OFFSET(Paste_Report_Here!$A$1,0,$A1184,2000,1),H$75)</f>
        <v>21</v>
      </c>
      <c r="I1184" s="180">
        <f ca="1">COUNTIFS(Paste_Report_Here!$E$1:$E$2000,E1158, OFFSET(Paste_Report_Here!$A$1,0,$A1184,2000,1),I$75)</f>
        <v>5</v>
      </c>
      <c r="J1184" s="180">
        <f ca="1">COUNTIFS(Paste_Report_Here!$E$1:$E$2000,E1158, OFFSET(Paste_Report_Here!$A$1,0,$A1184,2000,1),J$75)</f>
        <v>0</v>
      </c>
      <c r="K1184" s="181">
        <f ca="1">COUNTIFS(Paste_Report_Here!$E$1:$E$2000,E1158, OFFSET(Paste_Report_Here!$A$1,0,$A1184,2000,1),K$75)</f>
        <v>0</v>
      </c>
      <c r="L1184" s="166">
        <f t="shared" ca="1" si="175"/>
        <v>28</v>
      </c>
      <c r="M1184" s="183">
        <f ca="1">SUMPRODUCT(F1184:K1184,F1162:K1162)/L:L</f>
        <v>0</v>
      </c>
      <c r="N1184" s="166">
        <f t="shared" ca="1" si="176"/>
        <v>1</v>
      </c>
      <c r="O1184" s="165">
        <f t="shared" ca="1" si="178"/>
        <v>1381.4574480910408</v>
      </c>
      <c r="P1184" s="165">
        <f t="shared" ca="1" si="177"/>
        <v>1381.4574480910408</v>
      </c>
    </row>
    <row r="1185" spans="1:16" s="165" customFormat="1" x14ac:dyDescent="0.3">
      <c r="A1185" s="165">
        <f>MATCH(Calcs!B1185,Paste_Report_Here!$1:$1,0) -1</f>
        <v>26</v>
      </c>
      <c r="B1185" s="165" t="s">
        <v>142</v>
      </c>
      <c r="C1185" s="166">
        <f ca="1">RANK(N1185,N1164:N1188)</f>
        <v>9</v>
      </c>
      <c r="D1185" s="166">
        <f ca="1">RANK(P1185,P1164:P1188)</f>
        <v>12</v>
      </c>
      <c r="E1185" s="189" t="s">
        <v>171</v>
      </c>
      <c r="F1185" s="179">
        <f ca="1">COUNTIFS(Paste_Report_Here!$E$1:$E$2000,E1158, OFFSET(Paste_Report_Here!$A$1,0,$A1185,2000,1),F$75)</f>
        <v>0</v>
      </c>
      <c r="G1185" s="180">
        <f ca="1">COUNTIFS(Paste_Report_Here!$E$1:$E$2000,E1158, OFFSET(Paste_Report_Here!$A$1,0,$A1185,2000,1),G$75)</f>
        <v>1</v>
      </c>
      <c r="H1185" s="180">
        <f ca="1">COUNTIFS(Paste_Report_Here!$E$1:$E$2000,E1158, OFFSET(Paste_Report_Here!$A$1,0,$A1185,2000,1),H$75)</f>
        <v>21</v>
      </c>
      <c r="I1185" s="180">
        <f ca="1">COUNTIFS(Paste_Report_Here!$E$1:$E$2000,E1158, OFFSET(Paste_Report_Here!$A$1,0,$A1185,2000,1),I$75)</f>
        <v>6</v>
      </c>
      <c r="J1185" s="180">
        <f ca="1">COUNTIFS(Paste_Report_Here!$E$1:$E$2000,E1158, OFFSET(Paste_Report_Here!$A$1,0,$A1185,2000,1),J$75)</f>
        <v>0</v>
      </c>
      <c r="K1185" s="181">
        <f ca="1">COUNTIFS(Paste_Report_Here!$E$1:$E$2000,E1158, OFFSET(Paste_Report_Here!$A$1,0,$A1185,2000,1),K$75)</f>
        <v>0</v>
      </c>
      <c r="L1185" s="166">
        <f t="shared" ca="1" si="175"/>
        <v>28</v>
      </c>
      <c r="M1185" s="183">
        <f ca="1">SUMPRODUCT(F1185:K1185,F1162:K1162)/L:L</f>
        <v>0</v>
      </c>
      <c r="N1185" s="166">
        <f t="shared" ca="1" si="176"/>
        <v>1</v>
      </c>
      <c r="O1185" s="165">
        <f t="shared" ca="1" si="178"/>
        <v>2298.3871369746121</v>
      </c>
      <c r="P1185" s="165">
        <f t="shared" ca="1" si="177"/>
        <v>2298.3871369746121</v>
      </c>
    </row>
    <row r="1186" spans="1:16" s="165" customFormat="1" x14ac:dyDescent="0.3">
      <c r="A1186" s="165">
        <f>MATCH(Calcs!B1186,Paste_Report_Here!$1:$1,0) -1</f>
        <v>27</v>
      </c>
      <c r="B1186" s="165" t="s">
        <v>210</v>
      </c>
      <c r="C1186" s="166">
        <f ca="1">RANK(N1186,N1164:N1188)</f>
        <v>2</v>
      </c>
      <c r="D1186" s="166">
        <f ca="1">RANK(P1186,P1164:P1188)</f>
        <v>24</v>
      </c>
      <c r="E1186" s="202" t="s">
        <v>212</v>
      </c>
      <c r="F1186" s="179">
        <f ca="1">COUNTIFS(Paste_Report_Here!$E$1:$E$2000,E1158, OFFSET(Paste_Report_Here!$A$1,0,$A1186,2000,1),F$75)</f>
        <v>0</v>
      </c>
      <c r="G1186" s="180">
        <f ca="1">COUNTIFS(Paste_Report_Here!$E$1:$E$2000,E1158, OFFSET(Paste_Report_Here!$A$1,0,$A1186,2000,1),G$75)</f>
        <v>1</v>
      </c>
      <c r="H1186" s="180">
        <f ca="1">COUNTIFS(Paste_Report_Here!$E$1:$E$2000,E1158, OFFSET(Paste_Report_Here!$A$1,0,$A1186,2000,1),H$75)</f>
        <v>20</v>
      </c>
      <c r="I1186" s="180">
        <f ca="1">COUNTIFS(Paste_Report_Here!$E$1:$E$2000,E1158, OFFSET(Paste_Report_Here!$A$1,0,$A1186,2000,1),I$75)</f>
        <v>6</v>
      </c>
      <c r="J1186" s="180">
        <f ca="1">COUNTIFS(Paste_Report_Here!$E$1:$E$2000,E1158, OFFSET(Paste_Report_Here!$A$1,0,$A1186,2000,1),J$75)</f>
        <v>1</v>
      </c>
      <c r="K1186" s="181">
        <f ca="1">COUNTIFS(Paste_Report_Here!$E$1:$E$2000,E1158, OFFSET(Paste_Report_Here!$A$1,0,$A1186,2000,1),K$75)</f>
        <v>0</v>
      </c>
      <c r="L1186" s="166">
        <f t="shared" ca="1" si="175"/>
        <v>28</v>
      </c>
      <c r="M1186" s="183">
        <f ca="1">SUMPRODUCT(F1186:K1186,F1162:K1162)/L:L</f>
        <v>7.1428571428571435E-3</v>
      </c>
      <c r="N1186" s="166">
        <f t="shared" ca="1" si="176"/>
        <v>1.0071684281941369</v>
      </c>
      <c r="O1186" s="165">
        <f t="shared" ca="1" si="178"/>
        <v>1145.9000917608137</v>
      </c>
      <c r="P1186" s="165">
        <f t="shared" ca="1" si="177"/>
        <v>1154.1143942862559</v>
      </c>
    </row>
    <row r="1187" spans="1:16" s="165" customFormat="1" x14ac:dyDescent="0.3">
      <c r="A1187" s="165">
        <f>MATCH(Calcs!B1187,Paste_Report_Here!$1:$1,0) -1</f>
        <v>28</v>
      </c>
      <c r="B1187" s="165" t="s">
        <v>143</v>
      </c>
      <c r="C1187" s="166">
        <f ca="1">RANK(N1187,N1165:N1189)</f>
        <v>2</v>
      </c>
      <c r="D1187" s="166">
        <f ca="1">RANK(P1187,P1164:P1188)</f>
        <v>1</v>
      </c>
      <c r="E1187" s="189" t="s">
        <v>172</v>
      </c>
      <c r="F1187" s="179">
        <f ca="1">COUNTIFS(Paste_Report_Here!$E$1:$E$2000,E1158, OFFSET(Paste_Report_Here!$A$1,0,$A1187,2000,1),F$75)</f>
        <v>0</v>
      </c>
      <c r="G1187" s="180">
        <f ca="1">COUNTIFS(Paste_Report_Here!$E$1:$E$2000,E1158, OFFSET(Paste_Report_Here!$A$1,0,$A1187,2000,1),G$75)</f>
        <v>0</v>
      </c>
      <c r="H1187" s="180">
        <f ca="1">COUNTIFS(Paste_Report_Here!$E$1:$E$2000,E1158, OFFSET(Paste_Report_Here!$A$1,0,$A1187,2000,1),H$75)</f>
        <v>20</v>
      </c>
      <c r="I1187" s="180">
        <f ca="1">COUNTIFS(Paste_Report_Here!$E$1:$E$2000,E1158, OFFSET(Paste_Report_Here!$A$1,0,$A1187,2000,1),I$75)</f>
        <v>7</v>
      </c>
      <c r="J1187" s="180">
        <f ca="1">COUNTIFS(Paste_Report_Here!$E$1:$E$2000,E1158, OFFSET(Paste_Report_Here!$A$1,0,$A1187,2000,1),J$75)</f>
        <v>1</v>
      </c>
      <c r="K1187" s="181">
        <f ca="1">COUNTIFS(Paste_Report_Here!$E$1:$E$2000,E1158, OFFSET(Paste_Report_Here!$A$1,0,$A1187,2000,1),K$75)</f>
        <v>0</v>
      </c>
      <c r="L1187" s="166">
        <f t="shared" ca="1" si="175"/>
        <v>28</v>
      </c>
      <c r="M1187" s="183">
        <f ca="1">SUMPRODUCT(F1187:K1187,F1162:K1162)/L:L</f>
        <v>7.1428571428571435E-3</v>
      </c>
      <c r="N1187" s="166">
        <f t="shared" ca="1" si="176"/>
        <v>1.0071684281941369</v>
      </c>
      <c r="O1187" s="165">
        <f t="shared" ca="1" si="178"/>
        <v>8784.7898941748117</v>
      </c>
      <c r="P1187" s="165">
        <f t="shared" ca="1" si="177"/>
        <v>8847.7630297317828</v>
      </c>
    </row>
    <row r="1188" spans="1:16" s="165" customFormat="1" x14ac:dyDescent="0.3">
      <c r="A1188" s="165">
        <f>MATCH(Calcs!B1188,Paste_Report_Here!$1:$1,0) -1</f>
        <v>29</v>
      </c>
      <c r="B1188" s="187" t="s">
        <v>144</v>
      </c>
      <c r="C1188" s="147">
        <f ca="1">RANK(N1188,N1164:N1188)</f>
        <v>1</v>
      </c>
      <c r="D1188" s="147">
        <f ca="1">RANK(P1188,P1164:P1188)</f>
        <v>11</v>
      </c>
      <c r="E1188" s="145" t="s">
        <v>173</v>
      </c>
      <c r="F1188" s="146">
        <f ca="1">COUNTIFS(Paste_Report_Here!$E$1:$E$2000,E1158, OFFSET(Paste_Report_Here!$A$1,0,$A1188,2000,1),F$75)</f>
        <v>0</v>
      </c>
      <c r="G1188" s="147">
        <f ca="1">COUNTIFS(Paste_Report_Here!$E$1:$E$2000,E1158, OFFSET(Paste_Report_Here!$A$1,0,$A1188,2000,1),G$75)</f>
        <v>0</v>
      </c>
      <c r="H1188" s="147">
        <f ca="1">COUNTIFS(Paste_Report_Here!$E$1:$E$2000,E1158, OFFSET(Paste_Report_Here!$A$1,0,$A1188,2000,1),H$75)</f>
        <v>22</v>
      </c>
      <c r="I1188" s="147">
        <f ca="1">COUNTIFS(Paste_Report_Here!$E$1:$E$2000,E1158, OFFSET(Paste_Report_Here!$A$1,0,$A1188,2000,1),I$75)</f>
        <v>4</v>
      </c>
      <c r="J1188" s="147">
        <f ca="1">COUNTIFS(Paste_Report_Here!$E$1:$E$2000,E1158, OFFSET(Paste_Report_Here!$A$1,0,$A1188,2000,1),J$75)</f>
        <v>2</v>
      </c>
      <c r="K1188" s="148">
        <f ca="1">COUNTIFS(Paste_Report_Here!$E$1:$E$2000,E1158, OFFSET(Paste_Report_Here!$A$1,0,$A1188,2000,1),K$75)</f>
        <v>0</v>
      </c>
      <c r="L1188" s="147">
        <f t="shared" ca="1" si="175"/>
        <v>28</v>
      </c>
      <c r="M1188" s="149">
        <f ca="1">SUMPRODUCT(F1188:K1188,F1162:K1162)/L:L</f>
        <v>1.4285714285714287E-2</v>
      </c>
      <c r="N1188" s="147">
        <f t="shared" ca="1" si="176"/>
        <v>1.014388242751048</v>
      </c>
      <c r="O1188" s="187">
        <f t="shared" ca="1" si="178"/>
        <v>2339.0280454071126</v>
      </c>
      <c r="P1188" s="165">
        <f t="shared" ca="1" si="177"/>
        <v>2372.6825487259393</v>
      </c>
    </row>
    <row r="1189" spans="1:16" s="165" customFormat="1" x14ac:dyDescent="0.3">
      <c r="C1189" s="166"/>
      <c r="E1189" s="140" t="s">
        <v>293</v>
      </c>
      <c r="F1189" s="180">
        <f ca="1">SUM(F1164:F1188)</f>
        <v>15</v>
      </c>
      <c r="G1189" s="180">
        <f t="shared" ref="G1189:L1189" ca="1" si="179">SUM(G1164:G1188)</f>
        <v>17</v>
      </c>
      <c r="H1189" s="180">
        <f t="shared" ca="1" si="179"/>
        <v>517</v>
      </c>
      <c r="I1189" s="180">
        <f t="shared" ca="1" si="179"/>
        <v>133</v>
      </c>
      <c r="J1189" s="180">
        <f t="shared" ca="1" si="179"/>
        <v>17</v>
      </c>
      <c r="K1189" s="180">
        <f t="shared" ca="1" si="179"/>
        <v>1</v>
      </c>
      <c r="L1189" s="180">
        <f t="shared" ca="1" si="179"/>
        <v>700</v>
      </c>
      <c r="M1189" s="144">
        <f ca="1">SUMPRODUCT(F1189:K1189,F1162:K1162)/L1189</f>
        <v>5.7142857142857191E-4</v>
      </c>
      <c r="N1189" s="166">
        <f t="shared" ca="1" si="176"/>
        <v>1.0005715918678373</v>
      </c>
      <c r="O1189" s="165">
        <f t="shared" ca="1" si="178"/>
        <v>2691.1983026878206</v>
      </c>
      <c r="P1189" s="165">
        <f t="shared" ca="1" si="177"/>
        <v>2692.7365697523746</v>
      </c>
    </row>
    <row r="1190" spans="1:16" s="165" customFormat="1" x14ac:dyDescent="0.3">
      <c r="A1190" s="194"/>
      <c r="B1190" s="194"/>
      <c r="C1190" s="153"/>
      <c r="D1190" s="194"/>
      <c r="E1190" s="164"/>
      <c r="F1190" s="151"/>
      <c r="G1190" s="151"/>
      <c r="H1190" s="151"/>
      <c r="I1190" s="151"/>
      <c r="J1190" s="151"/>
      <c r="K1190" s="151"/>
      <c r="L1190" s="151"/>
      <c r="M1190" s="162"/>
      <c r="N1190" s="153"/>
      <c r="O1190" s="194"/>
      <c r="P1190" s="194"/>
    </row>
    <row r="1191" spans="1:16" s="165" customFormat="1" x14ac:dyDescent="0.3">
      <c r="E1191" s="173" t="s">
        <v>292</v>
      </c>
    </row>
    <row r="1192" spans="1:16" s="165" customFormat="1" x14ac:dyDescent="0.3">
      <c r="E1192" s="141">
        <v>41607</v>
      </c>
    </row>
    <row r="1193" spans="1:16" s="165" customFormat="1" ht="15" thickBot="1" x14ac:dyDescent="0.35"/>
    <row r="1194" spans="1:16" s="165" customFormat="1" ht="24.6" thickBot="1" x14ac:dyDescent="0.35">
      <c r="F1194" s="174" t="s">
        <v>23</v>
      </c>
      <c r="G1194" s="168" t="s">
        <v>18</v>
      </c>
      <c r="H1194" s="168" t="s">
        <v>16</v>
      </c>
      <c r="I1194" s="168" t="s">
        <v>17</v>
      </c>
      <c r="J1194" s="168" t="s">
        <v>19</v>
      </c>
      <c r="K1194" s="169" t="s">
        <v>114</v>
      </c>
    </row>
    <row r="1195" spans="1:16" s="165" customFormat="1" x14ac:dyDescent="0.3">
      <c r="F1195" s="267" t="s">
        <v>201</v>
      </c>
      <c r="G1195" s="268"/>
      <c r="H1195" s="268"/>
      <c r="I1195" s="268"/>
      <c r="J1195" s="268"/>
      <c r="K1195" s="169"/>
      <c r="M1195" s="203">
        <f ca="1">(H1223+K1223)/L1223</f>
        <v>0.75034482758620691</v>
      </c>
      <c r="N1195" s="204" t="s">
        <v>501</v>
      </c>
    </row>
    <row r="1196" spans="1:16" s="165" customFormat="1" ht="43.8" thickBot="1" x14ac:dyDescent="0.35">
      <c r="A1196" s="142" t="s">
        <v>294</v>
      </c>
      <c r="B1196" s="142" t="s">
        <v>295</v>
      </c>
      <c r="C1196" s="197" t="s">
        <v>440</v>
      </c>
      <c r="D1196" s="142" t="s">
        <v>441</v>
      </c>
      <c r="E1196" s="171" t="s">
        <v>30</v>
      </c>
      <c r="F1196" s="175">
        <f>Falling_fast</f>
        <v>-0.2</v>
      </c>
      <c r="G1196" s="176">
        <f>Falling</f>
        <v>0</v>
      </c>
      <c r="H1196" s="177">
        <f>Static</f>
        <v>0</v>
      </c>
      <c r="I1196" s="176">
        <f>Rising</f>
        <v>0</v>
      </c>
      <c r="J1196" s="178">
        <f>Rising_fast</f>
        <v>0.2</v>
      </c>
      <c r="K1196" s="182">
        <v>0</v>
      </c>
      <c r="L1196" s="171" t="s">
        <v>28</v>
      </c>
      <c r="M1196" s="172" t="s">
        <v>29</v>
      </c>
      <c r="N1196" s="143" t="s">
        <v>296</v>
      </c>
      <c r="O1196" s="142" t="s">
        <v>297</v>
      </c>
      <c r="P1196" s="142" t="s">
        <v>298</v>
      </c>
    </row>
    <row r="1197" spans="1:16" s="165" customFormat="1" x14ac:dyDescent="0.3">
      <c r="C1197" s="166"/>
      <c r="E1197" s="192"/>
      <c r="F1197" s="198" t="s">
        <v>151</v>
      </c>
      <c r="G1197" s="199" t="s">
        <v>149</v>
      </c>
      <c r="H1197" s="199" t="s">
        <v>16</v>
      </c>
      <c r="I1197" s="199" t="s">
        <v>148</v>
      </c>
      <c r="J1197" s="199" t="s">
        <v>150</v>
      </c>
      <c r="K1197" s="200" t="s">
        <v>114</v>
      </c>
      <c r="L1197" s="166"/>
      <c r="M1197" s="170"/>
      <c r="N1197" s="166"/>
    </row>
    <row r="1198" spans="1:16" s="165" customFormat="1" x14ac:dyDescent="0.3">
      <c r="A1198" s="165">
        <f>MATCH(Calcs!B1198,Paste_Report_Here!$1:$1,0) -1</f>
        <v>5</v>
      </c>
      <c r="B1198" s="165" t="s">
        <v>124</v>
      </c>
      <c r="C1198" s="166">
        <f ca="1">RANK(N1198,N1198:N1222)</f>
        <v>8</v>
      </c>
      <c r="D1198" s="166">
        <f ca="1">RANK(P1198,P1198:P1222)</f>
        <v>16</v>
      </c>
      <c r="E1198" s="189" t="s">
        <v>152</v>
      </c>
      <c r="F1198" s="179">
        <f ca="1">COUNTIFS(Paste_Report_Here!$E$1:$E$2000,E1192, OFFSET(Paste_Report_Here!$A$1,0,$A1198,2000,1),F$75)</f>
        <v>0</v>
      </c>
      <c r="G1198" s="180">
        <f ca="1">COUNTIFS(Paste_Report_Here!$E$1:$E$2000,E1192, OFFSET(Paste_Report_Here!$A$1,0,$A1198,2000,1),G$75)</f>
        <v>3</v>
      </c>
      <c r="H1198" s="180">
        <f ca="1">COUNTIFS(Paste_Report_Here!$E$1:$E$2000,E1192, OFFSET(Paste_Report_Here!$A$1,0,$A1198,2000,1),H$75)</f>
        <v>22</v>
      </c>
      <c r="I1198" s="180">
        <f ca="1">COUNTIFS(Paste_Report_Here!$E$1:$E$2000,E1192, OFFSET(Paste_Report_Here!$A$1,0,$A1198,2000,1),I$75)</f>
        <v>3</v>
      </c>
      <c r="J1198" s="180">
        <f ca="1">COUNTIFS(Paste_Report_Here!$E$1:$E$2000,E1192, OFFSET(Paste_Report_Here!$A$1,0,$A1198,2000,1),J$75)</f>
        <v>1</v>
      </c>
      <c r="K1198" s="181">
        <f ca="1">COUNTIFS(Paste_Report_Here!$E$1:$E$2000,E1192, OFFSET(Paste_Report_Here!$A$1,0,$A1198,2000,1),K$75)</f>
        <v>0</v>
      </c>
      <c r="L1198" s="166">
        <f t="shared" ref="L1198:L1222" ca="1" si="180">SUM(F1198:K1198)</f>
        <v>29</v>
      </c>
      <c r="M1198" s="183">
        <f ca="1">SUMPRODUCT(F1198:K1198,F1196:K1196)/L:L</f>
        <v>6.8965517241379318E-3</v>
      </c>
      <c r="N1198" s="166">
        <f t="shared" ref="N1198:N1223" ca="1" si="181">EXP(M1198)</f>
        <v>1.0069203877008224</v>
      </c>
      <c r="O1198" s="165">
        <f ca="1">P1164</f>
        <v>2068.2127658685417</v>
      </c>
      <c r="P1198" s="165">
        <f t="shared" ref="P1198:P1223" ca="1" si="182">O1198*N1198</f>
        <v>2082.5256000561421</v>
      </c>
    </row>
    <row r="1199" spans="1:16" s="165" customFormat="1" x14ac:dyDescent="0.3">
      <c r="A1199" s="165">
        <f>MATCH(Calcs!B1199,Paste_Report_Here!$1:$1,0) -1</f>
        <v>6</v>
      </c>
      <c r="B1199" s="165" t="s">
        <v>125</v>
      </c>
      <c r="C1199" s="166">
        <f ca="1">RANK(N1199,N1198:N1222)</f>
        <v>22</v>
      </c>
      <c r="D1199" s="166">
        <f ca="1">RANK(P1199,P1198:P1222)</f>
        <v>15</v>
      </c>
      <c r="E1199" s="189" t="s">
        <v>153</v>
      </c>
      <c r="F1199" s="179">
        <f ca="1">COUNTIFS(Paste_Report_Here!$E$1:$E$2000,E1192, OFFSET(Paste_Report_Here!$A$1,0,$A1199,2000,1),F$75)</f>
        <v>1</v>
      </c>
      <c r="G1199" s="180">
        <f ca="1">COUNTIFS(Paste_Report_Here!$E$1:$E$2000,E1192, OFFSET(Paste_Report_Here!$A$1,0,$A1199,2000,1),G$75)</f>
        <v>3</v>
      </c>
      <c r="H1199" s="180">
        <f ca="1">COUNTIFS(Paste_Report_Here!$E$1:$E$2000,E1192, OFFSET(Paste_Report_Here!$A$1,0,$A1199,2000,1),H$75)</f>
        <v>23</v>
      </c>
      <c r="I1199" s="180">
        <f ca="1">COUNTIFS(Paste_Report_Here!$E$1:$E$2000,E1192, OFFSET(Paste_Report_Here!$A$1,0,$A1199,2000,1),I$75)</f>
        <v>2</v>
      </c>
      <c r="J1199" s="180">
        <f ca="1">COUNTIFS(Paste_Report_Here!$E$1:$E$2000,E1192, OFFSET(Paste_Report_Here!$A$1,0,$A1199,2000,1),J$75)</f>
        <v>0</v>
      </c>
      <c r="K1199" s="181">
        <f ca="1">COUNTIFS(Paste_Report_Here!$E$1:$E$2000,E1192, OFFSET(Paste_Report_Here!$A$1,0,$A1199,2000,1),K$75)</f>
        <v>0</v>
      </c>
      <c r="L1199" s="166">
        <f t="shared" ca="1" si="180"/>
        <v>29</v>
      </c>
      <c r="M1199" s="183">
        <f ca="1">SUMPRODUCT(F1199:K1199,F1196:K1196)/L:L</f>
        <v>-6.8965517241379318E-3</v>
      </c>
      <c r="N1199" s="166">
        <f t="shared" ca="1" si="181"/>
        <v>0.99312717491337699</v>
      </c>
      <c r="O1199" s="165">
        <f t="shared" ref="O1199:O1223" ca="1" si="183">P1165</f>
        <v>2098.1455122154252</v>
      </c>
      <c r="P1199" s="165">
        <f t="shared" ca="1" si="182"/>
        <v>2083.7253251036855</v>
      </c>
    </row>
    <row r="1200" spans="1:16" s="165" customFormat="1" x14ac:dyDescent="0.3">
      <c r="A1200" s="165">
        <f>MATCH(Calcs!B1200,Paste_Report_Here!$1:$1,0) -1</f>
        <v>7</v>
      </c>
      <c r="B1200" s="165" t="s">
        <v>126</v>
      </c>
      <c r="C1200" s="166">
        <f ca="1">RANK(N1200,N1198:N1222)</f>
        <v>12</v>
      </c>
      <c r="D1200" s="166">
        <f ca="1">RANK(P1200,P1198:P1222)</f>
        <v>8</v>
      </c>
      <c r="E1200" s="189" t="s">
        <v>154</v>
      </c>
      <c r="F1200" s="179">
        <f ca="1">COUNTIFS(Paste_Report_Here!$E$1:$E$2000,E1192, OFFSET(Paste_Report_Here!$A$1,0,$A1200,2000,1),F$75)</f>
        <v>0</v>
      </c>
      <c r="G1200" s="180">
        <f ca="1">COUNTIFS(Paste_Report_Here!$E$1:$E$2000,E1192, OFFSET(Paste_Report_Here!$A$1,0,$A1200,2000,1),G$75)</f>
        <v>3</v>
      </c>
      <c r="H1200" s="180">
        <f ca="1">COUNTIFS(Paste_Report_Here!$E$1:$E$2000,E1192, OFFSET(Paste_Report_Here!$A$1,0,$A1200,2000,1),H$75)</f>
        <v>22</v>
      </c>
      <c r="I1200" s="180">
        <f ca="1">COUNTIFS(Paste_Report_Here!$E$1:$E$2000,E1192, OFFSET(Paste_Report_Here!$A$1,0,$A1200,2000,1),I$75)</f>
        <v>4</v>
      </c>
      <c r="J1200" s="180">
        <f ca="1">COUNTIFS(Paste_Report_Here!$E$1:$E$2000,E1192, OFFSET(Paste_Report_Here!$A$1,0,$A1200,2000,1),J$75)</f>
        <v>0</v>
      </c>
      <c r="K1200" s="181">
        <f ca="1">COUNTIFS(Paste_Report_Here!$E$1:$E$2000,E1192, OFFSET(Paste_Report_Here!$A$1,0,$A1200,2000,1),K$75)</f>
        <v>0</v>
      </c>
      <c r="L1200" s="166">
        <f t="shared" ca="1" si="180"/>
        <v>29</v>
      </c>
      <c r="M1200" s="183">
        <f ca="1">SUMPRODUCT(F1200:K1200,F1196:K1196)/L:L</f>
        <v>0</v>
      </c>
      <c r="N1200" s="166">
        <f t="shared" ca="1" si="181"/>
        <v>1</v>
      </c>
      <c r="O1200" s="165">
        <f t="shared" ca="1" si="183"/>
        <v>2773.0112481875444</v>
      </c>
      <c r="P1200" s="165">
        <f t="shared" ca="1" si="182"/>
        <v>2773.0112481875444</v>
      </c>
    </row>
    <row r="1201" spans="1:16" s="165" customFormat="1" x14ac:dyDescent="0.3">
      <c r="A1201" s="165">
        <f>MATCH(Calcs!B1201,Paste_Report_Here!$1:$1,0) -1</f>
        <v>8</v>
      </c>
      <c r="B1201" s="165" t="s">
        <v>127</v>
      </c>
      <c r="C1201" s="166">
        <v>3</v>
      </c>
      <c r="D1201" s="166">
        <f ca="1">RANK(P1201,P1198:P1222)</f>
        <v>7</v>
      </c>
      <c r="E1201" s="189" t="s">
        <v>155</v>
      </c>
      <c r="F1201" s="179">
        <f ca="1">COUNTIFS(Paste_Report_Here!$E$1:$E$2000,E1192, OFFSET(Paste_Report_Here!$A$1,0,$A1201,2000,1),F$75)</f>
        <v>0</v>
      </c>
      <c r="G1201" s="180">
        <f ca="1">COUNTIFS(Paste_Report_Here!$E$1:$E$2000,E1192, OFFSET(Paste_Report_Here!$A$1,0,$A1201,2000,1),G$75)</f>
        <v>1</v>
      </c>
      <c r="H1201" s="180">
        <f ca="1">COUNTIFS(Paste_Report_Here!$E$1:$E$2000,E1192, OFFSET(Paste_Report_Here!$A$1,0,$A1201,2000,1),H$75)</f>
        <v>18</v>
      </c>
      <c r="I1201" s="180">
        <f ca="1">COUNTIFS(Paste_Report_Here!$E$1:$E$2000,E1192, OFFSET(Paste_Report_Here!$A$1,0,$A1201,2000,1),I$75)</f>
        <v>8</v>
      </c>
      <c r="J1201" s="180">
        <f ca="1">COUNTIFS(Paste_Report_Here!$E$1:$E$2000,E1192, OFFSET(Paste_Report_Here!$A$1,0,$A1201,2000,1),J$75)</f>
        <v>2</v>
      </c>
      <c r="K1201" s="181">
        <f ca="1">COUNTIFS(Paste_Report_Here!$E$1:$E$2000,E1192, OFFSET(Paste_Report_Here!$A$1,0,$A1201,2000,1),K$75)</f>
        <v>0</v>
      </c>
      <c r="L1201" s="166">
        <f t="shared" ca="1" si="180"/>
        <v>29</v>
      </c>
      <c r="M1201" s="183">
        <f ca="1">SUMPRODUCT(F1201:K1201,F1196:K1196)/L:L</f>
        <v>1.3793103448275864E-2</v>
      </c>
      <c r="N1201" s="166">
        <f t="shared" ca="1" si="181"/>
        <v>1.0138886671675746</v>
      </c>
      <c r="O1201" s="165">
        <f t="shared" ca="1" si="183"/>
        <v>2896.5337760630287</v>
      </c>
      <c r="P1201" s="165">
        <f t="shared" ca="1" si="182"/>
        <v>2936.7627696184063</v>
      </c>
    </row>
    <row r="1202" spans="1:16" s="165" customFormat="1" x14ac:dyDescent="0.3">
      <c r="A1202" s="165">
        <f>MATCH(Calcs!B1202,Paste_Report_Here!$1:$1,0) -1</f>
        <v>9</v>
      </c>
      <c r="B1202" s="165" t="s">
        <v>214</v>
      </c>
      <c r="C1202" s="166">
        <f ca="1">RANK(N1202,N1198:N1222)</f>
        <v>12</v>
      </c>
      <c r="D1202" s="166">
        <f ca="1">RANK(P1202,P1198:P1222)</f>
        <v>5</v>
      </c>
      <c r="E1202" s="189" t="s">
        <v>156</v>
      </c>
      <c r="F1202" s="179">
        <f ca="1">COUNTIFS(Paste_Report_Here!$E$1:$E$2000,E1192, OFFSET(Paste_Report_Here!$A$1,0,$A1202,2000,1),F$75)</f>
        <v>0</v>
      </c>
      <c r="G1202" s="180">
        <f ca="1">COUNTIFS(Paste_Report_Here!$E$1:$E$2000,E1192, OFFSET(Paste_Report_Here!$A$1,0,$A1202,2000,1),G$75)</f>
        <v>1</v>
      </c>
      <c r="H1202" s="180">
        <f ca="1">COUNTIFS(Paste_Report_Here!$E$1:$E$2000,E1192, OFFSET(Paste_Report_Here!$A$1,0,$A1202,2000,1),H$75)</f>
        <v>19</v>
      </c>
      <c r="I1202" s="180">
        <f ca="1">COUNTIFS(Paste_Report_Here!$E$1:$E$2000,E1192, OFFSET(Paste_Report_Here!$A$1,0,$A1202,2000,1),I$75)</f>
        <v>8</v>
      </c>
      <c r="J1202" s="180">
        <f ca="1">COUNTIFS(Paste_Report_Here!$E$1:$E$2000,E1192, OFFSET(Paste_Report_Here!$A$1,0,$A1202,2000,1),J$75)</f>
        <v>0</v>
      </c>
      <c r="K1202" s="181">
        <f ca="1">COUNTIFS(Paste_Report_Here!$E$1:$E$2000,E1192, OFFSET(Paste_Report_Here!$A$1,0,$A1202,2000,1),K$75)</f>
        <v>1</v>
      </c>
      <c r="L1202" s="166">
        <f t="shared" ca="1" si="180"/>
        <v>29</v>
      </c>
      <c r="M1202" s="183">
        <f ca="1">SUMPRODUCT(F1202:K1202,F1196:K1196)/L:L</f>
        <v>0</v>
      </c>
      <c r="N1202" s="166">
        <f t="shared" ca="1" si="181"/>
        <v>1</v>
      </c>
      <c r="O1202" s="165">
        <f t="shared" ca="1" si="183"/>
        <v>3779.2561997033695</v>
      </c>
      <c r="P1202" s="165">
        <f t="shared" ca="1" si="182"/>
        <v>3779.2561997033695</v>
      </c>
    </row>
    <row r="1203" spans="1:16" s="165" customFormat="1" x14ac:dyDescent="0.3">
      <c r="A1203" s="165">
        <f>MATCH(Calcs!B1203,Paste_Report_Here!$1:$1,0) -1</f>
        <v>10</v>
      </c>
      <c r="B1203" s="165" t="s">
        <v>128</v>
      </c>
      <c r="C1203" s="166">
        <f ca="1">RANK(N1203,N1198:N1222)</f>
        <v>8</v>
      </c>
      <c r="D1203" s="166">
        <f ca="1">RANK(P1203,P1198:P1222)</f>
        <v>21</v>
      </c>
      <c r="E1203" s="189" t="s">
        <v>157</v>
      </c>
      <c r="F1203" s="179">
        <f ca="1">COUNTIFS(Paste_Report_Here!$E$1:$E$2000,E1192, OFFSET(Paste_Report_Here!$A$1,0,$A1203,2000,1),F$75)</f>
        <v>0</v>
      </c>
      <c r="G1203" s="180">
        <f ca="1">COUNTIFS(Paste_Report_Here!$E$1:$E$2000,E1192, OFFSET(Paste_Report_Here!$A$1,0,$A1203,2000,1),G$75)</f>
        <v>3</v>
      </c>
      <c r="H1203" s="180">
        <f ca="1">COUNTIFS(Paste_Report_Here!$E$1:$E$2000,E1192, OFFSET(Paste_Report_Here!$A$1,0,$A1203,2000,1),H$75)</f>
        <v>24</v>
      </c>
      <c r="I1203" s="180">
        <f ca="1">COUNTIFS(Paste_Report_Here!$E$1:$E$2000,E1192, OFFSET(Paste_Report_Here!$A$1,0,$A1203,2000,1),I$75)</f>
        <v>1</v>
      </c>
      <c r="J1203" s="180">
        <f ca="1">COUNTIFS(Paste_Report_Here!$E$1:$E$2000,E1192, OFFSET(Paste_Report_Here!$A$1,0,$A1203,2000,1),J$75)</f>
        <v>1</v>
      </c>
      <c r="K1203" s="181">
        <f ca="1">COUNTIFS(Paste_Report_Here!$E$1:$E$2000,E1192, OFFSET(Paste_Report_Here!$A$1,0,$A1203,2000,1),K$75)</f>
        <v>0</v>
      </c>
      <c r="L1203" s="166">
        <f t="shared" ca="1" si="180"/>
        <v>29</v>
      </c>
      <c r="M1203" s="183">
        <f ca="1">SUMPRODUCT(F1203:K1203,F1196:K1196)/L:L</f>
        <v>6.8965517241379318E-3</v>
      </c>
      <c r="N1203" s="166">
        <f t="shared" ca="1" si="181"/>
        <v>1.0069203877008224</v>
      </c>
      <c r="O1203" s="165">
        <f t="shared" ca="1" si="183"/>
        <v>1630.059238695578</v>
      </c>
      <c r="P1203" s="165">
        <f t="shared" ca="1" si="182"/>
        <v>1641.3398806026587</v>
      </c>
    </row>
    <row r="1204" spans="1:16" s="165" customFormat="1" x14ac:dyDescent="0.3">
      <c r="A1204" s="165">
        <f>MATCH(Calcs!B1204,Paste_Report_Here!$1:$1,0) -1</f>
        <v>11</v>
      </c>
      <c r="B1204" s="165" t="s">
        <v>129</v>
      </c>
      <c r="C1204" s="166">
        <f ca="1">RANK(N1204,N1198:N1222)</f>
        <v>12</v>
      </c>
      <c r="D1204" s="166">
        <f ca="1">RANK(P1204,P1198:P1222)</f>
        <v>9</v>
      </c>
      <c r="E1204" s="189" t="s">
        <v>158</v>
      </c>
      <c r="F1204" s="179">
        <f ca="1">COUNTIFS(Paste_Report_Here!$E$1:$E$2000,E1192, OFFSET(Paste_Report_Here!$A$1,0,$A1204,2000,1),F$75)</f>
        <v>0</v>
      </c>
      <c r="G1204" s="180">
        <f ca="1">COUNTIFS(Paste_Report_Here!$E$1:$E$2000,E1192, OFFSET(Paste_Report_Here!$A$1,0,$A1204,2000,1),G$75)</f>
        <v>2</v>
      </c>
      <c r="H1204" s="180">
        <f ca="1">COUNTIFS(Paste_Report_Here!$E$1:$E$2000,E1192, OFFSET(Paste_Report_Here!$A$1,0,$A1204,2000,1),H$75)</f>
        <v>22</v>
      </c>
      <c r="I1204" s="180">
        <f ca="1">COUNTIFS(Paste_Report_Here!$E$1:$E$2000,E1192, OFFSET(Paste_Report_Here!$A$1,0,$A1204,2000,1),I$75)</f>
        <v>5</v>
      </c>
      <c r="J1204" s="180">
        <f ca="1">COUNTIFS(Paste_Report_Here!$E$1:$E$2000,E1192, OFFSET(Paste_Report_Here!$A$1,0,$A1204,2000,1),J$75)</f>
        <v>0</v>
      </c>
      <c r="K1204" s="181">
        <f ca="1">COUNTIFS(Paste_Report_Here!$E$1:$E$2000,E1192, OFFSET(Paste_Report_Here!$A$1,0,$A1204,2000,1),K$75)</f>
        <v>0</v>
      </c>
      <c r="L1204" s="166">
        <f t="shared" ca="1" si="180"/>
        <v>29</v>
      </c>
      <c r="M1204" s="183">
        <f ca="1">SUMPRODUCT(F1204:K1204,F1196:K1196)/L:L</f>
        <v>0</v>
      </c>
      <c r="N1204" s="166">
        <f t="shared" ca="1" si="181"/>
        <v>1</v>
      </c>
      <c r="O1204" s="165">
        <f t="shared" ca="1" si="183"/>
        <v>2585.3721955086908</v>
      </c>
      <c r="P1204" s="165">
        <f t="shared" ca="1" si="182"/>
        <v>2585.3721955086908</v>
      </c>
    </row>
    <row r="1205" spans="1:16" s="165" customFormat="1" x14ac:dyDescent="0.3">
      <c r="A1205" s="165">
        <f>MATCH(Calcs!B1205,Paste_Report_Here!$1:$1,0) -1</f>
        <v>12</v>
      </c>
      <c r="B1205" s="165" t="s">
        <v>130</v>
      </c>
      <c r="C1205" s="166">
        <f ca="1">RANK(N1205,N1199:N1223)</f>
        <v>1</v>
      </c>
      <c r="D1205" s="166">
        <f ca="1">RANK(P1205,P1198:P1222)</f>
        <v>10</v>
      </c>
      <c r="E1205" s="189" t="s">
        <v>159</v>
      </c>
      <c r="F1205" s="179">
        <f ca="1">COUNTIFS(Paste_Report_Here!$E$1:$E$2000,E1192, OFFSET(Paste_Report_Here!$A$1,0,$A1205,2000,1),F$75)</f>
        <v>0</v>
      </c>
      <c r="G1205" s="180">
        <f ca="1">COUNTIFS(Paste_Report_Here!$E$1:$E$2000,E1192, OFFSET(Paste_Report_Here!$A$1,0,$A1205,2000,1),G$75)</f>
        <v>2</v>
      </c>
      <c r="H1205" s="180">
        <f ca="1">COUNTIFS(Paste_Report_Here!$E$1:$E$2000,E1192, OFFSET(Paste_Report_Here!$A$1,0,$A1205,2000,1),H$75)</f>
        <v>20</v>
      </c>
      <c r="I1205" s="180">
        <f ca="1">COUNTIFS(Paste_Report_Here!$E$1:$E$2000,E1192, OFFSET(Paste_Report_Here!$A$1,0,$A1205,2000,1),I$75)</f>
        <v>5</v>
      </c>
      <c r="J1205" s="180">
        <f ca="1">COUNTIFS(Paste_Report_Here!$E$1:$E$2000,E1192, OFFSET(Paste_Report_Here!$A$1,0,$A1205,2000,1),J$75)</f>
        <v>2</v>
      </c>
      <c r="K1205" s="181">
        <f ca="1">COUNTIFS(Paste_Report_Here!$E$1:$E$2000,E1192, OFFSET(Paste_Report_Here!$A$1,0,$A1205,2000,1),K$75)</f>
        <v>0</v>
      </c>
      <c r="L1205" s="166">
        <f t="shared" ca="1" si="180"/>
        <v>29</v>
      </c>
      <c r="M1205" s="183">
        <f ca="1">SUMPRODUCT(F1205:K1205,F1196:K1196)/L:L</f>
        <v>1.3793103448275864E-2</v>
      </c>
      <c r="N1205" s="166">
        <f t="shared" ca="1" si="181"/>
        <v>1.0138886671675746</v>
      </c>
      <c r="O1205" s="165">
        <f t="shared" ca="1" si="183"/>
        <v>2517.4638481905226</v>
      </c>
      <c r="P1205" s="165">
        <f t="shared" ca="1" si="182"/>
        <v>2552.4280656844426</v>
      </c>
    </row>
    <row r="1206" spans="1:16" s="165" customFormat="1" x14ac:dyDescent="0.3">
      <c r="A1206" s="165">
        <f>MATCH(Calcs!B1206,Paste_Report_Here!$1:$1,0) -1</f>
        <v>13</v>
      </c>
      <c r="B1206" s="165" t="s">
        <v>131</v>
      </c>
      <c r="C1206" s="166">
        <f ca="1">RANK(N1206,N1200:N1224)</f>
        <v>1</v>
      </c>
      <c r="D1206" s="166">
        <f ca="1">RANK(P1206,P1198:P1222)</f>
        <v>2</v>
      </c>
      <c r="E1206" s="189" t="s">
        <v>160</v>
      </c>
      <c r="F1206" s="179">
        <f ca="1">COUNTIFS(Paste_Report_Here!$E$1:$E$2000,E1192, OFFSET(Paste_Report_Here!$A$1,0,$A1206,2000,1),F$75)</f>
        <v>0</v>
      </c>
      <c r="G1206" s="180">
        <f ca="1">COUNTIFS(Paste_Report_Here!$E$1:$E$2000,E1192, OFFSET(Paste_Report_Here!$A$1,0,$A1206,2000,1),G$75)</f>
        <v>1</v>
      </c>
      <c r="H1206" s="180">
        <f ca="1">COUNTIFS(Paste_Report_Here!$E$1:$E$2000,E1192, OFFSET(Paste_Report_Here!$A$1,0,$A1206,2000,1),H$75)</f>
        <v>18</v>
      </c>
      <c r="I1206" s="180">
        <f ca="1">COUNTIFS(Paste_Report_Here!$E$1:$E$2000,E1192, OFFSET(Paste_Report_Here!$A$1,0,$A1206,2000,1),I$75)</f>
        <v>8</v>
      </c>
      <c r="J1206" s="180">
        <f ca="1">COUNTIFS(Paste_Report_Here!$E$1:$E$2000,E1192, OFFSET(Paste_Report_Here!$A$1,0,$A1206,2000,1),J$75)</f>
        <v>2</v>
      </c>
      <c r="K1206" s="181">
        <f ca="1">COUNTIFS(Paste_Report_Here!$E$1:$E$2000,E1192, OFFSET(Paste_Report_Here!$A$1,0,$A1206,2000,1),K$75)</f>
        <v>0</v>
      </c>
      <c r="L1206" s="166">
        <f t="shared" ca="1" si="180"/>
        <v>29</v>
      </c>
      <c r="M1206" s="183">
        <f ca="1">SUMPRODUCT(F1206:K1206,F1196:K1196)/L:L</f>
        <v>1.3793103448275864E-2</v>
      </c>
      <c r="N1206" s="166">
        <f t="shared" ca="1" si="181"/>
        <v>1.0138886671675746</v>
      </c>
      <c r="O1206" s="165">
        <f t="shared" ca="1" si="183"/>
        <v>4376.6265433378103</v>
      </c>
      <c r="P1206" s="165">
        <f t="shared" ca="1" si="182"/>
        <v>4437.4120527150017</v>
      </c>
    </row>
    <row r="1207" spans="1:16" s="165" customFormat="1" x14ac:dyDescent="0.3">
      <c r="A1207" s="165">
        <f>MATCH(Calcs!B1207,Paste_Report_Here!$1:$1,0) -1</f>
        <v>14</v>
      </c>
      <c r="B1207" s="165" t="s">
        <v>132</v>
      </c>
      <c r="C1207" s="166">
        <f ca="1">RANK(N1207,N1201:N1225)</f>
        <v>1</v>
      </c>
      <c r="D1207" s="166">
        <f ca="1">RANK(P1207,P1198:P1222)</f>
        <v>17</v>
      </c>
      <c r="E1207" s="189" t="s">
        <v>161</v>
      </c>
      <c r="F1207" s="179">
        <f ca="1">COUNTIFS(Paste_Report_Here!$E$1:$E$2000,E1192, OFFSET(Paste_Report_Here!$A$1,0,$A1207,2000,1),F$75)</f>
        <v>0</v>
      </c>
      <c r="G1207" s="180">
        <f ca="1">COUNTIFS(Paste_Report_Here!$E$1:$E$2000,E1192, OFFSET(Paste_Report_Here!$A$1,0,$A1207,2000,1),G$75)</f>
        <v>1</v>
      </c>
      <c r="H1207" s="180">
        <f ca="1">COUNTIFS(Paste_Report_Here!$E$1:$E$2000,E1192, OFFSET(Paste_Report_Here!$A$1,0,$A1207,2000,1),H$75)</f>
        <v>21</v>
      </c>
      <c r="I1207" s="180">
        <f ca="1">COUNTIFS(Paste_Report_Here!$E$1:$E$2000,E1192, OFFSET(Paste_Report_Here!$A$1,0,$A1207,2000,1),I$75)</f>
        <v>5</v>
      </c>
      <c r="J1207" s="180">
        <f ca="1">COUNTIFS(Paste_Report_Here!$E$1:$E$2000,E1192, OFFSET(Paste_Report_Here!$A$1,0,$A1207,2000,1),J$75)</f>
        <v>2</v>
      </c>
      <c r="K1207" s="181">
        <f ca="1">COUNTIFS(Paste_Report_Here!$E$1:$E$2000,E1192, OFFSET(Paste_Report_Here!$A$1,0,$A1207,2000,1),K$75)</f>
        <v>0</v>
      </c>
      <c r="L1207" s="166">
        <f t="shared" ca="1" si="180"/>
        <v>29</v>
      </c>
      <c r="M1207" s="183">
        <f ca="1">SUMPRODUCT(F1207:K1207,F1196:K1196)/L:L</f>
        <v>1.3793103448275864E-2</v>
      </c>
      <c r="N1207" s="166">
        <f t="shared" ca="1" si="181"/>
        <v>1.0138886671675746</v>
      </c>
      <c r="O1207" s="165">
        <f t="shared" ca="1" si="183"/>
        <v>2038.9628120354191</v>
      </c>
      <c r="P1207" s="165">
        <f t="shared" ca="1" si="182"/>
        <v>2067.2812878988411</v>
      </c>
    </row>
    <row r="1208" spans="1:16" s="165" customFormat="1" x14ac:dyDescent="0.3">
      <c r="A1208" s="165">
        <f>MATCH(Calcs!B1208,Paste_Report_Here!$1:$1,0) -1</f>
        <v>15</v>
      </c>
      <c r="B1208" s="165" t="s">
        <v>133</v>
      </c>
      <c r="C1208" s="166">
        <f ca="1">RANK(N1208,N1197:N1221)</f>
        <v>8</v>
      </c>
      <c r="D1208" s="166">
        <f ca="1">RANK(P1208,P1198:P1222)</f>
        <v>6</v>
      </c>
      <c r="E1208" s="189" t="s">
        <v>162</v>
      </c>
      <c r="F1208" s="179">
        <f ca="1">COUNTIFS(Paste_Report_Here!$E$1:$E$2000,E1192, OFFSET(Paste_Report_Here!$A$1,0,$A1208,2000,1),F$75)</f>
        <v>0</v>
      </c>
      <c r="G1208" s="180">
        <f ca="1">COUNTIFS(Paste_Report_Here!$E$1:$E$2000,E1192, OFFSET(Paste_Report_Here!$A$1,0,$A1208,2000,1),G$75)</f>
        <v>0</v>
      </c>
      <c r="H1208" s="180">
        <f ca="1">COUNTIFS(Paste_Report_Here!$E$1:$E$2000,E1192, OFFSET(Paste_Report_Here!$A$1,0,$A1208,2000,1),H$75)</f>
        <v>17</v>
      </c>
      <c r="I1208" s="180">
        <f ca="1">COUNTIFS(Paste_Report_Here!$E$1:$E$2000,E1192, OFFSET(Paste_Report_Here!$A$1,0,$A1208,2000,1),I$75)</f>
        <v>11</v>
      </c>
      <c r="J1208" s="180">
        <f ca="1">COUNTIFS(Paste_Report_Here!$E$1:$E$2000,E1192, OFFSET(Paste_Report_Here!$A$1,0,$A1208,2000,1),J$75)</f>
        <v>1</v>
      </c>
      <c r="K1208" s="181">
        <f ca="1">COUNTIFS(Paste_Report_Here!$E$1:$E$2000,E1192, OFFSET(Paste_Report_Here!$A$1,0,$A1208,2000,1),K$75)</f>
        <v>0</v>
      </c>
      <c r="L1208" s="166">
        <f t="shared" ca="1" si="180"/>
        <v>29</v>
      </c>
      <c r="M1208" s="183">
        <f ca="1">SUMPRODUCT(F1208:K1208,F1196:K1196)/L:L</f>
        <v>6.8965517241379318E-3</v>
      </c>
      <c r="N1208" s="166">
        <f t="shared" ca="1" si="181"/>
        <v>1.0069203877008224</v>
      </c>
      <c r="O1208" s="165">
        <f t="shared" ca="1" si="183"/>
        <v>2999.3118282400151</v>
      </c>
      <c r="P1208" s="165">
        <f t="shared" ca="1" si="182"/>
        <v>3020.0682289270985</v>
      </c>
    </row>
    <row r="1209" spans="1:16" s="165" customFormat="1" x14ac:dyDescent="0.3">
      <c r="A1209" s="165">
        <f>MATCH(Calcs!B1209,Paste_Report_Here!$1:$1,0) -1</f>
        <v>16</v>
      </c>
      <c r="B1209" s="165" t="s">
        <v>134</v>
      </c>
      <c r="C1209" s="166">
        <f ca="1">RANK(N1209,N1198:N1222)</f>
        <v>12</v>
      </c>
      <c r="D1209" s="166">
        <f ca="1">RANK(P1209,P1198:P1222)</f>
        <v>25</v>
      </c>
      <c r="E1209" s="189" t="s">
        <v>163</v>
      </c>
      <c r="F1209" s="179">
        <f ca="1">COUNTIFS(Paste_Report_Here!$E$1:$E$2000,E1192, OFFSET(Paste_Report_Here!$A$1,0,$A1209,2000,1),F$75)</f>
        <v>0</v>
      </c>
      <c r="G1209" s="180">
        <f ca="1">COUNTIFS(Paste_Report_Here!$E$1:$E$2000,E1192, OFFSET(Paste_Report_Here!$A$1,0,$A1209,2000,1),G$75)</f>
        <v>1</v>
      </c>
      <c r="H1209" s="180">
        <f ca="1">COUNTIFS(Paste_Report_Here!$E$1:$E$2000,E1192, OFFSET(Paste_Report_Here!$A$1,0,$A1209,2000,1),H$75)</f>
        <v>25</v>
      </c>
      <c r="I1209" s="180">
        <f ca="1">COUNTIFS(Paste_Report_Here!$E$1:$E$2000,E1192, OFFSET(Paste_Report_Here!$A$1,0,$A1209,2000,1),I$75)</f>
        <v>3</v>
      </c>
      <c r="J1209" s="180">
        <f ca="1">COUNTIFS(Paste_Report_Here!$E$1:$E$2000,E1192, OFFSET(Paste_Report_Here!$A$1,0,$A1209,2000,1),J$75)</f>
        <v>0</v>
      </c>
      <c r="K1209" s="181">
        <f ca="1">COUNTIFS(Paste_Report_Here!$E$1:$E$2000,E1192, OFFSET(Paste_Report_Here!$A$1,0,$A1209,2000,1),K$75)</f>
        <v>0</v>
      </c>
      <c r="L1209" s="166">
        <f t="shared" ca="1" si="180"/>
        <v>29</v>
      </c>
      <c r="M1209" s="183">
        <f ca="1">SUMPRODUCT(F1209:K1209,F1196:K1196)/L:L</f>
        <v>0</v>
      </c>
      <c r="N1209" s="166">
        <f t="shared" ca="1" si="181"/>
        <v>1</v>
      </c>
      <c r="O1209" s="165">
        <f t="shared" ca="1" si="183"/>
        <v>1143.7881777086034</v>
      </c>
      <c r="P1209" s="165">
        <f t="shared" ca="1" si="182"/>
        <v>1143.7881777086034</v>
      </c>
    </row>
    <row r="1210" spans="1:16" s="165" customFormat="1" x14ac:dyDescent="0.3">
      <c r="A1210" s="165">
        <f>MATCH(Calcs!B1210,Paste_Report_Here!$1:$1,0) -1</f>
        <v>17</v>
      </c>
      <c r="B1210" s="165" t="s">
        <v>135</v>
      </c>
      <c r="C1210" s="166">
        <f ca="1">RANK(N1210,N1198:N1222)</f>
        <v>12</v>
      </c>
      <c r="D1210" s="166">
        <f ca="1">RANK(P1210,P1198:P1222)</f>
        <v>20</v>
      </c>
      <c r="E1210" s="189" t="s">
        <v>164</v>
      </c>
      <c r="F1210" s="179">
        <f ca="1">COUNTIFS(Paste_Report_Here!$E$1:$E$2000,E1192, OFFSET(Paste_Report_Here!$A$1,0,$A1210,2000,1),F$75)</f>
        <v>0</v>
      </c>
      <c r="G1210" s="180">
        <f ca="1">COUNTIFS(Paste_Report_Here!$E$1:$E$2000,E1192, OFFSET(Paste_Report_Here!$A$1,0,$A1210,2000,1),G$75)</f>
        <v>1</v>
      </c>
      <c r="H1210" s="180">
        <f ca="1">COUNTIFS(Paste_Report_Here!$E$1:$E$2000,E1192, OFFSET(Paste_Report_Here!$A$1,0,$A1210,2000,1),H$75)</f>
        <v>24</v>
      </c>
      <c r="I1210" s="180">
        <f ca="1">COUNTIFS(Paste_Report_Here!$E$1:$E$2000,E1192, OFFSET(Paste_Report_Here!$A$1,0,$A1210,2000,1),I$75)</f>
        <v>4</v>
      </c>
      <c r="J1210" s="180">
        <f ca="1">COUNTIFS(Paste_Report_Here!$E$1:$E$2000,E1192, OFFSET(Paste_Report_Here!$A$1,0,$A1210,2000,1),J$75)</f>
        <v>0</v>
      </c>
      <c r="K1210" s="181">
        <f ca="1">COUNTIFS(Paste_Report_Here!$E$1:$E$2000,E1192, OFFSET(Paste_Report_Here!$A$1,0,$A1210,2000,1),K$75)</f>
        <v>0</v>
      </c>
      <c r="L1210" s="166">
        <f t="shared" ca="1" si="180"/>
        <v>29</v>
      </c>
      <c r="M1210" s="183">
        <f ca="1">SUMPRODUCT(F1210:K1210,F1196:K1196)/L:L</f>
        <v>0</v>
      </c>
      <c r="N1210" s="166">
        <f t="shared" ca="1" si="181"/>
        <v>1</v>
      </c>
      <c r="O1210" s="165">
        <f t="shared" ca="1" si="183"/>
        <v>1880.6424163650809</v>
      </c>
      <c r="P1210" s="165">
        <f t="shared" ca="1" si="182"/>
        <v>1880.6424163650809</v>
      </c>
    </row>
    <row r="1211" spans="1:16" s="165" customFormat="1" x14ac:dyDescent="0.3">
      <c r="A1211" s="165">
        <f>MATCH(Calcs!B1211,Paste_Report_Here!$1:$1,0) -1</f>
        <v>18</v>
      </c>
      <c r="B1211" s="165" t="s">
        <v>136</v>
      </c>
      <c r="C1211" s="166">
        <f ca="1">RANK(N1211,N1200:N1224)</f>
        <v>1</v>
      </c>
      <c r="D1211" s="166">
        <f ca="1">RANK(P1211,P1198:P1222)</f>
        <v>4</v>
      </c>
      <c r="E1211" s="189" t="s">
        <v>165</v>
      </c>
      <c r="F1211" s="179">
        <f ca="1">COUNTIFS(Paste_Report_Here!$E$1:$E$2000,E1192, OFFSET(Paste_Report_Here!$A$1,0,$A1211,2000,1),F$75)</f>
        <v>0</v>
      </c>
      <c r="G1211" s="180">
        <f ca="1">COUNTIFS(Paste_Report_Here!$E$1:$E$2000,E1192, OFFSET(Paste_Report_Here!$A$1,0,$A1211,2000,1),G$75)</f>
        <v>2</v>
      </c>
      <c r="H1211" s="180">
        <f ca="1">COUNTIFS(Paste_Report_Here!$E$1:$E$2000,E1192, OFFSET(Paste_Report_Here!$A$1,0,$A1211,2000,1),H$75)</f>
        <v>21</v>
      </c>
      <c r="I1211" s="180">
        <f ca="1">COUNTIFS(Paste_Report_Here!$E$1:$E$2000,E1192, OFFSET(Paste_Report_Here!$A$1,0,$A1211,2000,1),I$75)</f>
        <v>4</v>
      </c>
      <c r="J1211" s="180">
        <f ca="1">COUNTIFS(Paste_Report_Here!$E$1:$E$2000,E1192, OFFSET(Paste_Report_Here!$A$1,0,$A1211,2000,1),J$75)</f>
        <v>2</v>
      </c>
      <c r="K1211" s="181">
        <f ca="1">COUNTIFS(Paste_Report_Here!$E$1:$E$2000,E1192, OFFSET(Paste_Report_Here!$A$1,0,$A1211,2000,1),K$75)</f>
        <v>0</v>
      </c>
      <c r="L1211" s="166">
        <f t="shared" ca="1" si="180"/>
        <v>29</v>
      </c>
      <c r="M1211" s="183">
        <f ca="1">SUMPRODUCT(F1211:K1211,F1196:K1196)/L:L</f>
        <v>1.3793103448275864E-2</v>
      </c>
      <c r="N1211" s="166">
        <f t="shared" ca="1" si="181"/>
        <v>1.0138886671675746</v>
      </c>
      <c r="O1211" s="165">
        <f t="shared" ca="1" si="183"/>
        <v>3946.4804738580469</v>
      </c>
      <c r="P1211" s="165">
        <f t="shared" ca="1" si="182"/>
        <v>4001.2918276427936</v>
      </c>
    </row>
    <row r="1212" spans="1:16" s="165" customFormat="1" x14ac:dyDescent="0.3">
      <c r="A1212" s="165">
        <f>MATCH(Calcs!B1212,Paste_Report_Here!$1:$1,0) -1</f>
        <v>19</v>
      </c>
      <c r="B1212" s="165" t="s">
        <v>137</v>
      </c>
      <c r="C1212" s="166">
        <f ca="1">RANK(N1212,N1201:N1225)</f>
        <v>8</v>
      </c>
      <c r="D1212" s="166">
        <f ca="1">RANK(P1212,P1198:P1222)</f>
        <v>13</v>
      </c>
      <c r="E1212" s="189" t="s">
        <v>166</v>
      </c>
      <c r="F1212" s="179">
        <f ca="1">COUNTIFS(Paste_Report_Here!$E$1:$E$2000,E1192, OFFSET(Paste_Report_Here!$A$1,0,$A1212,2000,1),F$75)</f>
        <v>0</v>
      </c>
      <c r="G1212" s="180">
        <f ca="1">COUNTIFS(Paste_Report_Here!$E$1:$E$2000,E1192, OFFSET(Paste_Report_Here!$A$1,0,$A1212,2000,1),G$75)</f>
        <v>1</v>
      </c>
      <c r="H1212" s="180">
        <f ca="1">COUNTIFS(Paste_Report_Here!$E$1:$E$2000,E1192, OFFSET(Paste_Report_Here!$A$1,0,$A1212,2000,1),H$75)</f>
        <v>21</v>
      </c>
      <c r="I1212" s="180">
        <f ca="1">COUNTIFS(Paste_Report_Here!$E$1:$E$2000,E1192, OFFSET(Paste_Report_Here!$A$1,0,$A1212,2000,1),I$75)</f>
        <v>5</v>
      </c>
      <c r="J1212" s="180">
        <f ca="1">COUNTIFS(Paste_Report_Here!$E$1:$E$2000,E1192, OFFSET(Paste_Report_Here!$A$1,0,$A1212,2000,1),J$75)</f>
        <v>1</v>
      </c>
      <c r="K1212" s="181">
        <f ca="1">COUNTIFS(Paste_Report_Here!$E$1:$E$2000,E1192, OFFSET(Paste_Report_Here!$A$1,0,$A1212,2000,1),K$75)</f>
        <v>1</v>
      </c>
      <c r="L1212" s="166">
        <f t="shared" ca="1" si="180"/>
        <v>29</v>
      </c>
      <c r="M1212" s="183">
        <f ca="1">SUMPRODUCT(F1212:K1212,F1196:K1196)/L:L</f>
        <v>6.8965517241379318E-3</v>
      </c>
      <c r="N1212" s="166">
        <f t="shared" ca="1" si="181"/>
        <v>1.0069203877008224</v>
      </c>
      <c r="O1212" s="165">
        <f t="shared" ca="1" si="183"/>
        <v>2165.8908597179452</v>
      </c>
      <c r="P1212" s="165">
        <f t="shared" ca="1" si="182"/>
        <v>2180.8796641848608</v>
      </c>
    </row>
    <row r="1213" spans="1:16" s="165" customFormat="1" x14ac:dyDescent="0.3">
      <c r="A1213" s="165">
        <f>MATCH(Calcs!B1213,Paste_Report_Here!$1:$1,0) -1</f>
        <v>20</v>
      </c>
      <c r="B1213" s="165" t="s">
        <v>138</v>
      </c>
      <c r="C1213" s="166">
        <f ca="1">RANK(N1213,N1199:N1223)</f>
        <v>12</v>
      </c>
      <c r="D1213" s="166">
        <f ca="1">RANK(P1213,P1198:P1222)</f>
        <v>19</v>
      </c>
      <c r="E1213" s="189" t="s">
        <v>167</v>
      </c>
      <c r="F1213" s="179">
        <f ca="1">COUNTIFS(Paste_Report_Here!$E$1:$E$2000,E1192, OFFSET(Paste_Report_Here!$A$1,0,$A1213,2000,1),F$75)</f>
        <v>0</v>
      </c>
      <c r="G1213" s="180">
        <f ca="1">COUNTIFS(Paste_Report_Here!$E$1:$E$2000,E1192, OFFSET(Paste_Report_Here!$A$1,0,$A1213,2000,1),G$75)</f>
        <v>1</v>
      </c>
      <c r="H1213" s="180">
        <f ca="1">COUNTIFS(Paste_Report_Here!$E$1:$E$2000,E1192, OFFSET(Paste_Report_Here!$A$1,0,$A1213,2000,1),H$75)</f>
        <v>21</v>
      </c>
      <c r="I1213" s="180">
        <f ca="1">COUNTIFS(Paste_Report_Here!$E$1:$E$2000,E1192, OFFSET(Paste_Report_Here!$A$1,0,$A1213,2000,1),I$75)</f>
        <v>7</v>
      </c>
      <c r="J1213" s="180">
        <f ca="1">COUNTIFS(Paste_Report_Here!$E$1:$E$2000,E1192, OFFSET(Paste_Report_Here!$A$1,0,$A1213,2000,1),J$75)</f>
        <v>0</v>
      </c>
      <c r="K1213" s="181">
        <f ca="1">COUNTIFS(Paste_Report_Here!$E$1:$E$2000,E1192, OFFSET(Paste_Report_Here!$A$1,0,$A1213,2000,1),K$75)</f>
        <v>0</v>
      </c>
      <c r="L1213" s="166">
        <f t="shared" ca="1" si="180"/>
        <v>29</v>
      </c>
      <c r="M1213" s="183">
        <f ca="1">SUMPRODUCT(F1213:K1213,F1196:K1196)/L:L</f>
        <v>0</v>
      </c>
      <c r="N1213" s="166">
        <f t="shared" ca="1" si="181"/>
        <v>1</v>
      </c>
      <c r="O1213" s="165">
        <f t="shared" ca="1" si="183"/>
        <v>1959.3738971782013</v>
      </c>
      <c r="P1213" s="165">
        <f t="shared" ca="1" si="182"/>
        <v>1959.3738971782013</v>
      </c>
    </row>
    <row r="1214" spans="1:16" s="165" customFormat="1" x14ac:dyDescent="0.3">
      <c r="A1214" s="165">
        <f>MATCH(Calcs!B1214,Paste_Report_Here!$1:$1,0) -1</f>
        <v>21</v>
      </c>
      <c r="B1214" s="165" t="s">
        <v>139</v>
      </c>
      <c r="C1214" s="166">
        <f ca="1">RANK(N1214,N1198:N1222)</f>
        <v>12</v>
      </c>
      <c r="D1214" s="166">
        <f ca="1">RANK(P1214,P1198:P1222)</f>
        <v>18</v>
      </c>
      <c r="E1214" s="189" t="s">
        <v>168</v>
      </c>
      <c r="F1214" s="179">
        <f ca="1">COUNTIFS(Paste_Report_Here!$E$1:$E$2000,E1192, OFFSET(Paste_Report_Here!$A$1,0,$A1214,2000,1),F$75)</f>
        <v>0</v>
      </c>
      <c r="G1214" s="180">
        <f ca="1">COUNTIFS(Paste_Report_Here!$E$1:$E$2000,E1192, OFFSET(Paste_Report_Here!$A$1,0,$A1214,2000,1),G$75)</f>
        <v>3</v>
      </c>
      <c r="H1214" s="180">
        <f ca="1">COUNTIFS(Paste_Report_Here!$E$1:$E$2000,E1192, OFFSET(Paste_Report_Here!$A$1,0,$A1214,2000,1),H$75)</f>
        <v>21</v>
      </c>
      <c r="I1214" s="180">
        <f ca="1">COUNTIFS(Paste_Report_Here!$E$1:$E$2000,E1192, OFFSET(Paste_Report_Here!$A$1,0,$A1214,2000,1),I$75)</f>
        <v>5</v>
      </c>
      <c r="J1214" s="180">
        <f ca="1">COUNTIFS(Paste_Report_Here!$E$1:$E$2000,E1192, OFFSET(Paste_Report_Here!$A$1,0,$A1214,2000,1),J$75)</f>
        <v>0</v>
      </c>
      <c r="K1214" s="181">
        <f ca="1">COUNTIFS(Paste_Report_Here!$E$1:$E$2000,E1192, OFFSET(Paste_Report_Here!$A$1,0,$A1214,2000,1),K$75)</f>
        <v>0</v>
      </c>
      <c r="L1214" s="166">
        <f t="shared" ca="1" si="180"/>
        <v>29</v>
      </c>
      <c r="M1214" s="183">
        <f ca="1">SUMPRODUCT(F1214:K1214,F1196:K1196)/L:L</f>
        <v>0</v>
      </c>
      <c r="N1214" s="166">
        <f t="shared" ca="1" si="181"/>
        <v>1</v>
      </c>
      <c r="O1214" s="165">
        <f t="shared" ca="1" si="183"/>
        <v>2025.6396268999779</v>
      </c>
      <c r="P1214" s="165">
        <f t="shared" ca="1" si="182"/>
        <v>2025.6396268999779</v>
      </c>
    </row>
    <row r="1215" spans="1:16" s="165" customFormat="1" x14ac:dyDescent="0.3">
      <c r="A1215" s="165">
        <f>MATCH(Calcs!B1215,Paste_Report_Here!$1:$1,0) -1</f>
        <v>22</v>
      </c>
      <c r="B1215" s="165" t="s">
        <v>140</v>
      </c>
      <c r="C1215" s="166">
        <f ca="1">RANK(N1215,N1198:N1222)</f>
        <v>12</v>
      </c>
      <c r="D1215" s="166">
        <f ca="1">RANK(P1215,P1198:P1222)</f>
        <v>14</v>
      </c>
      <c r="E1215" s="189" t="s">
        <v>169</v>
      </c>
      <c r="F1215" s="179">
        <f ca="1">COUNTIFS(Paste_Report_Here!$E$1:$E$2000,E1192, OFFSET(Paste_Report_Here!$A$1,0,$A1215,2000,1),F$75)</f>
        <v>0</v>
      </c>
      <c r="G1215" s="180">
        <f ca="1">COUNTIFS(Paste_Report_Here!$E$1:$E$2000,E1192, OFFSET(Paste_Report_Here!$A$1,0,$A1215,2000,1),G$75)</f>
        <v>1</v>
      </c>
      <c r="H1215" s="180">
        <f ca="1">COUNTIFS(Paste_Report_Here!$E$1:$E$2000,E1192, OFFSET(Paste_Report_Here!$A$1,0,$A1215,2000,1),H$75)</f>
        <v>24</v>
      </c>
      <c r="I1215" s="180">
        <f ca="1">COUNTIFS(Paste_Report_Here!$E$1:$E$2000,E1192, OFFSET(Paste_Report_Here!$A$1,0,$A1215,2000,1),I$75)</f>
        <v>4</v>
      </c>
      <c r="J1215" s="180">
        <f ca="1">COUNTIFS(Paste_Report_Here!$E$1:$E$2000,E1192, OFFSET(Paste_Report_Here!$A$1,0,$A1215,2000,1),J$75)</f>
        <v>0</v>
      </c>
      <c r="K1215" s="181">
        <f ca="1">COUNTIFS(Paste_Report_Here!$E$1:$E$2000,E1192, OFFSET(Paste_Report_Here!$A$1,0,$A1215,2000,1),K$75)</f>
        <v>0</v>
      </c>
      <c r="L1215" s="166">
        <f t="shared" ca="1" si="180"/>
        <v>29</v>
      </c>
      <c r="M1215" s="183">
        <f ca="1">SUMPRODUCT(F1215:K1215,F1196:K1196)/L:L</f>
        <v>0</v>
      </c>
      <c r="N1215" s="166">
        <f t="shared" ca="1" si="181"/>
        <v>1</v>
      </c>
      <c r="O1215" s="165">
        <f t="shared" ca="1" si="183"/>
        <v>2101.1126870763292</v>
      </c>
      <c r="P1215" s="165">
        <f t="shared" ca="1" si="182"/>
        <v>2101.1126870763292</v>
      </c>
    </row>
    <row r="1216" spans="1:16" s="165" customFormat="1" x14ac:dyDescent="0.3">
      <c r="A1216" s="165">
        <f>MATCH(Calcs!B1216,Paste_Report_Here!$1:$1,0) -1</f>
        <v>23</v>
      </c>
      <c r="B1216" s="165" t="s">
        <v>186</v>
      </c>
      <c r="C1216" s="166">
        <f ca="1">RANK(N1216,N1198:N1222)</f>
        <v>1</v>
      </c>
      <c r="D1216" s="166">
        <f ca="1">RANK(P1216,P1198:P1222)</f>
        <v>3</v>
      </c>
      <c r="E1216" s="189" t="s">
        <v>180</v>
      </c>
      <c r="F1216" s="179">
        <f ca="1">COUNTIFS(Paste_Report_Here!$E$1:$E$2000,E1192, OFFSET(Paste_Report_Here!$A$1,0,$A1216,2000,1),F$75)</f>
        <v>0</v>
      </c>
      <c r="G1216" s="180">
        <f ca="1">COUNTIFS(Paste_Report_Here!$E$1:$E$2000,E1192, OFFSET(Paste_Report_Here!$A$1,0,$A1216,2000,1),G$75)</f>
        <v>0</v>
      </c>
      <c r="H1216" s="180">
        <f ca="1">COUNTIFS(Paste_Report_Here!$E$1:$E$2000,E1192, OFFSET(Paste_Report_Here!$A$1,0,$A1216,2000,1),H$75)</f>
        <v>21</v>
      </c>
      <c r="I1216" s="180">
        <f ca="1">COUNTIFS(Paste_Report_Here!$E$1:$E$2000,E1192, OFFSET(Paste_Report_Here!$A$1,0,$A1216,2000,1),I$75)</f>
        <v>6</v>
      </c>
      <c r="J1216" s="180">
        <f ca="1">COUNTIFS(Paste_Report_Here!$E$1:$E$2000,E1192, OFFSET(Paste_Report_Here!$A$1,0,$A1216,2000,1),J$75)</f>
        <v>2</v>
      </c>
      <c r="K1216" s="181">
        <f ca="1">COUNTIFS(Paste_Report_Here!$E$1:$E$2000,E1192, OFFSET(Paste_Report_Here!$A$1,0,$A1216,2000,1),K$75)</f>
        <v>0</v>
      </c>
      <c r="L1216" s="166">
        <f t="shared" ca="1" si="180"/>
        <v>29</v>
      </c>
      <c r="M1216" s="183">
        <f ca="1">SUMPRODUCT(F1216:K1216,F1196:K1196)/L:L</f>
        <v>1.3793103448275864E-2</v>
      </c>
      <c r="N1216" s="166">
        <f t="shared" ca="1" si="181"/>
        <v>1.0138886671675746</v>
      </c>
      <c r="O1216" s="165">
        <f t="shared" ca="1" si="183"/>
        <v>4028.0461932041308</v>
      </c>
      <c r="P1216" s="165">
        <f t="shared" ca="1" si="182"/>
        <v>4083.9903861171588</v>
      </c>
    </row>
    <row r="1217" spans="1:16" s="165" customFormat="1" x14ac:dyDescent="0.3">
      <c r="A1217" s="165">
        <f>MATCH(Calcs!B1217,Paste_Report_Here!$1:$1,0) -1</f>
        <v>24</v>
      </c>
      <c r="B1217" s="165" t="s">
        <v>209</v>
      </c>
      <c r="C1217" s="166">
        <f ca="1">RANK(N1217,N1198:N1222)</f>
        <v>22</v>
      </c>
      <c r="D1217" s="166">
        <f ca="1">RANK(P1217,P1198:P1222)</f>
        <v>23</v>
      </c>
      <c r="E1217" s="202" t="s">
        <v>211</v>
      </c>
      <c r="F1217" s="179">
        <f ca="1">COUNTIFS(Paste_Report_Here!$E$1:$E$2000,E1192, OFFSET(Paste_Report_Here!$A$1,0,$A1217,2000,1),F$75)</f>
        <v>1</v>
      </c>
      <c r="G1217" s="180">
        <f ca="1">COUNTIFS(Paste_Report_Here!$E$1:$E$2000,E1192, OFFSET(Paste_Report_Here!$A$1,0,$A1217,2000,1),G$75)</f>
        <v>1</v>
      </c>
      <c r="H1217" s="180">
        <f ca="1">COUNTIFS(Paste_Report_Here!$E$1:$E$2000,E1192, OFFSET(Paste_Report_Here!$A$1,0,$A1217,2000,1),H$75)</f>
        <v>25</v>
      </c>
      <c r="I1217" s="180">
        <f ca="1">COUNTIFS(Paste_Report_Here!$E$1:$E$2000,E1192, OFFSET(Paste_Report_Here!$A$1,0,$A1217,2000,1),I$75)</f>
        <v>2</v>
      </c>
      <c r="J1217" s="180">
        <f ca="1">COUNTIFS(Paste_Report_Here!$E$1:$E$2000,E1192, OFFSET(Paste_Report_Here!$A$1,0,$A1217,2000,1),J$75)</f>
        <v>0</v>
      </c>
      <c r="K1217" s="181">
        <f ca="1">COUNTIFS(Paste_Report_Here!$E$1:$E$2000,E1192, OFFSET(Paste_Report_Here!$A$1,0,$A1217,2000,1),K$75)</f>
        <v>0</v>
      </c>
      <c r="L1217" s="166">
        <f t="shared" ca="1" si="180"/>
        <v>29</v>
      </c>
      <c r="M1217" s="183">
        <f ca="1">SUMPRODUCT(F1217:K1217,F1196:K1196)/L:L</f>
        <v>-6.8965517241379318E-3</v>
      </c>
      <c r="N1217" s="166">
        <f t="shared" ca="1" si="181"/>
        <v>0.99312717491337699</v>
      </c>
      <c r="O1217" s="165">
        <f t="shared" ca="1" si="183"/>
        <v>1242.5919082236717</v>
      </c>
      <c r="P1217" s="165">
        <f t="shared" ca="1" si="182"/>
        <v>1234.0517913843973</v>
      </c>
    </row>
    <row r="1218" spans="1:16" s="165" customFormat="1" x14ac:dyDescent="0.3">
      <c r="A1218" s="165">
        <f>MATCH(Calcs!B1218,Paste_Report_Here!$1:$1,0) -1</f>
        <v>25</v>
      </c>
      <c r="B1218" s="165" t="s">
        <v>141</v>
      </c>
      <c r="C1218" s="166">
        <f ca="1">RANK(N1218,N1198:N1222)</f>
        <v>12</v>
      </c>
      <c r="D1218" s="166">
        <f ca="1">RANK(P1218,P1198:P1222)</f>
        <v>22</v>
      </c>
      <c r="E1218" s="189" t="s">
        <v>170</v>
      </c>
      <c r="F1218" s="179">
        <f ca="1">COUNTIFS(Paste_Report_Here!$E$1:$E$2000,E1192, OFFSET(Paste_Report_Here!$A$1,0,$A1218,2000,1),F$75)</f>
        <v>1</v>
      </c>
      <c r="G1218" s="180">
        <f ca="1">COUNTIFS(Paste_Report_Here!$E$1:$E$2000,E1192, OFFSET(Paste_Report_Here!$A$1,0,$A1218,2000,1),G$75)</f>
        <v>2</v>
      </c>
      <c r="H1218" s="180">
        <f ca="1">COUNTIFS(Paste_Report_Here!$E$1:$E$2000,E1192, OFFSET(Paste_Report_Here!$A$1,0,$A1218,2000,1),H$75)</f>
        <v>23</v>
      </c>
      <c r="I1218" s="180">
        <f ca="1">COUNTIFS(Paste_Report_Here!$E$1:$E$2000,E1192, OFFSET(Paste_Report_Here!$A$1,0,$A1218,2000,1),I$75)</f>
        <v>2</v>
      </c>
      <c r="J1218" s="180">
        <f ca="1">COUNTIFS(Paste_Report_Here!$E$1:$E$2000,E1192, OFFSET(Paste_Report_Here!$A$1,0,$A1218,2000,1),J$75)</f>
        <v>1</v>
      </c>
      <c r="K1218" s="181">
        <f ca="1">COUNTIFS(Paste_Report_Here!$E$1:$E$2000,E1192, OFFSET(Paste_Report_Here!$A$1,0,$A1218,2000,1),K$75)</f>
        <v>0</v>
      </c>
      <c r="L1218" s="166">
        <f t="shared" ca="1" si="180"/>
        <v>29</v>
      </c>
      <c r="M1218" s="183">
        <f ca="1">SUMPRODUCT(F1218:K1218,F1196:K1196)/L:L</f>
        <v>0</v>
      </c>
      <c r="N1218" s="166">
        <f t="shared" ca="1" si="181"/>
        <v>1</v>
      </c>
      <c r="O1218" s="165">
        <f t="shared" ca="1" si="183"/>
        <v>1381.4574480910408</v>
      </c>
      <c r="P1218" s="165">
        <f t="shared" ca="1" si="182"/>
        <v>1381.4574480910408</v>
      </c>
    </row>
    <row r="1219" spans="1:16" s="165" customFormat="1" x14ac:dyDescent="0.3">
      <c r="A1219" s="165">
        <f>MATCH(Calcs!B1219,Paste_Report_Here!$1:$1,0) -1</f>
        <v>26</v>
      </c>
      <c r="B1219" s="165" t="s">
        <v>142</v>
      </c>
      <c r="C1219" s="166">
        <f ca="1">RANK(N1219,N1198:N1222)</f>
        <v>22</v>
      </c>
      <c r="D1219" s="166">
        <f ca="1">RANK(P1219,P1198:P1222)</f>
        <v>12</v>
      </c>
      <c r="E1219" s="189" t="s">
        <v>171</v>
      </c>
      <c r="F1219" s="179">
        <f ca="1">COUNTIFS(Paste_Report_Here!$E$1:$E$2000,E1192, OFFSET(Paste_Report_Here!$A$1,0,$A1219,2000,1),F$75)</f>
        <v>1</v>
      </c>
      <c r="G1219" s="180">
        <f ca="1">COUNTIFS(Paste_Report_Here!$E$1:$E$2000,E1192, OFFSET(Paste_Report_Here!$A$1,0,$A1219,2000,1),G$75)</f>
        <v>0</v>
      </c>
      <c r="H1219" s="180">
        <f ca="1">COUNTIFS(Paste_Report_Here!$E$1:$E$2000,E1192, OFFSET(Paste_Report_Here!$A$1,0,$A1219,2000,1),H$75)</f>
        <v>22</v>
      </c>
      <c r="I1219" s="180">
        <f ca="1">COUNTIFS(Paste_Report_Here!$E$1:$E$2000,E1192, OFFSET(Paste_Report_Here!$A$1,0,$A1219,2000,1),I$75)</f>
        <v>6</v>
      </c>
      <c r="J1219" s="180">
        <f ca="1">COUNTIFS(Paste_Report_Here!$E$1:$E$2000,E1192, OFFSET(Paste_Report_Here!$A$1,0,$A1219,2000,1),J$75)</f>
        <v>0</v>
      </c>
      <c r="K1219" s="181">
        <f ca="1">COUNTIFS(Paste_Report_Here!$E$1:$E$2000,E1192, OFFSET(Paste_Report_Here!$A$1,0,$A1219,2000,1),K$75)</f>
        <v>0</v>
      </c>
      <c r="L1219" s="166">
        <f t="shared" ca="1" si="180"/>
        <v>29</v>
      </c>
      <c r="M1219" s="183">
        <f ca="1">SUMPRODUCT(F1219:K1219,F1196:K1196)/L:L</f>
        <v>-6.8965517241379318E-3</v>
      </c>
      <c r="N1219" s="166">
        <f t="shared" ca="1" si="181"/>
        <v>0.99312717491337699</v>
      </c>
      <c r="O1219" s="165">
        <f t="shared" ca="1" si="183"/>
        <v>2298.3871369746121</v>
      </c>
      <c r="P1219" s="165">
        <f t="shared" ca="1" si="182"/>
        <v>2282.5907242008411</v>
      </c>
    </row>
    <row r="1220" spans="1:16" s="165" customFormat="1" x14ac:dyDescent="0.3">
      <c r="A1220" s="165">
        <f>MATCH(Calcs!B1220,Paste_Report_Here!$1:$1,0) -1</f>
        <v>27</v>
      </c>
      <c r="B1220" s="165" t="s">
        <v>210</v>
      </c>
      <c r="C1220" s="166">
        <f ca="1">RANK(N1220,N1198:N1222)</f>
        <v>12</v>
      </c>
      <c r="D1220" s="166">
        <f ca="1">RANK(P1220,P1198:P1222)</f>
        <v>24</v>
      </c>
      <c r="E1220" s="202" t="s">
        <v>212</v>
      </c>
      <c r="F1220" s="179">
        <f ca="1">COUNTIFS(Paste_Report_Here!$E$1:$E$2000,E1192, OFFSET(Paste_Report_Here!$A$1,0,$A1220,2000,1),F$75)</f>
        <v>0</v>
      </c>
      <c r="G1220" s="180">
        <f ca="1">COUNTIFS(Paste_Report_Here!$E$1:$E$2000,E1192, OFFSET(Paste_Report_Here!$A$1,0,$A1220,2000,1),G$75)</f>
        <v>0</v>
      </c>
      <c r="H1220" s="180">
        <f ca="1">COUNTIFS(Paste_Report_Here!$E$1:$E$2000,E1192, OFFSET(Paste_Report_Here!$A$1,0,$A1220,2000,1),H$75)</f>
        <v>26</v>
      </c>
      <c r="I1220" s="180">
        <f ca="1">COUNTIFS(Paste_Report_Here!$E$1:$E$2000,E1192, OFFSET(Paste_Report_Here!$A$1,0,$A1220,2000,1),I$75)</f>
        <v>3</v>
      </c>
      <c r="J1220" s="180">
        <f ca="1">COUNTIFS(Paste_Report_Here!$E$1:$E$2000,E1192, OFFSET(Paste_Report_Here!$A$1,0,$A1220,2000,1),J$75)</f>
        <v>0</v>
      </c>
      <c r="K1220" s="181">
        <f ca="1">COUNTIFS(Paste_Report_Here!$E$1:$E$2000,E1192, OFFSET(Paste_Report_Here!$A$1,0,$A1220,2000,1),K$75)</f>
        <v>0</v>
      </c>
      <c r="L1220" s="166">
        <f t="shared" ca="1" si="180"/>
        <v>29</v>
      </c>
      <c r="M1220" s="183">
        <f ca="1">SUMPRODUCT(F1220:K1220,F1196:K1196)/L:L</f>
        <v>0</v>
      </c>
      <c r="N1220" s="166">
        <f t="shared" ca="1" si="181"/>
        <v>1</v>
      </c>
      <c r="O1220" s="165">
        <f t="shared" ca="1" si="183"/>
        <v>1154.1143942862559</v>
      </c>
      <c r="P1220" s="165">
        <f t="shared" ca="1" si="182"/>
        <v>1154.1143942862559</v>
      </c>
    </row>
    <row r="1221" spans="1:16" s="165" customFormat="1" x14ac:dyDescent="0.3">
      <c r="A1221" s="165">
        <f>MATCH(Calcs!B1221,Paste_Report_Here!$1:$1,0) -1</f>
        <v>28</v>
      </c>
      <c r="B1221" s="165" t="s">
        <v>143</v>
      </c>
      <c r="C1221" s="166">
        <f ca="1">RANK(N1221,N1199:N1223)</f>
        <v>1</v>
      </c>
      <c r="D1221" s="166">
        <f ca="1">RANK(P1221,P1198:P1222)</f>
        <v>1</v>
      </c>
      <c r="E1221" s="189" t="s">
        <v>172</v>
      </c>
      <c r="F1221" s="179">
        <f ca="1">COUNTIFS(Paste_Report_Here!$E$1:$E$2000,E1192, OFFSET(Paste_Report_Here!$A$1,0,$A1221,2000,1),F$75)</f>
        <v>0</v>
      </c>
      <c r="G1221" s="180">
        <f ca="1">COUNTIFS(Paste_Report_Here!$E$1:$E$2000,E1192, OFFSET(Paste_Report_Here!$A$1,0,$A1221,2000,1),G$75)</f>
        <v>0</v>
      </c>
      <c r="H1221" s="180">
        <f ca="1">COUNTIFS(Paste_Report_Here!$E$1:$E$2000,E1192, OFFSET(Paste_Report_Here!$A$1,0,$A1221,2000,1),H$75)</f>
        <v>21</v>
      </c>
      <c r="I1221" s="180">
        <f ca="1">COUNTIFS(Paste_Report_Here!$E$1:$E$2000,E1192, OFFSET(Paste_Report_Here!$A$1,0,$A1221,2000,1),I$75)</f>
        <v>6</v>
      </c>
      <c r="J1221" s="180">
        <f ca="1">COUNTIFS(Paste_Report_Here!$E$1:$E$2000,E1192, OFFSET(Paste_Report_Here!$A$1,0,$A1221,2000,1),J$75)</f>
        <v>2</v>
      </c>
      <c r="K1221" s="181">
        <f ca="1">COUNTIFS(Paste_Report_Here!$E$1:$E$2000,E1192, OFFSET(Paste_Report_Here!$A$1,0,$A1221,2000,1),K$75)</f>
        <v>0</v>
      </c>
      <c r="L1221" s="166">
        <f t="shared" ca="1" si="180"/>
        <v>29</v>
      </c>
      <c r="M1221" s="183">
        <f ca="1">SUMPRODUCT(F1221:K1221,F1196:K1196)/L:L</f>
        <v>1.3793103448275864E-2</v>
      </c>
      <c r="N1221" s="166">
        <f t="shared" ca="1" si="181"/>
        <v>1.0138886671675746</v>
      </c>
      <c r="O1221" s="165">
        <f t="shared" ca="1" si="183"/>
        <v>8847.7630297317828</v>
      </c>
      <c r="P1221" s="165">
        <f t="shared" ca="1" si="182"/>
        <v>8970.6466656292996</v>
      </c>
    </row>
    <row r="1222" spans="1:16" s="165" customFormat="1" x14ac:dyDescent="0.3">
      <c r="A1222" s="165">
        <f>MATCH(Calcs!B1222,Paste_Report_Here!$1:$1,0) -1</f>
        <v>29</v>
      </c>
      <c r="B1222" s="187" t="s">
        <v>144</v>
      </c>
      <c r="C1222" s="147">
        <f ca="1">RANK(N1222,N1198:N1222)</f>
        <v>22</v>
      </c>
      <c r="D1222" s="147">
        <f ca="1">RANK(P1222,P1198:P1222)</f>
        <v>11</v>
      </c>
      <c r="E1222" s="145" t="s">
        <v>173</v>
      </c>
      <c r="F1222" s="146">
        <f ca="1">COUNTIFS(Paste_Report_Here!$E$1:$E$2000,E1192, OFFSET(Paste_Report_Here!$A$1,0,$A1222,2000,1),F$75)</f>
        <v>1</v>
      </c>
      <c r="G1222" s="147">
        <f ca="1">COUNTIFS(Paste_Report_Here!$E$1:$E$2000,E1192, OFFSET(Paste_Report_Here!$A$1,0,$A1222,2000,1),G$75)</f>
        <v>1</v>
      </c>
      <c r="H1222" s="147">
        <f ca="1">COUNTIFS(Paste_Report_Here!$E$1:$E$2000,E1192, OFFSET(Paste_Report_Here!$A$1,0,$A1222,2000,1),H$75)</f>
        <v>21</v>
      </c>
      <c r="I1222" s="147">
        <f ca="1">COUNTIFS(Paste_Report_Here!$E$1:$E$2000,E1192, OFFSET(Paste_Report_Here!$A$1,0,$A1222,2000,1),I$75)</f>
        <v>6</v>
      </c>
      <c r="J1222" s="147">
        <f ca="1">COUNTIFS(Paste_Report_Here!$E$1:$E$2000,E1192, OFFSET(Paste_Report_Here!$A$1,0,$A1222,2000,1),J$75)</f>
        <v>0</v>
      </c>
      <c r="K1222" s="148">
        <f ca="1">COUNTIFS(Paste_Report_Here!$E$1:$E$2000,E1192, OFFSET(Paste_Report_Here!$A$1,0,$A1222,2000,1),K$75)</f>
        <v>0</v>
      </c>
      <c r="L1222" s="147">
        <f t="shared" ca="1" si="180"/>
        <v>29</v>
      </c>
      <c r="M1222" s="149">
        <f ca="1">SUMPRODUCT(F1222:K1222,F1196:K1196)/L:L</f>
        <v>-6.8965517241379318E-3</v>
      </c>
      <c r="N1222" s="147">
        <f t="shared" ca="1" si="181"/>
        <v>0.99312717491337699</v>
      </c>
      <c r="O1222" s="187">
        <f t="shared" ca="1" si="183"/>
        <v>2372.6825487259393</v>
      </c>
      <c r="P1222" s="165">
        <f t="shared" ca="1" si="182"/>
        <v>2356.3755165824632</v>
      </c>
    </row>
    <row r="1223" spans="1:16" s="165" customFormat="1" x14ac:dyDescent="0.3">
      <c r="C1223" s="166"/>
      <c r="E1223" s="140" t="s">
        <v>293</v>
      </c>
      <c r="F1223" s="180">
        <f ca="1">SUM(F1198:F1222)</f>
        <v>5</v>
      </c>
      <c r="G1223" s="180">
        <f t="shared" ref="G1223:L1223" ca="1" si="184">SUM(G1198:G1222)</f>
        <v>34</v>
      </c>
      <c r="H1223" s="180">
        <f t="shared" ca="1" si="184"/>
        <v>542</v>
      </c>
      <c r="I1223" s="180">
        <f t="shared" ca="1" si="184"/>
        <v>123</v>
      </c>
      <c r="J1223" s="180">
        <f t="shared" ca="1" si="184"/>
        <v>19</v>
      </c>
      <c r="K1223" s="180">
        <f t="shared" ca="1" si="184"/>
        <v>2</v>
      </c>
      <c r="L1223" s="180">
        <f t="shared" ca="1" si="184"/>
        <v>725</v>
      </c>
      <c r="M1223" s="144">
        <f ca="1">SUMPRODUCT(F1223:K1223,F1196:K1196)/L1223</f>
        <v>3.8620689655172419E-3</v>
      </c>
      <c r="N1223" s="166">
        <f t="shared" ca="1" si="181"/>
        <v>1.0038695363639722</v>
      </c>
      <c r="O1223" s="165">
        <f t="shared" ca="1" si="183"/>
        <v>2692.7365697523746</v>
      </c>
      <c r="P1223" s="165">
        <f t="shared" ca="1" si="182"/>
        <v>2703.1562118276292</v>
      </c>
    </row>
    <row r="1224" spans="1:16" s="165" customFormat="1" x14ac:dyDescent="0.3">
      <c r="A1224" s="194"/>
      <c r="B1224" s="194"/>
      <c r="C1224" s="153"/>
      <c r="D1224" s="194"/>
      <c r="E1224" s="164"/>
      <c r="F1224" s="151"/>
      <c r="G1224" s="151"/>
      <c r="H1224" s="151"/>
      <c r="I1224" s="151"/>
      <c r="J1224" s="151"/>
      <c r="K1224" s="151"/>
      <c r="L1224" s="151"/>
      <c r="M1224" s="162"/>
      <c r="N1224" s="153"/>
      <c r="O1224" s="194"/>
      <c r="P1224" s="194"/>
    </row>
    <row r="1225" spans="1:16" s="165" customFormat="1" x14ac:dyDescent="0.3">
      <c r="E1225" s="173" t="s">
        <v>292</v>
      </c>
    </row>
    <row r="1226" spans="1:16" s="165" customFormat="1" x14ac:dyDescent="0.3">
      <c r="E1226" s="141">
        <v>41638</v>
      </c>
    </row>
    <row r="1227" spans="1:16" s="165" customFormat="1" ht="15" thickBot="1" x14ac:dyDescent="0.35"/>
    <row r="1228" spans="1:16" s="165" customFormat="1" ht="24.6" thickBot="1" x14ac:dyDescent="0.35">
      <c r="F1228" s="174" t="s">
        <v>23</v>
      </c>
      <c r="G1228" s="168" t="s">
        <v>18</v>
      </c>
      <c r="H1228" s="168" t="s">
        <v>16</v>
      </c>
      <c r="I1228" s="168" t="s">
        <v>17</v>
      </c>
      <c r="J1228" s="168" t="s">
        <v>19</v>
      </c>
      <c r="K1228" s="169" t="s">
        <v>114</v>
      </c>
    </row>
    <row r="1229" spans="1:16" s="165" customFormat="1" x14ac:dyDescent="0.3">
      <c r="F1229" s="267" t="s">
        <v>201</v>
      </c>
      <c r="G1229" s="268"/>
      <c r="H1229" s="268"/>
      <c r="I1229" s="268"/>
      <c r="J1229" s="268"/>
      <c r="K1229" s="169"/>
      <c r="M1229" s="203">
        <f ca="1">(H1257+K1257)/L1257</f>
        <v>0.75846153846153841</v>
      </c>
      <c r="N1229" s="204" t="s">
        <v>501</v>
      </c>
    </row>
    <row r="1230" spans="1:16" s="165" customFormat="1" ht="43.8" thickBot="1" x14ac:dyDescent="0.35">
      <c r="A1230" s="142" t="s">
        <v>294</v>
      </c>
      <c r="B1230" s="142" t="s">
        <v>295</v>
      </c>
      <c r="C1230" s="197" t="s">
        <v>440</v>
      </c>
      <c r="D1230" s="142" t="s">
        <v>441</v>
      </c>
      <c r="E1230" s="171" t="s">
        <v>30</v>
      </c>
      <c r="F1230" s="175">
        <f>Falling_fast</f>
        <v>-0.2</v>
      </c>
      <c r="G1230" s="176">
        <f>Falling</f>
        <v>0</v>
      </c>
      <c r="H1230" s="177">
        <f>Static</f>
        <v>0</v>
      </c>
      <c r="I1230" s="176">
        <f>Rising</f>
        <v>0</v>
      </c>
      <c r="J1230" s="178">
        <f>Rising_fast</f>
        <v>0.2</v>
      </c>
      <c r="K1230" s="182">
        <v>0</v>
      </c>
      <c r="L1230" s="171" t="s">
        <v>28</v>
      </c>
      <c r="M1230" s="172" t="s">
        <v>29</v>
      </c>
      <c r="N1230" s="143" t="s">
        <v>296</v>
      </c>
      <c r="O1230" s="142" t="s">
        <v>297</v>
      </c>
      <c r="P1230" s="142" t="s">
        <v>298</v>
      </c>
    </row>
    <row r="1231" spans="1:16" s="165" customFormat="1" x14ac:dyDescent="0.3">
      <c r="C1231" s="166"/>
      <c r="E1231" s="192"/>
      <c r="F1231" s="198" t="s">
        <v>151</v>
      </c>
      <c r="G1231" s="199" t="s">
        <v>149</v>
      </c>
      <c r="H1231" s="199" t="s">
        <v>16</v>
      </c>
      <c r="I1231" s="199" t="s">
        <v>148</v>
      </c>
      <c r="J1231" s="199" t="s">
        <v>150</v>
      </c>
      <c r="K1231" s="200" t="s">
        <v>114</v>
      </c>
      <c r="L1231" s="166"/>
      <c r="M1231" s="170"/>
      <c r="N1231" s="166"/>
    </row>
    <row r="1232" spans="1:16" s="165" customFormat="1" x14ac:dyDescent="0.3">
      <c r="A1232" s="165">
        <f>MATCH(Calcs!B1232,Paste_Report_Here!$1:$1,0) -1</f>
        <v>5</v>
      </c>
      <c r="B1232" s="165" t="s">
        <v>124</v>
      </c>
      <c r="C1232" s="166">
        <f ca="1">RANK(N1232,N1232:N1256)</f>
        <v>18</v>
      </c>
      <c r="D1232" s="166">
        <f ca="1">RANK(P1232,P1232:P1256)</f>
        <v>17</v>
      </c>
      <c r="E1232" s="189" t="s">
        <v>152</v>
      </c>
      <c r="F1232" s="179">
        <f ca="1">COUNTIFS(Paste_Report_Here!$E$1:$E$2000,E1226, OFFSET(Paste_Report_Here!$A$1,0,$A1232,2000,1),F$75)</f>
        <v>1</v>
      </c>
      <c r="G1232" s="180">
        <f ca="1">COUNTIFS(Paste_Report_Here!$E$1:$E$2000,E1226, OFFSET(Paste_Report_Here!$A$1,0,$A1232,2000,1),G$75)</f>
        <v>3</v>
      </c>
      <c r="H1232" s="180">
        <f ca="1">COUNTIFS(Paste_Report_Here!$E$1:$E$2000,E1226, OFFSET(Paste_Report_Here!$A$1,0,$A1232,2000,1),H$75)</f>
        <v>20</v>
      </c>
      <c r="I1232" s="180">
        <f ca="1">COUNTIFS(Paste_Report_Here!$E$1:$E$2000,E1226, OFFSET(Paste_Report_Here!$A$1,0,$A1232,2000,1),I$75)</f>
        <v>2</v>
      </c>
      <c r="J1232" s="180">
        <f ca="1">COUNTIFS(Paste_Report_Here!$E$1:$E$2000,E1226, OFFSET(Paste_Report_Here!$A$1,0,$A1232,2000,1),J$75)</f>
        <v>0</v>
      </c>
      <c r="K1232" s="181">
        <f ca="1">COUNTIFS(Paste_Report_Here!$E$1:$E$2000,E1226, OFFSET(Paste_Report_Here!$A$1,0,$A1232,2000,1),K$75)</f>
        <v>0</v>
      </c>
      <c r="L1232" s="166">
        <f t="shared" ref="L1232:L1256" ca="1" si="185">SUM(F1232:K1232)</f>
        <v>26</v>
      </c>
      <c r="M1232" s="183">
        <f ca="1">SUMPRODUCT(F1232:K1232,F1230:K1230)/L:L</f>
        <v>-7.6923076923076927E-3</v>
      </c>
      <c r="N1232" s="166">
        <f t="shared" ref="N1232:N1257" ca="1" si="186">EXP(M1232)</f>
        <v>0.99233720239114864</v>
      </c>
      <c r="O1232" s="165">
        <f ca="1">P1198</f>
        <v>2082.5256000561421</v>
      </c>
      <c r="P1232" s="165">
        <f t="shared" ref="P1232:P1257" ca="1" si="187">O1232*N1232</f>
        <v>2066.5676278676601</v>
      </c>
    </row>
    <row r="1233" spans="1:16" s="165" customFormat="1" x14ac:dyDescent="0.3">
      <c r="A1233" s="165">
        <f>MATCH(Calcs!B1233,Paste_Report_Here!$1:$1,0) -1</f>
        <v>6</v>
      </c>
      <c r="B1233" s="165" t="s">
        <v>125</v>
      </c>
      <c r="C1233" s="166">
        <f ca="1">RANK(N1233,N1232:N1256)</f>
        <v>18</v>
      </c>
      <c r="D1233" s="166">
        <f ca="1">RANK(P1233,P1232:P1256)</f>
        <v>15</v>
      </c>
      <c r="E1233" s="189" t="s">
        <v>153</v>
      </c>
      <c r="F1233" s="179">
        <f ca="1">COUNTIFS(Paste_Report_Here!$E$1:$E$2000,E1226, OFFSET(Paste_Report_Here!$A$1,0,$A1233,2000,1),F$75)</f>
        <v>1</v>
      </c>
      <c r="G1233" s="180">
        <f ca="1">COUNTIFS(Paste_Report_Here!$E$1:$E$2000,E1226, OFFSET(Paste_Report_Here!$A$1,0,$A1233,2000,1),G$75)</f>
        <v>0</v>
      </c>
      <c r="H1233" s="180">
        <f ca="1">COUNTIFS(Paste_Report_Here!$E$1:$E$2000,E1226, OFFSET(Paste_Report_Here!$A$1,0,$A1233,2000,1),H$75)</f>
        <v>25</v>
      </c>
      <c r="I1233" s="180">
        <f ca="1">COUNTIFS(Paste_Report_Here!$E$1:$E$2000,E1226, OFFSET(Paste_Report_Here!$A$1,0,$A1233,2000,1),I$75)</f>
        <v>0</v>
      </c>
      <c r="J1233" s="180">
        <f ca="1">COUNTIFS(Paste_Report_Here!$E$1:$E$2000,E1226, OFFSET(Paste_Report_Here!$A$1,0,$A1233,2000,1),J$75)</f>
        <v>0</v>
      </c>
      <c r="K1233" s="181">
        <f ca="1">COUNTIFS(Paste_Report_Here!$E$1:$E$2000,E1226, OFFSET(Paste_Report_Here!$A$1,0,$A1233,2000,1),K$75)</f>
        <v>0</v>
      </c>
      <c r="L1233" s="166">
        <f t="shared" ca="1" si="185"/>
        <v>26</v>
      </c>
      <c r="M1233" s="183">
        <f ca="1">SUMPRODUCT(F1233:K1233,F1230:K1230)/L:L</f>
        <v>-7.6923076923076927E-3</v>
      </c>
      <c r="N1233" s="166">
        <f t="shared" ca="1" si="186"/>
        <v>0.99233720239114864</v>
      </c>
      <c r="O1233" s="165">
        <f t="shared" ref="O1233:O1257" ca="1" si="188">P1199</f>
        <v>2083.7253251036855</v>
      </c>
      <c r="P1233" s="165">
        <f t="shared" ca="1" si="187"/>
        <v>2067.7581596649779</v>
      </c>
    </row>
    <row r="1234" spans="1:16" s="165" customFormat="1" x14ac:dyDescent="0.3">
      <c r="A1234" s="165">
        <f>MATCH(Calcs!B1234,Paste_Report_Here!$1:$1,0) -1</f>
        <v>7</v>
      </c>
      <c r="B1234" s="165" t="s">
        <v>126</v>
      </c>
      <c r="C1234" s="166">
        <f ca="1">RANK(N1234,N1232:N1256)</f>
        <v>18</v>
      </c>
      <c r="D1234" s="166">
        <f ca="1">RANK(P1234,P1232:P1256)</f>
        <v>8</v>
      </c>
      <c r="E1234" s="189" t="s">
        <v>154</v>
      </c>
      <c r="F1234" s="179">
        <f ca="1">COUNTIFS(Paste_Report_Here!$E$1:$E$2000,E1226, OFFSET(Paste_Report_Here!$A$1,0,$A1234,2000,1),F$75)</f>
        <v>1</v>
      </c>
      <c r="G1234" s="180">
        <f ca="1">COUNTIFS(Paste_Report_Here!$E$1:$E$2000,E1226, OFFSET(Paste_Report_Here!$A$1,0,$A1234,2000,1),G$75)</f>
        <v>4</v>
      </c>
      <c r="H1234" s="180">
        <f ca="1">COUNTIFS(Paste_Report_Here!$E$1:$E$2000,E1226, OFFSET(Paste_Report_Here!$A$1,0,$A1234,2000,1),H$75)</f>
        <v>18</v>
      </c>
      <c r="I1234" s="180">
        <f ca="1">COUNTIFS(Paste_Report_Here!$E$1:$E$2000,E1226, OFFSET(Paste_Report_Here!$A$1,0,$A1234,2000,1),I$75)</f>
        <v>3</v>
      </c>
      <c r="J1234" s="180">
        <f ca="1">COUNTIFS(Paste_Report_Here!$E$1:$E$2000,E1226, OFFSET(Paste_Report_Here!$A$1,0,$A1234,2000,1),J$75)</f>
        <v>0</v>
      </c>
      <c r="K1234" s="181">
        <f ca="1">COUNTIFS(Paste_Report_Here!$E$1:$E$2000,E1226, OFFSET(Paste_Report_Here!$A$1,0,$A1234,2000,1),K$75)</f>
        <v>0</v>
      </c>
      <c r="L1234" s="166">
        <f t="shared" ca="1" si="185"/>
        <v>26</v>
      </c>
      <c r="M1234" s="183">
        <f ca="1">SUMPRODUCT(F1234:K1234,F1230:K1230)/L:L</f>
        <v>-7.6923076923076927E-3</v>
      </c>
      <c r="N1234" s="166">
        <f t="shared" ca="1" si="186"/>
        <v>0.99233720239114864</v>
      </c>
      <c r="O1234" s="165">
        <f t="shared" ca="1" si="188"/>
        <v>2773.0112481875444</v>
      </c>
      <c r="P1234" s="165">
        <f t="shared" ca="1" si="187"/>
        <v>2751.7622242256148</v>
      </c>
    </row>
    <row r="1235" spans="1:16" s="165" customFormat="1" x14ac:dyDescent="0.3">
      <c r="A1235" s="165">
        <f>MATCH(Calcs!B1235,Paste_Report_Here!$1:$1,0) -1</f>
        <v>8</v>
      </c>
      <c r="B1235" s="165" t="s">
        <v>127</v>
      </c>
      <c r="C1235" s="166">
        <f ca="1">RANK(N1235,N1233:N1257)</f>
        <v>5</v>
      </c>
      <c r="D1235" s="166">
        <f ca="1">RANK(P1235,P1232:P1256)</f>
        <v>7</v>
      </c>
      <c r="E1235" s="189" t="s">
        <v>155</v>
      </c>
      <c r="F1235" s="179">
        <f ca="1">COUNTIFS(Paste_Report_Here!$E$1:$E$2000,E1226, OFFSET(Paste_Report_Here!$A$1,0,$A1235,2000,1),F$75)</f>
        <v>0</v>
      </c>
      <c r="G1235" s="180">
        <f ca="1">COUNTIFS(Paste_Report_Here!$E$1:$E$2000,E1226, OFFSET(Paste_Report_Here!$A$1,0,$A1235,2000,1),G$75)</f>
        <v>1</v>
      </c>
      <c r="H1235" s="180">
        <f ca="1">COUNTIFS(Paste_Report_Here!$E$1:$E$2000,E1226, OFFSET(Paste_Report_Here!$A$1,0,$A1235,2000,1),H$75)</f>
        <v>19</v>
      </c>
      <c r="I1235" s="180">
        <f ca="1">COUNTIFS(Paste_Report_Here!$E$1:$E$2000,E1226, OFFSET(Paste_Report_Here!$A$1,0,$A1235,2000,1),I$75)</f>
        <v>6</v>
      </c>
      <c r="J1235" s="180">
        <f ca="1">COUNTIFS(Paste_Report_Here!$E$1:$E$2000,E1226, OFFSET(Paste_Report_Here!$A$1,0,$A1235,2000,1),J$75)</f>
        <v>0</v>
      </c>
      <c r="K1235" s="181">
        <f ca="1">COUNTIFS(Paste_Report_Here!$E$1:$E$2000,E1226, OFFSET(Paste_Report_Here!$A$1,0,$A1235,2000,1),K$75)</f>
        <v>0</v>
      </c>
      <c r="L1235" s="166">
        <f t="shared" ca="1" si="185"/>
        <v>26</v>
      </c>
      <c r="M1235" s="183">
        <f ca="1">SUMPRODUCT(F1235:K1235,F1230:K1230)/L:L</f>
        <v>0</v>
      </c>
      <c r="N1235" s="166">
        <f t="shared" ca="1" si="186"/>
        <v>1</v>
      </c>
      <c r="O1235" s="165">
        <f t="shared" ca="1" si="188"/>
        <v>2936.7627696184063</v>
      </c>
      <c r="P1235" s="165">
        <f t="shared" ca="1" si="187"/>
        <v>2936.7627696184063</v>
      </c>
    </row>
    <row r="1236" spans="1:16" s="165" customFormat="1" x14ac:dyDescent="0.3">
      <c r="A1236" s="165">
        <f>MATCH(Calcs!B1236,Paste_Report_Here!$1:$1,0) -1</f>
        <v>9</v>
      </c>
      <c r="B1236" s="165" t="s">
        <v>214</v>
      </c>
      <c r="C1236" s="166">
        <f ca="1">RANK(N1236,N1232:N1256)</f>
        <v>2</v>
      </c>
      <c r="D1236" s="166">
        <f ca="1">RANK(P1236,P1232:P1256)</f>
        <v>5</v>
      </c>
      <c r="E1236" s="189" t="s">
        <v>156</v>
      </c>
      <c r="F1236" s="179">
        <f ca="1">COUNTIFS(Paste_Report_Here!$E$1:$E$2000,E1226, OFFSET(Paste_Report_Here!$A$1,0,$A1236,2000,1),F$75)</f>
        <v>0</v>
      </c>
      <c r="G1236" s="180">
        <f ca="1">COUNTIFS(Paste_Report_Here!$E$1:$E$2000,E1226, OFFSET(Paste_Report_Here!$A$1,0,$A1236,2000,1),G$75)</f>
        <v>2</v>
      </c>
      <c r="H1236" s="180">
        <f ca="1">COUNTIFS(Paste_Report_Here!$E$1:$E$2000,E1226, OFFSET(Paste_Report_Here!$A$1,0,$A1236,2000,1),H$75)</f>
        <v>20</v>
      </c>
      <c r="I1236" s="180">
        <f ca="1">COUNTIFS(Paste_Report_Here!$E$1:$E$2000,E1226, OFFSET(Paste_Report_Here!$A$1,0,$A1236,2000,1),I$75)</f>
        <v>3</v>
      </c>
      <c r="J1236" s="180">
        <f ca="1">COUNTIFS(Paste_Report_Here!$E$1:$E$2000,E1226, OFFSET(Paste_Report_Here!$A$1,0,$A1236,2000,1),J$75)</f>
        <v>1</v>
      </c>
      <c r="K1236" s="181">
        <f ca="1">COUNTIFS(Paste_Report_Here!$E$1:$E$2000,E1226, OFFSET(Paste_Report_Here!$A$1,0,$A1236,2000,1),K$75)</f>
        <v>0</v>
      </c>
      <c r="L1236" s="166">
        <f t="shared" ca="1" si="185"/>
        <v>26</v>
      </c>
      <c r="M1236" s="183">
        <f ca="1">SUMPRODUCT(F1236:K1236,F1230:K1230)/L:L</f>
        <v>7.6923076923076927E-3</v>
      </c>
      <c r="N1236" s="166">
        <f t="shared" ca="1" si="186"/>
        <v>1.0077219694982582</v>
      </c>
      <c r="O1236" s="165">
        <f t="shared" ca="1" si="188"/>
        <v>3779.2561997033695</v>
      </c>
      <c r="P1236" s="165">
        <f t="shared" ca="1" si="187"/>
        <v>3808.4395008035822</v>
      </c>
    </row>
    <row r="1237" spans="1:16" s="165" customFormat="1" x14ac:dyDescent="0.3">
      <c r="A1237" s="165">
        <f>MATCH(Calcs!B1237,Paste_Report_Here!$1:$1,0) -1</f>
        <v>10</v>
      </c>
      <c r="B1237" s="165" t="s">
        <v>128</v>
      </c>
      <c r="C1237" s="166">
        <f ca="1">RANK(N1237,N1232:N1256)</f>
        <v>25</v>
      </c>
      <c r="D1237" s="166">
        <f ca="1">RANK(P1237,P1232:P1256)</f>
        <v>21</v>
      </c>
      <c r="E1237" s="189" t="s">
        <v>157</v>
      </c>
      <c r="F1237" s="179">
        <f ca="1">COUNTIFS(Paste_Report_Here!$E$1:$E$2000,E1226, OFFSET(Paste_Report_Here!$A$1,0,$A1237,2000,1),F$75)</f>
        <v>2</v>
      </c>
      <c r="G1237" s="180">
        <f ca="1">COUNTIFS(Paste_Report_Here!$E$1:$E$2000,E1226, OFFSET(Paste_Report_Here!$A$1,0,$A1237,2000,1),G$75)</f>
        <v>1</v>
      </c>
      <c r="H1237" s="180">
        <f ca="1">COUNTIFS(Paste_Report_Here!$E$1:$E$2000,E1226, OFFSET(Paste_Report_Here!$A$1,0,$A1237,2000,1),H$75)</f>
        <v>20</v>
      </c>
      <c r="I1237" s="180">
        <f ca="1">COUNTIFS(Paste_Report_Here!$E$1:$E$2000,E1226, OFFSET(Paste_Report_Here!$A$1,0,$A1237,2000,1),I$75)</f>
        <v>3</v>
      </c>
      <c r="J1237" s="180">
        <f ca="1">COUNTIFS(Paste_Report_Here!$E$1:$E$2000,E1226, OFFSET(Paste_Report_Here!$A$1,0,$A1237,2000,1),J$75)</f>
        <v>0</v>
      </c>
      <c r="K1237" s="181">
        <f ca="1">COUNTIFS(Paste_Report_Here!$E$1:$E$2000,E1226, OFFSET(Paste_Report_Here!$A$1,0,$A1237,2000,1),K$75)</f>
        <v>0</v>
      </c>
      <c r="L1237" s="166">
        <f t="shared" ca="1" si="185"/>
        <v>26</v>
      </c>
      <c r="M1237" s="183">
        <f ca="1">SUMPRODUCT(F1237:K1237,F1230:K1230)/L:L</f>
        <v>-1.5384615384615385E-2</v>
      </c>
      <c r="N1237" s="166">
        <f t="shared" ca="1" si="186"/>
        <v>0.98473312324949158</v>
      </c>
      <c r="O1237" s="165">
        <f t="shared" ca="1" si="188"/>
        <v>1641.3398806026587</v>
      </c>
      <c r="P1237" s="165">
        <f t="shared" ca="1" si="187"/>
        <v>1616.2817469398037</v>
      </c>
    </row>
    <row r="1238" spans="1:16" s="165" customFormat="1" x14ac:dyDescent="0.3">
      <c r="A1238" s="165">
        <f>MATCH(Calcs!B1238,Paste_Report_Here!$1:$1,0) -1</f>
        <v>11</v>
      </c>
      <c r="B1238" s="165" t="s">
        <v>129</v>
      </c>
      <c r="C1238" s="166">
        <f ca="1">RANK(N1238,N1232:N1256)</f>
        <v>18</v>
      </c>
      <c r="D1238" s="166">
        <f ca="1">RANK(P1238,P1232:P1256)</f>
        <v>9</v>
      </c>
      <c r="E1238" s="189" t="s">
        <v>158</v>
      </c>
      <c r="F1238" s="179">
        <f ca="1">COUNTIFS(Paste_Report_Here!$E$1:$E$2000,E1226, OFFSET(Paste_Report_Here!$A$1,0,$A1238,2000,1),F$75)</f>
        <v>1</v>
      </c>
      <c r="G1238" s="180">
        <f ca="1">COUNTIFS(Paste_Report_Here!$E$1:$E$2000,E1226, OFFSET(Paste_Report_Here!$A$1,0,$A1238,2000,1),G$75)</f>
        <v>3</v>
      </c>
      <c r="H1238" s="180">
        <f ca="1">COUNTIFS(Paste_Report_Here!$E$1:$E$2000,E1226, OFFSET(Paste_Report_Here!$A$1,0,$A1238,2000,1),H$75)</f>
        <v>18</v>
      </c>
      <c r="I1238" s="180">
        <f ca="1">COUNTIFS(Paste_Report_Here!$E$1:$E$2000,E1226, OFFSET(Paste_Report_Here!$A$1,0,$A1238,2000,1),I$75)</f>
        <v>4</v>
      </c>
      <c r="J1238" s="180">
        <f ca="1">COUNTIFS(Paste_Report_Here!$E$1:$E$2000,E1226, OFFSET(Paste_Report_Here!$A$1,0,$A1238,2000,1),J$75)</f>
        <v>0</v>
      </c>
      <c r="K1238" s="181">
        <f ca="1">COUNTIFS(Paste_Report_Here!$E$1:$E$2000,E1226, OFFSET(Paste_Report_Here!$A$1,0,$A1238,2000,1),K$75)</f>
        <v>0</v>
      </c>
      <c r="L1238" s="166">
        <f t="shared" ca="1" si="185"/>
        <v>26</v>
      </c>
      <c r="M1238" s="183">
        <f ca="1">SUMPRODUCT(F1238:K1238,F1230:K1230)/L:L</f>
        <v>-7.6923076923076927E-3</v>
      </c>
      <c r="N1238" s="166">
        <f t="shared" ca="1" si="186"/>
        <v>0.99233720239114864</v>
      </c>
      <c r="O1238" s="165">
        <f t="shared" ca="1" si="188"/>
        <v>2585.3721955086908</v>
      </c>
      <c r="P1238" s="165">
        <f t="shared" ca="1" si="187"/>
        <v>2565.5610116309558</v>
      </c>
    </row>
    <row r="1239" spans="1:16" s="165" customFormat="1" x14ac:dyDescent="0.3">
      <c r="A1239" s="165">
        <f>MATCH(Calcs!B1239,Paste_Report_Here!$1:$1,0) -1</f>
        <v>12</v>
      </c>
      <c r="B1239" s="165" t="s">
        <v>130</v>
      </c>
      <c r="C1239" s="166">
        <f ca="1">RANK(N1239,N1233:N1257)</f>
        <v>19</v>
      </c>
      <c r="D1239" s="166">
        <f ca="1">RANK(P1239,P1232:P1256)</f>
        <v>10</v>
      </c>
      <c r="E1239" s="189" t="s">
        <v>159</v>
      </c>
      <c r="F1239" s="179">
        <f ca="1">COUNTIFS(Paste_Report_Here!$E$1:$E$2000,E1226, OFFSET(Paste_Report_Here!$A$1,0,$A1239,2000,1),F$75)</f>
        <v>1</v>
      </c>
      <c r="G1239" s="180">
        <f ca="1">COUNTIFS(Paste_Report_Here!$E$1:$E$2000,E1226, OFFSET(Paste_Report_Here!$A$1,0,$A1239,2000,1),G$75)</f>
        <v>1</v>
      </c>
      <c r="H1239" s="180">
        <f ca="1">COUNTIFS(Paste_Report_Here!$E$1:$E$2000,E1226, OFFSET(Paste_Report_Here!$A$1,0,$A1239,2000,1),H$75)</f>
        <v>19</v>
      </c>
      <c r="I1239" s="180">
        <f ca="1">COUNTIFS(Paste_Report_Here!$E$1:$E$2000,E1226, OFFSET(Paste_Report_Here!$A$1,0,$A1239,2000,1),I$75)</f>
        <v>5</v>
      </c>
      <c r="J1239" s="180">
        <f ca="1">COUNTIFS(Paste_Report_Here!$E$1:$E$2000,E1226, OFFSET(Paste_Report_Here!$A$1,0,$A1239,2000,1),J$75)</f>
        <v>0</v>
      </c>
      <c r="K1239" s="181">
        <f ca="1">COUNTIFS(Paste_Report_Here!$E$1:$E$2000,E1226, OFFSET(Paste_Report_Here!$A$1,0,$A1239,2000,1),K$75)</f>
        <v>0</v>
      </c>
      <c r="L1239" s="166">
        <f t="shared" ca="1" si="185"/>
        <v>26</v>
      </c>
      <c r="M1239" s="183">
        <f ca="1">SUMPRODUCT(F1239:K1239,F1230:K1230)/L:L</f>
        <v>-7.6923076923076927E-3</v>
      </c>
      <c r="N1239" s="166">
        <f t="shared" ca="1" si="186"/>
        <v>0.99233720239114864</v>
      </c>
      <c r="O1239" s="165">
        <f t="shared" ca="1" si="188"/>
        <v>2552.4280656844426</v>
      </c>
      <c r="P1239" s="165">
        <f t="shared" ca="1" si="187"/>
        <v>2532.8693260059508</v>
      </c>
    </row>
    <row r="1240" spans="1:16" s="165" customFormat="1" x14ac:dyDescent="0.3">
      <c r="A1240" s="165">
        <f>MATCH(Calcs!B1240,Paste_Report_Here!$1:$1,0) -1</f>
        <v>13</v>
      </c>
      <c r="B1240" s="165" t="s">
        <v>131</v>
      </c>
      <c r="C1240" s="166">
        <f ca="1">RANK(N1240,N1234:N1258)</f>
        <v>5</v>
      </c>
      <c r="D1240" s="166">
        <f ca="1">RANK(P1240,P1232:P1256)</f>
        <v>2</v>
      </c>
      <c r="E1240" s="189" t="s">
        <v>160</v>
      </c>
      <c r="F1240" s="179">
        <f ca="1">COUNTIFS(Paste_Report_Here!$E$1:$E$2000,E1226, OFFSET(Paste_Report_Here!$A$1,0,$A1240,2000,1),F$75)</f>
        <v>0</v>
      </c>
      <c r="G1240" s="180">
        <f ca="1">COUNTIFS(Paste_Report_Here!$E$1:$E$2000,E1226, OFFSET(Paste_Report_Here!$A$1,0,$A1240,2000,1),G$75)</f>
        <v>2</v>
      </c>
      <c r="H1240" s="180">
        <f ca="1">COUNTIFS(Paste_Report_Here!$E$1:$E$2000,E1226, OFFSET(Paste_Report_Here!$A$1,0,$A1240,2000,1),H$75)</f>
        <v>19</v>
      </c>
      <c r="I1240" s="180">
        <f ca="1">COUNTIFS(Paste_Report_Here!$E$1:$E$2000,E1226, OFFSET(Paste_Report_Here!$A$1,0,$A1240,2000,1),I$75)</f>
        <v>5</v>
      </c>
      <c r="J1240" s="180">
        <f ca="1">COUNTIFS(Paste_Report_Here!$E$1:$E$2000,E1226, OFFSET(Paste_Report_Here!$A$1,0,$A1240,2000,1),J$75)</f>
        <v>0</v>
      </c>
      <c r="K1240" s="181">
        <f ca="1">COUNTIFS(Paste_Report_Here!$E$1:$E$2000,E1226, OFFSET(Paste_Report_Here!$A$1,0,$A1240,2000,1),K$75)</f>
        <v>0</v>
      </c>
      <c r="L1240" s="166">
        <f t="shared" ca="1" si="185"/>
        <v>26</v>
      </c>
      <c r="M1240" s="183">
        <f ca="1">SUMPRODUCT(F1240:K1240,F1230:K1230)/L:L</f>
        <v>0</v>
      </c>
      <c r="N1240" s="166">
        <f t="shared" ca="1" si="186"/>
        <v>1</v>
      </c>
      <c r="O1240" s="165">
        <f t="shared" ca="1" si="188"/>
        <v>4437.4120527150017</v>
      </c>
      <c r="P1240" s="165">
        <f t="shared" ca="1" si="187"/>
        <v>4437.4120527150017</v>
      </c>
    </row>
    <row r="1241" spans="1:16" s="165" customFormat="1" x14ac:dyDescent="0.3">
      <c r="A1241" s="165">
        <f>MATCH(Calcs!B1241,Paste_Report_Here!$1:$1,0) -1</f>
        <v>14</v>
      </c>
      <c r="B1241" s="165" t="s">
        <v>132</v>
      </c>
      <c r="C1241" s="166">
        <f ca="1">RANK(N1241,N1235:N1259)</f>
        <v>5</v>
      </c>
      <c r="D1241" s="166">
        <f ca="1">RANK(P1241,P1232:P1256)</f>
        <v>16</v>
      </c>
      <c r="E1241" s="189" t="s">
        <v>161</v>
      </c>
      <c r="F1241" s="179">
        <f ca="1">COUNTIFS(Paste_Report_Here!$E$1:$E$2000,E1226, OFFSET(Paste_Report_Here!$A$1,0,$A1241,2000,1),F$75)</f>
        <v>1</v>
      </c>
      <c r="G1241" s="180">
        <f ca="1">COUNTIFS(Paste_Report_Here!$E$1:$E$2000,E1226, OFFSET(Paste_Report_Here!$A$1,0,$A1241,2000,1),G$75)</f>
        <v>2</v>
      </c>
      <c r="H1241" s="180">
        <f ca="1">COUNTIFS(Paste_Report_Here!$E$1:$E$2000,E1226, OFFSET(Paste_Report_Here!$A$1,0,$A1241,2000,1),H$75)</f>
        <v>20</v>
      </c>
      <c r="I1241" s="180">
        <f ca="1">COUNTIFS(Paste_Report_Here!$E$1:$E$2000,E1226, OFFSET(Paste_Report_Here!$A$1,0,$A1241,2000,1),I$75)</f>
        <v>2</v>
      </c>
      <c r="J1241" s="180">
        <f ca="1">COUNTIFS(Paste_Report_Here!$E$1:$E$2000,E1226, OFFSET(Paste_Report_Here!$A$1,0,$A1241,2000,1),J$75)</f>
        <v>1</v>
      </c>
      <c r="K1241" s="181">
        <f ca="1">COUNTIFS(Paste_Report_Here!$E$1:$E$2000,E1226, OFFSET(Paste_Report_Here!$A$1,0,$A1241,2000,1),K$75)</f>
        <v>0</v>
      </c>
      <c r="L1241" s="166">
        <f t="shared" ca="1" si="185"/>
        <v>26</v>
      </c>
      <c r="M1241" s="183">
        <f ca="1">SUMPRODUCT(F1241:K1241,F1230:K1230)/L:L</f>
        <v>0</v>
      </c>
      <c r="N1241" s="166">
        <f t="shared" ca="1" si="186"/>
        <v>1</v>
      </c>
      <c r="O1241" s="165">
        <f t="shared" ca="1" si="188"/>
        <v>2067.2812878988411</v>
      </c>
      <c r="P1241" s="165">
        <f t="shared" ca="1" si="187"/>
        <v>2067.2812878988411</v>
      </c>
    </row>
    <row r="1242" spans="1:16" s="165" customFormat="1" x14ac:dyDescent="0.3">
      <c r="A1242" s="165">
        <f>MATCH(Calcs!B1242,Paste_Report_Here!$1:$1,0) -1</f>
        <v>15</v>
      </c>
      <c r="B1242" s="165" t="s">
        <v>133</v>
      </c>
      <c r="C1242" s="166">
        <f ca="1">RANK(N1242,N1231:N1255)</f>
        <v>5</v>
      </c>
      <c r="D1242" s="166">
        <f ca="1">RANK(P1242,P1232:P1256)</f>
        <v>6</v>
      </c>
      <c r="E1242" s="189" t="s">
        <v>162</v>
      </c>
      <c r="F1242" s="179">
        <f ca="1">COUNTIFS(Paste_Report_Here!$E$1:$E$2000,E1226, OFFSET(Paste_Report_Here!$A$1,0,$A1242,2000,1),F$75)</f>
        <v>1</v>
      </c>
      <c r="G1242" s="180">
        <f ca="1">COUNTIFS(Paste_Report_Here!$E$1:$E$2000,E1226, OFFSET(Paste_Report_Here!$A$1,0,$A1242,2000,1),G$75)</f>
        <v>1</v>
      </c>
      <c r="H1242" s="180">
        <f ca="1">COUNTIFS(Paste_Report_Here!$E$1:$E$2000,E1226, OFFSET(Paste_Report_Here!$A$1,0,$A1242,2000,1),H$75)</f>
        <v>15</v>
      </c>
      <c r="I1242" s="180">
        <f ca="1">COUNTIFS(Paste_Report_Here!$E$1:$E$2000,E1226, OFFSET(Paste_Report_Here!$A$1,0,$A1242,2000,1),I$75)</f>
        <v>8</v>
      </c>
      <c r="J1242" s="180">
        <f ca="1">COUNTIFS(Paste_Report_Here!$E$1:$E$2000,E1226, OFFSET(Paste_Report_Here!$A$1,0,$A1242,2000,1),J$75)</f>
        <v>1</v>
      </c>
      <c r="K1242" s="181">
        <f ca="1">COUNTIFS(Paste_Report_Here!$E$1:$E$2000,E1226, OFFSET(Paste_Report_Here!$A$1,0,$A1242,2000,1),K$75)</f>
        <v>0</v>
      </c>
      <c r="L1242" s="166">
        <f t="shared" ca="1" si="185"/>
        <v>26</v>
      </c>
      <c r="M1242" s="183">
        <f ca="1">SUMPRODUCT(F1242:K1242,F1230:K1230)/L:L</f>
        <v>0</v>
      </c>
      <c r="N1242" s="166">
        <f t="shared" ca="1" si="186"/>
        <v>1</v>
      </c>
      <c r="O1242" s="165">
        <f t="shared" ca="1" si="188"/>
        <v>3020.0682289270985</v>
      </c>
      <c r="P1242" s="165">
        <f t="shared" ca="1" si="187"/>
        <v>3020.0682289270985</v>
      </c>
    </row>
    <row r="1243" spans="1:16" s="165" customFormat="1" x14ac:dyDescent="0.3">
      <c r="A1243" s="165">
        <f>MATCH(Calcs!B1243,Paste_Report_Here!$1:$1,0) -1</f>
        <v>16</v>
      </c>
      <c r="B1243" s="165" t="s">
        <v>134</v>
      </c>
      <c r="C1243" s="166">
        <f ca="1">RANK(N1243,N1232:N1256)</f>
        <v>5</v>
      </c>
      <c r="D1243" s="166">
        <f ca="1">RANK(P1243,P1232:P1256)</f>
        <v>25</v>
      </c>
      <c r="E1243" s="189" t="s">
        <v>163</v>
      </c>
      <c r="F1243" s="179">
        <f ca="1">COUNTIFS(Paste_Report_Here!$E$1:$E$2000,E1226, OFFSET(Paste_Report_Here!$A$1,0,$A1243,2000,1),F$75)</f>
        <v>1</v>
      </c>
      <c r="G1243" s="180">
        <f ca="1">COUNTIFS(Paste_Report_Here!$E$1:$E$2000,E1226, OFFSET(Paste_Report_Here!$A$1,0,$A1243,2000,1),G$75)</f>
        <v>0</v>
      </c>
      <c r="H1243" s="180">
        <f ca="1">COUNTIFS(Paste_Report_Here!$E$1:$E$2000,E1226, OFFSET(Paste_Report_Here!$A$1,0,$A1243,2000,1),H$75)</f>
        <v>22</v>
      </c>
      <c r="I1243" s="180">
        <f ca="1">COUNTIFS(Paste_Report_Here!$E$1:$E$2000,E1226, OFFSET(Paste_Report_Here!$A$1,0,$A1243,2000,1),I$75)</f>
        <v>2</v>
      </c>
      <c r="J1243" s="180">
        <f ca="1">COUNTIFS(Paste_Report_Here!$E$1:$E$2000,E1226, OFFSET(Paste_Report_Here!$A$1,0,$A1243,2000,1),J$75)</f>
        <v>1</v>
      </c>
      <c r="K1243" s="181">
        <f ca="1">COUNTIFS(Paste_Report_Here!$E$1:$E$2000,E1226, OFFSET(Paste_Report_Here!$A$1,0,$A1243,2000,1),K$75)</f>
        <v>0</v>
      </c>
      <c r="L1243" s="166">
        <f t="shared" ca="1" si="185"/>
        <v>26</v>
      </c>
      <c r="M1243" s="183">
        <f ca="1">SUMPRODUCT(F1243:K1243,F1230:K1230)/L:L</f>
        <v>0</v>
      </c>
      <c r="N1243" s="166">
        <f t="shared" ca="1" si="186"/>
        <v>1</v>
      </c>
      <c r="O1243" s="165">
        <f t="shared" ca="1" si="188"/>
        <v>1143.7881777086034</v>
      </c>
      <c r="P1243" s="165">
        <f t="shared" ca="1" si="187"/>
        <v>1143.7881777086034</v>
      </c>
    </row>
    <row r="1244" spans="1:16" s="165" customFormat="1" x14ac:dyDescent="0.3">
      <c r="A1244" s="165">
        <f>MATCH(Calcs!B1244,Paste_Report_Here!$1:$1,0) -1</f>
        <v>17</v>
      </c>
      <c r="B1244" s="165" t="s">
        <v>135</v>
      </c>
      <c r="C1244" s="166">
        <f ca="1">RANK(N1244,N1232:N1256)</f>
        <v>5</v>
      </c>
      <c r="D1244" s="166">
        <f ca="1">RANK(P1244,P1232:P1256)</f>
        <v>20</v>
      </c>
      <c r="E1244" s="189" t="s">
        <v>164</v>
      </c>
      <c r="F1244" s="179">
        <f ca="1">COUNTIFS(Paste_Report_Here!$E$1:$E$2000,E1226, OFFSET(Paste_Report_Here!$A$1,0,$A1244,2000,1),F$75)</f>
        <v>1</v>
      </c>
      <c r="G1244" s="180">
        <f ca="1">COUNTIFS(Paste_Report_Here!$E$1:$E$2000,E1226, OFFSET(Paste_Report_Here!$A$1,0,$A1244,2000,1),G$75)</f>
        <v>2</v>
      </c>
      <c r="H1244" s="180">
        <f ca="1">COUNTIFS(Paste_Report_Here!$E$1:$E$2000,E1226, OFFSET(Paste_Report_Here!$A$1,0,$A1244,2000,1),H$75)</f>
        <v>20</v>
      </c>
      <c r="I1244" s="180">
        <f ca="1">COUNTIFS(Paste_Report_Here!$E$1:$E$2000,E1226, OFFSET(Paste_Report_Here!$A$1,0,$A1244,2000,1),I$75)</f>
        <v>2</v>
      </c>
      <c r="J1244" s="180">
        <f ca="1">COUNTIFS(Paste_Report_Here!$E$1:$E$2000,E1226, OFFSET(Paste_Report_Here!$A$1,0,$A1244,2000,1),J$75)</f>
        <v>1</v>
      </c>
      <c r="K1244" s="181">
        <f ca="1">COUNTIFS(Paste_Report_Here!$E$1:$E$2000,E1226, OFFSET(Paste_Report_Here!$A$1,0,$A1244,2000,1),K$75)</f>
        <v>0</v>
      </c>
      <c r="L1244" s="166">
        <f t="shared" ca="1" si="185"/>
        <v>26</v>
      </c>
      <c r="M1244" s="183">
        <f ca="1">SUMPRODUCT(F1244:K1244,F1230:K1230)/L:L</f>
        <v>0</v>
      </c>
      <c r="N1244" s="166">
        <f t="shared" ca="1" si="186"/>
        <v>1</v>
      </c>
      <c r="O1244" s="165">
        <f t="shared" ca="1" si="188"/>
        <v>1880.6424163650809</v>
      </c>
      <c r="P1244" s="165">
        <f t="shared" ca="1" si="187"/>
        <v>1880.6424163650809</v>
      </c>
    </row>
    <row r="1245" spans="1:16" s="165" customFormat="1" x14ac:dyDescent="0.3">
      <c r="A1245" s="165">
        <f>MATCH(Calcs!B1245,Paste_Report_Here!$1:$1,0) -1</f>
        <v>18</v>
      </c>
      <c r="B1245" s="165" t="s">
        <v>136</v>
      </c>
      <c r="C1245" s="166">
        <f ca="1">RANK(N1245,N1234:N1258)</f>
        <v>1</v>
      </c>
      <c r="D1245" s="166">
        <f ca="1">RANK(P1245,P1232:P1256)</f>
        <v>4</v>
      </c>
      <c r="E1245" s="189" t="s">
        <v>165</v>
      </c>
      <c r="F1245" s="179">
        <f ca="1">COUNTIFS(Paste_Report_Here!$E$1:$E$2000,E1226, OFFSET(Paste_Report_Here!$A$1,0,$A1245,2000,1),F$75)</f>
        <v>0</v>
      </c>
      <c r="G1245" s="180">
        <f ca="1">COUNTIFS(Paste_Report_Here!$E$1:$E$2000,E1226, OFFSET(Paste_Report_Here!$A$1,0,$A1245,2000,1),G$75)</f>
        <v>0</v>
      </c>
      <c r="H1245" s="180">
        <f ca="1">COUNTIFS(Paste_Report_Here!$E$1:$E$2000,E1226, OFFSET(Paste_Report_Here!$A$1,0,$A1245,2000,1),H$75)</f>
        <v>21</v>
      </c>
      <c r="I1245" s="180">
        <f ca="1">COUNTIFS(Paste_Report_Here!$E$1:$E$2000,E1226, OFFSET(Paste_Report_Here!$A$1,0,$A1245,2000,1),I$75)</f>
        <v>3</v>
      </c>
      <c r="J1245" s="180">
        <f ca="1">COUNTIFS(Paste_Report_Here!$E$1:$E$2000,E1226, OFFSET(Paste_Report_Here!$A$1,0,$A1245,2000,1),J$75)</f>
        <v>2</v>
      </c>
      <c r="K1245" s="181">
        <f ca="1">COUNTIFS(Paste_Report_Here!$E$1:$E$2000,E1226, OFFSET(Paste_Report_Here!$A$1,0,$A1245,2000,1),K$75)</f>
        <v>0</v>
      </c>
      <c r="L1245" s="166">
        <f t="shared" ca="1" si="185"/>
        <v>26</v>
      </c>
      <c r="M1245" s="183">
        <f ca="1">SUMPRODUCT(F1245:K1245,F1230:K1230)/L:L</f>
        <v>1.5384615384615385E-2</v>
      </c>
      <c r="N1245" s="166">
        <f t="shared" ca="1" si="186"/>
        <v>1.0155035678094484</v>
      </c>
      <c r="O1245" s="165">
        <f t="shared" ca="1" si="188"/>
        <v>4001.2918276427936</v>
      </c>
      <c r="P1245" s="165">
        <f t="shared" ca="1" si="187"/>
        <v>4063.3261268180454</v>
      </c>
    </row>
    <row r="1246" spans="1:16" s="165" customFormat="1" x14ac:dyDescent="0.3">
      <c r="A1246" s="165">
        <f>MATCH(Calcs!B1246,Paste_Report_Here!$1:$1,0) -1</f>
        <v>19</v>
      </c>
      <c r="B1246" s="165" t="s">
        <v>137</v>
      </c>
      <c r="C1246" s="166">
        <f ca="1">RANK(N1246,N1235:N1259)</f>
        <v>2</v>
      </c>
      <c r="D1246" s="166">
        <f ca="1">RANK(P1246,P1232:P1256)</f>
        <v>13</v>
      </c>
      <c r="E1246" s="189" t="s">
        <v>166</v>
      </c>
      <c r="F1246" s="179">
        <f ca="1">COUNTIFS(Paste_Report_Here!$E$1:$E$2000,E1226, OFFSET(Paste_Report_Here!$A$1,0,$A1246,2000,1),F$75)</f>
        <v>0</v>
      </c>
      <c r="G1246" s="180">
        <f ca="1">COUNTIFS(Paste_Report_Here!$E$1:$E$2000,E1226, OFFSET(Paste_Report_Here!$A$1,0,$A1246,2000,1),G$75)</f>
        <v>1</v>
      </c>
      <c r="H1246" s="180">
        <f ca="1">COUNTIFS(Paste_Report_Here!$E$1:$E$2000,E1226, OFFSET(Paste_Report_Here!$A$1,0,$A1246,2000,1),H$75)</f>
        <v>16</v>
      </c>
      <c r="I1246" s="180">
        <f ca="1">COUNTIFS(Paste_Report_Here!$E$1:$E$2000,E1226, OFFSET(Paste_Report_Here!$A$1,0,$A1246,2000,1),I$75)</f>
        <v>7</v>
      </c>
      <c r="J1246" s="180">
        <f ca="1">COUNTIFS(Paste_Report_Here!$E$1:$E$2000,E1226, OFFSET(Paste_Report_Here!$A$1,0,$A1246,2000,1),J$75)</f>
        <v>1</v>
      </c>
      <c r="K1246" s="181">
        <f ca="1">COUNTIFS(Paste_Report_Here!$E$1:$E$2000,E1226, OFFSET(Paste_Report_Here!$A$1,0,$A1246,2000,1),K$75)</f>
        <v>1</v>
      </c>
      <c r="L1246" s="166">
        <f t="shared" ca="1" si="185"/>
        <v>26</v>
      </c>
      <c r="M1246" s="183">
        <f ca="1">SUMPRODUCT(F1246:K1246,F1230:K1230)/L:L</f>
        <v>7.6923076923076927E-3</v>
      </c>
      <c r="N1246" s="166">
        <f t="shared" ca="1" si="186"/>
        <v>1.0077219694982582</v>
      </c>
      <c r="O1246" s="165">
        <f t="shared" ca="1" si="188"/>
        <v>2180.8796641848608</v>
      </c>
      <c r="P1246" s="165">
        <f t="shared" ca="1" si="187"/>
        <v>2197.7203504310678</v>
      </c>
    </row>
    <row r="1247" spans="1:16" s="165" customFormat="1" x14ac:dyDescent="0.3">
      <c r="A1247" s="165">
        <f>MATCH(Calcs!B1247,Paste_Report_Here!$1:$1,0) -1</f>
        <v>20</v>
      </c>
      <c r="B1247" s="165" t="s">
        <v>138</v>
      </c>
      <c r="C1247" s="166">
        <f ca="1">RANK(N1247,N1233:N1257)</f>
        <v>19</v>
      </c>
      <c r="D1247" s="166">
        <f ca="1">RANK(P1247,P1232:P1256)</f>
        <v>19</v>
      </c>
      <c r="E1247" s="189" t="s">
        <v>167</v>
      </c>
      <c r="F1247" s="179">
        <f ca="1">COUNTIFS(Paste_Report_Here!$E$1:$E$2000,E1226, OFFSET(Paste_Report_Here!$A$1,0,$A1247,2000,1),F$75)</f>
        <v>1</v>
      </c>
      <c r="G1247" s="180">
        <f ca="1">COUNTIFS(Paste_Report_Here!$E$1:$E$2000,E1226, OFFSET(Paste_Report_Here!$A$1,0,$A1247,2000,1),G$75)</f>
        <v>1</v>
      </c>
      <c r="H1247" s="180">
        <f ca="1">COUNTIFS(Paste_Report_Here!$E$1:$E$2000,E1226, OFFSET(Paste_Report_Here!$A$1,0,$A1247,2000,1),H$75)</f>
        <v>18</v>
      </c>
      <c r="I1247" s="180">
        <f ca="1">COUNTIFS(Paste_Report_Here!$E$1:$E$2000,E1226, OFFSET(Paste_Report_Here!$A$1,0,$A1247,2000,1),I$75)</f>
        <v>6</v>
      </c>
      <c r="J1247" s="180">
        <f ca="1">COUNTIFS(Paste_Report_Here!$E$1:$E$2000,E1226, OFFSET(Paste_Report_Here!$A$1,0,$A1247,2000,1),J$75)</f>
        <v>0</v>
      </c>
      <c r="K1247" s="181">
        <f ca="1">COUNTIFS(Paste_Report_Here!$E$1:$E$2000,E1226, OFFSET(Paste_Report_Here!$A$1,0,$A1247,2000,1),K$75)</f>
        <v>0</v>
      </c>
      <c r="L1247" s="166">
        <f t="shared" ca="1" si="185"/>
        <v>26</v>
      </c>
      <c r="M1247" s="183">
        <f ca="1">SUMPRODUCT(F1247:K1247,F1230:K1230)/L:L</f>
        <v>-7.6923076923076927E-3</v>
      </c>
      <c r="N1247" s="166">
        <f t="shared" ca="1" si="186"/>
        <v>0.99233720239114864</v>
      </c>
      <c r="O1247" s="165">
        <f t="shared" ca="1" si="188"/>
        <v>1959.3738971782013</v>
      </c>
      <c r="P1247" s="165">
        <f t="shared" ca="1" si="187"/>
        <v>1944.3596115640585</v>
      </c>
    </row>
    <row r="1248" spans="1:16" s="165" customFormat="1" x14ac:dyDescent="0.3">
      <c r="A1248" s="165">
        <f>MATCH(Calcs!B1248,Paste_Report_Here!$1:$1,0) -1</f>
        <v>21</v>
      </c>
      <c r="B1248" s="165" t="s">
        <v>139</v>
      </c>
      <c r="C1248" s="166">
        <f ca="1">RANK(N1248,N1232:N1256)</f>
        <v>18</v>
      </c>
      <c r="D1248" s="166">
        <f ca="1">RANK(P1248,P1232:P1256)</f>
        <v>18</v>
      </c>
      <c r="E1248" s="189" t="s">
        <v>168</v>
      </c>
      <c r="F1248" s="179">
        <f ca="1">COUNTIFS(Paste_Report_Here!$E$1:$E$2000,E1226, OFFSET(Paste_Report_Here!$A$1,0,$A1248,2000,1),F$75)</f>
        <v>1</v>
      </c>
      <c r="G1248" s="180">
        <f ca="1">COUNTIFS(Paste_Report_Here!$E$1:$E$2000,E1226, OFFSET(Paste_Report_Here!$A$1,0,$A1248,2000,1),G$75)</f>
        <v>3</v>
      </c>
      <c r="H1248" s="180">
        <f ca="1">COUNTIFS(Paste_Report_Here!$E$1:$E$2000,E1226, OFFSET(Paste_Report_Here!$A$1,0,$A1248,2000,1),H$75)</f>
        <v>19</v>
      </c>
      <c r="I1248" s="180">
        <f ca="1">COUNTIFS(Paste_Report_Here!$E$1:$E$2000,E1226, OFFSET(Paste_Report_Here!$A$1,0,$A1248,2000,1),I$75)</f>
        <v>3</v>
      </c>
      <c r="J1248" s="180">
        <f ca="1">COUNTIFS(Paste_Report_Here!$E$1:$E$2000,E1226, OFFSET(Paste_Report_Here!$A$1,0,$A1248,2000,1),J$75)</f>
        <v>0</v>
      </c>
      <c r="K1248" s="181">
        <f ca="1">COUNTIFS(Paste_Report_Here!$E$1:$E$2000,E1226, OFFSET(Paste_Report_Here!$A$1,0,$A1248,2000,1),K$75)</f>
        <v>0</v>
      </c>
      <c r="L1248" s="166">
        <f t="shared" ca="1" si="185"/>
        <v>26</v>
      </c>
      <c r="M1248" s="183">
        <f ca="1">SUMPRODUCT(F1248:K1248,F1230:K1230)/L:L</f>
        <v>-7.6923076923076927E-3</v>
      </c>
      <c r="N1248" s="166">
        <f t="shared" ca="1" si="186"/>
        <v>0.99233720239114864</v>
      </c>
      <c r="O1248" s="165">
        <f t="shared" ca="1" si="188"/>
        <v>2025.6396268999779</v>
      </c>
      <c r="P1248" s="165">
        <f t="shared" ca="1" si="187"/>
        <v>2010.1175604105742</v>
      </c>
    </row>
    <row r="1249" spans="1:16" s="165" customFormat="1" x14ac:dyDescent="0.3">
      <c r="A1249" s="165">
        <f>MATCH(Calcs!B1249,Paste_Report_Here!$1:$1,0) -1</f>
        <v>22</v>
      </c>
      <c r="B1249" s="165" t="s">
        <v>140</v>
      </c>
      <c r="C1249" s="166">
        <f ca="1">RANK(N1249,N1232:N1256)</f>
        <v>5</v>
      </c>
      <c r="D1249" s="166">
        <f ca="1">RANK(P1249,P1232:P1256)</f>
        <v>14</v>
      </c>
      <c r="E1249" s="189" t="s">
        <v>169</v>
      </c>
      <c r="F1249" s="179">
        <f ca="1">COUNTIFS(Paste_Report_Here!$E$1:$E$2000,E1226, OFFSET(Paste_Report_Here!$A$1,0,$A1249,2000,1),F$75)</f>
        <v>0</v>
      </c>
      <c r="G1249" s="180">
        <f ca="1">COUNTIFS(Paste_Report_Here!$E$1:$E$2000,E1226, OFFSET(Paste_Report_Here!$A$1,0,$A1249,2000,1),G$75)</f>
        <v>1</v>
      </c>
      <c r="H1249" s="180">
        <f ca="1">COUNTIFS(Paste_Report_Here!$E$1:$E$2000,E1226, OFFSET(Paste_Report_Here!$A$1,0,$A1249,2000,1),H$75)</f>
        <v>21</v>
      </c>
      <c r="I1249" s="180">
        <f ca="1">COUNTIFS(Paste_Report_Here!$E$1:$E$2000,E1226, OFFSET(Paste_Report_Here!$A$1,0,$A1249,2000,1),I$75)</f>
        <v>4</v>
      </c>
      <c r="J1249" s="180">
        <f ca="1">COUNTIFS(Paste_Report_Here!$E$1:$E$2000,E1226, OFFSET(Paste_Report_Here!$A$1,0,$A1249,2000,1),J$75)</f>
        <v>0</v>
      </c>
      <c r="K1249" s="181">
        <f ca="1">COUNTIFS(Paste_Report_Here!$E$1:$E$2000,E1226, OFFSET(Paste_Report_Here!$A$1,0,$A1249,2000,1),K$75)</f>
        <v>0</v>
      </c>
      <c r="L1249" s="166">
        <f t="shared" ca="1" si="185"/>
        <v>26</v>
      </c>
      <c r="M1249" s="183">
        <f ca="1">SUMPRODUCT(F1249:K1249,F1230:K1230)/L:L</f>
        <v>0</v>
      </c>
      <c r="N1249" s="166">
        <f t="shared" ca="1" si="186"/>
        <v>1</v>
      </c>
      <c r="O1249" s="165">
        <f t="shared" ca="1" si="188"/>
        <v>2101.1126870763292</v>
      </c>
      <c r="P1249" s="165">
        <f t="shared" ca="1" si="187"/>
        <v>2101.1126870763292</v>
      </c>
    </row>
    <row r="1250" spans="1:16" s="165" customFormat="1" x14ac:dyDescent="0.3">
      <c r="A1250" s="165">
        <f>MATCH(Calcs!B1250,Paste_Report_Here!$1:$1,0) -1</f>
        <v>23</v>
      </c>
      <c r="B1250" s="165" t="s">
        <v>186</v>
      </c>
      <c r="C1250" s="166">
        <f ca="1">RANK(N1250,N1232:N1256)</f>
        <v>5</v>
      </c>
      <c r="D1250" s="166">
        <f ca="1">RANK(P1250,P1232:P1256)</f>
        <v>3</v>
      </c>
      <c r="E1250" s="189" t="s">
        <v>180</v>
      </c>
      <c r="F1250" s="179">
        <f ca="1">COUNTIFS(Paste_Report_Here!$E$1:$E$2000,E1226, OFFSET(Paste_Report_Here!$A$1,0,$A1250,2000,1),F$75)</f>
        <v>0</v>
      </c>
      <c r="G1250" s="180">
        <f ca="1">COUNTIFS(Paste_Report_Here!$E$1:$E$2000,E1226, OFFSET(Paste_Report_Here!$A$1,0,$A1250,2000,1),G$75)</f>
        <v>0</v>
      </c>
      <c r="H1250" s="180">
        <f ca="1">COUNTIFS(Paste_Report_Here!$E$1:$E$2000,E1226, OFFSET(Paste_Report_Here!$A$1,0,$A1250,2000,1),H$75)</f>
        <v>23</v>
      </c>
      <c r="I1250" s="180">
        <f ca="1">COUNTIFS(Paste_Report_Here!$E$1:$E$2000,E1226, OFFSET(Paste_Report_Here!$A$1,0,$A1250,2000,1),I$75)</f>
        <v>3</v>
      </c>
      <c r="J1250" s="180">
        <f ca="1">COUNTIFS(Paste_Report_Here!$E$1:$E$2000,E1226, OFFSET(Paste_Report_Here!$A$1,0,$A1250,2000,1),J$75)</f>
        <v>0</v>
      </c>
      <c r="K1250" s="181">
        <f ca="1">COUNTIFS(Paste_Report_Here!$E$1:$E$2000,E1226, OFFSET(Paste_Report_Here!$A$1,0,$A1250,2000,1),K$75)</f>
        <v>0</v>
      </c>
      <c r="L1250" s="166">
        <f t="shared" ca="1" si="185"/>
        <v>26</v>
      </c>
      <c r="M1250" s="183">
        <f ca="1">SUMPRODUCT(F1250:K1250,F1230:K1230)/L:L</f>
        <v>0</v>
      </c>
      <c r="N1250" s="166">
        <f t="shared" ca="1" si="186"/>
        <v>1</v>
      </c>
      <c r="O1250" s="165">
        <f t="shared" ca="1" si="188"/>
        <v>4083.9903861171588</v>
      </c>
      <c r="P1250" s="165">
        <f t="shared" ca="1" si="187"/>
        <v>4083.9903861171588</v>
      </c>
    </row>
    <row r="1251" spans="1:16" s="165" customFormat="1" x14ac:dyDescent="0.3">
      <c r="A1251" s="165">
        <f>MATCH(Calcs!B1251,Paste_Report_Here!$1:$1,0) -1</f>
        <v>24</v>
      </c>
      <c r="B1251" s="165" t="s">
        <v>209</v>
      </c>
      <c r="C1251" s="166">
        <f ca="1">RANK(N1251,N1232:N1256)</f>
        <v>5</v>
      </c>
      <c r="D1251" s="166">
        <f ca="1">RANK(P1251,P1232:P1256)</f>
        <v>23</v>
      </c>
      <c r="E1251" s="202" t="s">
        <v>211</v>
      </c>
      <c r="F1251" s="179">
        <f ca="1">COUNTIFS(Paste_Report_Here!$E$1:$E$2000,E1226, OFFSET(Paste_Report_Here!$A$1,0,$A1251,2000,1),F$75)</f>
        <v>0</v>
      </c>
      <c r="G1251" s="180">
        <f ca="1">COUNTIFS(Paste_Report_Here!$E$1:$E$2000,E1226, OFFSET(Paste_Report_Here!$A$1,0,$A1251,2000,1),G$75)</f>
        <v>0</v>
      </c>
      <c r="H1251" s="180">
        <f ca="1">COUNTIFS(Paste_Report_Here!$E$1:$E$2000,E1226, OFFSET(Paste_Report_Here!$A$1,0,$A1251,2000,1),H$75)</f>
        <v>21</v>
      </c>
      <c r="I1251" s="180">
        <f ca="1">COUNTIFS(Paste_Report_Here!$E$1:$E$2000,E1226, OFFSET(Paste_Report_Here!$A$1,0,$A1251,2000,1),I$75)</f>
        <v>5</v>
      </c>
      <c r="J1251" s="180">
        <f ca="1">COUNTIFS(Paste_Report_Here!$E$1:$E$2000,E1226, OFFSET(Paste_Report_Here!$A$1,0,$A1251,2000,1),J$75)</f>
        <v>0</v>
      </c>
      <c r="K1251" s="181">
        <f ca="1">COUNTIFS(Paste_Report_Here!$E$1:$E$2000,E1226, OFFSET(Paste_Report_Here!$A$1,0,$A1251,2000,1),K$75)</f>
        <v>0</v>
      </c>
      <c r="L1251" s="166">
        <f t="shared" ca="1" si="185"/>
        <v>26</v>
      </c>
      <c r="M1251" s="183">
        <f ca="1">SUMPRODUCT(F1251:K1251,F1230:K1230)/L:L</f>
        <v>0</v>
      </c>
      <c r="N1251" s="166">
        <f t="shared" ca="1" si="186"/>
        <v>1</v>
      </c>
      <c r="O1251" s="165">
        <f t="shared" ca="1" si="188"/>
        <v>1234.0517913843973</v>
      </c>
      <c r="P1251" s="165">
        <f t="shared" ca="1" si="187"/>
        <v>1234.0517913843973</v>
      </c>
    </row>
    <row r="1252" spans="1:16" s="165" customFormat="1" x14ac:dyDescent="0.3">
      <c r="A1252" s="165">
        <f>MATCH(Calcs!B1252,Paste_Report_Here!$1:$1,0) -1</f>
        <v>25</v>
      </c>
      <c r="B1252" s="165" t="s">
        <v>141</v>
      </c>
      <c r="C1252" s="166">
        <f ca="1">RANK(N1252,N1232:N1256)</f>
        <v>5</v>
      </c>
      <c r="D1252" s="166">
        <f ca="1">RANK(P1252,P1232:P1256)</f>
        <v>22</v>
      </c>
      <c r="E1252" s="189" t="s">
        <v>170</v>
      </c>
      <c r="F1252" s="179">
        <f ca="1">COUNTIFS(Paste_Report_Here!$E$1:$E$2000,E1226, OFFSET(Paste_Report_Here!$A$1,0,$A1252,2000,1),F$75)</f>
        <v>0</v>
      </c>
      <c r="G1252" s="180">
        <f ca="1">COUNTIFS(Paste_Report_Here!$E$1:$E$2000,E1226, OFFSET(Paste_Report_Here!$A$1,0,$A1252,2000,1),G$75)</f>
        <v>4</v>
      </c>
      <c r="H1252" s="180">
        <f ca="1">COUNTIFS(Paste_Report_Here!$E$1:$E$2000,E1226, OFFSET(Paste_Report_Here!$A$1,0,$A1252,2000,1),H$75)</f>
        <v>18</v>
      </c>
      <c r="I1252" s="180">
        <f ca="1">COUNTIFS(Paste_Report_Here!$E$1:$E$2000,E1226, OFFSET(Paste_Report_Here!$A$1,0,$A1252,2000,1),I$75)</f>
        <v>4</v>
      </c>
      <c r="J1252" s="180">
        <f ca="1">COUNTIFS(Paste_Report_Here!$E$1:$E$2000,E1226, OFFSET(Paste_Report_Here!$A$1,0,$A1252,2000,1),J$75)</f>
        <v>0</v>
      </c>
      <c r="K1252" s="181">
        <f ca="1">COUNTIFS(Paste_Report_Here!$E$1:$E$2000,E1226, OFFSET(Paste_Report_Here!$A$1,0,$A1252,2000,1),K$75)</f>
        <v>0</v>
      </c>
      <c r="L1252" s="166">
        <f t="shared" ca="1" si="185"/>
        <v>26</v>
      </c>
      <c r="M1252" s="183">
        <f ca="1">SUMPRODUCT(F1252:K1252,F1230:K1230)/L:L</f>
        <v>0</v>
      </c>
      <c r="N1252" s="166">
        <f t="shared" ca="1" si="186"/>
        <v>1</v>
      </c>
      <c r="O1252" s="165">
        <f t="shared" ca="1" si="188"/>
        <v>1381.4574480910408</v>
      </c>
      <c r="P1252" s="165">
        <f t="shared" ca="1" si="187"/>
        <v>1381.4574480910408</v>
      </c>
    </row>
    <row r="1253" spans="1:16" s="165" customFormat="1" x14ac:dyDescent="0.3">
      <c r="A1253" s="165">
        <f>MATCH(Calcs!B1253,Paste_Report_Here!$1:$1,0) -1</f>
        <v>26</v>
      </c>
      <c r="B1253" s="165" t="s">
        <v>142</v>
      </c>
      <c r="C1253" s="166">
        <f ca="1">RANK(N1253,N1232:N1256)</f>
        <v>5</v>
      </c>
      <c r="D1253" s="166">
        <f ca="1">RANK(P1253,P1232:P1256)</f>
        <v>12</v>
      </c>
      <c r="E1253" s="189" t="s">
        <v>171</v>
      </c>
      <c r="F1253" s="179">
        <f ca="1">COUNTIFS(Paste_Report_Here!$E$1:$E$2000,E1226, OFFSET(Paste_Report_Here!$A$1,0,$A1253,2000,1),F$75)</f>
        <v>0</v>
      </c>
      <c r="G1253" s="180">
        <f ca="1">COUNTIFS(Paste_Report_Here!$E$1:$E$2000,E1226, OFFSET(Paste_Report_Here!$A$1,0,$A1253,2000,1),G$75)</f>
        <v>1</v>
      </c>
      <c r="H1253" s="180">
        <f ca="1">COUNTIFS(Paste_Report_Here!$E$1:$E$2000,E1226, OFFSET(Paste_Report_Here!$A$1,0,$A1253,2000,1),H$75)</f>
        <v>23</v>
      </c>
      <c r="I1253" s="180">
        <f ca="1">COUNTIFS(Paste_Report_Here!$E$1:$E$2000,E1226, OFFSET(Paste_Report_Here!$A$1,0,$A1253,2000,1),I$75)</f>
        <v>2</v>
      </c>
      <c r="J1253" s="180">
        <f ca="1">COUNTIFS(Paste_Report_Here!$E$1:$E$2000,E1226, OFFSET(Paste_Report_Here!$A$1,0,$A1253,2000,1),J$75)</f>
        <v>0</v>
      </c>
      <c r="K1253" s="181">
        <f ca="1">COUNTIFS(Paste_Report_Here!$E$1:$E$2000,E1226, OFFSET(Paste_Report_Here!$A$1,0,$A1253,2000,1),K$75)</f>
        <v>0</v>
      </c>
      <c r="L1253" s="166">
        <f t="shared" ca="1" si="185"/>
        <v>26</v>
      </c>
      <c r="M1253" s="183">
        <f ca="1">SUMPRODUCT(F1253:K1253,F1230:K1230)/L:L</f>
        <v>0</v>
      </c>
      <c r="N1253" s="166">
        <f t="shared" ca="1" si="186"/>
        <v>1</v>
      </c>
      <c r="O1253" s="165">
        <f t="shared" ca="1" si="188"/>
        <v>2282.5907242008411</v>
      </c>
      <c r="P1253" s="165">
        <f t="shared" ca="1" si="187"/>
        <v>2282.5907242008411</v>
      </c>
    </row>
    <row r="1254" spans="1:16" s="165" customFormat="1" x14ac:dyDescent="0.3">
      <c r="A1254" s="165">
        <f>MATCH(Calcs!B1254,Paste_Report_Here!$1:$1,0) -1</f>
        <v>27</v>
      </c>
      <c r="B1254" s="165" t="s">
        <v>210</v>
      </c>
      <c r="C1254" s="166">
        <f ca="1">RANK(N1254,N1232:N1256)</f>
        <v>5</v>
      </c>
      <c r="D1254" s="166">
        <f ca="1">RANK(P1254,P1232:P1256)</f>
        <v>24</v>
      </c>
      <c r="E1254" s="202" t="s">
        <v>212</v>
      </c>
      <c r="F1254" s="179">
        <f ca="1">COUNTIFS(Paste_Report_Here!$E$1:$E$2000,E1226, OFFSET(Paste_Report_Here!$A$1,0,$A1254,2000,1),F$75)</f>
        <v>0</v>
      </c>
      <c r="G1254" s="180">
        <f ca="1">COUNTIFS(Paste_Report_Here!$E$1:$E$2000,E1226, OFFSET(Paste_Report_Here!$A$1,0,$A1254,2000,1),G$75)</f>
        <v>1</v>
      </c>
      <c r="H1254" s="180">
        <f ca="1">COUNTIFS(Paste_Report_Here!$E$1:$E$2000,E1226, OFFSET(Paste_Report_Here!$A$1,0,$A1254,2000,1),H$75)</f>
        <v>20</v>
      </c>
      <c r="I1254" s="180">
        <f ca="1">COUNTIFS(Paste_Report_Here!$E$1:$E$2000,E1226, OFFSET(Paste_Report_Here!$A$1,0,$A1254,2000,1),I$75)</f>
        <v>4</v>
      </c>
      <c r="J1254" s="180">
        <f ca="1">COUNTIFS(Paste_Report_Here!$E$1:$E$2000,E1226, OFFSET(Paste_Report_Here!$A$1,0,$A1254,2000,1),J$75)</f>
        <v>0</v>
      </c>
      <c r="K1254" s="181">
        <f ca="1">COUNTIFS(Paste_Report_Here!$E$1:$E$2000,E1226, OFFSET(Paste_Report_Here!$A$1,0,$A1254,2000,1),K$75)</f>
        <v>1</v>
      </c>
      <c r="L1254" s="166">
        <f t="shared" ca="1" si="185"/>
        <v>26</v>
      </c>
      <c r="M1254" s="183">
        <f ca="1">SUMPRODUCT(F1254:K1254,F1230:K1230)/L:L</f>
        <v>0</v>
      </c>
      <c r="N1254" s="166">
        <f t="shared" ca="1" si="186"/>
        <v>1</v>
      </c>
      <c r="O1254" s="165">
        <f t="shared" ca="1" si="188"/>
        <v>1154.1143942862559</v>
      </c>
      <c r="P1254" s="165">
        <f t="shared" ca="1" si="187"/>
        <v>1154.1143942862559</v>
      </c>
    </row>
    <row r="1255" spans="1:16" s="165" customFormat="1" x14ac:dyDescent="0.3">
      <c r="A1255" s="165">
        <f>MATCH(Calcs!B1255,Paste_Report_Here!$1:$1,0) -1</f>
        <v>28</v>
      </c>
      <c r="B1255" s="165" t="s">
        <v>143</v>
      </c>
      <c r="C1255" s="166">
        <f ca="1">RANK(N1255,N1233:N1257)</f>
        <v>2</v>
      </c>
      <c r="D1255" s="166">
        <f ca="1">RANK(P1255,P1232:P1256)</f>
        <v>1</v>
      </c>
      <c r="E1255" s="189" t="s">
        <v>172</v>
      </c>
      <c r="F1255" s="179">
        <f ca="1">COUNTIFS(Paste_Report_Here!$E$1:$E$2000,E1226, OFFSET(Paste_Report_Here!$A$1,0,$A1255,2000,1),F$75)</f>
        <v>0</v>
      </c>
      <c r="G1255" s="180">
        <f ca="1">COUNTIFS(Paste_Report_Here!$E$1:$E$2000,E1226, OFFSET(Paste_Report_Here!$A$1,0,$A1255,2000,1),G$75)</f>
        <v>5</v>
      </c>
      <c r="H1255" s="180">
        <f ca="1">COUNTIFS(Paste_Report_Here!$E$1:$E$2000,E1226, OFFSET(Paste_Report_Here!$A$1,0,$A1255,2000,1),H$75)</f>
        <v>14</v>
      </c>
      <c r="I1255" s="180">
        <f ca="1">COUNTIFS(Paste_Report_Here!$E$1:$E$2000,E1226, OFFSET(Paste_Report_Here!$A$1,0,$A1255,2000,1),I$75)</f>
        <v>6</v>
      </c>
      <c r="J1255" s="180">
        <f ca="1">COUNTIFS(Paste_Report_Here!$E$1:$E$2000,E1226, OFFSET(Paste_Report_Here!$A$1,0,$A1255,2000,1),J$75)</f>
        <v>1</v>
      </c>
      <c r="K1255" s="181">
        <f ca="1">COUNTIFS(Paste_Report_Here!$E$1:$E$2000,E1226, OFFSET(Paste_Report_Here!$A$1,0,$A1255,2000,1),K$75)</f>
        <v>0</v>
      </c>
      <c r="L1255" s="166">
        <f t="shared" ca="1" si="185"/>
        <v>26</v>
      </c>
      <c r="M1255" s="183">
        <f ca="1">SUMPRODUCT(F1255:K1255,F1230:K1230)/L:L</f>
        <v>7.6923076923076927E-3</v>
      </c>
      <c r="N1255" s="166">
        <f t="shared" ca="1" si="186"/>
        <v>1.0077219694982582</v>
      </c>
      <c r="O1255" s="165">
        <f t="shared" ca="1" si="188"/>
        <v>8970.6466656292996</v>
      </c>
      <c r="P1255" s="165">
        <f t="shared" ca="1" si="187"/>
        <v>9039.9177255609411</v>
      </c>
    </row>
    <row r="1256" spans="1:16" s="165" customFormat="1" x14ac:dyDescent="0.3">
      <c r="A1256" s="165">
        <f>MATCH(Calcs!B1256,Paste_Report_Here!$1:$1,0) -1</f>
        <v>29</v>
      </c>
      <c r="B1256" s="187" t="s">
        <v>144</v>
      </c>
      <c r="C1256" s="147">
        <f ca="1">RANK(N1256,N1232:N1256)</f>
        <v>5</v>
      </c>
      <c r="D1256" s="147">
        <f ca="1">RANK(P1256,P1232:P1256)</f>
        <v>11</v>
      </c>
      <c r="E1256" s="145" t="s">
        <v>173</v>
      </c>
      <c r="F1256" s="146">
        <f ca="1">COUNTIFS(Paste_Report_Here!$E$1:$E$2000,E1226, OFFSET(Paste_Report_Here!$A$1,0,$A1256,2000,1),F$75)</f>
        <v>0</v>
      </c>
      <c r="G1256" s="147">
        <f ca="1">COUNTIFS(Paste_Report_Here!$E$1:$E$2000,E1226, OFFSET(Paste_Report_Here!$A$1,0,$A1256,2000,1),G$75)</f>
        <v>3</v>
      </c>
      <c r="H1256" s="147">
        <f ca="1">COUNTIFS(Paste_Report_Here!$E$1:$E$2000,E1226, OFFSET(Paste_Report_Here!$A$1,0,$A1256,2000,1),H$75)</f>
        <v>22</v>
      </c>
      <c r="I1256" s="147">
        <f ca="1">COUNTIFS(Paste_Report_Here!$E$1:$E$2000,E1226, OFFSET(Paste_Report_Here!$A$1,0,$A1256,2000,1),I$75)</f>
        <v>1</v>
      </c>
      <c r="J1256" s="147">
        <f ca="1">COUNTIFS(Paste_Report_Here!$E$1:$E$2000,E1226, OFFSET(Paste_Report_Here!$A$1,0,$A1256,2000,1),J$75)</f>
        <v>0</v>
      </c>
      <c r="K1256" s="148">
        <f ca="1">COUNTIFS(Paste_Report_Here!$E$1:$E$2000,E1226, OFFSET(Paste_Report_Here!$A$1,0,$A1256,2000,1),K$75)</f>
        <v>0</v>
      </c>
      <c r="L1256" s="147">
        <f t="shared" ca="1" si="185"/>
        <v>26</v>
      </c>
      <c r="M1256" s="149">
        <f ca="1">SUMPRODUCT(F1256:K1256,F1230:K1230)/L:L</f>
        <v>0</v>
      </c>
      <c r="N1256" s="147">
        <f t="shared" ca="1" si="186"/>
        <v>1</v>
      </c>
      <c r="O1256" s="187">
        <f t="shared" ca="1" si="188"/>
        <v>2356.3755165824632</v>
      </c>
      <c r="P1256" s="165">
        <f t="shared" ca="1" si="187"/>
        <v>2356.3755165824632</v>
      </c>
    </row>
    <row r="1257" spans="1:16" s="165" customFormat="1" x14ac:dyDescent="0.3">
      <c r="C1257" s="166"/>
      <c r="E1257" s="140" t="s">
        <v>293</v>
      </c>
      <c r="F1257" s="180">
        <f ca="1">SUM(F1232:F1256)</f>
        <v>13</v>
      </c>
      <c r="G1257" s="180">
        <f t="shared" ref="G1257:L1257" ca="1" si="189">SUM(G1232:G1256)</f>
        <v>42</v>
      </c>
      <c r="H1257" s="180">
        <f t="shared" ca="1" si="189"/>
        <v>491</v>
      </c>
      <c r="I1257" s="180">
        <f t="shared" ca="1" si="189"/>
        <v>93</v>
      </c>
      <c r="J1257" s="180">
        <f t="shared" ca="1" si="189"/>
        <v>9</v>
      </c>
      <c r="K1257" s="180">
        <f t="shared" ca="1" si="189"/>
        <v>2</v>
      </c>
      <c r="L1257" s="180">
        <f t="shared" ca="1" si="189"/>
        <v>650</v>
      </c>
      <c r="M1257" s="144">
        <f ca="1">SUMPRODUCT(F1257:K1257,F1230:K1230)/L1257</f>
        <v>-1.2307692307692308E-3</v>
      </c>
      <c r="N1257" s="166">
        <f t="shared" ca="1" si="186"/>
        <v>0.99876998785504933</v>
      </c>
      <c r="O1257" s="165">
        <f t="shared" ca="1" si="188"/>
        <v>2703.1562118276292</v>
      </c>
      <c r="P1257" s="165">
        <f t="shared" ca="1" si="187"/>
        <v>2699.8312968573823</v>
      </c>
    </row>
    <row r="1258" spans="1:16" s="165" customFormat="1" x14ac:dyDescent="0.3">
      <c r="A1258" s="194"/>
      <c r="B1258" s="194"/>
      <c r="C1258" s="153"/>
      <c r="D1258" s="194"/>
      <c r="E1258" s="164"/>
      <c r="F1258" s="151"/>
      <c r="G1258" s="151"/>
      <c r="H1258" s="151"/>
      <c r="I1258" s="151"/>
      <c r="J1258" s="151"/>
      <c r="K1258" s="151"/>
      <c r="L1258" s="151"/>
      <c r="M1258" s="162"/>
      <c r="N1258" s="153"/>
      <c r="O1258" s="194"/>
      <c r="P1258" s="194"/>
    </row>
    <row r="1259" spans="1:16" s="165" customFormat="1" x14ac:dyDescent="0.3">
      <c r="E1259" s="173" t="s">
        <v>292</v>
      </c>
    </row>
    <row r="1260" spans="1:16" s="165" customFormat="1" x14ac:dyDescent="0.3">
      <c r="E1260" s="141">
        <v>41669</v>
      </c>
    </row>
    <row r="1261" spans="1:16" s="165" customFormat="1" ht="15" thickBot="1" x14ac:dyDescent="0.35"/>
    <row r="1262" spans="1:16" s="165" customFormat="1" ht="24.6" thickBot="1" x14ac:dyDescent="0.35">
      <c r="F1262" s="174" t="s">
        <v>23</v>
      </c>
      <c r="G1262" s="168" t="s">
        <v>18</v>
      </c>
      <c r="H1262" s="168" t="s">
        <v>16</v>
      </c>
      <c r="I1262" s="168" t="s">
        <v>17</v>
      </c>
      <c r="J1262" s="168" t="s">
        <v>19</v>
      </c>
      <c r="K1262" s="169" t="s">
        <v>114</v>
      </c>
    </row>
    <row r="1263" spans="1:16" s="165" customFormat="1" x14ac:dyDescent="0.3">
      <c r="F1263" s="267" t="s">
        <v>201</v>
      </c>
      <c r="G1263" s="268"/>
      <c r="H1263" s="268"/>
      <c r="I1263" s="268"/>
      <c r="J1263" s="268"/>
      <c r="K1263" s="169"/>
      <c r="M1263" s="203">
        <f ca="1">(H1291+K1291)/L1291</f>
        <v>0.78</v>
      </c>
      <c r="N1263" s="204" t="s">
        <v>501</v>
      </c>
    </row>
    <row r="1264" spans="1:16" s="165" customFormat="1" ht="43.8" thickBot="1" x14ac:dyDescent="0.35">
      <c r="A1264" s="142" t="s">
        <v>294</v>
      </c>
      <c r="B1264" s="142" t="s">
        <v>295</v>
      </c>
      <c r="C1264" s="197" t="s">
        <v>440</v>
      </c>
      <c r="D1264" s="142" t="s">
        <v>441</v>
      </c>
      <c r="E1264" s="171" t="s">
        <v>30</v>
      </c>
      <c r="F1264" s="175">
        <f>Falling_fast</f>
        <v>-0.2</v>
      </c>
      <c r="G1264" s="176">
        <f>Falling</f>
        <v>0</v>
      </c>
      <c r="H1264" s="177">
        <f>Static</f>
        <v>0</v>
      </c>
      <c r="I1264" s="176">
        <f>Rising</f>
        <v>0</v>
      </c>
      <c r="J1264" s="178">
        <f>Rising_fast</f>
        <v>0.2</v>
      </c>
      <c r="K1264" s="182">
        <v>0</v>
      </c>
      <c r="L1264" s="171" t="s">
        <v>28</v>
      </c>
      <c r="M1264" s="172" t="s">
        <v>29</v>
      </c>
      <c r="N1264" s="143" t="s">
        <v>296</v>
      </c>
      <c r="O1264" s="142" t="s">
        <v>297</v>
      </c>
      <c r="P1264" s="142" t="s">
        <v>298</v>
      </c>
    </row>
    <row r="1265" spans="1:16" s="165" customFormat="1" x14ac:dyDescent="0.3">
      <c r="C1265" s="166"/>
      <c r="E1265" s="192"/>
      <c r="F1265" s="198" t="s">
        <v>151</v>
      </c>
      <c r="G1265" s="199" t="s">
        <v>149</v>
      </c>
      <c r="H1265" s="199" t="s">
        <v>16</v>
      </c>
      <c r="I1265" s="199" t="s">
        <v>148</v>
      </c>
      <c r="J1265" s="199" t="s">
        <v>150</v>
      </c>
      <c r="K1265" s="200" t="s">
        <v>114</v>
      </c>
      <c r="L1265" s="166"/>
      <c r="M1265" s="170"/>
      <c r="N1265" s="166"/>
    </row>
    <row r="1266" spans="1:16" s="165" customFormat="1" x14ac:dyDescent="0.3">
      <c r="A1266" s="165">
        <f>MATCH(Calcs!B1266,Paste_Report_Here!$1:$1,0) -1</f>
        <v>5</v>
      </c>
      <c r="B1266" s="165" t="s">
        <v>124</v>
      </c>
      <c r="C1266" s="166">
        <f ca="1">RANK(N1266,N1266:N1290)</f>
        <v>19</v>
      </c>
      <c r="D1266" s="166">
        <f ca="1">RANK(P1266,P1266:P1290)</f>
        <v>17</v>
      </c>
      <c r="E1266" s="189" t="s">
        <v>152</v>
      </c>
      <c r="F1266" s="179">
        <f ca="1">COUNTIFS(Paste_Report_Here!$E$1:$E$2000,E1260, OFFSET(Paste_Report_Here!$A$1,0,$A1266,2000,1),F$75)</f>
        <v>1</v>
      </c>
      <c r="G1266" s="180">
        <f ca="1">COUNTIFS(Paste_Report_Here!$E$1:$E$2000,E1260, OFFSET(Paste_Report_Here!$A$1,0,$A1266,2000,1),G$75)</f>
        <v>2</v>
      </c>
      <c r="H1266" s="180">
        <f ca="1">COUNTIFS(Paste_Report_Here!$E$1:$E$2000,E1260, OFFSET(Paste_Report_Here!$A$1,0,$A1266,2000,1),H$75)</f>
        <v>24</v>
      </c>
      <c r="I1266" s="180">
        <f ca="1">COUNTIFS(Paste_Report_Here!$E$1:$E$2000,E1260, OFFSET(Paste_Report_Here!$A$1,0,$A1266,2000,1),I$75)</f>
        <v>1</v>
      </c>
      <c r="J1266" s="180">
        <f ca="1">COUNTIFS(Paste_Report_Here!$E$1:$E$2000,E1260, OFFSET(Paste_Report_Here!$A$1,0,$A1266,2000,1),J$75)</f>
        <v>0</v>
      </c>
      <c r="K1266" s="181">
        <f ca="1">COUNTIFS(Paste_Report_Here!$E$1:$E$2000,E1260, OFFSET(Paste_Report_Here!$A$1,0,$A1266,2000,1),K$75)</f>
        <v>0</v>
      </c>
      <c r="L1266" s="166">
        <f t="shared" ref="L1266:L1290" ca="1" si="190">SUM(F1266:K1266)</f>
        <v>28</v>
      </c>
      <c r="M1266" s="183">
        <f ca="1">SUMPRODUCT(F1266:K1266,F1264:K1264)/L:L</f>
        <v>-7.1428571428571435E-3</v>
      </c>
      <c r="N1266" s="166">
        <f t="shared" ref="N1266:N1291" ca="1" si="191">EXP(M1266)</f>
        <v>0.99288259243095034</v>
      </c>
      <c r="O1266" s="165">
        <f ca="1">P1232</f>
        <v>2066.5676278676601</v>
      </c>
      <c r="P1266" s="165">
        <f t="shared" ref="P1266:P1291" ca="1" si="192">O1266*N1266</f>
        <v>2051.8590237911217</v>
      </c>
    </row>
    <row r="1267" spans="1:16" s="165" customFormat="1" x14ac:dyDescent="0.3">
      <c r="A1267" s="165">
        <f>MATCH(Calcs!B1267,Paste_Report_Here!$1:$1,0) -1</f>
        <v>6</v>
      </c>
      <c r="B1267" s="165" t="s">
        <v>125</v>
      </c>
      <c r="C1267" s="166">
        <f ca="1">RANK(N1267,N1266:N1290)</f>
        <v>19</v>
      </c>
      <c r="D1267" s="166">
        <f ca="1">RANK(P1267,P1266:P1290)</f>
        <v>15</v>
      </c>
      <c r="E1267" s="189" t="s">
        <v>153</v>
      </c>
      <c r="F1267" s="179">
        <f ca="1">COUNTIFS(Paste_Report_Here!$E$1:$E$2000,E1260, OFFSET(Paste_Report_Here!$A$1,0,$A1267,2000,1),F$75)</f>
        <v>1</v>
      </c>
      <c r="G1267" s="180">
        <f ca="1">COUNTIFS(Paste_Report_Here!$E$1:$E$2000,E1260, OFFSET(Paste_Report_Here!$A$1,0,$A1267,2000,1),G$75)</f>
        <v>1</v>
      </c>
      <c r="H1267" s="180">
        <f ca="1">COUNTIFS(Paste_Report_Here!$E$1:$E$2000,E1260, OFFSET(Paste_Report_Here!$A$1,0,$A1267,2000,1),H$75)</f>
        <v>22</v>
      </c>
      <c r="I1267" s="180">
        <f ca="1">COUNTIFS(Paste_Report_Here!$E$1:$E$2000,E1260, OFFSET(Paste_Report_Here!$A$1,0,$A1267,2000,1),I$75)</f>
        <v>3</v>
      </c>
      <c r="J1267" s="180">
        <f ca="1">COUNTIFS(Paste_Report_Here!$E$1:$E$2000,E1260, OFFSET(Paste_Report_Here!$A$1,0,$A1267,2000,1),J$75)</f>
        <v>0</v>
      </c>
      <c r="K1267" s="181">
        <f ca="1">COUNTIFS(Paste_Report_Here!$E$1:$E$2000,E1260, OFFSET(Paste_Report_Here!$A$1,0,$A1267,2000,1),K$75)</f>
        <v>1</v>
      </c>
      <c r="L1267" s="166">
        <f t="shared" ca="1" si="190"/>
        <v>28</v>
      </c>
      <c r="M1267" s="183">
        <f ca="1">SUMPRODUCT(F1267:K1267,F1264:K1264)/L:L</f>
        <v>-7.1428571428571435E-3</v>
      </c>
      <c r="N1267" s="166">
        <f t="shared" ca="1" si="191"/>
        <v>0.99288259243095034</v>
      </c>
      <c r="O1267" s="165">
        <f t="shared" ref="O1267:O1291" ca="1" si="193">P1233</f>
        <v>2067.7581596649779</v>
      </c>
      <c r="P1267" s="165">
        <f t="shared" ca="1" si="192"/>
        <v>2053.0410820884144</v>
      </c>
    </row>
    <row r="1268" spans="1:16" s="165" customFormat="1" x14ac:dyDescent="0.3">
      <c r="A1268" s="165">
        <f>MATCH(Calcs!B1268,Paste_Report_Here!$1:$1,0) -1</f>
        <v>7</v>
      </c>
      <c r="B1268" s="165" t="s">
        <v>126</v>
      </c>
      <c r="C1268" s="166">
        <f ca="1">RANK(N1268,N1266:N1290)</f>
        <v>19</v>
      </c>
      <c r="D1268" s="166">
        <f ca="1">RANK(P1268,P1266:P1290)</f>
        <v>8</v>
      </c>
      <c r="E1268" s="189" t="s">
        <v>154</v>
      </c>
      <c r="F1268" s="179">
        <f ca="1">COUNTIFS(Paste_Report_Here!$E$1:$E$2000,E1260, OFFSET(Paste_Report_Here!$A$1,0,$A1268,2000,1),F$75)</f>
        <v>1</v>
      </c>
      <c r="G1268" s="180">
        <f ca="1">COUNTIFS(Paste_Report_Here!$E$1:$E$2000,E1260, OFFSET(Paste_Report_Here!$A$1,0,$A1268,2000,1),G$75)</f>
        <v>2</v>
      </c>
      <c r="H1268" s="180">
        <f ca="1">COUNTIFS(Paste_Report_Here!$E$1:$E$2000,E1260, OFFSET(Paste_Report_Here!$A$1,0,$A1268,2000,1),H$75)</f>
        <v>24</v>
      </c>
      <c r="I1268" s="180">
        <f ca="1">COUNTIFS(Paste_Report_Here!$E$1:$E$2000,E1260, OFFSET(Paste_Report_Here!$A$1,0,$A1268,2000,1),I$75)</f>
        <v>1</v>
      </c>
      <c r="J1268" s="180">
        <f ca="1">COUNTIFS(Paste_Report_Here!$E$1:$E$2000,E1260, OFFSET(Paste_Report_Here!$A$1,0,$A1268,2000,1),J$75)</f>
        <v>0</v>
      </c>
      <c r="K1268" s="181">
        <f ca="1">COUNTIFS(Paste_Report_Here!$E$1:$E$2000,E1260, OFFSET(Paste_Report_Here!$A$1,0,$A1268,2000,1),K$75)</f>
        <v>0</v>
      </c>
      <c r="L1268" s="166">
        <f t="shared" ca="1" si="190"/>
        <v>28</v>
      </c>
      <c r="M1268" s="183">
        <f ca="1">SUMPRODUCT(F1268:K1268,F1264:K1264)/L:L</f>
        <v>-7.1428571428571435E-3</v>
      </c>
      <c r="N1268" s="166">
        <f t="shared" ca="1" si="191"/>
        <v>0.99288259243095034</v>
      </c>
      <c r="O1268" s="165">
        <f t="shared" ca="1" si="193"/>
        <v>2751.7622242256148</v>
      </c>
      <c r="P1268" s="165">
        <f t="shared" ca="1" si="192"/>
        <v>2732.1768109426866</v>
      </c>
    </row>
    <row r="1269" spans="1:16" s="165" customFormat="1" x14ac:dyDescent="0.3">
      <c r="A1269" s="165">
        <f>MATCH(Calcs!B1269,Paste_Report_Here!$1:$1,0) -1</f>
        <v>8</v>
      </c>
      <c r="B1269" s="165" t="s">
        <v>127</v>
      </c>
      <c r="C1269" s="166">
        <f ca="1">RANK(N1269,N1267:N1291)</f>
        <v>20</v>
      </c>
      <c r="D1269" s="166">
        <f ca="1">RANK(P1269,P1266:P1290)</f>
        <v>7</v>
      </c>
      <c r="E1269" s="189" t="s">
        <v>155</v>
      </c>
      <c r="F1269" s="179">
        <f ca="1">COUNTIFS(Paste_Report_Here!$E$1:$E$2000,E1260, OFFSET(Paste_Report_Here!$A$1,0,$A1269,2000,1),F$75)</f>
        <v>1</v>
      </c>
      <c r="G1269" s="180">
        <f ca="1">COUNTIFS(Paste_Report_Here!$E$1:$E$2000,E1260, OFFSET(Paste_Report_Here!$A$1,0,$A1269,2000,1),G$75)</f>
        <v>2</v>
      </c>
      <c r="H1269" s="180">
        <f ca="1">COUNTIFS(Paste_Report_Here!$E$1:$E$2000,E1260, OFFSET(Paste_Report_Here!$A$1,0,$A1269,2000,1),H$75)</f>
        <v>19</v>
      </c>
      <c r="I1269" s="180">
        <f ca="1">COUNTIFS(Paste_Report_Here!$E$1:$E$2000,E1260, OFFSET(Paste_Report_Here!$A$1,0,$A1269,2000,1),I$75)</f>
        <v>6</v>
      </c>
      <c r="J1269" s="180">
        <f ca="1">COUNTIFS(Paste_Report_Here!$E$1:$E$2000,E1260, OFFSET(Paste_Report_Here!$A$1,0,$A1269,2000,1),J$75)</f>
        <v>0</v>
      </c>
      <c r="K1269" s="181">
        <f ca="1">COUNTIFS(Paste_Report_Here!$E$1:$E$2000,E1260, OFFSET(Paste_Report_Here!$A$1,0,$A1269,2000,1),K$75)</f>
        <v>0</v>
      </c>
      <c r="L1269" s="166">
        <f t="shared" ca="1" si="190"/>
        <v>28</v>
      </c>
      <c r="M1269" s="183">
        <f ca="1">SUMPRODUCT(F1269:K1269,F1264:K1264)/L:L</f>
        <v>-7.1428571428571435E-3</v>
      </c>
      <c r="N1269" s="166">
        <f t="shared" ca="1" si="191"/>
        <v>0.99288259243095034</v>
      </c>
      <c r="O1269" s="165">
        <f t="shared" ca="1" si="193"/>
        <v>2936.7627696184063</v>
      </c>
      <c r="P1269" s="165">
        <f t="shared" ca="1" si="192"/>
        <v>2915.8606320534209</v>
      </c>
    </row>
    <row r="1270" spans="1:16" s="165" customFormat="1" x14ac:dyDescent="0.3">
      <c r="A1270" s="165">
        <f>MATCH(Calcs!B1270,Paste_Report_Here!$1:$1,0) -1</f>
        <v>9</v>
      </c>
      <c r="B1270" s="165" t="s">
        <v>214</v>
      </c>
      <c r="C1270" s="166">
        <f ca="1">RANK(N1270,N1266:N1290)</f>
        <v>9</v>
      </c>
      <c r="D1270" s="166">
        <f ca="1">RANK(P1270,P1266:P1290)</f>
        <v>5</v>
      </c>
      <c r="E1270" s="189" t="s">
        <v>156</v>
      </c>
      <c r="F1270" s="179">
        <f ca="1">COUNTIFS(Paste_Report_Here!$E$1:$E$2000,E1260, OFFSET(Paste_Report_Here!$A$1,0,$A1270,2000,1),F$75)</f>
        <v>0</v>
      </c>
      <c r="G1270" s="180">
        <f ca="1">COUNTIFS(Paste_Report_Here!$E$1:$E$2000,E1260, OFFSET(Paste_Report_Here!$A$1,0,$A1270,2000,1),G$75)</f>
        <v>2</v>
      </c>
      <c r="H1270" s="180">
        <f ca="1">COUNTIFS(Paste_Report_Here!$E$1:$E$2000,E1260, OFFSET(Paste_Report_Here!$A$1,0,$A1270,2000,1),H$75)</f>
        <v>23</v>
      </c>
      <c r="I1270" s="180">
        <f ca="1">COUNTIFS(Paste_Report_Here!$E$1:$E$2000,E1260, OFFSET(Paste_Report_Here!$A$1,0,$A1270,2000,1),I$75)</f>
        <v>3</v>
      </c>
      <c r="J1270" s="180">
        <f ca="1">COUNTIFS(Paste_Report_Here!$E$1:$E$2000,E1260, OFFSET(Paste_Report_Here!$A$1,0,$A1270,2000,1),J$75)</f>
        <v>0</v>
      </c>
      <c r="K1270" s="181">
        <f ca="1">COUNTIFS(Paste_Report_Here!$E$1:$E$2000,E1260, OFFSET(Paste_Report_Here!$A$1,0,$A1270,2000,1),K$75)</f>
        <v>0</v>
      </c>
      <c r="L1270" s="166">
        <f t="shared" ca="1" si="190"/>
        <v>28</v>
      </c>
      <c r="M1270" s="183">
        <f ca="1">SUMPRODUCT(F1270:K1270,F1264:K1264)/L:L</f>
        <v>0</v>
      </c>
      <c r="N1270" s="166">
        <f t="shared" ca="1" si="191"/>
        <v>1</v>
      </c>
      <c r="O1270" s="165">
        <f t="shared" ca="1" si="193"/>
        <v>3808.4395008035822</v>
      </c>
      <c r="P1270" s="165">
        <f t="shared" ca="1" si="192"/>
        <v>3808.4395008035822</v>
      </c>
    </row>
    <row r="1271" spans="1:16" s="165" customFormat="1" x14ac:dyDescent="0.3">
      <c r="A1271" s="165">
        <f>MATCH(Calcs!B1271,Paste_Report_Here!$1:$1,0) -1</f>
        <v>10</v>
      </c>
      <c r="B1271" s="165" t="s">
        <v>128</v>
      </c>
      <c r="C1271" s="166">
        <f ca="1">RANK(N1271,N1266:N1290)</f>
        <v>2</v>
      </c>
      <c r="D1271" s="166">
        <f ca="1">RANK(P1271,P1266:P1290)</f>
        <v>21</v>
      </c>
      <c r="E1271" s="189" t="s">
        <v>157</v>
      </c>
      <c r="F1271" s="179">
        <f ca="1">COUNTIFS(Paste_Report_Here!$E$1:$E$2000,E1260, OFFSET(Paste_Report_Here!$A$1,0,$A1271,2000,1),F$75)</f>
        <v>0</v>
      </c>
      <c r="G1271" s="180">
        <f ca="1">COUNTIFS(Paste_Report_Here!$E$1:$E$2000,E1260, OFFSET(Paste_Report_Here!$A$1,0,$A1271,2000,1),G$75)</f>
        <v>3</v>
      </c>
      <c r="H1271" s="180">
        <f ca="1">COUNTIFS(Paste_Report_Here!$E$1:$E$2000,E1260, OFFSET(Paste_Report_Here!$A$1,0,$A1271,2000,1),H$75)</f>
        <v>22</v>
      </c>
      <c r="I1271" s="180">
        <f ca="1">COUNTIFS(Paste_Report_Here!$E$1:$E$2000,E1260, OFFSET(Paste_Report_Here!$A$1,0,$A1271,2000,1),I$75)</f>
        <v>2</v>
      </c>
      <c r="J1271" s="180">
        <f ca="1">COUNTIFS(Paste_Report_Here!$E$1:$E$2000,E1260, OFFSET(Paste_Report_Here!$A$1,0,$A1271,2000,1),J$75)</f>
        <v>1</v>
      </c>
      <c r="K1271" s="181">
        <f ca="1">COUNTIFS(Paste_Report_Here!$E$1:$E$2000,E1260, OFFSET(Paste_Report_Here!$A$1,0,$A1271,2000,1),K$75)</f>
        <v>0</v>
      </c>
      <c r="L1271" s="166">
        <f t="shared" ca="1" si="190"/>
        <v>28</v>
      </c>
      <c r="M1271" s="183">
        <f ca="1">SUMPRODUCT(F1271:K1271,F1264:K1264)/L:L</f>
        <v>7.1428571428571435E-3</v>
      </c>
      <c r="N1271" s="166">
        <f t="shared" ca="1" si="191"/>
        <v>1.0071684281941369</v>
      </c>
      <c r="O1271" s="165">
        <f t="shared" ca="1" si="193"/>
        <v>1616.2817469398037</v>
      </c>
      <c r="P1271" s="165">
        <f t="shared" ca="1" si="192"/>
        <v>1627.8679465842358</v>
      </c>
    </row>
    <row r="1272" spans="1:16" s="165" customFormat="1" x14ac:dyDescent="0.3">
      <c r="A1272" s="165">
        <f>MATCH(Calcs!B1272,Paste_Report_Here!$1:$1,0) -1</f>
        <v>11</v>
      </c>
      <c r="B1272" s="165" t="s">
        <v>129</v>
      </c>
      <c r="C1272" s="166">
        <f ca="1">RANK(N1272,N1266:N1290)</f>
        <v>2</v>
      </c>
      <c r="D1272" s="166">
        <f ca="1">RANK(P1272,P1266:P1290)</f>
        <v>9</v>
      </c>
      <c r="E1272" s="189" t="s">
        <v>158</v>
      </c>
      <c r="F1272" s="179">
        <f ca="1">COUNTIFS(Paste_Report_Here!$E$1:$E$2000,E1260, OFFSET(Paste_Report_Here!$A$1,0,$A1272,2000,1),F$75)</f>
        <v>0</v>
      </c>
      <c r="G1272" s="180">
        <f ca="1">COUNTIFS(Paste_Report_Here!$E$1:$E$2000,E1260, OFFSET(Paste_Report_Here!$A$1,0,$A1272,2000,1),G$75)</f>
        <v>2</v>
      </c>
      <c r="H1272" s="180">
        <f ca="1">COUNTIFS(Paste_Report_Here!$E$1:$E$2000,E1260, OFFSET(Paste_Report_Here!$A$1,0,$A1272,2000,1),H$75)</f>
        <v>23</v>
      </c>
      <c r="I1272" s="180">
        <f ca="1">COUNTIFS(Paste_Report_Here!$E$1:$E$2000,E1260, OFFSET(Paste_Report_Here!$A$1,0,$A1272,2000,1),I$75)</f>
        <v>2</v>
      </c>
      <c r="J1272" s="180">
        <f ca="1">COUNTIFS(Paste_Report_Here!$E$1:$E$2000,E1260, OFFSET(Paste_Report_Here!$A$1,0,$A1272,2000,1),J$75)</f>
        <v>1</v>
      </c>
      <c r="K1272" s="181">
        <f ca="1">COUNTIFS(Paste_Report_Here!$E$1:$E$2000,E1260, OFFSET(Paste_Report_Here!$A$1,0,$A1272,2000,1),K$75)</f>
        <v>0</v>
      </c>
      <c r="L1272" s="166">
        <f t="shared" ca="1" si="190"/>
        <v>28</v>
      </c>
      <c r="M1272" s="183">
        <f ca="1">SUMPRODUCT(F1272:K1272,F1264:K1264)/L:L</f>
        <v>7.1428571428571435E-3</v>
      </c>
      <c r="N1272" s="166">
        <f t="shared" ca="1" si="191"/>
        <v>1.0071684281941369</v>
      </c>
      <c r="O1272" s="165">
        <f t="shared" ca="1" si="193"/>
        <v>2565.5610116309558</v>
      </c>
      <c r="P1272" s="165">
        <f t="shared" ca="1" si="192"/>
        <v>2583.9520515205095</v>
      </c>
    </row>
    <row r="1273" spans="1:16" s="165" customFormat="1" x14ac:dyDescent="0.3">
      <c r="A1273" s="165">
        <f>MATCH(Calcs!B1273,Paste_Report_Here!$1:$1,0) -1</f>
        <v>12</v>
      </c>
      <c r="B1273" s="165" t="s">
        <v>130</v>
      </c>
      <c r="C1273" s="166">
        <f ca="1">RANK(N1273,N1267:N1291)</f>
        <v>1</v>
      </c>
      <c r="D1273" s="166">
        <f ca="1">RANK(P1273,P1266:P1290)</f>
        <v>10</v>
      </c>
      <c r="E1273" s="189" t="s">
        <v>159</v>
      </c>
      <c r="F1273" s="179">
        <f ca="1">COUNTIFS(Paste_Report_Here!$E$1:$E$2000,E1260, OFFSET(Paste_Report_Here!$A$1,0,$A1273,2000,1),F$75)</f>
        <v>0</v>
      </c>
      <c r="G1273" s="180">
        <f ca="1">COUNTIFS(Paste_Report_Here!$E$1:$E$2000,E1260, OFFSET(Paste_Report_Here!$A$1,0,$A1273,2000,1),G$75)</f>
        <v>0</v>
      </c>
      <c r="H1273" s="180">
        <f ca="1">COUNTIFS(Paste_Report_Here!$E$1:$E$2000,E1260, OFFSET(Paste_Report_Here!$A$1,0,$A1273,2000,1),H$75)</f>
        <v>20</v>
      </c>
      <c r="I1273" s="180">
        <f ca="1">COUNTIFS(Paste_Report_Here!$E$1:$E$2000,E1260, OFFSET(Paste_Report_Here!$A$1,0,$A1273,2000,1),I$75)</f>
        <v>6</v>
      </c>
      <c r="J1273" s="180">
        <f ca="1">COUNTIFS(Paste_Report_Here!$E$1:$E$2000,E1260, OFFSET(Paste_Report_Here!$A$1,0,$A1273,2000,1),J$75)</f>
        <v>2</v>
      </c>
      <c r="K1273" s="181">
        <f ca="1">COUNTIFS(Paste_Report_Here!$E$1:$E$2000,E1260, OFFSET(Paste_Report_Here!$A$1,0,$A1273,2000,1),K$75)</f>
        <v>0</v>
      </c>
      <c r="L1273" s="166">
        <f t="shared" ca="1" si="190"/>
        <v>28</v>
      </c>
      <c r="M1273" s="183">
        <f ca="1">SUMPRODUCT(F1273:K1273,F1264:K1264)/L:L</f>
        <v>1.4285714285714287E-2</v>
      </c>
      <c r="N1273" s="166">
        <f t="shared" ca="1" si="191"/>
        <v>1.014388242751048</v>
      </c>
      <c r="O1273" s="165">
        <f t="shared" ca="1" si="193"/>
        <v>2532.8693260059508</v>
      </c>
      <c r="P1273" s="165">
        <f t="shared" ca="1" si="192"/>
        <v>2569.3128647252079</v>
      </c>
    </row>
    <row r="1274" spans="1:16" s="165" customFormat="1" x14ac:dyDescent="0.3">
      <c r="A1274" s="165">
        <f>MATCH(Calcs!B1274,Paste_Report_Here!$1:$1,0) -1</f>
        <v>13</v>
      </c>
      <c r="B1274" s="165" t="s">
        <v>131</v>
      </c>
      <c r="C1274" s="166">
        <f ca="1">RANK(N1274,N1268:N1292)</f>
        <v>10</v>
      </c>
      <c r="D1274" s="166">
        <f ca="1">RANK(P1274,P1266:P1290)</f>
        <v>2</v>
      </c>
      <c r="E1274" s="189" t="s">
        <v>160</v>
      </c>
      <c r="F1274" s="179">
        <f ca="1">COUNTIFS(Paste_Report_Here!$E$1:$E$2000,E1260, OFFSET(Paste_Report_Here!$A$1,0,$A1274,2000,1),F$75)</f>
        <v>0</v>
      </c>
      <c r="G1274" s="180">
        <f ca="1">COUNTIFS(Paste_Report_Here!$E$1:$E$2000,E1260, OFFSET(Paste_Report_Here!$A$1,0,$A1274,2000,1),G$75)</f>
        <v>2</v>
      </c>
      <c r="H1274" s="180">
        <f ca="1">COUNTIFS(Paste_Report_Here!$E$1:$E$2000,E1260, OFFSET(Paste_Report_Here!$A$1,0,$A1274,2000,1),H$75)</f>
        <v>20</v>
      </c>
      <c r="I1274" s="180">
        <f ca="1">COUNTIFS(Paste_Report_Here!$E$1:$E$2000,E1260, OFFSET(Paste_Report_Here!$A$1,0,$A1274,2000,1),I$75)</f>
        <v>6</v>
      </c>
      <c r="J1274" s="180">
        <f ca="1">COUNTIFS(Paste_Report_Here!$E$1:$E$2000,E1260, OFFSET(Paste_Report_Here!$A$1,0,$A1274,2000,1),J$75)</f>
        <v>0</v>
      </c>
      <c r="K1274" s="181">
        <f ca="1">COUNTIFS(Paste_Report_Here!$E$1:$E$2000,E1260, OFFSET(Paste_Report_Here!$A$1,0,$A1274,2000,1),K$75)</f>
        <v>0</v>
      </c>
      <c r="L1274" s="166">
        <f t="shared" ca="1" si="190"/>
        <v>28</v>
      </c>
      <c r="M1274" s="183">
        <f ca="1">SUMPRODUCT(F1274:K1274,F1264:K1264)/L:L</f>
        <v>0</v>
      </c>
      <c r="N1274" s="166">
        <f t="shared" ca="1" si="191"/>
        <v>1</v>
      </c>
      <c r="O1274" s="165">
        <f t="shared" ca="1" si="193"/>
        <v>4437.4120527150017</v>
      </c>
      <c r="P1274" s="165">
        <f t="shared" ca="1" si="192"/>
        <v>4437.4120527150017</v>
      </c>
    </row>
    <row r="1275" spans="1:16" s="165" customFormat="1" x14ac:dyDescent="0.3">
      <c r="A1275" s="165">
        <f>MATCH(Calcs!B1275,Paste_Report_Here!$1:$1,0) -1</f>
        <v>14</v>
      </c>
      <c r="B1275" s="165" t="s">
        <v>132</v>
      </c>
      <c r="C1275" s="166">
        <f ca="1">RANK(N1275,N1269:N1293)</f>
        <v>20</v>
      </c>
      <c r="D1275" s="166">
        <f ca="1">RANK(P1275,P1266:P1290)</f>
        <v>16</v>
      </c>
      <c r="E1275" s="189" t="s">
        <v>161</v>
      </c>
      <c r="F1275" s="179">
        <f ca="1">COUNTIFS(Paste_Report_Here!$E$1:$E$2000,E1260, OFFSET(Paste_Report_Here!$A$1,0,$A1275,2000,1),F$75)</f>
        <v>1</v>
      </c>
      <c r="G1275" s="180">
        <f ca="1">COUNTIFS(Paste_Report_Here!$E$1:$E$2000,E1260, OFFSET(Paste_Report_Here!$A$1,0,$A1275,2000,1),G$75)</f>
        <v>1</v>
      </c>
      <c r="H1275" s="180">
        <f ca="1">COUNTIFS(Paste_Report_Here!$E$1:$E$2000,E1260, OFFSET(Paste_Report_Here!$A$1,0,$A1275,2000,1),H$75)</f>
        <v>23</v>
      </c>
      <c r="I1275" s="180">
        <f ca="1">COUNTIFS(Paste_Report_Here!$E$1:$E$2000,E1260, OFFSET(Paste_Report_Here!$A$1,0,$A1275,2000,1),I$75)</f>
        <v>3</v>
      </c>
      <c r="J1275" s="180">
        <f ca="1">COUNTIFS(Paste_Report_Here!$E$1:$E$2000,E1260, OFFSET(Paste_Report_Here!$A$1,0,$A1275,2000,1),J$75)</f>
        <v>0</v>
      </c>
      <c r="K1275" s="181">
        <f ca="1">COUNTIFS(Paste_Report_Here!$E$1:$E$2000,E1260, OFFSET(Paste_Report_Here!$A$1,0,$A1275,2000,1),K$75)</f>
        <v>0</v>
      </c>
      <c r="L1275" s="166">
        <f t="shared" ca="1" si="190"/>
        <v>28</v>
      </c>
      <c r="M1275" s="183">
        <f ca="1">SUMPRODUCT(F1275:K1275,F1264:K1264)/L:L</f>
        <v>-7.1428571428571435E-3</v>
      </c>
      <c r="N1275" s="166">
        <f t="shared" ca="1" si="191"/>
        <v>0.99288259243095034</v>
      </c>
      <c r="O1275" s="165">
        <f t="shared" ca="1" si="193"/>
        <v>2067.2812878988411</v>
      </c>
      <c r="P1275" s="165">
        <f t="shared" ca="1" si="192"/>
        <v>2052.567604412995</v>
      </c>
    </row>
    <row r="1276" spans="1:16" s="165" customFormat="1" x14ac:dyDescent="0.3">
      <c r="A1276" s="165">
        <f>MATCH(Calcs!B1276,Paste_Report_Here!$1:$1,0) -1</f>
        <v>15</v>
      </c>
      <c r="B1276" s="165" t="s">
        <v>133</v>
      </c>
      <c r="C1276" s="166">
        <f ca="1">RANK(N1276,N1265:N1289)</f>
        <v>9</v>
      </c>
      <c r="D1276" s="166">
        <f ca="1">RANK(P1276,P1266:P1290)</f>
        <v>6</v>
      </c>
      <c r="E1276" s="189" t="s">
        <v>162</v>
      </c>
      <c r="F1276" s="179">
        <f ca="1">COUNTIFS(Paste_Report_Here!$E$1:$E$2000,E1260, OFFSET(Paste_Report_Here!$A$1,0,$A1276,2000,1),F$75)</f>
        <v>1</v>
      </c>
      <c r="G1276" s="180">
        <f ca="1">COUNTIFS(Paste_Report_Here!$E$1:$E$2000,E1260, OFFSET(Paste_Report_Here!$A$1,0,$A1276,2000,1),G$75)</f>
        <v>0</v>
      </c>
      <c r="H1276" s="180">
        <f ca="1">COUNTIFS(Paste_Report_Here!$E$1:$E$2000,E1260, OFFSET(Paste_Report_Here!$A$1,0,$A1276,2000,1),H$75)</f>
        <v>19</v>
      </c>
      <c r="I1276" s="180">
        <f ca="1">COUNTIFS(Paste_Report_Here!$E$1:$E$2000,E1260, OFFSET(Paste_Report_Here!$A$1,0,$A1276,2000,1),I$75)</f>
        <v>7</v>
      </c>
      <c r="J1276" s="180">
        <f ca="1">COUNTIFS(Paste_Report_Here!$E$1:$E$2000,E1260, OFFSET(Paste_Report_Here!$A$1,0,$A1276,2000,1),J$75)</f>
        <v>1</v>
      </c>
      <c r="K1276" s="181">
        <f ca="1">COUNTIFS(Paste_Report_Here!$E$1:$E$2000,E1260, OFFSET(Paste_Report_Here!$A$1,0,$A1276,2000,1),K$75)</f>
        <v>0</v>
      </c>
      <c r="L1276" s="166">
        <f t="shared" ca="1" si="190"/>
        <v>28</v>
      </c>
      <c r="M1276" s="183">
        <f ca="1">SUMPRODUCT(F1276:K1276,F1264:K1264)/L:L</f>
        <v>0</v>
      </c>
      <c r="N1276" s="166">
        <f t="shared" ca="1" si="191"/>
        <v>1</v>
      </c>
      <c r="O1276" s="165">
        <f t="shared" ca="1" si="193"/>
        <v>3020.0682289270985</v>
      </c>
      <c r="P1276" s="165">
        <f t="shared" ca="1" si="192"/>
        <v>3020.0682289270985</v>
      </c>
    </row>
    <row r="1277" spans="1:16" s="165" customFormat="1" x14ac:dyDescent="0.3">
      <c r="A1277" s="165">
        <f>MATCH(Calcs!B1277,Paste_Report_Here!$1:$1,0) -1</f>
        <v>16</v>
      </c>
      <c r="B1277" s="165" t="s">
        <v>134</v>
      </c>
      <c r="C1277" s="166">
        <f ca="1">RANK(N1277,N1266:N1290)</f>
        <v>19</v>
      </c>
      <c r="D1277" s="166">
        <f ca="1">RANK(P1277,P1266:P1290)</f>
        <v>25</v>
      </c>
      <c r="E1277" s="189" t="s">
        <v>163</v>
      </c>
      <c r="F1277" s="179">
        <f ca="1">COUNTIFS(Paste_Report_Here!$E$1:$E$2000,E1260, OFFSET(Paste_Report_Here!$A$1,0,$A1277,2000,1),F$75)</f>
        <v>1</v>
      </c>
      <c r="G1277" s="180">
        <f ca="1">COUNTIFS(Paste_Report_Here!$E$1:$E$2000,E1260, OFFSET(Paste_Report_Here!$A$1,0,$A1277,2000,1),G$75)</f>
        <v>1</v>
      </c>
      <c r="H1277" s="180">
        <f ca="1">COUNTIFS(Paste_Report_Here!$E$1:$E$2000,E1260, OFFSET(Paste_Report_Here!$A$1,0,$A1277,2000,1),H$75)</f>
        <v>24</v>
      </c>
      <c r="I1277" s="180">
        <f ca="1">COUNTIFS(Paste_Report_Here!$E$1:$E$2000,E1260, OFFSET(Paste_Report_Here!$A$1,0,$A1277,2000,1),I$75)</f>
        <v>2</v>
      </c>
      <c r="J1277" s="180">
        <f ca="1">COUNTIFS(Paste_Report_Here!$E$1:$E$2000,E1260, OFFSET(Paste_Report_Here!$A$1,0,$A1277,2000,1),J$75)</f>
        <v>0</v>
      </c>
      <c r="K1277" s="181">
        <f ca="1">COUNTIFS(Paste_Report_Here!$E$1:$E$2000,E1260, OFFSET(Paste_Report_Here!$A$1,0,$A1277,2000,1),K$75)</f>
        <v>0</v>
      </c>
      <c r="L1277" s="166">
        <f t="shared" ca="1" si="190"/>
        <v>28</v>
      </c>
      <c r="M1277" s="183">
        <f ca="1">SUMPRODUCT(F1277:K1277,F1264:K1264)/L:L</f>
        <v>-7.1428571428571435E-3</v>
      </c>
      <c r="N1277" s="166">
        <f t="shared" ca="1" si="191"/>
        <v>0.99288259243095034</v>
      </c>
      <c r="O1277" s="165">
        <f t="shared" ca="1" si="193"/>
        <v>1143.7881777086034</v>
      </c>
      <c r="P1277" s="165">
        <f t="shared" ca="1" si="192"/>
        <v>1135.6473710751907</v>
      </c>
    </row>
    <row r="1278" spans="1:16" s="165" customFormat="1" x14ac:dyDescent="0.3">
      <c r="A1278" s="165">
        <f>MATCH(Calcs!B1278,Paste_Report_Here!$1:$1,0) -1</f>
        <v>17</v>
      </c>
      <c r="B1278" s="165" t="s">
        <v>135</v>
      </c>
      <c r="C1278" s="166">
        <f ca="1">RANK(N1278,N1266:N1290)</f>
        <v>19</v>
      </c>
      <c r="D1278" s="166">
        <f ca="1">RANK(P1278,P1266:P1290)</f>
        <v>20</v>
      </c>
      <c r="E1278" s="189" t="s">
        <v>164</v>
      </c>
      <c r="F1278" s="179">
        <f ca="1">COUNTIFS(Paste_Report_Here!$E$1:$E$2000,E1260, OFFSET(Paste_Report_Here!$A$1,0,$A1278,2000,1),F$75)</f>
        <v>1</v>
      </c>
      <c r="G1278" s="180">
        <f ca="1">COUNTIFS(Paste_Report_Here!$E$1:$E$2000,E1260, OFFSET(Paste_Report_Here!$A$1,0,$A1278,2000,1),G$75)</f>
        <v>1</v>
      </c>
      <c r="H1278" s="180">
        <f ca="1">COUNTIFS(Paste_Report_Here!$E$1:$E$2000,E1260, OFFSET(Paste_Report_Here!$A$1,0,$A1278,2000,1),H$75)</f>
        <v>25</v>
      </c>
      <c r="I1278" s="180">
        <f ca="1">COUNTIFS(Paste_Report_Here!$E$1:$E$2000,E1260, OFFSET(Paste_Report_Here!$A$1,0,$A1278,2000,1),I$75)</f>
        <v>1</v>
      </c>
      <c r="J1278" s="180">
        <f ca="1">COUNTIFS(Paste_Report_Here!$E$1:$E$2000,E1260, OFFSET(Paste_Report_Here!$A$1,0,$A1278,2000,1),J$75)</f>
        <v>0</v>
      </c>
      <c r="K1278" s="181">
        <f ca="1">COUNTIFS(Paste_Report_Here!$E$1:$E$2000,E1260, OFFSET(Paste_Report_Here!$A$1,0,$A1278,2000,1),K$75)</f>
        <v>0</v>
      </c>
      <c r="L1278" s="166">
        <f t="shared" ca="1" si="190"/>
        <v>28</v>
      </c>
      <c r="M1278" s="183">
        <f ca="1">SUMPRODUCT(F1278:K1278,F1264:K1264)/L:L</f>
        <v>-7.1428571428571435E-3</v>
      </c>
      <c r="N1278" s="166">
        <f t="shared" ca="1" si="191"/>
        <v>0.99288259243095034</v>
      </c>
      <c r="O1278" s="165">
        <f t="shared" ca="1" si="193"/>
        <v>1880.6424163650809</v>
      </c>
      <c r="P1278" s="165">
        <f t="shared" ca="1" si="192"/>
        <v>1867.2571177961681</v>
      </c>
    </row>
    <row r="1279" spans="1:16" s="165" customFormat="1" x14ac:dyDescent="0.3">
      <c r="A1279" s="165">
        <f>MATCH(Calcs!B1279,Paste_Report_Here!$1:$1,0) -1</f>
        <v>18</v>
      </c>
      <c r="B1279" s="165" t="s">
        <v>136</v>
      </c>
      <c r="C1279" s="166">
        <f ca="1">RANK(N1279,N1268:N1292)</f>
        <v>10</v>
      </c>
      <c r="D1279" s="166">
        <f ca="1">RANK(P1279,P1266:P1290)</f>
        <v>4</v>
      </c>
      <c r="E1279" s="189" t="s">
        <v>165</v>
      </c>
      <c r="F1279" s="179">
        <f ca="1">COUNTIFS(Paste_Report_Here!$E$1:$E$2000,E1260, OFFSET(Paste_Report_Here!$A$1,0,$A1279,2000,1),F$75)</f>
        <v>0</v>
      </c>
      <c r="G1279" s="180">
        <f ca="1">COUNTIFS(Paste_Report_Here!$E$1:$E$2000,E1260, OFFSET(Paste_Report_Here!$A$1,0,$A1279,2000,1),G$75)</f>
        <v>0</v>
      </c>
      <c r="H1279" s="180">
        <f ca="1">COUNTIFS(Paste_Report_Here!$E$1:$E$2000,E1260, OFFSET(Paste_Report_Here!$A$1,0,$A1279,2000,1),H$75)</f>
        <v>24</v>
      </c>
      <c r="I1279" s="180">
        <f ca="1">COUNTIFS(Paste_Report_Here!$E$1:$E$2000,E1260, OFFSET(Paste_Report_Here!$A$1,0,$A1279,2000,1),I$75)</f>
        <v>4</v>
      </c>
      <c r="J1279" s="180">
        <f ca="1">COUNTIFS(Paste_Report_Here!$E$1:$E$2000,E1260, OFFSET(Paste_Report_Here!$A$1,0,$A1279,2000,1),J$75)</f>
        <v>0</v>
      </c>
      <c r="K1279" s="181">
        <f ca="1">COUNTIFS(Paste_Report_Here!$E$1:$E$2000,E1260, OFFSET(Paste_Report_Here!$A$1,0,$A1279,2000,1),K$75)</f>
        <v>0</v>
      </c>
      <c r="L1279" s="166">
        <f t="shared" ca="1" si="190"/>
        <v>28</v>
      </c>
      <c r="M1279" s="183">
        <f ca="1">SUMPRODUCT(F1279:K1279,F1264:K1264)/L:L</f>
        <v>0</v>
      </c>
      <c r="N1279" s="166">
        <f t="shared" ca="1" si="191"/>
        <v>1</v>
      </c>
      <c r="O1279" s="165">
        <f t="shared" ca="1" si="193"/>
        <v>4063.3261268180454</v>
      </c>
      <c r="P1279" s="165">
        <f t="shared" ca="1" si="192"/>
        <v>4063.3261268180454</v>
      </c>
    </row>
    <row r="1280" spans="1:16" s="165" customFormat="1" x14ac:dyDescent="0.3">
      <c r="A1280" s="165">
        <f>MATCH(Calcs!B1280,Paste_Report_Here!$1:$1,0) -1</f>
        <v>19</v>
      </c>
      <c r="B1280" s="165" t="s">
        <v>137</v>
      </c>
      <c r="C1280" s="166">
        <f ca="1">RANK(N1280,N1269:N1293)</f>
        <v>2</v>
      </c>
      <c r="D1280" s="166">
        <f ca="1">RANK(P1280,P1266:P1290)</f>
        <v>13</v>
      </c>
      <c r="E1280" s="189" t="s">
        <v>166</v>
      </c>
      <c r="F1280" s="179">
        <f ca="1">COUNTIFS(Paste_Report_Here!$E$1:$E$2000,E1260, OFFSET(Paste_Report_Here!$A$1,0,$A1280,2000,1),F$75)</f>
        <v>0</v>
      </c>
      <c r="G1280" s="180">
        <f ca="1">COUNTIFS(Paste_Report_Here!$E$1:$E$2000,E1260, OFFSET(Paste_Report_Here!$A$1,0,$A1280,2000,1),G$75)</f>
        <v>0</v>
      </c>
      <c r="H1280" s="180">
        <f ca="1">COUNTIFS(Paste_Report_Here!$E$1:$E$2000,E1260, OFFSET(Paste_Report_Here!$A$1,0,$A1280,2000,1),H$75)</f>
        <v>19</v>
      </c>
      <c r="I1280" s="180">
        <f ca="1">COUNTIFS(Paste_Report_Here!$E$1:$E$2000,E1260, OFFSET(Paste_Report_Here!$A$1,0,$A1280,2000,1),I$75)</f>
        <v>8</v>
      </c>
      <c r="J1280" s="180">
        <f ca="1">COUNTIFS(Paste_Report_Here!$E$1:$E$2000,E1260, OFFSET(Paste_Report_Here!$A$1,0,$A1280,2000,1),J$75)</f>
        <v>1</v>
      </c>
      <c r="K1280" s="181">
        <f ca="1">COUNTIFS(Paste_Report_Here!$E$1:$E$2000,E1260, OFFSET(Paste_Report_Here!$A$1,0,$A1280,2000,1),K$75)</f>
        <v>0</v>
      </c>
      <c r="L1280" s="166">
        <f t="shared" ca="1" si="190"/>
        <v>28</v>
      </c>
      <c r="M1280" s="183">
        <f ca="1">SUMPRODUCT(F1280:K1280,F1264:K1264)/L:L</f>
        <v>7.1428571428571435E-3</v>
      </c>
      <c r="N1280" s="166">
        <f t="shared" ca="1" si="191"/>
        <v>1.0071684281941369</v>
      </c>
      <c r="O1280" s="165">
        <f t="shared" ca="1" si="193"/>
        <v>2197.7203504310678</v>
      </c>
      <c r="P1280" s="165">
        <f t="shared" ca="1" si="192"/>
        <v>2213.4745509539262</v>
      </c>
    </row>
    <row r="1281" spans="1:16" s="165" customFormat="1" x14ac:dyDescent="0.3">
      <c r="A1281" s="165">
        <f>MATCH(Calcs!B1281,Paste_Report_Here!$1:$1,0) -1</f>
        <v>20</v>
      </c>
      <c r="B1281" s="165" t="s">
        <v>138</v>
      </c>
      <c r="C1281" s="166">
        <f ca="1">RANK(N1281,N1267:N1291)</f>
        <v>10</v>
      </c>
      <c r="D1281" s="166">
        <f ca="1">RANK(P1281,P1266:P1290)</f>
        <v>19</v>
      </c>
      <c r="E1281" s="189" t="s">
        <v>167</v>
      </c>
      <c r="F1281" s="179">
        <f ca="1">COUNTIFS(Paste_Report_Here!$E$1:$E$2000,E1260, OFFSET(Paste_Report_Here!$A$1,0,$A1281,2000,1),F$75)</f>
        <v>1</v>
      </c>
      <c r="G1281" s="180">
        <f ca="1">COUNTIFS(Paste_Report_Here!$E$1:$E$2000,E1260, OFFSET(Paste_Report_Here!$A$1,0,$A1281,2000,1),G$75)</f>
        <v>1</v>
      </c>
      <c r="H1281" s="180">
        <f ca="1">COUNTIFS(Paste_Report_Here!$E$1:$E$2000,E1260, OFFSET(Paste_Report_Here!$A$1,0,$A1281,2000,1),H$75)</f>
        <v>20</v>
      </c>
      <c r="I1281" s="180">
        <f ca="1">COUNTIFS(Paste_Report_Here!$E$1:$E$2000,E1260, OFFSET(Paste_Report_Here!$A$1,0,$A1281,2000,1),I$75)</f>
        <v>5</v>
      </c>
      <c r="J1281" s="180">
        <f ca="1">COUNTIFS(Paste_Report_Here!$E$1:$E$2000,E1260, OFFSET(Paste_Report_Here!$A$1,0,$A1281,2000,1),J$75)</f>
        <v>1</v>
      </c>
      <c r="K1281" s="181">
        <f ca="1">COUNTIFS(Paste_Report_Here!$E$1:$E$2000,E1260, OFFSET(Paste_Report_Here!$A$1,0,$A1281,2000,1),K$75)</f>
        <v>0</v>
      </c>
      <c r="L1281" s="166">
        <f t="shared" ca="1" si="190"/>
        <v>28</v>
      </c>
      <c r="M1281" s="183">
        <f ca="1">SUMPRODUCT(F1281:K1281,F1264:K1264)/L:L</f>
        <v>0</v>
      </c>
      <c r="N1281" s="166">
        <f t="shared" ca="1" si="191"/>
        <v>1</v>
      </c>
      <c r="O1281" s="165">
        <f t="shared" ca="1" si="193"/>
        <v>1944.3596115640585</v>
      </c>
      <c r="P1281" s="165">
        <f t="shared" ca="1" si="192"/>
        <v>1944.3596115640585</v>
      </c>
    </row>
    <row r="1282" spans="1:16" s="165" customFormat="1" x14ac:dyDescent="0.3">
      <c r="A1282" s="165">
        <f>MATCH(Calcs!B1282,Paste_Report_Here!$1:$1,0) -1</f>
        <v>21</v>
      </c>
      <c r="B1282" s="165" t="s">
        <v>139</v>
      </c>
      <c r="C1282" s="166">
        <f ca="1">RANK(N1282,N1266:N1290)</f>
        <v>9</v>
      </c>
      <c r="D1282" s="166">
        <f ca="1">RANK(P1282,P1266:P1290)</f>
        <v>18</v>
      </c>
      <c r="E1282" s="189" t="s">
        <v>168</v>
      </c>
      <c r="F1282" s="179">
        <f ca="1">COUNTIFS(Paste_Report_Here!$E$1:$E$2000,E1260, OFFSET(Paste_Report_Here!$A$1,0,$A1282,2000,1),F$75)</f>
        <v>1</v>
      </c>
      <c r="G1282" s="180">
        <f ca="1">COUNTIFS(Paste_Report_Here!$E$1:$E$2000,E1260, OFFSET(Paste_Report_Here!$A$1,0,$A1282,2000,1),G$75)</f>
        <v>0</v>
      </c>
      <c r="H1282" s="180">
        <f ca="1">COUNTIFS(Paste_Report_Here!$E$1:$E$2000,E1260, OFFSET(Paste_Report_Here!$A$1,0,$A1282,2000,1),H$75)</f>
        <v>22</v>
      </c>
      <c r="I1282" s="180">
        <f ca="1">COUNTIFS(Paste_Report_Here!$E$1:$E$2000,E1260, OFFSET(Paste_Report_Here!$A$1,0,$A1282,2000,1),I$75)</f>
        <v>4</v>
      </c>
      <c r="J1282" s="180">
        <f ca="1">COUNTIFS(Paste_Report_Here!$E$1:$E$2000,E1260, OFFSET(Paste_Report_Here!$A$1,0,$A1282,2000,1),J$75)</f>
        <v>1</v>
      </c>
      <c r="K1282" s="181">
        <f ca="1">COUNTIFS(Paste_Report_Here!$E$1:$E$2000,E1260, OFFSET(Paste_Report_Here!$A$1,0,$A1282,2000,1),K$75)</f>
        <v>0</v>
      </c>
      <c r="L1282" s="166">
        <f t="shared" ca="1" si="190"/>
        <v>28</v>
      </c>
      <c r="M1282" s="183">
        <f ca="1">SUMPRODUCT(F1282:K1282,F1264:K1264)/L:L</f>
        <v>0</v>
      </c>
      <c r="N1282" s="166">
        <f t="shared" ca="1" si="191"/>
        <v>1</v>
      </c>
      <c r="O1282" s="165">
        <f t="shared" ca="1" si="193"/>
        <v>2010.1175604105742</v>
      </c>
      <c r="P1282" s="165">
        <f t="shared" ca="1" si="192"/>
        <v>2010.1175604105742</v>
      </c>
    </row>
    <row r="1283" spans="1:16" s="165" customFormat="1" x14ac:dyDescent="0.3">
      <c r="A1283" s="165">
        <f>MATCH(Calcs!B1283,Paste_Report_Here!$1:$1,0) -1</f>
        <v>22</v>
      </c>
      <c r="B1283" s="165" t="s">
        <v>140</v>
      </c>
      <c r="C1283" s="166">
        <f ca="1">RANK(N1283,N1266:N1290)</f>
        <v>2</v>
      </c>
      <c r="D1283" s="166">
        <f ca="1">RANK(P1283,P1266:P1290)</f>
        <v>14</v>
      </c>
      <c r="E1283" s="189" t="s">
        <v>169</v>
      </c>
      <c r="F1283" s="179">
        <f ca="1">COUNTIFS(Paste_Report_Here!$E$1:$E$2000,E1260, OFFSET(Paste_Report_Here!$A$1,0,$A1283,2000,1),F$75)</f>
        <v>0</v>
      </c>
      <c r="G1283" s="180">
        <f ca="1">COUNTIFS(Paste_Report_Here!$E$1:$E$2000,E1260, OFFSET(Paste_Report_Here!$A$1,0,$A1283,2000,1),G$75)</f>
        <v>0</v>
      </c>
      <c r="H1283" s="180">
        <f ca="1">COUNTIFS(Paste_Report_Here!$E$1:$E$2000,E1260, OFFSET(Paste_Report_Here!$A$1,0,$A1283,2000,1),H$75)</f>
        <v>21</v>
      </c>
      <c r="I1283" s="180">
        <f ca="1">COUNTIFS(Paste_Report_Here!$E$1:$E$2000,E1260, OFFSET(Paste_Report_Here!$A$1,0,$A1283,2000,1),I$75)</f>
        <v>6</v>
      </c>
      <c r="J1283" s="180">
        <f ca="1">COUNTIFS(Paste_Report_Here!$E$1:$E$2000,E1260, OFFSET(Paste_Report_Here!$A$1,0,$A1283,2000,1),J$75)</f>
        <v>1</v>
      </c>
      <c r="K1283" s="181">
        <f ca="1">COUNTIFS(Paste_Report_Here!$E$1:$E$2000,E1260, OFFSET(Paste_Report_Here!$A$1,0,$A1283,2000,1),K$75)</f>
        <v>0</v>
      </c>
      <c r="L1283" s="166">
        <f t="shared" ca="1" si="190"/>
        <v>28</v>
      </c>
      <c r="M1283" s="183">
        <f ca="1">SUMPRODUCT(F1283:K1283,F1264:K1264)/L:L</f>
        <v>7.1428571428571435E-3</v>
      </c>
      <c r="N1283" s="166">
        <f t="shared" ca="1" si="191"/>
        <v>1.0071684281941369</v>
      </c>
      <c r="O1283" s="165">
        <f t="shared" ca="1" si="193"/>
        <v>2101.1126870763292</v>
      </c>
      <c r="P1283" s="165">
        <f t="shared" ca="1" si="192"/>
        <v>2116.174362501426</v>
      </c>
    </row>
    <row r="1284" spans="1:16" s="165" customFormat="1" x14ac:dyDescent="0.3">
      <c r="A1284" s="165">
        <f>MATCH(Calcs!B1284,Paste_Report_Here!$1:$1,0) -1</f>
        <v>23</v>
      </c>
      <c r="B1284" s="165" t="s">
        <v>186</v>
      </c>
      <c r="C1284" s="166">
        <f ca="1">RANK(N1284,N1266:N1290)</f>
        <v>2</v>
      </c>
      <c r="D1284" s="166">
        <f ca="1">RANK(P1284,P1266:P1290)</f>
        <v>3</v>
      </c>
      <c r="E1284" s="189" t="s">
        <v>180</v>
      </c>
      <c r="F1284" s="179">
        <f ca="1">COUNTIFS(Paste_Report_Here!$E$1:$E$2000,E1260, OFFSET(Paste_Report_Here!$A$1,0,$A1284,2000,1),F$75)</f>
        <v>0</v>
      </c>
      <c r="G1284" s="180">
        <f ca="1">COUNTIFS(Paste_Report_Here!$E$1:$E$2000,E1260, OFFSET(Paste_Report_Here!$A$1,0,$A1284,2000,1),G$75)</f>
        <v>0</v>
      </c>
      <c r="H1284" s="180">
        <f ca="1">COUNTIFS(Paste_Report_Here!$E$1:$E$2000,E1260, OFFSET(Paste_Report_Here!$A$1,0,$A1284,2000,1),H$75)</f>
        <v>23</v>
      </c>
      <c r="I1284" s="180">
        <f ca="1">COUNTIFS(Paste_Report_Here!$E$1:$E$2000,E1260, OFFSET(Paste_Report_Here!$A$1,0,$A1284,2000,1),I$75)</f>
        <v>4</v>
      </c>
      <c r="J1284" s="180">
        <f ca="1">COUNTIFS(Paste_Report_Here!$E$1:$E$2000,E1260, OFFSET(Paste_Report_Here!$A$1,0,$A1284,2000,1),J$75)</f>
        <v>1</v>
      </c>
      <c r="K1284" s="181">
        <f ca="1">COUNTIFS(Paste_Report_Here!$E$1:$E$2000,E1260, OFFSET(Paste_Report_Here!$A$1,0,$A1284,2000,1),K$75)</f>
        <v>0</v>
      </c>
      <c r="L1284" s="166">
        <f t="shared" ca="1" si="190"/>
        <v>28</v>
      </c>
      <c r="M1284" s="183">
        <f ca="1">SUMPRODUCT(F1284:K1284,F1264:K1264)/L:L</f>
        <v>7.1428571428571435E-3</v>
      </c>
      <c r="N1284" s="166">
        <f t="shared" ca="1" si="191"/>
        <v>1.0071684281941369</v>
      </c>
      <c r="O1284" s="165">
        <f t="shared" ca="1" si="193"/>
        <v>4083.9903861171588</v>
      </c>
      <c r="P1284" s="165">
        <f t="shared" ca="1" si="192"/>
        <v>4113.2661779455848</v>
      </c>
    </row>
    <row r="1285" spans="1:16" s="165" customFormat="1" x14ac:dyDescent="0.3">
      <c r="A1285" s="165">
        <f>MATCH(Calcs!B1285,Paste_Report_Here!$1:$1,0) -1</f>
        <v>24</v>
      </c>
      <c r="B1285" s="165" t="s">
        <v>209</v>
      </c>
      <c r="C1285" s="166">
        <f ca="1">RANK(N1285,N1266:N1290)</f>
        <v>9</v>
      </c>
      <c r="D1285" s="166">
        <f ca="1">RANK(P1285,P1266:P1290)</f>
        <v>23</v>
      </c>
      <c r="E1285" s="202" t="s">
        <v>211</v>
      </c>
      <c r="F1285" s="179">
        <f ca="1">COUNTIFS(Paste_Report_Here!$E$1:$E$2000,E1260, OFFSET(Paste_Report_Here!$A$1,0,$A1285,2000,1),F$75)</f>
        <v>0</v>
      </c>
      <c r="G1285" s="180">
        <f ca="1">COUNTIFS(Paste_Report_Here!$E$1:$E$2000,E1260, OFFSET(Paste_Report_Here!$A$1,0,$A1285,2000,1),G$75)</f>
        <v>1</v>
      </c>
      <c r="H1285" s="180">
        <f ca="1">COUNTIFS(Paste_Report_Here!$E$1:$E$2000,E1260, OFFSET(Paste_Report_Here!$A$1,0,$A1285,2000,1),H$75)</f>
        <v>20</v>
      </c>
      <c r="I1285" s="180">
        <f ca="1">COUNTIFS(Paste_Report_Here!$E$1:$E$2000,E1260, OFFSET(Paste_Report_Here!$A$1,0,$A1285,2000,1),I$75)</f>
        <v>7</v>
      </c>
      <c r="J1285" s="180">
        <f ca="1">COUNTIFS(Paste_Report_Here!$E$1:$E$2000,E1260, OFFSET(Paste_Report_Here!$A$1,0,$A1285,2000,1),J$75)</f>
        <v>0</v>
      </c>
      <c r="K1285" s="181">
        <f ca="1">COUNTIFS(Paste_Report_Here!$E$1:$E$2000,E1260, OFFSET(Paste_Report_Here!$A$1,0,$A1285,2000,1),K$75)</f>
        <v>0</v>
      </c>
      <c r="L1285" s="166">
        <f t="shared" ca="1" si="190"/>
        <v>28</v>
      </c>
      <c r="M1285" s="183">
        <f ca="1">SUMPRODUCT(F1285:K1285,F1264:K1264)/L:L</f>
        <v>0</v>
      </c>
      <c r="N1285" s="166">
        <f t="shared" ca="1" si="191"/>
        <v>1</v>
      </c>
      <c r="O1285" s="165">
        <f t="shared" ca="1" si="193"/>
        <v>1234.0517913843973</v>
      </c>
      <c r="P1285" s="165">
        <f t="shared" ca="1" si="192"/>
        <v>1234.0517913843973</v>
      </c>
    </row>
    <row r="1286" spans="1:16" s="165" customFormat="1" x14ac:dyDescent="0.3">
      <c r="A1286" s="165">
        <f>MATCH(Calcs!B1286,Paste_Report_Here!$1:$1,0) -1</f>
        <v>25</v>
      </c>
      <c r="B1286" s="165" t="s">
        <v>141</v>
      </c>
      <c r="C1286" s="166">
        <f ca="1">RANK(N1286,N1266:N1290)</f>
        <v>2</v>
      </c>
      <c r="D1286" s="166">
        <f ca="1">RANK(P1286,P1266:P1290)</f>
        <v>22</v>
      </c>
      <c r="E1286" s="189" t="s">
        <v>170</v>
      </c>
      <c r="F1286" s="179">
        <f ca="1">COUNTIFS(Paste_Report_Here!$E$1:$E$2000,E1260, OFFSET(Paste_Report_Here!$A$1,0,$A1286,2000,1),F$75)</f>
        <v>0</v>
      </c>
      <c r="G1286" s="180">
        <f ca="1">COUNTIFS(Paste_Report_Here!$E$1:$E$2000,E1260, OFFSET(Paste_Report_Here!$A$1,0,$A1286,2000,1),G$75)</f>
        <v>5</v>
      </c>
      <c r="H1286" s="180">
        <f ca="1">COUNTIFS(Paste_Report_Here!$E$1:$E$2000,E1260, OFFSET(Paste_Report_Here!$A$1,0,$A1286,2000,1),H$75)</f>
        <v>16</v>
      </c>
      <c r="I1286" s="180">
        <f ca="1">COUNTIFS(Paste_Report_Here!$E$1:$E$2000,E1260, OFFSET(Paste_Report_Here!$A$1,0,$A1286,2000,1),I$75)</f>
        <v>6</v>
      </c>
      <c r="J1286" s="180">
        <f ca="1">COUNTIFS(Paste_Report_Here!$E$1:$E$2000,E1260, OFFSET(Paste_Report_Here!$A$1,0,$A1286,2000,1),J$75)</f>
        <v>1</v>
      </c>
      <c r="K1286" s="181">
        <f ca="1">COUNTIFS(Paste_Report_Here!$E$1:$E$2000,E1260, OFFSET(Paste_Report_Here!$A$1,0,$A1286,2000,1),K$75)</f>
        <v>0</v>
      </c>
      <c r="L1286" s="166">
        <f t="shared" ca="1" si="190"/>
        <v>28</v>
      </c>
      <c r="M1286" s="183">
        <f ca="1">SUMPRODUCT(F1286:K1286,F1264:K1264)/L:L</f>
        <v>7.1428571428571435E-3</v>
      </c>
      <c r="N1286" s="166">
        <f t="shared" ca="1" si="191"/>
        <v>1.0071684281941369</v>
      </c>
      <c r="O1286" s="165">
        <f t="shared" ca="1" si="193"/>
        <v>1381.4574480910408</v>
      </c>
      <c r="P1286" s="165">
        <f t="shared" ca="1" si="192"/>
        <v>1391.3603266109369</v>
      </c>
    </row>
    <row r="1287" spans="1:16" s="165" customFormat="1" x14ac:dyDescent="0.3">
      <c r="A1287" s="165">
        <f>MATCH(Calcs!B1287,Paste_Report_Here!$1:$1,0) -1</f>
        <v>26</v>
      </c>
      <c r="B1287" s="165" t="s">
        <v>142</v>
      </c>
      <c r="C1287" s="166">
        <f ca="1">RANK(N1287,N1266:N1290)</f>
        <v>9</v>
      </c>
      <c r="D1287" s="166">
        <f ca="1">RANK(P1287,P1266:P1290)</f>
        <v>12</v>
      </c>
      <c r="E1287" s="189" t="s">
        <v>171</v>
      </c>
      <c r="F1287" s="179">
        <f ca="1">COUNTIFS(Paste_Report_Here!$E$1:$E$2000,E1260, OFFSET(Paste_Report_Here!$A$1,0,$A1287,2000,1),F$75)</f>
        <v>0</v>
      </c>
      <c r="G1287" s="180">
        <f ca="1">COUNTIFS(Paste_Report_Here!$E$1:$E$2000,E1260, OFFSET(Paste_Report_Here!$A$1,0,$A1287,2000,1),G$75)</f>
        <v>2</v>
      </c>
      <c r="H1287" s="180">
        <f ca="1">COUNTIFS(Paste_Report_Here!$E$1:$E$2000,E1260, OFFSET(Paste_Report_Here!$A$1,0,$A1287,2000,1),H$75)</f>
        <v>19</v>
      </c>
      <c r="I1287" s="180">
        <f ca="1">COUNTIFS(Paste_Report_Here!$E$1:$E$2000,E1260, OFFSET(Paste_Report_Here!$A$1,0,$A1287,2000,1),I$75)</f>
        <v>7</v>
      </c>
      <c r="J1287" s="180">
        <f ca="1">COUNTIFS(Paste_Report_Here!$E$1:$E$2000,E1260, OFFSET(Paste_Report_Here!$A$1,0,$A1287,2000,1),J$75)</f>
        <v>0</v>
      </c>
      <c r="K1287" s="181">
        <f ca="1">COUNTIFS(Paste_Report_Here!$E$1:$E$2000,E1260, OFFSET(Paste_Report_Here!$A$1,0,$A1287,2000,1),K$75)</f>
        <v>0</v>
      </c>
      <c r="L1287" s="166">
        <f t="shared" ca="1" si="190"/>
        <v>28</v>
      </c>
      <c r="M1287" s="183">
        <f ca="1">SUMPRODUCT(F1287:K1287,F1264:K1264)/L:L</f>
        <v>0</v>
      </c>
      <c r="N1287" s="166">
        <f t="shared" ca="1" si="191"/>
        <v>1</v>
      </c>
      <c r="O1287" s="165">
        <f t="shared" ca="1" si="193"/>
        <v>2282.5907242008411</v>
      </c>
      <c r="P1287" s="165">
        <f t="shared" ca="1" si="192"/>
        <v>2282.5907242008411</v>
      </c>
    </row>
    <row r="1288" spans="1:16" s="165" customFormat="1" x14ac:dyDescent="0.3">
      <c r="A1288" s="165">
        <f>MATCH(Calcs!B1288,Paste_Report_Here!$1:$1,0) -1</f>
        <v>27</v>
      </c>
      <c r="B1288" s="165" t="s">
        <v>210</v>
      </c>
      <c r="C1288" s="166">
        <f ca="1">RANK(N1288,N1266:N1290)</f>
        <v>9</v>
      </c>
      <c r="D1288" s="166">
        <f ca="1">RANK(P1288,P1266:P1290)</f>
        <v>24</v>
      </c>
      <c r="E1288" s="202" t="s">
        <v>212</v>
      </c>
      <c r="F1288" s="179">
        <f ca="1">COUNTIFS(Paste_Report_Here!$E$1:$E$2000,E1260, OFFSET(Paste_Report_Here!$A$1,0,$A1288,2000,1),F$75)</f>
        <v>0</v>
      </c>
      <c r="G1288" s="180">
        <f ca="1">COUNTIFS(Paste_Report_Here!$E$1:$E$2000,E1260, OFFSET(Paste_Report_Here!$A$1,0,$A1288,2000,1),G$75)</f>
        <v>1</v>
      </c>
      <c r="H1288" s="180">
        <f ca="1">COUNTIFS(Paste_Report_Here!$E$1:$E$2000,E1260, OFFSET(Paste_Report_Here!$A$1,0,$A1288,2000,1),H$75)</f>
        <v>24</v>
      </c>
      <c r="I1288" s="180">
        <f ca="1">COUNTIFS(Paste_Report_Here!$E$1:$E$2000,E1260, OFFSET(Paste_Report_Here!$A$1,0,$A1288,2000,1),I$75)</f>
        <v>2</v>
      </c>
      <c r="J1288" s="180">
        <f ca="1">COUNTIFS(Paste_Report_Here!$E$1:$E$2000,E1260, OFFSET(Paste_Report_Here!$A$1,0,$A1288,2000,1),J$75)</f>
        <v>0</v>
      </c>
      <c r="K1288" s="181">
        <f ca="1">COUNTIFS(Paste_Report_Here!$E$1:$E$2000,E1260, OFFSET(Paste_Report_Here!$A$1,0,$A1288,2000,1),K$75)</f>
        <v>1</v>
      </c>
      <c r="L1288" s="166">
        <f t="shared" ca="1" si="190"/>
        <v>28</v>
      </c>
      <c r="M1288" s="183">
        <f ca="1">SUMPRODUCT(F1288:K1288,F1264:K1264)/L:L</f>
        <v>0</v>
      </c>
      <c r="N1288" s="166">
        <f t="shared" ca="1" si="191"/>
        <v>1</v>
      </c>
      <c r="O1288" s="165">
        <f t="shared" ca="1" si="193"/>
        <v>1154.1143942862559</v>
      </c>
      <c r="P1288" s="165">
        <f t="shared" ca="1" si="192"/>
        <v>1154.1143942862559</v>
      </c>
    </row>
    <row r="1289" spans="1:16" s="165" customFormat="1" x14ac:dyDescent="0.3">
      <c r="A1289" s="165">
        <f>MATCH(Calcs!B1289,Paste_Report_Here!$1:$1,0) -1</f>
        <v>28</v>
      </c>
      <c r="B1289" s="165" t="s">
        <v>143</v>
      </c>
      <c r="C1289" s="166">
        <f ca="1">RANK(N1289,N1267:N1291)</f>
        <v>2</v>
      </c>
      <c r="D1289" s="166">
        <f ca="1">RANK(P1289,P1266:P1290)</f>
        <v>1</v>
      </c>
      <c r="E1289" s="189" t="s">
        <v>172</v>
      </c>
      <c r="F1289" s="179">
        <f ca="1">COUNTIFS(Paste_Report_Here!$E$1:$E$2000,E1260, OFFSET(Paste_Report_Here!$A$1,0,$A1289,2000,1),F$75)</f>
        <v>0</v>
      </c>
      <c r="G1289" s="180">
        <f ca="1">COUNTIFS(Paste_Report_Here!$E$1:$E$2000,E1260, OFFSET(Paste_Report_Here!$A$1,0,$A1289,2000,1),G$75)</f>
        <v>0</v>
      </c>
      <c r="H1289" s="180">
        <f ca="1">COUNTIFS(Paste_Report_Here!$E$1:$E$2000,E1260, OFFSET(Paste_Report_Here!$A$1,0,$A1289,2000,1),H$75)</f>
        <v>22</v>
      </c>
      <c r="I1289" s="180">
        <f ca="1">COUNTIFS(Paste_Report_Here!$E$1:$E$2000,E1260, OFFSET(Paste_Report_Here!$A$1,0,$A1289,2000,1),I$75)</f>
        <v>4</v>
      </c>
      <c r="J1289" s="180">
        <f ca="1">COUNTIFS(Paste_Report_Here!$E$1:$E$2000,E1260, OFFSET(Paste_Report_Here!$A$1,0,$A1289,2000,1),J$75)</f>
        <v>1</v>
      </c>
      <c r="K1289" s="181">
        <f ca="1">COUNTIFS(Paste_Report_Here!$E$1:$E$2000,E1260, OFFSET(Paste_Report_Here!$A$1,0,$A1289,2000,1),K$75)</f>
        <v>1</v>
      </c>
      <c r="L1289" s="166">
        <f t="shared" ca="1" si="190"/>
        <v>28</v>
      </c>
      <c r="M1289" s="183">
        <f ca="1">SUMPRODUCT(F1289:K1289,F1264:K1264)/L:L</f>
        <v>7.1428571428571435E-3</v>
      </c>
      <c r="N1289" s="166">
        <f t="shared" ca="1" si="191"/>
        <v>1.0071684281941369</v>
      </c>
      <c r="O1289" s="165">
        <f t="shared" ca="1" si="193"/>
        <v>9039.9177255609411</v>
      </c>
      <c r="P1289" s="165">
        <f t="shared" ca="1" si="192"/>
        <v>9104.7197266575295</v>
      </c>
    </row>
    <row r="1290" spans="1:16" s="165" customFormat="1" x14ac:dyDescent="0.3">
      <c r="A1290" s="165">
        <f>MATCH(Calcs!B1290,Paste_Report_Here!$1:$1,0) -1</f>
        <v>29</v>
      </c>
      <c r="B1290" s="187" t="s">
        <v>144</v>
      </c>
      <c r="C1290" s="147">
        <f ca="1">RANK(N1290,N1266:N1290)</f>
        <v>9</v>
      </c>
      <c r="D1290" s="147">
        <f ca="1">RANK(P1290,P1266:P1290)</f>
        <v>11</v>
      </c>
      <c r="E1290" s="145" t="s">
        <v>173</v>
      </c>
      <c r="F1290" s="146">
        <f ca="1">COUNTIFS(Paste_Report_Here!$E$1:$E$2000,E1260, OFFSET(Paste_Report_Here!$A$1,0,$A1290,2000,1),F$75)</f>
        <v>0</v>
      </c>
      <c r="G1290" s="147">
        <f ca="1">COUNTIFS(Paste_Report_Here!$E$1:$E$2000,E1260, OFFSET(Paste_Report_Here!$A$1,0,$A1290,2000,1),G$75)</f>
        <v>0</v>
      </c>
      <c r="H1290" s="147">
        <f ca="1">COUNTIFS(Paste_Report_Here!$E$1:$E$2000,E1260, OFFSET(Paste_Report_Here!$A$1,0,$A1290,2000,1),H$75)</f>
        <v>25</v>
      </c>
      <c r="I1290" s="147">
        <f ca="1">COUNTIFS(Paste_Report_Here!$E$1:$E$2000,E1260, OFFSET(Paste_Report_Here!$A$1,0,$A1290,2000,1),I$75)</f>
        <v>3</v>
      </c>
      <c r="J1290" s="147">
        <f ca="1">COUNTIFS(Paste_Report_Here!$E$1:$E$2000,E1260, OFFSET(Paste_Report_Here!$A$1,0,$A1290,2000,1),J$75)</f>
        <v>0</v>
      </c>
      <c r="K1290" s="148">
        <f ca="1">COUNTIFS(Paste_Report_Here!$E$1:$E$2000,E1260, OFFSET(Paste_Report_Here!$A$1,0,$A1290,2000,1),K$75)</f>
        <v>0</v>
      </c>
      <c r="L1290" s="147">
        <f t="shared" ca="1" si="190"/>
        <v>28</v>
      </c>
      <c r="M1290" s="149">
        <f ca="1">SUMPRODUCT(F1290:K1290,F1264:K1264)/L:L</f>
        <v>0</v>
      </c>
      <c r="N1290" s="147">
        <f t="shared" ca="1" si="191"/>
        <v>1</v>
      </c>
      <c r="O1290" s="187">
        <f t="shared" ca="1" si="193"/>
        <v>2356.3755165824632</v>
      </c>
      <c r="P1290" s="165">
        <f t="shared" ca="1" si="192"/>
        <v>2356.3755165824632</v>
      </c>
    </row>
    <row r="1291" spans="1:16" s="165" customFormat="1" x14ac:dyDescent="0.3">
      <c r="C1291" s="166"/>
      <c r="E1291" s="140" t="s">
        <v>293</v>
      </c>
      <c r="F1291" s="180">
        <f ca="1">SUM(F1266:F1290)</f>
        <v>10</v>
      </c>
      <c r="G1291" s="180">
        <f t="shared" ref="G1291:L1291" ca="1" si="194">SUM(G1266:G1290)</f>
        <v>29</v>
      </c>
      <c r="H1291" s="180">
        <f t="shared" ca="1" si="194"/>
        <v>543</v>
      </c>
      <c r="I1291" s="180">
        <f t="shared" ca="1" si="194"/>
        <v>103</v>
      </c>
      <c r="J1291" s="180">
        <f t="shared" ca="1" si="194"/>
        <v>12</v>
      </c>
      <c r="K1291" s="180">
        <f t="shared" ca="1" si="194"/>
        <v>3</v>
      </c>
      <c r="L1291" s="180">
        <f t="shared" ca="1" si="194"/>
        <v>700</v>
      </c>
      <c r="M1291" s="144">
        <f ca="1">SUMPRODUCT(F1291:K1291,F1264:K1264)/L1291</f>
        <v>5.7142857142857191E-4</v>
      </c>
      <c r="N1291" s="166">
        <f t="shared" ca="1" si="191"/>
        <v>1.0005715918678373</v>
      </c>
      <c r="O1291" s="165">
        <f t="shared" ca="1" si="193"/>
        <v>2699.8312968573823</v>
      </c>
      <c r="P1291" s="165">
        <f t="shared" ca="1" si="192"/>
        <v>2701.3744984711984</v>
      </c>
    </row>
    <row r="1292" spans="1:16" s="165" customFormat="1" x14ac:dyDescent="0.3">
      <c r="A1292" s="194"/>
      <c r="B1292" s="194"/>
      <c r="C1292" s="153"/>
      <c r="D1292" s="194"/>
      <c r="E1292" s="164"/>
      <c r="F1292" s="151"/>
      <c r="G1292" s="151"/>
      <c r="H1292" s="151"/>
      <c r="I1292" s="151"/>
      <c r="J1292" s="151"/>
      <c r="K1292" s="151"/>
      <c r="L1292" s="151"/>
      <c r="M1292" s="162"/>
      <c r="N1292" s="153"/>
      <c r="O1292" s="194"/>
      <c r="P1292" s="194"/>
    </row>
    <row r="1293" spans="1:16" s="165" customFormat="1" x14ac:dyDescent="0.3">
      <c r="E1293" s="173" t="s">
        <v>292</v>
      </c>
    </row>
    <row r="1294" spans="1:16" s="165" customFormat="1" x14ac:dyDescent="0.3">
      <c r="E1294" s="141">
        <v>41697</v>
      </c>
    </row>
    <row r="1295" spans="1:16" s="165" customFormat="1" ht="15" thickBot="1" x14ac:dyDescent="0.35"/>
    <row r="1296" spans="1:16" s="165" customFormat="1" ht="24.6" thickBot="1" x14ac:dyDescent="0.35">
      <c r="F1296" s="174" t="s">
        <v>23</v>
      </c>
      <c r="G1296" s="168" t="s">
        <v>18</v>
      </c>
      <c r="H1296" s="168" t="s">
        <v>16</v>
      </c>
      <c r="I1296" s="168" t="s">
        <v>17</v>
      </c>
      <c r="J1296" s="168" t="s">
        <v>19</v>
      </c>
      <c r="K1296" s="169" t="s">
        <v>114</v>
      </c>
    </row>
    <row r="1297" spans="1:16" s="165" customFormat="1" x14ac:dyDescent="0.3">
      <c r="F1297" s="267" t="s">
        <v>201</v>
      </c>
      <c r="G1297" s="268"/>
      <c r="H1297" s="268"/>
      <c r="I1297" s="268"/>
      <c r="J1297" s="268"/>
      <c r="K1297" s="169"/>
      <c r="M1297" s="203">
        <f ca="1">(H1325+K1325)/L1325</f>
        <v>0.79359999999999997</v>
      </c>
      <c r="N1297" s="204" t="s">
        <v>501</v>
      </c>
    </row>
    <row r="1298" spans="1:16" s="165" customFormat="1" ht="43.8" thickBot="1" x14ac:dyDescent="0.35">
      <c r="A1298" s="142" t="s">
        <v>294</v>
      </c>
      <c r="B1298" s="142" t="s">
        <v>295</v>
      </c>
      <c r="C1298" s="197" t="s">
        <v>440</v>
      </c>
      <c r="D1298" s="142" t="s">
        <v>441</v>
      </c>
      <c r="E1298" s="171" t="s">
        <v>30</v>
      </c>
      <c r="F1298" s="175">
        <f>Falling_fast</f>
        <v>-0.2</v>
      </c>
      <c r="G1298" s="176">
        <f>Falling</f>
        <v>0</v>
      </c>
      <c r="H1298" s="177">
        <f>Static</f>
        <v>0</v>
      </c>
      <c r="I1298" s="176">
        <f>Rising</f>
        <v>0</v>
      </c>
      <c r="J1298" s="178">
        <f>Rising_fast</f>
        <v>0.2</v>
      </c>
      <c r="K1298" s="182">
        <v>0</v>
      </c>
      <c r="L1298" s="171" t="s">
        <v>28</v>
      </c>
      <c r="M1298" s="172" t="s">
        <v>29</v>
      </c>
      <c r="N1298" s="143" t="s">
        <v>296</v>
      </c>
      <c r="O1298" s="142" t="s">
        <v>297</v>
      </c>
      <c r="P1298" s="142" t="s">
        <v>298</v>
      </c>
    </row>
    <row r="1299" spans="1:16" s="165" customFormat="1" x14ac:dyDescent="0.3">
      <c r="C1299" s="166"/>
      <c r="E1299" s="192"/>
      <c r="F1299" s="198" t="s">
        <v>151</v>
      </c>
      <c r="G1299" s="199" t="s">
        <v>149</v>
      </c>
      <c r="H1299" s="199" t="s">
        <v>16</v>
      </c>
      <c r="I1299" s="199" t="s">
        <v>148</v>
      </c>
      <c r="J1299" s="199" t="s">
        <v>150</v>
      </c>
      <c r="K1299" s="200" t="s">
        <v>114</v>
      </c>
      <c r="L1299" s="166"/>
      <c r="M1299" s="170"/>
      <c r="N1299" s="166"/>
    </row>
    <row r="1300" spans="1:16" s="165" customFormat="1" x14ac:dyDescent="0.3">
      <c r="A1300" s="165">
        <f>MATCH(Calcs!B1300,Paste_Report_Here!$1:$1,0) -1</f>
        <v>5</v>
      </c>
      <c r="B1300" s="165" t="s">
        <v>124</v>
      </c>
      <c r="C1300" s="166">
        <f ca="1">RANK(N1300,N1300:N1324)</f>
        <v>8</v>
      </c>
      <c r="D1300" s="166">
        <f ca="1">RANK(P1300,P1300:P1324)</f>
        <v>17</v>
      </c>
      <c r="E1300" s="189" t="s">
        <v>152</v>
      </c>
      <c r="F1300" s="179">
        <f ca="1">COUNTIFS(Paste_Report_Here!$E$1:$E$2000,E1294, OFFSET(Paste_Report_Here!$A$1,0,$A1300,2000,1),F$75)</f>
        <v>0</v>
      </c>
      <c r="G1300" s="180">
        <f ca="1">COUNTIFS(Paste_Report_Here!$E$1:$E$2000,E1294, OFFSET(Paste_Report_Here!$A$1,0,$A1300,2000,1),G$75)</f>
        <v>5</v>
      </c>
      <c r="H1300" s="180">
        <f ca="1">COUNTIFS(Paste_Report_Here!$E$1:$E$2000,E1294, OFFSET(Paste_Report_Here!$A$1,0,$A1300,2000,1),H$75)</f>
        <v>17</v>
      </c>
      <c r="I1300" s="180">
        <f ca="1">COUNTIFS(Paste_Report_Here!$E$1:$E$2000,E1294, OFFSET(Paste_Report_Here!$A$1,0,$A1300,2000,1),I$75)</f>
        <v>3</v>
      </c>
      <c r="J1300" s="180">
        <f ca="1">COUNTIFS(Paste_Report_Here!$E$1:$E$2000,E1294, OFFSET(Paste_Report_Here!$A$1,0,$A1300,2000,1),J$75)</f>
        <v>0</v>
      </c>
      <c r="K1300" s="181">
        <f ca="1">COUNTIFS(Paste_Report_Here!$E$1:$E$2000,E1294, OFFSET(Paste_Report_Here!$A$1,0,$A1300,2000,1),K$75)</f>
        <v>0</v>
      </c>
      <c r="L1300" s="166">
        <f t="shared" ref="L1300:L1324" ca="1" si="195">SUM(F1300:K1300)</f>
        <v>25</v>
      </c>
      <c r="M1300" s="183">
        <f ca="1">SUMPRODUCT(F1300:K1300,F1298:K1298)/L:L</f>
        <v>0</v>
      </c>
      <c r="N1300" s="166">
        <f t="shared" ref="N1300:N1325" ca="1" si="196">EXP(M1300)</f>
        <v>1</v>
      </c>
      <c r="O1300" s="165">
        <f ca="1">P1266</f>
        <v>2051.8590237911217</v>
      </c>
      <c r="P1300" s="165">
        <f t="shared" ref="P1300:P1325" ca="1" si="197">O1300*N1300</f>
        <v>2051.8590237911217</v>
      </c>
    </row>
    <row r="1301" spans="1:16" s="165" customFormat="1" x14ac:dyDescent="0.3">
      <c r="A1301" s="165">
        <f>MATCH(Calcs!B1301,Paste_Report_Here!$1:$1,0) -1</f>
        <v>6</v>
      </c>
      <c r="B1301" s="165" t="s">
        <v>125</v>
      </c>
      <c r="C1301" s="166">
        <f ca="1">RANK(N1301,N1300:N1324)</f>
        <v>3</v>
      </c>
      <c r="D1301" s="166">
        <f ca="1">RANK(P1301,P1300:P1324)</f>
        <v>16</v>
      </c>
      <c r="E1301" s="189" t="s">
        <v>153</v>
      </c>
      <c r="F1301" s="179">
        <f ca="1">COUNTIFS(Paste_Report_Here!$E$1:$E$2000,E1294, OFFSET(Paste_Report_Here!$A$1,0,$A1301,2000,1),F$75)</f>
        <v>0</v>
      </c>
      <c r="G1301" s="180">
        <f ca="1">COUNTIFS(Paste_Report_Here!$E$1:$E$2000,E1294, OFFSET(Paste_Report_Here!$A$1,0,$A1301,2000,1),G$75)</f>
        <v>2</v>
      </c>
      <c r="H1301" s="180">
        <f ca="1">COUNTIFS(Paste_Report_Here!$E$1:$E$2000,E1294, OFFSET(Paste_Report_Here!$A$1,0,$A1301,2000,1),H$75)</f>
        <v>20</v>
      </c>
      <c r="I1301" s="180">
        <f ca="1">COUNTIFS(Paste_Report_Here!$E$1:$E$2000,E1294, OFFSET(Paste_Report_Here!$A$1,0,$A1301,2000,1),I$75)</f>
        <v>2</v>
      </c>
      <c r="J1301" s="180">
        <f ca="1">COUNTIFS(Paste_Report_Here!$E$1:$E$2000,E1294, OFFSET(Paste_Report_Here!$A$1,0,$A1301,2000,1),J$75)</f>
        <v>1</v>
      </c>
      <c r="K1301" s="181">
        <f ca="1">COUNTIFS(Paste_Report_Here!$E$1:$E$2000,E1294, OFFSET(Paste_Report_Here!$A$1,0,$A1301,2000,1),K$75)</f>
        <v>0</v>
      </c>
      <c r="L1301" s="166">
        <f t="shared" ca="1" si="195"/>
        <v>25</v>
      </c>
      <c r="M1301" s="183">
        <f ca="1">SUMPRODUCT(F1301:K1301,F1298:K1298)/L:L</f>
        <v>8.0000000000000002E-3</v>
      </c>
      <c r="N1301" s="166">
        <f t="shared" ca="1" si="196"/>
        <v>1.0080320855042735</v>
      </c>
      <c r="O1301" s="165">
        <f t="shared" ref="O1301:O1325" ca="1" si="198">P1267</f>
        <v>2053.0410820884144</v>
      </c>
      <c r="P1301" s="165">
        <f t="shared" ca="1" si="197"/>
        <v>2069.5312836035346</v>
      </c>
    </row>
    <row r="1302" spans="1:16" s="165" customFormat="1" x14ac:dyDescent="0.3">
      <c r="A1302" s="165">
        <f>MATCH(Calcs!B1302,Paste_Report_Here!$1:$1,0) -1</f>
        <v>7</v>
      </c>
      <c r="B1302" s="165" t="s">
        <v>126</v>
      </c>
      <c r="C1302" s="166">
        <f ca="1">RANK(N1302,N1300:N1324)</f>
        <v>8</v>
      </c>
      <c r="D1302" s="166">
        <f ca="1">RANK(P1302,P1300:P1324)</f>
        <v>8</v>
      </c>
      <c r="E1302" s="189" t="s">
        <v>154</v>
      </c>
      <c r="F1302" s="179">
        <f ca="1">COUNTIFS(Paste_Report_Here!$E$1:$E$2000,E1294, OFFSET(Paste_Report_Here!$A$1,0,$A1302,2000,1),F$75)</f>
        <v>0</v>
      </c>
      <c r="G1302" s="180">
        <f ca="1">COUNTIFS(Paste_Report_Here!$E$1:$E$2000,E1294, OFFSET(Paste_Report_Here!$A$1,0,$A1302,2000,1),G$75)</f>
        <v>5</v>
      </c>
      <c r="H1302" s="180">
        <f ca="1">COUNTIFS(Paste_Report_Here!$E$1:$E$2000,E1294, OFFSET(Paste_Report_Here!$A$1,0,$A1302,2000,1),H$75)</f>
        <v>18</v>
      </c>
      <c r="I1302" s="180">
        <f ca="1">COUNTIFS(Paste_Report_Here!$E$1:$E$2000,E1294, OFFSET(Paste_Report_Here!$A$1,0,$A1302,2000,1),I$75)</f>
        <v>2</v>
      </c>
      <c r="J1302" s="180">
        <f ca="1">COUNTIFS(Paste_Report_Here!$E$1:$E$2000,E1294, OFFSET(Paste_Report_Here!$A$1,0,$A1302,2000,1),J$75)</f>
        <v>0</v>
      </c>
      <c r="K1302" s="181">
        <f ca="1">COUNTIFS(Paste_Report_Here!$E$1:$E$2000,E1294, OFFSET(Paste_Report_Here!$A$1,0,$A1302,2000,1),K$75)</f>
        <v>0</v>
      </c>
      <c r="L1302" s="166">
        <f t="shared" ca="1" si="195"/>
        <v>25</v>
      </c>
      <c r="M1302" s="183">
        <f ca="1">SUMPRODUCT(F1302:K1302,F1298:K1298)/L:L</f>
        <v>0</v>
      </c>
      <c r="N1302" s="166">
        <f t="shared" ca="1" si="196"/>
        <v>1</v>
      </c>
      <c r="O1302" s="165">
        <f t="shared" ca="1" si="198"/>
        <v>2732.1768109426866</v>
      </c>
      <c r="P1302" s="165">
        <f t="shared" ca="1" si="197"/>
        <v>2732.1768109426866</v>
      </c>
    </row>
    <row r="1303" spans="1:16" s="165" customFormat="1" x14ac:dyDescent="0.3">
      <c r="A1303" s="165">
        <f>MATCH(Calcs!B1303,Paste_Report_Here!$1:$1,0) -1</f>
        <v>8</v>
      </c>
      <c r="B1303" s="165" t="s">
        <v>127</v>
      </c>
      <c r="C1303" s="166">
        <f ca="1">RANK(N1303,N1301:N1325)</f>
        <v>3</v>
      </c>
      <c r="D1303" s="166">
        <f ca="1">RANK(P1303,P1300:P1324)</f>
        <v>7</v>
      </c>
      <c r="E1303" s="189" t="s">
        <v>155</v>
      </c>
      <c r="F1303" s="179">
        <f ca="1">COUNTIFS(Paste_Report_Here!$E$1:$E$2000,E1294, OFFSET(Paste_Report_Here!$A$1,0,$A1303,2000,1),F$75)</f>
        <v>0</v>
      </c>
      <c r="G1303" s="180">
        <f ca="1">COUNTIFS(Paste_Report_Here!$E$1:$E$2000,E1294, OFFSET(Paste_Report_Here!$A$1,0,$A1303,2000,1),G$75)</f>
        <v>3</v>
      </c>
      <c r="H1303" s="180">
        <f ca="1">COUNTIFS(Paste_Report_Here!$E$1:$E$2000,E1294, OFFSET(Paste_Report_Here!$A$1,0,$A1303,2000,1),H$75)</f>
        <v>19</v>
      </c>
      <c r="I1303" s="180">
        <f ca="1">COUNTIFS(Paste_Report_Here!$E$1:$E$2000,E1294, OFFSET(Paste_Report_Here!$A$1,0,$A1303,2000,1),I$75)</f>
        <v>2</v>
      </c>
      <c r="J1303" s="180">
        <f ca="1">COUNTIFS(Paste_Report_Here!$E$1:$E$2000,E1294, OFFSET(Paste_Report_Here!$A$1,0,$A1303,2000,1),J$75)</f>
        <v>1</v>
      </c>
      <c r="K1303" s="181">
        <f ca="1">COUNTIFS(Paste_Report_Here!$E$1:$E$2000,E1294, OFFSET(Paste_Report_Here!$A$1,0,$A1303,2000,1),K$75)</f>
        <v>0</v>
      </c>
      <c r="L1303" s="166">
        <f t="shared" ca="1" si="195"/>
        <v>25</v>
      </c>
      <c r="M1303" s="183">
        <f ca="1">SUMPRODUCT(F1303:K1303,F1298:K1298)/L:L</f>
        <v>8.0000000000000002E-3</v>
      </c>
      <c r="N1303" s="166">
        <f t="shared" ca="1" si="196"/>
        <v>1.0080320855042735</v>
      </c>
      <c r="O1303" s="165">
        <f t="shared" ca="1" si="198"/>
        <v>2915.8606320534209</v>
      </c>
      <c r="P1303" s="165">
        <f t="shared" ca="1" si="197"/>
        <v>2939.2810739686188</v>
      </c>
    </row>
    <row r="1304" spans="1:16" s="165" customFormat="1" x14ac:dyDescent="0.3">
      <c r="A1304" s="165">
        <f>MATCH(Calcs!B1304,Paste_Report_Here!$1:$1,0) -1</f>
        <v>9</v>
      </c>
      <c r="B1304" s="165" t="s">
        <v>214</v>
      </c>
      <c r="C1304" s="166">
        <f ca="1">RANK(N1304,N1300:N1324)</f>
        <v>3</v>
      </c>
      <c r="D1304" s="166">
        <f ca="1">RANK(P1304,P1300:P1324)</f>
        <v>5</v>
      </c>
      <c r="E1304" s="189" t="s">
        <v>156</v>
      </c>
      <c r="F1304" s="179">
        <f ca="1">COUNTIFS(Paste_Report_Here!$E$1:$E$2000,E1294, OFFSET(Paste_Report_Here!$A$1,0,$A1304,2000,1),F$75)</f>
        <v>0</v>
      </c>
      <c r="G1304" s="180">
        <f ca="1">COUNTIFS(Paste_Report_Here!$E$1:$E$2000,E1294, OFFSET(Paste_Report_Here!$A$1,0,$A1304,2000,1),G$75)</f>
        <v>1</v>
      </c>
      <c r="H1304" s="180">
        <f ca="1">COUNTIFS(Paste_Report_Here!$E$1:$E$2000,E1294, OFFSET(Paste_Report_Here!$A$1,0,$A1304,2000,1),H$75)</f>
        <v>19</v>
      </c>
      <c r="I1304" s="180">
        <f ca="1">COUNTIFS(Paste_Report_Here!$E$1:$E$2000,E1294, OFFSET(Paste_Report_Here!$A$1,0,$A1304,2000,1),I$75)</f>
        <v>3</v>
      </c>
      <c r="J1304" s="180">
        <f ca="1">COUNTIFS(Paste_Report_Here!$E$1:$E$2000,E1294, OFFSET(Paste_Report_Here!$A$1,0,$A1304,2000,1),J$75)</f>
        <v>1</v>
      </c>
      <c r="K1304" s="181">
        <f ca="1">COUNTIFS(Paste_Report_Here!$E$1:$E$2000,E1294, OFFSET(Paste_Report_Here!$A$1,0,$A1304,2000,1),K$75)</f>
        <v>1</v>
      </c>
      <c r="L1304" s="166">
        <f t="shared" ca="1" si="195"/>
        <v>25</v>
      </c>
      <c r="M1304" s="183">
        <f ca="1">SUMPRODUCT(F1304:K1304,F1298:K1298)/L:L</f>
        <v>8.0000000000000002E-3</v>
      </c>
      <c r="N1304" s="166">
        <f t="shared" ca="1" si="196"/>
        <v>1.0080320855042735</v>
      </c>
      <c r="O1304" s="165">
        <f t="shared" ca="1" si="198"/>
        <v>3808.4395008035822</v>
      </c>
      <c r="P1304" s="165">
        <f t="shared" ca="1" si="197"/>
        <v>3839.029212511889</v>
      </c>
    </row>
    <row r="1305" spans="1:16" s="165" customFormat="1" x14ac:dyDescent="0.3">
      <c r="A1305" s="165">
        <f>MATCH(Calcs!B1305,Paste_Report_Here!$1:$1,0) -1</f>
        <v>10</v>
      </c>
      <c r="B1305" s="165" t="s">
        <v>128</v>
      </c>
      <c r="C1305" s="166">
        <f ca="1">RANK(N1305,N1300:N1324)</f>
        <v>3</v>
      </c>
      <c r="D1305" s="166">
        <f ca="1">RANK(P1305,P1300:P1324)</f>
        <v>21</v>
      </c>
      <c r="E1305" s="189" t="s">
        <v>157</v>
      </c>
      <c r="F1305" s="179">
        <f ca="1">COUNTIFS(Paste_Report_Here!$E$1:$E$2000,E1294, OFFSET(Paste_Report_Here!$A$1,0,$A1305,2000,1),F$75)</f>
        <v>0</v>
      </c>
      <c r="G1305" s="180">
        <f ca="1">COUNTIFS(Paste_Report_Here!$E$1:$E$2000,E1294, OFFSET(Paste_Report_Here!$A$1,0,$A1305,2000,1),G$75)</f>
        <v>2</v>
      </c>
      <c r="H1305" s="180">
        <f ca="1">COUNTIFS(Paste_Report_Here!$E$1:$E$2000,E1294, OFFSET(Paste_Report_Here!$A$1,0,$A1305,2000,1),H$75)</f>
        <v>20</v>
      </c>
      <c r="I1305" s="180">
        <f ca="1">COUNTIFS(Paste_Report_Here!$E$1:$E$2000,E1294, OFFSET(Paste_Report_Here!$A$1,0,$A1305,2000,1),I$75)</f>
        <v>2</v>
      </c>
      <c r="J1305" s="180">
        <f ca="1">COUNTIFS(Paste_Report_Here!$E$1:$E$2000,E1294, OFFSET(Paste_Report_Here!$A$1,0,$A1305,2000,1),J$75)</f>
        <v>1</v>
      </c>
      <c r="K1305" s="181">
        <f ca="1">COUNTIFS(Paste_Report_Here!$E$1:$E$2000,E1294, OFFSET(Paste_Report_Here!$A$1,0,$A1305,2000,1),K$75)</f>
        <v>0</v>
      </c>
      <c r="L1305" s="166">
        <f t="shared" ca="1" si="195"/>
        <v>25</v>
      </c>
      <c r="M1305" s="183">
        <f ca="1">SUMPRODUCT(F1305:K1305,F1298:K1298)/L:L</f>
        <v>8.0000000000000002E-3</v>
      </c>
      <c r="N1305" s="166">
        <f t="shared" ca="1" si="196"/>
        <v>1.0080320855042735</v>
      </c>
      <c r="O1305" s="165">
        <f t="shared" ca="1" si="198"/>
        <v>1627.8679465842358</v>
      </c>
      <c r="P1305" s="165">
        <f t="shared" ca="1" si="197"/>
        <v>1640.9431211208664</v>
      </c>
    </row>
    <row r="1306" spans="1:16" s="165" customFormat="1" x14ac:dyDescent="0.3">
      <c r="A1306" s="165">
        <f>MATCH(Calcs!B1306,Paste_Report_Here!$1:$1,0) -1</f>
        <v>11</v>
      </c>
      <c r="B1306" s="165" t="s">
        <v>129</v>
      </c>
      <c r="C1306" s="166">
        <f ca="1">RANK(N1306,N1300:N1324)</f>
        <v>8</v>
      </c>
      <c r="D1306" s="166">
        <f ca="1">RANK(P1306,P1300:P1324)</f>
        <v>9</v>
      </c>
      <c r="E1306" s="189" t="s">
        <v>158</v>
      </c>
      <c r="F1306" s="179">
        <f ca="1">COUNTIFS(Paste_Report_Here!$E$1:$E$2000,E1294, OFFSET(Paste_Report_Here!$A$1,0,$A1306,2000,1),F$75)</f>
        <v>0</v>
      </c>
      <c r="G1306" s="180">
        <f ca="1">COUNTIFS(Paste_Report_Here!$E$1:$E$2000,E1294, OFFSET(Paste_Report_Here!$A$1,0,$A1306,2000,1),G$75)</f>
        <v>2</v>
      </c>
      <c r="H1306" s="180">
        <f ca="1">COUNTIFS(Paste_Report_Here!$E$1:$E$2000,E1294, OFFSET(Paste_Report_Here!$A$1,0,$A1306,2000,1),H$75)</f>
        <v>21</v>
      </c>
      <c r="I1306" s="180">
        <f ca="1">COUNTIFS(Paste_Report_Here!$E$1:$E$2000,E1294, OFFSET(Paste_Report_Here!$A$1,0,$A1306,2000,1),I$75)</f>
        <v>2</v>
      </c>
      <c r="J1306" s="180">
        <f ca="1">COUNTIFS(Paste_Report_Here!$E$1:$E$2000,E1294, OFFSET(Paste_Report_Here!$A$1,0,$A1306,2000,1),J$75)</f>
        <v>0</v>
      </c>
      <c r="K1306" s="181">
        <f ca="1">COUNTIFS(Paste_Report_Here!$E$1:$E$2000,E1294, OFFSET(Paste_Report_Here!$A$1,0,$A1306,2000,1),K$75)</f>
        <v>0</v>
      </c>
      <c r="L1306" s="166">
        <f t="shared" ca="1" si="195"/>
        <v>25</v>
      </c>
      <c r="M1306" s="183">
        <f ca="1">SUMPRODUCT(F1306:K1306,F1298:K1298)/L:L</f>
        <v>0</v>
      </c>
      <c r="N1306" s="166">
        <f t="shared" ca="1" si="196"/>
        <v>1</v>
      </c>
      <c r="O1306" s="165">
        <f t="shared" ca="1" si="198"/>
        <v>2583.9520515205095</v>
      </c>
      <c r="P1306" s="165">
        <f t="shared" ca="1" si="197"/>
        <v>2583.9520515205095</v>
      </c>
    </row>
    <row r="1307" spans="1:16" s="165" customFormat="1" x14ac:dyDescent="0.3">
      <c r="A1307" s="165">
        <f>MATCH(Calcs!B1307,Paste_Report_Here!$1:$1,0) -1</f>
        <v>12</v>
      </c>
      <c r="B1307" s="165" t="s">
        <v>130</v>
      </c>
      <c r="C1307" s="166">
        <f ca="1">RANK(N1307,N1301:N1325)</f>
        <v>9</v>
      </c>
      <c r="D1307" s="166">
        <f ca="1">RANK(P1307,P1300:P1324)</f>
        <v>10</v>
      </c>
      <c r="E1307" s="189" t="s">
        <v>159</v>
      </c>
      <c r="F1307" s="179">
        <f ca="1">COUNTIFS(Paste_Report_Here!$E$1:$E$2000,E1294, OFFSET(Paste_Report_Here!$A$1,0,$A1307,2000,1),F$75)</f>
        <v>0</v>
      </c>
      <c r="G1307" s="180">
        <f ca="1">COUNTIFS(Paste_Report_Here!$E$1:$E$2000,E1294, OFFSET(Paste_Report_Here!$A$1,0,$A1307,2000,1),G$75)</f>
        <v>1</v>
      </c>
      <c r="H1307" s="180">
        <f ca="1">COUNTIFS(Paste_Report_Here!$E$1:$E$2000,E1294, OFFSET(Paste_Report_Here!$A$1,0,$A1307,2000,1),H$75)</f>
        <v>19</v>
      </c>
      <c r="I1307" s="180">
        <f ca="1">COUNTIFS(Paste_Report_Here!$E$1:$E$2000,E1294, OFFSET(Paste_Report_Here!$A$1,0,$A1307,2000,1),I$75)</f>
        <v>5</v>
      </c>
      <c r="J1307" s="180">
        <f ca="1">COUNTIFS(Paste_Report_Here!$E$1:$E$2000,E1294, OFFSET(Paste_Report_Here!$A$1,0,$A1307,2000,1),J$75)</f>
        <v>0</v>
      </c>
      <c r="K1307" s="181">
        <f ca="1">COUNTIFS(Paste_Report_Here!$E$1:$E$2000,E1294, OFFSET(Paste_Report_Here!$A$1,0,$A1307,2000,1),K$75)</f>
        <v>0</v>
      </c>
      <c r="L1307" s="166">
        <f t="shared" ca="1" si="195"/>
        <v>25</v>
      </c>
      <c r="M1307" s="183">
        <f ca="1">SUMPRODUCT(F1307:K1307,F1298:K1298)/L:L</f>
        <v>0</v>
      </c>
      <c r="N1307" s="166">
        <f t="shared" ca="1" si="196"/>
        <v>1</v>
      </c>
      <c r="O1307" s="165">
        <f t="shared" ca="1" si="198"/>
        <v>2569.3128647252079</v>
      </c>
      <c r="P1307" s="165">
        <f t="shared" ca="1" si="197"/>
        <v>2569.3128647252079</v>
      </c>
    </row>
    <row r="1308" spans="1:16" s="165" customFormat="1" x14ac:dyDescent="0.3">
      <c r="A1308" s="165">
        <f>MATCH(Calcs!B1308,Paste_Report_Here!$1:$1,0) -1</f>
        <v>13</v>
      </c>
      <c r="B1308" s="165" t="s">
        <v>131</v>
      </c>
      <c r="C1308" s="166">
        <f ca="1">RANK(N1308,N1302:N1326)</f>
        <v>1</v>
      </c>
      <c r="D1308" s="166">
        <f ca="1">RANK(P1308,P1300:P1324)</f>
        <v>2</v>
      </c>
      <c r="E1308" s="189" t="s">
        <v>160</v>
      </c>
      <c r="F1308" s="179">
        <f ca="1">COUNTIFS(Paste_Report_Here!$E$1:$E$2000,E1294, OFFSET(Paste_Report_Here!$A$1,0,$A1308,2000,1),F$75)</f>
        <v>0</v>
      </c>
      <c r="G1308" s="180">
        <f ca="1">COUNTIFS(Paste_Report_Here!$E$1:$E$2000,E1294, OFFSET(Paste_Report_Here!$A$1,0,$A1308,2000,1),G$75)</f>
        <v>0</v>
      </c>
      <c r="H1308" s="180">
        <f ca="1">COUNTIFS(Paste_Report_Here!$E$1:$E$2000,E1294, OFFSET(Paste_Report_Here!$A$1,0,$A1308,2000,1),H$75)</f>
        <v>21</v>
      </c>
      <c r="I1308" s="180">
        <f ca="1">COUNTIFS(Paste_Report_Here!$E$1:$E$2000,E1294, OFFSET(Paste_Report_Here!$A$1,0,$A1308,2000,1),I$75)</f>
        <v>2</v>
      </c>
      <c r="J1308" s="180">
        <f ca="1">COUNTIFS(Paste_Report_Here!$E$1:$E$2000,E1294, OFFSET(Paste_Report_Here!$A$1,0,$A1308,2000,1),J$75)</f>
        <v>2</v>
      </c>
      <c r="K1308" s="181">
        <f ca="1">COUNTIFS(Paste_Report_Here!$E$1:$E$2000,E1294, OFFSET(Paste_Report_Here!$A$1,0,$A1308,2000,1),K$75)</f>
        <v>0</v>
      </c>
      <c r="L1308" s="166">
        <f t="shared" ca="1" si="195"/>
        <v>25</v>
      </c>
      <c r="M1308" s="183">
        <f ca="1">SUMPRODUCT(F1308:K1308,F1298:K1298)/L:L</f>
        <v>1.6E-2</v>
      </c>
      <c r="N1308" s="166">
        <f t="shared" ca="1" si="196"/>
        <v>1.0161286854060949</v>
      </c>
      <c r="O1308" s="165">
        <f t="shared" ca="1" si="198"/>
        <v>4437.4120527150017</v>
      </c>
      <c r="P1308" s="165">
        <f t="shared" ca="1" si="197"/>
        <v>4508.9816757304561</v>
      </c>
    </row>
    <row r="1309" spans="1:16" s="165" customFormat="1" x14ac:dyDescent="0.3">
      <c r="A1309" s="165">
        <f>MATCH(Calcs!B1309,Paste_Report_Here!$1:$1,0) -1</f>
        <v>14</v>
      </c>
      <c r="B1309" s="165" t="s">
        <v>132</v>
      </c>
      <c r="C1309" s="166">
        <f ca="1">RANK(N1309,N1303:N1327)</f>
        <v>1</v>
      </c>
      <c r="D1309" s="166">
        <f ca="1">RANK(P1309,P1300:P1324)</f>
        <v>15</v>
      </c>
      <c r="E1309" s="189" t="s">
        <v>161</v>
      </c>
      <c r="F1309" s="179">
        <f ca="1">COUNTIFS(Paste_Report_Here!$E$1:$E$2000,E1294, OFFSET(Paste_Report_Here!$A$1,0,$A1309,2000,1),F$75)</f>
        <v>0</v>
      </c>
      <c r="G1309" s="180">
        <f ca="1">COUNTIFS(Paste_Report_Here!$E$1:$E$2000,E1294, OFFSET(Paste_Report_Here!$A$1,0,$A1309,2000,1),G$75)</f>
        <v>1</v>
      </c>
      <c r="H1309" s="180">
        <f ca="1">COUNTIFS(Paste_Report_Here!$E$1:$E$2000,E1294, OFFSET(Paste_Report_Here!$A$1,0,$A1309,2000,1),H$75)</f>
        <v>20</v>
      </c>
      <c r="I1309" s="180">
        <f ca="1">COUNTIFS(Paste_Report_Here!$E$1:$E$2000,E1294, OFFSET(Paste_Report_Here!$A$1,0,$A1309,2000,1),I$75)</f>
        <v>2</v>
      </c>
      <c r="J1309" s="180">
        <f ca="1">COUNTIFS(Paste_Report_Here!$E$1:$E$2000,E1294, OFFSET(Paste_Report_Here!$A$1,0,$A1309,2000,1),J$75)</f>
        <v>2</v>
      </c>
      <c r="K1309" s="181">
        <f ca="1">COUNTIFS(Paste_Report_Here!$E$1:$E$2000,E1294, OFFSET(Paste_Report_Here!$A$1,0,$A1309,2000,1),K$75)</f>
        <v>0</v>
      </c>
      <c r="L1309" s="166">
        <f t="shared" ca="1" si="195"/>
        <v>25</v>
      </c>
      <c r="M1309" s="183">
        <f ca="1">SUMPRODUCT(F1309:K1309,F1298:K1298)/L:L</f>
        <v>1.6E-2</v>
      </c>
      <c r="N1309" s="166">
        <f t="shared" ca="1" si="196"/>
        <v>1.0161286854060949</v>
      </c>
      <c r="O1309" s="165">
        <f t="shared" ca="1" si="198"/>
        <v>2052.567604412995</v>
      </c>
      <c r="P1309" s="165">
        <f t="shared" ca="1" si="197"/>
        <v>2085.6728215793141</v>
      </c>
    </row>
    <row r="1310" spans="1:16" s="165" customFormat="1" x14ac:dyDescent="0.3">
      <c r="A1310" s="165">
        <f>MATCH(Calcs!B1310,Paste_Report_Here!$1:$1,0) -1</f>
        <v>15</v>
      </c>
      <c r="B1310" s="165" t="s">
        <v>133</v>
      </c>
      <c r="C1310" s="166">
        <f ca="1">RANK(N1310,N1299:N1323)</f>
        <v>8</v>
      </c>
      <c r="D1310" s="166">
        <f ca="1">RANK(P1310,P1300:P1324)</f>
        <v>6</v>
      </c>
      <c r="E1310" s="189" t="s">
        <v>162</v>
      </c>
      <c r="F1310" s="179">
        <f ca="1">COUNTIFS(Paste_Report_Here!$E$1:$E$2000,E1294, OFFSET(Paste_Report_Here!$A$1,0,$A1310,2000,1),F$75)</f>
        <v>0</v>
      </c>
      <c r="G1310" s="180">
        <f ca="1">COUNTIFS(Paste_Report_Here!$E$1:$E$2000,E1294, OFFSET(Paste_Report_Here!$A$1,0,$A1310,2000,1),G$75)</f>
        <v>0</v>
      </c>
      <c r="H1310" s="180">
        <f ca="1">COUNTIFS(Paste_Report_Here!$E$1:$E$2000,E1294, OFFSET(Paste_Report_Here!$A$1,0,$A1310,2000,1),H$75)</f>
        <v>19</v>
      </c>
      <c r="I1310" s="180">
        <f ca="1">COUNTIFS(Paste_Report_Here!$E$1:$E$2000,E1294, OFFSET(Paste_Report_Here!$A$1,0,$A1310,2000,1),I$75)</f>
        <v>6</v>
      </c>
      <c r="J1310" s="180">
        <f ca="1">COUNTIFS(Paste_Report_Here!$E$1:$E$2000,E1294, OFFSET(Paste_Report_Here!$A$1,0,$A1310,2000,1),J$75)</f>
        <v>0</v>
      </c>
      <c r="K1310" s="181">
        <f ca="1">COUNTIFS(Paste_Report_Here!$E$1:$E$2000,E1294, OFFSET(Paste_Report_Here!$A$1,0,$A1310,2000,1),K$75)</f>
        <v>0</v>
      </c>
      <c r="L1310" s="166">
        <f t="shared" ca="1" si="195"/>
        <v>25</v>
      </c>
      <c r="M1310" s="183">
        <f ca="1">SUMPRODUCT(F1310:K1310,F1298:K1298)/L:L</f>
        <v>0</v>
      </c>
      <c r="N1310" s="166">
        <f t="shared" ca="1" si="196"/>
        <v>1</v>
      </c>
      <c r="O1310" s="165">
        <f t="shared" ca="1" si="198"/>
        <v>3020.0682289270985</v>
      </c>
      <c r="P1310" s="165">
        <f t="shared" ca="1" si="197"/>
        <v>3020.0682289270985</v>
      </c>
    </row>
    <row r="1311" spans="1:16" s="165" customFormat="1" x14ac:dyDescent="0.3">
      <c r="A1311" s="165">
        <f>MATCH(Calcs!B1311,Paste_Report_Here!$1:$1,0) -1</f>
        <v>16</v>
      </c>
      <c r="B1311" s="165" t="s">
        <v>134</v>
      </c>
      <c r="C1311" s="166">
        <f ca="1">RANK(N1311,N1300:N1324)</f>
        <v>8</v>
      </c>
      <c r="D1311" s="166">
        <f ca="1">RANK(P1311,P1300:P1324)</f>
        <v>25</v>
      </c>
      <c r="E1311" s="189" t="s">
        <v>163</v>
      </c>
      <c r="F1311" s="179">
        <f ca="1">COUNTIFS(Paste_Report_Here!$E$1:$E$2000,E1294, OFFSET(Paste_Report_Here!$A$1,0,$A1311,2000,1),F$75)</f>
        <v>0</v>
      </c>
      <c r="G1311" s="180">
        <f ca="1">COUNTIFS(Paste_Report_Here!$E$1:$E$2000,E1294, OFFSET(Paste_Report_Here!$A$1,0,$A1311,2000,1),G$75)</f>
        <v>1</v>
      </c>
      <c r="H1311" s="180">
        <f ca="1">COUNTIFS(Paste_Report_Here!$E$1:$E$2000,E1294, OFFSET(Paste_Report_Here!$A$1,0,$A1311,2000,1),H$75)</f>
        <v>21</v>
      </c>
      <c r="I1311" s="180">
        <f ca="1">COUNTIFS(Paste_Report_Here!$E$1:$E$2000,E1294, OFFSET(Paste_Report_Here!$A$1,0,$A1311,2000,1),I$75)</f>
        <v>3</v>
      </c>
      <c r="J1311" s="180">
        <f ca="1">COUNTIFS(Paste_Report_Here!$E$1:$E$2000,E1294, OFFSET(Paste_Report_Here!$A$1,0,$A1311,2000,1),J$75)</f>
        <v>0</v>
      </c>
      <c r="K1311" s="181">
        <f ca="1">COUNTIFS(Paste_Report_Here!$E$1:$E$2000,E1294, OFFSET(Paste_Report_Here!$A$1,0,$A1311,2000,1),K$75)</f>
        <v>0</v>
      </c>
      <c r="L1311" s="166">
        <f t="shared" ca="1" si="195"/>
        <v>25</v>
      </c>
      <c r="M1311" s="183">
        <f ca="1">SUMPRODUCT(F1311:K1311,F1298:K1298)/L:L</f>
        <v>0</v>
      </c>
      <c r="N1311" s="166">
        <f t="shared" ca="1" si="196"/>
        <v>1</v>
      </c>
      <c r="O1311" s="165">
        <f t="shared" ca="1" si="198"/>
        <v>1135.6473710751907</v>
      </c>
      <c r="P1311" s="165">
        <f t="shared" ca="1" si="197"/>
        <v>1135.6473710751907</v>
      </c>
    </row>
    <row r="1312" spans="1:16" s="165" customFormat="1" x14ac:dyDescent="0.3">
      <c r="A1312" s="165">
        <f>MATCH(Calcs!B1312,Paste_Report_Here!$1:$1,0) -1</f>
        <v>17</v>
      </c>
      <c r="B1312" s="165" t="s">
        <v>135</v>
      </c>
      <c r="C1312" s="166">
        <f ca="1">RANK(N1312,N1300:N1324)</f>
        <v>8</v>
      </c>
      <c r="D1312" s="166">
        <f ca="1">RANK(P1312,P1300:P1324)</f>
        <v>20</v>
      </c>
      <c r="E1312" s="189" t="s">
        <v>164</v>
      </c>
      <c r="F1312" s="179">
        <f ca="1">COUNTIFS(Paste_Report_Here!$E$1:$E$2000,E1294, OFFSET(Paste_Report_Here!$A$1,0,$A1312,2000,1),F$75)</f>
        <v>1</v>
      </c>
      <c r="G1312" s="180">
        <f ca="1">COUNTIFS(Paste_Report_Here!$E$1:$E$2000,E1294, OFFSET(Paste_Report_Here!$A$1,0,$A1312,2000,1),G$75)</f>
        <v>1</v>
      </c>
      <c r="H1312" s="180">
        <f ca="1">COUNTIFS(Paste_Report_Here!$E$1:$E$2000,E1294, OFFSET(Paste_Report_Here!$A$1,0,$A1312,2000,1),H$75)</f>
        <v>20</v>
      </c>
      <c r="I1312" s="180">
        <f ca="1">COUNTIFS(Paste_Report_Here!$E$1:$E$2000,E1294, OFFSET(Paste_Report_Here!$A$1,0,$A1312,2000,1),I$75)</f>
        <v>2</v>
      </c>
      <c r="J1312" s="180">
        <f ca="1">COUNTIFS(Paste_Report_Here!$E$1:$E$2000,E1294, OFFSET(Paste_Report_Here!$A$1,0,$A1312,2000,1),J$75)</f>
        <v>1</v>
      </c>
      <c r="K1312" s="181">
        <f ca="1">COUNTIFS(Paste_Report_Here!$E$1:$E$2000,E1294, OFFSET(Paste_Report_Here!$A$1,0,$A1312,2000,1),K$75)</f>
        <v>0</v>
      </c>
      <c r="L1312" s="166">
        <f t="shared" ca="1" si="195"/>
        <v>25</v>
      </c>
      <c r="M1312" s="183">
        <f ca="1">SUMPRODUCT(F1312:K1312,F1298:K1298)/L:L</f>
        <v>0</v>
      </c>
      <c r="N1312" s="166">
        <f t="shared" ca="1" si="196"/>
        <v>1</v>
      </c>
      <c r="O1312" s="165">
        <f t="shared" ca="1" si="198"/>
        <v>1867.2571177961681</v>
      </c>
      <c r="P1312" s="165">
        <f t="shared" ca="1" si="197"/>
        <v>1867.2571177961681</v>
      </c>
    </row>
    <row r="1313" spans="1:16" s="165" customFormat="1" x14ac:dyDescent="0.3">
      <c r="A1313" s="165">
        <f>MATCH(Calcs!B1313,Paste_Report_Here!$1:$1,0) -1</f>
        <v>18</v>
      </c>
      <c r="B1313" s="165" t="s">
        <v>136</v>
      </c>
      <c r="C1313" s="166">
        <f ca="1">RANK(N1313,N1302:N1326)</f>
        <v>8</v>
      </c>
      <c r="D1313" s="166">
        <f ca="1">RANK(P1313,P1300:P1324)</f>
        <v>4</v>
      </c>
      <c r="E1313" s="189" t="s">
        <v>165</v>
      </c>
      <c r="F1313" s="179">
        <f ca="1">COUNTIFS(Paste_Report_Here!$E$1:$E$2000,E1294, OFFSET(Paste_Report_Here!$A$1,0,$A1313,2000,1),F$75)</f>
        <v>1</v>
      </c>
      <c r="G1313" s="180">
        <f ca="1">COUNTIFS(Paste_Report_Here!$E$1:$E$2000,E1294, OFFSET(Paste_Report_Here!$A$1,0,$A1313,2000,1),G$75)</f>
        <v>2</v>
      </c>
      <c r="H1313" s="180">
        <f ca="1">COUNTIFS(Paste_Report_Here!$E$1:$E$2000,E1294, OFFSET(Paste_Report_Here!$A$1,0,$A1313,2000,1),H$75)</f>
        <v>18</v>
      </c>
      <c r="I1313" s="180">
        <f ca="1">COUNTIFS(Paste_Report_Here!$E$1:$E$2000,E1294, OFFSET(Paste_Report_Here!$A$1,0,$A1313,2000,1),I$75)</f>
        <v>3</v>
      </c>
      <c r="J1313" s="180">
        <f ca="1">COUNTIFS(Paste_Report_Here!$E$1:$E$2000,E1294, OFFSET(Paste_Report_Here!$A$1,0,$A1313,2000,1),J$75)</f>
        <v>1</v>
      </c>
      <c r="K1313" s="181">
        <f ca="1">COUNTIFS(Paste_Report_Here!$E$1:$E$2000,E1294, OFFSET(Paste_Report_Here!$A$1,0,$A1313,2000,1),K$75)</f>
        <v>0</v>
      </c>
      <c r="L1313" s="166">
        <f t="shared" ca="1" si="195"/>
        <v>25</v>
      </c>
      <c r="M1313" s="183">
        <f ca="1">SUMPRODUCT(F1313:K1313,F1298:K1298)/L:L</f>
        <v>0</v>
      </c>
      <c r="N1313" s="166">
        <f t="shared" ca="1" si="196"/>
        <v>1</v>
      </c>
      <c r="O1313" s="165">
        <f t="shared" ca="1" si="198"/>
        <v>4063.3261268180454</v>
      </c>
      <c r="P1313" s="165">
        <f t="shared" ca="1" si="197"/>
        <v>4063.3261268180454</v>
      </c>
    </row>
    <row r="1314" spans="1:16" s="165" customFormat="1" x14ac:dyDescent="0.3">
      <c r="A1314" s="165">
        <f>MATCH(Calcs!B1314,Paste_Report_Here!$1:$1,0) -1</f>
        <v>19</v>
      </c>
      <c r="B1314" s="165" t="s">
        <v>137</v>
      </c>
      <c r="C1314" s="166">
        <f ca="1">RANK(N1314,N1303:N1327)</f>
        <v>17</v>
      </c>
      <c r="D1314" s="166">
        <f ca="1">RANK(P1314,P1300:P1324)</f>
        <v>13</v>
      </c>
      <c r="E1314" s="189" t="s">
        <v>166</v>
      </c>
      <c r="F1314" s="179">
        <f ca="1">COUNTIFS(Paste_Report_Here!$E$1:$E$2000,E1294, OFFSET(Paste_Report_Here!$A$1,0,$A1314,2000,1),F$75)</f>
        <v>1</v>
      </c>
      <c r="G1314" s="180">
        <f ca="1">COUNTIFS(Paste_Report_Here!$E$1:$E$2000,E1294, OFFSET(Paste_Report_Here!$A$1,0,$A1314,2000,1),G$75)</f>
        <v>0</v>
      </c>
      <c r="H1314" s="180">
        <f ca="1">COUNTIFS(Paste_Report_Here!$E$1:$E$2000,E1294, OFFSET(Paste_Report_Here!$A$1,0,$A1314,2000,1),H$75)</f>
        <v>21</v>
      </c>
      <c r="I1314" s="180">
        <f ca="1">COUNTIFS(Paste_Report_Here!$E$1:$E$2000,E1294, OFFSET(Paste_Report_Here!$A$1,0,$A1314,2000,1),I$75)</f>
        <v>3</v>
      </c>
      <c r="J1314" s="180">
        <f ca="1">COUNTIFS(Paste_Report_Here!$E$1:$E$2000,E1294, OFFSET(Paste_Report_Here!$A$1,0,$A1314,2000,1),J$75)</f>
        <v>0</v>
      </c>
      <c r="K1314" s="181">
        <f ca="1">COUNTIFS(Paste_Report_Here!$E$1:$E$2000,E1294, OFFSET(Paste_Report_Here!$A$1,0,$A1314,2000,1),K$75)</f>
        <v>0</v>
      </c>
      <c r="L1314" s="166">
        <f t="shared" ca="1" si="195"/>
        <v>25</v>
      </c>
      <c r="M1314" s="183">
        <f ca="1">SUMPRODUCT(F1314:K1314,F1298:K1298)/L:L</f>
        <v>-8.0000000000000002E-3</v>
      </c>
      <c r="N1314" s="166">
        <f t="shared" ca="1" si="196"/>
        <v>0.99203191483706066</v>
      </c>
      <c r="O1314" s="165">
        <f t="shared" ca="1" si="198"/>
        <v>2213.4745509539262</v>
      </c>
      <c r="P1314" s="165">
        <f t="shared" ca="1" si="197"/>
        <v>2195.8373972259265</v>
      </c>
    </row>
    <row r="1315" spans="1:16" s="165" customFormat="1" x14ac:dyDescent="0.3">
      <c r="A1315" s="165">
        <f>MATCH(Calcs!B1315,Paste_Report_Here!$1:$1,0) -1</f>
        <v>20</v>
      </c>
      <c r="B1315" s="165" t="s">
        <v>138</v>
      </c>
      <c r="C1315" s="166">
        <f ca="1">RANK(N1315,N1301:N1325)</f>
        <v>19</v>
      </c>
      <c r="D1315" s="166">
        <f ca="1">RANK(P1315,P1300:P1324)</f>
        <v>19</v>
      </c>
      <c r="E1315" s="189" t="s">
        <v>167</v>
      </c>
      <c r="F1315" s="179">
        <f ca="1">COUNTIFS(Paste_Report_Here!$E$1:$E$2000,E1294, OFFSET(Paste_Report_Here!$A$1,0,$A1315,2000,1),F$75)</f>
        <v>1</v>
      </c>
      <c r="G1315" s="180">
        <f ca="1">COUNTIFS(Paste_Report_Here!$E$1:$E$2000,E1294, OFFSET(Paste_Report_Here!$A$1,0,$A1315,2000,1),G$75)</f>
        <v>1</v>
      </c>
      <c r="H1315" s="180">
        <f ca="1">COUNTIFS(Paste_Report_Here!$E$1:$E$2000,E1294, OFFSET(Paste_Report_Here!$A$1,0,$A1315,2000,1),H$75)</f>
        <v>19</v>
      </c>
      <c r="I1315" s="180">
        <f ca="1">COUNTIFS(Paste_Report_Here!$E$1:$E$2000,E1294, OFFSET(Paste_Report_Here!$A$1,0,$A1315,2000,1),I$75)</f>
        <v>4</v>
      </c>
      <c r="J1315" s="180">
        <f ca="1">COUNTIFS(Paste_Report_Here!$E$1:$E$2000,E1294, OFFSET(Paste_Report_Here!$A$1,0,$A1315,2000,1),J$75)</f>
        <v>0</v>
      </c>
      <c r="K1315" s="181">
        <f ca="1">COUNTIFS(Paste_Report_Here!$E$1:$E$2000,E1294, OFFSET(Paste_Report_Here!$A$1,0,$A1315,2000,1),K$75)</f>
        <v>0</v>
      </c>
      <c r="L1315" s="166">
        <f t="shared" ca="1" si="195"/>
        <v>25</v>
      </c>
      <c r="M1315" s="183">
        <f ca="1">SUMPRODUCT(F1315:K1315,F1298:K1298)/L:L</f>
        <v>-8.0000000000000002E-3</v>
      </c>
      <c r="N1315" s="166">
        <f t="shared" ca="1" si="196"/>
        <v>0.99203191483706066</v>
      </c>
      <c r="O1315" s="165">
        <f t="shared" ca="1" si="198"/>
        <v>1944.3596115640585</v>
      </c>
      <c r="P1315" s="165">
        <f t="shared" ca="1" si="197"/>
        <v>1928.8667885917364</v>
      </c>
    </row>
    <row r="1316" spans="1:16" s="165" customFormat="1" x14ac:dyDescent="0.3">
      <c r="A1316" s="165">
        <f>MATCH(Calcs!B1316,Paste_Report_Here!$1:$1,0) -1</f>
        <v>21</v>
      </c>
      <c r="B1316" s="165" t="s">
        <v>139</v>
      </c>
      <c r="C1316" s="166">
        <f ca="1">RANK(N1316,N1300:N1324)</f>
        <v>19</v>
      </c>
      <c r="D1316" s="166">
        <f ca="1">RANK(P1316,P1300:P1324)</f>
        <v>18</v>
      </c>
      <c r="E1316" s="189" t="s">
        <v>168</v>
      </c>
      <c r="F1316" s="179">
        <f ca="1">COUNTIFS(Paste_Report_Here!$E$1:$E$2000,E1294, OFFSET(Paste_Report_Here!$A$1,0,$A1316,2000,1),F$75)</f>
        <v>1</v>
      </c>
      <c r="G1316" s="180">
        <f ca="1">COUNTIFS(Paste_Report_Here!$E$1:$E$2000,E1294, OFFSET(Paste_Report_Here!$A$1,0,$A1316,2000,1),G$75)</f>
        <v>1</v>
      </c>
      <c r="H1316" s="180">
        <f ca="1">COUNTIFS(Paste_Report_Here!$E$1:$E$2000,E1294, OFFSET(Paste_Report_Here!$A$1,0,$A1316,2000,1),H$75)</f>
        <v>21</v>
      </c>
      <c r="I1316" s="180">
        <f ca="1">COUNTIFS(Paste_Report_Here!$E$1:$E$2000,E1294, OFFSET(Paste_Report_Here!$A$1,0,$A1316,2000,1),I$75)</f>
        <v>2</v>
      </c>
      <c r="J1316" s="180">
        <f ca="1">COUNTIFS(Paste_Report_Here!$E$1:$E$2000,E1294, OFFSET(Paste_Report_Here!$A$1,0,$A1316,2000,1),J$75)</f>
        <v>0</v>
      </c>
      <c r="K1316" s="181">
        <f ca="1">COUNTIFS(Paste_Report_Here!$E$1:$E$2000,E1294, OFFSET(Paste_Report_Here!$A$1,0,$A1316,2000,1),K$75)</f>
        <v>0</v>
      </c>
      <c r="L1316" s="166">
        <f t="shared" ca="1" si="195"/>
        <v>25</v>
      </c>
      <c r="M1316" s="183">
        <f ca="1">SUMPRODUCT(F1316:K1316,F1298:K1298)/L:L</f>
        <v>-8.0000000000000002E-3</v>
      </c>
      <c r="N1316" s="166">
        <f t="shared" ca="1" si="196"/>
        <v>0.99203191483706066</v>
      </c>
      <c r="O1316" s="165">
        <f t="shared" ca="1" si="198"/>
        <v>2010.1175604105742</v>
      </c>
      <c r="P1316" s="165">
        <f t="shared" ca="1" si="197"/>
        <v>1994.100772501703</v>
      </c>
    </row>
    <row r="1317" spans="1:16" s="165" customFormat="1" x14ac:dyDescent="0.3">
      <c r="A1317" s="165">
        <f>MATCH(Calcs!B1317,Paste_Report_Here!$1:$1,0) -1</f>
        <v>22</v>
      </c>
      <c r="B1317" s="165" t="s">
        <v>140</v>
      </c>
      <c r="C1317" s="166">
        <f ca="1">RANK(N1317,N1300:N1324)</f>
        <v>19</v>
      </c>
      <c r="D1317" s="166">
        <f ca="1">RANK(P1317,P1300:P1324)</f>
        <v>14</v>
      </c>
      <c r="E1317" s="189" t="s">
        <v>169</v>
      </c>
      <c r="F1317" s="179">
        <f ca="1">COUNTIFS(Paste_Report_Here!$E$1:$E$2000,E1294, OFFSET(Paste_Report_Here!$A$1,0,$A1317,2000,1),F$75)</f>
        <v>1</v>
      </c>
      <c r="G1317" s="180">
        <f ca="1">COUNTIFS(Paste_Report_Here!$E$1:$E$2000,E1294, OFFSET(Paste_Report_Here!$A$1,0,$A1317,2000,1),G$75)</f>
        <v>0</v>
      </c>
      <c r="H1317" s="180">
        <f ca="1">COUNTIFS(Paste_Report_Here!$E$1:$E$2000,E1294, OFFSET(Paste_Report_Here!$A$1,0,$A1317,2000,1),H$75)</f>
        <v>23</v>
      </c>
      <c r="I1317" s="180">
        <f ca="1">COUNTIFS(Paste_Report_Here!$E$1:$E$2000,E1294, OFFSET(Paste_Report_Here!$A$1,0,$A1317,2000,1),I$75)</f>
        <v>1</v>
      </c>
      <c r="J1317" s="180">
        <f ca="1">COUNTIFS(Paste_Report_Here!$E$1:$E$2000,E1294, OFFSET(Paste_Report_Here!$A$1,0,$A1317,2000,1),J$75)</f>
        <v>0</v>
      </c>
      <c r="K1317" s="181">
        <f ca="1">COUNTIFS(Paste_Report_Here!$E$1:$E$2000,E1294, OFFSET(Paste_Report_Here!$A$1,0,$A1317,2000,1),K$75)</f>
        <v>0</v>
      </c>
      <c r="L1317" s="166">
        <f t="shared" ca="1" si="195"/>
        <v>25</v>
      </c>
      <c r="M1317" s="183">
        <f ca="1">SUMPRODUCT(F1317:K1317,F1298:K1298)/L:L</f>
        <v>-8.0000000000000002E-3</v>
      </c>
      <c r="N1317" s="166">
        <f t="shared" ca="1" si="196"/>
        <v>0.99203191483706066</v>
      </c>
      <c r="O1317" s="165">
        <f t="shared" ca="1" si="198"/>
        <v>2116.174362501426</v>
      </c>
      <c r="P1317" s="165">
        <f t="shared" ca="1" si="197"/>
        <v>2099.3125049613859</v>
      </c>
    </row>
    <row r="1318" spans="1:16" s="165" customFormat="1" x14ac:dyDescent="0.3">
      <c r="A1318" s="165">
        <f>MATCH(Calcs!B1318,Paste_Report_Here!$1:$1,0) -1</f>
        <v>23</v>
      </c>
      <c r="B1318" s="165" t="s">
        <v>186</v>
      </c>
      <c r="C1318" s="166">
        <f ca="1">RANK(N1318,N1300:N1324)</f>
        <v>8</v>
      </c>
      <c r="D1318" s="166">
        <f ca="1">RANK(P1318,P1300:P1324)</f>
        <v>3</v>
      </c>
      <c r="E1318" s="189" t="s">
        <v>180</v>
      </c>
      <c r="F1318" s="179">
        <f ca="1">COUNTIFS(Paste_Report_Here!$E$1:$E$2000,E1294, OFFSET(Paste_Report_Here!$A$1,0,$A1318,2000,1),F$75)</f>
        <v>1</v>
      </c>
      <c r="G1318" s="180">
        <f ca="1">COUNTIFS(Paste_Report_Here!$E$1:$E$2000,E1294, OFFSET(Paste_Report_Here!$A$1,0,$A1318,2000,1),G$75)</f>
        <v>0</v>
      </c>
      <c r="H1318" s="180">
        <f ca="1">COUNTIFS(Paste_Report_Here!$E$1:$E$2000,E1294, OFFSET(Paste_Report_Here!$A$1,0,$A1318,2000,1),H$75)</f>
        <v>21</v>
      </c>
      <c r="I1318" s="180">
        <f ca="1">COUNTIFS(Paste_Report_Here!$E$1:$E$2000,E1294, OFFSET(Paste_Report_Here!$A$1,0,$A1318,2000,1),I$75)</f>
        <v>2</v>
      </c>
      <c r="J1318" s="180">
        <f ca="1">COUNTIFS(Paste_Report_Here!$E$1:$E$2000,E1294, OFFSET(Paste_Report_Here!$A$1,0,$A1318,2000,1),J$75)</f>
        <v>1</v>
      </c>
      <c r="K1318" s="181">
        <f ca="1">COUNTIFS(Paste_Report_Here!$E$1:$E$2000,E1294, OFFSET(Paste_Report_Here!$A$1,0,$A1318,2000,1),K$75)</f>
        <v>0</v>
      </c>
      <c r="L1318" s="166">
        <f t="shared" ca="1" si="195"/>
        <v>25</v>
      </c>
      <c r="M1318" s="183">
        <f ca="1">SUMPRODUCT(F1318:K1318,F1298:K1298)/L:L</f>
        <v>0</v>
      </c>
      <c r="N1318" s="166">
        <f t="shared" ca="1" si="196"/>
        <v>1</v>
      </c>
      <c r="O1318" s="165">
        <f t="shared" ca="1" si="198"/>
        <v>4113.2661779455848</v>
      </c>
      <c r="P1318" s="165">
        <f t="shared" ca="1" si="197"/>
        <v>4113.2661779455848</v>
      </c>
    </row>
    <row r="1319" spans="1:16" s="165" customFormat="1" x14ac:dyDescent="0.3">
      <c r="A1319" s="165">
        <f>MATCH(Calcs!B1319,Paste_Report_Here!$1:$1,0) -1</f>
        <v>24</v>
      </c>
      <c r="B1319" s="165" t="s">
        <v>209</v>
      </c>
      <c r="C1319" s="166">
        <f ca="1">RANK(N1319,N1300:N1324)</f>
        <v>19</v>
      </c>
      <c r="D1319" s="166">
        <f ca="1">RANK(P1319,P1300:P1324)</f>
        <v>23</v>
      </c>
      <c r="E1319" s="202" t="s">
        <v>211</v>
      </c>
      <c r="F1319" s="179">
        <f ca="1">COUNTIFS(Paste_Report_Here!$E$1:$E$2000,E1294, OFFSET(Paste_Report_Here!$A$1,0,$A1319,2000,1),F$75)</f>
        <v>1</v>
      </c>
      <c r="G1319" s="180">
        <f ca="1">COUNTIFS(Paste_Report_Here!$E$1:$E$2000,E1294, OFFSET(Paste_Report_Here!$A$1,0,$A1319,2000,1),G$75)</f>
        <v>0</v>
      </c>
      <c r="H1319" s="180">
        <f ca="1">COUNTIFS(Paste_Report_Here!$E$1:$E$2000,E1294, OFFSET(Paste_Report_Here!$A$1,0,$A1319,2000,1),H$75)</f>
        <v>22</v>
      </c>
      <c r="I1319" s="180">
        <f ca="1">COUNTIFS(Paste_Report_Here!$E$1:$E$2000,E1294, OFFSET(Paste_Report_Here!$A$1,0,$A1319,2000,1),I$75)</f>
        <v>2</v>
      </c>
      <c r="J1319" s="180">
        <f ca="1">COUNTIFS(Paste_Report_Here!$E$1:$E$2000,E1294, OFFSET(Paste_Report_Here!$A$1,0,$A1319,2000,1),J$75)</f>
        <v>0</v>
      </c>
      <c r="K1319" s="181">
        <f ca="1">COUNTIFS(Paste_Report_Here!$E$1:$E$2000,E1294, OFFSET(Paste_Report_Here!$A$1,0,$A1319,2000,1),K$75)</f>
        <v>0</v>
      </c>
      <c r="L1319" s="166">
        <f t="shared" ca="1" si="195"/>
        <v>25</v>
      </c>
      <c r="M1319" s="183">
        <f ca="1">SUMPRODUCT(F1319:K1319,F1298:K1298)/L:L</f>
        <v>-8.0000000000000002E-3</v>
      </c>
      <c r="N1319" s="166">
        <f t="shared" ca="1" si="196"/>
        <v>0.99203191483706066</v>
      </c>
      <c r="O1319" s="165">
        <f t="shared" ca="1" si="198"/>
        <v>1234.0517913843973</v>
      </c>
      <c r="P1319" s="165">
        <f t="shared" ca="1" si="197"/>
        <v>1224.2187616151687</v>
      </c>
    </row>
    <row r="1320" spans="1:16" s="165" customFormat="1" x14ac:dyDescent="0.3">
      <c r="A1320" s="165">
        <f>MATCH(Calcs!B1320,Paste_Report_Here!$1:$1,0) -1</f>
        <v>25</v>
      </c>
      <c r="B1320" s="165" t="s">
        <v>141</v>
      </c>
      <c r="C1320" s="166">
        <f ca="1">RANK(N1320,N1300:N1324)</f>
        <v>19</v>
      </c>
      <c r="D1320" s="166">
        <f ca="1">RANK(P1320,P1300:P1324)</f>
        <v>22</v>
      </c>
      <c r="E1320" s="189" t="s">
        <v>170</v>
      </c>
      <c r="F1320" s="179">
        <f ca="1">COUNTIFS(Paste_Report_Here!$E$1:$E$2000,E1294, OFFSET(Paste_Report_Here!$A$1,0,$A1320,2000,1),F$75)</f>
        <v>1</v>
      </c>
      <c r="G1320" s="180">
        <f ca="1">COUNTIFS(Paste_Report_Here!$E$1:$E$2000,E1294, OFFSET(Paste_Report_Here!$A$1,0,$A1320,2000,1),G$75)</f>
        <v>2</v>
      </c>
      <c r="H1320" s="180">
        <f ca="1">COUNTIFS(Paste_Report_Here!$E$1:$E$2000,E1294, OFFSET(Paste_Report_Here!$A$1,0,$A1320,2000,1),H$75)</f>
        <v>18</v>
      </c>
      <c r="I1320" s="180">
        <f ca="1">COUNTIFS(Paste_Report_Here!$E$1:$E$2000,E1294, OFFSET(Paste_Report_Here!$A$1,0,$A1320,2000,1),I$75)</f>
        <v>4</v>
      </c>
      <c r="J1320" s="180">
        <f ca="1">COUNTIFS(Paste_Report_Here!$E$1:$E$2000,E1294, OFFSET(Paste_Report_Here!$A$1,0,$A1320,2000,1),J$75)</f>
        <v>0</v>
      </c>
      <c r="K1320" s="181">
        <f ca="1">COUNTIFS(Paste_Report_Here!$E$1:$E$2000,E1294, OFFSET(Paste_Report_Here!$A$1,0,$A1320,2000,1),K$75)</f>
        <v>0</v>
      </c>
      <c r="L1320" s="166">
        <f t="shared" ca="1" si="195"/>
        <v>25</v>
      </c>
      <c r="M1320" s="183">
        <f ca="1">SUMPRODUCT(F1320:K1320,F1298:K1298)/L:L</f>
        <v>-8.0000000000000002E-3</v>
      </c>
      <c r="N1320" s="166">
        <f t="shared" ca="1" si="196"/>
        <v>0.99203191483706066</v>
      </c>
      <c r="O1320" s="165">
        <f t="shared" ca="1" si="198"/>
        <v>1391.3603266109369</v>
      </c>
      <c r="P1320" s="165">
        <f t="shared" ca="1" si="197"/>
        <v>1380.2738490361658</v>
      </c>
    </row>
    <row r="1321" spans="1:16" s="165" customFormat="1" x14ac:dyDescent="0.3">
      <c r="A1321" s="165">
        <f>MATCH(Calcs!B1321,Paste_Report_Here!$1:$1,0) -1</f>
        <v>26</v>
      </c>
      <c r="B1321" s="165" t="s">
        <v>142</v>
      </c>
      <c r="C1321" s="166">
        <f ca="1">RANK(N1321,N1300:N1324)</f>
        <v>19</v>
      </c>
      <c r="D1321" s="166">
        <f ca="1">RANK(P1321,P1300:P1324)</f>
        <v>12</v>
      </c>
      <c r="E1321" s="189" t="s">
        <v>171</v>
      </c>
      <c r="F1321" s="179">
        <f ca="1">COUNTIFS(Paste_Report_Here!$E$1:$E$2000,E1294, OFFSET(Paste_Report_Here!$A$1,0,$A1321,2000,1),F$75)</f>
        <v>1</v>
      </c>
      <c r="G1321" s="180">
        <f ca="1">COUNTIFS(Paste_Report_Here!$E$1:$E$2000,E1294, OFFSET(Paste_Report_Here!$A$1,0,$A1321,2000,1),G$75)</f>
        <v>0</v>
      </c>
      <c r="H1321" s="180">
        <f ca="1">COUNTIFS(Paste_Report_Here!$E$1:$E$2000,E1294, OFFSET(Paste_Report_Here!$A$1,0,$A1321,2000,1),H$75)</f>
        <v>21</v>
      </c>
      <c r="I1321" s="180">
        <f ca="1">COUNTIFS(Paste_Report_Here!$E$1:$E$2000,E1294, OFFSET(Paste_Report_Here!$A$1,0,$A1321,2000,1),I$75)</f>
        <v>3</v>
      </c>
      <c r="J1321" s="180">
        <f ca="1">COUNTIFS(Paste_Report_Here!$E$1:$E$2000,E1294, OFFSET(Paste_Report_Here!$A$1,0,$A1321,2000,1),J$75)</f>
        <v>0</v>
      </c>
      <c r="K1321" s="181">
        <f ca="1">COUNTIFS(Paste_Report_Here!$E$1:$E$2000,E1294, OFFSET(Paste_Report_Here!$A$1,0,$A1321,2000,1),K$75)</f>
        <v>0</v>
      </c>
      <c r="L1321" s="166">
        <f t="shared" ca="1" si="195"/>
        <v>25</v>
      </c>
      <c r="M1321" s="183">
        <f ca="1">SUMPRODUCT(F1321:K1321,F1298:K1298)/L:L</f>
        <v>-8.0000000000000002E-3</v>
      </c>
      <c r="N1321" s="166">
        <f t="shared" ca="1" si="196"/>
        <v>0.99203191483706066</v>
      </c>
      <c r="O1321" s="165">
        <f t="shared" ca="1" si="198"/>
        <v>2282.5907242008411</v>
      </c>
      <c r="P1321" s="165">
        <f t="shared" ca="1" si="197"/>
        <v>2264.4028469182736</v>
      </c>
    </row>
    <row r="1322" spans="1:16" s="165" customFormat="1" x14ac:dyDescent="0.3">
      <c r="A1322" s="165">
        <f>MATCH(Calcs!B1322,Paste_Report_Here!$1:$1,0) -1</f>
        <v>27</v>
      </c>
      <c r="B1322" s="165" t="s">
        <v>210</v>
      </c>
      <c r="C1322" s="166">
        <f ca="1">RANK(N1322,N1300:N1324)</f>
        <v>8</v>
      </c>
      <c r="D1322" s="166">
        <f ca="1">RANK(P1322,P1300:P1324)</f>
        <v>24</v>
      </c>
      <c r="E1322" s="202" t="s">
        <v>212</v>
      </c>
      <c r="F1322" s="179">
        <f ca="1">COUNTIFS(Paste_Report_Here!$E$1:$E$2000,E1294, OFFSET(Paste_Report_Here!$A$1,0,$A1322,2000,1),F$75)</f>
        <v>0</v>
      </c>
      <c r="G1322" s="180">
        <f ca="1">COUNTIFS(Paste_Report_Here!$E$1:$E$2000,E1294, OFFSET(Paste_Report_Here!$A$1,0,$A1322,2000,1),G$75)</f>
        <v>1</v>
      </c>
      <c r="H1322" s="180">
        <f ca="1">COUNTIFS(Paste_Report_Here!$E$1:$E$2000,E1294, OFFSET(Paste_Report_Here!$A$1,0,$A1322,2000,1),H$75)</f>
        <v>20</v>
      </c>
      <c r="I1322" s="180">
        <f ca="1">COUNTIFS(Paste_Report_Here!$E$1:$E$2000,E1294, OFFSET(Paste_Report_Here!$A$1,0,$A1322,2000,1),I$75)</f>
        <v>4</v>
      </c>
      <c r="J1322" s="180">
        <f ca="1">COUNTIFS(Paste_Report_Here!$E$1:$E$2000,E1294, OFFSET(Paste_Report_Here!$A$1,0,$A1322,2000,1),J$75)</f>
        <v>0</v>
      </c>
      <c r="K1322" s="181">
        <f ca="1">COUNTIFS(Paste_Report_Here!$E$1:$E$2000,E1294, OFFSET(Paste_Report_Here!$A$1,0,$A1322,2000,1),K$75)</f>
        <v>0</v>
      </c>
      <c r="L1322" s="166">
        <f t="shared" ca="1" si="195"/>
        <v>25</v>
      </c>
      <c r="M1322" s="183">
        <f ca="1">SUMPRODUCT(F1322:K1322,F1298:K1298)/L:L</f>
        <v>0</v>
      </c>
      <c r="N1322" s="166">
        <f t="shared" ca="1" si="196"/>
        <v>1</v>
      </c>
      <c r="O1322" s="165">
        <f t="shared" ca="1" si="198"/>
        <v>1154.1143942862559</v>
      </c>
      <c r="P1322" s="165">
        <f t="shared" ca="1" si="197"/>
        <v>1154.1143942862559</v>
      </c>
    </row>
    <row r="1323" spans="1:16" s="165" customFormat="1" x14ac:dyDescent="0.3">
      <c r="A1323" s="165">
        <f>MATCH(Calcs!B1323,Paste_Report_Here!$1:$1,0) -1</f>
        <v>28</v>
      </c>
      <c r="B1323" s="165" t="s">
        <v>143</v>
      </c>
      <c r="C1323" s="166">
        <f ca="1">RANK(N1323,N1301:N1325)</f>
        <v>3</v>
      </c>
      <c r="D1323" s="166">
        <f ca="1">RANK(P1323,P1300:P1324)</f>
        <v>1</v>
      </c>
      <c r="E1323" s="189" t="s">
        <v>172</v>
      </c>
      <c r="F1323" s="179">
        <f ca="1">COUNTIFS(Paste_Report_Here!$E$1:$E$2000,E1294, OFFSET(Paste_Report_Here!$A$1,0,$A1323,2000,1),F$75)</f>
        <v>0</v>
      </c>
      <c r="G1323" s="180">
        <f ca="1">COUNTIFS(Paste_Report_Here!$E$1:$E$2000,E1294, OFFSET(Paste_Report_Here!$A$1,0,$A1323,2000,1),G$75)</f>
        <v>1</v>
      </c>
      <c r="H1323" s="180">
        <f ca="1">COUNTIFS(Paste_Report_Here!$E$1:$E$2000,E1294, OFFSET(Paste_Report_Here!$A$1,0,$A1323,2000,1),H$75)</f>
        <v>16</v>
      </c>
      <c r="I1323" s="180">
        <f ca="1">COUNTIFS(Paste_Report_Here!$E$1:$E$2000,E1294, OFFSET(Paste_Report_Here!$A$1,0,$A1323,2000,1),I$75)</f>
        <v>7</v>
      </c>
      <c r="J1323" s="180">
        <f ca="1">COUNTIFS(Paste_Report_Here!$E$1:$E$2000,E1294, OFFSET(Paste_Report_Here!$A$1,0,$A1323,2000,1),J$75)</f>
        <v>1</v>
      </c>
      <c r="K1323" s="181">
        <f ca="1">COUNTIFS(Paste_Report_Here!$E$1:$E$2000,E1294, OFFSET(Paste_Report_Here!$A$1,0,$A1323,2000,1),K$75)</f>
        <v>0</v>
      </c>
      <c r="L1323" s="166">
        <f t="shared" ca="1" si="195"/>
        <v>25</v>
      </c>
      <c r="M1323" s="183">
        <f ca="1">SUMPRODUCT(F1323:K1323,F1298:K1298)/L:L</f>
        <v>8.0000000000000002E-3</v>
      </c>
      <c r="N1323" s="166">
        <f t="shared" ca="1" si="196"/>
        <v>1.0080320855042735</v>
      </c>
      <c r="O1323" s="165">
        <f t="shared" ca="1" si="198"/>
        <v>9104.7197266575295</v>
      </c>
      <c r="P1323" s="165">
        <f t="shared" ca="1" si="197"/>
        <v>9177.8496139944873</v>
      </c>
    </row>
    <row r="1324" spans="1:16" s="165" customFormat="1" x14ac:dyDescent="0.3">
      <c r="A1324" s="165">
        <f>MATCH(Calcs!B1324,Paste_Report_Here!$1:$1,0) -1</f>
        <v>29</v>
      </c>
      <c r="B1324" s="187" t="s">
        <v>144</v>
      </c>
      <c r="C1324" s="147">
        <f ca="1">RANK(N1324,N1300:N1324)</f>
        <v>8</v>
      </c>
      <c r="D1324" s="147">
        <f ca="1">RANK(P1324,P1300:P1324)</f>
        <v>11</v>
      </c>
      <c r="E1324" s="145" t="s">
        <v>173</v>
      </c>
      <c r="F1324" s="146">
        <f ca="1">COUNTIFS(Paste_Report_Here!$E$1:$E$2000,E1294, OFFSET(Paste_Report_Here!$A$1,0,$A1324,2000,1),F$75)</f>
        <v>0</v>
      </c>
      <c r="G1324" s="147">
        <f ca="1">COUNTIFS(Paste_Report_Here!$E$1:$E$2000,E1294, OFFSET(Paste_Report_Here!$A$1,0,$A1324,2000,1),G$75)</f>
        <v>1</v>
      </c>
      <c r="H1324" s="147">
        <f ca="1">COUNTIFS(Paste_Report_Here!$E$1:$E$2000,E1294, OFFSET(Paste_Report_Here!$A$1,0,$A1324,2000,1),H$75)</f>
        <v>21</v>
      </c>
      <c r="I1324" s="147">
        <f ca="1">COUNTIFS(Paste_Report_Here!$E$1:$E$2000,E1294, OFFSET(Paste_Report_Here!$A$1,0,$A1324,2000,1),I$75)</f>
        <v>3</v>
      </c>
      <c r="J1324" s="147">
        <f ca="1">COUNTIFS(Paste_Report_Here!$E$1:$E$2000,E1294, OFFSET(Paste_Report_Here!$A$1,0,$A1324,2000,1),J$75)</f>
        <v>0</v>
      </c>
      <c r="K1324" s="148">
        <f ca="1">COUNTIFS(Paste_Report_Here!$E$1:$E$2000,E1294, OFFSET(Paste_Report_Here!$A$1,0,$A1324,2000,1),K$75)</f>
        <v>0</v>
      </c>
      <c r="L1324" s="147">
        <f t="shared" ca="1" si="195"/>
        <v>25</v>
      </c>
      <c r="M1324" s="149">
        <f ca="1">SUMPRODUCT(F1324:K1324,F1298:K1298)/L:L</f>
        <v>0</v>
      </c>
      <c r="N1324" s="147">
        <f t="shared" ca="1" si="196"/>
        <v>1</v>
      </c>
      <c r="O1324" s="187">
        <f t="shared" ca="1" si="198"/>
        <v>2356.3755165824632</v>
      </c>
      <c r="P1324" s="165">
        <f t="shared" ca="1" si="197"/>
        <v>2356.3755165824632</v>
      </c>
    </row>
    <row r="1325" spans="1:16" s="165" customFormat="1" x14ac:dyDescent="0.3">
      <c r="C1325" s="166"/>
      <c r="E1325" s="140" t="s">
        <v>293</v>
      </c>
      <c r="F1325" s="180">
        <f ca="1">SUM(F1300:F1324)</f>
        <v>10</v>
      </c>
      <c r="G1325" s="180">
        <f t="shared" ref="G1325:L1325" ca="1" si="199">SUM(G1300:G1324)</f>
        <v>33</v>
      </c>
      <c r="H1325" s="180">
        <f t="shared" ca="1" si="199"/>
        <v>495</v>
      </c>
      <c r="I1325" s="180">
        <f t="shared" ca="1" si="199"/>
        <v>74</v>
      </c>
      <c r="J1325" s="180">
        <f t="shared" ca="1" si="199"/>
        <v>12</v>
      </c>
      <c r="K1325" s="180">
        <f t="shared" ca="1" si="199"/>
        <v>1</v>
      </c>
      <c r="L1325" s="180">
        <f t="shared" ca="1" si="199"/>
        <v>625</v>
      </c>
      <c r="M1325" s="144">
        <f ca="1">SUMPRODUCT(F1325:K1325,F1298:K1298)/L1325</f>
        <v>6.4000000000000059E-4</v>
      </c>
      <c r="N1325" s="166">
        <f t="shared" ca="1" si="196"/>
        <v>1.0006402048436978</v>
      </c>
      <c r="O1325" s="165">
        <f t="shared" ca="1" si="198"/>
        <v>2701.3744984711984</v>
      </c>
      <c r="P1325" s="165">
        <f t="shared" ca="1" si="197"/>
        <v>2703.1039315097614</v>
      </c>
    </row>
    <row r="1326" spans="1:16" s="165" customFormat="1" x14ac:dyDescent="0.3">
      <c r="A1326" s="194"/>
      <c r="B1326" s="194"/>
      <c r="C1326" s="153"/>
      <c r="D1326" s="194"/>
      <c r="E1326" s="164"/>
      <c r="F1326" s="151"/>
      <c r="G1326" s="151"/>
      <c r="H1326" s="151"/>
      <c r="I1326" s="151"/>
      <c r="J1326" s="151"/>
      <c r="K1326" s="151"/>
      <c r="L1326" s="151"/>
      <c r="M1326" s="162"/>
      <c r="N1326" s="153"/>
      <c r="O1326" s="194"/>
      <c r="P1326" s="194"/>
    </row>
    <row r="1327" spans="1:16" s="165" customFormat="1" x14ac:dyDescent="0.3">
      <c r="E1327" s="173" t="s">
        <v>292</v>
      </c>
    </row>
    <row r="1328" spans="1:16" s="165" customFormat="1" x14ac:dyDescent="0.3">
      <c r="E1328" s="141">
        <v>41728</v>
      </c>
    </row>
    <row r="1329" spans="1:16" s="165" customFormat="1" ht="15" thickBot="1" x14ac:dyDescent="0.35"/>
    <row r="1330" spans="1:16" s="165" customFormat="1" ht="24.6" thickBot="1" x14ac:dyDescent="0.35">
      <c r="F1330" s="174" t="s">
        <v>23</v>
      </c>
      <c r="G1330" s="168" t="s">
        <v>18</v>
      </c>
      <c r="H1330" s="168" t="s">
        <v>16</v>
      </c>
      <c r="I1330" s="168" t="s">
        <v>17</v>
      </c>
      <c r="J1330" s="168" t="s">
        <v>19</v>
      </c>
      <c r="K1330" s="169" t="s">
        <v>114</v>
      </c>
    </row>
    <row r="1331" spans="1:16" s="165" customFormat="1" x14ac:dyDescent="0.3">
      <c r="F1331" s="267" t="s">
        <v>201</v>
      </c>
      <c r="G1331" s="268"/>
      <c r="H1331" s="268"/>
      <c r="I1331" s="268"/>
      <c r="J1331" s="268"/>
      <c r="K1331" s="169"/>
      <c r="M1331" s="203">
        <f ca="1">(H1359+K1359)/L1359</f>
        <v>0.72888888888888892</v>
      </c>
      <c r="N1331" s="204" t="s">
        <v>501</v>
      </c>
    </row>
    <row r="1332" spans="1:16" s="165" customFormat="1" ht="43.8" thickBot="1" x14ac:dyDescent="0.35">
      <c r="A1332" s="142" t="s">
        <v>294</v>
      </c>
      <c r="B1332" s="142" t="s">
        <v>295</v>
      </c>
      <c r="C1332" s="197" t="s">
        <v>440</v>
      </c>
      <c r="D1332" s="142" t="s">
        <v>441</v>
      </c>
      <c r="E1332" s="171" t="s">
        <v>30</v>
      </c>
      <c r="F1332" s="175">
        <f>Falling_fast</f>
        <v>-0.2</v>
      </c>
      <c r="G1332" s="176">
        <f>Falling</f>
        <v>0</v>
      </c>
      <c r="H1332" s="177">
        <f>Static</f>
        <v>0</v>
      </c>
      <c r="I1332" s="176">
        <f>Rising</f>
        <v>0</v>
      </c>
      <c r="J1332" s="178">
        <f>Rising_fast</f>
        <v>0.2</v>
      </c>
      <c r="K1332" s="182">
        <v>0</v>
      </c>
      <c r="L1332" s="171" t="s">
        <v>28</v>
      </c>
      <c r="M1332" s="172" t="s">
        <v>29</v>
      </c>
      <c r="N1332" s="143" t="s">
        <v>296</v>
      </c>
      <c r="O1332" s="142" t="s">
        <v>297</v>
      </c>
      <c r="P1332" s="142" t="s">
        <v>298</v>
      </c>
    </row>
    <row r="1333" spans="1:16" s="165" customFormat="1" x14ac:dyDescent="0.3">
      <c r="C1333" s="166"/>
      <c r="E1333" s="192"/>
      <c r="F1333" s="198" t="s">
        <v>151</v>
      </c>
      <c r="G1333" s="199" t="s">
        <v>149</v>
      </c>
      <c r="H1333" s="199" t="s">
        <v>16</v>
      </c>
      <c r="I1333" s="199" t="s">
        <v>148</v>
      </c>
      <c r="J1333" s="199" t="s">
        <v>150</v>
      </c>
      <c r="K1333" s="200" t="s">
        <v>114</v>
      </c>
      <c r="L1333" s="166"/>
      <c r="M1333" s="170"/>
      <c r="N1333" s="166"/>
    </row>
    <row r="1334" spans="1:16" s="165" customFormat="1" x14ac:dyDescent="0.3">
      <c r="A1334" s="165">
        <f>MATCH(Calcs!B1334,Paste_Report_Here!$1:$1,0) -1</f>
        <v>5</v>
      </c>
      <c r="B1334" s="165" t="s">
        <v>124</v>
      </c>
      <c r="C1334" s="166">
        <f ca="1">RANK(N1334,N1334:N1358)</f>
        <v>10</v>
      </c>
      <c r="D1334" s="166">
        <f ca="1">RANK(P1334,P1334:P1358)</f>
        <v>17</v>
      </c>
      <c r="E1334" s="189" t="s">
        <v>152</v>
      </c>
      <c r="F1334" s="179">
        <f ca="1">COUNTIFS(Paste_Report_Here!$E$1:$E$2000,E1328, OFFSET(Paste_Report_Here!$A$1,0,$A1334,2000,1),F$75)</f>
        <v>1</v>
      </c>
      <c r="G1334" s="180">
        <f ca="1">COUNTIFS(Paste_Report_Here!$E$1:$E$2000,E1328, OFFSET(Paste_Report_Here!$A$1,0,$A1334,2000,1),G$75)</f>
        <v>1</v>
      </c>
      <c r="H1334" s="180">
        <f ca="1">COUNTIFS(Paste_Report_Here!$E$1:$E$2000,E1328, OFFSET(Paste_Report_Here!$A$1,0,$A1334,2000,1),H$75)</f>
        <v>17</v>
      </c>
      <c r="I1334" s="180">
        <f ca="1">COUNTIFS(Paste_Report_Here!$E$1:$E$2000,E1328, OFFSET(Paste_Report_Here!$A$1,0,$A1334,2000,1),I$75)</f>
        <v>7</v>
      </c>
      <c r="J1334" s="180">
        <f ca="1">COUNTIFS(Paste_Report_Here!$E$1:$E$2000,E1328, OFFSET(Paste_Report_Here!$A$1,0,$A1334,2000,1),J$75)</f>
        <v>1</v>
      </c>
      <c r="K1334" s="181">
        <f ca="1">COUNTIFS(Paste_Report_Here!$E$1:$E$2000,E1328, OFFSET(Paste_Report_Here!$A$1,0,$A1334,2000,1),K$75)</f>
        <v>0</v>
      </c>
      <c r="L1334" s="166">
        <f t="shared" ref="L1334:L1358" ca="1" si="200">SUM(F1334:K1334)</f>
        <v>27</v>
      </c>
      <c r="M1334" s="183">
        <f ca="1">SUMPRODUCT(F1334:K1334,F1332:K1332)/L:L</f>
        <v>0</v>
      </c>
      <c r="N1334" s="166">
        <f t="shared" ref="N1334:N1359" ca="1" si="201">EXP(M1334)</f>
        <v>1</v>
      </c>
      <c r="O1334" s="165">
        <f ca="1">P1300</f>
        <v>2051.8590237911217</v>
      </c>
      <c r="P1334" s="165">
        <f t="shared" ref="P1334:P1359" ca="1" si="202">O1334*N1334</f>
        <v>2051.8590237911217</v>
      </c>
    </row>
    <row r="1335" spans="1:16" s="165" customFormat="1" x14ac:dyDescent="0.3">
      <c r="A1335" s="165">
        <f>MATCH(Calcs!B1335,Paste_Report_Here!$1:$1,0) -1</f>
        <v>6</v>
      </c>
      <c r="B1335" s="165" t="s">
        <v>125</v>
      </c>
      <c r="C1335" s="166">
        <f ca="1">RANK(N1335,N1334:N1358)</f>
        <v>24</v>
      </c>
      <c r="D1335" s="166">
        <f ca="1">RANK(P1335,P1334:P1358)</f>
        <v>16</v>
      </c>
      <c r="E1335" s="189" t="s">
        <v>153</v>
      </c>
      <c r="F1335" s="179">
        <f ca="1">COUNTIFS(Paste_Report_Here!$E$1:$E$2000,E1328, OFFSET(Paste_Report_Here!$A$1,0,$A1335,2000,1),F$75)</f>
        <v>1</v>
      </c>
      <c r="G1335" s="180">
        <f ca="1">COUNTIFS(Paste_Report_Here!$E$1:$E$2000,E1328, OFFSET(Paste_Report_Here!$A$1,0,$A1335,2000,1),G$75)</f>
        <v>0</v>
      </c>
      <c r="H1335" s="180">
        <f ca="1">COUNTIFS(Paste_Report_Here!$E$1:$E$2000,E1328, OFFSET(Paste_Report_Here!$A$1,0,$A1335,2000,1),H$75)</f>
        <v>23</v>
      </c>
      <c r="I1335" s="180">
        <f ca="1">COUNTIFS(Paste_Report_Here!$E$1:$E$2000,E1328, OFFSET(Paste_Report_Here!$A$1,0,$A1335,2000,1),I$75)</f>
        <v>3</v>
      </c>
      <c r="J1335" s="180">
        <f ca="1">COUNTIFS(Paste_Report_Here!$E$1:$E$2000,E1328, OFFSET(Paste_Report_Here!$A$1,0,$A1335,2000,1),J$75)</f>
        <v>0</v>
      </c>
      <c r="K1335" s="181">
        <f ca="1">COUNTIFS(Paste_Report_Here!$E$1:$E$2000,E1328, OFFSET(Paste_Report_Here!$A$1,0,$A1335,2000,1),K$75)</f>
        <v>0</v>
      </c>
      <c r="L1335" s="166">
        <f t="shared" ca="1" si="200"/>
        <v>27</v>
      </c>
      <c r="M1335" s="183">
        <f ca="1">SUMPRODUCT(F1335:K1335,F1332:K1332)/L:L</f>
        <v>-7.4074074074074077E-3</v>
      </c>
      <c r="N1335" s="166">
        <f t="shared" ca="1" si="201"/>
        <v>0.99261995981975049</v>
      </c>
      <c r="O1335" s="165">
        <f t="shared" ref="O1335:O1359" ca="1" si="203">P1301</f>
        <v>2069.5312836035346</v>
      </c>
      <c r="P1335" s="165">
        <f t="shared" ca="1" si="202"/>
        <v>2054.258059576257</v>
      </c>
    </row>
    <row r="1336" spans="1:16" s="165" customFormat="1" x14ac:dyDescent="0.3">
      <c r="A1336" s="165">
        <f>MATCH(Calcs!B1336,Paste_Report_Here!$1:$1,0) -1</f>
        <v>7</v>
      </c>
      <c r="B1336" s="165" t="s">
        <v>126</v>
      </c>
      <c r="C1336" s="166">
        <f ca="1">RANK(N1336,N1334:N1358)</f>
        <v>10</v>
      </c>
      <c r="D1336" s="166">
        <f ca="1">RANK(P1336,P1334:P1358)</f>
        <v>8</v>
      </c>
      <c r="E1336" s="189" t="s">
        <v>154</v>
      </c>
      <c r="F1336" s="179">
        <f ca="1">COUNTIFS(Paste_Report_Here!$E$1:$E$2000,E1328, OFFSET(Paste_Report_Here!$A$1,0,$A1336,2000,1),F$75)</f>
        <v>1</v>
      </c>
      <c r="G1336" s="180">
        <f ca="1">COUNTIFS(Paste_Report_Here!$E$1:$E$2000,E1328, OFFSET(Paste_Report_Here!$A$1,0,$A1336,2000,1),G$75)</f>
        <v>2</v>
      </c>
      <c r="H1336" s="180">
        <f ca="1">COUNTIFS(Paste_Report_Here!$E$1:$E$2000,E1328, OFFSET(Paste_Report_Here!$A$1,0,$A1336,2000,1),H$75)</f>
        <v>19</v>
      </c>
      <c r="I1336" s="180">
        <f ca="1">COUNTIFS(Paste_Report_Here!$E$1:$E$2000,E1328, OFFSET(Paste_Report_Here!$A$1,0,$A1336,2000,1),I$75)</f>
        <v>4</v>
      </c>
      <c r="J1336" s="180">
        <f ca="1">COUNTIFS(Paste_Report_Here!$E$1:$E$2000,E1328, OFFSET(Paste_Report_Here!$A$1,0,$A1336,2000,1),J$75)</f>
        <v>1</v>
      </c>
      <c r="K1336" s="181">
        <f ca="1">COUNTIFS(Paste_Report_Here!$E$1:$E$2000,E1328, OFFSET(Paste_Report_Here!$A$1,0,$A1336,2000,1),K$75)</f>
        <v>0</v>
      </c>
      <c r="L1336" s="166">
        <f t="shared" ca="1" si="200"/>
        <v>27</v>
      </c>
      <c r="M1336" s="183">
        <f ca="1">SUMPRODUCT(F1336:K1336,F1332:K1332)/L:L</f>
        <v>0</v>
      </c>
      <c r="N1336" s="166">
        <f t="shared" ca="1" si="201"/>
        <v>1</v>
      </c>
      <c r="O1336" s="165">
        <f t="shared" ca="1" si="203"/>
        <v>2732.1768109426866</v>
      </c>
      <c r="P1336" s="165">
        <f t="shared" ca="1" si="202"/>
        <v>2732.1768109426866</v>
      </c>
    </row>
    <row r="1337" spans="1:16" s="165" customFormat="1" x14ac:dyDescent="0.3">
      <c r="A1337" s="165">
        <f>MATCH(Calcs!B1337,Paste_Report_Here!$1:$1,0) -1</f>
        <v>8</v>
      </c>
      <c r="B1337" s="165" t="s">
        <v>127</v>
      </c>
      <c r="C1337" s="166">
        <f ca="1">RANK(N1337,N1335:N1359)</f>
        <v>11</v>
      </c>
      <c r="D1337" s="166">
        <f ca="1">RANK(P1337,P1334:P1358)</f>
        <v>7</v>
      </c>
      <c r="E1337" s="189" t="s">
        <v>155</v>
      </c>
      <c r="F1337" s="179">
        <f ca="1">COUNTIFS(Paste_Report_Here!$E$1:$E$2000,E1328, OFFSET(Paste_Report_Here!$A$1,0,$A1337,2000,1),F$75)</f>
        <v>1</v>
      </c>
      <c r="G1337" s="180">
        <f ca="1">COUNTIFS(Paste_Report_Here!$E$1:$E$2000,E1328, OFFSET(Paste_Report_Here!$A$1,0,$A1337,2000,1),G$75)</f>
        <v>2</v>
      </c>
      <c r="H1337" s="180">
        <f ca="1">COUNTIFS(Paste_Report_Here!$E$1:$E$2000,E1328, OFFSET(Paste_Report_Here!$A$1,0,$A1337,2000,1),H$75)</f>
        <v>19</v>
      </c>
      <c r="I1337" s="180">
        <f ca="1">COUNTIFS(Paste_Report_Here!$E$1:$E$2000,E1328, OFFSET(Paste_Report_Here!$A$1,0,$A1337,2000,1),I$75)</f>
        <v>4</v>
      </c>
      <c r="J1337" s="180">
        <f ca="1">COUNTIFS(Paste_Report_Here!$E$1:$E$2000,E1328, OFFSET(Paste_Report_Here!$A$1,0,$A1337,2000,1),J$75)</f>
        <v>1</v>
      </c>
      <c r="K1337" s="181">
        <f ca="1">COUNTIFS(Paste_Report_Here!$E$1:$E$2000,E1328, OFFSET(Paste_Report_Here!$A$1,0,$A1337,2000,1),K$75)</f>
        <v>0</v>
      </c>
      <c r="L1337" s="166">
        <f t="shared" ca="1" si="200"/>
        <v>27</v>
      </c>
      <c r="M1337" s="183">
        <f ca="1">SUMPRODUCT(F1337:K1337,F1332:K1332)/L:L</f>
        <v>0</v>
      </c>
      <c r="N1337" s="166">
        <f t="shared" ca="1" si="201"/>
        <v>1</v>
      </c>
      <c r="O1337" s="165">
        <f t="shared" ca="1" si="203"/>
        <v>2939.2810739686188</v>
      </c>
      <c r="P1337" s="165">
        <f t="shared" ca="1" si="202"/>
        <v>2939.2810739686188</v>
      </c>
    </row>
    <row r="1338" spans="1:16" s="165" customFormat="1" x14ac:dyDescent="0.3">
      <c r="A1338" s="165">
        <f>MATCH(Calcs!B1338,Paste_Report_Here!$1:$1,0) -1</f>
        <v>9</v>
      </c>
      <c r="B1338" s="165" t="s">
        <v>214</v>
      </c>
      <c r="C1338" s="166">
        <f ca="1">RANK(N1338,N1334:N1358)</f>
        <v>10</v>
      </c>
      <c r="D1338" s="166">
        <f ca="1">RANK(P1338,P1334:P1358)</f>
        <v>5</v>
      </c>
      <c r="E1338" s="189" t="s">
        <v>156</v>
      </c>
      <c r="F1338" s="179">
        <f ca="1">COUNTIFS(Paste_Report_Here!$E$1:$E$2000,E1328, OFFSET(Paste_Report_Here!$A$1,0,$A1338,2000,1),F$75)</f>
        <v>0</v>
      </c>
      <c r="G1338" s="180">
        <f ca="1">COUNTIFS(Paste_Report_Here!$E$1:$E$2000,E1328, OFFSET(Paste_Report_Here!$A$1,0,$A1338,2000,1),G$75)</f>
        <v>1</v>
      </c>
      <c r="H1338" s="180">
        <f ca="1">COUNTIFS(Paste_Report_Here!$E$1:$E$2000,E1328, OFFSET(Paste_Report_Here!$A$1,0,$A1338,2000,1),H$75)</f>
        <v>18</v>
      </c>
      <c r="I1338" s="180">
        <f ca="1">COUNTIFS(Paste_Report_Here!$E$1:$E$2000,E1328, OFFSET(Paste_Report_Here!$A$1,0,$A1338,2000,1),I$75)</f>
        <v>8</v>
      </c>
      <c r="J1338" s="180">
        <f ca="1">COUNTIFS(Paste_Report_Here!$E$1:$E$2000,E1328, OFFSET(Paste_Report_Here!$A$1,0,$A1338,2000,1),J$75)</f>
        <v>0</v>
      </c>
      <c r="K1338" s="181">
        <f ca="1">COUNTIFS(Paste_Report_Here!$E$1:$E$2000,E1328, OFFSET(Paste_Report_Here!$A$1,0,$A1338,2000,1),K$75)</f>
        <v>0</v>
      </c>
      <c r="L1338" s="166">
        <f t="shared" ca="1" si="200"/>
        <v>27</v>
      </c>
      <c r="M1338" s="183">
        <f ca="1">SUMPRODUCT(F1338:K1338,F1332:K1332)/L:L</f>
        <v>0</v>
      </c>
      <c r="N1338" s="166">
        <f t="shared" ca="1" si="201"/>
        <v>1</v>
      </c>
      <c r="O1338" s="165">
        <f t="shared" ca="1" si="203"/>
        <v>3839.029212511889</v>
      </c>
      <c r="P1338" s="165">
        <f t="shared" ca="1" si="202"/>
        <v>3839.029212511889</v>
      </c>
    </row>
    <row r="1339" spans="1:16" s="165" customFormat="1" x14ac:dyDescent="0.3">
      <c r="A1339" s="165">
        <f>MATCH(Calcs!B1339,Paste_Report_Here!$1:$1,0) -1</f>
        <v>10</v>
      </c>
      <c r="B1339" s="165" t="s">
        <v>128</v>
      </c>
      <c r="C1339" s="166">
        <f ca="1">RANK(N1339,N1334:N1358)</f>
        <v>24</v>
      </c>
      <c r="D1339" s="166">
        <f ca="1">RANK(P1339,P1334:P1358)</f>
        <v>21</v>
      </c>
      <c r="E1339" s="189" t="s">
        <v>157</v>
      </c>
      <c r="F1339" s="179">
        <f ca="1">COUNTIFS(Paste_Report_Here!$E$1:$E$2000,E1328, OFFSET(Paste_Report_Here!$A$1,0,$A1339,2000,1),F$75)</f>
        <v>1</v>
      </c>
      <c r="G1339" s="180">
        <f ca="1">COUNTIFS(Paste_Report_Here!$E$1:$E$2000,E1328, OFFSET(Paste_Report_Here!$A$1,0,$A1339,2000,1),G$75)</f>
        <v>1</v>
      </c>
      <c r="H1339" s="180">
        <f ca="1">COUNTIFS(Paste_Report_Here!$E$1:$E$2000,E1328, OFFSET(Paste_Report_Here!$A$1,0,$A1339,2000,1),H$75)</f>
        <v>22</v>
      </c>
      <c r="I1339" s="180">
        <f ca="1">COUNTIFS(Paste_Report_Here!$E$1:$E$2000,E1328, OFFSET(Paste_Report_Here!$A$1,0,$A1339,2000,1),I$75)</f>
        <v>3</v>
      </c>
      <c r="J1339" s="180">
        <f ca="1">COUNTIFS(Paste_Report_Here!$E$1:$E$2000,E1328, OFFSET(Paste_Report_Here!$A$1,0,$A1339,2000,1),J$75)</f>
        <v>0</v>
      </c>
      <c r="K1339" s="181">
        <f ca="1">COUNTIFS(Paste_Report_Here!$E$1:$E$2000,E1328, OFFSET(Paste_Report_Here!$A$1,0,$A1339,2000,1),K$75)</f>
        <v>0</v>
      </c>
      <c r="L1339" s="166">
        <f t="shared" ca="1" si="200"/>
        <v>27</v>
      </c>
      <c r="M1339" s="183">
        <f ca="1">SUMPRODUCT(F1339:K1339,F1332:K1332)/L:L</f>
        <v>-7.4074074074074077E-3</v>
      </c>
      <c r="N1339" s="166">
        <f t="shared" ca="1" si="201"/>
        <v>0.99261995981975049</v>
      </c>
      <c r="O1339" s="165">
        <f t="shared" ca="1" si="203"/>
        <v>1640.9431211208664</v>
      </c>
      <c r="P1339" s="165">
        <f t="shared" ca="1" si="202"/>
        <v>1628.8328949534903</v>
      </c>
    </row>
    <row r="1340" spans="1:16" s="165" customFormat="1" x14ac:dyDescent="0.3">
      <c r="A1340" s="165">
        <f>MATCH(Calcs!B1340,Paste_Report_Here!$1:$1,0) -1</f>
        <v>11</v>
      </c>
      <c r="B1340" s="165" t="s">
        <v>129</v>
      </c>
      <c r="C1340" s="166">
        <f ca="1">RANK(N1340,N1334:N1358)</f>
        <v>10</v>
      </c>
      <c r="D1340" s="166">
        <f ca="1">RANK(P1340,P1334:P1358)</f>
        <v>9</v>
      </c>
      <c r="E1340" s="189" t="s">
        <v>158</v>
      </c>
      <c r="F1340" s="179">
        <f ca="1">COUNTIFS(Paste_Report_Here!$E$1:$E$2000,E1328, OFFSET(Paste_Report_Here!$A$1,0,$A1340,2000,1),F$75)</f>
        <v>1</v>
      </c>
      <c r="G1340" s="180">
        <f ca="1">COUNTIFS(Paste_Report_Here!$E$1:$E$2000,E1328, OFFSET(Paste_Report_Here!$A$1,0,$A1340,2000,1),G$75)</f>
        <v>1</v>
      </c>
      <c r="H1340" s="180">
        <f ca="1">COUNTIFS(Paste_Report_Here!$E$1:$E$2000,E1328, OFFSET(Paste_Report_Here!$A$1,0,$A1340,2000,1),H$75)</f>
        <v>19</v>
      </c>
      <c r="I1340" s="180">
        <f ca="1">COUNTIFS(Paste_Report_Here!$E$1:$E$2000,E1328, OFFSET(Paste_Report_Here!$A$1,0,$A1340,2000,1),I$75)</f>
        <v>5</v>
      </c>
      <c r="J1340" s="180">
        <f ca="1">COUNTIFS(Paste_Report_Here!$E$1:$E$2000,E1328, OFFSET(Paste_Report_Here!$A$1,0,$A1340,2000,1),J$75)</f>
        <v>1</v>
      </c>
      <c r="K1340" s="181">
        <f ca="1">COUNTIFS(Paste_Report_Here!$E$1:$E$2000,E1328, OFFSET(Paste_Report_Here!$A$1,0,$A1340,2000,1),K$75)</f>
        <v>0</v>
      </c>
      <c r="L1340" s="166">
        <f t="shared" ca="1" si="200"/>
        <v>27</v>
      </c>
      <c r="M1340" s="183">
        <f ca="1">SUMPRODUCT(F1340:K1340,F1332:K1332)/L:L</f>
        <v>0</v>
      </c>
      <c r="N1340" s="166">
        <f t="shared" ca="1" si="201"/>
        <v>1</v>
      </c>
      <c r="O1340" s="165">
        <f t="shared" ca="1" si="203"/>
        <v>2583.9520515205095</v>
      </c>
      <c r="P1340" s="165">
        <f t="shared" ca="1" si="202"/>
        <v>2583.9520515205095</v>
      </c>
    </row>
    <row r="1341" spans="1:16" s="165" customFormat="1" x14ac:dyDescent="0.3">
      <c r="A1341" s="165">
        <f>MATCH(Calcs!B1341,Paste_Report_Here!$1:$1,0) -1</f>
        <v>12</v>
      </c>
      <c r="B1341" s="165" t="s">
        <v>130</v>
      </c>
      <c r="C1341" s="166">
        <f ca="1">RANK(N1341,N1335:N1359)</f>
        <v>11</v>
      </c>
      <c r="D1341" s="166">
        <f ca="1">RANK(P1341,P1334:P1358)</f>
        <v>10</v>
      </c>
      <c r="E1341" s="189" t="s">
        <v>159</v>
      </c>
      <c r="F1341" s="179">
        <f ca="1">COUNTIFS(Paste_Report_Here!$E$1:$E$2000,E1328, OFFSET(Paste_Report_Here!$A$1,0,$A1341,2000,1),F$75)</f>
        <v>1</v>
      </c>
      <c r="G1341" s="180">
        <f ca="1">COUNTIFS(Paste_Report_Here!$E$1:$E$2000,E1328, OFFSET(Paste_Report_Here!$A$1,0,$A1341,2000,1),G$75)</f>
        <v>0</v>
      </c>
      <c r="H1341" s="180">
        <f ca="1">COUNTIFS(Paste_Report_Here!$E$1:$E$2000,E1328, OFFSET(Paste_Report_Here!$A$1,0,$A1341,2000,1),H$75)</f>
        <v>21</v>
      </c>
      <c r="I1341" s="180">
        <f ca="1">COUNTIFS(Paste_Report_Here!$E$1:$E$2000,E1328, OFFSET(Paste_Report_Here!$A$1,0,$A1341,2000,1),I$75)</f>
        <v>4</v>
      </c>
      <c r="J1341" s="180">
        <f ca="1">COUNTIFS(Paste_Report_Here!$E$1:$E$2000,E1328, OFFSET(Paste_Report_Here!$A$1,0,$A1341,2000,1),J$75)</f>
        <v>1</v>
      </c>
      <c r="K1341" s="181">
        <f ca="1">COUNTIFS(Paste_Report_Here!$E$1:$E$2000,E1328, OFFSET(Paste_Report_Here!$A$1,0,$A1341,2000,1),K$75)</f>
        <v>0</v>
      </c>
      <c r="L1341" s="166">
        <f t="shared" ca="1" si="200"/>
        <v>27</v>
      </c>
      <c r="M1341" s="183">
        <f ca="1">SUMPRODUCT(F1341:K1341,F1332:K1332)/L:L</f>
        <v>0</v>
      </c>
      <c r="N1341" s="166">
        <f t="shared" ca="1" si="201"/>
        <v>1</v>
      </c>
      <c r="O1341" s="165">
        <f t="shared" ca="1" si="203"/>
        <v>2569.3128647252079</v>
      </c>
      <c r="P1341" s="165">
        <f t="shared" ca="1" si="202"/>
        <v>2569.3128647252079</v>
      </c>
    </row>
    <row r="1342" spans="1:16" s="165" customFormat="1" x14ac:dyDescent="0.3">
      <c r="A1342" s="165">
        <f>MATCH(Calcs!B1342,Paste_Report_Here!$1:$1,0) -1</f>
        <v>13</v>
      </c>
      <c r="B1342" s="165" t="s">
        <v>131</v>
      </c>
      <c r="C1342" s="166">
        <f ca="1">RANK(N1342,N1336:N1360)</f>
        <v>11</v>
      </c>
      <c r="D1342" s="166">
        <f ca="1">RANK(P1342,P1334:P1358)</f>
        <v>2</v>
      </c>
      <c r="E1342" s="189" t="s">
        <v>160</v>
      </c>
      <c r="F1342" s="179">
        <f ca="1">COUNTIFS(Paste_Report_Here!$E$1:$E$2000,E1328, OFFSET(Paste_Report_Here!$A$1,0,$A1342,2000,1),F$75)</f>
        <v>1</v>
      </c>
      <c r="G1342" s="180">
        <f ca="1">COUNTIFS(Paste_Report_Here!$E$1:$E$2000,E1328, OFFSET(Paste_Report_Here!$A$1,0,$A1342,2000,1),G$75)</f>
        <v>0</v>
      </c>
      <c r="H1342" s="180">
        <f ca="1">COUNTIFS(Paste_Report_Here!$E$1:$E$2000,E1328, OFFSET(Paste_Report_Here!$A$1,0,$A1342,2000,1),H$75)</f>
        <v>14</v>
      </c>
      <c r="I1342" s="180">
        <f ca="1">COUNTIFS(Paste_Report_Here!$E$1:$E$2000,E1328, OFFSET(Paste_Report_Here!$A$1,0,$A1342,2000,1),I$75)</f>
        <v>11</v>
      </c>
      <c r="J1342" s="180">
        <f ca="1">COUNTIFS(Paste_Report_Here!$E$1:$E$2000,E1328, OFFSET(Paste_Report_Here!$A$1,0,$A1342,2000,1),J$75)</f>
        <v>1</v>
      </c>
      <c r="K1342" s="181">
        <f ca="1">COUNTIFS(Paste_Report_Here!$E$1:$E$2000,E1328, OFFSET(Paste_Report_Here!$A$1,0,$A1342,2000,1),K$75)</f>
        <v>0</v>
      </c>
      <c r="L1342" s="166">
        <f t="shared" ca="1" si="200"/>
        <v>27</v>
      </c>
      <c r="M1342" s="183">
        <f ca="1">SUMPRODUCT(F1342:K1342,F1332:K1332)/L:L</f>
        <v>0</v>
      </c>
      <c r="N1342" s="166">
        <f t="shared" ca="1" si="201"/>
        <v>1</v>
      </c>
      <c r="O1342" s="165">
        <f t="shared" ca="1" si="203"/>
        <v>4508.9816757304561</v>
      </c>
      <c r="P1342" s="165">
        <f t="shared" ca="1" si="202"/>
        <v>4508.9816757304561</v>
      </c>
    </row>
    <row r="1343" spans="1:16" s="165" customFormat="1" x14ac:dyDescent="0.3">
      <c r="A1343" s="165">
        <f>MATCH(Calcs!B1343,Paste_Report_Here!$1:$1,0) -1</f>
        <v>14</v>
      </c>
      <c r="B1343" s="165" t="s">
        <v>132</v>
      </c>
      <c r="C1343" s="166">
        <f ca="1">RANK(N1343,N1337:N1361)</f>
        <v>3</v>
      </c>
      <c r="D1343" s="166">
        <f ca="1">RANK(P1343,P1334:P1358)</f>
        <v>14</v>
      </c>
      <c r="E1343" s="189" t="s">
        <v>161</v>
      </c>
      <c r="F1343" s="179">
        <f ca="1">COUNTIFS(Paste_Report_Here!$E$1:$E$2000,E1328, OFFSET(Paste_Report_Here!$A$1,0,$A1343,2000,1),F$75)</f>
        <v>1</v>
      </c>
      <c r="G1343" s="180">
        <f ca="1">COUNTIFS(Paste_Report_Here!$E$1:$E$2000,E1328, OFFSET(Paste_Report_Here!$A$1,0,$A1343,2000,1),G$75)</f>
        <v>1</v>
      </c>
      <c r="H1343" s="180">
        <f ca="1">COUNTIFS(Paste_Report_Here!$E$1:$E$2000,E1328, OFFSET(Paste_Report_Here!$A$1,0,$A1343,2000,1),H$75)</f>
        <v>19</v>
      </c>
      <c r="I1343" s="180">
        <f ca="1">COUNTIFS(Paste_Report_Here!$E$1:$E$2000,E1328, OFFSET(Paste_Report_Here!$A$1,0,$A1343,2000,1),I$75)</f>
        <v>4</v>
      </c>
      <c r="J1343" s="180">
        <f ca="1">COUNTIFS(Paste_Report_Here!$E$1:$E$2000,E1328, OFFSET(Paste_Report_Here!$A$1,0,$A1343,2000,1),J$75)</f>
        <v>2</v>
      </c>
      <c r="K1343" s="181">
        <f ca="1">COUNTIFS(Paste_Report_Here!$E$1:$E$2000,E1328, OFFSET(Paste_Report_Here!$A$1,0,$A1343,2000,1),K$75)</f>
        <v>0</v>
      </c>
      <c r="L1343" s="166">
        <f t="shared" ca="1" si="200"/>
        <v>27</v>
      </c>
      <c r="M1343" s="183">
        <f ca="1">SUMPRODUCT(F1343:K1343,F1332:K1332)/L:L</f>
        <v>7.4074074074074077E-3</v>
      </c>
      <c r="N1343" s="166">
        <f t="shared" ca="1" si="201"/>
        <v>1.0074349101156395</v>
      </c>
      <c r="O1343" s="165">
        <f t="shared" ca="1" si="203"/>
        <v>2085.6728215793141</v>
      </c>
      <c r="P1343" s="165">
        <f t="shared" ca="1" si="202"/>
        <v>2101.1796115383886</v>
      </c>
    </row>
    <row r="1344" spans="1:16" s="165" customFormat="1" x14ac:dyDescent="0.3">
      <c r="A1344" s="165">
        <f>MATCH(Calcs!B1344,Paste_Report_Here!$1:$1,0) -1</f>
        <v>15</v>
      </c>
      <c r="B1344" s="165" t="s">
        <v>133</v>
      </c>
      <c r="C1344" s="166">
        <f ca="1">RANK(N1344,N1333:N1357)</f>
        <v>1</v>
      </c>
      <c r="D1344" s="166">
        <f ca="1">RANK(P1344,P1334:P1358)</f>
        <v>6</v>
      </c>
      <c r="E1344" s="189" t="s">
        <v>162</v>
      </c>
      <c r="F1344" s="179">
        <f ca="1">COUNTIFS(Paste_Report_Here!$E$1:$E$2000,E1328, OFFSET(Paste_Report_Here!$A$1,0,$A1344,2000,1),F$75)</f>
        <v>0</v>
      </c>
      <c r="G1344" s="180">
        <f ca="1">COUNTIFS(Paste_Report_Here!$E$1:$E$2000,E1328, OFFSET(Paste_Report_Here!$A$1,0,$A1344,2000,1),G$75)</f>
        <v>2</v>
      </c>
      <c r="H1344" s="180">
        <f ca="1">COUNTIFS(Paste_Report_Here!$E$1:$E$2000,E1328, OFFSET(Paste_Report_Here!$A$1,0,$A1344,2000,1),H$75)</f>
        <v>14</v>
      </c>
      <c r="I1344" s="180">
        <f ca="1">COUNTIFS(Paste_Report_Here!$E$1:$E$2000,E1328, OFFSET(Paste_Report_Here!$A$1,0,$A1344,2000,1),I$75)</f>
        <v>9</v>
      </c>
      <c r="J1344" s="180">
        <f ca="1">COUNTIFS(Paste_Report_Here!$E$1:$E$2000,E1328, OFFSET(Paste_Report_Here!$A$1,0,$A1344,2000,1),J$75)</f>
        <v>2</v>
      </c>
      <c r="K1344" s="181">
        <f ca="1">COUNTIFS(Paste_Report_Here!$E$1:$E$2000,E1328, OFFSET(Paste_Report_Here!$A$1,0,$A1344,2000,1),K$75)</f>
        <v>0</v>
      </c>
      <c r="L1344" s="166">
        <f t="shared" ca="1" si="200"/>
        <v>27</v>
      </c>
      <c r="M1344" s="183">
        <f ca="1">SUMPRODUCT(F1344:K1344,F1332:K1332)/L:L</f>
        <v>1.4814814814814815E-2</v>
      </c>
      <c r="N1344" s="166">
        <f t="shared" ca="1" si="201"/>
        <v>1.0149250981197067</v>
      </c>
      <c r="O1344" s="165">
        <f t="shared" ca="1" si="203"/>
        <v>3020.0682289270985</v>
      </c>
      <c r="P1344" s="165">
        <f t="shared" ca="1" si="202"/>
        <v>3065.143043572044</v>
      </c>
    </row>
    <row r="1345" spans="1:16" s="165" customFormat="1" x14ac:dyDescent="0.3">
      <c r="A1345" s="165">
        <f>MATCH(Calcs!B1345,Paste_Report_Here!$1:$1,0) -1</f>
        <v>16</v>
      </c>
      <c r="B1345" s="165" t="s">
        <v>134</v>
      </c>
      <c r="C1345" s="166">
        <f ca="1">RANK(N1345,N1334:N1358)</f>
        <v>3</v>
      </c>
      <c r="D1345" s="166">
        <f ca="1">RANK(P1345,P1334:P1358)</f>
        <v>25</v>
      </c>
      <c r="E1345" s="189" t="s">
        <v>163</v>
      </c>
      <c r="F1345" s="179">
        <f ca="1">COUNTIFS(Paste_Report_Here!$E$1:$E$2000,E1328, OFFSET(Paste_Report_Here!$A$1,0,$A1345,2000,1),F$75)</f>
        <v>0</v>
      </c>
      <c r="G1345" s="180">
        <f ca="1">COUNTIFS(Paste_Report_Here!$E$1:$E$2000,E1328, OFFSET(Paste_Report_Here!$A$1,0,$A1345,2000,1),G$75)</f>
        <v>3</v>
      </c>
      <c r="H1345" s="180">
        <f ca="1">COUNTIFS(Paste_Report_Here!$E$1:$E$2000,E1328, OFFSET(Paste_Report_Here!$A$1,0,$A1345,2000,1),H$75)</f>
        <v>21</v>
      </c>
      <c r="I1345" s="180">
        <f ca="1">COUNTIFS(Paste_Report_Here!$E$1:$E$2000,E1328, OFFSET(Paste_Report_Here!$A$1,0,$A1345,2000,1),I$75)</f>
        <v>2</v>
      </c>
      <c r="J1345" s="180">
        <f ca="1">COUNTIFS(Paste_Report_Here!$E$1:$E$2000,E1328, OFFSET(Paste_Report_Here!$A$1,0,$A1345,2000,1),J$75)</f>
        <v>1</v>
      </c>
      <c r="K1345" s="181">
        <f ca="1">COUNTIFS(Paste_Report_Here!$E$1:$E$2000,E1328, OFFSET(Paste_Report_Here!$A$1,0,$A1345,2000,1),K$75)</f>
        <v>0</v>
      </c>
      <c r="L1345" s="166">
        <f t="shared" ca="1" si="200"/>
        <v>27</v>
      </c>
      <c r="M1345" s="183">
        <f ca="1">SUMPRODUCT(F1345:K1345,F1332:K1332)/L:L</f>
        <v>7.4074074074074077E-3</v>
      </c>
      <c r="N1345" s="166">
        <f t="shared" ca="1" si="201"/>
        <v>1.0074349101156395</v>
      </c>
      <c r="O1345" s="165">
        <f t="shared" ca="1" si="203"/>
        <v>1135.6473710751907</v>
      </c>
      <c r="P1345" s="165">
        <f t="shared" ca="1" si="202"/>
        <v>1144.0908072021971</v>
      </c>
    </row>
    <row r="1346" spans="1:16" s="165" customFormat="1" x14ac:dyDescent="0.3">
      <c r="A1346" s="165">
        <f>MATCH(Calcs!B1346,Paste_Report_Here!$1:$1,0) -1</f>
        <v>17</v>
      </c>
      <c r="B1346" s="165" t="s">
        <v>135</v>
      </c>
      <c r="C1346" s="166">
        <f ca="1">RANK(N1346,N1334:N1358)</f>
        <v>10</v>
      </c>
      <c r="D1346" s="166">
        <f ca="1">RANK(P1346,P1334:P1358)</f>
        <v>20</v>
      </c>
      <c r="E1346" s="189" t="s">
        <v>164</v>
      </c>
      <c r="F1346" s="179">
        <f ca="1">COUNTIFS(Paste_Report_Here!$E$1:$E$2000,E1328, OFFSET(Paste_Report_Here!$A$1,0,$A1346,2000,1),F$75)</f>
        <v>0</v>
      </c>
      <c r="G1346" s="180">
        <f ca="1">COUNTIFS(Paste_Report_Here!$E$1:$E$2000,E1328, OFFSET(Paste_Report_Here!$A$1,0,$A1346,2000,1),G$75)</f>
        <v>2</v>
      </c>
      <c r="H1346" s="180">
        <f ca="1">COUNTIFS(Paste_Report_Here!$E$1:$E$2000,E1328, OFFSET(Paste_Report_Here!$A$1,0,$A1346,2000,1),H$75)</f>
        <v>21</v>
      </c>
      <c r="I1346" s="180">
        <f ca="1">COUNTIFS(Paste_Report_Here!$E$1:$E$2000,E1328, OFFSET(Paste_Report_Here!$A$1,0,$A1346,2000,1),I$75)</f>
        <v>4</v>
      </c>
      <c r="J1346" s="180">
        <f ca="1">COUNTIFS(Paste_Report_Here!$E$1:$E$2000,E1328, OFFSET(Paste_Report_Here!$A$1,0,$A1346,2000,1),J$75)</f>
        <v>0</v>
      </c>
      <c r="K1346" s="181">
        <f ca="1">COUNTIFS(Paste_Report_Here!$E$1:$E$2000,E1328, OFFSET(Paste_Report_Here!$A$1,0,$A1346,2000,1),K$75)</f>
        <v>0</v>
      </c>
      <c r="L1346" s="166">
        <f t="shared" ca="1" si="200"/>
        <v>27</v>
      </c>
      <c r="M1346" s="183">
        <f ca="1">SUMPRODUCT(F1346:K1346,F1332:K1332)/L:L</f>
        <v>0</v>
      </c>
      <c r="N1346" s="166">
        <f t="shared" ca="1" si="201"/>
        <v>1</v>
      </c>
      <c r="O1346" s="165">
        <f t="shared" ca="1" si="203"/>
        <v>1867.2571177961681</v>
      </c>
      <c r="P1346" s="165">
        <f t="shared" ca="1" si="202"/>
        <v>1867.2571177961681</v>
      </c>
    </row>
    <row r="1347" spans="1:16" s="165" customFormat="1" x14ac:dyDescent="0.3">
      <c r="A1347" s="165">
        <f>MATCH(Calcs!B1347,Paste_Report_Here!$1:$1,0) -1</f>
        <v>18</v>
      </c>
      <c r="B1347" s="165" t="s">
        <v>136</v>
      </c>
      <c r="C1347" s="166">
        <f ca="1">RANK(N1347,N1336:N1360)</f>
        <v>3</v>
      </c>
      <c r="D1347" s="166">
        <f ca="1">RANK(P1347,P1334:P1358)</f>
        <v>4</v>
      </c>
      <c r="E1347" s="189" t="s">
        <v>165</v>
      </c>
      <c r="F1347" s="179">
        <f ca="1">COUNTIFS(Paste_Report_Here!$E$1:$E$2000,E1328, OFFSET(Paste_Report_Here!$A$1,0,$A1347,2000,1),F$75)</f>
        <v>0</v>
      </c>
      <c r="G1347" s="180">
        <f ca="1">COUNTIFS(Paste_Report_Here!$E$1:$E$2000,E1328, OFFSET(Paste_Report_Here!$A$1,0,$A1347,2000,1),G$75)</f>
        <v>0</v>
      </c>
      <c r="H1347" s="180">
        <f ca="1">COUNTIFS(Paste_Report_Here!$E$1:$E$2000,E1328, OFFSET(Paste_Report_Here!$A$1,0,$A1347,2000,1),H$75)</f>
        <v>19</v>
      </c>
      <c r="I1347" s="180">
        <f ca="1">COUNTIFS(Paste_Report_Here!$E$1:$E$2000,E1328, OFFSET(Paste_Report_Here!$A$1,0,$A1347,2000,1),I$75)</f>
        <v>7</v>
      </c>
      <c r="J1347" s="180">
        <f ca="1">COUNTIFS(Paste_Report_Here!$E$1:$E$2000,E1328, OFFSET(Paste_Report_Here!$A$1,0,$A1347,2000,1),J$75)</f>
        <v>1</v>
      </c>
      <c r="K1347" s="181">
        <f ca="1">COUNTIFS(Paste_Report_Here!$E$1:$E$2000,E1328, OFFSET(Paste_Report_Here!$A$1,0,$A1347,2000,1),K$75)</f>
        <v>0</v>
      </c>
      <c r="L1347" s="166">
        <f t="shared" ca="1" si="200"/>
        <v>27</v>
      </c>
      <c r="M1347" s="183">
        <f ca="1">SUMPRODUCT(F1347:K1347,F1332:K1332)/L:L</f>
        <v>7.4074074074074077E-3</v>
      </c>
      <c r="N1347" s="166">
        <f t="shared" ca="1" si="201"/>
        <v>1.0074349101156395</v>
      </c>
      <c r="O1347" s="165">
        <f t="shared" ca="1" si="203"/>
        <v>4063.3261268180454</v>
      </c>
      <c r="P1347" s="165">
        <f t="shared" ca="1" si="202"/>
        <v>4093.5365913414671</v>
      </c>
    </row>
    <row r="1348" spans="1:16" s="165" customFormat="1" x14ac:dyDescent="0.3">
      <c r="A1348" s="165">
        <f>MATCH(Calcs!B1348,Paste_Report_Here!$1:$1,0) -1</f>
        <v>19</v>
      </c>
      <c r="B1348" s="165" t="s">
        <v>137</v>
      </c>
      <c r="C1348" s="166">
        <f ca="1">RANK(N1348,N1337:N1361)</f>
        <v>3</v>
      </c>
      <c r="D1348" s="166">
        <f ca="1">RANK(P1348,P1334:P1358)</f>
        <v>13</v>
      </c>
      <c r="E1348" s="189" t="s">
        <v>166</v>
      </c>
      <c r="F1348" s="179">
        <f ca="1">COUNTIFS(Paste_Report_Here!$E$1:$E$2000,E1328, OFFSET(Paste_Report_Here!$A$1,0,$A1348,2000,1),F$75)</f>
        <v>0</v>
      </c>
      <c r="G1348" s="180">
        <f ca="1">COUNTIFS(Paste_Report_Here!$E$1:$E$2000,E1328, OFFSET(Paste_Report_Here!$A$1,0,$A1348,2000,1),G$75)</f>
        <v>0</v>
      </c>
      <c r="H1348" s="180">
        <f ca="1">COUNTIFS(Paste_Report_Here!$E$1:$E$2000,E1328, OFFSET(Paste_Report_Here!$A$1,0,$A1348,2000,1),H$75)</f>
        <v>20</v>
      </c>
      <c r="I1348" s="180">
        <f ca="1">COUNTIFS(Paste_Report_Here!$E$1:$E$2000,E1328, OFFSET(Paste_Report_Here!$A$1,0,$A1348,2000,1),I$75)</f>
        <v>6</v>
      </c>
      <c r="J1348" s="180">
        <f ca="1">COUNTIFS(Paste_Report_Here!$E$1:$E$2000,E1328, OFFSET(Paste_Report_Here!$A$1,0,$A1348,2000,1),J$75)</f>
        <v>1</v>
      </c>
      <c r="K1348" s="181">
        <f ca="1">COUNTIFS(Paste_Report_Here!$E$1:$E$2000,E1328, OFFSET(Paste_Report_Here!$A$1,0,$A1348,2000,1),K$75)</f>
        <v>0</v>
      </c>
      <c r="L1348" s="166">
        <f t="shared" ca="1" si="200"/>
        <v>27</v>
      </c>
      <c r="M1348" s="183">
        <f ca="1">SUMPRODUCT(F1348:K1348,F1332:K1332)/L:L</f>
        <v>7.4074074074074077E-3</v>
      </c>
      <c r="N1348" s="166">
        <f t="shared" ca="1" si="201"/>
        <v>1.0074349101156395</v>
      </c>
      <c r="O1348" s="165">
        <f t="shared" ca="1" si="203"/>
        <v>2195.8373972259265</v>
      </c>
      <c r="P1348" s="165">
        <f t="shared" ca="1" si="202"/>
        <v>2212.1632509028609</v>
      </c>
    </row>
    <row r="1349" spans="1:16" s="165" customFormat="1" x14ac:dyDescent="0.3">
      <c r="A1349" s="165">
        <f>MATCH(Calcs!B1349,Paste_Report_Here!$1:$1,0) -1</f>
        <v>20</v>
      </c>
      <c r="B1349" s="165" t="s">
        <v>138</v>
      </c>
      <c r="C1349" s="166">
        <f ca="1">RANK(N1349,N1335:N1359)</f>
        <v>11</v>
      </c>
      <c r="D1349" s="166">
        <f ca="1">RANK(P1349,P1334:P1358)</f>
        <v>19</v>
      </c>
      <c r="E1349" s="189" t="s">
        <v>167</v>
      </c>
      <c r="F1349" s="179">
        <f ca="1">COUNTIFS(Paste_Report_Here!$E$1:$E$2000,E1328, OFFSET(Paste_Report_Here!$A$1,0,$A1349,2000,1),F$75)</f>
        <v>1</v>
      </c>
      <c r="G1349" s="180">
        <f ca="1">COUNTIFS(Paste_Report_Here!$E$1:$E$2000,E1328, OFFSET(Paste_Report_Here!$A$1,0,$A1349,2000,1),G$75)</f>
        <v>0</v>
      </c>
      <c r="H1349" s="180">
        <f ca="1">COUNTIFS(Paste_Report_Here!$E$1:$E$2000,E1328, OFFSET(Paste_Report_Here!$A$1,0,$A1349,2000,1),H$75)</f>
        <v>20</v>
      </c>
      <c r="I1349" s="180">
        <f ca="1">COUNTIFS(Paste_Report_Here!$E$1:$E$2000,E1328, OFFSET(Paste_Report_Here!$A$1,0,$A1349,2000,1),I$75)</f>
        <v>5</v>
      </c>
      <c r="J1349" s="180">
        <f ca="1">COUNTIFS(Paste_Report_Here!$E$1:$E$2000,E1328, OFFSET(Paste_Report_Here!$A$1,0,$A1349,2000,1),J$75)</f>
        <v>1</v>
      </c>
      <c r="K1349" s="181">
        <f ca="1">COUNTIFS(Paste_Report_Here!$E$1:$E$2000,E1328, OFFSET(Paste_Report_Here!$A$1,0,$A1349,2000,1),K$75)</f>
        <v>0</v>
      </c>
      <c r="L1349" s="166">
        <f t="shared" ca="1" si="200"/>
        <v>27</v>
      </c>
      <c r="M1349" s="183">
        <f ca="1">SUMPRODUCT(F1349:K1349,F1332:K1332)/L:L</f>
        <v>0</v>
      </c>
      <c r="N1349" s="166">
        <f t="shared" ca="1" si="201"/>
        <v>1</v>
      </c>
      <c r="O1349" s="165">
        <f t="shared" ca="1" si="203"/>
        <v>1928.8667885917364</v>
      </c>
      <c r="P1349" s="165">
        <f t="shared" ca="1" si="202"/>
        <v>1928.8667885917364</v>
      </c>
    </row>
    <row r="1350" spans="1:16" s="165" customFormat="1" x14ac:dyDescent="0.3">
      <c r="A1350" s="165">
        <f>MATCH(Calcs!B1350,Paste_Report_Here!$1:$1,0) -1</f>
        <v>21</v>
      </c>
      <c r="B1350" s="165" t="s">
        <v>139</v>
      </c>
      <c r="C1350" s="166">
        <f ca="1">RANK(N1350,N1334:N1358)</f>
        <v>10</v>
      </c>
      <c r="D1350" s="166">
        <f ca="1">RANK(P1350,P1334:P1358)</f>
        <v>18</v>
      </c>
      <c r="E1350" s="189" t="s">
        <v>168</v>
      </c>
      <c r="F1350" s="179">
        <f ca="1">COUNTIFS(Paste_Report_Here!$E$1:$E$2000,E1328, OFFSET(Paste_Report_Here!$A$1,0,$A1350,2000,1),F$75)</f>
        <v>1</v>
      </c>
      <c r="G1350" s="180">
        <f ca="1">COUNTIFS(Paste_Report_Here!$E$1:$E$2000,E1328, OFFSET(Paste_Report_Here!$A$1,0,$A1350,2000,1),G$75)</f>
        <v>1</v>
      </c>
      <c r="H1350" s="180">
        <f ca="1">COUNTIFS(Paste_Report_Here!$E$1:$E$2000,E1328, OFFSET(Paste_Report_Here!$A$1,0,$A1350,2000,1),H$75)</f>
        <v>21</v>
      </c>
      <c r="I1350" s="180">
        <f ca="1">COUNTIFS(Paste_Report_Here!$E$1:$E$2000,E1328, OFFSET(Paste_Report_Here!$A$1,0,$A1350,2000,1),I$75)</f>
        <v>3</v>
      </c>
      <c r="J1350" s="180">
        <f ca="1">COUNTIFS(Paste_Report_Here!$E$1:$E$2000,E1328, OFFSET(Paste_Report_Here!$A$1,0,$A1350,2000,1),J$75)</f>
        <v>1</v>
      </c>
      <c r="K1350" s="181">
        <f ca="1">COUNTIFS(Paste_Report_Here!$E$1:$E$2000,E1328, OFFSET(Paste_Report_Here!$A$1,0,$A1350,2000,1),K$75)</f>
        <v>0</v>
      </c>
      <c r="L1350" s="166">
        <f t="shared" ca="1" si="200"/>
        <v>27</v>
      </c>
      <c r="M1350" s="183">
        <f ca="1">SUMPRODUCT(F1350:K1350,F1332:K1332)/L:L</f>
        <v>0</v>
      </c>
      <c r="N1350" s="166">
        <f t="shared" ca="1" si="201"/>
        <v>1</v>
      </c>
      <c r="O1350" s="165">
        <f t="shared" ca="1" si="203"/>
        <v>1994.100772501703</v>
      </c>
      <c r="P1350" s="165">
        <f t="shared" ca="1" si="202"/>
        <v>1994.100772501703</v>
      </c>
    </row>
    <row r="1351" spans="1:16" s="165" customFormat="1" x14ac:dyDescent="0.3">
      <c r="A1351" s="165">
        <f>MATCH(Calcs!B1351,Paste_Report_Here!$1:$1,0) -1</f>
        <v>22</v>
      </c>
      <c r="B1351" s="165" t="s">
        <v>140</v>
      </c>
      <c r="C1351" s="166">
        <f ca="1">RANK(N1351,N1334:N1358)</f>
        <v>10</v>
      </c>
      <c r="D1351" s="166">
        <f ca="1">RANK(P1351,P1334:P1358)</f>
        <v>15</v>
      </c>
      <c r="E1351" s="189" t="s">
        <v>169</v>
      </c>
      <c r="F1351" s="179">
        <f ca="1">COUNTIFS(Paste_Report_Here!$E$1:$E$2000,E1328, OFFSET(Paste_Report_Here!$A$1,0,$A1351,2000,1),F$75)</f>
        <v>0</v>
      </c>
      <c r="G1351" s="180">
        <f ca="1">COUNTIFS(Paste_Report_Here!$E$1:$E$2000,E1328, OFFSET(Paste_Report_Here!$A$1,0,$A1351,2000,1),G$75)</f>
        <v>0</v>
      </c>
      <c r="H1351" s="180">
        <f ca="1">COUNTIFS(Paste_Report_Here!$E$1:$E$2000,E1328, OFFSET(Paste_Report_Here!$A$1,0,$A1351,2000,1),H$75)</f>
        <v>17</v>
      </c>
      <c r="I1351" s="180">
        <f ca="1">COUNTIFS(Paste_Report_Here!$E$1:$E$2000,E1328, OFFSET(Paste_Report_Here!$A$1,0,$A1351,2000,1),I$75)</f>
        <v>9</v>
      </c>
      <c r="J1351" s="180">
        <f ca="1">COUNTIFS(Paste_Report_Here!$E$1:$E$2000,E1328, OFFSET(Paste_Report_Here!$A$1,0,$A1351,2000,1),J$75)</f>
        <v>0</v>
      </c>
      <c r="K1351" s="181">
        <f ca="1">COUNTIFS(Paste_Report_Here!$E$1:$E$2000,E1328, OFFSET(Paste_Report_Here!$A$1,0,$A1351,2000,1),K$75)</f>
        <v>1</v>
      </c>
      <c r="L1351" s="166">
        <f t="shared" ca="1" si="200"/>
        <v>27</v>
      </c>
      <c r="M1351" s="183">
        <f ca="1">SUMPRODUCT(F1351:K1351,F1332:K1332)/L:L</f>
        <v>0</v>
      </c>
      <c r="N1351" s="166">
        <f t="shared" ca="1" si="201"/>
        <v>1</v>
      </c>
      <c r="O1351" s="165">
        <f t="shared" ca="1" si="203"/>
        <v>2099.3125049613859</v>
      </c>
      <c r="P1351" s="165">
        <f t="shared" ca="1" si="202"/>
        <v>2099.3125049613859</v>
      </c>
    </row>
    <row r="1352" spans="1:16" s="165" customFormat="1" x14ac:dyDescent="0.3">
      <c r="A1352" s="165">
        <f>MATCH(Calcs!B1352,Paste_Report_Here!$1:$1,0) -1</f>
        <v>23</v>
      </c>
      <c r="B1352" s="165" t="s">
        <v>186</v>
      </c>
      <c r="C1352" s="166">
        <f ca="1">RANK(N1352,N1334:N1358)</f>
        <v>3</v>
      </c>
      <c r="D1352" s="166">
        <f ca="1">RANK(P1352,P1334:P1358)</f>
        <v>3</v>
      </c>
      <c r="E1352" s="189" t="s">
        <v>180</v>
      </c>
      <c r="F1352" s="179">
        <f ca="1">COUNTIFS(Paste_Report_Here!$E$1:$E$2000,E1328, OFFSET(Paste_Report_Here!$A$1,0,$A1352,2000,1),F$75)</f>
        <v>0</v>
      </c>
      <c r="G1352" s="180">
        <f ca="1">COUNTIFS(Paste_Report_Here!$E$1:$E$2000,E1328, OFFSET(Paste_Report_Here!$A$1,0,$A1352,2000,1),G$75)</f>
        <v>0</v>
      </c>
      <c r="H1352" s="180">
        <f ca="1">COUNTIFS(Paste_Report_Here!$E$1:$E$2000,E1328, OFFSET(Paste_Report_Here!$A$1,0,$A1352,2000,1),H$75)</f>
        <v>22</v>
      </c>
      <c r="I1352" s="180">
        <f ca="1">COUNTIFS(Paste_Report_Here!$E$1:$E$2000,E1328, OFFSET(Paste_Report_Here!$A$1,0,$A1352,2000,1),I$75)</f>
        <v>4</v>
      </c>
      <c r="J1352" s="180">
        <f ca="1">COUNTIFS(Paste_Report_Here!$E$1:$E$2000,E1328, OFFSET(Paste_Report_Here!$A$1,0,$A1352,2000,1),J$75)</f>
        <v>1</v>
      </c>
      <c r="K1352" s="181">
        <f ca="1">COUNTIFS(Paste_Report_Here!$E$1:$E$2000,E1328, OFFSET(Paste_Report_Here!$A$1,0,$A1352,2000,1),K$75)</f>
        <v>0</v>
      </c>
      <c r="L1352" s="166">
        <f t="shared" ca="1" si="200"/>
        <v>27</v>
      </c>
      <c r="M1352" s="183">
        <f ca="1">SUMPRODUCT(F1352:K1352,F1332:K1332)/L:L</f>
        <v>7.4074074074074077E-3</v>
      </c>
      <c r="N1352" s="166">
        <f t="shared" ca="1" si="201"/>
        <v>1.0074349101156395</v>
      </c>
      <c r="O1352" s="165">
        <f t="shared" ca="1" si="203"/>
        <v>4113.2661779455848</v>
      </c>
      <c r="P1352" s="165">
        <f t="shared" ca="1" si="202"/>
        <v>4143.8479422603104</v>
      </c>
    </row>
    <row r="1353" spans="1:16" s="165" customFormat="1" x14ac:dyDescent="0.3">
      <c r="A1353" s="165">
        <f>MATCH(Calcs!B1353,Paste_Report_Here!$1:$1,0) -1</f>
        <v>24</v>
      </c>
      <c r="B1353" s="165" t="s">
        <v>209</v>
      </c>
      <c r="C1353" s="166">
        <f ca="1">RANK(N1353,N1334:N1358)</f>
        <v>3</v>
      </c>
      <c r="D1353" s="166">
        <f ca="1">RANK(P1353,P1334:P1358)</f>
        <v>23</v>
      </c>
      <c r="E1353" s="202" t="s">
        <v>211</v>
      </c>
      <c r="F1353" s="179">
        <f ca="1">COUNTIFS(Paste_Report_Here!$E$1:$E$2000,E1328, OFFSET(Paste_Report_Here!$A$1,0,$A1353,2000,1),F$75)</f>
        <v>0</v>
      </c>
      <c r="G1353" s="180">
        <f ca="1">COUNTIFS(Paste_Report_Here!$E$1:$E$2000,E1328, OFFSET(Paste_Report_Here!$A$1,0,$A1353,2000,1),G$75)</f>
        <v>0</v>
      </c>
      <c r="H1353" s="180">
        <f ca="1">COUNTIFS(Paste_Report_Here!$E$1:$E$2000,E1328, OFFSET(Paste_Report_Here!$A$1,0,$A1353,2000,1),H$75)</f>
        <v>23</v>
      </c>
      <c r="I1353" s="180">
        <f ca="1">COUNTIFS(Paste_Report_Here!$E$1:$E$2000,E1328, OFFSET(Paste_Report_Here!$A$1,0,$A1353,2000,1),I$75)</f>
        <v>3</v>
      </c>
      <c r="J1353" s="180">
        <f ca="1">COUNTIFS(Paste_Report_Here!$E$1:$E$2000,E1328, OFFSET(Paste_Report_Here!$A$1,0,$A1353,2000,1),J$75)</f>
        <v>1</v>
      </c>
      <c r="K1353" s="181">
        <f ca="1">COUNTIFS(Paste_Report_Here!$E$1:$E$2000,E1328, OFFSET(Paste_Report_Here!$A$1,0,$A1353,2000,1),K$75)</f>
        <v>0</v>
      </c>
      <c r="L1353" s="166">
        <f t="shared" ca="1" si="200"/>
        <v>27</v>
      </c>
      <c r="M1353" s="183">
        <f ca="1">SUMPRODUCT(F1353:K1353,F1332:K1332)/L:L</f>
        <v>7.4074074074074077E-3</v>
      </c>
      <c r="N1353" s="166">
        <f t="shared" ca="1" si="201"/>
        <v>1.0074349101156395</v>
      </c>
      <c r="O1353" s="165">
        <f t="shared" ca="1" si="203"/>
        <v>1224.2187616151687</v>
      </c>
      <c r="P1353" s="165">
        <f t="shared" ca="1" si="202"/>
        <v>1233.3207180696568</v>
      </c>
    </row>
    <row r="1354" spans="1:16" s="165" customFormat="1" x14ac:dyDescent="0.3">
      <c r="A1354" s="165">
        <f>MATCH(Calcs!B1354,Paste_Report_Here!$1:$1,0) -1</f>
        <v>25</v>
      </c>
      <c r="B1354" s="165" t="s">
        <v>141</v>
      </c>
      <c r="C1354" s="166">
        <f ca="1">RANK(N1354,N1334:N1358)</f>
        <v>10</v>
      </c>
      <c r="D1354" s="166">
        <f ca="1">RANK(P1354,P1334:P1358)</f>
        <v>22</v>
      </c>
      <c r="E1354" s="189" t="s">
        <v>170</v>
      </c>
      <c r="F1354" s="179">
        <f ca="1">COUNTIFS(Paste_Report_Here!$E$1:$E$2000,E1328, OFFSET(Paste_Report_Here!$A$1,0,$A1354,2000,1),F$75)</f>
        <v>0</v>
      </c>
      <c r="G1354" s="180">
        <f ca="1">COUNTIFS(Paste_Report_Here!$E$1:$E$2000,E1328, OFFSET(Paste_Report_Here!$A$1,0,$A1354,2000,1),G$75)</f>
        <v>2</v>
      </c>
      <c r="H1354" s="180">
        <f ca="1">COUNTIFS(Paste_Report_Here!$E$1:$E$2000,E1328, OFFSET(Paste_Report_Here!$A$1,0,$A1354,2000,1),H$75)</f>
        <v>21</v>
      </c>
      <c r="I1354" s="180">
        <f ca="1">COUNTIFS(Paste_Report_Here!$E$1:$E$2000,E1328, OFFSET(Paste_Report_Here!$A$1,0,$A1354,2000,1),I$75)</f>
        <v>4</v>
      </c>
      <c r="J1354" s="180">
        <f ca="1">COUNTIFS(Paste_Report_Here!$E$1:$E$2000,E1328, OFFSET(Paste_Report_Here!$A$1,0,$A1354,2000,1),J$75)</f>
        <v>0</v>
      </c>
      <c r="K1354" s="181">
        <f ca="1">COUNTIFS(Paste_Report_Here!$E$1:$E$2000,E1328, OFFSET(Paste_Report_Here!$A$1,0,$A1354,2000,1),K$75)</f>
        <v>0</v>
      </c>
      <c r="L1354" s="166">
        <f t="shared" ca="1" si="200"/>
        <v>27</v>
      </c>
      <c r="M1354" s="183">
        <f ca="1">SUMPRODUCT(F1354:K1354,F1332:K1332)/L:L</f>
        <v>0</v>
      </c>
      <c r="N1354" s="166">
        <f t="shared" ca="1" si="201"/>
        <v>1</v>
      </c>
      <c r="O1354" s="165">
        <f t="shared" ca="1" si="203"/>
        <v>1380.2738490361658</v>
      </c>
      <c r="P1354" s="165">
        <f t="shared" ca="1" si="202"/>
        <v>1380.2738490361658</v>
      </c>
    </row>
    <row r="1355" spans="1:16" s="165" customFormat="1" x14ac:dyDescent="0.3">
      <c r="A1355" s="165">
        <f>MATCH(Calcs!B1355,Paste_Report_Here!$1:$1,0) -1</f>
        <v>26</v>
      </c>
      <c r="B1355" s="165" t="s">
        <v>142</v>
      </c>
      <c r="C1355" s="166">
        <f ca="1">RANK(N1355,N1334:N1358)</f>
        <v>10</v>
      </c>
      <c r="D1355" s="166">
        <f ca="1">RANK(P1355,P1334:P1358)</f>
        <v>12</v>
      </c>
      <c r="E1355" s="189" t="s">
        <v>171</v>
      </c>
      <c r="F1355" s="179">
        <f ca="1">COUNTIFS(Paste_Report_Here!$E$1:$E$2000,E1328, OFFSET(Paste_Report_Here!$A$1,0,$A1355,2000,1),F$75)</f>
        <v>0</v>
      </c>
      <c r="G1355" s="180">
        <f ca="1">COUNTIFS(Paste_Report_Here!$E$1:$E$2000,E1328, OFFSET(Paste_Report_Here!$A$1,0,$A1355,2000,1),G$75)</f>
        <v>1</v>
      </c>
      <c r="H1355" s="180">
        <f ca="1">COUNTIFS(Paste_Report_Here!$E$1:$E$2000,E1328, OFFSET(Paste_Report_Here!$A$1,0,$A1355,2000,1),H$75)</f>
        <v>21</v>
      </c>
      <c r="I1355" s="180">
        <f ca="1">COUNTIFS(Paste_Report_Here!$E$1:$E$2000,E1328, OFFSET(Paste_Report_Here!$A$1,0,$A1355,2000,1),I$75)</f>
        <v>5</v>
      </c>
      <c r="J1355" s="180">
        <f ca="1">COUNTIFS(Paste_Report_Here!$E$1:$E$2000,E1328, OFFSET(Paste_Report_Here!$A$1,0,$A1355,2000,1),J$75)</f>
        <v>0</v>
      </c>
      <c r="K1355" s="181">
        <f ca="1">COUNTIFS(Paste_Report_Here!$E$1:$E$2000,E1328, OFFSET(Paste_Report_Here!$A$1,0,$A1355,2000,1),K$75)</f>
        <v>0</v>
      </c>
      <c r="L1355" s="166">
        <f t="shared" ca="1" si="200"/>
        <v>27</v>
      </c>
      <c r="M1355" s="183">
        <f ca="1">SUMPRODUCT(F1355:K1355,F1332:K1332)/L:L</f>
        <v>0</v>
      </c>
      <c r="N1355" s="166">
        <f t="shared" ca="1" si="201"/>
        <v>1</v>
      </c>
      <c r="O1355" s="165">
        <f t="shared" ca="1" si="203"/>
        <v>2264.4028469182736</v>
      </c>
      <c r="P1355" s="165">
        <f t="shared" ca="1" si="202"/>
        <v>2264.4028469182736</v>
      </c>
    </row>
    <row r="1356" spans="1:16" s="165" customFormat="1" x14ac:dyDescent="0.3">
      <c r="A1356" s="165">
        <f>MATCH(Calcs!B1356,Paste_Report_Here!$1:$1,0) -1</f>
        <v>27</v>
      </c>
      <c r="B1356" s="165" t="s">
        <v>210</v>
      </c>
      <c r="C1356" s="166">
        <f ca="1">RANK(N1356,N1334:N1358)</f>
        <v>10</v>
      </c>
      <c r="D1356" s="166">
        <f ca="1">RANK(P1356,P1334:P1358)</f>
        <v>24</v>
      </c>
      <c r="E1356" s="202" t="s">
        <v>212</v>
      </c>
      <c r="F1356" s="179">
        <f ca="1">COUNTIFS(Paste_Report_Here!$E$1:$E$2000,E1328, OFFSET(Paste_Report_Here!$A$1,0,$A1356,2000,1),F$75)</f>
        <v>0</v>
      </c>
      <c r="G1356" s="180">
        <f ca="1">COUNTIFS(Paste_Report_Here!$E$1:$E$2000,E1328, OFFSET(Paste_Report_Here!$A$1,0,$A1356,2000,1),G$75)</f>
        <v>2</v>
      </c>
      <c r="H1356" s="180">
        <f ca="1">COUNTIFS(Paste_Report_Here!$E$1:$E$2000,E1328, OFFSET(Paste_Report_Here!$A$1,0,$A1356,2000,1),H$75)</f>
        <v>23</v>
      </c>
      <c r="I1356" s="180">
        <f ca="1">COUNTIFS(Paste_Report_Here!$E$1:$E$2000,E1328, OFFSET(Paste_Report_Here!$A$1,0,$A1356,2000,1),I$75)</f>
        <v>2</v>
      </c>
      <c r="J1356" s="180">
        <f ca="1">COUNTIFS(Paste_Report_Here!$E$1:$E$2000,E1328, OFFSET(Paste_Report_Here!$A$1,0,$A1356,2000,1),J$75)</f>
        <v>0</v>
      </c>
      <c r="K1356" s="181">
        <f ca="1">COUNTIFS(Paste_Report_Here!$E$1:$E$2000,E1328, OFFSET(Paste_Report_Here!$A$1,0,$A1356,2000,1),K$75)</f>
        <v>0</v>
      </c>
      <c r="L1356" s="166">
        <f t="shared" ca="1" si="200"/>
        <v>27</v>
      </c>
      <c r="M1356" s="183">
        <f ca="1">SUMPRODUCT(F1356:K1356,F1332:K1332)/L:L</f>
        <v>0</v>
      </c>
      <c r="N1356" s="166">
        <f t="shared" ca="1" si="201"/>
        <v>1</v>
      </c>
      <c r="O1356" s="165">
        <f t="shared" ca="1" si="203"/>
        <v>1154.1143942862559</v>
      </c>
      <c r="P1356" s="165">
        <f t="shared" ca="1" si="202"/>
        <v>1154.1143942862559</v>
      </c>
    </row>
    <row r="1357" spans="1:16" s="165" customFormat="1" x14ac:dyDescent="0.3">
      <c r="A1357" s="165">
        <f>MATCH(Calcs!B1357,Paste_Report_Here!$1:$1,0) -1</f>
        <v>28</v>
      </c>
      <c r="B1357" s="165" t="s">
        <v>143</v>
      </c>
      <c r="C1357" s="166">
        <f ca="1">RANK(N1357,N1335:N1359)</f>
        <v>1</v>
      </c>
      <c r="D1357" s="166">
        <f ca="1">RANK(P1357,P1334:P1358)</f>
        <v>1</v>
      </c>
      <c r="E1357" s="189" t="s">
        <v>172</v>
      </c>
      <c r="F1357" s="179">
        <f ca="1">COUNTIFS(Paste_Report_Here!$E$1:$E$2000,E1328, OFFSET(Paste_Report_Here!$A$1,0,$A1357,2000,1),F$75)</f>
        <v>0</v>
      </c>
      <c r="G1357" s="180">
        <f ca="1">COUNTIFS(Paste_Report_Here!$E$1:$E$2000,E1328, OFFSET(Paste_Report_Here!$A$1,0,$A1357,2000,1),G$75)</f>
        <v>2</v>
      </c>
      <c r="H1357" s="180">
        <f ca="1">COUNTIFS(Paste_Report_Here!$E$1:$E$2000,E1328, OFFSET(Paste_Report_Here!$A$1,0,$A1357,2000,1),H$75)</f>
        <v>16</v>
      </c>
      <c r="I1357" s="180">
        <f ca="1">COUNTIFS(Paste_Report_Here!$E$1:$E$2000,E1328, OFFSET(Paste_Report_Here!$A$1,0,$A1357,2000,1),I$75)</f>
        <v>7</v>
      </c>
      <c r="J1357" s="180">
        <f ca="1">COUNTIFS(Paste_Report_Here!$E$1:$E$2000,E1328, OFFSET(Paste_Report_Here!$A$1,0,$A1357,2000,1),J$75)</f>
        <v>2</v>
      </c>
      <c r="K1357" s="181">
        <f ca="1">COUNTIFS(Paste_Report_Here!$E$1:$E$2000,E1328, OFFSET(Paste_Report_Here!$A$1,0,$A1357,2000,1),K$75)</f>
        <v>0</v>
      </c>
      <c r="L1357" s="166">
        <f t="shared" ca="1" si="200"/>
        <v>27</v>
      </c>
      <c r="M1357" s="183">
        <f ca="1">SUMPRODUCT(F1357:K1357,F1332:K1332)/L:L</f>
        <v>1.4814814814814815E-2</v>
      </c>
      <c r="N1357" s="166">
        <f t="shared" ca="1" si="201"/>
        <v>1.0149250981197067</v>
      </c>
      <c r="O1357" s="165">
        <f t="shared" ca="1" si="203"/>
        <v>9177.8496139944873</v>
      </c>
      <c r="P1357" s="165">
        <f t="shared" ca="1" si="202"/>
        <v>9314.8299200112669</v>
      </c>
    </row>
    <row r="1358" spans="1:16" s="165" customFormat="1" x14ac:dyDescent="0.3">
      <c r="A1358" s="165">
        <f>MATCH(Calcs!B1358,Paste_Report_Here!$1:$1,0) -1</f>
        <v>29</v>
      </c>
      <c r="B1358" s="187" t="s">
        <v>144</v>
      </c>
      <c r="C1358" s="147">
        <f ca="1">RANK(N1358,N1334:N1358)</f>
        <v>3</v>
      </c>
      <c r="D1358" s="147">
        <f ca="1">RANK(P1358,P1334:P1358)</f>
        <v>11</v>
      </c>
      <c r="E1358" s="145" t="s">
        <v>173</v>
      </c>
      <c r="F1358" s="146">
        <f ca="1">COUNTIFS(Paste_Report_Here!$E$1:$E$2000,E1328, OFFSET(Paste_Report_Here!$A$1,0,$A1358,2000,1),F$75)</f>
        <v>0</v>
      </c>
      <c r="G1358" s="147">
        <f ca="1">COUNTIFS(Paste_Report_Here!$E$1:$E$2000,E1328, OFFSET(Paste_Report_Here!$A$1,0,$A1358,2000,1),G$75)</f>
        <v>0</v>
      </c>
      <c r="H1358" s="147">
        <f ca="1">COUNTIFS(Paste_Report_Here!$E$1:$E$2000,E1328, OFFSET(Paste_Report_Here!$A$1,0,$A1358,2000,1),H$75)</f>
        <v>21</v>
      </c>
      <c r="I1358" s="147">
        <f ca="1">COUNTIFS(Paste_Report_Here!$E$1:$E$2000,E1328, OFFSET(Paste_Report_Here!$A$1,0,$A1358,2000,1),I$75)</f>
        <v>5</v>
      </c>
      <c r="J1358" s="147">
        <f ca="1">COUNTIFS(Paste_Report_Here!$E$1:$E$2000,E1328, OFFSET(Paste_Report_Here!$A$1,0,$A1358,2000,1),J$75)</f>
        <v>1</v>
      </c>
      <c r="K1358" s="148">
        <f ca="1">COUNTIFS(Paste_Report_Here!$E$1:$E$2000,E1328, OFFSET(Paste_Report_Here!$A$1,0,$A1358,2000,1),K$75)</f>
        <v>0</v>
      </c>
      <c r="L1358" s="147">
        <f t="shared" ca="1" si="200"/>
        <v>27</v>
      </c>
      <c r="M1358" s="149">
        <f ca="1">SUMPRODUCT(F1358:K1358,F1332:K1332)/L:L</f>
        <v>7.4074074074074077E-3</v>
      </c>
      <c r="N1358" s="147">
        <f t="shared" ca="1" si="201"/>
        <v>1.0074349101156395</v>
      </c>
      <c r="O1358" s="187">
        <f t="shared" ca="1" si="203"/>
        <v>2356.3755165824632</v>
      </c>
      <c r="P1358" s="165">
        <f t="shared" ca="1" si="202"/>
        <v>2373.8949567469472</v>
      </c>
    </row>
    <row r="1359" spans="1:16" s="165" customFormat="1" x14ac:dyDescent="0.3">
      <c r="C1359" s="166"/>
      <c r="E1359" s="140" t="s">
        <v>293</v>
      </c>
      <c r="F1359" s="180">
        <f ca="1">SUM(F1334:F1358)</f>
        <v>11</v>
      </c>
      <c r="G1359" s="180">
        <f t="shared" ref="G1359:L1359" ca="1" si="204">SUM(G1334:G1358)</f>
        <v>24</v>
      </c>
      <c r="H1359" s="180">
        <f t="shared" ca="1" si="204"/>
        <v>491</v>
      </c>
      <c r="I1359" s="180">
        <f t="shared" ca="1" si="204"/>
        <v>128</v>
      </c>
      <c r="J1359" s="180">
        <f t="shared" ca="1" si="204"/>
        <v>20</v>
      </c>
      <c r="K1359" s="180">
        <f t="shared" ca="1" si="204"/>
        <v>1</v>
      </c>
      <c r="L1359" s="180">
        <f t="shared" ca="1" si="204"/>
        <v>675</v>
      </c>
      <c r="M1359" s="144">
        <f ca="1">SUMPRODUCT(F1359:K1359,F1332:K1332)/L1359</f>
        <v>2.6666666666666666E-3</v>
      </c>
      <c r="N1359" s="166">
        <f t="shared" ca="1" si="201"/>
        <v>1.0026702253848241</v>
      </c>
      <c r="O1359" s="165">
        <f t="shared" ca="1" si="203"/>
        <v>2703.1039315097614</v>
      </c>
      <c r="P1359" s="165">
        <f t="shared" ca="1" si="202"/>
        <v>2710.3218282454964</v>
      </c>
    </row>
    <row r="1360" spans="1:16" s="165" customFormat="1" x14ac:dyDescent="0.3">
      <c r="A1360" s="194"/>
      <c r="B1360" s="194"/>
      <c r="C1360" s="153"/>
      <c r="D1360" s="194"/>
      <c r="E1360" s="164"/>
      <c r="F1360" s="151"/>
      <c r="G1360" s="151"/>
      <c r="H1360" s="151"/>
      <c r="I1360" s="151"/>
      <c r="J1360" s="151"/>
      <c r="K1360" s="151"/>
      <c r="L1360" s="151"/>
      <c r="M1360" s="162"/>
      <c r="N1360" s="153"/>
      <c r="O1360" s="194"/>
      <c r="P1360" s="194"/>
    </row>
    <row r="1361" spans="1:16" s="165" customFormat="1" x14ac:dyDescent="0.3">
      <c r="E1361" s="173" t="s">
        <v>292</v>
      </c>
    </row>
    <row r="1362" spans="1:16" s="165" customFormat="1" x14ac:dyDescent="0.3">
      <c r="E1362" s="141">
        <v>41758</v>
      </c>
    </row>
    <row r="1363" spans="1:16" s="165" customFormat="1" ht="15" thickBot="1" x14ac:dyDescent="0.35"/>
    <row r="1364" spans="1:16" s="165" customFormat="1" ht="24.6" thickBot="1" x14ac:dyDescent="0.35">
      <c r="F1364" s="174" t="s">
        <v>23</v>
      </c>
      <c r="G1364" s="168" t="s">
        <v>18</v>
      </c>
      <c r="H1364" s="168" t="s">
        <v>16</v>
      </c>
      <c r="I1364" s="168" t="s">
        <v>17</v>
      </c>
      <c r="J1364" s="168" t="s">
        <v>19</v>
      </c>
      <c r="K1364" s="169" t="s">
        <v>114</v>
      </c>
    </row>
    <row r="1365" spans="1:16" s="165" customFormat="1" x14ac:dyDescent="0.3">
      <c r="F1365" s="267" t="s">
        <v>201</v>
      </c>
      <c r="G1365" s="268"/>
      <c r="H1365" s="268"/>
      <c r="I1365" s="268"/>
      <c r="J1365" s="268"/>
      <c r="K1365" s="169"/>
      <c r="M1365" s="203">
        <f ca="1">(H1393+K1393)/L1393</f>
        <v>0.78363636363636369</v>
      </c>
      <c r="N1365" s="204" t="s">
        <v>501</v>
      </c>
    </row>
    <row r="1366" spans="1:16" s="165" customFormat="1" ht="43.8" thickBot="1" x14ac:dyDescent="0.35">
      <c r="A1366" s="142" t="s">
        <v>294</v>
      </c>
      <c r="B1366" s="142" t="s">
        <v>295</v>
      </c>
      <c r="C1366" s="197" t="s">
        <v>440</v>
      </c>
      <c r="D1366" s="142" t="s">
        <v>441</v>
      </c>
      <c r="E1366" s="171" t="s">
        <v>30</v>
      </c>
      <c r="F1366" s="175">
        <f>Falling_fast</f>
        <v>-0.2</v>
      </c>
      <c r="G1366" s="176">
        <f>Falling</f>
        <v>0</v>
      </c>
      <c r="H1366" s="177">
        <f>Static</f>
        <v>0</v>
      </c>
      <c r="I1366" s="176">
        <f>Rising</f>
        <v>0</v>
      </c>
      <c r="J1366" s="178">
        <f>Rising_fast</f>
        <v>0.2</v>
      </c>
      <c r="K1366" s="182">
        <v>0</v>
      </c>
      <c r="L1366" s="171" t="s">
        <v>28</v>
      </c>
      <c r="M1366" s="172" t="s">
        <v>29</v>
      </c>
      <c r="N1366" s="143" t="s">
        <v>296</v>
      </c>
      <c r="O1366" s="142" t="s">
        <v>297</v>
      </c>
      <c r="P1366" s="142" t="s">
        <v>298</v>
      </c>
    </row>
    <row r="1367" spans="1:16" s="165" customFormat="1" x14ac:dyDescent="0.3">
      <c r="C1367" s="166"/>
      <c r="E1367" s="192"/>
      <c r="F1367" s="198" t="s">
        <v>151</v>
      </c>
      <c r="G1367" s="199" t="s">
        <v>149</v>
      </c>
      <c r="H1367" s="199" t="s">
        <v>16</v>
      </c>
      <c r="I1367" s="199" t="s">
        <v>148</v>
      </c>
      <c r="J1367" s="199" t="s">
        <v>150</v>
      </c>
      <c r="K1367" s="200" t="s">
        <v>114</v>
      </c>
      <c r="L1367" s="166"/>
      <c r="M1367" s="170"/>
      <c r="N1367" s="166"/>
    </row>
    <row r="1368" spans="1:16" s="165" customFormat="1" x14ac:dyDescent="0.3">
      <c r="A1368" s="165">
        <f>MATCH(Calcs!B1368,Paste_Report_Here!$1:$1,0) -1</f>
        <v>5</v>
      </c>
      <c r="B1368" s="165" t="s">
        <v>124</v>
      </c>
      <c r="C1368" s="166">
        <f ca="1">RANK(N1368,N1368:N1392)</f>
        <v>17</v>
      </c>
      <c r="D1368" s="166">
        <f ca="1">RANK(P1368,P1368:P1392)</f>
        <v>17</v>
      </c>
      <c r="E1368" s="189" t="s">
        <v>152</v>
      </c>
      <c r="F1368" s="179">
        <f ca="1">COUNTIFS(Paste_Report_Here!$E$1:$E$2000,E1362, OFFSET(Paste_Report_Here!$A$1,0,$A1368,2000,1),F$75)</f>
        <v>0</v>
      </c>
      <c r="G1368" s="180">
        <f ca="1">COUNTIFS(Paste_Report_Here!$E$1:$E$2000,E1362, OFFSET(Paste_Report_Here!$A$1,0,$A1368,2000,1),G$75)</f>
        <v>2</v>
      </c>
      <c r="H1368" s="180">
        <f ca="1">COUNTIFS(Paste_Report_Here!$E$1:$E$2000,E1362, OFFSET(Paste_Report_Here!$A$1,0,$A1368,2000,1),H$75)</f>
        <v>16</v>
      </c>
      <c r="I1368" s="180">
        <f ca="1">COUNTIFS(Paste_Report_Here!$E$1:$E$2000,E1362, OFFSET(Paste_Report_Here!$A$1,0,$A1368,2000,1),I$75)</f>
        <v>4</v>
      </c>
      <c r="J1368" s="180">
        <f ca="1">COUNTIFS(Paste_Report_Here!$E$1:$E$2000,E1362, OFFSET(Paste_Report_Here!$A$1,0,$A1368,2000,1),J$75)</f>
        <v>0</v>
      </c>
      <c r="K1368" s="181">
        <f ca="1">COUNTIFS(Paste_Report_Here!$E$1:$E$2000,E1362, OFFSET(Paste_Report_Here!$A$1,0,$A1368,2000,1),K$75)</f>
        <v>0</v>
      </c>
      <c r="L1368" s="166">
        <f t="shared" ref="L1368:L1392" ca="1" si="205">SUM(F1368:K1368)</f>
        <v>22</v>
      </c>
      <c r="M1368" s="183">
        <f ca="1">SUMPRODUCT(F1368:K1368,F1366:K1366)/L:L</f>
        <v>0</v>
      </c>
      <c r="N1368" s="166">
        <f t="shared" ref="N1368:N1393" ca="1" si="206">EXP(M1368)</f>
        <v>1</v>
      </c>
      <c r="O1368" s="165">
        <f ca="1">P1334</f>
        <v>2051.8590237911217</v>
      </c>
      <c r="P1368" s="165">
        <f t="shared" ref="P1368:P1393" ca="1" si="207">O1368*N1368</f>
        <v>2051.8590237911217</v>
      </c>
    </row>
    <row r="1369" spans="1:16" s="165" customFormat="1" x14ac:dyDescent="0.3">
      <c r="A1369" s="165">
        <f>MATCH(Calcs!B1369,Paste_Report_Here!$1:$1,0) -1</f>
        <v>6</v>
      </c>
      <c r="B1369" s="165" t="s">
        <v>125</v>
      </c>
      <c r="C1369" s="166">
        <f ca="1">RANK(N1369,N1368:N1392)</f>
        <v>4</v>
      </c>
      <c r="D1369" s="166">
        <f ca="1">RANK(P1369,P1368:P1392)</f>
        <v>16</v>
      </c>
      <c r="E1369" s="189" t="s">
        <v>153</v>
      </c>
      <c r="F1369" s="179">
        <f ca="1">COUNTIFS(Paste_Report_Here!$E$1:$E$2000,E1362, OFFSET(Paste_Report_Here!$A$1,0,$A1369,2000,1),F$75)</f>
        <v>0</v>
      </c>
      <c r="G1369" s="180">
        <f ca="1">COUNTIFS(Paste_Report_Here!$E$1:$E$2000,E1362, OFFSET(Paste_Report_Here!$A$1,0,$A1369,2000,1),G$75)</f>
        <v>2</v>
      </c>
      <c r="H1369" s="180">
        <f ca="1">COUNTIFS(Paste_Report_Here!$E$1:$E$2000,E1362, OFFSET(Paste_Report_Here!$A$1,0,$A1369,2000,1),H$75)</f>
        <v>17</v>
      </c>
      <c r="I1369" s="180">
        <f ca="1">COUNTIFS(Paste_Report_Here!$E$1:$E$2000,E1362, OFFSET(Paste_Report_Here!$A$1,0,$A1369,2000,1),I$75)</f>
        <v>2</v>
      </c>
      <c r="J1369" s="180">
        <f ca="1">COUNTIFS(Paste_Report_Here!$E$1:$E$2000,E1362, OFFSET(Paste_Report_Here!$A$1,0,$A1369,2000,1),J$75)</f>
        <v>1</v>
      </c>
      <c r="K1369" s="181">
        <f ca="1">COUNTIFS(Paste_Report_Here!$E$1:$E$2000,E1362, OFFSET(Paste_Report_Here!$A$1,0,$A1369,2000,1),K$75)</f>
        <v>0</v>
      </c>
      <c r="L1369" s="166">
        <f t="shared" ca="1" si="205"/>
        <v>22</v>
      </c>
      <c r="M1369" s="183">
        <f ca="1">SUMPRODUCT(F1369:K1369,F1366:K1366)/L:L</f>
        <v>9.0909090909090922E-3</v>
      </c>
      <c r="N1369" s="166">
        <f t="shared" ca="1" si="206"/>
        <v>1.0091323569091992</v>
      </c>
      <c r="O1369" s="165">
        <f t="shared" ref="O1369:O1393" ca="1" si="208">P1335</f>
        <v>2054.258059576257</v>
      </c>
      <c r="P1369" s="165">
        <f t="shared" ca="1" si="207"/>
        <v>2073.0182773599063</v>
      </c>
    </row>
    <row r="1370" spans="1:16" s="165" customFormat="1" x14ac:dyDescent="0.3">
      <c r="A1370" s="165">
        <f>MATCH(Calcs!B1370,Paste_Report_Here!$1:$1,0) -1</f>
        <v>7</v>
      </c>
      <c r="B1370" s="165" t="s">
        <v>126</v>
      </c>
      <c r="C1370" s="166">
        <f ca="1">RANK(N1370,N1368:N1392)</f>
        <v>4</v>
      </c>
      <c r="D1370" s="166">
        <f ca="1">RANK(P1370,P1368:P1392)</f>
        <v>8</v>
      </c>
      <c r="E1370" s="189" t="s">
        <v>154</v>
      </c>
      <c r="F1370" s="179">
        <f ca="1">COUNTIFS(Paste_Report_Here!$E$1:$E$2000,E1362, OFFSET(Paste_Report_Here!$A$1,0,$A1370,2000,1),F$75)</f>
        <v>0</v>
      </c>
      <c r="G1370" s="180">
        <f ca="1">COUNTIFS(Paste_Report_Here!$E$1:$E$2000,E1362, OFFSET(Paste_Report_Here!$A$1,0,$A1370,2000,1),G$75)</f>
        <v>2</v>
      </c>
      <c r="H1370" s="180">
        <f ca="1">COUNTIFS(Paste_Report_Here!$E$1:$E$2000,E1362, OFFSET(Paste_Report_Here!$A$1,0,$A1370,2000,1),H$75)</f>
        <v>19</v>
      </c>
      <c r="I1370" s="180">
        <f ca="1">COUNTIFS(Paste_Report_Here!$E$1:$E$2000,E1362, OFFSET(Paste_Report_Here!$A$1,0,$A1370,2000,1),I$75)</f>
        <v>0</v>
      </c>
      <c r="J1370" s="180">
        <f ca="1">COUNTIFS(Paste_Report_Here!$E$1:$E$2000,E1362, OFFSET(Paste_Report_Here!$A$1,0,$A1370,2000,1),J$75)</f>
        <v>1</v>
      </c>
      <c r="K1370" s="181">
        <f ca="1">COUNTIFS(Paste_Report_Here!$E$1:$E$2000,E1362, OFFSET(Paste_Report_Here!$A$1,0,$A1370,2000,1),K$75)</f>
        <v>0</v>
      </c>
      <c r="L1370" s="166">
        <f t="shared" ca="1" si="205"/>
        <v>22</v>
      </c>
      <c r="M1370" s="183">
        <f ca="1">SUMPRODUCT(F1370:K1370,F1366:K1366)/L:L</f>
        <v>9.0909090909090922E-3</v>
      </c>
      <c r="N1370" s="166">
        <f t="shared" ca="1" si="206"/>
        <v>1.0091323569091992</v>
      </c>
      <c r="O1370" s="165">
        <f t="shared" ca="1" si="208"/>
        <v>2732.1768109426866</v>
      </c>
      <c r="P1370" s="165">
        <f t="shared" ca="1" si="207"/>
        <v>2757.1280247192531</v>
      </c>
    </row>
    <row r="1371" spans="1:16" s="165" customFormat="1" x14ac:dyDescent="0.3">
      <c r="A1371" s="165">
        <f>MATCH(Calcs!B1371,Paste_Report_Here!$1:$1,0) -1</f>
        <v>8</v>
      </c>
      <c r="B1371" s="165" t="s">
        <v>127</v>
      </c>
      <c r="C1371" s="166">
        <f ca="1">RANK(N1371,N1369:N1393)</f>
        <v>18</v>
      </c>
      <c r="D1371" s="166">
        <f ca="1">RANK(P1371,P1368:P1392)</f>
        <v>7</v>
      </c>
      <c r="E1371" s="189" t="s">
        <v>155</v>
      </c>
      <c r="F1371" s="179">
        <f ca="1">COUNTIFS(Paste_Report_Here!$E$1:$E$2000,E1362, OFFSET(Paste_Report_Here!$A$1,0,$A1371,2000,1),F$75)</f>
        <v>0</v>
      </c>
      <c r="G1371" s="180">
        <f ca="1">COUNTIFS(Paste_Report_Here!$E$1:$E$2000,E1362, OFFSET(Paste_Report_Here!$A$1,0,$A1371,2000,1),G$75)</f>
        <v>1</v>
      </c>
      <c r="H1371" s="180">
        <f ca="1">COUNTIFS(Paste_Report_Here!$E$1:$E$2000,E1362, OFFSET(Paste_Report_Here!$A$1,0,$A1371,2000,1),H$75)</f>
        <v>16</v>
      </c>
      <c r="I1371" s="180">
        <f ca="1">COUNTIFS(Paste_Report_Here!$E$1:$E$2000,E1362, OFFSET(Paste_Report_Here!$A$1,0,$A1371,2000,1),I$75)</f>
        <v>5</v>
      </c>
      <c r="J1371" s="180">
        <f ca="1">COUNTIFS(Paste_Report_Here!$E$1:$E$2000,E1362, OFFSET(Paste_Report_Here!$A$1,0,$A1371,2000,1),J$75)</f>
        <v>0</v>
      </c>
      <c r="K1371" s="181">
        <f ca="1">COUNTIFS(Paste_Report_Here!$E$1:$E$2000,E1362, OFFSET(Paste_Report_Here!$A$1,0,$A1371,2000,1),K$75)</f>
        <v>0</v>
      </c>
      <c r="L1371" s="166">
        <f t="shared" ca="1" si="205"/>
        <v>22</v>
      </c>
      <c r="M1371" s="183">
        <f ca="1">SUMPRODUCT(F1371:K1371,F1366:K1366)/L:L</f>
        <v>0</v>
      </c>
      <c r="N1371" s="166">
        <f t="shared" ca="1" si="206"/>
        <v>1</v>
      </c>
      <c r="O1371" s="165">
        <f t="shared" ca="1" si="208"/>
        <v>2939.2810739686188</v>
      </c>
      <c r="P1371" s="165">
        <f t="shared" ca="1" si="207"/>
        <v>2939.2810739686188</v>
      </c>
    </row>
    <row r="1372" spans="1:16" s="165" customFormat="1" x14ac:dyDescent="0.3">
      <c r="A1372" s="165">
        <f>MATCH(Calcs!B1372,Paste_Report_Here!$1:$1,0) -1</f>
        <v>9</v>
      </c>
      <c r="B1372" s="165" t="s">
        <v>214</v>
      </c>
      <c r="C1372" s="166">
        <f ca="1">RANK(N1372,N1368:N1392)</f>
        <v>4</v>
      </c>
      <c r="D1372" s="166">
        <f ca="1">RANK(P1372,P1368:P1392)</f>
        <v>5</v>
      </c>
      <c r="E1372" s="189" t="s">
        <v>156</v>
      </c>
      <c r="F1372" s="179">
        <f ca="1">COUNTIFS(Paste_Report_Here!$E$1:$E$2000,E1362, OFFSET(Paste_Report_Here!$A$1,0,$A1372,2000,1),F$75)</f>
        <v>0</v>
      </c>
      <c r="G1372" s="180">
        <f ca="1">COUNTIFS(Paste_Report_Here!$E$1:$E$2000,E1362, OFFSET(Paste_Report_Here!$A$1,0,$A1372,2000,1),G$75)</f>
        <v>1</v>
      </c>
      <c r="H1372" s="180">
        <f ca="1">COUNTIFS(Paste_Report_Here!$E$1:$E$2000,E1362, OFFSET(Paste_Report_Here!$A$1,0,$A1372,2000,1),H$75)</f>
        <v>18</v>
      </c>
      <c r="I1372" s="180">
        <f ca="1">COUNTIFS(Paste_Report_Here!$E$1:$E$2000,E1362, OFFSET(Paste_Report_Here!$A$1,0,$A1372,2000,1),I$75)</f>
        <v>2</v>
      </c>
      <c r="J1372" s="180">
        <f ca="1">COUNTIFS(Paste_Report_Here!$E$1:$E$2000,E1362, OFFSET(Paste_Report_Here!$A$1,0,$A1372,2000,1),J$75)</f>
        <v>1</v>
      </c>
      <c r="K1372" s="181">
        <f ca="1">COUNTIFS(Paste_Report_Here!$E$1:$E$2000,E1362, OFFSET(Paste_Report_Here!$A$1,0,$A1372,2000,1),K$75)</f>
        <v>0</v>
      </c>
      <c r="L1372" s="166">
        <f t="shared" ca="1" si="205"/>
        <v>22</v>
      </c>
      <c r="M1372" s="183">
        <f ca="1">SUMPRODUCT(F1372:K1372,F1366:K1366)/L:L</f>
        <v>9.0909090909090922E-3</v>
      </c>
      <c r="N1372" s="166">
        <f t="shared" ca="1" si="206"/>
        <v>1.0091323569091992</v>
      </c>
      <c r="O1372" s="165">
        <f t="shared" ca="1" si="208"/>
        <v>3839.029212511889</v>
      </c>
      <c r="P1372" s="165">
        <f t="shared" ca="1" si="207"/>
        <v>3874.0885974653897</v>
      </c>
    </row>
    <row r="1373" spans="1:16" s="165" customFormat="1" x14ac:dyDescent="0.3">
      <c r="A1373" s="165">
        <f>MATCH(Calcs!B1373,Paste_Report_Here!$1:$1,0) -1</f>
        <v>10</v>
      </c>
      <c r="B1373" s="165" t="s">
        <v>128</v>
      </c>
      <c r="C1373" s="166">
        <f ca="1">RANK(N1373,N1368:N1392)</f>
        <v>23</v>
      </c>
      <c r="D1373" s="166">
        <f ca="1">RANK(P1373,P1368:P1392)</f>
        <v>21</v>
      </c>
      <c r="E1373" s="189" t="s">
        <v>157</v>
      </c>
      <c r="F1373" s="179">
        <f ca="1">COUNTIFS(Paste_Report_Here!$E$1:$E$2000,E1362, OFFSET(Paste_Report_Here!$A$1,0,$A1373,2000,1),F$75)</f>
        <v>1</v>
      </c>
      <c r="G1373" s="180">
        <f ca="1">COUNTIFS(Paste_Report_Here!$E$1:$E$2000,E1362, OFFSET(Paste_Report_Here!$A$1,0,$A1373,2000,1),G$75)</f>
        <v>0</v>
      </c>
      <c r="H1373" s="180">
        <f ca="1">COUNTIFS(Paste_Report_Here!$E$1:$E$2000,E1362, OFFSET(Paste_Report_Here!$A$1,0,$A1373,2000,1),H$75)</f>
        <v>20</v>
      </c>
      <c r="I1373" s="180">
        <f ca="1">COUNTIFS(Paste_Report_Here!$E$1:$E$2000,E1362, OFFSET(Paste_Report_Here!$A$1,0,$A1373,2000,1),I$75)</f>
        <v>1</v>
      </c>
      <c r="J1373" s="180">
        <f ca="1">COUNTIFS(Paste_Report_Here!$E$1:$E$2000,E1362, OFFSET(Paste_Report_Here!$A$1,0,$A1373,2000,1),J$75)</f>
        <v>0</v>
      </c>
      <c r="K1373" s="181">
        <f ca="1">COUNTIFS(Paste_Report_Here!$E$1:$E$2000,E1362, OFFSET(Paste_Report_Here!$A$1,0,$A1373,2000,1),K$75)</f>
        <v>0</v>
      </c>
      <c r="L1373" s="166">
        <f t="shared" ca="1" si="205"/>
        <v>22</v>
      </c>
      <c r="M1373" s="183">
        <f ca="1">SUMPRODUCT(F1373:K1373,F1366:K1366)/L:L</f>
        <v>-9.0909090909090922E-3</v>
      </c>
      <c r="N1373" s="166">
        <f t="shared" ca="1" si="206"/>
        <v>0.9909502882880793</v>
      </c>
      <c r="O1373" s="165">
        <f t="shared" ca="1" si="208"/>
        <v>1628.8328949534903</v>
      </c>
      <c r="P1373" s="165">
        <f t="shared" ca="1" si="207"/>
        <v>1614.0924268272679</v>
      </c>
    </row>
    <row r="1374" spans="1:16" s="165" customFormat="1" x14ac:dyDescent="0.3">
      <c r="A1374" s="165">
        <f>MATCH(Calcs!B1374,Paste_Report_Here!$1:$1,0) -1</f>
        <v>11</v>
      </c>
      <c r="B1374" s="165" t="s">
        <v>129</v>
      </c>
      <c r="C1374" s="166">
        <f ca="1">RANK(N1374,N1368:N1392)</f>
        <v>23</v>
      </c>
      <c r="D1374" s="166">
        <f ca="1">RANK(P1374,P1368:P1392)</f>
        <v>10</v>
      </c>
      <c r="E1374" s="189" t="s">
        <v>158</v>
      </c>
      <c r="F1374" s="179">
        <f ca="1">COUNTIFS(Paste_Report_Here!$E$1:$E$2000,E1362, OFFSET(Paste_Report_Here!$A$1,0,$A1374,2000,1),F$75)</f>
        <v>1</v>
      </c>
      <c r="G1374" s="180">
        <f ca="1">COUNTIFS(Paste_Report_Here!$E$1:$E$2000,E1362, OFFSET(Paste_Report_Here!$A$1,0,$A1374,2000,1),G$75)</f>
        <v>0</v>
      </c>
      <c r="H1374" s="180">
        <f ca="1">COUNTIFS(Paste_Report_Here!$E$1:$E$2000,E1362, OFFSET(Paste_Report_Here!$A$1,0,$A1374,2000,1),H$75)</f>
        <v>20</v>
      </c>
      <c r="I1374" s="180">
        <f ca="1">COUNTIFS(Paste_Report_Here!$E$1:$E$2000,E1362, OFFSET(Paste_Report_Here!$A$1,0,$A1374,2000,1),I$75)</f>
        <v>1</v>
      </c>
      <c r="J1374" s="180">
        <f ca="1">COUNTIFS(Paste_Report_Here!$E$1:$E$2000,E1362, OFFSET(Paste_Report_Here!$A$1,0,$A1374,2000,1),J$75)</f>
        <v>0</v>
      </c>
      <c r="K1374" s="181">
        <f ca="1">COUNTIFS(Paste_Report_Here!$E$1:$E$2000,E1362, OFFSET(Paste_Report_Here!$A$1,0,$A1374,2000,1),K$75)</f>
        <v>0</v>
      </c>
      <c r="L1374" s="166">
        <f t="shared" ca="1" si="205"/>
        <v>22</v>
      </c>
      <c r="M1374" s="183">
        <f ca="1">SUMPRODUCT(F1374:K1374,F1366:K1366)/L:L</f>
        <v>-9.0909090909090922E-3</v>
      </c>
      <c r="N1374" s="166">
        <f t="shared" ca="1" si="206"/>
        <v>0.9909502882880793</v>
      </c>
      <c r="O1374" s="165">
        <f t="shared" ca="1" si="208"/>
        <v>2583.9520515205095</v>
      </c>
      <c r="P1374" s="165">
        <f t="shared" ca="1" si="207"/>
        <v>2560.5680303768227</v>
      </c>
    </row>
    <row r="1375" spans="1:16" s="165" customFormat="1" x14ac:dyDescent="0.3">
      <c r="A1375" s="165">
        <f>MATCH(Calcs!B1375,Paste_Report_Here!$1:$1,0) -1</f>
        <v>12</v>
      </c>
      <c r="B1375" s="165" t="s">
        <v>130</v>
      </c>
      <c r="C1375" s="166">
        <f ca="1">RANK(N1375,N1369:N1393)</f>
        <v>18</v>
      </c>
      <c r="D1375" s="166">
        <f ca="1">RANK(P1375,P1368:P1392)</f>
        <v>9</v>
      </c>
      <c r="E1375" s="189" t="s">
        <v>159</v>
      </c>
      <c r="F1375" s="179">
        <f ca="1">COUNTIFS(Paste_Report_Here!$E$1:$E$2000,E1362, OFFSET(Paste_Report_Here!$A$1,0,$A1375,2000,1),F$75)</f>
        <v>1</v>
      </c>
      <c r="G1375" s="180">
        <f ca="1">COUNTIFS(Paste_Report_Here!$E$1:$E$2000,E1362, OFFSET(Paste_Report_Here!$A$1,0,$A1375,2000,1),G$75)</f>
        <v>0</v>
      </c>
      <c r="H1375" s="180">
        <f ca="1">COUNTIFS(Paste_Report_Here!$E$1:$E$2000,E1362, OFFSET(Paste_Report_Here!$A$1,0,$A1375,2000,1),H$75)</f>
        <v>15</v>
      </c>
      <c r="I1375" s="180">
        <f ca="1">COUNTIFS(Paste_Report_Here!$E$1:$E$2000,E1362, OFFSET(Paste_Report_Here!$A$1,0,$A1375,2000,1),I$75)</f>
        <v>5</v>
      </c>
      <c r="J1375" s="180">
        <f ca="1">COUNTIFS(Paste_Report_Here!$E$1:$E$2000,E1362, OFFSET(Paste_Report_Here!$A$1,0,$A1375,2000,1),J$75)</f>
        <v>1</v>
      </c>
      <c r="K1375" s="181">
        <f ca="1">COUNTIFS(Paste_Report_Here!$E$1:$E$2000,E1362, OFFSET(Paste_Report_Here!$A$1,0,$A1375,2000,1),K$75)</f>
        <v>0</v>
      </c>
      <c r="L1375" s="166">
        <f t="shared" ca="1" si="205"/>
        <v>22</v>
      </c>
      <c r="M1375" s="183">
        <f ca="1">SUMPRODUCT(F1375:K1375,F1366:K1366)/L:L</f>
        <v>0</v>
      </c>
      <c r="N1375" s="166">
        <f t="shared" ca="1" si="206"/>
        <v>1</v>
      </c>
      <c r="O1375" s="165">
        <f t="shared" ca="1" si="208"/>
        <v>2569.3128647252079</v>
      </c>
      <c r="P1375" s="165">
        <f t="shared" ca="1" si="207"/>
        <v>2569.3128647252079</v>
      </c>
    </row>
    <row r="1376" spans="1:16" s="165" customFormat="1" x14ac:dyDescent="0.3">
      <c r="A1376" s="165">
        <f>MATCH(Calcs!B1376,Paste_Report_Here!$1:$1,0) -1</f>
        <v>13</v>
      </c>
      <c r="B1376" s="165" t="s">
        <v>131</v>
      </c>
      <c r="C1376" s="166">
        <f ca="1">RANK(N1376,N1370:N1394)</f>
        <v>1</v>
      </c>
      <c r="D1376" s="166">
        <f ca="1">RANK(P1376,P1368:P1392)</f>
        <v>2</v>
      </c>
      <c r="E1376" s="189" t="s">
        <v>160</v>
      </c>
      <c r="F1376" s="179">
        <f ca="1">COUNTIFS(Paste_Report_Here!$E$1:$E$2000,E1362, OFFSET(Paste_Report_Here!$A$1,0,$A1376,2000,1),F$75)</f>
        <v>0</v>
      </c>
      <c r="G1376" s="180">
        <f ca="1">COUNTIFS(Paste_Report_Here!$E$1:$E$2000,E1362, OFFSET(Paste_Report_Here!$A$1,0,$A1376,2000,1),G$75)</f>
        <v>0</v>
      </c>
      <c r="H1376" s="180">
        <f ca="1">COUNTIFS(Paste_Report_Here!$E$1:$E$2000,E1362, OFFSET(Paste_Report_Here!$A$1,0,$A1376,2000,1),H$75)</f>
        <v>13</v>
      </c>
      <c r="I1376" s="180">
        <f ca="1">COUNTIFS(Paste_Report_Here!$E$1:$E$2000,E1362, OFFSET(Paste_Report_Here!$A$1,0,$A1376,2000,1),I$75)</f>
        <v>6</v>
      </c>
      <c r="J1376" s="180">
        <f ca="1">COUNTIFS(Paste_Report_Here!$E$1:$E$2000,E1362, OFFSET(Paste_Report_Here!$A$1,0,$A1376,2000,1),J$75)</f>
        <v>3</v>
      </c>
      <c r="K1376" s="181">
        <f ca="1">COUNTIFS(Paste_Report_Here!$E$1:$E$2000,E1362, OFFSET(Paste_Report_Here!$A$1,0,$A1376,2000,1),K$75)</f>
        <v>0</v>
      </c>
      <c r="L1376" s="166">
        <f t="shared" ca="1" si="205"/>
        <v>22</v>
      </c>
      <c r="M1376" s="183">
        <f ca="1">SUMPRODUCT(F1376:K1376,F1366:K1366)/L:L</f>
        <v>2.7272727272727278E-2</v>
      </c>
      <c r="N1376" s="166">
        <f t="shared" ca="1" si="206"/>
        <v>1.027648032193792</v>
      </c>
      <c r="O1376" s="165">
        <f t="shared" ca="1" si="208"/>
        <v>4508.9816757304561</v>
      </c>
      <c r="P1376" s="165">
        <f t="shared" ca="1" si="207"/>
        <v>4633.6461462622701</v>
      </c>
    </row>
    <row r="1377" spans="1:16" s="165" customFormat="1" x14ac:dyDescent="0.3">
      <c r="A1377" s="165">
        <f>MATCH(Calcs!B1377,Paste_Report_Here!$1:$1,0) -1</f>
        <v>14</v>
      </c>
      <c r="B1377" s="165" t="s">
        <v>132</v>
      </c>
      <c r="C1377" s="166">
        <f ca="1">RANK(N1377,N1371:N1395)</f>
        <v>2</v>
      </c>
      <c r="D1377" s="166">
        <f ca="1">RANK(P1377,P1368:P1392)</f>
        <v>14</v>
      </c>
      <c r="E1377" s="189" t="s">
        <v>161</v>
      </c>
      <c r="F1377" s="179">
        <f ca="1">COUNTIFS(Paste_Report_Here!$E$1:$E$2000,E1362, OFFSET(Paste_Report_Here!$A$1,0,$A1377,2000,1),F$75)</f>
        <v>0</v>
      </c>
      <c r="G1377" s="180">
        <f ca="1">COUNTIFS(Paste_Report_Here!$E$1:$E$2000,E1362, OFFSET(Paste_Report_Here!$A$1,0,$A1377,2000,1),G$75)</f>
        <v>0</v>
      </c>
      <c r="H1377" s="180">
        <f ca="1">COUNTIFS(Paste_Report_Here!$E$1:$E$2000,E1362, OFFSET(Paste_Report_Here!$A$1,0,$A1377,2000,1),H$75)</f>
        <v>18</v>
      </c>
      <c r="I1377" s="180">
        <f ca="1">COUNTIFS(Paste_Report_Here!$E$1:$E$2000,E1362, OFFSET(Paste_Report_Here!$A$1,0,$A1377,2000,1),I$75)</f>
        <v>2</v>
      </c>
      <c r="J1377" s="180">
        <f ca="1">COUNTIFS(Paste_Report_Here!$E$1:$E$2000,E1362, OFFSET(Paste_Report_Here!$A$1,0,$A1377,2000,1),J$75)</f>
        <v>2</v>
      </c>
      <c r="K1377" s="181">
        <f ca="1">COUNTIFS(Paste_Report_Here!$E$1:$E$2000,E1362, OFFSET(Paste_Report_Here!$A$1,0,$A1377,2000,1),K$75)</f>
        <v>0</v>
      </c>
      <c r="L1377" s="166">
        <f t="shared" ca="1" si="205"/>
        <v>22</v>
      </c>
      <c r="M1377" s="183">
        <f ca="1">SUMPRODUCT(F1377:K1377,F1366:K1366)/L:L</f>
        <v>1.8181818181818184E-2</v>
      </c>
      <c r="N1377" s="166">
        <f t="shared" ca="1" si="206"/>
        <v>1.0183481137611157</v>
      </c>
      <c r="O1377" s="165">
        <f t="shared" ca="1" si="208"/>
        <v>2101.1796115383886</v>
      </c>
      <c r="P1377" s="165">
        <f t="shared" ca="1" si="207"/>
        <v>2139.732294083432</v>
      </c>
    </row>
    <row r="1378" spans="1:16" s="165" customFormat="1" x14ac:dyDescent="0.3">
      <c r="A1378" s="165">
        <f>MATCH(Calcs!B1378,Paste_Report_Here!$1:$1,0) -1</f>
        <v>15</v>
      </c>
      <c r="B1378" s="165" t="s">
        <v>133</v>
      </c>
      <c r="C1378" s="166">
        <f ca="1">RANK(N1378,N1367:N1391)</f>
        <v>4</v>
      </c>
      <c r="D1378" s="166">
        <f ca="1">RANK(P1378,P1368:P1392)</f>
        <v>6</v>
      </c>
      <c r="E1378" s="189" t="s">
        <v>162</v>
      </c>
      <c r="F1378" s="179">
        <f ca="1">COUNTIFS(Paste_Report_Here!$E$1:$E$2000,E1362, OFFSET(Paste_Report_Here!$A$1,0,$A1378,2000,1),F$75)</f>
        <v>0</v>
      </c>
      <c r="G1378" s="180">
        <f ca="1">COUNTIFS(Paste_Report_Here!$E$1:$E$2000,E1362, OFFSET(Paste_Report_Here!$A$1,0,$A1378,2000,1),G$75)</f>
        <v>1</v>
      </c>
      <c r="H1378" s="180">
        <f ca="1">COUNTIFS(Paste_Report_Here!$E$1:$E$2000,E1362, OFFSET(Paste_Report_Here!$A$1,0,$A1378,2000,1),H$75)</f>
        <v>15</v>
      </c>
      <c r="I1378" s="180">
        <f ca="1">COUNTIFS(Paste_Report_Here!$E$1:$E$2000,E1362, OFFSET(Paste_Report_Here!$A$1,0,$A1378,2000,1),I$75)</f>
        <v>5</v>
      </c>
      <c r="J1378" s="180">
        <f ca="1">COUNTIFS(Paste_Report_Here!$E$1:$E$2000,E1362, OFFSET(Paste_Report_Here!$A$1,0,$A1378,2000,1),J$75)</f>
        <v>1</v>
      </c>
      <c r="K1378" s="181">
        <f ca="1">COUNTIFS(Paste_Report_Here!$E$1:$E$2000,E1362, OFFSET(Paste_Report_Here!$A$1,0,$A1378,2000,1),K$75)</f>
        <v>0</v>
      </c>
      <c r="L1378" s="166">
        <f t="shared" ca="1" si="205"/>
        <v>22</v>
      </c>
      <c r="M1378" s="183">
        <f ca="1">SUMPRODUCT(F1378:K1378,F1366:K1366)/L:L</f>
        <v>9.0909090909090922E-3</v>
      </c>
      <c r="N1378" s="166">
        <f t="shared" ca="1" si="206"/>
        <v>1.0091323569091992</v>
      </c>
      <c r="O1378" s="165">
        <f t="shared" ca="1" si="208"/>
        <v>3065.143043572044</v>
      </c>
      <c r="P1378" s="165">
        <f t="shared" ca="1" si="207"/>
        <v>3093.1350238236932</v>
      </c>
    </row>
    <row r="1379" spans="1:16" s="165" customFormat="1" x14ac:dyDescent="0.3">
      <c r="A1379" s="165">
        <f>MATCH(Calcs!B1379,Paste_Report_Here!$1:$1,0) -1</f>
        <v>16</v>
      </c>
      <c r="B1379" s="165" t="s">
        <v>134</v>
      </c>
      <c r="C1379" s="166">
        <f ca="1">RANK(N1379,N1368:N1392)</f>
        <v>4</v>
      </c>
      <c r="D1379" s="166">
        <f ca="1">RANK(P1379,P1368:P1392)</f>
        <v>24</v>
      </c>
      <c r="E1379" s="189" t="s">
        <v>163</v>
      </c>
      <c r="F1379" s="179">
        <f ca="1">COUNTIFS(Paste_Report_Here!$E$1:$E$2000,E1362, OFFSET(Paste_Report_Here!$A$1,0,$A1379,2000,1),F$75)</f>
        <v>0</v>
      </c>
      <c r="G1379" s="180">
        <f ca="1">COUNTIFS(Paste_Report_Here!$E$1:$E$2000,E1362, OFFSET(Paste_Report_Here!$A$1,0,$A1379,2000,1),G$75)</f>
        <v>1</v>
      </c>
      <c r="H1379" s="180">
        <f ca="1">COUNTIFS(Paste_Report_Here!$E$1:$E$2000,E1362, OFFSET(Paste_Report_Here!$A$1,0,$A1379,2000,1),H$75)</f>
        <v>20</v>
      </c>
      <c r="I1379" s="180">
        <f ca="1">COUNTIFS(Paste_Report_Here!$E$1:$E$2000,E1362, OFFSET(Paste_Report_Here!$A$1,0,$A1379,2000,1),I$75)</f>
        <v>0</v>
      </c>
      <c r="J1379" s="180">
        <f ca="1">COUNTIFS(Paste_Report_Here!$E$1:$E$2000,E1362, OFFSET(Paste_Report_Here!$A$1,0,$A1379,2000,1),J$75)</f>
        <v>1</v>
      </c>
      <c r="K1379" s="181">
        <f ca="1">COUNTIFS(Paste_Report_Here!$E$1:$E$2000,E1362, OFFSET(Paste_Report_Here!$A$1,0,$A1379,2000,1),K$75)</f>
        <v>0</v>
      </c>
      <c r="L1379" s="166">
        <f t="shared" ca="1" si="205"/>
        <v>22</v>
      </c>
      <c r="M1379" s="183">
        <f ca="1">SUMPRODUCT(F1379:K1379,F1366:K1366)/L:L</f>
        <v>9.0909090909090922E-3</v>
      </c>
      <c r="N1379" s="166">
        <f t="shared" ca="1" si="206"/>
        <v>1.0091323569091992</v>
      </c>
      <c r="O1379" s="165">
        <f t="shared" ca="1" si="208"/>
        <v>1144.0908072021971</v>
      </c>
      <c r="P1379" s="165">
        <f t="shared" ca="1" si="207"/>
        <v>1154.5390527901013</v>
      </c>
    </row>
    <row r="1380" spans="1:16" s="165" customFormat="1" x14ac:dyDescent="0.3">
      <c r="A1380" s="165">
        <f>MATCH(Calcs!B1380,Paste_Report_Here!$1:$1,0) -1</f>
        <v>17</v>
      </c>
      <c r="B1380" s="165" t="s">
        <v>135</v>
      </c>
      <c r="C1380" s="166">
        <f ca="1">RANK(N1380,N1368:N1392)</f>
        <v>2</v>
      </c>
      <c r="D1380" s="166">
        <f ca="1">RANK(P1380,P1368:P1392)</f>
        <v>20</v>
      </c>
      <c r="E1380" s="189" t="s">
        <v>164</v>
      </c>
      <c r="F1380" s="179">
        <f ca="1">COUNTIFS(Paste_Report_Here!$E$1:$E$2000,E1362, OFFSET(Paste_Report_Here!$A$1,0,$A1380,2000,1),F$75)</f>
        <v>0</v>
      </c>
      <c r="G1380" s="180">
        <f ca="1">COUNTIFS(Paste_Report_Here!$E$1:$E$2000,E1362, OFFSET(Paste_Report_Here!$A$1,0,$A1380,2000,1),G$75)</f>
        <v>1</v>
      </c>
      <c r="H1380" s="180">
        <f ca="1">COUNTIFS(Paste_Report_Here!$E$1:$E$2000,E1362, OFFSET(Paste_Report_Here!$A$1,0,$A1380,2000,1),H$75)</f>
        <v>17</v>
      </c>
      <c r="I1380" s="180">
        <f ca="1">COUNTIFS(Paste_Report_Here!$E$1:$E$2000,E1362, OFFSET(Paste_Report_Here!$A$1,0,$A1380,2000,1),I$75)</f>
        <v>2</v>
      </c>
      <c r="J1380" s="180">
        <f ca="1">COUNTIFS(Paste_Report_Here!$E$1:$E$2000,E1362, OFFSET(Paste_Report_Here!$A$1,0,$A1380,2000,1),J$75)</f>
        <v>2</v>
      </c>
      <c r="K1380" s="181">
        <f ca="1">COUNTIFS(Paste_Report_Here!$E$1:$E$2000,E1362, OFFSET(Paste_Report_Here!$A$1,0,$A1380,2000,1),K$75)</f>
        <v>0</v>
      </c>
      <c r="L1380" s="166">
        <f t="shared" ca="1" si="205"/>
        <v>22</v>
      </c>
      <c r="M1380" s="183">
        <f ca="1">SUMPRODUCT(F1380:K1380,F1366:K1366)/L:L</f>
        <v>1.8181818181818184E-2</v>
      </c>
      <c r="N1380" s="166">
        <f t="shared" ca="1" si="206"/>
        <v>1.0183481137611157</v>
      </c>
      <c r="O1380" s="165">
        <f t="shared" ca="1" si="208"/>
        <v>1867.2571177961681</v>
      </c>
      <c r="P1380" s="165">
        <f t="shared" ca="1" si="207"/>
        <v>1901.5177638147452</v>
      </c>
    </row>
    <row r="1381" spans="1:16" s="165" customFormat="1" x14ac:dyDescent="0.3">
      <c r="A1381" s="165">
        <f>MATCH(Calcs!B1381,Paste_Report_Here!$1:$1,0) -1</f>
        <v>18</v>
      </c>
      <c r="B1381" s="165" t="s">
        <v>136</v>
      </c>
      <c r="C1381" s="166">
        <f ca="1">RANK(N1381,N1370:N1394)</f>
        <v>4</v>
      </c>
      <c r="D1381" s="166">
        <f ca="1">RANK(P1381,P1368:P1392)</f>
        <v>4</v>
      </c>
      <c r="E1381" s="189" t="s">
        <v>165</v>
      </c>
      <c r="F1381" s="179">
        <f ca="1">COUNTIFS(Paste_Report_Here!$E$1:$E$2000,E1362, OFFSET(Paste_Report_Here!$A$1,0,$A1381,2000,1),F$75)</f>
        <v>0</v>
      </c>
      <c r="G1381" s="180">
        <f ca="1">COUNTIFS(Paste_Report_Here!$E$1:$E$2000,E1362, OFFSET(Paste_Report_Here!$A$1,0,$A1381,2000,1),G$75)</f>
        <v>1</v>
      </c>
      <c r="H1381" s="180">
        <f ca="1">COUNTIFS(Paste_Report_Here!$E$1:$E$2000,E1362, OFFSET(Paste_Report_Here!$A$1,0,$A1381,2000,1),H$75)</f>
        <v>16</v>
      </c>
      <c r="I1381" s="180">
        <f ca="1">COUNTIFS(Paste_Report_Here!$E$1:$E$2000,E1362, OFFSET(Paste_Report_Here!$A$1,0,$A1381,2000,1),I$75)</f>
        <v>4</v>
      </c>
      <c r="J1381" s="180">
        <f ca="1">COUNTIFS(Paste_Report_Here!$E$1:$E$2000,E1362, OFFSET(Paste_Report_Here!$A$1,0,$A1381,2000,1),J$75)</f>
        <v>1</v>
      </c>
      <c r="K1381" s="181">
        <f ca="1">COUNTIFS(Paste_Report_Here!$E$1:$E$2000,E1362, OFFSET(Paste_Report_Here!$A$1,0,$A1381,2000,1),K$75)</f>
        <v>0</v>
      </c>
      <c r="L1381" s="166">
        <f t="shared" ca="1" si="205"/>
        <v>22</v>
      </c>
      <c r="M1381" s="183">
        <f ca="1">SUMPRODUCT(F1381:K1381,F1366:K1366)/L:L</f>
        <v>9.0909090909090922E-3</v>
      </c>
      <c r="N1381" s="166">
        <f t="shared" ca="1" si="206"/>
        <v>1.0091323569091992</v>
      </c>
      <c r="O1381" s="165">
        <f t="shared" ca="1" si="208"/>
        <v>4093.5365913414671</v>
      </c>
      <c r="P1381" s="165">
        <f t="shared" ca="1" si="207"/>
        <v>4130.9202285144638</v>
      </c>
    </row>
    <row r="1382" spans="1:16" s="165" customFormat="1" x14ac:dyDescent="0.3">
      <c r="A1382" s="165">
        <f>MATCH(Calcs!B1382,Paste_Report_Here!$1:$1,0) -1</f>
        <v>19</v>
      </c>
      <c r="B1382" s="165" t="s">
        <v>137</v>
      </c>
      <c r="C1382" s="166">
        <f ca="1">RANK(N1382,N1371:N1395)</f>
        <v>4</v>
      </c>
      <c r="D1382" s="166">
        <f ca="1">RANK(P1382,P1368:P1392)</f>
        <v>13</v>
      </c>
      <c r="E1382" s="189" t="s">
        <v>166</v>
      </c>
      <c r="F1382" s="179">
        <f ca="1">COUNTIFS(Paste_Report_Here!$E$1:$E$2000,E1362, OFFSET(Paste_Report_Here!$A$1,0,$A1382,2000,1),F$75)</f>
        <v>0</v>
      </c>
      <c r="G1382" s="180">
        <f ca="1">COUNTIFS(Paste_Report_Here!$E$1:$E$2000,E1362, OFFSET(Paste_Report_Here!$A$1,0,$A1382,2000,1),G$75)</f>
        <v>1</v>
      </c>
      <c r="H1382" s="180">
        <f ca="1">COUNTIFS(Paste_Report_Here!$E$1:$E$2000,E1362, OFFSET(Paste_Report_Here!$A$1,0,$A1382,2000,1),H$75)</f>
        <v>17</v>
      </c>
      <c r="I1382" s="180">
        <f ca="1">COUNTIFS(Paste_Report_Here!$E$1:$E$2000,E1362, OFFSET(Paste_Report_Here!$A$1,0,$A1382,2000,1),I$75)</f>
        <v>3</v>
      </c>
      <c r="J1382" s="180">
        <f ca="1">COUNTIFS(Paste_Report_Here!$E$1:$E$2000,E1362, OFFSET(Paste_Report_Here!$A$1,0,$A1382,2000,1),J$75)</f>
        <v>1</v>
      </c>
      <c r="K1382" s="181">
        <f ca="1">COUNTIFS(Paste_Report_Here!$E$1:$E$2000,E1362, OFFSET(Paste_Report_Here!$A$1,0,$A1382,2000,1),K$75)</f>
        <v>0</v>
      </c>
      <c r="L1382" s="166">
        <f t="shared" ca="1" si="205"/>
        <v>22</v>
      </c>
      <c r="M1382" s="183">
        <f ca="1">SUMPRODUCT(F1382:K1382,F1366:K1366)/L:L</f>
        <v>9.0909090909090922E-3</v>
      </c>
      <c r="N1382" s="166">
        <f t="shared" ca="1" si="206"/>
        <v>1.0091323569091992</v>
      </c>
      <c r="O1382" s="165">
        <f t="shared" ca="1" si="208"/>
        <v>2212.1632509028609</v>
      </c>
      <c r="P1382" s="165">
        <f t="shared" ca="1" si="207"/>
        <v>2232.3655152515203</v>
      </c>
    </row>
    <row r="1383" spans="1:16" s="165" customFormat="1" x14ac:dyDescent="0.3">
      <c r="A1383" s="165">
        <f>MATCH(Calcs!B1383,Paste_Report_Here!$1:$1,0) -1</f>
        <v>20</v>
      </c>
      <c r="B1383" s="165" t="s">
        <v>138</v>
      </c>
      <c r="C1383" s="166">
        <f ca="1">RANK(N1383,N1369:N1393)</f>
        <v>4</v>
      </c>
      <c r="D1383" s="166">
        <f ca="1">RANK(P1383,P1368:P1392)</f>
        <v>19</v>
      </c>
      <c r="E1383" s="189" t="s">
        <v>167</v>
      </c>
      <c r="F1383" s="179">
        <f ca="1">COUNTIFS(Paste_Report_Here!$E$1:$E$2000,E1362, OFFSET(Paste_Report_Here!$A$1,0,$A1383,2000,1),F$75)</f>
        <v>0</v>
      </c>
      <c r="G1383" s="180">
        <f ca="1">COUNTIFS(Paste_Report_Here!$E$1:$E$2000,E1362, OFFSET(Paste_Report_Here!$A$1,0,$A1383,2000,1),G$75)</f>
        <v>1</v>
      </c>
      <c r="H1383" s="180">
        <f ca="1">COUNTIFS(Paste_Report_Here!$E$1:$E$2000,E1362, OFFSET(Paste_Report_Here!$A$1,0,$A1383,2000,1),H$75)</f>
        <v>16</v>
      </c>
      <c r="I1383" s="180">
        <f ca="1">COUNTIFS(Paste_Report_Here!$E$1:$E$2000,E1362, OFFSET(Paste_Report_Here!$A$1,0,$A1383,2000,1),I$75)</f>
        <v>4</v>
      </c>
      <c r="J1383" s="180">
        <f ca="1">COUNTIFS(Paste_Report_Here!$E$1:$E$2000,E1362, OFFSET(Paste_Report_Here!$A$1,0,$A1383,2000,1),J$75)</f>
        <v>1</v>
      </c>
      <c r="K1383" s="181">
        <f ca="1">COUNTIFS(Paste_Report_Here!$E$1:$E$2000,E1362, OFFSET(Paste_Report_Here!$A$1,0,$A1383,2000,1),K$75)</f>
        <v>0</v>
      </c>
      <c r="L1383" s="166">
        <f t="shared" ca="1" si="205"/>
        <v>22</v>
      </c>
      <c r="M1383" s="183">
        <f ca="1">SUMPRODUCT(F1383:K1383,F1366:K1366)/L:L</f>
        <v>9.0909090909090922E-3</v>
      </c>
      <c r="N1383" s="166">
        <f t="shared" ca="1" si="206"/>
        <v>1.0091323569091992</v>
      </c>
      <c r="O1383" s="165">
        <f t="shared" ca="1" si="208"/>
        <v>1928.8667885917364</v>
      </c>
      <c r="P1383" s="165">
        <f t="shared" ca="1" si="207"/>
        <v>1946.4818885354571</v>
      </c>
    </row>
    <row r="1384" spans="1:16" s="165" customFormat="1" x14ac:dyDescent="0.3">
      <c r="A1384" s="165">
        <f>MATCH(Calcs!B1384,Paste_Report_Here!$1:$1,0) -1</f>
        <v>21</v>
      </c>
      <c r="B1384" s="165" t="s">
        <v>139</v>
      </c>
      <c r="C1384" s="166">
        <f ca="1">RANK(N1384,N1368:N1392)</f>
        <v>4</v>
      </c>
      <c r="D1384" s="166">
        <f ca="1">RANK(P1384,P1368:P1392)</f>
        <v>18</v>
      </c>
      <c r="E1384" s="189" t="s">
        <v>168</v>
      </c>
      <c r="F1384" s="179">
        <f ca="1">COUNTIFS(Paste_Report_Here!$E$1:$E$2000,E1362, OFFSET(Paste_Report_Here!$A$1,0,$A1384,2000,1),F$75)</f>
        <v>0</v>
      </c>
      <c r="G1384" s="180">
        <f ca="1">COUNTIFS(Paste_Report_Here!$E$1:$E$2000,E1362, OFFSET(Paste_Report_Here!$A$1,0,$A1384,2000,1),G$75)</f>
        <v>2</v>
      </c>
      <c r="H1384" s="180">
        <f ca="1">COUNTIFS(Paste_Report_Here!$E$1:$E$2000,E1362, OFFSET(Paste_Report_Here!$A$1,0,$A1384,2000,1),H$75)</f>
        <v>17</v>
      </c>
      <c r="I1384" s="180">
        <f ca="1">COUNTIFS(Paste_Report_Here!$E$1:$E$2000,E1362, OFFSET(Paste_Report_Here!$A$1,0,$A1384,2000,1),I$75)</f>
        <v>2</v>
      </c>
      <c r="J1384" s="180">
        <f ca="1">COUNTIFS(Paste_Report_Here!$E$1:$E$2000,E1362, OFFSET(Paste_Report_Here!$A$1,0,$A1384,2000,1),J$75)</f>
        <v>1</v>
      </c>
      <c r="K1384" s="181">
        <f ca="1">COUNTIFS(Paste_Report_Here!$E$1:$E$2000,E1362, OFFSET(Paste_Report_Here!$A$1,0,$A1384,2000,1),K$75)</f>
        <v>0</v>
      </c>
      <c r="L1384" s="166">
        <f t="shared" ca="1" si="205"/>
        <v>22</v>
      </c>
      <c r="M1384" s="183">
        <f ca="1">SUMPRODUCT(F1384:K1384,F1366:K1366)/L:L</f>
        <v>9.0909090909090922E-3</v>
      </c>
      <c r="N1384" s="166">
        <f t="shared" ca="1" si="206"/>
        <v>1.0091323569091992</v>
      </c>
      <c r="O1384" s="165">
        <f t="shared" ca="1" si="208"/>
        <v>1994.100772501703</v>
      </c>
      <c r="P1384" s="165">
        <f t="shared" ca="1" si="207"/>
        <v>2012.3116124690985</v>
      </c>
    </row>
    <row r="1385" spans="1:16" s="165" customFormat="1" x14ac:dyDescent="0.3">
      <c r="A1385" s="165">
        <f>MATCH(Calcs!B1385,Paste_Report_Here!$1:$1,0) -1</f>
        <v>22</v>
      </c>
      <c r="B1385" s="165" t="s">
        <v>140</v>
      </c>
      <c r="C1385" s="166">
        <f ca="1">RANK(N1385,N1368:N1392)</f>
        <v>4</v>
      </c>
      <c r="D1385" s="166">
        <f ca="1">RANK(P1385,P1368:P1392)</f>
        <v>15</v>
      </c>
      <c r="E1385" s="189" t="s">
        <v>169</v>
      </c>
      <c r="F1385" s="179">
        <f ca="1">COUNTIFS(Paste_Report_Here!$E$1:$E$2000,E1362, OFFSET(Paste_Report_Here!$A$1,0,$A1385,2000,1),F$75)</f>
        <v>0</v>
      </c>
      <c r="G1385" s="180">
        <f ca="1">COUNTIFS(Paste_Report_Here!$E$1:$E$2000,E1362, OFFSET(Paste_Report_Here!$A$1,0,$A1385,2000,1),G$75)</f>
        <v>1</v>
      </c>
      <c r="H1385" s="180">
        <f ca="1">COUNTIFS(Paste_Report_Here!$E$1:$E$2000,E1362, OFFSET(Paste_Report_Here!$A$1,0,$A1385,2000,1),H$75)</f>
        <v>17</v>
      </c>
      <c r="I1385" s="180">
        <f ca="1">COUNTIFS(Paste_Report_Here!$E$1:$E$2000,E1362, OFFSET(Paste_Report_Here!$A$1,0,$A1385,2000,1),I$75)</f>
        <v>3</v>
      </c>
      <c r="J1385" s="180">
        <f ca="1">COUNTIFS(Paste_Report_Here!$E$1:$E$2000,E1362, OFFSET(Paste_Report_Here!$A$1,0,$A1385,2000,1),J$75)</f>
        <v>1</v>
      </c>
      <c r="K1385" s="181">
        <f ca="1">COUNTIFS(Paste_Report_Here!$E$1:$E$2000,E1362, OFFSET(Paste_Report_Here!$A$1,0,$A1385,2000,1),K$75)</f>
        <v>0</v>
      </c>
      <c r="L1385" s="166">
        <f t="shared" ca="1" si="205"/>
        <v>22</v>
      </c>
      <c r="M1385" s="183">
        <f ca="1">SUMPRODUCT(F1385:K1385,F1366:K1366)/L:L</f>
        <v>9.0909090909090922E-3</v>
      </c>
      <c r="N1385" s="166">
        <f t="shared" ca="1" si="206"/>
        <v>1.0091323569091992</v>
      </c>
      <c r="O1385" s="165">
        <f t="shared" ca="1" si="208"/>
        <v>2099.3125049613859</v>
      </c>
      <c r="P1385" s="165">
        <f t="shared" ca="1" si="207"/>
        <v>2118.4841760206382</v>
      </c>
    </row>
    <row r="1386" spans="1:16" s="165" customFormat="1" x14ac:dyDescent="0.3">
      <c r="A1386" s="165">
        <f>MATCH(Calcs!B1386,Paste_Report_Here!$1:$1,0) -1</f>
        <v>23</v>
      </c>
      <c r="B1386" s="165" t="s">
        <v>186</v>
      </c>
      <c r="C1386" s="166">
        <f ca="1">RANK(N1386,N1368:N1392)</f>
        <v>4</v>
      </c>
      <c r="D1386" s="166">
        <f ca="1">RANK(P1386,P1368:P1392)</f>
        <v>3</v>
      </c>
      <c r="E1386" s="189" t="s">
        <v>180</v>
      </c>
      <c r="F1386" s="179">
        <f ca="1">COUNTIFS(Paste_Report_Here!$E$1:$E$2000,E1362, OFFSET(Paste_Report_Here!$A$1,0,$A1386,2000,1),F$75)</f>
        <v>0</v>
      </c>
      <c r="G1386" s="180">
        <f ca="1">COUNTIFS(Paste_Report_Here!$E$1:$E$2000,E1362, OFFSET(Paste_Report_Here!$A$1,0,$A1386,2000,1),G$75)</f>
        <v>1</v>
      </c>
      <c r="H1386" s="180">
        <f ca="1">COUNTIFS(Paste_Report_Here!$E$1:$E$2000,E1362, OFFSET(Paste_Report_Here!$A$1,0,$A1386,2000,1),H$75)</f>
        <v>16</v>
      </c>
      <c r="I1386" s="180">
        <f ca="1">COUNTIFS(Paste_Report_Here!$E$1:$E$2000,E1362, OFFSET(Paste_Report_Here!$A$1,0,$A1386,2000,1),I$75)</f>
        <v>4</v>
      </c>
      <c r="J1386" s="180">
        <f ca="1">COUNTIFS(Paste_Report_Here!$E$1:$E$2000,E1362, OFFSET(Paste_Report_Here!$A$1,0,$A1386,2000,1),J$75)</f>
        <v>1</v>
      </c>
      <c r="K1386" s="181">
        <f ca="1">COUNTIFS(Paste_Report_Here!$E$1:$E$2000,E1362, OFFSET(Paste_Report_Here!$A$1,0,$A1386,2000,1),K$75)</f>
        <v>0</v>
      </c>
      <c r="L1386" s="166">
        <f t="shared" ca="1" si="205"/>
        <v>22</v>
      </c>
      <c r="M1386" s="183">
        <f ca="1">SUMPRODUCT(F1386:K1386,F1366:K1366)/L:L</f>
        <v>9.0909090909090922E-3</v>
      </c>
      <c r="N1386" s="166">
        <f t="shared" ca="1" si="206"/>
        <v>1.0091323569091992</v>
      </c>
      <c r="O1386" s="165">
        <f t="shared" ca="1" si="208"/>
        <v>4143.8479422603104</v>
      </c>
      <c r="P1386" s="165">
        <f t="shared" ca="1" si="207"/>
        <v>4181.6910406464822</v>
      </c>
    </row>
    <row r="1387" spans="1:16" s="165" customFormat="1" x14ac:dyDescent="0.3">
      <c r="A1387" s="165">
        <f>MATCH(Calcs!B1387,Paste_Report_Here!$1:$1,0) -1</f>
        <v>24</v>
      </c>
      <c r="B1387" s="165" t="s">
        <v>209</v>
      </c>
      <c r="C1387" s="166">
        <f ca="1">RANK(N1387,N1368:N1392)</f>
        <v>17</v>
      </c>
      <c r="D1387" s="166">
        <f ca="1">RANK(P1387,P1368:P1392)</f>
        <v>23</v>
      </c>
      <c r="E1387" s="202" t="s">
        <v>211</v>
      </c>
      <c r="F1387" s="179">
        <f ca="1">COUNTIFS(Paste_Report_Here!$E$1:$E$2000,E1362, OFFSET(Paste_Report_Here!$A$1,0,$A1387,2000,1),F$75)</f>
        <v>0</v>
      </c>
      <c r="G1387" s="180">
        <f ca="1">COUNTIFS(Paste_Report_Here!$E$1:$E$2000,E1362, OFFSET(Paste_Report_Here!$A$1,0,$A1387,2000,1),G$75)</f>
        <v>1</v>
      </c>
      <c r="H1387" s="180">
        <f ca="1">COUNTIFS(Paste_Report_Here!$E$1:$E$2000,E1362, OFFSET(Paste_Report_Here!$A$1,0,$A1387,2000,1),H$75)</f>
        <v>20</v>
      </c>
      <c r="I1387" s="180">
        <f ca="1">COUNTIFS(Paste_Report_Here!$E$1:$E$2000,E1362, OFFSET(Paste_Report_Here!$A$1,0,$A1387,2000,1),I$75)</f>
        <v>0</v>
      </c>
      <c r="J1387" s="180">
        <f ca="1">COUNTIFS(Paste_Report_Here!$E$1:$E$2000,E1362, OFFSET(Paste_Report_Here!$A$1,0,$A1387,2000,1),J$75)</f>
        <v>0</v>
      </c>
      <c r="K1387" s="181">
        <f ca="1">COUNTIFS(Paste_Report_Here!$E$1:$E$2000,E1362, OFFSET(Paste_Report_Here!$A$1,0,$A1387,2000,1),K$75)</f>
        <v>1</v>
      </c>
      <c r="L1387" s="166">
        <f t="shared" ca="1" si="205"/>
        <v>22</v>
      </c>
      <c r="M1387" s="183">
        <f ca="1">SUMPRODUCT(F1387:K1387,F1366:K1366)/L:L</f>
        <v>0</v>
      </c>
      <c r="N1387" s="166">
        <f t="shared" ca="1" si="206"/>
        <v>1</v>
      </c>
      <c r="O1387" s="165">
        <f t="shared" ca="1" si="208"/>
        <v>1233.3207180696568</v>
      </c>
      <c r="P1387" s="165">
        <f t="shared" ca="1" si="207"/>
        <v>1233.3207180696568</v>
      </c>
    </row>
    <row r="1388" spans="1:16" s="165" customFormat="1" x14ac:dyDescent="0.3">
      <c r="A1388" s="165">
        <f>MATCH(Calcs!B1388,Paste_Report_Here!$1:$1,0) -1</f>
        <v>25</v>
      </c>
      <c r="B1388" s="165" t="s">
        <v>141</v>
      </c>
      <c r="C1388" s="166">
        <f ca="1">RANK(N1388,N1368:N1392)</f>
        <v>17</v>
      </c>
      <c r="D1388" s="166">
        <f ca="1">RANK(P1388,P1368:P1392)</f>
        <v>22</v>
      </c>
      <c r="E1388" s="189" t="s">
        <v>170</v>
      </c>
      <c r="F1388" s="179">
        <f ca="1">COUNTIFS(Paste_Report_Here!$E$1:$E$2000,E1362, OFFSET(Paste_Report_Here!$A$1,0,$A1388,2000,1),F$75)</f>
        <v>1</v>
      </c>
      <c r="G1388" s="180">
        <f ca="1">COUNTIFS(Paste_Report_Here!$E$1:$E$2000,E1362, OFFSET(Paste_Report_Here!$A$1,0,$A1388,2000,1),G$75)</f>
        <v>1</v>
      </c>
      <c r="H1388" s="180">
        <f ca="1">COUNTIFS(Paste_Report_Here!$E$1:$E$2000,E1362, OFFSET(Paste_Report_Here!$A$1,0,$A1388,2000,1),H$75)</f>
        <v>15</v>
      </c>
      <c r="I1388" s="180">
        <f ca="1">COUNTIFS(Paste_Report_Here!$E$1:$E$2000,E1362, OFFSET(Paste_Report_Here!$A$1,0,$A1388,2000,1),I$75)</f>
        <v>4</v>
      </c>
      <c r="J1388" s="180">
        <f ca="1">COUNTIFS(Paste_Report_Here!$E$1:$E$2000,E1362, OFFSET(Paste_Report_Here!$A$1,0,$A1388,2000,1),J$75)</f>
        <v>1</v>
      </c>
      <c r="K1388" s="181">
        <f ca="1">COUNTIFS(Paste_Report_Here!$E$1:$E$2000,E1362, OFFSET(Paste_Report_Here!$A$1,0,$A1388,2000,1),K$75)</f>
        <v>0</v>
      </c>
      <c r="L1388" s="166">
        <f t="shared" ca="1" si="205"/>
        <v>22</v>
      </c>
      <c r="M1388" s="183">
        <f ca="1">SUMPRODUCT(F1388:K1388,F1366:K1366)/L:L</f>
        <v>0</v>
      </c>
      <c r="N1388" s="166">
        <f t="shared" ca="1" si="206"/>
        <v>1</v>
      </c>
      <c r="O1388" s="165">
        <f t="shared" ca="1" si="208"/>
        <v>1380.2738490361658</v>
      </c>
      <c r="P1388" s="165">
        <f t="shared" ca="1" si="207"/>
        <v>1380.2738490361658</v>
      </c>
    </row>
    <row r="1389" spans="1:16" s="165" customFormat="1" x14ac:dyDescent="0.3">
      <c r="A1389" s="165">
        <f>MATCH(Calcs!B1389,Paste_Report_Here!$1:$1,0) -1</f>
        <v>26</v>
      </c>
      <c r="B1389" s="165" t="s">
        <v>142</v>
      </c>
      <c r="C1389" s="166">
        <f ca="1">RANK(N1389,N1368:N1392)</f>
        <v>4</v>
      </c>
      <c r="D1389" s="166">
        <f ca="1">RANK(P1389,P1368:P1392)</f>
        <v>12</v>
      </c>
      <c r="E1389" s="189" t="s">
        <v>171</v>
      </c>
      <c r="F1389" s="179">
        <f ca="1">COUNTIFS(Paste_Report_Here!$E$1:$E$2000,E1362, OFFSET(Paste_Report_Here!$A$1,0,$A1389,2000,1),F$75)</f>
        <v>0</v>
      </c>
      <c r="G1389" s="180">
        <f ca="1">COUNTIFS(Paste_Report_Here!$E$1:$E$2000,E1362, OFFSET(Paste_Report_Here!$A$1,0,$A1389,2000,1),G$75)</f>
        <v>1</v>
      </c>
      <c r="H1389" s="180">
        <f ca="1">COUNTIFS(Paste_Report_Here!$E$1:$E$2000,E1362, OFFSET(Paste_Report_Here!$A$1,0,$A1389,2000,1),H$75)</f>
        <v>17</v>
      </c>
      <c r="I1389" s="180">
        <f ca="1">COUNTIFS(Paste_Report_Here!$E$1:$E$2000,E1362, OFFSET(Paste_Report_Here!$A$1,0,$A1389,2000,1),I$75)</f>
        <v>3</v>
      </c>
      <c r="J1389" s="180">
        <f ca="1">COUNTIFS(Paste_Report_Here!$E$1:$E$2000,E1362, OFFSET(Paste_Report_Here!$A$1,0,$A1389,2000,1),J$75)</f>
        <v>1</v>
      </c>
      <c r="K1389" s="181">
        <f ca="1">COUNTIFS(Paste_Report_Here!$E$1:$E$2000,E1362, OFFSET(Paste_Report_Here!$A$1,0,$A1389,2000,1),K$75)</f>
        <v>0</v>
      </c>
      <c r="L1389" s="166">
        <f t="shared" ca="1" si="205"/>
        <v>22</v>
      </c>
      <c r="M1389" s="183">
        <f ca="1">SUMPRODUCT(F1389:K1389,F1366:K1366)/L:L</f>
        <v>9.0909090909090922E-3</v>
      </c>
      <c r="N1389" s="166">
        <f t="shared" ca="1" si="206"/>
        <v>1.0091323569091992</v>
      </c>
      <c r="O1389" s="165">
        <f t="shared" ca="1" si="208"/>
        <v>2264.4028469182736</v>
      </c>
      <c r="P1389" s="165">
        <f t="shared" ca="1" si="207"/>
        <v>2285.0821819025382</v>
      </c>
    </row>
    <row r="1390" spans="1:16" s="165" customFormat="1" x14ac:dyDescent="0.3">
      <c r="A1390" s="165">
        <f>MATCH(Calcs!B1390,Paste_Report_Here!$1:$1,0) -1</f>
        <v>27</v>
      </c>
      <c r="B1390" s="165" t="s">
        <v>210</v>
      </c>
      <c r="C1390" s="166">
        <f ca="1">RANK(N1390,N1368:N1392)</f>
        <v>23</v>
      </c>
      <c r="D1390" s="166">
        <f ca="1">RANK(P1390,P1368:P1392)</f>
        <v>25</v>
      </c>
      <c r="E1390" s="202" t="s">
        <v>212</v>
      </c>
      <c r="F1390" s="179">
        <f ca="1">COUNTIFS(Paste_Report_Here!$E$1:$E$2000,E1362, OFFSET(Paste_Report_Here!$A$1,0,$A1390,2000,1),F$75)</f>
        <v>1</v>
      </c>
      <c r="G1390" s="180">
        <f ca="1">COUNTIFS(Paste_Report_Here!$E$1:$E$2000,E1362, OFFSET(Paste_Report_Here!$A$1,0,$A1390,2000,1),G$75)</f>
        <v>0</v>
      </c>
      <c r="H1390" s="180">
        <f ca="1">COUNTIFS(Paste_Report_Here!$E$1:$E$2000,E1362, OFFSET(Paste_Report_Here!$A$1,0,$A1390,2000,1),H$75)</f>
        <v>20</v>
      </c>
      <c r="I1390" s="180">
        <f ca="1">COUNTIFS(Paste_Report_Here!$E$1:$E$2000,E1362, OFFSET(Paste_Report_Here!$A$1,0,$A1390,2000,1),I$75)</f>
        <v>1</v>
      </c>
      <c r="J1390" s="180">
        <f ca="1">COUNTIFS(Paste_Report_Here!$E$1:$E$2000,E1362, OFFSET(Paste_Report_Here!$A$1,0,$A1390,2000,1),J$75)</f>
        <v>0</v>
      </c>
      <c r="K1390" s="181">
        <f ca="1">COUNTIFS(Paste_Report_Here!$E$1:$E$2000,E1362, OFFSET(Paste_Report_Here!$A$1,0,$A1390,2000,1),K$75)</f>
        <v>0</v>
      </c>
      <c r="L1390" s="166">
        <f t="shared" ca="1" si="205"/>
        <v>22</v>
      </c>
      <c r="M1390" s="183">
        <f ca="1">SUMPRODUCT(F1390:K1390,F1366:K1366)/L:L</f>
        <v>-9.0909090909090922E-3</v>
      </c>
      <c r="N1390" s="166">
        <f t="shared" ca="1" si="206"/>
        <v>0.9909502882880793</v>
      </c>
      <c r="O1390" s="165">
        <f t="shared" ca="1" si="208"/>
        <v>1154.1143942862559</v>
      </c>
      <c r="P1390" s="165">
        <f t="shared" ca="1" si="207"/>
        <v>1143.6699917353874</v>
      </c>
    </row>
    <row r="1391" spans="1:16" s="165" customFormat="1" x14ac:dyDescent="0.3">
      <c r="A1391" s="165">
        <f>MATCH(Calcs!B1391,Paste_Report_Here!$1:$1,0) -1</f>
        <v>28</v>
      </c>
      <c r="B1391" s="165" t="s">
        <v>143</v>
      </c>
      <c r="C1391" s="166">
        <f ca="1">RANK(N1391,N1369:N1393)</f>
        <v>4</v>
      </c>
      <c r="D1391" s="166">
        <f ca="1">RANK(P1391,P1368:P1392)</f>
        <v>1</v>
      </c>
      <c r="E1391" s="189" t="s">
        <v>172</v>
      </c>
      <c r="F1391" s="179">
        <f ca="1">COUNTIFS(Paste_Report_Here!$E$1:$E$2000,E1362, OFFSET(Paste_Report_Here!$A$1,0,$A1391,2000,1),F$75)</f>
        <v>0</v>
      </c>
      <c r="G1391" s="180">
        <f ca="1">COUNTIFS(Paste_Report_Here!$E$1:$E$2000,E1362, OFFSET(Paste_Report_Here!$A$1,0,$A1391,2000,1),G$75)</f>
        <v>0</v>
      </c>
      <c r="H1391" s="180">
        <f ca="1">COUNTIFS(Paste_Report_Here!$E$1:$E$2000,E1362, OFFSET(Paste_Report_Here!$A$1,0,$A1391,2000,1),H$75)</f>
        <v>17</v>
      </c>
      <c r="I1391" s="180">
        <f ca="1">COUNTIFS(Paste_Report_Here!$E$1:$E$2000,E1362, OFFSET(Paste_Report_Here!$A$1,0,$A1391,2000,1),I$75)</f>
        <v>4</v>
      </c>
      <c r="J1391" s="180">
        <f ca="1">COUNTIFS(Paste_Report_Here!$E$1:$E$2000,E1362, OFFSET(Paste_Report_Here!$A$1,0,$A1391,2000,1),J$75)</f>
        <v>1</v>
      </c>
      <c r="K1391" s="181">
        <f ca="1">COUNTIFS(Paste_Report_Here!$E$1:$E$2000,E1362, OFFSET(Paste_Report_Here!$A$1,0,$A1391,2000,1),K$75)</f>
        <v>0</v>
      </c>
      <c r="L1391" s="166">
        <f t="shared" ca="1" si="205"/>
        <v>22</v>
      </c>
      <c r="M1391" s="183">
        <f ca="1">SUMPRODUCT(F1391:K1391,F1366:K1366)/L:L</f>
        <v>9.0909090909090922E-3</v>
      </c>
      <c r="N1391" s="166">
        <f t="shared" ca="1" si="206"/>
        <v>1.0091323569091992</v>
      </c>
      <c r="O1391" s="165">
        <f t="shared" ca="1" si="208"/>
        <v>9314.8299200112669</v>
      </c>
      <c r="P1391" s="165">
        <f t="shared" ca="1" si="207"/>
        <v>9399.8962713892979</v>
      </c>
    </row>
    <row r="1392" spans="1:16" s="165" customFormat="1" x14ac:dyDescent="0.3">
      <c r="A1392" s="165">
        <f>MATCH(Calcs!B1392,Paste_Report_Here!$1:$1,0) -1</f>
        <v>29</v>
      </c>
      <c r="B1392" s="187" t="s">
        <v>144</v>
      </c>
      <c r="C1392" s="147">
        <f ca="1">RANK(N1392,N1368:N1392)</f>
        <v>17</v>
      </c>
      <c r="D1392" s="147">
        <f ca="1">RANK(P1392,P1368:P1392)</f>
        <v>11</v>
      </c>
      <c r="E1392" s="145" t="s">
        <v>173</v>
      </c>
      <c r="F1392" s="146">
        <f ca="1">COUNTIFS(Paste_Report_Here!$E$1:$E$2000,E1362, OFFSET(Paste_Report_Here!$A$1,0,$A1392,2000,1),F$75)</f>
        <v>0</v>
      </c>
      <c r="G1392" s="147">
        <f ca="1">COUNTIFS(Paste_Report_Here!$E$1:$E$2000,E1362, OFFSET(Paste_Report_Here!$A$1,0,$A1392,2000,1),G$75)</f>
        <v>0</v>
      </c>
      <c r="H1392" s="147">
        <f ca="1">COUNTIFS(Paste_Report_Here!$E$1:$E$2000,E1362, OFFSET(Paste_Report_Here!$A$1,0,$A1392,2000,1),H$75)</f>
        <v>18</v>
      </c>
      <c r="I1392" s="147">
        <f ca="1">COUNTIFS(Paste_Report_Here!$E$1:$E$2000,E1362, OFFSET(Paste_Report_Here!$A$1,0,$A1392,2000,1),I$75)</f>
        <v>4</v>
      </c>
      <c r="J1392" s="147">
        <f ca="1">COUNTIFS(Paste_Report_Here!$E$1:$E$2000,E1362, OFFSET(Paste_Report_Here!$A$1,0,$A1392,2000,1),J$75)</f>
        <v>0</v>
      </c>
      <c r="K1392" s="148">
        <f ca="1">COUNTIFS(Paste_Report_Here!$E$1:$E$2000,E1362, OFFSET(Paste_Report_Here!$A$1,0,$A1392,2000,1),K$75)</f>
        <v>0</v>
      </c>
      <c r="L1392" s="147">
        <f t="shared" ca="1" si="205"/>
        <v>22</v>
      </c>
      <c r="M1392" s="149">
        <f ca="1">SUMPRODUCT(F1392:K1392,F1366:K1366)/L:L</f>
        <v>0</v>
      </c>
      <c r="N1392" s="147">
        <f t="shared" ca="1" si="206"/>
        <v>1</v>
      </c>
      <c r="O1392" s="187">
        <f t="shared" ca="1" si="208"/>
        <v>2373.8949567469472</v>
      </c>
      <c r="P1392" s="165">
        <f t="shared" ca="1" si="207"/>
        <v>2373.8949567469472</v>
      </c>
    </row>
    <row r="1393" spans="1:16" s="165" customFormat="1" x14ac:dyDescent="0.3">
      <c r="C1393" s="166"/>
      <c r="E1393" s="140" t="s">
        <v>293</v>
      </c>
      <c r="F1393" s="180">
        <f ca="1">SUM(F1368:F1392)</f>
        <v>5</v>
      </c>
      <c r="G1393" s="180">
        <f t="shared" ref="G1393:L1393" ca="1" si="209">SUM(G1368:G1392)</f>
        <v>21</v>
      </c>
      <c r="H1393" s="180">
        <f t="shared" ca="1" si="209"/>
        <v>430</v>
      </c>
      <c r="I1393" s="180">
        <f t="shared" ca="1" si="209"/>
        <v>71</v>
      </c>
      <c r="J1393" s="180">
        <f t="shared" ca="1" si="209"/>
        <v>22</v>
      </c>
      <c r="K1393" s="180">
        <f t="shared" ca="1" si="209"/>
        <v>1</v>
      </c>
      <c r="L1393" s="180">
        <f t="shared" ca="1" si="209"/>
        <v>550</v>
      </c>
      <c r="M1393" s="144">
        <f ca="1">SUMPRODUCT(F1393:K1393,F1366:K1366)/L1393</f>
        <v>6.1818181818181824E-3</v>
      </c>
      <c r="N1393" s="166">
        <f t="shared" ca="1" si="206"/>
        <v>1.0062009650536616</v>
      </c>
      <c r="O1393" s="165">
        <f t="shared" ca="1" si="208"/>
        <v>2710.3218282454964</v>
      </c>
      <c r="P1393" s="165">
        <f t="shared" ca="1" si="207"/>
        <v>2727.1284391866229</v>
      </c>
    </row>
    <row r="1394" spans="1:16" s="165" customFormat="1" x14ac:dyDescent="0.3">
      <c r="A1394" s="194"/>
      <c r="B1394" s="194"/>
      <c r="C1394" s="153"/>
      <c r="D1394" s="194"/>
      <c r="E1394" s="164"/>
      <c r="F1394" s="151"/>
      <c r="G1394" s="151"/>
      <c r="H1394" s="151"/>
      <c r="I1394" s="151"/>
      <c r="J1394" s="151"/>
      <c r="K1394" s="151"/>
      <c r="L1394" s="151"/>
      <c r="M1394" s="162"/>
      <c r="N1394" s="153"/>
      <c r="O1394" s="194"/>
      <c r="P1394" s="194"/>
    </row>
    <row r="1395" spans="1:16" s="165" customFormat="1" x14ac:dyDescent="0.3">
      <c r="E1395" s="173" t="s">
        <v>292</v>
      </c>
    </row>
    <row r="1396" spans="1:16" s="165" customFormat="1" x14ac:dyDescent="0.3">
      <c r="E1396" s="141">
        <v>41789</v>
      </c>
    </row>
    <row r="1397" spans="1:16" s="165" customFormat="1" ht="15" thickBot="1" x14ac:dyDescent="0.35"/>
    <row r="1398" spans="1:16" s="165" customFormat="1" ht="24.6" thickBot="1" x14ac:dyDescent="0.35">
      <c r="F1398" s="174" t="s">
        <v>23</v>
      </c>
      <c r="G1398" s="168" t="s">
        <v>18</v>
      </c>
      <c r="H1398" s="168" t="s">
        <v>16</v>
      </c>
      <c r="I1398" s="168" t="s">
        <v>17</v>
      </c>
      <c r="J1398" s="168" t="s">
        <v>19</v>
      </c>
      <c r="K1398" s="169" t="s">
        <v>114</v>
      </c>
    </row>
    <row r="1399" spans="1:16" s="165" customFormat="1" x14ac:dyDescent="0.3">
      <c r="F1399" s="267" t="s">
        <v>201</v>
      </c>
      <c r="G1399" s="268"/>
      <c r="H1399" s="268"/>
      <c r="I1399" s="268"/>
      <c r="J1399" s="268"/>
      <c r="K1399" s="169"/>
      <c r="M1399" s="203">
        <f ca="1">(H1427+K1427)/L1427</f>
        <v>0.70206896551724141</v>
      </c>
      <c r="N1399" s="204" t="s">
        <v>501</v>
      </c>
    </row>
    <row r="1400" spans="1:16" s="165" customFormat="1" ht="43.8" thickBot="1" x14ac:dyDescent="0.35">
      <c r="A1400" s="142" t="s">
        <v>294</v>
      </c>
      <c r="B1400" s="142" t="s">
        <v>295</v>
      </c>
      <c r="C1400" s="197" t="s">
        <v>440</v>
      </c>
      <c r="D1400" s="142" t="s">
        <v>441</v>
      </c>
      <c r="E1400" s="171" t="s">
        <v>30</v>
      </c>
      <c r="F1400" s="175">
        <f>Falling_fast</f>
        <v>-0.2</v>
      </c>
      <c r="G1400" s="176">
        <f>Falling</f>
        <v>0</v>
      </c>
      <c r="H1400" s="177">
        <f>Static</f>
        <v>0</v>
      </c>
      <c r="I1400" s="176">
        <f>Rising</f>
        <v>0</v>
      </c>
      <c r="J1400" s="178">
        <f>Rising_fast</f>
        <v>0.2</v>
      </c>
      <c r="K1400" s="182">
        <v>0</v>
      </c>
      <c r="L1400" s="171" t="s">
        <v>28</v>
      </c>
      <c r="M1400" s="172" t="s">
        <v>29</v>
      </c>
      <c r="N1400" s="143" t="s">
        <v>296</v>
      </c>
      <c r="O1400" s="142" t="s">
        <v>297</v>
      </c>
      <c r="P1400" s="142" t="s">
        <v>298</v>
      </c>
    </row>
    <row r="1401" spans="1:16" s="165" customFormat="1" x14ac:dyDescent="0.3">
      <c r="C1401" s="166"/>
      <c r="E1401" s="192"/>
      <c r="F1401" s="198" t="s">
        <v>151</v>
      </c>
      <c r="G1401" s="199" t="s">
        <v>149</v>
      </c>
      <c r="H1401" s="199" t="s">
        <v>16</v>
      </c>
      <c r="I1401" s="199" t="s">
        <v>148</v>
      </c>
      <c r="J1401" s="199" t="s">
        <v>150</v>
      </c>
      <c r="K1401" s="200" t="s">
        <v>114</v>
      </c>
      <c r="L1401" s="166"/>
      <c r="M1401" s="170"/>
      <c r="N1401" s="166"/>
    </row>
    <row r="1402" spans="1:16" s="165" customFormat="1" x14ac:dyDescent="0.3">
      <c r="A1402" s="165">
        <f>MATCH(Calcs!B1402,Paste_Report_Here!$1:$1,0) -1</f>
        <v>5</v>
      </c>
      <c r="B1402" s="165" t="s">
        <v>124</v>
      </c>
      <c r="C1402" s="166">
        <f ca="1">RANK(N1402,N1402:N1426)</f>
        <v>6</v>
      </c>
      <c r="D1402" s="166">
        <f ca="1">RANK(P1402,P1402:P1426)</f>
        <v>17</v>
      </c>
      <c r="E1402" s="189" t="s">
        <v>152</v>
      </c>
      <c r="F1402" s="179">
        <f ca="1">COUNTIFS(Paste_Report_Here!$E$1:$E$2000,E1396, OFFSET(Paste_Report_Here!$A$1,0,$A1402,2000,1),F$75)</f>
        <v>0</v>
      </c>
      <c r="G1402" s="180">
        <f ca="1">COUNTIFS(Paste_Report_Here!$E$1:$E$2000,E1396, OFFSET(Paste_Report_Here!$A$1,0,$A1402,2000,1),G$75)</f>
        <v>3</v>
      </c>
      <c r="H1402" s="180">
        <f ca="1">COUNTIFS(Paste_Report_Here!$E$1:$E$2000,E1396, OFFSET(Paste_Report_Here!$A$1,0,$A1402,2000,1),H$75)</f>
        <v>21</v>
      </c>
      <c r="I1402" s="180">
        <f ca="1">COUNTIFS(Paste_Report_Here!$E$1:$E$2000,E1396, OFFSET(Paste_Report_Here!$A$1,0,$A1402,2000,1),I$75)</f>
        <v>4</v>
      </c>
      <c r="J1402" s="180">
        <f ca="1">COUNTIFS(Paste_Report_Here!$E$1:$E$2000,E1396, OFFSET(Paste_Report_Here!$A$1,0,$A1402,2000,1),J$75)</f>
        <v>1</v>
      </c>
      <c r="K1402" s="181">
        <f ca="1">COUNTIFS(Paste_Report_Here!$E$1:$E$2000,E1396, OFFSET(Paste_Report_Here!$A$1,0,$A1402,2000,1),K$75)</f>
        <v>0</v>
      </c>
      <c r="L1402" s="166">
        <f t="shared" ref="L1402:L1426" ca="1" si="210">SUM(F1402:K1402)</f>
        <v>29</v>
      </c>
      <c r="M1402" s="183">
        <f ca="1">SUMPRODUCT(F1402:K1402,F1400:K1400)/L:L</f>
        <v>6.8965517241379318E-3</v>
      </c>
      <c r="N1402" s="166">
        <f t="shared" ref="N1402:N1427" ca="1" si="211">EXP(M1402)</f>
        <v>1.0069203877008224</v>
      </c>
      <c r="O1402" s="165">
        <f ca="1">P1368</f>
        <v>2051.8590237911217</v>
      </c>
      <c r="P1402" s="165">
        <f t="shared" ref="P1402:P1427" ca="1" si="212">O1402*N1402</f>
        <v>2066.058683743187</v>
      </c>
    </row>
    <row r="1403" spans="1:16" s="165" customFormat="1" x14ac:dyDescent="0.3">
      <c r="A1403" s="165">
        <f>MATCH(Calcs!B1403,Paste_Report_Here!$1:$1,0) -1</f>
        <v>6</v>
      </c>
      <c r="B1403" s="165" t="s">
        <v>125</v>
      </c>
      <c r="C1403" s="166">
        <f ca="1">RANK(N1403,N1402:N1426)</f>
        <v>6</v>
      </c>
      <c r="D1403" s="166">
        <f ca="1">RANK(P1403,P1402:P1426)</f>
        <v>16</v>
      </c>
      <c r="E1403" s="189" t="s">
        <v>153</v>
      </c>
      <c r="F1403" s="179">
        <f ca="1">COUNTIFS(Paste_Report_Here!$E$1:$E$2000,E1396, OFFSET(Paste_Report_Here!$A$1,0,$A1403,2000,1),F$75)</f>
        <v>0</v>
      </c>
      <c r="G1403" s="180">
        <f ca="1">COUNTIFS(Paste_Report_Here!$E$1:$E$2000,E1396, OFFSET(Paste_Report_Here!$A$1,0,$A1403,2000,1),G$75)</f>
        <v>2</v>
      </c>
      <c r="H1403" s="180">
        <f ca="1">COUNTIFS(Paste_Report_Here!$E$1:$E$2000,E1396, OFFSET(Paste_Report_Here!$A$1,0,$A1403,2000,1),H$75)</f>
        <v>20</v>
      </c>
      <c r="I1403" s="180">
        <f ca="1">COUNTIFS(Paste_Report_Here!$E$1:$E$2000,E1396, OFFSET(Paste_Report_Here!$A$1,0,$A1403,2000,1),I$75)</f>
        <v>6</v>
      </c>
      <c r="J1403" s="180">
        <f ca="1">COUNTIFS(Paste_Report_Here!$E$1:$E$2000,E1396, OFFSET(Paste_Report_Here!$A$1,0,$A1403,2000,1),J$75)</f>
        <v>1</v>
      </c>
      <c r="K1403" s="181">
        <f ca="1">COUNTIFS(Paste_Report_Here!$E$1:$E$2000,E1396, OFFSET(Paste_Report_Here!$A$1,0,$A1403,2000,1),K$75)</f>
        <v>0</v>
      </c>
      <c r="L1403" s="166">
        <f t="shared" ca="1" si="210"/>
        <v>29</v>
      </c>
      <c r="M1403" s="183">
        <f ca="1">SUMPRODUCT(F1403:K1403,F1400:K1400)/L:L</f>
        <v>6.8965517241379318E-3</v>
      </c>
      <c r="N1403" s="166">
        <f t="shared" ca="1" si="211"/>
        <v>1.0069203877008224</v>
      </c>
      <c r="O1403" s="165">
        <f t="shared" ref="O1403:O1427" ca="1" si="213">P1369</f>
        <v>2073.0182773599063</v>
      </c>
      <c r="P1403" s="165">
        <f t="shared" ca="1" si="212"/>
        <v>2087.3643675501276</v>
      </c>
    </row>
    <row r="1404" spans="1:16" s="165" customFormat="1" x14ac:dyDescent="0.3">
      <c r="A1404" s="165">
        <f>MATCH(Calcs!B1404,Paste_Report_Here!$1:$1,0) -1</f>
        <v>7</v>
      </c>
      <c r="B1404" s="165" t="s">
        <v>126</v>
      </c>
      <c r="C1404" s="166">
        <f ca="1">RANK(N1404,N1402:N1426)</f>
        <v>22</v>
      </c>
      <c r="D1404" s="166">
        <f ca="1">RANK(P1404,P1402:P1426)</f>
        <v>8</v>
      </c>
      <c r="E1404" s="189" t="s">
        <v>154</v>
      </c>
      <c r="F1404" s="179">
        <f ca="1">COUNTIFS(Paste_Report_Here!$E$1:$E$2000,E1396, OFFSET(Paste_Report_Here!$A$1,0,$A1404,2000,1),F$75)</f>
        <v>1</v>
      </c>
      <c r="G1404" s="180">
        <f ca="1">COUNTIFS(Paste_Report_Here!$E$1:$E$2000,E1396, OFFSET(Paste_Report_Here!$A$1,0,$A1404,2000,1),G$75)</f>
        <v>2</v>
      </c>
      <c r="H1404" s="180">
        <f ca="1">COUNTIFS(Paste_Report_Here!$E$1:$E$2000,E1396, OFFSET(Paste_Report_Here!$A$1,0,$A1404,2000,1),H$75)</f>
        <v>19</v>
      </c>
      <c r="I1404" s="180">
        <f ca="1">COUNTIFS(Paste_Report_Here!$E$1:$E$2000,E1396, OFFSET(Paste_Report_Here!$A$1,0,$A1404,2000,1),I$75)</f>
        <v>7</v>
      </c>
      <c r="J1404" s="180">
        <f ca="1">COUNTIFS(Paste_Report_Here!$E$1:$E$2000,E1396, OFFSET(Paste_Report_Here!$A$1,0,$A1404,2000,1),J$75)</f>
        <v>0</v>
      </c>
      <c r="K1404" s="181">
        <f ca="1">COUNTIFS(Paste_Report_Here!$E$1:$E$2000,E1396, OFFSET(Paste_Report_Here!$A$1,0,$A1404,2000,1),K$75)</f>
        <v>0</v>
      </c>
      <c r="L1404" s="166">
        <f t="shared" ca="1" si="210"/>
        <v>29</v>
      </c>
      <c r="M1404" s="183">
        <f ca="1">SUMPRODUCT(F1404:K1404,F1400:K1400)/L:L</f>
        <v>-6.8965517241379318E-3</v>
      </c>
      <c r="N1404" s="166">
        <f t="shared" ca="1" si="211"/>
        <v>0.99312717491337699</v>
      </c>
      <c r="O1404" s="165">
        <f t="shared" ca="1" si="213"/>
        <v>2757.1280247192531</v>
      </c>
      <c r="P1404" s="165">
        <f t="shared" ca="1" si="212"/>
        <v>2738.1787660639311</v>
      </c>
    </row>
    <row r="1405" spans="1:16" s="165" customFormat="1" x14ac:dyDescent="0.3">
      <c r="A1405" s="165">
        <f>MATCH(Calcs!B1405,Paste_Report_Here!$1:$1,0) -1</f>
        <v>8</v>
      </c>
      <c r="B1405" s="165" t="s">
        <v>127</v>
      </c>
      <c r="C1405" s="166">
        <f ca="1">RANK(N1405,N1403:N1427)</f>
        <v>15</v>
      </c>
      <c r="D1405" s="166">
        <f ca="1">RANK(P1405,P1402:P1426)</f>
        <v>7</v>
      </c>
      <c r="E1405" s="189" t="s">
        <v>155</v>
      </c>
      <c r="F1405" s="179">
        <f ca="1">COUNTIFS(Paste_Report_Here!$E$1:$E$2000,E1396, OFFSET(Paste_Report_Here!$A$1,0,$A1405,2000,1),F$75)</f>
        <v>0</v>
      </c>
      <c r="G1405" s="180">
        <f ca="1">COUNTIFS(Paste_Report_Here!$E$1:$E$2000,E1396, OFFSET(Paste_Report_Here!$A$1,0,$A1405,2000,1),G$75)</f>
        <v>2</v>
      </c>
      <c r="H1405" s="180">
        <f ca="1">COUNTIFS(Paste_Report_Here!$E$1:$E$2000,E1396, OFFSET(Paste_Report_Here!$A$1,0,$A1405,2000,1),H$75)</f>
        <v>18</v>
      </c>
      <c r="I1405" s="180">
        <f ca="1">COUNTIFS(Paste_Report_Here!$E$1:$E$2000,E1396, OFFSET(Paste_Report_Here!$A$1,0,$A1405,2000,1),I$75)</f>
        <v>9</v>
      </c>
      <c r="J1405" s="180">
        <f ca="1">COUNTIFS(Paste_Report_Here!$E$1:$E$2000,E1396, OFFSET(Paste_Report_Here!$A$1,0,$A1405,2000,1),J$75)</f>
        <v>0</v>
      </c>
      <c r="K1405" s="181">
        <f ca="1">COUNTIFS(Paste_Report_Here!$E$1:$E$2000,E1396, OFFSET(Paste_Report_Here!$A$1,0,$A1405,2000,1),K$75)</f>
        <v>0</v>
      </c>
      <c r="L1405" s="166">
        <f t="shared" ca="1" si="210"/>
        <v>29</v>
      </c>
      <c r="M1405" s="183">
        <f ca="1">SUMPRODUCT(F1405:K1405,F1400:K1400)/L:L</f>
        <v>0</v>
      </c>
      <c r="N1405" s="166">
        <f t="shared" ca="1" si="211"/>
        <v>1</v>
      </c>
      <c r="O1405" s="165">
        <f t="shared" ca="1" si="213"/>
        <v>2939.2810739686188</v>
      </c>
      <c r="P1405" s="165">
        <f t="shared" ca="1" si="212"/>
        <v>2939.2810739686188</v>
      </c>
    </row>
    <row r="1406" spans="1:16" s="165" customFormat="1" x14ac:dyDescent="0.3">
      <c r="A1406" s="165">
        <f>MATCH(Calcs!B1406,Paste_Report_Here!$1:$1,0) -1</f>
        <v>9</v>
      </c>
      <c r="B1406" s="165" t="s">
        <v>214</v>
      </c>
      <c r="C1406" s="166">
        <f ca="1">RANK(N1406,N1402:N1426)</f>
        <v>6</v>
      </c>
      <c r="D1406" s="166">
        <f ca="1">RANK(P1406,P1402:P1426)</f>
        <v>5</v>
      </c>
      <c r="E1406" s="189" t="s">
        <v>156</v>
      </c>
      <c r="F1406" s="179">
        <f ca="1">COUNTIFS(Paste_Report_Here!$E$1:$E$2000,E1396, OFFSET(Paste_Report_Here!$A$1,0,$A1406,2000,1),F$75)</f>
        <v>1</v>
      </c>
      <c r="G1406" s="180">
        <f ca="1">COUNTIFS(Paste_Report_Here!$E$1:$E$2000,E1396, OFFSET(Paste_Report_Here!$A$1,0,$A1406,2000,1),G$75)</f>
        <v>0</v>
      </c>
      <c r="H1406" s="180">
        <f ca="1">COUNTIFS(Paste_Report_Here!$E$1:$E$2000,E1396, OFFSET(Paste_Report_Here!$A$1,0,$A1406,2000,1),H$75)</f>
        <v>17</v>
      </c>
      <c r="I1406" s="180">
        <f ca="1">COUNTIFS(Paste_Report_Here!$E$1:$E$2000,E1396, OFFSET(Paste_Report_Here!$A$1,0,$A1406,2000,1),I$75)</f>
        <v>9</v>
      </c>
      <c r="J1406" s="180">
        <f ca="1">COUNTIFS(Paste_Report_Here!$E$1:$E$2000,E1396, OFFSET(Paste_Report_Here!$A$1,0,$A1406,2000,1),J$75)</f>
        <v>2</v>
      </c>
      <c r="K1406" s="181">
        <f ca="1">COUNTIFS(Paste_Report_Here!$E$1:$E$2000,E1396, OFFSET(Paste_Report_Here!$A$1,0,$A1406,2000,1),K$75)</f>
        <v>0</v>
      </c>
      <c r="L1406" s="166">
        <f t="shared" ca="1" si="210"/>
        <v>29</v>
      </c>
      <c r="M1406" s="183">
        <f ca="1">SUMPRODUCT(F1406:K1406,F1400:K1400)/L:L</f>
        <v>6.8965517241379318E-3</v>
      </c>
      <c r="N1406" s="166">
        <f t="shared" ca="1" si="211"/>
        <v>1.0069203877008224</v>
      </c>
      <c r="O1406" s="165">
        <f t="shared" ca="1" si="213"/>
        <v>3874.0885974653897</v>
      </c>
      <c r="P1406" s="165">
        <f t="shared" ca="1" si="212"/>
        <v>3900.8987925471856</v>
      </c>
    </row>
    <row r="1407" spans="1:16" s="165" customFormat="1" x14ac:dyDescent="0.3">
      <c r="A1407" s="165">
        <f>MATCH(Calcs!B1407,Paste_Report_Here!$1:$1,0) -1</f>
        <v>10</v>
      </c>
      <c r="B1407" s="165" t="s">
        <v>128</v>
      </c>
      <c r="C1407" s="166">
        <f ca="1">RANK(N1407,N1402:N1426)</f>
        <v>22</v>
      </c>
      <c r="D1407" s="166">
        <f ca="1">RANK(P1407,P1402:P1426)</f>
        <v>21</v>
      </c>
      <c r="E1407" s="189" t="s">
        <v>157</v>
      </c>
      <c r="F1407" s="179">
        <f ca="1">COUNTIFS(Paste_Report_Here!$E$1:$E$2000,E1396, OFFSET(Paste_Report_Here!$A$1,0,$A1407,2000,1),F$75)</f>
        <v>1</v>
      </c>
      <c r="G1407" s="180">
        <f ca="1">COUNTIFS(Paste_Report_Here!$E$1:$E$2000,E1396, OFFSET(Paste_Report_Here!$A$1,0,$A1407,2000,1),G$75)</f>
        <v>2</v>
      </c>
      <c r="H1407" s="180">
        <f ca="1">COUNTIFS(Paste_Report_Here!$E$1:$E$2000,E1396, OFFSET(Paste_Report_Here!$A$1,0,$A1407,2000,1),H$75)</f>
        <v>23</v>
      </c>
      <c r="I1407" s="180">
        <f ca="1">COUNTIFS(Paste_Report_Here!$E$1:$E$2000,E1396, OFFSET(Paste_Report_Here!$A$1,0,$A1407,2000,1),I$75)</f>
        <v>3</v>
      </c>
      <c r="J1407" s="180">
        <f ca="1">COUNTIFS(Paste_Report_Here!$E$1:$E$2000,E1396, OFFSET(Paste_Report_Here!$A$1,0,$A1407,2000,1),J$75)</f>
        <v>0</v>
      </c>
      <c r="K1407" s="181">
        <f ca="1">COUNTIFS(Paste_Report_Here!$E$1:$E$2000,E1396, OFFSET(Paste_Report_Here!$A$1,0,$A1407,2000,1),K$75)</f>
        <v>0</v>
      </c>
      <c r="L1407" s="166">
        <f t="shared" ca="1" si="210"/>
        <v>29</v>
      </c>
      <c r="M1407" s="183">
        <f ca="1">SUMPRODUCT(F1407:K1407,F1400:K1400)/L:L</f>
        <v>-6.8965517241379318E-3</v>
      </c>
      <c r="N1407" s="166">
        <f t="shared" ca="1" si="211"/>
        <v>0.99312717491337699</v>
      </c>
      <c r="O1407" s="165">
        <f t="shared" ca="1" si="213"/>
        <v>1614.0924268272679</v>
      </c>
      <c r="P1407" s="165">
        <f t="shared" ca="1" si="212"/>
        <v>1602.9990519040412</v>
      </c>
    </row>
    <row r="1408" spans="1:16" s="165" customFormat="1" x14ac:dyDescent="0.3">
      <c r="A1408" s="165">
        <f>MATCH(Calcs!B1408,Paste_Report_Here!$1:$1,0) -1</f>
        <v>11</v>
      </c>
      <c r="B1408" s="165" t="s">
        <v>129</v>
      </c>
      <c r="C1408" s="166">
        <f ca="1">RANK(N1408,N1402:N1426)</f>
        <v>15</v>
      </c>
      <c r="D1408" s="166">
        <f ca="1">RANK(P1408,P1402:P1426)</f>
        <v>10</v>
      </c>
      <c r="E1408" s="189" t="s">
        <v>158</v>
      </c>
      <c r="F1408" s="179">
        <f ca="1">COUNTIFS(Paste_Report_Here!$E$1:$E$2000,E1396, OFFSET(Paste_Report_Here!$A$1,0,$A1408,2000,1),F$75)</f>
        <v>1</v>
      </c>
      <c r="G1408" s="180">
        <f ca="1">COUNTIFS(Paste_Report_Here!$E$1:$E$2000,E1396, OFFSET(Paste_Report_Here!$A$1,0,$A1408,2000,1),G$75)</f>
        <v>1</v>
      </c>
      <c r="H1408" s="180">
        <f ca="1">COUNTIFS(Paste_Report_Here!$E$1:$E$2000,E1396, OFFSET(Paste_Report_Here!$A$1,0,$A1408,2000,1),H$75)</f>
        <v>24</v>
      </c>
      <c r="I1408" s="180">
        <f ca="1">COUNTIFS(Paste_Report_Here!$E$1:$E$2000,E1396, OFFSET(Paste_Report_Here!$A$1,0,$A1408,2000,1),I$75)</f>
        <v>2</v>
      </c>
      <c r="J1408" s="180">
        <f ca="1">COUNTIFS(Paste_Report_Here!$E$1:$E$2000,E1396, OFFSET(Paste_Report_Here!$A$1,0,$A1408,2000,1),J$75)</f>
        <v>1</v>
      </c>
      <c r="K1408" s="181">
        <f ca="1">COUNTIFS(Paste_Report_Here!$E$1:$E$2000,E1396, OFFSET(Paste_Report_Here!$A$1,0,$A1408,2000,1),K$75)</f>
        <v>0</v>
      </c>
      <c r="L1408" s="166">
        <f t="shared" ca="1" si="210"/>
        <v>29</v>
      </c>
      <c r="M1408" s="183">
        <f ca="1">SUMPRODUCT(F1408:K1408,F1400:K1400)/L:L</f>
        <v>0</v>
      </c>
      <c r="N1408" s="166">
        <f t="shared" ca="1" si="211"/>
        <v>1</v>
      </c>
      <c r="O1408" s="165">
        <f t="shared" ca="1" si="213"/>
        <v>2560.5680303768227</v>
      </c>
      <c r="P1408" s="165">
        <f t="shared" ca="1" si="212"/>
        <v>2560.5680303768227</v>
      </c>
    </row>
    <row r="1409" spans="1:16" s="165" customFormat="1" x14ac:dyDescent="0.3">
      <c r="A1409" s="165">
        <f>MATCH(Calcs!B1409,Paste_Report_Here!$1:$1,0) -1</f>
        <v>12</v>
      </c>
      <c r="B1409" s="165" t="s">
        <v>130</v>
      </c>
      <c r="C1409" s="166">
        <f ca="1">RANK(N1409,N1403:N1427)</f>
        <v>15</v>
      </c>
      <c r="D1409" s="166">
        <f ca="1">RANK(P1409,P1402:P1426)</f>
        <v>9</v>
      </c>
      <c r="E1409" s="189" t="s">
        <v>159</v>
      </c>
      <c r="F1409" s="179">
        <f ca="1">COUNTIFS(Paste_Report_Here!$E$1:$E$2000,E1396, OFFSET(Paste_Report_Here!$A$1,0,$A1409,2000,1),F$75)</f>
        <v>1</v>
      </c>
      <c r="G1409" s="180">
        <f ca="1">COUNTIFS(Paste_Report_Here!$E$1:$E$2000,E1396, OFFSET(Paste_Report_Here!$A$1,0,$A1409,2000,1),G$75)</f>
        <v>2</v>
      </c>
      <c r="H1409" s="180">
        <f ca="1">COUNTIFS(Paste_Report_Here!$E$1:$E$2000,E1396, OFFSET(Paste_Report_Here!$A$1,0,$A1409,2000,1),H$75)</f>
        <v>19</v>
      </c>
      <c r="I1409" s="180">
        <f ca="1">COUNTIFS(Paste_Report_Here!$E$1:$E$2000,E1396, OFFSET(Paste_Report_Here!$A$1,0,$A1409,2000,1),I$75)</f>
        <v>6</v>
      </c>
      <c r="J1409" s="180">
        <f ca="1">COUNTIFS(Paste_Report_Here!$E$1:$E$2000,E1396, OFFSET(Paste_Report_Here!$A$1,0,$A1409,2000,1),J$75)</f>
        <v>1</v>
      </c>
      <c r="K1409" s="181">
        <f ca="1">COUNTIFS(Paste_Report_Here!$E$1:$E$2000,E1396, OFFSET(Paste_Report_Here!$A$1,0,$A1409,2000,1),K$75)</f>
        <v>0</v>
      </c>
      <c r="L1409" s="166">
        <f t="shared" ca="1" si="210"/>
        <v>29</v>
      </c>
      <c r="M1409" s="183">
        <f ca="1">SUMPRODUCT(F1409:K1409,F1400:K1400)/L:L</f>
        <v>0</v>
      </c>
      <c r="N1409" s="166">
        <f t="shared" ca="1" si="211"/>
        <v>1</v>
      </c>
      <c r="O1409" s="165">
        <f t="shared" ca="1" si="213"/>
        <v>2569.3128647252079</v>
      </c>
      <c r="P1409" s="165">
        <f t="shared" ca="1" si="212"/>
        <v>2569.3128647252079</v>
      </c>
    </row>
    <row r="1410" spans="1:16" s="165" customFormat="1" x14ac:dyDescent="0.3">
      <c r="A1410" s="165">
        <f>MATCH(Calcs!B1410,Paste_Report_Here!$1:$1,0) -1</f>
        <v>13</v>
      </c>
      <c r="B1410" s="165" t="s">
        <v>131</v>
      </c>
      <c r="C1410" s="166">
        <f ca="1">RANK(N1410,N1404:N1428)</f>
        <v>1</v>
      </c>
      <c r="D1410" s="166">
        <f ca="1">RANK(P1410,P1402:P1426)</f>
        <v>2</v>
      </c>
      <c r="E1410" s="189" t="s">
        <v>160</v>
      </c>
      <c r="F1410" s="179">
        <f ca="1">COUNTIFS(Paste_Report_Here!$E$1:$E$2000,E1396, OFFSET(Paste_Report_Here!$A$1,0,$A1410,2000,1),F$75)</f>
        <v>0</v>
      </c>
      <c r="G1410" s="180">
        <f ca="1">COUNTIFS(Paste_Report_Here!$E$1:$E$2000,E1396, OFFSET(Paste_Report_Here!$A$1,0,$A1410,2000,1),G$75)</f>
        <v>0</v>
      </c>
      <c r="H1410" s="180">
        <f ca="1">COUNTIFS(Paste_Report_Here!$E$1:$E$2000,E1396, OFFSET(Paste_Report_Here!$A$1,0,$A1410,2000,1),H$75)</f>
        <v>18</v>
      </c>
      <c r="I1410" s="180">
        <f ca="1">COUNTIFS(Paste_Report_Here!$E$1:$E$2000,E1396, OFFSET(Paste_Report_Here!$A$1,0,$A1410,2000,1),I$75)</f>
        <v>6</v>
      </c>
      <c r="J1410" s="180">
        <f ca="1">COUNTIFS(Paste_Report_Here!$E$1:$E$2000,E1396, OFFSET(Paste_Report_Here!$A$1,0,$A1410,2000,1),J$75)</f>
        <v>5</v>
      </c>
      <c r="K1410" s="181">
        <f ca="1">COUNTIFS(Paste_Report_Here!$E$1:$E$2000,E1396, OFFSET(Paste_Report_Here!$A$1,0,$A1410,2000,1),K$75)</f>
        <v>0</v>
      </c>
      <c r="L1410" s="166">
        <f t="shared" ca="1" si="210"/>
        <v>29</v>
      </c>
      <c r="M1410" s="183">
        <f ca="1">SUMPRODUCT(F1410:K1410,F1400:K1400)/L:L</f>
        <v>3.4482758620689655E-2</v>
      </c>
      <c r="N1410" s="166">
        <f t="shared" ca="1" si="211"/>
        <v>1.0350841819432672</v>
      </c>
      <c r="O1410" s="165">
        <f t="shared" ca="1" si="213"/>
        <v>4633.6461462622701</v>
      </c>
      <c r="P1410" s="165">
        <f t="shared" ca="1" si="212"/>
        <v>4796.213830718455</v>
      </c>
    </row>
    <row r="1411" spans="1:16" s="165" customFormat="1" x14ac:dyDescent="0.3">
      <c r="A1411" s="165">
        <f>MATCH(Calcs!B1411,Paste_Report_Here!$1:$1,0) -1</f>
        <v>14</v>
      </c>
      <c r="B1411" s="165" t="s">
        <v>132</v>
      </c>
      <c r="C1411" s="166">
        <v>3</v>
      </c>
      <c r="D1411" s="166">
        <f ca="1">RANK(P1411,P1402:P1426)</f>
        <v>14</v>
      </c>
      <c r="E1411" s="189" t="s">
        <v>161</v>
      </c>
      <c r="F1411" s="179">
        <f ca="1">COUNTIFS(Paste_Report_Here!$E$1:$E$2000,E1396, OFFSET(Paste_Report_Here!$A$1,0,$A1411,2000,1),F$75)</f>
        <v>0</v>
      </c>
      <c r="G1411" s="180">
        <f ca="1">COUNTIFS(Paste_Report_Here!$E$1:$E$2000,E1396, OFFSET(Paste_Report_Here!$A$1,0,$A1411,2000,1),G$75)</f>
        <v>0</v>
      </c>
      <c r="H1411" s="180">
        <f ca="1">COUNTIFS(Paste_Report_Here!$E$1:$E$2000,E1396, OFFSET(Paste_Report_Here!$A$1,0,$A1411,2000,1),H$75)</f>
        <v>19</v>
      </c>
      <c r="I1411" s="180">
        <f ca="1">COUNTIFS(Paste_Report_Here!$E$1:$E$2000,E1396, OFFSET(Paste_Report_Here!$A$1,0,$A1411,2000,1),I$75)</f>
        <v>9</v>
      </c>
      <c r="J1411" s="180">
        <f ca="1">COUNTIFS(Paste_Report_Here!$E$1:$E$2000,E1396, OFFSET(Paste_Report_Here!$A$1,0,$A1411,2000,1),J$75)</f>
        <v>1</v>
      </c>
      <c r="K1411" s="181">
        <f ca="1">COUNTIFS(Paste_Report_Here!$E$1:$E$2000,E1396, OFFSET(Paste_Report_Here!$A$1,0,$A1411,2000,1),K$75)</f>
        <v>0</v>
      </c>
      <c r="L1411" s="166">
        <f t="shared" ca="1" si="210"/>
        <v>29</v>
      </c>
      <c r="M1411" s="183">
        <f ca="1">SUMPRODUCT(F1411:K1411,F1400:K1400)/L:L</f>
        <v>6.8965517241379318E-3</v>
      </c>
      <c r="N1411" s="166">
        <f t="shared" ca="1" si="211"/>
        <v>1.0069203877008224</v>
      </c>
      <c r="O1411" s="165">
        <f t="shared" ca="1" si="213"/>
        <v>2139.732294083432</v>
      </c>
      <c r="P1411" s="165">
        <f t="shared" ca="1" si="212"/>
        <v>2154.5400711344596</v>
      </c>
    </row>
    <row r="1412" spans="1:16" s="165" customFormat="1" x14ac:dyDescent="0.3">
      <c r="A1412" s="165">
        <f>MATCH(Calcs!B1412,Paste_Report_Here!$1:$1,0) -1</f>
        <v>15</v>
      </c>
      <c r="B1412" s="165" t="s">
        <v>133</v>
      </c>
      <c r="C1412" s="166">
        <f ca="1">RANK(N1412,N1401:N1425)</f>
        <v>2</v>
      </c>
      <c r="D1412" s="166">
        <f ca="1">RANK(P1412,P1402:P1426)</f>
        <v>6</v>
      </c>
      <c r="E1412" s="189" t="s">
        <v>162</v>
      </c>
      <c r="F1412" s="179">
        <f ca="1">COUNTIFS(Paste_Report_Here!$E$1:$E$2000,E1396, OFFSET(Paste_Report_Here!$A$1,0,$A1412,2000,1),F$75)</f>
        <v>0</v>
      </c>
      <c r="G1412" s="180">
        <f ca="1">COUNTIFS(Paste_Report_Here!$E$1:$E$2000,E1396, OFFSET(Paste_Report_Here!$A$1,0,$A1412,2000,1),G$75)</f>
        <v>2</v>
      </c>
      <c r="H1412" s="180">
        <f ca="1">COUNTIFS(Paste_Report_Here!$E$1:$E$2000,E1396, OFFSET(Paste_Report_Here!$A$1,0,$A1412,2000,1),H$75)</f>
        <v>20</v>
      </c>
      <c r="I1412" s="180">
        <f ca="1">COUNTIFS(Paste_Report_Here!$E$1:$E$2000,E1396, OFFSET(Paste_Report_Here!$A$1,0,$A1412,2000,1),I$75)</f>
        <v>4</v>
      </c>
      <c r="J1412" s="180">
        <f ca="1">COUNTIFS(Paste_Report_Here!$E$1:$E$2000,E1396, OFFSET(Paste_Report_Here!$A$1,0,$A1412,2000,1),J$75)</f>
        <v>3</v>
      </c>
      <c r="K1412" s="181">
        <f ca="1">COUNTIFS(Paste_Report_Here!$E$1:$E$2000,E1396, OFFSET(Paste_Report_Here!$A$1,0,$A1412,2000,1),K$75)</f>
        <v>0</v>
      </c>
      <c r="L1412" s="166">
        <f t="shared" ca="1" si="210"/>
        <v>29</v>
      </c>
      <c r="M1412" s="183">
        <f ca="1">SUMPRODUCT(F1412:K1412,F1400:K1400)/L:L</f>
        <v>2.0689655172413796E-2</v>
      </c>
      <c r="N1412" s="166">
        <f t="shared" ca="1" si="211"/>
        <v>1.0209051698298444</v>
      </c>
      <c r="O1412" s="165">
        <f t="shared" ca="1" si="213"/>
        <v>3093.1350238236932</v>
      </c>
      <c r="P1412" s="165">
        <f t="shared" ca="1" si="212"/>
        <v>3157.7975368033672</v>
      </c>
    </row>
    <row r="1413" spans="1:16" s="165" customFormat="1" x14ac:dyDescent="0.3">
      <c r="A1413" s="165">
        <f>MATCH(Calcs!B1413,Paste_Report_Here!$1:$1,0) -1</f>
        <v>16</v>
      </c>
      <c r="B1413" s="165" t="s">
        <v>134</v>
      </c>
      <c r="C1413" s="166">
        <f ca="1">RANK(N1413,N1402:N1426)</f>
        <v>15</v>
      </c>
      <c r="D1413" s="166">
        <f ca="1">RANK(P1413,P1402:P1426)</f>
        <v>24</v>
      </c>
      <c r="E1413" s="189" t="s">
        <v>163</v>
      </c>
      <c r="F1413" s="179">
        <f ca="1">COUNTIFS(Paste_Report_Here!$E$1:$E$2000,E1396, OFFSET(Paste_Report_Here!$A$1,0,$A1413,2000,1),F$75)</f>
        <v>0</v>
      </c>
      <c r="G1413" s="180">
        <f ca="1">COUNTIFS(Paste_Report_Here!$E$1:$E$2000,E1396, OFFSET(Paste_Report_Here!$A$1,0,$A1413,2000,1),G$75)</f>
        <v>5</v>
      </c>
      <c r="H1413" s="180">
        <f ca="1">COUNTIFS(Paste_Report_Here!$E$1:$E$2000,E1396, OFFSET(Paste_Report_Here!$A$1,0,$A1413,2000,1),H$75)</f>
        <v>20</v>
      </c>
      <c r="I1413" s="180">
        <f ca="1">COUNTIFS(Paste_Report_Here!$E$1:$E$2000,E1396, OFFSET(Paste_Report_Here!$A$1,0,$A1413,2000,1),I$75)</f>
        <v>4</v>
      </c>
      <c r="J1413" s="180">
        <f ca="1">COUNTIFS(Paste_Report_Here!$E$1:$E$2000,E1396, OFFSET(Paste_Report_Here!$A$1,0,$A1413,2000,1),J$75)</f>
        <v>0</v>
      </c>
      <c r="K1413" s="181">
        <f ca="1">COUNTIFS(Paste_Report_Here!$E$1:$E$2000,E1396, OFFSET(Paste_Report_Here!$A$1,0,$A1413,2000,1),K$75)</f>
        <v>0</v>
      </c>
      <c r="L1413" s="166">
        <f t="shared" ca="1" si="210"/>
        <v>29</v>
      </c>
      <c r="M1413" s="183">
        <f ca="1">SUMPRODUCT(F1413:K1413,F1400:K1400)/L:L</f>
        <v>0</v>
      </c>
      <c r="N1413" s="166">
        <f t="shared" ca="1" si="211"/>
        <v>1</v>
      </c>
      <c r="O1413" s="165">
        <f t="shared" ca="1" si="213"/>
        <v>1154.5390527901013</v>
      </c>
      <c r="P1413" s="165">
        <f t="shared" ca="1" si="212"/>
        <v>1154.5390527901013</v>
      </c>
    </row>
    <row r="1414" spans="1:16" s="165" customFormat="1" x14ac:dyDescent="0.3">
      <c r="A1414" s="165">
        <f>MATCH(Calcs!B1414,Paste_Report_Here!$1:$1,0) -1</f>
        <v>17</v>
      </c>
      <c r="B1414" s="165" t="s">
        <v>135</v>
      </c>
      <c r="C1414" s="166">
        <f ca="1">RANK(N1414,N1402:N1426)</f>
        <v>3</v>
      </c>
      <c r="D1414" s="166">
        <f ca="1">RANK(P1414,P1402:P1426)</f>
        <v>20</v>
      </c>
      <c r="E1414" s="189" t="s">
        <v>164</v>
      </c>
      <c r="F1414" s="179">
        <f ca="1">COUNTIFS(Paste_Report_Here!$E$1:$E$2000,E1396, OFFSET(Paste_Report_Here!$A$1,0,$A1414,2000,1),F$75)</f>
        <v>0</v>
      </c>
      <c r="G1414" s="180">
        <f ca="1">COUNTIFS(Paste_Report_Here!$E$1:$E$2000,E1396, OFFSET(Paste_Report_Here!$A$1,0,$A1414,2000,1),G$75)</f>
        <v>3</v>
      </c>
      <c r="H1414" s="180">
        <f ca="1">COUNTIFS(Paste_Report_Here!$E$1:$E$2000,E1396, OFFSET(Paste_Report_Here!$A$1,0,$A1414,2000,1),H$75)</f>
        <v>18</v>
      </c>
      <c r="I1414" s="180">
        <f ca="1">COUNTIFS(Paste_Report_Here!$E$1:$E$2000,E1396, OFFSET(Paste_Report_Here!$A$1,0,$A1414,2000,1),I$75)</f>
        <v>6</v>
      </c>
      <c r="J1414" s="180">
        <f ca="1">COUNTIFS(Paste_Report_Here!$E$1:$E$2000,E1396, OFFSET(Paste_Report_Here!$A$1,0,$A1414,2000,1),J$75)</f>
        <v>2</v>
      </c>
      <c r="K1414" s="181">
        <f ca="1">COUNTIFS(Paste_Report_Here!$E$1:$E$2000,E1396, OFFSET(Paste_Report_Here!$A$1,0,$A1414,2000,1),K$75)</f>
        <v>0</v>
      </c>
      <c r="L1414" s="166">
        <f t="shared" ca="1" si="210"/>
        <v>29</v>
      </c>
      <c r="M1414" s="183">
        <f ca="1">SUMPRODUCT(F1414:K1414,F1400:K1400)/L:L</f>
        <v>1.3793103448275864E-2</v>
      </c>
      <c r="N1414" s="166">
        <f t="shared" ca="1" si="211"/>
        <v>1.0138886671675746</v>
      </c>
      <c r="O1414" s="165">
        <f t="shared" ca="1" si="213"/>
        <v>1901.5177638147452</v>
      </c>
      <c r="P1414" s="165">
        <f t="shared" ca="1" si="212"/>
        <v>1927.9273111495991</v>
      </c>
    </row>
    <row r="1415" spans="1:16" s="165" customFormat="1" x14ac:dyDescent="0.3">
      <c r="A1415" s="165">
        <f>MATCH(Calcs!B1415,Paste_Report_Here!$1:$1,0) -1</f>
        <v>18</v>
      </c>
      <c r="B1415" s="165" t="s">
        <v>136</v>
      </c>
      <c r="C1415" s="166">
        <f ca="1">RANK(N1415,N1404:N1428)</f>
        <v>6</v>
      </c>
      <c r="D1415" s="166">
        <f ca="1">RANK(P1415,P1402:P1426)</f>
        <v>4</v>
      </c>
      <c r="E1415" s="189" t="s">
        <v>165</v>
      </c>
      <c r="F1415" s="179">
        <f ca="1">COUNTIFS(Paste_Report_Here!$E$1:$E$2000,E1396, OFFSET(Paste_Report_Here!$A$1,0,$A1415,2000,1),F$75)</f>
        <v>0</v>
      </c>
      <c r="G1415" s="180">
        <f ca="1">COUNTIFS(Paste_Report_Here!$E$1:$E$2000,E1396, OFFSET(Paste_Report_Here!$A$1,0,$A1415,2000,1),G$75)</f>
        <v>0</v>
      </c>
      <c r="H1415" s="180">
        <f ca="1">COUNTIFS(Paste_Report_Here!$E$1:$E$2000,E1396, OFFSET(Paste_Report_Here!$A$1,0,$A1415,2000,1),H$75)</f>
        <v>21</v>
      </c>
      <c r="I1415" s="180">
        <f ca="1">COUNTIFS(Paste_Report_Here!$E$1:$E$2000,E1396, OFFSET(Paste_Report_Here!$A$1,0,$A1415,2000,1),I$75)</f>
        <v>7</v>
      </c>
      <c r="J1415" s="180">
        <f ca="1">COUNTIFS(Paste_Report_Here!$E$1:$E$2000,E1396, OFFSET(Paste_Report_Here!$A$1,0,$A1415,2000,1),J$75)</f>
        <v>1</v>
      </c>
      <c r="K1415" s="181">
        <f ca="1">COUNTIFS(Paste_Report_Here!$E$1:$E$2000,E1396, OFFSET(Paste_Report_Here!$A$1,0,$A1415,2000,1),K$75)</f>
        <v>0</v>
      </c>
      <c r="L1415" s="166">
        <f t="shared" ca="1" si="210"/>
        <v>29</v>
      </c>
      <c r="M1415" s="183">
        <f ca="1">SUMPRODUCT(F1415:K1415,F1400:K1400)/L:L</f>
        <v>6.8965517241379318E-3</v>
      </c>
      <c r="N1415" s="166">
        <f t="shared" ca="1" si="211"/>
        <v>1.0069203877008224</v>
      </c>
      <c r="O1415" s="165">
        <f t="shared" ca="1" si="213"/>
        <v>4130.9202285144638</v>
      </c>
      <c r="P1415" s="165">
        <f t="shared" ca="1" si="212"/>
        <v>4159.507798056954</v>
      </c>
    </row>
    <row r="1416" spans="1:16" s="165" customFormat="1" x14ac:dyDescent="0.3">
      <c r="A1416" s="165">
        <f>MATCH(Calcs!B1416,Paste_Report_Here!$1:$1,0) -1</f>
        <v>19</v>
      </c>
      <c r="B1416" s="165" t="s">
        <v>137</v>
      </c>
      <c r="C1416" s="166">
        <f ca="1">RANK(N1416,N1405:N1429)</f>
        <v>3</v>
      </c>
      <c r="D1416" s="166">
        <f ca="1">RANK(P1416,P1402:P1426)</f>
        <v>13</v>
      </c>
      <c r="E1416" s="189" t="s">
        <v>166</v>
      </c>
      <c r="F1416" s="179">
        <f ca="1">COUNTIFS(Paste_Report_Here!$E$1:$E$2000,E1396, OFFSET(Paste_Report_Here!$A$1,0,$A1416,2000,1),F$75)</f>
        <v>0</v>
      </c>
      <c r="G1416" s="180">
        <f ca="1">COUNTIFS(Paste_Report_Here!$E$1:$E$2000,E1396, OFFSET(Paste_Report_Here!$A$1,0,$A1416,2000,1),G$75)</f>
        <v>1</v>
      </c>
      <c r="H1416" s="180">
        <f ca="1">COUNTIFS(Paste_Report_Here!$E$1:$E$2000,E1396, OFFSET(Paste_Report_Here!$A$1,0,$A1416,2000,1),H$75)</f>
        <v>21</v>
      </c>
      <c r="I1416" s="180">
        <f ca="1">COUNTIFS(Paste_Report_Here!$E$1:$E$2000,E1396, OFFSET(Paste_Report_Here!$A$1,0,$A1416,2000,1),I$75)</f>
        <v>5</v>
      </c>
      <c r="J1416" s="180">
        <f ca="1">COUNTIFS(Paste_Report_Here!$E$1:$E$2000,E1396, OFFSET(Paste_Report_Here!$A$1,0,$A1416,2000,1),J$75)</f>
        <v>2</v>
      </c>
      <c r="K1416" s="181">
        <f ca="1">COUNTIFS(Paste_Report_Here!$E$1:$E$2000,E1396, OFFSET(Paste_Report_Here!$A$1,0,$A1416,2000,1),K$75)</f>
        <v>0</v>
      </c>
      <c r="L1416" s="166">
        <f t="shared" ca="1" si="210"/>
        <v>29</v>
      </c>
      <c r="M1416" s="183">
        <f ca="1">SUMPRODUCT(F1416:K1416,F1400:K1400)/L:L</f>
        <v>1.3793103448275864E-2</v>
      </c>
      <c r="N1416" s="166">
        <f t="shared" ca="1" si="211"/>
        <v>1.0138886671675746</v>
      </c>
      <c r="O1416" s="165">
        <f t="shared" ca="1" si="213"/>
        <v>2232.3655152515203</v>
      </c>
      <c r="P1416" s="165">
        <f t="shared" ca="1" si="212"/>
        <v>2263.3700968892199</v>
      </c>
    </row>
    <row r="1417" spans="1:16" s="165" customFormat="1" x14ac:dyDescent="0.3">
      <c r="A1417" s="165">
        <f>MATCH(Calcs!B1417,Paste_Report_Here!$1:$1,0) -1</f>
        <v>20</v>
      </c>
      <c r="B1417" s="165" t="s">
        <v>138</v>
      </c>
      <c r="C1417" s="166">
        <f ca="1">RANK(N1417,N1403:N1427)</f>
        <v>22</v>
      </c>
      <c r="D1417" s="166">
        <f ca="1">RANK(P1417,P1402:P1426)</f>
        <v>19</v>
      </c>
      <c r="E1417" s="189" t="s">
        <v>167</v>
      </c>
      <c r="F1417" s="179">
        <f ca="1">COUNTIFS(Paste_Report_Here!$E$1:$E$2000,E1396, OFFSET(Paste_Report_Here!$A$1,0,$A1417,2000,1),F$75)</f>
        <v>1</v>
      </c>
      <c r="G1417" s="180">
        <f ca="1">COUNTIFS(Paste_Report_Here!$E$1:$E$2000,E1396, OFFSET(Paste_Report_Here!$A$1,0,$A1417,2000,1),G$75)</f>
        <v>0</v>
      </c>
      <c r="H1417" s="180">
        <f ca="1">COUNTIFS(Paste_Report_Here!$E$1:$E$2000,E1396, OFFSET(Paste_Report_Here!$A$1,0,$A1417,2000,1),H$75)</f>
        <v>22</v>
      </c>
      <c r="I1417" s="180">
        <f ca="1">COUNTIFS(Paste_Report_Here!$E$1:$E$2000,E1396, OFFSET(Paste_Report_Here!$A$1,0,$A1417,2000,1),I$75)</f>
        <v>6</v>
      </c>
      <c r="J1417" s="180">
        <f ca="1">COUNTIFS(Paste_Report_Here!$E$1:$E$2000,E1396, OFFSET(Paste_Report_Here!$A$1,0,$A1417,2000,1),J$75)</f>
        <v>0</v>
      </c>
      <c r="K1417" s="181">
        <f ca="1">COUNTIFS(Paste_Report_Here!$E$1:$E$2000,E1396, OFFSET(Paste_Report_Here!$A$1,0,$A1417,2000,1),K$75)</f>
        <v>0</v>
      </c>
      <c r="L1417" s="166">
        <f t="shared" ca="1" si="210"/>
        <v>29</v>
      </c>
      <c r="M1417" s="183">
        <f ca="1">SUMPRODUCT(F1417:K1417,F1400:K1400)/L:L</f>
        <v>-6.8965517241379318E-3</v>
      </c>
      <c r="N1417" s="166">
        <f t="shared" ca="1" si="211"/>
        <v>0.99312717491337699</v>
      </c>
      <c r="O1417" s="165">
        <f t="shared" ca="1" si="213"/>
        <v>1946.4818885354571</v>
      </c>
      <c r="P1417" s="165">
        <f t="shared" ca="1" si="212"/>
        <v>1933.1040589812733</v>
      </c>
    </row>
    <row r="1418" spans="1:16" s="165" customFormat="1" x14ac:dyDescent="0.3">
      <c r="A1418" s="165">
        <f>MATCH(Calcs!B1418,Paste_Report_Here!$1:$1,0) -1</f>
        <v>21</v>
      </c>
      <c r="B1418" s="165" t="s">
        <v>139</v>
      </c>
      <c r="C1418" s="166">
        <f ca="1">RANK(N1418,N1402:N1426)</f>
        <v>22</v>
      </c>
      <c r="D1418" s="166">
        <f ca="1">RANK(P1418,P1402:P1426)</f>
        <v>18</v>
      </c>
      <c r="E1418" s="189" t="s">
        <v>168</v>
      </c>
      <c r="F1418" s="179">
        <f ca="1">COUNTIFS(Paste_Report_Here!$E$1:$E$2000,E1396, OFFSET(Paste_Report_Here!$A$1,0,$A1418,2000,1),F$75)</f>
        <v>1</v>
      </c>
      <c r="G1418" s="180">
        <f ca="1">COUNTIFS(Paste_Report_Here!$E$1:$E$2000,E1396, OFFSET(Paste_Report_Here!$A$1,0,$A1418,2000,1),G$75)</f>
        <v>1</v>
      </c>
      <c r="H1418" s="180">
        <f ca="1">COUNTIFS(Paste_Report_Here!$E$1:$E$2000,E1396, OFFSET(Paste_Report_Here!$A$1,0,$A1418,2000,1),H$75)</f>
        <v>20</v>
      </c>
      <c r="I1418" s="180">
        <f ca="1">COUNTIFS(Paste_Report_Here!$E$1:$E$2000,E1396, OFFSET(Paste_Report_Here!$A$1,0,$A1418,2000,1),I$75)</f>
        <v>7</v>
      </c>
      <c r="J1418" s="180">
        <f ca="1">COUNTIFS(Paste_Report_Here!$E$1:$E$2000,E1396, OFFSET(Paste_Report_Here!$A$1,0,$A1418,2000,1),J$75)</f>
        <v>0</v>
      </c>
      <c r="K1418" s="181">
        <f ca="1">COUNTIFS(Paste_Report_Here!$E$1:$E$2000,E1396, OFFSET(Paste_Report_Here!$A$1,0,$A1418,2000,1),K$75)</f>
        <v>0</v>
      </c>
      <c r="L1418" s="166">
        <f t="shared" ca="1" si="210"/>
        <v>29</v>
      </c>
      <c r="M1418" s="183">
        <f ca="1">SUMPRODUCT(F1418:K1418,F1400:K1400)/L:L</f>
        <v>-6.8965517241379318E-3</v>
      </c>
      <c r="N1418" s="166">
        <f t="shared" ca="1" si="211"/>
        <v>0.99312717491337699</v>
      </c>
      <c r="O1418" s="165">
        <f t="shared" ca="1" si="213"/>
        <v>2012.3116124690985</v>
      </c>
      <c r="P1418" s="165">
        <f t="shared" ca="1" si="212"/>
        <v>1998.4813467368181</v>
      </c>
    </row>
    <row r="1419" spans="1:16" s="165" customFormat="1" x14ac:dyDescent="0.3">
      <c r="A1419" s="165">
        <f>MATCH(Calcs!B1419,Paste_Report_Here!$1:$1,0) -1</f>
        <v>22</v>
      </c>
      <c r="B1419" s="165" t="s">
        <v>140</v>
      </c>
      <c r="C1419" s="166">
        <f ca="1">RANK(N1419,N1402:N1426)</f>
        <v>6</v>
      </c>
      <c r="D1419" s="166">
        <f ca="1">RANK(P1419,P1402:P1426)</f>
        <v>15</v>
      </c>
      <c r="E1419" s="189" t="s">
        <v>169</v>
      </c>
      <c r="F1419" s="179">
        <f ca="1">COUNTIFS(Paste_Report_Here!$E$1:$E$2000,E1396, OFFSET(Paste_Report_Here!$A$1,0,$A1419,2000,1),F$75)</f>
        <v>0</v>
      </c>
      <c r="G1419" s="180">
        <f ca="1">COUNTIFS(Paste_Report_Here!$E$1:$E$2000,E1396, OFFSET(Paste_Report_Here!$A$1,0,$A1419,2000,1),G$75)</f>
        <v>1</v>
      </c>
      <c r="H1419" s="180">
        <f ca="1">COUNTIFS(Paste_Report_Here!$E$1:$E$2000,E1396, OFFSET(Paste_Report_Here!$A$1,0,$A1419,2000,1),H$75)</f>
        <v>23</v>
      </c>
      <c r="I1419" s="180">
        <f ca="1">COUNTIFS(Paste_Report_Here!$E$1:$E$2000,E1396, OFFSET(Paste_Report_Here!$A$1,0,$A1419,2000,1),I$75)</f>
        <v>4</v>
      </c>
      <c r="J1419" s="180">
        <f ca="1">COUNTIFS(Paste_Report_Here!$E$1:$E$2000,E1396, OFFSET(Paste_Report_Here!$A$1,0,$A1419,2000,1),J$75)</f>
        <v>1</v>
      </c>
      <c r="K1419" s="181">
        <f ca="1">COUNTIFS(Paste_Report_Here!$E$1:$E$2000,E1396, OFFSET(Paste_Report_Here!$A$1,0,$A1419,2000,1),K$75)</f>
        <v>0</v>
      </c>
      <c r="L1419" s="166">
        <f t="shared" ca="1" si="210"/>
        <v>29</v>
      </c>
      <c r="M1419" s="183">
        <f ca="1">SUMPRODUCT(F1419:K1419,F1400:K1400)/L:L</f>
        <v>6.8965517241379318E-3</v>
      </c>
      <c r="N1419" s="166">
        <f t="shared" ca="1" si="211"/>
        <v>1.0069203877008224</v>
      </c>
      <c r="O1419" s="165">
        <f t="shared" ca="1" si="213"/>
        <v>2118.4841760206382</v>
      </c>
      <c r="P1419" s="165">
        <f t="shared" ca="1" si="212"/>
        <v>2133.1449078567584</v>
      </c>
    </row>
    <row r="1420" spans="1:16" s="165" customFormat="1" x14ac:dyDescent="0.3">
      <c r="A1420" s="165">
        <f>MATCH(Calcs!B1420,Paste_Report_Here!$1:$1,0) -1</f>
        <v>23</v>
      </c>
      <c r="B1420" s="165" t="s">
        <v>186</v>
      </c>
      <c r="C1420" s="166">
        <f ca="1">RANK(N1420,N1402:N1426)</f>
        <v>6</v>
      </c>
      <c r="D1420" s="166">
        <f ca="1">RANK(P1420,P1402:P1426)</f>
        <v>3</v>
      </c>
      <c r="E1420" s="189" t="s">
        <v>180</v>
      </c>
      <c r="F1420" s="179">
        <f ca="1">COUNTIFS(Paste_Report_Here!$E$1:$E$2000,E1396, OFFSET(Paste_Report_Here!$A$1,0,$A1420,2000,1),F$75)</f>
        <v>0</v>
      </c>
      <c r="G1420" s="180">
        <f ca="1">COUNTIFS(Paste_Report_Here!$E$1:$E$2000,E1396, OFFSET(Paste_Report_Here!$A$1,0,$A1420,2000,1),G$75)</f>
        <v>1</v>
      </c>
      <c r="H1420" s="180">
        <f ca="1">COUNTIFS(Paste_Report_Here!$E$1:$E$2000,E1396, OFFSET(Paste_Report_Here!$A$1,0,$A1420,2000,1),H$75)</f>
        <v>21</v>
      </c>
      <c r="I1420" s="180">
        <f ca="1">COUNTIFS(Paste_Report_Here!$E$1:$E$2000,E1396, OFFSET(Paste_Report_Here!$A$1,0,$A1420,2000,1),I$75)</f>
        <v>6</v>
      </c>
      <c r="J1420" s="180">
        <f ca="1">COUNTIFS(Paste_Report_Here!$E$1:$E$2000,E1396, OFFSET(Paste_Report_Here!$A$1,0,$A1420,2000,1),J$75)</f>
        <v>1</v>
      </c>
      <c r="K1420" s="181">
        <f ca="1">COUNTIFS(Paste_Report_Here!$E$1:$E$2000,E1396, OFFSET(Paste_Report_Here!$A$1,0,$A1420,2000,1),K$75)</f>
        <v>0</v>
      </c>
      <c r="L1420" s="166">
        <f t="shared" ca="1" si="210"/>
        <v>29</v>
      </c>
      <c r="M1420" s="183">
        <f ca="1">SUMPRODUCT(F1420:K1420,F1400:K1400)/L:L</f>
        <v>6.8965517241379318E-3</v>
      </c>
      <c r="N1420" s="166">
        <f t="shared" ca="1" si="211"/>
        <v>1.0069203877008224</v>
      </c>
      <c r="O1420" s="165">
        <f t="shared" ca="1" si="213"/>
        <v>4181.6910406464822</v>
      </c>
      <c r="P1420" s="165">
        <f t="shared" ca="1" si="212"/>
        <v>4210.6299638928112</v>
      </c>
    </row>
    <row r="1421" spans="1:16" s="165" customFormat="1" x14ac:dyDescent="0.3">
      <c r="A1421" s="165">
        <f>MATCH(Calcs!B1421,Paste_Report_Here!$1:$1,0) -1</f>
        <v>24</v>
      </c>
      <c r="B1421" s="165" t="s">
        <v>209</v>
      </c>
      <c r="C1421" s="166">
        <f ca="1">RANK(N1421,N1402:N1426)</f>
        <v>6</v>
      </c>
      <c r="D1421" s="166">
        <f ca="1">RANK(P1421,P1402:P1426)</f>
        <v>23</v>
      </c>
      <c r="E1421" s="202" t="s">
        <v>211</v>
      </c>
      <c r="F1421" s="179">
        <f ca="1">COUNTIFS(Paste_Report_Here!$E$1:$E$2000,E1396, OFFSET(Paste_Report_Here!$A$1,0,$A1421,2000,1),F$75)</f>
        <v>0</v>
      </c>
      <c r="G1421" s="180">
        <f ca="1">COUNTIFS(Paste_Report_Here!$E$1:$E$2000,E1396, OFFSET(Paste_Report_Here!$A$1,0,$A1421,2000,1),G$75)</f>
        <v>1</v>
      </c>
      <c r="H1421" s="180">
        <f ca="1">COUNTIFS(Paste_Report_Here!$E$1:$E$2000,E1396, OFFSET(Paste_Report_Here!$A$1,0,$A1421,2000,1),H$75)</f>
        <v>19</v>
      </c>
      <c r="I1421" s="180">
        <f ca="1">COUNTIFS(Paste_Report_Here!$E$1:$E$2000,E1396, OFFSET(Paste_Report_Here!$A$1,0,$A1421,2000,1),I$75)</f>
        <v>8</v>
      </c>
      <c r="J1421" s="180">
        <f ca="1">COUNTIFS(Paste_Report_Here!$E$1:$E$2000,E1396, OFFSET(Paste_Report_Here!$A$1,0,$A1421,2000,1),J$75)</f>
        <v>1</v>
      </c>
      <c r="K1421" s="181">
        <f ca="1">COUNTIFS(Paste_Report_Here!$E$1:$E$2000,E1396, OFFSET(Paste_Report_Here!$A$1,0,$A1421,2000,1),K$75)</f>
        <v>0</v>
      </c>
      <c r="L1421" s="166">
        <f t="shared" ca="1" si="210"/>
        <v>29</v>
      </c>
      <c r="M1421" s="183">
        <f ca="1">SUMPRODUCT(F1421:K1421,F1400:K1400)/L:L</f>
        <v>6.8965517241379318E-3</v>
      </c>
      <c r="N1421" s="166">
        <f t="shared" ca="1" si="211"/>
        <v>1.0069203877008224</v>
      </c>
      <c r="O1421" s="165">
        <f t="shared" ca="1" si="213"/>
        <v>1233.3207180696568</v>
      </c>
      <c r="P1421" s="165">
        <f t="shared" ca="1" si="212"/>
        <v>1241.8557755981556</v>
      </c>
    </row>
    <row r="1422" spans="1:16" s="165" customFormat="1" x14ac:dyDescent="0.3">
      <c r="A1422" s="165">
        <f>MATCH(Calcs!B1422,Paste_Report_Here!$1:$1,0) -1</f>
        <v>25</v>
      </c>
      <c r="B1422" s="165" t="s">
        <v>141</v>
      </c>
      <c r="C1422" s="166">
        <f ca="1">RANK(N1422,N1402:N1426)</f>
        <v>15</v>
      </c>
      <c r="D1422" s="166">
        <f ca="1">RANK(P1422,P1402:P1426)</f>
        <v>22</v>
      </c>
      <c r="E1422" s="189" t="s">
        <v>170</v>
      </c>
      <c r="F1422" s="179">
        <f ca="1">COUNTIFS(Paste_Report_Here!$E$1:$E$2000,E1396, OFFSET(Paste_Report_Here!$A$1,0,$A1422,2000,1),F$75)</f>
        <v>1</v>
      </c>
      <c r="G1422" s="180">
        <f ca="1">COUNTIFS(Paste_Report_Here!$E$1:$E$2000,E1396, OFFSET(Paste_Report_Here!$A$1,0,$A1422,2000,1),G$75)</f>
        <v>3</v>
      </c>
      <c r="H1422" s="180">
        <f ca="1">COUNTIFS(Paste_Report_Here!$E$1:$E$2000,E1396, OFFSET(Paste_Report_Here!$A$1,0,$A1422,2000,1),H$75)</f>
        <v>19</v>
      </c>
      <c r="I1422" s="180">
        <f ca="1">COUNTIFS(Paste_Report_Here!$E$1:$E$2000,E1396, OFFSET(Paste_Report_Here!$A$1,0,$A1422,2000,1),I$75)</f>
        <v>5</v>
      </c>
      <c r="J1422" s="180">
        <f ca="1">COUNTIFS(Paste_Report_Here!$E$1:$E$2000,E1396, OFFSET(Paste_Report_Here!$A$1,0,$A1422,2000,1),J$75)</f>
        <v>1</v>
      </c>
      <c r="K1422" s="181">
        <f ca="1">COUNTIFS(Paste_Report_Here!$E$1:$E$2000,E1396, OFFSET(Paste_Report_Here!$A$1,0,$A1422,2000,1),K$75)</f>
        <v>0</v>
      </c>
      <c r="L1422" s="166">
        <f t="shared" ca="1" si="210"/>
        <v>29</v>
      </c>
      <c r="M1422" s="183">
        <f ca="1">SUMPRODUCT(F1422:K1422,F1400:K1400)/L:L</f>
        <v>0</v>
      </c>
      <c r="N1422" s="166">
        <f t="shared" ca="1" si="211"/>
        <v>1</v>
      </c>
      <c r="O1422" s="165">
        <f t="shared" ca="1" si="213"/>
        <v>1380.2738490361658</v>
      </c>
      <c r="P1422" s="165">
        <f t="shared" ca="1" si="212"/>
        <v>1380.2738490361658</v>
      </c>
    </row>
    <row r="1423" spans="1:16" s="165" customFormat="1" x14ac:dyDescent="0.3">
      <c r="A1423" s="165">
        <f>MATCH(Calcs!B1423,Paste_Report_Here!$1:$1,0) -1</f>
        <v>26</v>
      </c>
      <c r="B1423" s="165" t="s">
        <v>142</v>
      </c>
      <c r="C1423" s="166">
        <f ca="1">RANK(N1423,N1402:N1426)</f>
        <v>3</v>
      </c>
      <c r="D1423" s="166">
        <f ca="1">RANK(P1423,P1402:P1426)</f>
        <v>12</v>
      </c>
      <c r="E1423" s="189" t="s">
        <v>171</v>
      </c>
      <c r="F1423" s="179">
        <f ca="1">COUNTIFS(Paste_Report_Here!$E$1:$E$2000,E1396, OFFSET(Paste_Report_Here!$A$1,0,$A1423,2000,1),F$75)</f>
        <v>0</v>
      </c>
      <c r="G1423" s="180">
        <f ca="1">COUNTIFS(Paste_Report_Here!$E$1:$E$2000,E1396, OFFSET(Paste_Report_Here!$A$1,0,$A1423,2000,1),G$75)</f>
        <v>1</v>
      </c>
      <c r="H1423" s="180">
        <f ca="1">COUNTIFS(Paste_Report_Here!$E$1:$E$2000,E1396, OFFSET(Paste_Report_Here!$A$1,0,$A1423,2000,1),H$75)</f>
        <v>19</v>
      </c>
      <c r="I1423" s="180">
        <f ca="1">COUNTIFS(Paste_Report_Here!$E$1:$E$2000,E1396, OFFSET(Paste_Report_Here!$A$1,0,$A1423,2000,1),I$75)</f>
        <v>7</v>
      </c>
      <c r="J1423" s="180">
        <f ca="1">COUNTIFS(Paste_Report_Here!$E$1:$E$2000,E1396, OFFSET(Paste_Report_Here!$A$1,0,$A1423,2000,1),J$75)</f>
        <v>2</v>
      </c>
      <c r="K1423" s="181">
        <f ca="1">COUNTIFS(Paste_Report_Here!$E$1:$E$2000,E1396, OFFSET(Paste_Report_Here!$A$1,0,$A1423,2000,1),K$75)</f>
        <v>0</v>
      </c>
      <c r="L1423" s="166">
        <f t="shared" ca="1" si="210"/>
        <v>29</v>
      </c>
      <c r="M1423" s="183">
        <f ca="1">SUMPRODUCT(F1423:K1423,F1400:K1400)/L:L</f>
        <v>1.3793103448275864E-2</v>
      </c>
      <c r="N1423" s="166">
        <f t="shared" ca="1" si="211"/>
        <v>1.0138886671675746</v>
      </c>
      <c r="O1423" s="165">
        <f t="shared" ca="1" si="213"/>
        <v>2285.0821819025382</v>
      </c>
      <c r="P1423" s="165">
        <f t="shared" ca="1" si="212"/>
        <v>2316.8189277775377</v>
      </c>
    </row>
    <row r="1424" spans="1:16" s="165" customFormat="1" x14ac:dyDescent="0.3">
      <c r="A1424" s="165">
        <f>MATCH(Calcs!B1424,Paste_Report_Here!$1:$1,0) -1</f>
        <v>27</v>
      </c>
      <c r="B1424" s="165" t="s">
        <v>210</v>
      </c>
      <c r="C1424" s="166">
        <f ca="1">RANK(N1424,N1402:N1426)</f>
        <v>15</v>
      </c>
      <c r="D1424" s="166">
        <f ca="1">RANK(P1424,P1402:P1426)</f>
        <v>25</v>
      </c>
      <c r="E1424" s="202" t="s">
        <v>212</v>
      </c>
      <c r="F1424" s="179">
        <f ca="1">COUNTIFS(Paste_Report_Here!$E$1:$E$2000,E1396, OFFSET(Paste_Report_Here!$A$1,0,$A1424,2000,1),F$75)</f>
        <v>0</v>
      </c>
      <c r="G1424" s="180">
        <f ca="1">COUNTIFS(Paste_Report_Here!$E$1:$E$2000,E1396, OFFSET(Paste_Report_Here!$A$1,0,$A1424,2000,1),G$75)</f>
        <v>2</v>
      </c>
      <c r="H1424" s="180">
        <f ca="1">COUNTIFS(Paste_Report_Here!$E$1:$E$2000,E1396, OFFSET(Paste_Report_Here!$A$1,0,$A1424,2000,1),H$75)</f>
        <v>22</v>
      </c>
      <c r="I1424" s="180">
        <f ca="1">COUNTIFS(Paste_Report_Here!$E$1:$E$2000,E1396, OFFSET(Paste_Report_Here!$A$1,0,$A1424,2000,1),I$75)</f>
        <v>5</v>
      </c>
      <c r="J1424" s="180">
        <f ca="1">COUNTIFS(Paste_Report_Here!$E$1:$E$2000,E1396, OFFSET(Paste_Report_Here!$A$1,0,$A1424,2000,1),J$75)</f>
        <v>0</v>
      </c>
      <c r="K1424" s="181">
        <f ca="1">COUNTIFS(Paste_Report_Here!$E$1:$E$2000,E1396, OFFSET(Paste_Report_Here!$A$1,0,$A1424,2000,1),K$75)</f>
        <v>0</v>
      </c>
      <c r="L1424" s="166">
        <f t="shared" ca="1" si="210"/>
        <v>29</v>
      </c>
      <c r="M1424" s="183">
        <f ca="1">SUMPRODUCT(F1424:K1424,F1400:K1400)/L:L</f>
        <v>0</v>
      </c>
      <c r="N1424" s="166">
        <f t="shared" ca="1" si="211"/>
        <v>1</v>
      </c>
      <c r="O1424" s="165">
        <f t="shared" ca="1" si="213"/>
        <v>1143.6699917353874</v>
      </c>
      <c r="P1424" s="165">
        <f t="shared" ca="1" si="212"/>
        <v>1143.6699917353874</v>
      </c>
    </row>
    <row r="1425" spans="1:16" s="165" customFormat="1" x14ac:dyDescent="0.3">
      <c r="A1425" s="165">
        <f>MATCH(Calcs!B1425,Paste_Report_Here!$1:$1,0) -1</f>
        <v>28</v>
      </c>
      <c r="B1425" s="165" t="s">
        <v>143</v>
      </c>
      <c r="C1425" s="166">
        <f ca="1">RANK(N1425,N1403:N1427)</f>
        <v>6</v>
      </c>
      <c r="D1425" s="166">
        <f ca="1">RANK(P1425,P1402:P1426)</f>
        <v>1</v>
      </c>
      <c r="E1425" s="189" t="s">
        <v>172</v>
      </c>
      <c r="F1425" s="179">
        <f ca="1">COUNTIFS(Paste_Report_Here!$E$1:$E$2000,E1396, OFFSET(Paste_Report_Here!$A$1,0,$A1425,2000,1),F$75)</f>
        <v>0</v>
      </c>
      <c r="G1425" s="180">
        <f ca="1">COUNTIFS(Paste_Report_Here!$E$1:$E$2000,E1396, OFFSET(Paste_Report_Here!$A$1,0,$A1425,2000,1),G$75)</f>
        <v>0</v>
      </c>
      <c r="H1425" s="180">
        <f ca="1">COUNTIFS(Paste_Report_Here!$E$1:$E$2000,E1396, OFFSET(Paste_Report_Here!$A$1,0,$A1425,2000,1),H$75)</f>
        <v>23</v>
      </c>
      <c r="I1425" s="180">
        <f ca="1">COUNTIFS(Paste_Report_Here!$E$1:$E$2000,E1396, OFFSET(Paste_Report_Here!$A$1,0,$A1425,2000,1),I$75)</f>
        <v>5</v>
      </c>
      <c r="J1425" s="180">
        <f ca="1">COUNTIFS(Paste_Report_Here!$E$1:$E$2000,E1396, OFFSET(Paste_Report_Here!$A$1,0,$A1425,2000,1),J$75)</f>
        <v>1</v>
      </c>
      <c r="K1425" s="181">
        <f ca="1">COUNTIFS(Paste_Report_Here!$E$1:$E$2000,E1396, OFFSET(Paste_Report_Here!$A$1,0,$A1425,2000,1),K$75)</f>
        <v>0</v>
      </c>
      <c r="L1425" s="166">
        <f t="shared" ca="1" si="210"/>
        <v>29</v>
      </c>
      <c r="M1425" s="183">
        <f ca="1">SUMPRODUCT(F1425:K1425,F1400:K1400)/L:L</f>
        <v>6.8965517241379318E-3</v>
      </c>
      <c r="N1425" s="166">
        <f t="shared" ca="1" si="211"/>
        <v>1.0069203877008224</v>
      </c>
      <c r="O1425" s="165">
        <f t="shared" ca="1" si="213"/>
        <v>9399.8962713892979</v>
      </c>
      <c r="P1425" s="165">
        <f t="shared" ca="1" si="212"/>
        <v>9464.9471979348273</v>
      </c>
    </row>
    <row r="1426" spans="1:16" s="165" customFormat="1" x14ac:dyDescent="0.3">
      <c r="A1426" s="165">
        <f>MATCH(Calcs!B1426,Paste_Report_Here!$1:$1,0) -1</f>
        <v>29</v>
      </c>
      <c r="B1426" s="187" t="s">
        <v>144</v>
      </c>
      <c r="C1426" s="147">
        <f ca="1">RANK(N1426,N1402:N1426)</f>
        <v>15</v>
      </c>
      <c r="D1426" s="147">
        <f ca="1">RANK(P1426,P1402:P1426)</f>
        <v>11</v>
      </c>
      <c r="E1426" s="145" t="s">
        <v>173</v>
      </c>
      <c r="F1426" s="146">
        <f ca="1">COUNTIFS(Paste_Report_Here!$E$1:$E$2000,E1396, OFFSET(Paste_Report_Here!$A$1,0,$A1426,2000,1),F$75)</f>
        <v>0</v>
      </c>
      <c r="G1426" s="147">
        <f ca="1">COUNTIFS(Paste_Report_Here!$E$1:$E$2000,E1396, OFFSET(Paste_Report_Here!$A$1,0,$A1426,2000,1),G$75)</f>
        <v>1</v>
      </c>
      <c r="H1426" s="147">
        <f ca="1">COUNTIFS(Paste_Report_Here!$E$1:$E$2000,E1396, OFFSET(Paste_Report_Here!$A$1,0,$A1426,2000,1),H$75)</f>
        <v>23</v>
      </c>
      <c r="I1426" s="147">
        <f ca="1">COUNTIFS(Paste_Report_Here!$E$1:$E$2000,E1396, OFFSET(Paste_Report_Here!$A$1,0,$A1426,2000,1),I$75)</f>
        <v>5</v>
      </c>
      <c r="J1426" s="147">
        <f ca="1">COUNTIFS(Paste_Report_Here!$E$1:$E$2000,E1396, OFFSET(Paste_Report_Here!$A$1,0,$A1426,2000,1),J$75)</f>
        <v>0</v>
      </c>
      <c r="K1426" s="148">
        <f ca="1">COUNTIFS(Paste_Report_Here!$E$1:$E$2000,E1396, OFFSET(Paste_Report_Here!$A$1,0,$A1426,2000,1),K$75)</f>
        <v>0</v>
      </c>
      <c r="L1426" s="147">
        <f t="shared" ca="1" si="210"/>
        <v>29</v>
      </c>
      <c r="M1426" s="149">
        <f ca="1">SUMPRODUCT(F1426:K1426,F1400:K1400)/L:L</f>
        <v>0</v>
      </c>
      <c r="N1426" s="147">
        <f t="shared" ca="1" si="211"/>
        <v>1</v>
      </c>
      <c r="O1426" s="187">
        <f t="shared" ca="1" si="213"/>
        <v>2373.8949567469472</v>
      </c>
      <c r="P1426" s="165">
        <f t="shared" ca="1" si="212"/>
        <v>2373.8949567469472</v>
      </c>
    </row>
    <row r="1427" spans="1:16" s="165" customFormat="1" x14ac:dyDescent="0.3">
      <c r="C1427" s="166"/>
      <c r="E1427" s="140" t="s">
        <v>293</v>
      </c>
      <c r="F1427" s="180">
        <f ca="1">SUM(F1402:F1426)</f>
        <v>8</v>
      </c>
      <c r="G1427" s="180">
        <f t="shared" ref="G1427:L1427" ca="1" si="214">SUM(G1402:G1426)</f>
        <v>36</v>
      </c>
      <c r="H1427" s="180">
        <f t="shared" ca="1" si="214"/>
        <v>509</v>
      </c>
      <c r="I1427" s="180">
        <f t="shared" ca="1" si="214"/>
        <v>145</v>
      </c>
      <c r="J1427" s="180">
        <f t="shared" ca="1" si="214"/>
        <v>27</v>
      </c>
      <c r="K1427" s="180">
        <f t="shared" ca="1" si="214"/>
        <v>0</v>
      </c>
      <c r="L1427" s="180">
        <f t="shared" ca="1" si="214"/>
        <v>725</v>
      </c>
      <c r="M1427" s="144">
        <f ca="1">SUMPRODUCT(F1427:K1427,F1400:K1400)/L1427</f>
        <v>5.241379310344828E-3</v>
      </c>
      <c r="N1427" s="166">
        <f t="shared" ca="1" si="211"/>
        <v>1.0052551393689402</v>
      </c>
      <c r="O1427" s="165">
        <f t="shared" ca="1" si="213"/>
        <v>2727.1284391866229</v>
      </c>
      <c r="P1427" s="165">
        <f t="shared" ca="1" si="212"/>
        <v>2741.4598792115489</v>
      </c>
    </row>
    <row r="1428" spans="1:16" s="165" customFormat="1" x14ac:dyDescent="0.3">
      <c r="A1428" s="194"/>
      <c r="B1428" s="194"/>
      <c r="C1428" s="153"/>
      <c r="D1428" s="194"/>
      <c r="E1428" s="164"/>
      <c r="F1428" s="151"/>
      <c r="G1428" s="151"/>
      <c r="H1428" s="151"/>
      <c r="I1428" s="151"/>
      <c r="J1428" s="151"/>
      <c r="K1428" s="151"/>
      <c r="L1428" s="151"/>
      <c r="M1428" s="162"/>
      <c r="N1428" s="153"/>
      <c r="O1428" s="194"/>
      <c r="P1428" s="194"/>
    </row>
    <row r="1429" spans="1:16" s="165" customFormat="1" x14ac:dyDescent="0.3">
      <c r="E1429" s="173" t="s">
        <v>292</v>
      </c>
    </row>
    <row r="1430" spans="1:16" s="165" customFormat="1" x14ac:dyDescent="0.3">
      <c r="E1430" s="141">
        <v>41819</v>
      </c>
    </row>
    <row r="1431" spans="1:16" s="165" customFormat="1" ht="15" thickBot="1" x14ac:dyDescent="0.35"/>
    <row r="1432" spans="1:16" s="165" customFormat="1" ht="24.6" thickBot="1" x14ac:dyDescent="0.35">
      <c r="F1432" s="174" t="s">
        <v>23</v>
      </c>
      <c r="G1432" s="168" t="s">
        <v>18</v>
      </c>
      <c r="H1432" s="168" t="s">
        <v>16</v>
      </c>
      <c r="I1432" s="168" t="s">
        <v>17</v>
      </c>
      <c r="J1432" s="168" t="s">
        <v>19</v>
      </c>
      <c r="K1432" s="169" t="s">
        <v>114</v>
      </c>
    </row>
    <row r="1433" spans="1:16" s="165" customFormat="1" x14ac:dyDescent="0.3">
      <c r="F1433" s="267" t="s">
        <v>201</v>
      </c>
      <c r="G1433" s="268"/>
      <c r="H1433" s="268"/>
      <c r="I1433" s="268"/>
      <c r="J1433" s="268"/>
      <c r="K1433" s="169"/>
      <c r="M1433" s="203">
        <f ca="1">(H1461+K1461)/L1461</f>
        <v>0.71333333333333337</v>
      </c>
      <c r="N1433" s="204" t="s">
        <v>501</v>
      </c>
    </row>
    <row r="1434" spans="1:16" s="165" customFormat="1" ht="43.8" thickBot="1" x14ac:dyDescent="0.35">
      <c r="A1434" s="142" t="s">
        <v>294</v>
      </c>
      <c r="B1434" s="142" t="s">
        <v>295</v>
      </c>
      <c r="C1434" s="197" t="s">
        <v>440</v>
      </c>
      <c r="D1434" s="142" t="s">
        <v>441</v>
      </c>
      <c r="E1434" s="171" t="s">
        <v>30</v>
      </c>
      <c r="F1434" s="175">
        <f>Falling_fast</f>
        <v>-0.2</v>
      </c>
      <c r="G1434" s="176">
        <f>Falling</f>
        <v>0</v>
      </c>
      <c r="H1434" s="177">
        <f>Static</f>
        <v>0</v>
      </c>
      <c r="I1434" s="176">
        <f>Rising</f>
        <v>0</v>
      </c>
      <c r="J1434" s="178">
        <f>Rising_fast</f>
        <v>0.2</v>
      </c>
      <c r="K1434" s="182">
        <v>0</v>
      </c>
      <c r="L1434" s="171" t="s">
        <v>28</v>
      </c>
      <c r="M1434" s="172" t="s">
        <v>29</v>
      </c>
      <c r="N1434" s="143" t="s">
        <v>296</v>
      </c>
      <c r="O1434" s="142" t="s">
        <v>297</v>
      </c>
      <c r="P1434" s="142" t="s">
        <v>298</v>
      </c>
    </row>
    <row r="1435" spans="1:16" s="165" customFormat="1" x14ac:dyDescent="0.3">
      <c r="C1435" s="166"/>
      <c r="E1435" s="192"/>
      <c r="F1435" s="198" t="s">
        <v>151</v>
      </c>
      <c r="G1435" s="199" t="s">
        <v>149</v>
      </c>
      <c r="H1435" s="199" t="s">
        <v>16</v>
      </c>
      <c r="I1435" s="199" t="s">
        <v>148</v>
      </c>
      <c r="J1435" s="199" t="s">
        <v>150</v>
      </c>
      <c r="K1435" s="200" t="s">
        <v>114</v>
      </c>
      <c r="L1435" s="166"/>
      <c r="M1435" s="170"/>
      <c r="N1435" s="166"/>
    </row>
    <row r="1436" spans="1:16" s="165" customFormat="1" x14ac:dyDescent="0.3">
      <c r="A1436" s="165">
        <f>MATCH(Calcs!B1436,Paste_Report_Here!$1:$1,0) -1</f>
        <v>5</v>
      </c>
      <c r="B1436" s="165" t="s">
        <v>124</v>
      </c>
      <c r="C1436" s="166">
        <f ca="1">RANK(N1436,N1436:N1460)</f>
        <v>5</v>
      </c>
      <c r="D1436" s="166">
        <f ca="1">RANK(P1436,P1436:P1460)</f>
        <v>17</v>
      </c>
      <c r="E1436" s="189" t="s">
        <v>152</v>
      </c>
      <c r="F1436" s="179">
        <f ca="1">COUNTIFS(Paste_Report_Here!$E$1:$E$2000,E1430, OFFSET(Paste_Report_Here!$A$1,0,$A1436,2000,1),F$75)</f>
        <v>0</v>
      </c>
      <c r="G1436" s="180">
        <f ca="1">COUNTIFS(Paste_Report_Here!$E$1:$E$2000,E1430, OFFSET(Paste_Report_Here!$A$1,0,$A1436,2000,1),G$75)</f>
        <v>4</v>
      </c>
      <c r="H1436" s="180">
        <f ca="1">COUNTIFS(Paste_Report_Here!$E$1:$E$2000,E1430, OFFSET(Paste_Report_Here!$A$1,0,$A1436,2000,1),H$75)</f>
        <v>15</v>
      </c>
      <c r="I1436" s="180">
        <f ca="1">COUNTIFS(Paste_Report_Here!$E$1:$E$2000,E1430, OFFSET(Paste_Report_Here!$A$1,0,$A1436,2000,1),I$75)</f>
        <v>5</v>
      </c>
      <c r="J1436" s="180">
        <f ca="1">COUNTIFS(Paste_Report_Here!$E$1:$E$2000,E1430, OFFSET(Paste_Report_Here!$A$1,0,$A1436,2000,1),J$75)</f>
        <v>0</v>
      </c>
      <c r="K1436" s="181">
        <f ca="1">COUNTIFS(Paste_Report_Here!$E$1:$E$2000,E1430, OFFSET(Paste_Report_Here!$A$1,0,$A1436,2000,1),K$75)</f>
        <v>0</v>
      </c>
      <c r="L1436" s="166">
        <f t="shared" ref="L1436:L1460" ca="1" si="215">SUM(F1436:K1436)</f>
        <v>24</v>
      </c>
      <c r="M1436" s="183">
        <f ca="1">SUMPRODUCT(F1436:K1436,F1434:K1434)/L:L</f>
        <v>0</v>
      </c>
      <c r="N1436" s="166">
        <f t="shared" ref="N1436:N1461" ca="1" si="216">EXP(M1436)</f>
        <v>1</v>
      </c>
      <c r="O1436" s="165">
        <f ca="1">P1402</f>
        <v>2066.058683743187</v>
      </c>
      <c r="P1436" s="165">
        <f t="shared" ref="P1436:P1461" ca="1" si="217">O1436*N1436</f>
        <v>2066.058683743187</v>
      </c>
    </row>
    <row r="1437" spans="1:16" s="165" customFormat="1" x14ac:dyDescent="0.3">
      <c r="A1437" s="165">
        <f>MATCH(Calcs!B1437,Paste_Report_Here!$1:$1,0) -1</f>
        <v>6</v>
      </c>
      <c r="B1437" s="165" t="s">
        <v>125</v>
      </c>
      <c r="C1437" s="166">
        <f ca="1">RANK(N1437,N1436:N1460)</f>
        <v>5</v>
      </c>
      <c r="D1437" s="166">
        <f ca="1">RANK(P1437,P1436:P1460)</f>
        <v>16</v>
      </c>
      <c r="E1437" s="189" t="s">
        <v>153</v>
      </c>
      <c r="F1437" s="179">
        <f ca="1">COUNTIFS(Paste_Report_Here!$E$1:$E$2000,E1430, OFFSET(Paste_Report_Here!$A$1,0,$A1437,2000,1),F$75)</f>
        <v>0</v>
      </c>
      <c r="G1437" s="180">
        <f ca="1">COUNTIFS(Paste_Report_Here!$E$1:$E$2000,E1430, OFFSET(Paste_Report_Here!$A$1,0,$A1437,2000,1),G$75)</f>
        <v>3</v>
      </c>
      <c r="H1437" s="180">
        <f ca="1">COUNTIFS(Paste_Report_Here!$E$1:$E$2000,E1430, OFFSET(Paste_Report_Here!$A$1,0,$A1437,2000,1),H$75)</f>
        <v>16</v>
      </c>
      <c r="I1437" s="180">
        <f ca="1">COUNTIFS(Paste_Report_Here!$E$1:$E$2000,E1430, OFFSET(Paste_Report_Here!$A$1,0,$A1437,2000,1),I$75)</f>
        <v>5</v>
      </c>
      <c r="J1437" s="180">
        <f ca="1">COUNTIFS(Paste_Report_Here!$E$1:$E$2000,E1430, OFFSET(Paste_Report_Here!$A$1,0,$A1437,2000,1),J$75)</f>
        <v>0</v>
      </c>
      <c r="K1437" s="181">
        <f ca="1">COUNTIFS(Paste_Report_Here!$E$1:$E$2000,E1430, OFFSET(Paste_Report_Here!$A$1,0,$A1437,2000,1),K$75)</f>
        <v>0</v>
      </c>
      <c r="L1437" s="166">
        <f t="shared" ca="1" si="215"/>
        <v>24</v>
      </c>
      <c r="M1437" s="183">
        <f ca="1">SUMPRODUCT(F1437:K1437,F1434:K1434)/L:L</f>
        <v>0</v>
      </c>
      <c r="N1437" s="166">
        <f t="shared" ca="1" si="216"/>
        <v>1</v>
      </c>
      <c r="O1437" s="165">
        <f t="shared" ref="O1437:O1461" ca="1" si="218">P1403</f>
        <v>2087.3643675501276</v>
      </c>
      <c r="P1437" s="165">
        <f t="shared" ca="1" si="217"/>
        <v>2087.3643675501276</v>
      </c>
    </row>
    <row r="1438" spans="1:16" s="165" customFormat="1" x14ac:dyDescent="0.3">
      <c r="A1438" s="165">
        <f>MATCH(Calcs!B1438,Paste_Report_Here!$1:$1,0) -1</f>
        <v>7</v>
      </c>
      <c r="B1438" s="165" t="s">
        <v>126</v>
      </c>
      <c r="C1438" s="166">
        <f ca="1">RANK(N1438,N1436:N1460)</f>
        <v>5</v>
      </c>
      <c r="D1438" s="166">
        <f ca="1">RANK(P1438,P1436:P1460)</f>
        <v>8</v>
      </c>
      <c r="E1438" s="189" t="s">
        <v>154</v>
      </c>
      <c r="F1438" s="179">
        <f ca="1">COUNTIFS(Paste_Report_Here!$E$1:$E$2000,E1430, OFFSET(Paste_Report_Here!$A$1,0,$A1438,2000,1),F$75)</f>
        <v>0</v>
      </c>
      <c r="G1438" s="180">
        <f ca="1">COUNTIFS(Paste_Report_Here!$E$1:$E$2000,E1430, OFFSET(Paste_Report_Here!$A$1,0,$A1438,2000,1),G$75)</f>
        <v>4</v>
      </c>
      <c r="H1438" s="180">
        <f ca="1">COUNTIFS(Paste_Report_Here!$E$1:$E$2000,E1430, OFFSET(Paste_Report_Here!$A$1,0,$A1438,2000,1),H$75)</f>
        <v>17</v>
      </c>
      <c r="I1438" s="180">
        <f ca="1">COUNTIFS(Paste_Report_Here!$E$1:$E$2000,E1430, OFFSET(Paste_Report_Here!$A$1,0,$A1438,2000,1),I$75)</f>
        <v>3</v>
      </c>
      <c r="J1438" s="180">
        <f ca="1">COUNTIFS(Paste_Report_Here!$E$1:$E$2000,E1430, OFFSET(Paste_Report_Here!$A$1,0,$A1438,2000,1),J$75)</f>
        <v>0</v>
      </c>
      <c r="K1438" s="181">
        <f ca="1">COUNTIFS(Paste_Report_Here!$E$1:$E$2000,E1430, OFFSET(Paste_Report_Here!$A$1,0,$A1438,2000,1),K$75)</f>
        <v>0</v>
      </c>
      <c r="L1438" s="166">
        <f t="shared" ca="1" si="215"/>
        <v>24</v>
      </c>
      <c r="M1438" s="183">
        <f ca="1">SUMPRODUCT(F1438:K1438,F1434:K1434)/L:L</f>
        <v>0</v>
      </c>
      <c r="N1438" s="166">
        <f t="shared" ca="1" si="216"/>
        <v>1</v>
      </c>
      <c r="O1438" s="165">
        <f t="shared" ca="1" si="218"/>
        <v>2738.1787660639311</v>
      </c>
      <c r="P1438" s="165">
        <f t="shared" ca="1" si="217"/>
        <v>2738.1787660639311</v>
      </c>
    </row>
    <row r="1439" spans="1:16" s="165" customFormat="1" x14ac:dyDescent="0.3">
      <c r="A1439" s="165">
        <f>MATCH(Calcs!B1439,Paste_Report_Here!$1:$1,0) -1</f>
        <v>8</v>
      </c>
      <c r="B1439" s="165" t="s">
        <v>127</v>
      </c>
      <c r="C1439" s="166">
        <f ca="1">RANK(N1439,N1437:N1461)</f>
        <v>6</v>
      </c>
      <c r="D1439" s="166">
        <f ca="1">RANK(P1439,P1436:P1460)</f>
        <v>7</v>
      </c>
      <c r="E1439" s="189" t="s">
        <v>155</v>
      </c>
      <c r="F1439" s="179">
        <f ca="1">COUNTIFS(Paste_Report_Here!$E$1:$E$2000,E1430, OFFSET(Paste_Report_Here!$A$1,0,$A1439,2000,1),F$75)</f>
        <v>0</v>
      </c>
      <c r="G1439" s="180">
        <f ca="1">COUNTIFS(Paste_Report_Here!$E$1:$E$2000,E1430, OFFSET(Paste_Report_Here!$A$1,0,$A1439,2000,1),G$75)</f>
        <v>1</v>
      </c>
      <c r="H1439" s="180">
        <f ca="1">COUNTIFS(Paste_Report_Here!$E$1:$E$2000,E1430, OFFSET(Paste_Report_Here!$A$1,0,$A1439,2000,1),H$75)</f>
        <v>16</v>
      </c>
      <c r="I1439" s="180">
        <f ca="1">COUNTIFS(Paste_Report_Here!$E$1:$E$2000,E1430, OFFSET(Paste_Report_Here!$A$1,0,$A1439,2000,1),I$75)</f>
        <v>7</v>
      </c>
      <c r="J1439" s="180">
        <f ca="1">COUNTIFS(Paste_Report_Here!$E$1:$E$2000,E1430, OFFSET(Paste_Report_Here!$A$1,0,$A1439,2000,1),J$75)</f>
        <v>0</v>
      </c>
      <c r="K1439" s="181">
        <f ca="1">COUNTIFS(Paste_Report_Here!$E$1:$E$2000,E1430, OFFSET(Paste_Report_Here!$A$1,0,$A1439,2000,1),K$75)</f>
        <v>0</v>
      </c>
      <c r="L1439" s="166">
        <f t="shared" ca="1" si="215"/>
        <v>24</v>
      </c>
      <c r="M1439" s="183">
        <f ca="1">SUMPRODUCT(F1439:K1439,F1434:K1434)/L:L</f>
        <v>0</v>
      </c>
      <c r="N1439" s="166">
        <f t="shared" ca="1" si="216"/>
        <v>1</v>
      </c>
      <c r="O1439" s="165">
        <f t="shared" ca="1" si="218"/>
        <v>2939.2810739686188</v>
      </c>
      <c r="P1439" s="165">
        <f t="shared" ca="1" si="217"/>
        <v>2939.2810739686188</v>
      </c>
    </row>
    <row r="1440" spans="1:16" s="165" customFormat="1" x14ac:dyDescent="0.3">
      <c r="A1440" s="165">
        <f>MATCH(Calcs!B1440,Paste_Report_Here!$1:$1,0) -1</f>
        <v>9</v>
      </c>
      <c r="B1440" s="165" t="s">
        <v>214</v>
      </c>
      <c r="C1440" s="166">
        <f ca="1">RANK(N1440,N1436:N1460)</f>
        <v>2</v>
      </c>
      <c r="D1440" s="166">
        <f ca="1">RANK(P1440,P1436:P1460)</f>
        <v>5</v>
      </c>
      <c r="E1440" s="189" t="s">
        <v>156</v>
      </c>
      <c r="F1440" s="179">
        <f ca="1">COUNTIFS(Paste_Report_Here!$E$1:$E$2000,E1430, OFFSET(Paste_Report_Here!$A$1,0,$A1440,2000,1),F$75)</f>
        <v>0</v>
      </c>
      <c r="G1440" s="180">
        <f ca="1">COUNTIFS(Paste_Report_Here!$E$1:$E$2000,E1430, OFFSET(Paste_Report_Here!$A$1,0,$A1440,2000,1),G$75)</f>
        <v>1</v>
      </c>
      <c r="H1440" s="180">
        <f ca="1">COUNTIFS(Paste_Report_Here!$E$1:$E$2000,E1430, OFFSET(Paste_Report_Here!$A$1,0,$A1440,2000,1),H$75)</f>
        <v>18</v>
      </c>
      <c r="I1440" s="180">
        <f ca="1">COUNTIFS(Paste_Report_Here!$E$1:$E$2000,E1430, OFFSET(Paste_Report_Here!$A$1,0,$A1440,2000,1),I$75)</f>
        <v>4</v>
      </c>
      <c r="J1440" s="180">
        <f ca="1">COUNTIFS(Paste_Report_Here!$E$1:$E$2000,E1430, OFFSET(Paste_Report_Here!$A$1,0,$A1440,2000,1),J$75)</f>
        <v>1</v>
      </c>
      <c r="K1440" s="181">
        <f ca="1">COUNTIFS(Paste_Report_Here!$E$1:$E$2000,E1430, OFFSET(Paste_Report_Here!$A$1,0,$A1440,2000,1),K$75)</f>
        <v>0</v>
      </c>
      <c r="L1440" s="166">
        <f t="shared" ca="1" si="215"/>
        <v>24</v>
      </c>
      <c r="M1440" s="183">
        <f ca="1">SUMPRODUCT(F1440:K1440,F1434:K1434)/L:L</f>
        <v>8.3333333333333332E-3</v>
      </c>
      <c r="N1440" s="166">
        <f t="shared" ca="1" si="216"/>
        <v>1.008368152207447</v>
      </c>
      <c r="O1440" s="165">
        <f t="shared" ca="1" si="218"/>
        <v>3900.8987925471856</v>
      </c>
      <c r="P1440" s="165">
        <f t="shared" ca="1" si="217"/>
        <v>3933.5421073890666</v>
      </c>
    </row>
    <row r="1441" spans="1:16" s="165" customFormat="1" x14ac:dyDescent="0.3">
      <c r="A1441" s="165">
        <f>MATCH(Calcs!B1441,Paste_Report_Here!$1:$1,0) -1</f>
        <v>10</v>
      </c>
      <c r="B1441" s="165" t="s">
        <v>128</v>
      </c>
      <c r="C1441" s="166">
        <f ca="1">RANK(N1441,N1436:N1460)</f>
        <v>5</v>
      </c>
      <c r="D1441" s="166">
        <f ca="1">RANK(P1441,P1436:P1460)</f>
        <v>21</v>
      </c>
      <c r="E1441" s="189" t="s">
        <v>157</v>
      </c>
      <c r="F1441" s="179">
        <f ca="1">COUNTIFS(Paste_Report_Here!$E$1:$E$2000,E1430, OFFSET(Paste_Report_Here!$A$1,0,$A1441,2000,1),F$75)</f>
        <v>0</v>
      </c>
      <c r="G1441" s="180">
        <f ca="1">COUNTIFS(Paste_Report_Here!$E$1:$E$2000,E1430, OFFSET(Paste_Report_Here!$A$1,0,$A1441,2000,1),G$75)</f>
        <v>3</v>
      </c>
      <c r="H1441" s="180">
        <f ca="1">COUNTIFS(Paste_Report_Here!$E$1:$E$2000,E1430, OFFSET(Paste_Report_Here!$A$1,0,$A1441,2000,1),H$75)</f>
        <v>19</v>
      </c>
      <c r="I1441" s="180">
        <f ca="1">COUNTIFS(Paste_Report_Here!$E$1:$E$2000,E1430, OFFSET(Paste_Report_Here!$A$1,0,$A1441,2000,1),I$75)</f>
        <v>2</v>
      </c>
      <c r="J1441" s="180">
        <f ca="1">COUNTIFS(Paste_Report_Here!$E$1:$E$2000,E1430, OFFSET(Paste_Report_Here!$A$1,0,$A1441,2000,1),J$75)</f>
        <v>0</v>
      </c>
      <c r="K1441" s="181">
        <f ca="1">COUNTIFS(Paste_Report_Here!$E$1:$E$2000,E1430, OFFSET(Paste_Report_Here!$A$1,0,$A1441,2000,1),K$75)</f>
        <v>0</v>
      </c>
      <c r="L1441" s="166">
        <f t="shared" ca="1" si="215"/>
        <v>24</v>
      </c>
      <c r="M1441" s="183">
        <f ca="1">SUMPRODUCT(F1441:K1441,F1434:K1434)/L:L</f>
        <v>0</v>
      </c>
      <c r="N1441" s="166">
        <f t="shared" ca="1" si="216"/>
        <v>1</v>
      </c>
      <c r="O1441" s="165">
        <f t="shared" ca="1" si="218"/>
        <v>1602.9990519040412</v>
      </c>
      <c r="P1441" s="165">
        <f t="shared" ca="1" si="217"/>
        <v>1602.9990519040412</v>
      </c>
    </row>
    <row r="1442" spans="1:16" s="165" customFormat="1" x14ac:dyDescent="0.3">
      <c r="A1442" s="165">
        <f>MATCH(Calcs!B1442,Paste_Report_Here!$1:$1,0) -1</f>
        <v>11</v>
      </c>
      <c r="B1442" s="165" t="s">
        <v>129</v>
      </c>
      <c r="C1442" s="166">
        <f ca="1">RANK(N1442,N1436:N1460)</f>
        <v>5</v>
      </c>
      <c r="D1442" s="166">
        <f ca="1">RANK(P1442,P1436:P1460)</f>
        <v>10</v>
      </c>
      <c r="E1442" s="189" t="s">
        <v>158</v>
      </c>
      <c r="F1442" s="179">
        <f ca="1">COUNTIFS(Paste_Report_Here!$E$1:$E$2000,E1430, OFFSET(Paste_Report_Here!$A$1,0,$A1442,2000,1),F$75)</f>
        <v>0</v>
      </c>
      <c r="G1442" s="180">
        <f ca="1">COUNTIFS(Paste_Report_Here!$E$1:$E$2000,E1430, OFFSET(Paste_Report_Here!$A$1,0,$A1442,2000,1),G$75)</f>
        <v>3</v>
      </c>
      <c r="H1442" s="180">
        <f ca="1">COUNTIFS(Paste_Report_Here!$E$1:$E$2000,E1430, OFFSET(Paste_Report_Here!$A$1,0,$A1442,2000,1),H$75)</f>
        <v>19</v>
      </c>
      <c r="I1442" s="180">
        <f ca="1">COUNTIFS(Paste_Report_Here!$E$1:$E$2000,E1430, OFFSET(Paste_Report_Here!$A$1,0,$A1442,2000,1),I$75)</f>
        <v>2</v>
      </c>
      <c r="J1442" s="180">
        <f ca="1">COUNTIFS(Paste_Report_Here!$E$1:$E$2000,E1430, OFFSET(Paste_Report_Here!$A$1,0,$A1442,2000,1),J$75)</f>
        <v>0</v>
      </c>
      <c r="K1442" s="181">
        <f ca="1">COUNTIFS(Paste_Report_Here!$E$1:$E$2000,E1430, OFFSET(Paste_Report_Here!$A$1,0,$A1442,2000,1),K$75)</f>
        <v>0</v>
      </c>
      <c r="L1442" s="166">
        <f t="shared" ca="1" si="215"/>
        <v>24</v>
      </c>
      <c r="M1442" s="183">
        <f ca="1">SUMPRODUCT(F1442:K1442,F1434:K1434)/L:L</f>
        <v>0</v>
      </c>
      <c r="N1442" s="166">
        <f t="shared" ca="1" si="216"/>
        <v>1</v>
      </c>
      <c r="O1442" s="165">
        <f t="shared" ca="1" si="218"/>
        <v>2560.5680303768227</v>
      </c>
      <c r="P1442" s="165">
        <f t="shared" ca="1" si="217"/>
        <v>2560.5680303768227</v>
      </c>
    </row>
    <row r="1443" spans="1:16" s="165" customFormat="1" x14ac:dyDescent="0.3">
      <c r="A1443" s="165">
        <f>MATCH(Calcs!B1443,Paste_Report_Here!$1:$1,0) -1</f>
        <v>12</v>
      </c>
      <c r="B1443" s="165" t="s">
        <v>130</v>
      </c>
      <c r="C1443" s="166">
        <f ca="1">RANK(N1443,N1437:N1461)</f>
        <v>6</v>
      </c>
      <c r="D1443" s="166">
        <f ca="1">RANK(P1443,P1436:P1460)</f>
        <v>9</v>
      </c>
      <c r="E1443" s="189" t="s">
        <v>159</v>
      </c>
      <c r="F1443" s="179">
        <f ca="1">COUNTIFS(Paste_Report_Here!$E$1:$E$2000,E1430, OFFSET(Paste_Report_Here!$A$1,0,$A1443,2000,1),F$75)</f>
        <v>0</v>
      </c>
      <c r="G1443" s="180">
        <f ca="1">COUNTIFS(Paste_Report_Here!$E$1:$E$2000,E1430, OFFSET(Paste_Report_Here!$A$1,0,$A1443,2000,1),G$75)</f>
        <v>2</v>
      </c>
      <c r="H1443" s="180">
        <f ca="1">COUNTIFS(Paste_Report_Here!$E$1:$E$2000,E1430, OFFSET(Paste_Report_Here!$A$1,0,$A1443,2000,1),H$75)</f>
        <v>18</v>
      </c>
      <c r="I1443" s="180">
        <f ca="1">COUNTIFS(Paste_Report_Here!$E$1:$E$2000,E1430, OFFSET(Paste_Report_Here!$A$1,0,$A1443,2000,1),I$75)</f>
        <v>4</v>
      </c>
      <c r="J1443" s="180">
        <f ca="1">COUNTIFS(Paste_Report_Here!$E$1:$E$2000,E1430, OFFSET(Paste_Report_Here!$A$1,0,$A1443,2000,1),J$75)</f>
        <v>0</v>
      </c>
      <c r="K1443" s="181">
        <f ca="1">COUNTIFS(Paste_Report_Here!$E$1:$E$2000,E1430, OFFSET(Paste_Report_Here!$A$1,0,$A1443,2000,1),K$75)</f>
        <v>0</v>
      </c>
      <c r="L1443" s="166">
        <f t="shared" ca="1" si="215"/>
        <v>24</v>
      </c>
      <c r="M1443" s="183">
        <f ca="1">SUMPRODUCT(F1443:K1443,F1434:K1434)/L:L</f>
        <v>0</v>
      </c>
      <c r="N1443" s="166">
        <f t="shared" ca="1" si="216"/>
        <v>1</v>
      </c>
      <c r="O1443" s="165">
        <f t="shared" ca="1" si="218"/>
        <v>2569.3128647252079</v>
      </c>
      <c r="P1443" s="165">
        <f t="shared" ca="1" si="217"/>
        <v>2569.3128647252079</v>
      </c>
    </row>
    <row r="1444" spans="1:16" s="165" customFormat="1" x14ac:dyDescent="0.3">
      <c r="A1444" s="165">
        <f>MATCH(Calcs!B1444,Paste_Report_Here!$1:$1,0) -1</f>
        <v>13</v>
      </c>
      <c r="B1444" s="165" t="s">
        <v>131</v>
      </c>
      <c r="C1444" s="166">
        <f ca="1">RANK(N1444,N1438:N1462)</f>
        <v>2</v>
      </c>
      <c r="D1444" s="166">
        <f ca="1">RANK(P1444,P1436:P1460)</f>
        <v>2</v>
      </c>
      <c r="E1444" s="189" t="s">
        <v>160</v>
      </c>
      <c r="F1444" s="179">
        <f ca="1">COUNTIFS(Paste_Report_Here!$E$1:$E$2000,E1430, OFFSET(Paste_Report_Here!$A$1,0,$A1444,2000,1),F$75)</f>
        <v>0</v>
      </c>
      <c r="G1444" s="180">
        <f ca="1">COUNTIFS(Paste_Report_Here!$E$1:$E$2000,E1430, OFFSET(Paste_Report_Here!$A$1,0,$A1444,2000,1),G$75)</f>
        <v>1</v>
      </c>
      <c r="H1444" s="180">
        <f ca="1">COUNTIFS(Paste_Report_Here!$E$1:$E$2000,E1430, OFFSET(Paste_Report_Here!$A$1,0,$A1444,2000,1),H$75)</f>
        <v>14</v>
      </c>
      <c r="I1444" s="180">
        <f ca="1">COUNTIFS(Paste_Report_Here!$E$1:$E$2000,E1430, OFFSET(Paste_Report_Here!$A$1,0,$A1444,2000,1),I$75)</f>
        <v>8</v>
      </c>
      <c r="J1444" s="180">
        <f ca="1">COUNTIFS(Paste_Report_Here!$E$1:$E$2000,E1430, OFFSET(Paste_Report_Here!$A$1,0,$A1444,2000,1),J$75)</f>
        <v>1</v>
      </c>
      <c r="K1444" s="181">
        <f ca="1">COUNTIFS(Paste_Report_Here!$E$1:$E$2000,E1430, OFFSET(Paste_Report_Here!$A$1,0,$A1444,2000,1),K$75)</f>
        <v>0</v>
      </c>
      <c r="L1444" s="166">
        <f t="shared" ca="1" si="215"/>
        <v>24</v>
      </c>
      <c r="M1444" s="183">
        <f ca="1">SUMPRODUCT(F1444:K1444,F1434:K1434)/L:L</f>
        <v>8.3333333333333332E-3</v>
      </c>
      <c r="N1444" s="166">
        <f t="shared" ca="1" si="216"/>
        <v>1.008368152207447</v>
      </c>
      <c r="O1444" s="165">
        <f t="shared" ca="1" si="218"/>
        <v>4796.213830718455</v>
      </c>
      <c r="P1444" s="165">
        <f t="shared" ca="1" si="217"/>
        <v>4836.3492780733695</v>
      </c>
    </row>
    <row r="1445" spans="1:16" s="165" customFormat="1" x14ac:dyDescent="0.3">
      <c r="A1445" s="165">
        <f>MATCH(Calcs!B1445,Paste_Report_Here!$1:$1,0) -1</f>
        <v>14</v>
      </c>
      <c r="B1445" s="165" t="s">
        <v>132</v>
      </c>
      <c r="C1445" s="166">
        <v>3</v>
      </c>
      <c r="D1445" s="166">
        <f ca="1">RANK(P1445,P1436:P1460)</f>
        <v>14</v>
      </c>
      <c r="E1445" s="189" t="s">
        <v>161</v>
      </c>
      <c r="F1445" s="179">
        <f ca="1">COUNTIFS(Paste_Report_Here!$E$1:$E$2000,E1430, OFFSET(Paste_Report_Here!$A$1,0,$A1445,2000,1),F$75)</f>
        <v>0</v>
      </c>
      <c r="G1445" s="180">
        <f ca="1">COUNTIFS(Paste_Report_Here!$E$1:$E$2000,E1430, OFFSET(Paste_Report_Here!$A$1,0,$A1445,2000,1),G$75)</f>
        <v>1</v>
      </c>
      <c r="H1445" s="180">
        <f ca="1">COUNTIFS(Paste_Report_Here!$E$1:$E$2000,E1430, OFFSET(Paste_Report_Here!$A$1,0,$A1445,2000,1),H$75)</f>
        <v>14</v>
      </c>
      <c r="I1445" s="180">
        <f ca="1">COUNTIFS(Paste_Report_Here!$E$1:$E$2000,E1430, OFFSET(Paste_Report_Here!$A$1,0,$A1445,2000,1),I$75)</f>
        <v>9</v>
      </c>
      <c r="J1445" s="180">
        <f ca="1">COUNTIFS(Paste_Report_Here!$E$1:$E$2000,E1430, OFFSET(Paste_Report_Here!$A$1,0,$A1445,2000,1),J$75)</f>
        <v>0</v>
      </c>
      <c r="K1445" s="181">
        <f ca="1">COUNTIFS(Paste_Report_Here!$E$1:$E$2000,E1430, OFFSET(Paste_Report_Here!$A$1,0,$A1445,2000,1),K$75)</f>
        <v>0</v>
      </c>
      <c r="L1445" s="166">
        <f t="shared" ca="1" si="215"/>
        <v>24</v>
      </c>
      <c r="M1445" s="183">
        <f ca="1">SUMPRODUCT(F1445:K1445,F1434:K1434)/L:L</f>
        <v>0</v>
      </c>
      <c r="N1445" s="166">
        <f t="shared" ca="1" si="216"/>
        <v>1</v>
      </c>
      <c r="O1445" s="165">
        <f t="shared" ca="1" si="218"/>
        <v>2154.5400711344596</v>
      </c>
      <c r="P1445" s="165">
        <f t="shared" ca="1" si="217"/>
        <v>2154.5400711344596</v>
      </c>
    </row>
    <row r="1446" spans="1:16" s="165" customFormat="1" x14ac:dyDescent="0.3">
      <c r="A1446" s="165">
        <f>MATCH(Calcs!B1446,Paste_Report_Here!$1:$1,0) -1</f>
        <v>15</v>
      </c>
      <c r="B1446" s="165" t="s">
        <v>133</v>
      </c>
      <c r="C1446" s="166">
        <f ca="1">RANK(N1446,N1435:N1459)</f>
        <v>2</v>
      </c>
      <c r="D1446" s="166">
        <f ca="1">RANK(P1446,P1436:P1460)</f>
        <v>6</v>
      </c>
      <c r="E1446" s="189" t="s">
        <v>162</v>
      </c>
      <c r="F1446" s="179">
        <f ca="1">COUNTIFS(Paste_Report_Here!$E$1:$E$2000,E1430, OFFSET(Paste_Report_Here!$A$1,0,$A1446,2000,1),F$75)</f>
        <v>0</v>
      </c>
      <c r="G1446" s="180">
        <f ca="1">COUNTIFS(Paste_Report_Here!$E$1:$E$2000,E1430, OFFSET(Paste_Report_Here!$A$1,0,$A1446,2000,1),G$75)</f>
        <v>1</v>
      </c>
      <c r="H1446" s="180">
        <f ca="1">COUNTIFS(Paste_Report_Here!$E$1:$E$2000,E1430, OFFSET(Paste_Report_Here!$A$1,0,$A1446,2000,1),H$75)</f>
        <v>14</v>
      </c>
      <c r="I1446" s="180">
        <f ca="1">COUNTIFS(Paste_Report_Here!$E$1:$E$2000,E1430, OFFSET(Paste_Report_Here!$A$1,0,$A1446,2000,1),I$75)</f>
        <v>8</v>
      </c>
      <c r="J1446" s="180">
        <f ca="1">COUNTIFS(Paste_Report_Here!$E$1:$E$2000,E1430, OFFSET(Paste_Report_Here!$A$1,0,$A1446,2000,1),J$75)</f>
        <v>1</v>
      </c>
      <c r="K1446" s="181">
        <f ca="1">COUNTIFS(Paste_Report_Here!$E$1:$E$2000,E1430, OFFSET(Paste_Report_Here!$A$1,0,$A1446,2000,1),K$75)</f>
        <v>0</v>
      </c>
      <c r="L1446" s="166">
        <f t="shared" ca="1" si="215"/>
        <v>24</v>
      </c>
      <c r="M1446" s="183">
        <f ca="1">SUMPRODUCT(F1446:K1446,F1434:K1434)/L:L</f>
        <v>8.3333333333333332E-3</v>
      </c>
      <c r="N1446" s="166">
        <f t="shared" ca="1" si="216"/>
        <v>1.008368152207447</v>
      </c>
      <c r="O1446" s="165">
        <f t="shared" ca="1" si="218"/>
        <v>3157.7975368033672</v>
      </c>
      <c r="P1446" s="165">
        <f t="shared" ca="1" si="217"/>
        <v>3184.2224672316393</v>
      </c>
    </row>
    <row r="1447" spans="1:16" s="165" customFormat="1" x14ac:dyDescent="0.3">
      <c r="A1447" s="165">
        <f>MATCH(Calcs!B1447,Paste_Report_Here!$1:$1,0) -1</f>
        <v>16</v>
      </c>
      <c r="B1447" s="165" t="s">
        <v>134</v>
      </c>
      <c r="C1447" s="166">
        <f ca="1">RANK(N1447,N1436:N1460)</f>
        <v>5</v>
      </c>
      <c r="D1447" s="166">
        <f ca="1">RANK(P1447,P1436:P1460)</f>
        <v>24</v>
      </c>
      <c r="E1447" s="189" t="s">
        <v>163</v>
      </c>
      <c r="F1447" s="179">
        <f ca="1">COUNTIFS(Paste_Report_Here!$E$1:$E$2000,E1430, OFFSET(Paste_Report_Here!$A$1,0,$A1447,2000,1),F$75)</f>
        <v>0</v>
      </c>
      <c r="G1447" s="180">
        <f ca="1">COUNTIFS(Paste_Report_Here!$E$1:$E$2000,E1430, OFFSET(Paste_Report_Here!$A$1,0,$A1447,2000,1),G$75)</f>
        <v>0</v>
      </c>
      <c r="H1447" s="180">
        <f ca="1">COUNTIFS(Paste_Report_Here!$E$1:$E$2000,E1430, OFFSET(Paste_Report_Here!$A$1,0,$A1447,2000,1),H$75)</f>
        <v>21</v>
      </c>
      <c r="I1447" s="180">
        <f ca="1">COUNTIFS(Paste_Report_Here!$E$1:$E$2000,E1430, OFFSET(Paste_Report_Here!$A$1,0,$A1447,2000,1),I$75)</f>
        <v>3</v>
      </c>
      <c r="J1447" s="180">
        <f ca="1">COUNTIFS(Paste_Report_Here!$E$1:$E$2000,E1430, OFFSET(Paste_Report_Here!$A$1,0,$A1447,2000,1),J$75)</f>
        <v>0</v>
      </c>
      <c r="K1447" s="181">
        <f ca="1">COUNTIFS(Paste_Report_Here!$E$1:$E$2000,E1430, OFFSET(Paste_Report_Here!$A$1,0,$A1447,2000,1),K$75)</f>
        <v>0</v>
      </c>
      <c r="L1447" s="166">
        <f t="shared" ca="1" si="215"/>
        <v>24</v>
      </c>
      <c r="M1447" s="183">
        <f ca="1">SUMPRODUCT(F1447:K1447,F1434:K1434)/L:L</f>
        <v>0</v>
      </c>
      <c r="N1447" s="166">
        <f t="shared" ca="1" si="216"/>
        <v>1</v>
      </c>
      <c r="O1447" s="165">
        <f t="shared" ca="1" si="218"/>
        <v>1154.5390527901013</v>
      </c>
      <c r="P1447" s="165">
        <f t="shared" ca="1" si="217"/>
        <v>1154.5390527901013</v>
      </c>
    </row>
    <row r="1448" spans="1:16" s="165" customFormat="1" x14ac:dyDescent="0.3">
      <c r="A1448" s="165">
        <f>MATCH(Calcs!B1448,Paste_Report_Here!$1:$1,0) -1</f>
        <v>17</v>
      </c>
      <c r="B1448" s="165" t="s">
        <v>135</v>
      </c>
      <c r="C1448" s="166">
        <f ca="1">RANK(N1448,N1436:N1460)</f>
        <v>5</v>
      </c>
      <c r="D1448" s="166">
        <f ca="1">RANK(P1448,P1436:P1460)</f>
        <v>19</v>
      </c>
      <c r="E1448" s="189" t="s">
        <v>164</v>
      </c>
      <c r="F1448" s="179">
        <f ca="1">COUNTIFS(Paste_Report_Here!$E$1:$E$2000,E1430, OFFSET(Paste_Report_Here!$A$1,0,$A1448,2000,1),F$75)</f>
        <v>0</v>
      </c>
      <c r="G1448" s="180">
        <f ca="1">COUNTIFS(Paste_Report_Here!$E$1:$E$2000,E1430, OFFSET(Paste_Report_Here!$A$1,0,$A1448,2000,1),G$75)</f>
        <v>2</v>
      </c>
      <c r="H1448" s="180">
        <f ca="1">COUNTIFS(Paste_Report_Here!$E$1:$E$2000,E1430, OFFSET(Paste_Report_Here!$A$1,0,$A1448,2000,1),H$75)</f>
        <v>18</v>
      </c>
      <c r="I1448" s="180">
        <f ca="1">COUNTIFS(Paste_Report_Here!$E$1:$E$2000,E1430, OFFSET(Paste_Report_Here!$A$1,0,$A1448,2000,1),I$75)</f>
        <v>4</v>
      </c>
      <c r="J1448" s="180">
        <f ca="1">COUNTIFS(Paste_Report_Here!$E$1:$E$2000,E1430, OFFSET(Paste_Report_Here!$A$1,0,$A1448,2000,1),J$75)</f>
        <v>0</v>
      </c>
      <c r="K1448" s="181">
        <f ca="1">COUNTIFS(Paste_Report_Here!$E$1:$E$2000,E1430, OFFSET(Paste_Report_Here!$A$1,0,$A1448,2000,1),K$75)</f>
        <v>0</v>
      </c>
      <c r="L1448" s="166">
        <f t="shared" ca="1" si="215"/>
        <v>24</v>
      </c>
      <c r="M1448" s="183">
        <f ca="1">SUMPRODUCT(F1448:K1448,F1434:K1434)/L:L</f>
        <v>0</v>
      </c>
      <c r="N1448" s="166">
        <f t="shared" ca="1" si="216"/>
        <v>1</v>
      </c>
      <c r="O1448" s="165">
        <f t="shared" ca="1" si="218"/>
        <v>1927.9273111495991</v>
      </c>
      <c r="P1448" s="165">
        <f t="shared" ca="1" si="217"/>
        <v>1927.9273111495991</v>
      </c>
    </row>
    <row r="1449" spans="1:16" s="165" customFormat="1" x14ac:dyDescent="0.3">
      <c r="A1449" s="165">
        <f>MATCH(Calcs!B1449,Paste_Report_Here!$1:$1,0) -1</f>
        <v>18</v>
      </c>
      <c r="B1449" s="165" t="s">
        <v>136</v>
      </c>
      <c r="C1449" s="166">
        <f ca="1">RANK(N1449,N1438:N1462)</f>
        <v>6</v>
      </c>
      <c r="D1449" s="166">
        <f ca="1">RANK(P1449,P1436:P1460)</f>
        <v>4</v>
      </c>
      <c r="E1449" s="189" t="s">
        <v>165</v>
      </c>
      <c r="F1449" s="179">
        <f ca="1">COUNTIFS(Paste_Report_Here!$E$1:$E$2000,E1430, OFFSET(Paste_Report_Here!$A$1,0,$A1449,2000,1),F$75)</f>
        <v>0</v>
      </c>
      <c r="G1449" s="180">
        <f ca="1">COUNTIFS(Paste_Report_Here!$E$1:$E$2000,E1430, OFFSET(Paste_Report_Here!$A$1,0,$A1449,2000,1),G$75)</f>
        <v>1</v>
      </c>
      <c r="H1449" s="180">
        <f ca="1">COUNTIFS(Paste_Report_Here!$E$1:$E$2000,E1430, OFFSET(Paste_Report_Here!$A$1,0,$A1449,2000,1),H$75)</f>
        <v>17</v>
      </c>
      <c r="I1449" s="180">
        <f ca="1">COUNTIFS(Paste_Report_Here!$E$1:$E$2000,E1430, OFFSET(Paste_Report_Here!$A$1,0,$A1449,2000,1),I$75)</f>
        <v>6</v>
      </c>
      <c r="J1449" s="180">
        <f ca="1">COUNTIFS(Paste_Report_Here!$E$1:$E$2000,E1430, OFFSET(Paste_Report_Here!$A$1,0,$A1449,2000,1),J$75)</f>
        <v>0</v>
      </c>
      <c r="K1449" s="181">
        <f ca="1">COUNTIFS(Paste_Report_Here!$E$1:$E$2000,E1430, OFFSET(Paste_Report_Here!$A$1,0,$A1449,2000,1),K$75)</f>
        <v>0</v>
      </c>
      <c r="L1449" s="166">
        <f t="shared" ca="1" si="215"/>
        <v>24</v>
      </c>
      <c r="M1449" s="183">
        <f ca="1">SUMPRODUCT(F1449:K1449,F1434:K1434)/L:L</f>
        <v>0</v>
      </c>
      <c r="N1449" s="166">
        <f t="shared" ca="1" si="216"/>
        <v>1</v>
      </c>
      <c r="O1449" s="165">
        <f t="shared" ca="1" si="218"/>
        <v>4159.507798056954</v>
      </c>
      <c r="P1449" s="165">
        <f t="shared" ca="1" si="217"/>
        <v>4159.507798056954</v>
      </c>
    </row>
    <row r="1450" spans="1:16" s="165" customFormat="1" x14ac:dyDescent="0.3">
      <c r="A1450" s="165">
        <f>MATCH(Calcs!B1450,Paste_Report_Here!$1:$1,0) -1</f>
        <v>19</v>
      </c>
      <c r="B1450" s="165" t="s">
        <v>137</v>
      </c>
      <c r="C1450" s="166">
        <f ca="1">RANK(N1450,N1439:N1463)</f>
        <v>6</v>
      </c>
      <c r="D1450" s="166">
        <f ca="1">RANK(P1450,P1436:P1460)</f>
        <v>13</v>
      </c>
      <c r="E1450" s="189" t="s">
        <v>166</v>
      </c>
      <c r="F1450" s="179">
        <f ca="1">COUNTIFS(Paste_Report_Here!$E$1:$E$2000,E1430, OFFSET(Paste_Report_Here!$A$1,0,$A1450,2000,1),F$75)</f>
        <v>0</v>
      </c>
      <c r="G1450" s="180">
        <f ca="1">COUNTIFS(Paste_Report_Here!$E$1:$E$2000,E1430, OFFSET(Paste_Report_Here!$A$1,0,$A1450,2000,1),G$75)</f>
        <v>1</v>
      </c>
      <c r="H1450" s="180">
        <f ca="1">COUNTIFS(Paste_Report_Here!$E$1:$E$2000,E1430, OFFSET(Paste_Report_Here!$A$1,0,$A1450,2000,1),H$75)</f>
        <v>18</v>
      </c>
      <c r="I1450" s="180">
        <f ca="1">COUNTIFS(Paste_Report_Here!$E$1:$E$2000,E1430, OFFSET(Paste_Report_Here!$A$1,0,$A1450,2000,1),I$75)</f>
        <v>4</v>
      </c>
      <c r="J1450" s="180">
        <f ca="1">COUNTIFS(Paste_Report_Here!$E$1:$E$2000,E1430, OFFSET(Paste_Report_Here!$A$1,0,$A1450,2000,1),J$75)</f>
        <v>0</v>
      </c>
      <c r="K1450" s="181">
        <f ca="1">COUNTIFS(Paste_Report_Here!$E$1:$E$2000,E1430, OFFSET(Paste_Report_Here!$A$1,0,$A1450,2000,1),K$75)</f>
        <v>1</v>
      </c>
      <c r="L1450" s="166">
        <f t="shared" ca="1" si="215"/>
        <v>24</v>
      </c>
      <c r="M1450" s="183">
        <f ca="1">SUMPRODUCT(F1450:K1450,F1434:K1434)/L:L</f>
        <v>0</v>
      </c>
      <c r="N1450" s="166">
        <f t="shared" ca="1" si="216"/>
        <v>1</v>
      </c>
      <c r="O1450" s="165">
        <f t="shared" ca="1" si="218"/>
        <v>2263.3700968892199</v>
      </c>
      <c r="P1450" s="165">
        <f t="shared" ca="1" si="217"/>
        <v>2263.3700968892199</v>
      </c>
    </row>
    <row r="1451" spans="1:16" s="165" customFormat="1" x14ac:dyDescent="0.3">
      <c r="A1451" s="165">
        <f>MATCH(Calcs!B1451,Paste_Report_Here!$1:$1,0) -1</f>
        <v>20</v>
      </c>
      <c r="B1451" s="165" t="s">
        <v>138</v>
      </c>
      <c r="C1451" s="166">
        <f ca="1">RANK(N1451,N1437:N1461)</f>
        <v>22</v>
      </c>
      <c r="D1451" s="166">
        <f ca="1">RANK(P1451,P1436:P1460)</f>
        <v>20</v>
      </c>
      <c r="E1451" s="189" t="s">
        <v>167</v>
      </c>
      <c r="F1451" s="179">
        <f ca="1">COUNTIFS(Paste_Report_Here!$E$1:$E$2000,E1430, OFFSET(Paste_Report_Here!$A$1,0,$A1451,2000,1),F$75)</f>
        <v>1</v>
      </c>
      <c r="G1451" s="180">
        <f ca="1">COUNTIFS(Paste_Report_Here!$E$1:$E$2000,E1430, OFFSET(Paste_Report_Here!$A$1,0,$A1451,2000,1),G$75)</f>
        <v>3</v>
      </c>
      <c r="H1451" s="180">
        <f ca="1">COUNTIFS(Paste_Report_Here!$E$1:$E$2000,E1430, OFFSET(Paste_Report_Here!$A$1,0,$A1451,2000,1),H$75)</f>
        <v>15</v>
      </c>
      <c r="I1451" s="180">
        <f ca="1">COUNTIFS(Paste_Report_Here!$E$1:$E$2000,E1430, OFFSET(Paste_Report_Here!$A$1,0,$A1451,2000,1),I$75)</f>
        <v>5</v>
      </c>
      <c r="J1451" s="180">
        <f ca="1">COUNTIFS(Paste_Report_Here!$E$1:$E$2000,E1430, OFFSET(Paste_Report_Here!$A$1,0,$A1451,2000,1),J$75)</f>
        <v>0</v>
      </c>
      <c r="K1451" s="181">
        <f ca="1">COUNTIFS(Paste_Report_Here!$E$1:$E$2000,E1430, OFFSET(Paste_Report_Here!$A$1,0,$A1451,2000,1),K$75)</f>
        <v>0</v>
      </c>
      <c r="L1451" s="166">
        <f t="shared" ca="1" si="215"/>
        <v>24</v>
      </c>
      <c r="M1451" s="183">
        <f ca="1">SUMPRODUCT(F1451:K1451,F1434:K1434)/L:L</f>
        <v>-8.3333333333333332E-3</v>
      </c>
      <c r="N1451" s="166">
        <f t="shared" ca="1" si="216"/>
        <v>0.99170129263887596</v>
      </c>
      <c r="O1451" s="165">
        <f t="shared" ca="1" si="218"/>
        <v>1933.1040589812733</v>
      </c>
      <c r="P1451" s="165">
        <f t="shared" ca="1" si="217"/>
        <v>1917.0617940971867</v>
      </c>
    </row>
    <row r="1452" spans="1:16" s="165" customFormat="1" x14ac:dyDescent="0.3">
      <c r="A1452" s="165">
        <f>MATCH(Calcs!B1452,Paste_Report_Here!$1:$1,0) -1</f>
        <v>21</v>
      </c>
      <c r="B1452" s="165" t="s">
        <v>139</v>
      </c>
      <c r="C1452" s="166">
        <f ca="1">RANK(N1452,N1436:N1460)</f>
        <v>22</v>
      </c>
      <c r="D1452" s="166">
        <f ca="1">RANK(P1452,P1436:P1460)</f>
        <v>18</v>
      </c>
      <c r="E1452" s="189" t="s">
        <v>168</v>
      </c>
      <c r="F1452" s="179">
        <f ca="1">COUNTIFS(Paste_Report_Here!$E$1:$E$2000,E1430, OFFSET(Paste_Report_Here!$A$1,0,$A1452,2000,1),F$75)</f>
        <v>1</v>
      </c>
      <c r="G1452" s="180">
        <f ca="1">COUNTIFS(Paste_Report_Here!$E$1:$E$2000,E1430, OFFSET(Paste_Report_Here!$A$1,0,$A1452,2000,1),G$75)</f>
        <v>2</v>
      </c>
      <c r="H1452" s="180">
        <f ca="1">COUNTIFS(Paste_Report_Here!$E$1:$E$2000,E1430, OFFSET(Paste_Report_Here!$A$1,0,$A1452,2000,1),H$75)</f>
        <v>17</v>
      </c>
      <c r="I1452" s="180">
        <f ca="1">COUNTIFS(Paste_Report_Here!$E$1:$E$2000,E1430, OFFSET(Paste_Report_Here!$A$1,0,$A1452,2000,1),I$75)</f>
        <v>4</v>
      </c>
      <c r="J1452" s="180">
        <f ca="1">COUNTIFS(Paste_Report_Here!$E$1:$E$2000,E1430, OFFSET(Paste_Report_Here!$A$1,0,$A1452,2000,1),J$75)</f>
        <v>0</v>
      </c>
      <c r="K1452" s="181">
        <f ca="1">COUNTIFS(Paste_Report_Here!$E$1:$E$2000,E1430, OFFSET(Paste_Report_Here!$A$1,0,$A1452,2000,1),K$75)</f>
        <v>0</v>
      </c>
      <c r="L1452" s="166">
        <f t="shared" ca="1" si="215"/>
        <v>24</v>
      </c>
      <c r="M1452" s="183">
        <f ca="1">SUMPRODUCT(F1452:K1452,F1434:K1434)/L:L</f>
        <v>-8.3333333333333332E-3</v>
      </c>
      <c r="N1452" s="166">
        <f t="shared" ca="1" si="216"/>
        <v>0.99170129263887596</v>
      </c>
      <c r="O1452" s="165">
        <f t="shared" ca="1" si="218"/>
        <v>1998.4813467368181</v>
      </c>
      <c r="P1452" s="165">
        <f t="shared" ca="1" si="217"/>
        <v>1981.8965348735842</v>
      </c>
    </row>
    <row r="1453" spans="1:16" s="165" customFormat="1" x14ac:dyDescent="0.3">
      <c r="A1453" s="165">
        <f>MATCH(Calcs!B1453,Paste_Report_Here!$1:$1,0) -1</f>
        <v>22</v>
      </c>
      <c r="B1453" s="165" t="s">
        <v>140</v>
      </c>
      <c r="C1453" s="166">
        <f ca="1">RANK(N1453,N1436:N1460)</f>
        <v>5</v>
      </c>
      <c r="D1453" s="166">
        <f ca="1">RANK(P1453,P1436:P1460)</f>
        <v>15</v>
      </c>
      <c r="E1453" s="189" t="s">
        <v>169</v>
      </c>
      <c r="F1453" s="179">
        <f ca="1">COUNTIFS(Paste_Report_Here!$E$1:$E$2000,E1430, OFFSET(Paste_Report_Here!$A$1,0,$A1453,2000,1),F$75)</f>
        <v>0</v>
      </c>
      <c r="G1453" s="180">
        <f ca="1">COUNTIFS(Paste_Report_Here!$E$1:$E$2000,E1430, OFFSET(Paste_Report_Here!$A$1,0,$A1453,2000,1),G$75)</f>
        <v>2</v>
      </c>
      <c r="H1453" s="180">
        <f ca="1">COUNTIFS(Paste_Report_Here!$E$1:$E$2000,E1430, OFFSET(Paste_Report_Here!$A$1,0,$A1453,2000,1),H$75)</f>
        <v>19</v>
      </c>
      <c r="I1453" s="180">
        <f ca="1">COUNTIFS(Paste_Report_Here!$E$1:$E$2000,E1430, OFFSET(Paste_Report_Here!$A$1,0,$A1453,2000,1),I$75)</f>
        <v>3</v>
      </c>
      <c r="J1453" s="180">
        <f ca="1">COUNTIFS(Paste_Report_Here!$E$1:$E$2000,E1430, OFFSET(Paste_Report_Here!$A$1,0,$A1453,2000,1),J$75)</f>
        <v>0</v>
      </c>
      <c r="K1453" s="181">
        <f ca="1">COUNTIFS(Paste_Report_Here!$E$1:$E$2000,E1430, OFFSET(Paste_Report_Here!$A$1,0,$A1453,2000,1),K$75)</f>
        <v>0</v>
      </c>
      <c r="L1453" s="166">
        <f t="shared" ca="1" si="215"/>
        <v>24</v>
      </c>
      <c r="M1453" s="183">
        <f ca="1">SUMPRODUCT(F1453:K1453,F1434:K1434)/L:L</f>
        <v>0</v>
      </c>
      <c r="N1453" s="166">
        <f t="shared" ca="1" si="216"/>
        <v>1</v>
      </c>
      <c r="O1453" s="165">
        <f t="shared" ca="1" si="218"/>
        <v>2133.1449078567584</v>
      </c>
      <c r="P1453" s="165">
        <f t="shared" ca="1" si="217"/>
        <v>2133.1449078567584</v>
      </c>
    </row>
    <row r="1454" spans="1:16" s="165" customFormat="1" x14ac:dyDescent="0.3">
      <c r="A1454" s="165">
        <f>MATCH(Calcs!B1454,Paste_Report_Here!$1:$1,0) -1</f>
        <v>23</v>
      </c>
      <c r="B1454" s="165" t="s">
        <v>186</v>
      </c>
      <c r="C1454" s="166">
        <f ca="1">RANK(N1454,N1436:N1460)</f>
        <v>5</v>
      </c>
      <c r="D1454" s="166">
        <f ca="1">RANK(P1454,P1436:P1460)</f>
        <v>3</v>
      </c>
      <c r="E1454" s="189" t="s">
        <v>180</v>
      </c>
      <c r="F1454" s="179">
        <f ca="1">COUNTIFS(Paste_Report_Here!$E$1:$E$2000,E1430, OFFSET(Paste_Report_Here!$A$1,0,$A1454,2000,1),F$75)</f>
        <v>0</v>
      </c>
      <c r="G1454" s="180">
        <f ca="1">COUNTIFS(Paste_Report_Here!$E$1:$E$2000,E1430, OFFSET(Paste_Report_Here!$A$1,0,$A1454,2000,1),G$75)</f>
        <v>1</v>
      </c>
      <c r="H1454" s="180">
        <f ca="1">COUNTIFS(Paste_Report_Here!$E$1:$E$2000,E1430, OFFSET(Paste_Report_Here!$A$1,0,$A1454,2000,1),H$75)</f>
        <v>15</v>
      </c>
      <c r="I1454" s="180">
        <f ca="1">COUNTIFS(Paste_Report_Here!$E$1:$E$2000,E1430, OFFSET(Paste_Report_Here!$A$1,0,$A1454,2000,1),I$75)</f>
        <v>8</v>
      </c>
      <c r="J1454" s="180">
        <f ca="1">COUNTIFS(Paste_Report_Here!$E$1:$E$2000,E1430, OFFSET(Paste_Report_Here!$A$1,0,$A1454,2000,1),J$75)</f>
        <v>0</v>
      </c>
      <c r="K1454" s="181">
        <f ca="1">COUNTIFS(Paste_Report_Here!$E$1:$E$2000,E1430, OFFSET(Paste_Report_Here!$A$1,0,$A1454,2000,1),K$75)</f>
        <v>0</v>
      </c>
      <c r="L1454" s="166">
        <f t="shared" ca="1" si="215"/>
        <v>24</v>
      </c>
      <c r="M1454" s="183">
        <f ca="1">SUMPRODUCT(F1454:K1454,F1434:K1434)/L:L</f>
        <v>0</v>
      </c>
      <c r="N1454" s="166">
        <f t="shared" ca="1" si="216"/>
        <v>1</v>
      </c>
      <c r="O1454" s="165">
        <f t="shared" ca="1" si="218"/>
        <v>4210.6299638928112</v>
      </c>
      <c r="P1454" s="165">
        <f t="shared" ca="1" si="217"/>
        <v>4210.6299638928112</v>
      </c>
    </row>
    <row r="1455" spans="1:16" s="165" customFormat="1" x14ac:dyDescent="0.3">
      <c r="A1455" s="165">
        <f>MATCH(Calcs!B1455,Paste_Report_Here!$1:$1,0) -1</f>
        <v>24</v>
      </c>
      <c r="B1455" s="165" t="s">
        <v>209</v>
      </c>
      <c r="C1455" s="166">
        <f ca="1">RANK(N1455,N1436:N1460)</f>
        <v>5</v>
      </c>
      <c r="D1455" s="166">
        <f ca="1">RANK(P1455,P1436:P1460)</f>
        <v>23</v>
      </c>
      <c r="E1455" s="202" t="s">
        <v>211</v>
      </c>
      <c r="F1455" s="179">
        <f ca="1">COUNTIFS(Paste_Report_Here!$E$1:$E$2000,E1430, OFFSET(Paste_Report_Here!$A$1,0,$A1455,2000,1),F$75)</f>
        <v>0</v>
      </c>
      <c r="G1455" s="180">
        <f ca="1">COUNTIFS(Paste_Report_Here!$E$1:$E$2000,E1430, OFFSET(Paste_Report_Here!$A$1,0,$A1455,2000,1),G$75)</f>
        <v>2</v>
      </c>
      <c r="H1455" s="180">
        <f ca="1">COUNTIFS(Paste_Report_Here!$E$1:$E$2000,E1430, OFFSET(Paste_Report_Here!$A$1,0,$A1455,2000,1),H$75)</f>
        <v>20</v>
      </c>
      <c r="I1455" s="180">
        <f ca="1">COUNTIFS(Paste_Report_Here!$E$1:$E$2000,E1430, OFFSET(Paste_Report_Here!$A$1,0,$A1455,2000,1),I$75)</f>
        <v>2</v>
      </c>
      <c r="J1455" s="180">
        <f ca="1">COUNTIFS(Paste_Report_Here!$E$1:$E$2000,E1430, OFFSET(Paste_Report_Here!$A$1,0,$A1455,2000,1),J$75)</f>
        <v>0</v>
      </c>
      <c r="K1455" s="181">
        <f ca="1">COUNTIFS(Paste_Report_Here!$E$1:$E$2000,E1430, OFFSET(Paste_Report_Here!$A$1,0,$A1455,2000,1),K$75)</f>
        <v>0</v>
      </c>
      <c r="L1455" s="166">
        <f t="shared" ca="1" si="215"/>
        <v>24</v>
      </c>
      <c r="M1455" s="183">
        <f ca="1">SUMPRODUCT(F1455:K1455,F1434:K1434)/L:L</f>
        <v>0</v>
      </c>
      <c r="N1455" s="166">
        <f t="shared" ca="1" si="216"/>
        <v>1</v>
      </c>
      <c r="O1455" s="165">
        <f t="shared" ca="1" si="218"/>
        <v>1241.8557755981556</v>
      </c>
      <c r="P1455" s="165">
        <f t="shared" ca="1" si="217"/>
        <v>1241.8557755981556</v>
      </c>
    </row>
    <row r="1456" spans="1:16" s="165" customFormat="1" x14ac:dyDescent="0.3">
      <c r="A1456" s="165">
        <f>MATCH(Calcs!B1456,Paste_Report_Here!$1:$1,0) -1</f>
        <v>25</v>
      </c>
      <c r="B1456" s="165" t="s">
        <v>141</v>
      </c>
      <c r="C1456" s="166">
        <f ca="1">RANK(N1456,N1436:N1460)</f>
        <v>22</v>
      </c>
      <c r="D1456" s="166">
        <f ca="1">RANK(P1456,P1436:P1460)</f>
        <v>22</v>
      </c>
      <c r="E1456" s="189" t="s">
        <v>170</v>
      </c>
      <c r="F1456" s="179">
        <f ca="1">COUNTIFS(Paste_Report_Here!$E$1:$E$2000,E1430, OFFSET(Paste_Report_Here!$A$1,0,$A1456,2000,1),F$75)</f>
        <v>1</v>
      </c>
      <c r="G1456" s="180">
        <f ca="1">COUNTIFS(Paste_Report_Here!$E$1:$E$2000,E1430, OFFSET(Paste_Report_Here!$A$1,0,$A1456,2000,1),G$75)</f>
        <v>3</v>
      </c>
      <c r="H1456" s="180">
        <f ca="1">COUNTIFS(Paste_Report_Here!$E$1:$E$2000,E1430, OFFSET(Paste_Report_Here!$A$1,0,$A1456,2000,1),H$75)</f>
        <v>17</v>
      </c>
      <c r="I1456" s="180">
        <f ca="1">COUNTIFS(Paste_Report_Here!$E$1:$E$2000,E1430, OFFSET(Paste_Report_Here!$A$1,0,$A1456,2000,1),I$75)</f>
        <v>3</v>
      </c>
      <c r="J1456" s="180">
        <f ca="1">COUNTIFS(Paste_Report_Here!$E$1:$E$2000,E1430, OFFSET(Paste_Report_Here!$A$1,0,$A1456,2000,1),J$75)</f>
        <v>0</v>
      </c>
      <c r="K1456" s="181">
        <f ca="1">COUNTIFS(Paste_Report_Here!$E$1:$E$2000,E1430, OFFSET(Paste_Report_Here!$A$1,0,$A1456,2000,1),K$75)</f>
        <v>0</v>
      </c>
      <c r="L1456" s="166">
        <f t="shared" ca="1" si="215"/>
        <v>24</v>
      </c>
      <c r="M1456" s="183">
        <f ca="1">SUMPRODUCT(F1456:K1456,F1434:K1434)/L:L</f>
        <v>-8.3333333333333332E-3</v>
      </c>
      <c r="N1456" s="166">
        <f t="shared" ca="1" si="216"/>
        <v>0.99170129263887596</v>
      </c>
      <c r="O1456" s="165">
        <f t="shared" ca="1" si="218"/>
        <v>1380.2738490361658</v>
      </c>
      <c r="P1456" s="165">
        <f t="shared" ca="1" si="217"/>
        <v>1368.8193602848023</v>
      </c>
    </row>
    <row r="1457" spans="1:16" s="165" customFormat="1" x14ac:dyDescent="0.3">
      <c r="A1457" s="165">
        <f>MATCH(Calcs!B1457,Paste_Report_Here!$1:$1,0) -1</f>
        <v>26</v>
      </c>
      <c r="B1457" s="165" t="s">
        <v>142</v>
      </c>
      <c r="C1457" s="166">
        <f ca="1">RANK(N1457,N1436:N1460)</f>
        <v>22</v>
      </c>
      <c r="D1457" s="166">
        <f ca="1">RANK(P1457,P1436:P1460)</f>
        <v>12</v>
      </c>
      <c r="E1457" s="189" t="s">
        <v>171</v>
      </c>
      <c r="F1457" s="179">
        <f ca="1">COUNTIFS(Paste_Report_Here!$E$1:$E$2000,E1430, OFFSET(Paste_Report_Here!$A$1,0,$A1457,2000,1),F$75)</f>
        <v>1</v>
      </c>
      <c r="G1457" s="180">
        <f ca="1">COUNTIFS(Paste_Report_Here!$E$1:$E$2000,E1430, OFFSET(Paste_Report_Here!$A$1,0,$A1457,2000,1),G$75)</f>
        <v>1</v>
      </c>
      <c r="H1457" s="180">
        <f ca="1">COUNTIFS(Paste_Report_Here!$E$1:$E$2000,E1430, OFFSET(Paste_Report_Here!$A$1,0,$A1457,2000,1),H$75)</f>
        <v>19</v>
      </c>
      <c r="I1457" s="180">
        <f ca="1">COUNTIFS(Paste_Report_Here!$E$1:$E$2000,E1430, OFFSET(Paste_Report_Here!$A$1,0,$A1457,2000,1),I$75)</f>
        <v>3</v>
      </c>
      <c r="J1457" s="180">
        <f ca="1">COUNTIFS(Paste_Report_Here!$E$1:$E$2000,E1430, OFFSET(Paste_Report_Here!$A$1,0,$A1457,2000,1),J$75)</f>
        <v>0</v>
      </c>
      <c r="K1457" s="181">
        <f ca="1">COUNTIFS(Paste_Report_Here!$E$1:$E$2000,E1430, OFFSET(Paste_Report_Here!$A$1,0,$A1457,2000,1),K$75)</f>
        <v>0</v>
      </c>
      <c r="L1457" s="166">
        <f t="shared" ca="1" si="215"/>
        <v>24</v>
      </c>
      <c r="M1457" s="183">
        <f ca="1">SUMPRODUCT(F1457:K1457,F1434:K1434)/L:L</f>
        <v>-8.3333333333333332E-3</v>
      </c>
      <c r="N1457" s="166">
        <f t="shared" ca="1" si="216"/>
        <v>0.99170129263887596</v>
      </c>
      <c r="O1457" s="165">
        <f t="shared" ca="1" si="218"/>
        <v>2316.8189277775377</v>
      </c>
      <c r="P1457" s="165">
        <f t="shared" ca="1" si="217"/>
        <v>2297.5923254871987</v>
      </c>
    </row>
    <row r="1458" spans="1:16" s="165" customFormat="1" x14ac:dyDescent="0.3">
      <c r="A1458" s="165">
        <f>MATCH(Calcs!B1458,Paste_Report_Here!$1:$1,0) -1</f>
        <v>27</v>
      </c>
      <c r="B1458" s="165" t="s">
        <v>210</v>
      </c>
      <c r="C1458" s="166">
        <f ca="1">RANK(N1458,N1436:N1460)</f>
        <v>5</v>
      </c>
      <c r="D1458" s="166">
        <f ca="1">RANK(P1458,P1436:P1460)</f>
        <v>25</v>
      </c>
      <c r="E1458" s="202" t="s">
        <v>212</v>
      </c>
      <c r="F1458" s="179">
        <f ca="1">COUNTIFS(Paste_Report_Here!$E$1:$E$2000,E1430, OFFSET(Paste_Report_Here!$A$1,0,$A1458,2000,1),F$75)</f>
        <v>0</v>
      </c>
      <c r="G1458" s="180">
        <f ca="1">COUNTIFS(Paste_Report_Here!$E$1:$E$2000,E1430, OFFSET(Paste_Report_Here!$A$1,0,$A1458,2000,1),G$75)</f>
        <v>1</v>
      </c>
      <c r="H1458" s="180">
        <f ca="1">COUNTIFS(Paste_Report_Here!$E$1:$E$2000,E1430, OFFSET(Paste_Report_Here!$A$1,0,$A1458,2000,1),H$75)</f>
        <v>17</v>
      </c>
      <c r="I1458" s="180">
        <f ca="1">COUNTIFS(Paste_Report_Here!$E$1:$E$2000,E1430, OFFSET(Paste_Report_Here!$A$1,0,$A1458,2000,1),I$75)</f>
        <v>6</v>
      </c>
      <c r="J1458" s="180">
        <f ca="1">COUNTIFS(Paste_Report_Here!$E$1:$E$2000,E1430, OFFSET(Paste_Report_Here!$A$1,0,$A1458,2000,1),J$75)</f>
        <v>0</v>
      </c>
      <c r="K1458" s="181">
        <f ca="1">COUNTIFS(Paste_Report_Here!$E$1:$E$2000,E1430, OFFSET(Paste_Report_Here!$A$1,0,$A1458,2000,1),K$75)</f>
        <v>0</v>
      </c>
      <c r="L1458" s="166">
        <f t="shared" ca="1" si="215"/>
        <v>24</v>
      </c>
      <c r="M1458" s="183">
        <f ca="1">SUMPRODUCT(F1458:K1458,F1434:K1434)/L:L</f>
        <v>0</v>
      </c>
      <c r="N1458" s="166">
        <f t="shared" ca="1" si="216"/>
        <v>1</v>
      </c>
      <c r="O1458" s="165">
        <f t="shared" ca="1" si="218"/>
        <v>1143.6699917353874</v>
      </c>
      <c r="P1458" s="165">
        <f t="shared" ca="1" si="217"/>
        <v>1143.6699917353874</v>
      </c>
    </row>
    <row r="1459" spans="1:16" s="165" customFormat="1" x14ac:dyDescent="0.3">
      <c r="A1459" s="165">
        <f>MATCH(Calcs!B1459,Paste_Report_Here!$1:$1,0) -1</f>
        <v>28</v>
      </c>
      <c r="B1459" s="165" t="s">
        <v>143</v>
      </c>
      <c r="C1459" s="166">
        <f ca="1">RANK(N1459,N1437:N1461)</f>
        <v>1</v>
      </c>
      <c r="D1459" s="166">
        <f ca="1">RANK(P1459,P1436:P1460)</f>
        <v>1</v>
      </c>
      <c r="E1459" s="189" t="s">
        <v>172</v>
      </c>
      <c r="F1459" s="179">
        <f ca="1">COUNTIFS(Paste_Report_Here!$E$1:$E$2000,E1430, OFFSET(Paste_Report_Here!$A$1,0,$A1459,2000,1),F$75)</f>
        <v>0</v>
      </c>
      <c r="G1459" s="180">
        <f ca="1">COUNTIFS(Paste_Report_Here!$E$1:$E$2000,E1430, OFFSET(Paste_Report_Here!$A$1,0,$A1459,2000,1),G$75)</f>
        <v>2</v>
      </c>
      <c r="H1459" s="180">
        <f ca="1">COUNTIFS(Paste_Report_Here!$E$1:$E$2000,E1430, OFFSET(Paste_Report_Here!$A$1,0,$A1459,2000,1),H$75)</f>
        <v>14</v>
      </c>
      <c r="I1459" s="180">
        <f ca="1">COUNTIFS(Paste_Report_Here!$E$1:$E$2000,E1430, OFFSET(Paste_Report_Here!$A$1,0,$A1459,2000,1),I$75)</f>
        <v>6</v>
      </c>
      <c r="J1459" s="180">
        <f ca="1">COUNTIFS(Paste_Report_Here!$E$1:$E$2000,E1430, OFFSET(Paste_Report_Here!$A$1,0,$A1459,2000,1),J$75)</f>
        <v>2</v>
      </c>
      <c r="K1459" s="181">
        <f ca="1">COUNTIFS(Paste_Report_Here!$E$1:$E$2000,E1430, OFFSET(Paste_Report_Here!$A$1,0,$A1459,2000,1),K$75)</f>
        <v>0</v>
      </c>
      <c r="L1459" s="166">
        <f t="shared" ca="1" si="215"/>
        <v>24</v>
      </c>
      <c r="M1459" s="183">
        <f ca="1">SUMPRODUCT(F1459:K1459,F1434:K1434)/L:L</f>
        <v>1.6666666666666666E-2</v>
      </c>
      <c r="N1459" s="166">
        <f t="shared" ca="1" si="216"/>
        <v>1.0168063303862609</v>
      </c>
      <c r="O1459" s="165">
        <f t="shared" ca="1" si="218"/>
        <v>9464.9471979348273</v>
      </c>
      <c r="P1459" s="165">
        <f t="shared" ca="1" si="217"/>
        <v>9624.0182276318337</v>
      </c>
    </row>
    <row r="1460" spans="1:16" s="165" customFormat="1" x14ac:dyDescent="0.3">
      <c r="A1460" s="165">
        <f>MATCH(Calcs!B1460,Paste_Report_Here!$1:$1,0) -1</f>
        <v>29</v>
      </c>
      <c r="B1460" s="187" t="s">
        <v>144</v>
      </c>
      <c r="C1460" s="147">
        <f ca="1">RANK(N1460,N1436:N1460)</f>
        <v>5</v>
      </c>
      <c r="D1460" s="147">
        <f ca="1">RANK(P1460,P1436:P1460)</f>
        <v>11</v>
      </c>
      <c r="E1460" s="145" t="s">
        <v>173</v>
      </c>
      <c r="F1460" s="146">
        <f ca="1">COUNTIFS(Paste_Report_Here!$E$1:$E$2000,E1430, OFFSET(Paste_Report_Here!$A$1,0,$A1460,2000,1),F$75)</f>
        <v>1</v>
      </c>
      <c r="G1460" s="147">
        <f ca="1">COUNTIFS(Paste_Report_Here!$E$1:$E$2000,E1430, OFFSET(Paste_Report_Here!$A$1,0,$A1460,2000,1),G$75)</f>
        <v>0</v>
      </c>
      <c r="H1460" s="147">
        <f ca="1">COUNTIFS(Paste_Report_Here!$E$1:$E$2000,E1430, OFFSET(Paste_Report_Here!$A$1,0,$A1460,2000,1),H$75)</f>
        <v>20</v>
      </c>
      <c r="I1460" s="147">
        <f ca="1">COUNTIFS(Paste_Report_Here!$E$1:$E$2000,E1430, OFFSET(Paste_Report_Here!$A$1,0,$A1460,2000,1),I$75)</f>
        <v>2</v>
      </c>
      <c r="J1460" s="147">
        <f ca="1">COUNTIFS(Paste_Report_Here!$E$1:$E$2000,E1430, OFFSET(Paste_Report_Here!$A$1,0,$A1460,2000,1),J$75)</f>
        <v>1</v>
      </c>
      <c r="K1460" s="148">
        <f ca="1">COUNTIFS(Paste_Report_Here!$E$1:$E$2000,E1430, OFFSET(Paste_Report_Here!$A$1,0,$A1460,2000,1),K$75)</f>
        <v>0</v>
      </c>
      <c r="L1460" s="147">
        <f t="shared" ca="1" si="215"/>
        <v>24</v>
      </c>
      <c r="M1460" s="149">
        <f ca="1">SUMPRODUCT(F1460:K1460,F1434:K1434)/L:L</f>
        <v>0</v>
      </c>
      <c r="N1460" s="147">
        <f t="shared" ca="1" si="216"/>
        <v>1</v>
      </c>
      <c r="O1460" s="187">
        <f t="shared" ca="1" si="218"/>
        <v>2373.8949567469472</v>
      </c>
      <c r="P1460" s="165">
        <f t="shared" ca="1" si="217"/>
        <v>2373.8949567469472</v>
      </c>
    </row>
    <row r="1461" spans="1:16" s="165" customFormat="1" x14ac:dyDescent="0.3">
      <c r="C1461" s="166"/>
      <c r="E1461" s="140" t="s">
        <v>293</v>
      </c>
      <c r="F1461" s="180">
        <f ca="1">SUM(F1436:F1460)</f>
        <v>5</v>
      </c>
      <c r="G1461" s="180">
        <f t="shared" ref="G1461:L1461" ca="1" si="219">SUM(G1436:G1460)</f>
        <v>45</v>
      </c>
      <c r="H1461" s="180">
        <f t="shared" ca="1" si="219"/>
        <v>427</v>
      </c>
      <c r="I1461" s="180">
        <f t="shared" ca="1" si="219"/>
        <v>116</v>
      </c>
      <c r="J1461" s="180">
        <f t="shared" ca="1" si="219"/>
        <v>6</v>
      </c>
      <c r="K1461" s="180">
        <f t="shared" ca="1" si="219"/>
        <v>1</v>
      </c>
      <c r="L1461" s="180">
        <f t="shared" ca="1" si="219"/>
        <v>600</v>
      </c>
      <c r="M1461" s="144">
        <f ca="1">SUMPRODUCT(F1461:K1461,F1434:K1434)/L1461</f>
        <v>3.3333333333333365E-4</v>
      </c>
      <c r="N1461" s="166">
        <f t="shared" ca="1" si="216"/>
        <v>1.0003333888950623</v>
      </c>
      <c r="O1461" s="165">
        <f t="shared" ca="1" si="218"/>
        <v>2741.4598792115489</v>
      </c>
      <c r="P1461" s="165">
        <f t="shared" ca="1" si="217"/>
        <v>2742.3738514915367</v>
      </c>
    </row>
    <row r="1462" spans="1:16" s="165" customFormat="1" x14ac:dyDescent="0.3">
      <c r="A1462" s="194"/>
      <c r="B1462" s="194"/>
      <c r="C1462" s="153"/>
      <c r="D1462" s="194"/>
      <c r="E1462" s="164"/>
      <c r="F1462" s="151"/>
      <c r="G1462" s="151"/>
      <c r="H1462" s="151"/>
      <c r="I1462" s="151"/>
      <c r="J1462" s="151"/>
      <c r="K1462" s="151"/>
      <c r="L1462" s="151"/>
      <c r="M1462" s="162"/>
      <c r="N1462" s="153"/>
      <c r="O1462" s="194"/>
      <c r="P1462" s="194"/>
    </row>
    <row r="1463" spans="1:16" s="165" customFormat="1" x14ac:dyDescent="0.3">
      <c r="E1463" s="173" t="s">
        <v>292</v>
      </c>
    </row>
    <row r="1464" spans="1:16" s="165" customFormat="1" x14ac:dyDescent="0.3">
      <c r="E1464" s="141">
        <v>41850</v>
      </c>
    </row>
    <row r="1465" spans="1:16" s="165" customFormat="1" ht="15" thickBot="1" x14ac:dyDescent="0.35"/>
    <row r="1466" spans="1:16" s="165" customFormat="1" ht="24.6" thickBot="1" x14ac:dyDescent="0.35">
      <c r="F1466" s="174" t="s">
        <v>23</v>
      </c>
      <c r="G1466" s="168" t="s">
        <v>18</v>
      </c>
      <c r="H1466" s="168" t="s">
        <v>16</v>
      </c>
      <c r="I1466" s="168" t="s">
        <v>17</v>
      </c>
      <c r="J1466" s="168" t="s">
        <v>19</v>
      </c>
      <c r="K1466" s="169" t="s">
        <v>114</v>
      </c>
    </row>
    <row r="1467" spans="1:16" s="165" customFormat="1" x14ac:dyDescent="0.3">
      <c r="F1467" s="267" t="s">
        <v>201</v>
      </c>
      <c r="G1467" s="268"/>
      <c r="H1467" s="268"/>
      <c r="I1467" s="268"/>
      <c r="J1467" s="268"/>
      <c r="K1467" s="169"/>
      <c r="M1467" s="203">
        <f ca="1">(H1495+K1495)/L1495</f>
        <v>0.71040000000000003</v>
      </c>
      <c r="N1467" s="204" t="s">
        <v>501</v>
      </c>
    </row>
    <row r="1468" spans="1:16" s="165" customFormat="1" ht="43.8" thickBot="1" x14ac:dyDescent="0.35">
      <c r="A1468" s="142" t="s">
        <v>294</v>
      </c>
      <c r="B1468" s="142" t="s">
        <v>295</v>
      </c>
      <c r="C1468" s="197" t="s">
        <v>440</v>
      </c>
      <c r="D1468" s="142" t="s">
        <v>441</v>
      </c>
      <c r="E1468" s="171" t="s">
        <v>30</v>
      </c>
      <c r="F1468" s="175">
        <f>Falling_fast</f>
        <v>-0.2</v>
      </c>
      <c r="G1468" s="176">
        <f>Falling</f>
        <v>0</v>
      </c>
      <c r="H1468" s="177">
        <f>Static</f>
        <v>0</v>
      </c>
      <c r="I1468" s="176">
        <f>Rising</f>
        <v>0</v>
      </c>
      <c r="J1468" s="178">
        <f>Rising_fast</f>
        <v>0.2</v>
      </c>
      <c r="K1468" s="182">
        <v>0</v>
      </c>
      <c r="L1468" s="171" t="s">
        <v>28</v>
      </c>
      <c r="M1468" s="172" t="s">
        <v>29</v>
      </c>
      <c r="N1468" s="143" t="s">
        <v>296</v>
      </c>
      <c r="O1468" s="142" t="s">
        <v>297</v>
      </c>
      <c r="P1468" s="142" t="s">
        <v>298</v>
      </c>
    </row>
    <row r="1469" spans="1:16" s="165" customFormat="1" x14ac:dyDescent="0.3">
      <c r="C1469" s="166"/>
      <c r="E1469" s="192"/>
      <c r="F1469" s="198" t="s">
        <v>151</v>
      </c>
      <c r="G1469" s="199" t="s">
        <v>149</v>
      </c>
      <c r="H1469" s="199" t="s">
        <v>16</v>
      </c>
      <c r="I1469" s="199" t="s">
        <v>148</v>
      </c>
      <c r="J1469" s="199" t="s">
        <v>150</v>
      </c>
      <c r="K1469" s="200" t="s">
        <v>114</v>
      </c>
      <c r="L1469" s="166"/>
      <c r="M1469" s="170"/>
      <c r="N1469" s="166"/>
    </row>
    <row r="1470" spans="1:16" s="165" customFormat="1" x14ac:dyDescent="0.3">
      <c r="A1470" s="165">
        <f>MATCH(Calcs!B1470,Paste_Report_Here!$1:$1,0) -1</f>
        <v>5</v>
      </c>
      <c r="B1470" s="165" t="s">
        <v>124</v>
      </c>
      <c r="C1470" s="166">
        <f ca="1">RANK(N1470,$N$1470:$N$1494)</f>
        <v>4</v>
      </c>
      <c r="D1470" s="166">
        <f ca="1">RANK(P1470,P1470:P1494)</f>
        <v>17</v>
      </c>
      <c r="E1470" s="189" t="s">
        <v>152</v>
      </c>
      <c r="F1470" s="179">
        <f ca="1">COUNTIFS(Paste_Report_Here!$E$1:$E$2000,E1464, OFFSET(Paste_Report_Here!$A$1,0,$A1470,2000,1),F$75)</f>
        <v>0</v>
      </c>
      <c r="G1470" s="180">
        <f ca="1">COUNTIFS(Paste_Report_Here!$E$1:$E$2000,E1464, OFFSET(Paste_Report_Here!$A$1,0,$A1470,2000,1),G$75)</f>
        <v>3</v>
      </c>
      <c r="H1470" s="180">
        <f ca="1">COUNTIFS(Paste_Report_Here!$E$1:$E$2000,E1464, OFFSET(Paste_Report_Here!$A$1,0,$A1470,2000,1),H$75)</f>
        <v>17</v>
      </c>
      <c r="I1470" s="180">
        <f ca="1">COUNTIFS(Paste_Report_Here!$E$1:$E$2000,E1464, OFFSET(Paste_Report_Here!$A$1,0,$A1470,2000,1),I$75)</f>
        <v>4</v>
      </c>
      <c r="J1470" s="180">
        <f ca="1">COUNTIFS(Paste_Report_Here!$E$1:$E$2000,E1464, OFFSET(Paste_Report_Here!$A$1,0,$A1470,2000,1),J$75)</f>
        <v>1</v>
      </c>
      <c r="K1470" s="181">
        <f ca="1">COUNTIFS(Paste_Report_Here!$E$1:$E$2000,E1464, OFFSET(Paste_Report_Here!$A$1,0,$A1470,2000,1),K$75)</f>
        <v>0</v>
      </c>
      <c r="L1470" s="166">
        <f t="shared" ref="L1470:L1494" ca="1" si="220">SUM(F1470:K1470)</f>
        <v>25</v>
      </c>
      <c r="M1470" s="183">
        <f ca="1">SUMPRODUCT(F1470:K1470,F1468:K1468)/L:L</f>
        <v>8.0000000000000002E-3</v>
      </c>
      <c r="N1470" s="166">
        <f t="shared" ref="N1470:N1495" ca="1" si="221">EXP(M1470)</f>
        <v>1.0080320855042735</v>
      </c>
      <c r="O1470" s="165">
        <f ca="1">P1436</f>
        <v>2066.058683743187</v>
      </c>
      <c r="P1470" s="165">
        <f t="shared" ref="P1470:P1495" ca="1" si="222">O1470*N1470</f>
        <v>2082.653443747859</v>
      </c>
    </row>
    <row r="1471" spans="1:16" s="165" customFormat="1" x14ac:dyDescent="0.3">
      <c r="A1471" s="165">
        <f>MATCH(Calcs!B1471,Paste_Report_Here!$1:$1,0) -1</f>
        <v>6</v>
      </c>
      <c r="B1471" s="165" t="s">
        <v>125</v>
      </c>
      <c r="C1471" s="166">
        <f t="shared" ref="C1471:C1494" ca="1" si="223">RANK(N1471,$N$1470:$N$1494)</f>
        <v>1</v>
      </c>
      <c r="D1471" s="166">
        <f ca="1">RANK(P1471,P1470:P1494)</f>
        <v>16</v>
      </c>
      <c r="E1471" s="189" t="s">
        <v>153</v>
      </c>
      <c r="F1471" s="179">
        <f ca="1">COUNTIFS(Paste_Report_Here!$E$1:$E$2000,E1464, OFFSET(Paste_Report_Here!$A$1,0,$A1471,2000,1),F$75)</f>
        <v>0</v>
      </c>
      <c r="G1471" s="180">
        <f ca="1">COUNTIFS(Paste_Report_Here!$E$1:$E$2000,E1464, OFFSET(Paste_Report_Here!$A$1,0,$A1471,2000,1),G$75)</f>
        <v>2</v>
      </c>
      <c r="H1471" s="180">
        <f ca="1">COUNTIFS(Paste_Report_Here!$E$1:$E$2000,E1464, OFFSET(Paste_Report_Here!$A$1,0,$A1471,2000,1),H$75)</f>
        <v>20</v>
      </c>
      <c r="I1471" s="180">
        <f ca="1">COUNTIFS(Paste_Report_Here!$E$1:$E$2000,E1464, OFFSET(Paste_Report_Here!$A$1,0,$A1471,2000,1),I$75)</f>
        <v>1</v>
      </c>
      <c r="J1471" s="180">
        <f ca="1">COUNTIFS(Paste_Report_Here!$E$1:$E$2000,E1464, OFFSET(Paste_Report_Here!$A$1,0,$A1471,2000,1),J$75)</f>
        <v>2</v>
      </c>
      <c r="K1471" s="181">
        <f ca="1">COUNTIFS(Paste_Report_Here!$E$1:$E$2000,E1464, OFFSET(Paste_Report_Here!$A$1,0,$A1471,2000,1),K$75)</f>
        <v>0</v>
      </c>
      <c r="L1471" s="166">
        <f t="shared" ca="1" si="220"/>
        <v>25</v>
      </c>
      <c r="M1471" s="183">
        <f ca="1">SUMPRODUCT(F1471:K1471,F1468:K1468)/L:L</f>
        <v>1.6E-2</v>
      </c>
      <c r="N1471" s="166">
        <f t="shared" ca="1" si="221"/>
        <v>1.0161286854060949</v>
      </c>
      <c r="O1471" s="165">
        <f t="shared" ref="O1471:O1495" ca="1" si="224">P1437</f>
        <v>2087.3643675501276</v>
      </c>
      <c r="P1471" s="165">
        <f t="shared" ca="1" si="222"/>
        <v>2121.0308107622359</v>
      </c>
    </row>
    <row r="1472" spans="1:16" s="165" customFormat="1" x14ac:dyDescent="0.3">
      <c r="A1472" s="165">
        <f>MATCH(Calcs!B1472,Paste_Report_Here!$1:$1,0) -1</f>
        <v>7</v>
      </c>
      <c r="B1472" s="165" t="s">
        <v>126</v>
      </c>
      <c r="C1472" s="166">
        <f t="shared" ca="1" si="223"/>
        <v>9</v>
      </c>
      <c r="D1472" s="166">
        <f ca="1">RANK(P1472,P1470:P1494)</f>
        <v>8</v>
      </c>
      <c r="E1472" s="189" t="s">
        <v>154</v>
      </c>
      <c r="F1472" s="179">
        <f ca="1">COUNTIFS(Paste_Report_Here!$E$1:$E$2000,E1464, OFFSET(Paste_Report_Here!$A$1,0,$A1472,2000,1),F$75)</f>
        <v>0</v>
      </c>
      <c r="G1472" s="180">
        <f ca="1">COUNTIFS(Paste_Report_Here!$E$1:$E$2000,E1464, OFFSET(Paste_Report_Here!$A$1,0,$A1472,2000,1),G$75)</f>
        <v>3</v>
      </c>
      <c r="H1472" s="180">
        <f ca="1">COUNTIFS(Paste_Report_Here!$E$1:$E$2000,E1464, OFFSET(Paste_Report_Here!$A$1,0,$A1472,2000,1),H$75)</f>
        <v>20</v>
      </c>
      <c r="I1472" s="180">
        <f ca="1">COUNTIFS(Paste_Report_Here!$E$1:$E$2000,E1464, OFFSET(Paste_Report_Here!$A$1,0,$A1472,2000,1),I$75)</f>
        <v>2</v>
      </c>
      <c r="J1472" s="180">
        <f ca="1">COUNTIFS(Paste_Report_Here!$E$1:$E$2000,E1464, OFFSET(Paste_Report_Here!$A$1,0,$A1472,2000,1),J$75)</f>
        <v>0</v>
      </c>
      <c r="K1472" s="181">
        <f ca="1">COUNTIFS(Paste_Report_Here!$E$1:$E$2000,E1464, OFFSET(Paste_Report_Here!$A$1,0,$A1472,2000,1),K$75)</f>
        <v>0</v>
      </c>
      <c r="L1472" s="166">
        <f t="shared" ca="1" si="220"/>
        <v>25</v>
      </c>
      <c r="M1472" s="183">
        <f ca="1">SUMPRODUCT(F1472:K1472,F1468:K1468)/L:L</f>
        <v>0</v>
      </c>
      <c r="N1472" s="166">
        <f t="shared" ca="1" si="221"/>
        <v>1</v>
      </c>
      <c r="O1472" s="165">
        <f t="shared" ca="1" si="224"/>
        <v>2738.1787660639311</v>
      </c>
      <c r="P1472" s="165">
        <f t="shared" ca="1" si="222"/>
        <v>2738.1787660639311</v>
      </c>
    </row>
    <row r="1473" spans="1:16" s="165" customFormat="1" x14ac:dyDescent="0.3">
      <c r="A1473" s="165">
        <f>MATCH(Calcs!B1473,Paste_Report_Here!$1:$1,0) -1</f>
        <v>8</v>
      </c>
      <c r="B1473" s="165" t="s">
        <v>127</v>
      </c>
      <c r="C1473" s="166">
        <f t="shared" ca="1" si="223"/>
        <v>1</v>
      </c>
      <c r="D1473" s="166">
        <f ca="1">RANK(P1473,P1470:P1494)</f>
        <v>7</v>
      </c>
      <c r="E1473" s="189" t="s">
        <v>155</v>
      </c>
      <c r="F1473" s="179">
        <f ca="1">COUNTIFS(Paste_Report_Here!$E$1:$E$2000,E1464, OFFSET(Paste_Report_Here!$A$1,0,$A1473,2000,1),F$75)</f>
        <v>0</v>
      </c>
      <c r="G1473" s="180">
        <f ca="1">COUNTIFS(Paste_Report_Here!$E$1:$E$2000,E1464, OFFSET(Paste_Report_Here!$A$1,0,$A1473,2000,1),G$75)</f>
        <v>1</v>
      </c>
      <c r="H1473" s="180">
        <f ca="1">COUNTIFS(Paste_Report_Here!$E$1:$E$2000,E1464, OFFSET(Paste_Report_Here!$A$1,0,$A1473,2000,1),H$75)</f>
        <v>18</v>
      </c>
      <c r="I1473" s="180">
        <f ca="1">COUNTIFS(Paste_Report_Here!$E$1:$E$2000,E1464, OFFSET(Paste_Report_Here!$A$1,0,$A1473,2000,1),I$75)</f>
        <v>4</v>
      </c>
      <c r="J1473" s="180">
        <f ca="1">COUNTIFS(Paste_Report_Here!$E$1:$E$2000,E1464, OFFSET(Paste_Report_Here!$A$1,0,$A1473,2000,1),J$75)</f>
        <v>2</v>
      </c>
      <c r="K1473" s="181">
        <f ca="1">COUNTIFS(Paste_Report_Here!$E$1:$E$2000,E1464, OFFSET(Paste_Report_Here!$A$1,0,$A1473,2000,1),K$75)</f>
        <v>0</v>
      </c>
      <c r="L1473" s="166">
        <f t="shared" ca="1" si="220"/>
        <v>25</v>
      </c>
      <c r="M1473" s="183">
        <f ca="1">SUMPRODUCT(F1473:K1473,F1468:K1468)/L:L</f>
        <v>1.6E-2</v>
      </c>
      <c r="N1473" s="166">
        <f t="shared" ca="1" si="221"/>
        <v>1.0161286854060949</v>
      </c>
      <c r="O1473" s="165">
        <f t="shared" ca="1" si="224"/>
        <v>2939.2810739686188</v>
      </c>
      <c r="P1473" s="165">
        <f t="shared" ca="1" si="222"/>
        <v>2986.6878137307476</v>
      </c>
    </row>
    <row r="1474" spans="1:16" s="165" customFormat="1" x14ac:dyDescent="0.3">
      <c r="A1474" s="165">
        <f>MATCH(Calcs!B1474,Paste_Report_Here!$1:$1,0) -1</f>
        <v>9</v>
      </c>
      <c r="B1474" s="165" t="s">
        <v>214</v>
      </c>
      <c r="C1474" s="166">
        <f t="shared" ca="1" si="223"/>
        <v>4</v>
      </c>
      <c r="D1474" s="166">
        <f ca="1">RANK(P1474,P1470:P1494)</f>
        <v>5</v>
      </c>
      <c r="E1474" s="189" t="s">
        <v>156</v>
      </c>
      <c r="F1474" s="179">
        <f ca="1">COUNTIFS(Paste_Report_Here!$E$1:$E$2000,E1464, OFFSET(Paste_Report_Here!$A$1,0,$A1474,2000,1),F$75)</f>
        <v>0</v>
      </c>
      <c r="G1474" s="180">
        <f ca="1">COUNTIFS(Paste_Report_Here!$E$1:$E$2000,E1464, OFFSET(Paste_Report_Here!$A$1,0,$A1474,2000,1),G$75)</f>
        <v>2</v>
      </c>
      <c r="H1474" s="180">
        <f ca="1">COUNTIFS(Paste_Report_Here!$E$1:$E$2000,E1464, OFFSET(Paste_Report_Here!$A$1,0,$A1474,2000,1),H$75)</f>
        <v>15</v>
      </c>
      <c r="I1474" s="180">
        <f ca="1">COUNTIFS(Paste_Report_Here!$E$1:$E$2000,E1464, OFFSET(Paste_Report_Here!$A$1,0,$A1474,2000,1),I$75)</f>
        <v>7</v>
      </c>
      <c r="J1474" s="180">
        <f ca="1">COUNTIFS(Paste_Report_Here!$E$1:$E$2000,E1464, OFFSET(Paste_Report_Here!$A$1,0,$A1474,2000,1),J$75)</f>
        <v>1</v>
      </c>
      <c r="K1474" s="181">
        <f ca="1">COUNTIFS(Paste_Report_Here!$E$1:$E$2000,E1464, OFFSET(Paste_Report_Here!$A$1,0,$A1474,2000,1),K$75)</f>
        <v>0</v>
      </c>
      <c r="L1474" s="166">
        <f t="shared" ca="1" si="220"/>
        <v>25</v>
      </c>
      <c r="M1474" s="183">
        <f ca="1">SUMPRODUCT(F1474:K1474,F1468:K1468)/L:L</f>
        <v>8.0000000000000002E-3</v>
      </c>
      <c r="N1474" s="166">
        <f t="shared" ca="1" si="221"/>
        <v>1.0080320855042735</v>
      </c>
      <c r="O1474" s="165">
        <f t="shared" ca="1" si="224"/>
        <v>3933.5421073890666</v>
      </c>
      <c r="P1474" s="165">
        <f t="shared" ca="1" si="222"/>
        <v>3965.1366539302758</v>
      </c>
    </row>
    <row r="1475" spans="1:16" s="165" customFormat="1" x14ac:dyDescent="0.3">
      <c r="A1475" s="165">
        <f>MATCH(Calcs!B1475,Paste_Report_Here!$1:$1,0) -1</f>
        <v>10</v>
      </c>
      <c r="B1475" s="165" t="s">
        <v>128</v>
      </c>
      <c r="C1475" s="166">
        <f t="shared" ca="1" si="223"/>
        <v>23</v>
      </c>
      <c r="D1475" s="166">
        <f ca="1">RANK(P1475,P1470:P1494)</f>
        <v>21</v>
      </c>
      <c r="E1475" s="189" t="s">
        <v>157</v>
      </c>
      <c r="F1475" s="179">
        <f ca="1">COUNTIFS(Paste_Report_Here!$E$1:$E$2000,E1464, OFFSET(Paste_Report_Here!$A$1,0,$A1475,2000,1),F$75)</f>
        <v>1</v>
      </c>
      <c r="G1475" s="180">
        <f ca="1">COUNTIFS(Paste_Report_Here!$E$1:$E$2000,E1464, OFFSET(Paste_Report_Here!$A$1,0,$A1475,2000,1),G$75)</f>
        <v>3</v>
      </c>
      <c r="H1475" s="180">
        <f ca="1">COUNTIFS(Paste_Report_Here!$E$1:$E$2000,E1464, OFFSET(Paste_Report_Here!$A$1,0,$A1475,2000,1),H$75)</f>
        <v>20</v>
      </c>
      <c r="I1475" s="180">
        <f ca="1">COUNTIFS(Paste_Report_Here!$E$1:$E$2000,E1464, OFFSET(Paste_Report_Here!$A$1,0,$A1475,2000,1),I$75)</f>
        <v>1</v>
      </c>
      <c r="J1475" s="180">
        <f ca="1">COUNTIFS(Paste_Report_Here!$E$1:$E$2000,E1464, OFFSET(Paste_Report_Here!$A$1,0,$A1475,2000,1),J$75)</f>
        <v>0</v>
      </c>
      <c r="K1475" s="181">
        <f ca="1">COUNTIFS(Paste_Report_Here!$E$1:$E$2000,E1464, OFFSET(Paste_Report_Here!$A$1,0,$A1475,2000,1),K$75)</f>
        <v>0</v>
      </c>
      <c r="L1475" s="166">
        <f t="shared" ca="1" si="220"/>
        <v>25</v>
      </c>
      <c r="M1475" s="183">
        <f ca="1">SUMPRODUCT(F1475:K1475,F1468:K1468)/L:L</f>
        <v>-8.0000000000000002E-3</v>
      </c>
      <c r="N1475" s="166">
        <f t="shared" ca="1" si="221"/>
        <v>0.99203191483706066</v>
      </c>
      <c r="O1475" s="165">
        <f t="shared" ca="1" si="224"/>
        <v>1602.9990519040412</v>
      </c>
      <c r="P1475" s="165">
        <f t="shared" ca="1" si="222"/>
        <v>1590.2262189423586</v>
      </c>
    </row>
    <row r="1476" spans="1:16" s="165" customFormat="1" x14ac:dyDescent="0.3">
      <c r="A1476" s="165">
        <f>MATCH(Calcs!B1476,Paste_Report_Here!$1:$1,0) -1</f>
        <v>11</v>
      </c>
      <c r="B1476" s="165" t="s">
        <v>129</v>
      </c>
      <c r="C1476" s="166">
        <f t="shared" ca="1" si="223"/>
        <v>9</v>
      </c>
      <c r="D1476" s="166">
        <f ca="1">RANK(P1476,P1470:P1494)</f>
        <v>10</v>
      </c>
      <c r="E1476" s="189" t="s">
        <v>158</v>
      </c>
      <c r="F1476" s="179">
        <f ca="1">COUNTIFS(Paste_Report_Here!$E$1:$E$2000,E1464, OFFSET(Paste_Report_Here!$A$1,0,$A1476,2000,1),F$75)</f>
        <v>1</v>
      </c>
      <c r="G1476" s="180">
        <f ca="1">COUNTIFS(Paste_Report_Here!$E$1:$E$2000,E1464, OFFSET(Paste_Report_Here!$A$1,0,$A1476,2000,1),G$75)</f>
        <v>2</v>
      </c>
      <c r="H1476" s="180">
        <f ca="1">COUNTIFS(Paste_Report_Here!$E$1:$E$2000,E1464, OFFSET(Paste_Report_Here!$A$1,0,$A1476,2000,1),H$75)</f>
        <v>20</v>
      </c>
      <c r="I1476" s="180">
        <f ca="1">COUNTIFS(Paste_Report_Here!$E$1:$E$2000,E1464, OFFSET(Paste_Report_Here!$A$1,0,$A1476,2000,1),I$75)</f>
        <v>1</v>
      </c>
      <c r="J1476" s="180">
        <f ca="1">COUNTIFS(Paste_Report_Here!$E$1:$E$2000,E1464, OFFSET(Paste_Report_Here!$A$1,0,$A1476,2000,1),J$75)</f>
        <v>1</v>
      </c>
      <c r="K1476" s="181">
        <f ca="1">COUNTIFS(Paste_Report_Here!$E$1:$E$2000,E1464, OFFSET(Paste_Report_Here!$A$1,0,$A1476,2000,1),K$75)</f>
        <v>0</v>
      </c>
      <c r="L1476" s="166">
        <f t="shared" ca="1" si="220"/>
        <v>25</v>
      </c>
      <c r="M1476" s="183">
        <f ca="1">SUMPRODUCT(F1476:K1476,F1468:K1468)/L:L</f>
        <v>0</v>
      </c>
      <c r="N1476" s="166">
        <f t="shared" ca="1" si="221"/>
        <v>1</v>
      </c>
      <c r="O1476" s="165">
        <f t="shared" ca="1" si="224"/>
        <v>2560.5680303768227</v>
      </c>
      <c r="P1476" s="165">
        <f t="shared" ca="1" si="222"/>
        <v>2560.5680303768227</v>
      </c>
    </row>
    <row r="1477" spans="1:16" s="165" customFormat="1" x14ac:dyDescent="0.3">
      <c r="A1477" s="165">
        <f>MATCH(Calcs!B1477,Paste_Report_Here!$1:$1,0) -1</f>
        <v>12</v>
      </c>
      <c r="B1477" s="165" t="s">
        <v>130</v>
      </c>
      <c r="C1477" s="166">
        <f t="shared" ca="1" si="223"/>
        <v>9</v>
      </c>
      <c r="D1477" s="166">
        <f ca="1">RANK(P1477,P1470:P1494)</f>
        <v>9</v>
      </c>
      <c r="E1477" s="189" t="s">
        <v>159</v>
      </c>
      <c r="F1477" s="179">
        <f ca="1">COUNTIFS(Paste_Report_Here!$E$1:$E$2000,E1464, OFFSET(Paste_Report_Here!$A$1,0,$A1477,2000,1),F$75)</f>
        <v>1</v>
      </c>
      <c r="G1477" s="180">
        <f ca="1">COUNTIFS(Paste_Report_Here!$E$1:$E$2000,E1464, OFFSET(Paste_Report_Here!$A$1,0,$A1477,2000,1),G$75)</f>
        <v>0</v>
      </c>
      <c r="H1477" s="180">
        <f ca="1">COUNTIFS(Paste_Report_Here!$E$1:$E$2000,E1464, OFFSET(Paste_Report_Here!$A$1,0,$A1477,2000,1),H$75)</f>
        <v>19</v>
      </c>
      <c r="I1477" s="180">
        <f ca="1">COUNTIFS(Paste_Report_Here!$E$1:$E$2000,E1464, OFFSET(Paste_Report_Here!$A$1,0,$A1477,2000,1),I$75)</f>
        <v>4</v>
      </c>
      <c r="J1477" s="180">
        <f ca="1">COUNTIFS(Paste_Report_Here!$E$1:$E$2000,E1464, OFFSET(Paste_Report_Here!$A$1,0,$A1477,2000,1),J$75)</f>
        <v>1</v>
      </c>
      <c r="K1477" s="181">
        <f ca="1">COUNTIFS(Paste_Report_Here!$E$1:$E$2000,E1464, OFFSET(Paste_Report_Here!$A$1,0,$A1477,2000,1),K$75)</f>
        <v>0</v>
      </c>
      <c r="L1477" s="166">
        <f t="shared" ca="1" si="220"/>
        <v>25</v>
      </c>
      <c r="M1477" s="183">
        <f ca="1">SUMPRODUCT(F1477:K1477,F1468:K1468)/L:L</f>
        <v>0</v>
      </c>
      <c r="N1477" s="166">
        <f t="shared" ca="1" si="221"/>
        <v>1</v>
      </c>
      <c r="O1477" s="165">
        <f t="shared" ca="1" si="224"/>
        <v>2569.3128647252079</v>
      </c>
      <c r="P1477" s="165">
        <f t="shared" ca="1" si="222"/>
        <v>2569.3128647252079</v>
      </c>
    </row>
    <row r="1478" spans="1:16" s="165" customFormat="1" x14ac:dyDescent="0.3">
      <c r="A1478" s="165">
        <f>MATCH(Calcs!B1478,Paste_Report_Here!$1:$1,0) -1</f>
        <v>13</v>
      </c>
      <c r="B1478" s="165" t="s">
        <v>131</v>
      </c>
      <c r="C1478" s="166">
        <v>2</v>
      </c>
      <c r="D1478" s="166">
        <f ca="1">RANK(P1478,P1470:P1494)</f>
        <v>2</v>
      </c>
      <c r="E1478" s="189" t="s">
        <v>160</v>
      </c>
      <c r="F1478" s="179">
        <f ca="1">COUNTIFS(Paste_Report_Here!$E$1:$E$2000,E1464, OFFSET(Paste_Report_Here!$A$1,0,$A1478,2000,1),F$75)</f>
        <v>0</v>
      </c>
      <c r="G1478" s="180">
        <f ca="1">COUNTIFS(Paste_Report_Here!$E$1:$E$2000,E1464, OFFSET(Paste_Report_Here!$A$1,0,$A1478,2000,1),G$75)</f>
        <v>1</v>
      </c>
      <c r="H1478" s="180">
        <f ca="1">COUNTIFS(Paste_Report_Here!$E$1:$E$2000,E1464, OFFSET(Paste_Report_Here!$A$1,0,$A1478,2000,1),H$75)</f>
        <v>12</v>
      </c>
      <c r="I1478" s="180">
        <f ca="1">COUNTIFS(Paste_Report_Here!$E$1:$E$2000,E1464, OFFSET(Paste_Report_Here!$A$1,0,$A1478,2000,1),I$75)</f>
        <v>11</v>
      </c>
      <c r="J1478" s="180">
        <f ca="1">COUNTIFS(Paste_Report_Here!$E$1:$E$2000,E1464, OFFSET(Paste_Report_Here!$A$1,0,$A1478,2000,1),J$75)</f>
        <v>1</v>
      </c>
      <c r="K1478" s="181">
        <f ca="1">COUNTIFS(Paste_Report_Here!$E$1:$E$2000,E1464, OFFSET(Paste_Report_Here!$A$1,0,$A1478,2000,1),K$75)</f>
        <v>0</v>
      </c>
      <c r="L1478" s="166">
        <f t="shared" ca="1" si="220"/>
        <v>25</v>
      </c>
      <c r="M1478" s="183">
        <f ca="1">SUMPRODUCT(F1478:K1478,F1468:K1468)/L:L</f>
        <v>8.0000000000000002E-3</v>
      </c>
      <c r="N1478" s="166">
        <f t="shared" ca="1" si="221"/>
        <v>1.0080320855042735</v>
      </c>
      <c r="O1478" s="165">
        <f t="shared" ca="1" si="224"/>
        <v>4836.3492780733695</v>
      </c>
      <c r="P1478" s="165">
        <f t="shared" ca="1" si="222"/>
        <v>4875.1952490033864</v>
      </c>
    </row>
    <row r="1479" spans="1:16" s="165" customFormat="1" x14ac:dyDescent="0.3">
      <c r="A1479" s="165">
        <f>MATCH(Calcs!B1479,Paste_Report_Here!$1:$1,0) -1</f>
        <v>14</v>
      </c>
      <c r="B1479" s="165" t="s">
        <v>132</v>
      </c>
      <c r="C1479" s="166">
        <f t="shared" ca="1" si="223"/>
        <v>9</v>
      </c>
      <c r="D1479" s="166">
        <f ca="1">RANK(P1479,P1470:P1494)</f>
        <v>14</v>
      </c>
      <c r="E1479" s="189" t="s">
        <v>161</v>
      </c>
      <c r="F1479" s="179">
        <f ca="1">COUNTIFS(Paste_Report_Here!$E$1:$E$2000,E1464, OFFSET(Paste_Report_Here!$A$1,0,$A1479,2000,1),F$75)</f>
        <v>1</v>
      </c>
      <c r="G1479" s="180">
        <f ca="1">COUNTIFS(Paste_Report_Here!$E$1:$E$2000,E1464, OFFSET(Paste_Report_Here!$A$1,0,$A1479,2000,1),G$75)</f>
        <v>3</v>
      </c>
      <c r="H1479" s="180">
        <f ca="1">COUNTIFS(Paste_Report_Here!$E$1:$E$2000,E1464, OFFSET(Paste_Report_Here!$A$1,0,$A1479,2000,1),H$75)</f>
        <v>15</v>
      </c>
      <c r="I1479" s="180">
        <f ca="1">COUNTIFS(Paste_Report_Here!$E$1:$E$2000,E1464, OFFSET(Paste_Report_Here!$A$1,0,$A1479,2000,1),I$75)</f>
        <v>5</v>
      </c>
      <c r="J1479" s="180">
        <f ca="1">COUNTIFS(Paste_Report_Here!$E$1:$E$2000,E1464, OFFSET(Paste_Report_Here!$A$1,0,$A1479,2000,1),J$75)</f>
        <v>1</v>
      </c>
      <c r="K1479" s="181">
        <f ca="1">COUNTIFS(Paste_Report_Here!$E$1:$E$2000,E1464, OFFSET(Paste_Report_Here!$A$1,0,$A1479,2000,1),K$75)</f>
        <v>0</v>
      </c>
      <c r="L1479" s="166">
        <f t="shared" ca="1" si="220"/>
        <v>25</v>
      </c>
      <c r="M1479" s="183">
        <f ca="1">SUMPRODUCT(F1479:K1479,F1468:K1468)/L:L</f>
        <v>0</v>
      </c>
      <c r="N1479" s="166">
        <f t="shared" ca="1" si="221"/>
        <v>1</v>
      </c>
      <c r="O1479" s="165">
        <f t="shared" ca="1" si="224"/>
        <v>2154.5400711344596</v>
      </c>
      <c r="P1479" s="165">
        <f t="shared" ca="1" si="222"/>
        <v>2154.5400711344596</v>
      </c>
    </row>
    <row r="1480" spans="1:16" s="165" customFormat="1" x14ac:dyDescent="0.3">
      <c r="A1480" s="165">
        <f>MATCH(Calcs!B1480,Paste_Report_Here!$1:$1,0) -1</f>
        <v>15</v>
      </c>
      <c r="B1480" s="165" t="s">
        <v>133</v>
      </c>
      <c r="C1480" s="166">
        <f t="shared" ca="1" si="223"/>
        <v>4</v>
      </c>
      <c r="D1480" s="166">
        <f ca="1">RANK(P1480,P1470:P1494)</f>
        <v>6</v>
      </c>
      <c r="E1480" s="189" t="s">
        <v>162</v>
      </c>
      <c r="F1480" s="179">
        <f ca="1">COUNTIFS(Paste_Report_Here!$E$1:$E$2000,E1464, OFFSET(Paste_Report_Here!$A$1,0,$A1480,2000,1),F$75)</f>
        <v>0</v>
      </c>
      <c r="G1480" s="180">
        <f ca="1">COUNTIFS(Paste_Report_Here!$E$1:$E$2000,E1464, OFFSET(Paste_Report_Here!$A$1,0,$A1480,2000,1),G$75)</f>
        <v>1</v>
      </c>
      <c r="H1480" s="180">
        <f ca="1">COUNTIFS(Paste_Report_Here!$E$1:$E$2000,E1464, OFFSET(Paste_Report_Here!$A$1,0,$A1480,2000,1),H$75)</f>
        <v>12</v>
      </c>
      <c r="I1480" s="180">
        <f ca="1">COUNTIFS(Paste_Report_Here!$E$1:$E$2000,E1464, OFFSET(Paste_Report_Here!$A$1,0,$A1480,2000,1),I$75)</f>
        <v>11</v>
      </c>
      <c r="J1480" s="180">
        <f ca="1">COUNTIFS(Paste_Report_Here!$E$1:$E$2000,E1464, OFFSET(Paste_Report_Here!$A$1,0,$A1480,2000,1),J$75)</f>
        <v>1</v>
      </c>
      <c r="K1480" s="181">
        <f ca="1">COUNTIFS(Paste_Report_Here!$E$1:$E$2000,E1464, OFFSET(Paste_Report_Here!$A$1,0,$A1480,2000,1),K$75)</f>
        <v>0</v>
      </c>
      <c r="L1480" s="166">
        <f t="shared" ca="1" si="220"/>
        <v>25</v>
      </c>
      <c r="M1480" s="183">
        <f ca="1">SUMPRODUCT(F1480:K1480,F1468:K1468)/L:L</f>
        <v>8.0000000000000002E-3</v>
      </c>
      <c r="N1480" s="166">
        <f t="shared" ca="1" si="221"/>
        <v>1.0080320855042735</v>
      </c>
      <c r="O1480" s="165">
        <f t="shared" ca="1" si="224"/>
        <v>3184.2224672316393</v>
      </c>
      <c r="P1480" s="165">
        <f t="shared" ca="1" si="222"/>
        <v>3209.7984143530725</v>
      </c>
    </row>
    <row r="1481" spans="1:16" s="165" customFormat="1" x14ac:dyDescent="0.3">
      <c r="A1481" s="165">
        <f>MATCH(Calcs!B1481,Paste_Report_Here!$1:$1,0) -1</f>
        <v>16</v>
      </c>
      <c r="B1481" s="165" t="s">
        <v>134</v>
      </c>
      <c r="C1481" s="166">
        <f t="shared" ca="1" si="223"/>
        <v>23</v>
      </c>
      <c r="D1481" s="166">
        <f ca="1">RANK(P1481,P1470:P1494)</f>
        <v>24</v>
      </c>
      <c r="E1481" s="189" t="s">
        <v>163</v>
      </c>
      <c r="F1481" s="179">
        <f ca="1">COUNTIFS(Paste_Report_Here!$E$1:$E$2000,E1464, OFFSET(Paste_Report_Here!$A$1,0,$A1481,2000,1),F$75)</f>
        <v>1</v>
      </c>
      <c r="G1481" s="180">
        <f ca="1">COUNTIFS(Paste_Report_Here!$E$1:$E$2000,E1464, OFFSET(Paste_Report_Here!$A$1,0,$A1481,2000,1),G$75)</f>
        <v>0</v>
      </c>
      <c r="H1481" s="180">
        <f ca="1">COUNTIFS(Paste_Report_Here!$E$1:$E$2000,E1464, OFFSET(Paste_Report_Here!$A$1,0,$A1481,2000,1),H$75)</f>
        <v>21</v>
      </c>
      <c r="I1481" s="180">
        <f ca="1">COUNTIFS(Paste_Report_Here!$E$1:$E$2000,E1464, OFFSET(Paste_Report_Here!$A$1,0,$A1481,2000,1),I$75)</f>
        <v>3</v>
      </c>
      <c r="J1481" s="180">
        <f ca="1">COUNTIFS(Paste_Report_Here!$E$1:$E$2000,E1464, OFFSET(Paste_Report_Here!$A$1,0,$A1481,2000,1),J$75)</f>
        <v>0</v>
      </c>
      <c r="K1481" s="181">
        <f ca="1">COUNTIFS(Paste_Report_Here!$E$1:$E$2000,E1464, OFFSET(Paste_Report_Here!$A$1,0,$A1481,2000,1),K$75)</f>
        <v>0</v>
      </c>
      <c r="L1481" s="166">
        <f t="shared" ca="1" si="220"/>
        <v>25</v>
      </c>
      <c r="M1481" s="183">
        <f ca="1">SUMPRODUCT(F1481:K1481,F1468:K1468)/L:L</f>
        <v>-8.0000000000000002E-3</v>
      </c>
      <c r="N1481" s="166">
        <f t="shared" ca="1" si="221"/>
        <v>0.99203191483706066</v>
      </c>
      <c r="O1481" s="165">
        <f t="shared" ca="1" si="224"/>
        <v>1154.5390527901013</v>
      </c>
      <c r="P1481" s="165">
        <f t="shared" ca="1" si="222"/>
        <v>1145.3395872935305</v>
      </c>
    </row>
    <row r="1482" spans="1:16" s="165" customFormat="1" x14ac:dyDescent="0.3">
      <c r="A1482" s="165">
        <f>MATCH(Calcs!B1482,Paste_Report_Here!$1:$1,0) -1</f>
        <v>17</v>
      </c>
      <c r="B1482" s="165" t="s">
        <v>135</v>
      </c>
      <c r="C1482" s="166">
        <f t="shared" ca="1" si="223"/>
        <v>4</v>
      </c>
      <c r="D1482" s="166">
        <f ca="1">RANK(P1482,P1470:P1494)</f>
        <v>19</v>
      </c>
      <c r="E1482" s="189" t="s">
        <v>164</v>
      </c>
      <c r="F1482" s="179">
        <f ca="1">COUNTIFS(Paste_Report_Here!$E$1:$E$2000,E1464, OFFSET(Paste_Report_Here!$A$1,0,$A1482,2000,1),F$75)</f>
        <v>0</v>
      </c>
      <c r="G1482" s="180">
        <f ca="1">COUNTIFS(Paste_Report_Here!$E$1:$E$2000,E1464, OFFSET(Paste_Report_Here!$A$1,0,$A1482,2000,1),G$75)</f>
        <v>3</v>
      </c>
      <c r="H1482" s="180">
        <f ca="1">COUNTIFS(Paste_Report_Here!$E$1:$E$2000,E1464, OFFSET(Paste_Report_Here!$A$1,0,$A1482,2000,1),H$75)</f>
        <v>19</v>
      </c>
      <c r="I1482" s="180">
        <f ca="1">COUNTIFS(Paste_Report_Here!$E$1:$E$2000,E1464, OFFSET(Paste_Report_Here!$A$1,0,$A1482,2000,1),I$75)</f>
        <v>2</v>
      </c>
      <c r="J1482" s="180">
        <f ca="1">COUNTIFS(Paste_Report_Here!$E$1:$E$2000,E1464, OFFSET(Paste_Report_Here!$A$1,0,$A1482,2000,1),J$75)</f>
        <v>1</v>
      </c>
      <c r="K1482" s="181">
        <f ca="1">COUNTIFS(Paste_Report_Here!$E$1:$E$2000,E1464, OFFSET(Paste_Report_Here!$A$1,0,$A1482,2000,1),K$75)</f>
        <v>0</v>
      </c>
      <c r="L1482" s="166">
        <f t="shared" ca="1" si="220"/>
        <v>25</v>
      </c>
      <c r="M1482" s="183">
        <f ca="1">SUMPRODUCT(F1482:K1482,F1468:K1468)/L:L</f>
        <v>8.0000000000000002E-3</v>
      </c>
      <c r="N1482" s="166">
        <f t="shared" ca="1" si="221"/>
        <v>1.0080320855042735</v>
      </c>
      <c r="O1482" s="165">
        <f t="shared" ca="1" si="224"/>
        <v>1927.9273111495991</v>
      </c>
      <c r="P1482" s="165">
        <f t="shared" ca="1" si="222"/>
        <v>1943.4125881587768</v>
      </c>
    </row>
    <row r="1483" spans="1:16" s="165" customFormat="1" x14ac:dyDescent="0.3">
      <c r="A1483" s="165">
        <f>MATCH(Calcs!B1483,Paste_Report_Here!$1:$1,0) -1</f>
        <v>18</v>
      </c>
      <c r="B1483" s="165" t="s">
        <v>136</v>
      </c>
      <c r="C1483" s="166">
        <f t="shared" ca="1" si="223"/>
        <v>9</v>
      </c>
      <c r="D1483" s="166">
        <f ca="1">RANK(P1483,P1470:P1494)</f>
        <v>4</v>
      </c>
      <c r="E1483" s="189" t="s">
        <v>165</v>
      </c>
      <c r="F1483" s="179">
        <f ca="1">COUNTIFS(Paste_Report_Here!$E$1:$E$2000,E1464, OFFSET(Paste_Report_Here!$A$1,0,$A1483,2000,1),F$75)</f>
        <v>0</v>
      </c>
      <c r="G1483" s="180">
        <f ca="1">COUNTIFS(Paste_Report_Here!$E$1:$E$2000,E1464, OFFSET(Paste_Report_Here!$A$1,0,$A1483,2000,1),G$75)</f>
        <v>1</v>
      </c>
      <c r="H1483" s="180">
        <f ca="1">COUNTIFS(Paste_Report_Here!$E$1:$E$2000,E1464, OFFSET(Paste_Report_Here!$A$1,0,$A1483,2000,1),H$75)</f>
        <v>18</v>
      </c>
      <c r="I1483" s="180">
        <f ca="1">COUNTIFS(Paste_Report_Here!$E$1:$E$2000,E1464, OFFSET(Paste_Report_Here!$A$1,0,$A1483,2000,1),I$75)</f>
        <v>6</v>
      </c>
      <c r="J1483" s="180">
        <f ca="1">COUNTIFS(Paste_Report_Here!$E$1:$E$2000,E1464, OFFSET(Paste_Report_Here!$A$1,0,$A1483,2000,1),J$75)</f>
        <v>0</v>
      </c>
      <c r="K1483" s="181">
        <f ca="1">COUNTIFS(Paste_Report_Here!$E$1:$E$2000,E1464, OFFSET(Paste_Report_Here!$A$1,0,$A1483,2000,1),K$75)</f>
        <v>0</v>
      </c>
      <c r="L1483" s="166">
        <f t="shared" ca="1" si="220"/>
        <v>25</v>
      </c>
      <c r="M1483" s="183">
        <f ca="1">SUMPRODUCT(F1483:K1483,F1468:K1468)/L:L</f>
        <v>0</v>
      </c>
      <c r="N1483" s="166">
        <f t="shared" ca="1" si="221"/>
        <v>1</v>
      </c>
      <c r="O1483" s="165">
        <f t="shared" ca="1" si="224"/>
        <v>4159.507798056954</v>
      </c>
      <c r="P1483" s="165">
        <f t="shared" ca="1" si="222"/>
        <v>4159.507798056954</v>
      </c>
    </row>
    <row r="1484" spans="1:16" s="165" customFormat="1" x14ac:dyDescent="0.3">
      <c r="A1484" s="165">
        <f>MATCH(Calcs!B1484,Paste_Report_Here!$1:$1,0) -1</f>
        <v>19</v>
      </c>
      <c r="B1484" s="165" t="s">
        <v>137</v>
      </c>
      <c r="C1484" s="166">
        <f t="shared" ca="1" si="223"/>
        <v>9</v>
      </c>
      <c r="D1484" s="166">
        <f ca="1">RANK(P1484,P1470:P1494)</f>
        <v>13</v>
      </c>
      <c r="E1484" s="189" t="s">
        <v>166</v>
      </c>
      <c r="F1484" s="179">
        <f ca="1">COUNTIFS(Paste_Report_Here!$E$1:$E$2000,E1464, OFFSET(Paste_Report_Here!$A$1,0,$A1484,2000,1),F$75)</f>
        <v>0</v>
      </c>
      <c r="G1484" s="180">
        <f ca="1">COUNTIFS(Paste_Report_Here!$E$1:$E$2000,E1464, OFFSET(Paste_Report_Here!$A$1,0,$A1484,2000,1),G$75)</f>
        <v>1</v>
      </c>
      <c r="H1484" s="180">
        <f ca="1">COUNTIFS(Paste_Report_Here!$E$1:$E$2000,E1464, OFFSET(Paste_Report_Here!$A$1,0,$A1484,2000,1),H$75)</f>
        <v>17</v>
      </c>
      <c r="I1484" s="180">
        <f ca="1">COUNTIFS(Paste_Report_Here!$E$1:$E$2000,E1464, OFFSET(Paste_Report_Here!$A$1,0,$A1484,2000,1),I$75)</f>
        <v>7</v>
      </c>
      <c r="J1484" s="180">
        <f ca="1">COUNTIFS(Paste_Report_Here!$E$1:$E$2000,E1464, OFFSET(Paste_Report_Here!$A$1,0,$A1484,2000,1),J$75)</f>
        <v>0</v>
      </c>
      <c r="K1484" s="181">
        <f ca="1">COUNTIFS(Paste_Report_Here!$E$1:$E$2000,E1464, OFFSET(Paste_Report_Here!$A$1,0,$A1484,2000,1),K$75)</f>
        <v>0</v>
      </c>
      <c r="L1484" s="166">
        <f t="shared" ca="1" si="220"/>
        <v>25</v>
      </c>
      <c r="M1484" s="183">
        <f ca="1">SUMPRODUCT(F1484:K1484,F1468:K1468)/L:L</f>
        <v>0</v>
      </c>
      <c r="N1484" s="166">
        <f t="shared" ca="1" si="221"/>
        <v>1</v>
      </c>
      <c r="O1484" s="165">
        <f t="shared" ca="1" si="224"/>
        <v>2263.3700968892199</v>
      </c>
      <c r="P1484" s="165">
        <f t="shared" ca="1" si="222"/>
        <v>2263.3700968892199</v>
      </c>
    </row>
    <row r="1485" spans="1:16" s="165" customFormat="1" x14ac:dyDescent="0.3">
      <c r="A1485" s="165">
        <f>MATCH(Calcs!B1485,Paste_Report_Here!$1:$1,0) -1</f>
        <v>20</v>
      </c>
      <c r="B1485" s="165" t="s">
        <v>138</v>
      </c>
      <c r="C1485" s="166">
        <f t="shared" ca="1" si="223"/>
        <v>9</v>
      </c>
      <c r="D1485" s="166">
        <f ca="1">RANK(P1485,P1470:P1494)</f>
        <v>20</v>
      </c>
      <c r="E1485" s="189" t="s">
        <v>167</v>
      </c>
      <c r="F1485" s="179">
        <f ca="1">COUNTIFS(Paste_Report_Here!$E$1:$E$2000,E1464, OFFSET(Paste_Report_Here!$A$1,0,$A1485,2000,1),F$75)</f>
        <v>1</v>
      </c>
      <c r="G1485" s="180">
        <f ca="1">COUNTIFS(Paste_Report_Here!$E$1:$E$2000,E1464, OFFSET(Paste_Report_Here!$A$1,0,$A1485,2000,1),G$75)</f>
        <v>2</v>
      </c>
      <c r="H1485" s="180">
        <f ca="1">COUNTIFS(Paste_Report_Here!$E$1:$E$2000,E1464, OFFSET(Paste_Report_Here!$A$1,0,$A1485,2000,1),H$75)</f>
        <v>15</v>
      </c>
      <c r="I1485" s="180">
        <f ca="1">COUNTIFS(Paste_Report_Here!$E$1:$E$2000,E1464, OFFSET(Paste_Report_Here!$A$1,0,$A1485,2000,1),I$75)</f>
        <v>6</v>
      </c>
      <c r="J1485" s="180">
        <f ca="1">COUNTIFS(Paste_Report_Here!$E$1:$E$2000,E1464, OFFSET(Paste_Report_Here!$A$1,0,$A1485,2000,1),J$75)</f>
        <v>1</v>
      </c>
      <c r="K1485" s="181">
        <f ca="1">COUNTIFS(Paste_Report_Here!$E$1:$E$2000,E1464, OFFSET(Paste_Report_Here!$A$1,0,$A1485,2000,1),K$75)</f>
        <v>0</v>
      </c>
      <c r="L1485" s="166">
        <f t="shared" ca="1" si="220"/>
        <v>25</v>
      </c>
      <c r="M1485" s="183">
        <f ca="1">SUMPRODUCT(F1485:K1485,F1468:K1468)/L:L</f>
        <v>0</v>
      </c>
      <c r="N1485" s="166">
        <f t="shared" ca="1" si="221"/>
        <v>1</v>
      </c>
      <c r="O1485" s="165">
        <f t="shared" ca="1" si="224"/>
        <v>1917.0617940971867</v>
      </c>
      <c r="P1485" s="165">
        <f t="shared" ca="1" si="222"/>
        <v>1917.0617940971867</v>
      </c>
    </row>
    <row r="1486" spans="1:16" s="165" customFormat="1" x14ac:dyDescent="0.3">
      <c r="A1486" s="165">
        <f>MATCH(Calcs!B1486,Paste_Report_Here!$1:$1,0) -1</f>
        <v>21</v>
      </c>
      <c r="B1486" s="165" t="s">
        <v>139</v>
      </c>
      <c r="C1486" s="166">
        <f t="shared" ca="1" si="223"/>
        <v>9</v>
      </c>
      <c r="D1486" s="166">
        <f ca="1">RANK(P1486,P1470:P1494)</f>
        <v>18</v>
      </c>
      <c r="E1486" s="189" t="s">
        <v>168</v>
      </c>
      <c r="F1486" s="179">
        <f ca="1">COUNTIFS(Paste_Report_Here!$E$1:$E$2000,E1464, OFFSET(Paste_Report_Here!$A$1,0,$A1486,2000,1),F$75)</f>
        <v>0</v>
      </c>
      <c r="G1486" s="180">
        <f ca="1">COUNTIFS(Paste_Report_Here!$E$1:$E$2000,E1464, OFFSET(Paste_Report_Here!$A$1,0,$A1486,2000,1),G$75)</f>
        <v>2</v>
      </c>
      <c r="H1486" s="180">
        <f ca="1">COUNTIFS(Paste_Report_Here!$E$1:$E$2000,E1464, OFFSET(Paste_Report_Here!$A$1,0,$A1486,2000,1),H$75)</f>
        <v>18</v>
      </c>
      <c r="I1486" s="180">
        <f ca="1">COUNTIFS(Paste_Report_Here!$E$1:$E$2000,E1464, OFFSET(Paste_Report_Here!$A$1,0,$A1486,2000,1),I$75)</f>
        <v>5</v>
      </c>
      <c r="J1486" s="180">
        <f ca="1">COUNTIFS(Paste_Report_Here!$E$1:$E$2000,E1464, OFFSET(Paste_Report_Here!$A$1,0,$A1486,2000,1),J$75)</f>
        <v>0</v>
      </c>
      <c r="K1486" s="181">
        <f ca="1">COUNTIFS(Paste_Report_Here!$E$1:$E$2000,E1464, OFFSET(Paste_Report_Here!$A$1,0,$A1486,2000,1),K$75)</f>
        <v>0</v>
      </c>
      <c r="L1486" s="166">
        <f t="shared" ca="1" si="220"/>
        <v>25</v>
      </c>
      <c r="M1486" s="183">
        <f ca="1">SUMPRODUCT(F1486:K1486,F1468:K1468)/L:L</f>
        <v>0</v>
      </c>
      <c r="N1486" s="166">
        <f t="shared" ca="1" si="221"/>
        <v>1</v>
      </c>
      <c r="O1486" s="165">
        <f t="shared" ca="1" si="224"/>
        <v>1981.8965348735842</v>
      </c>
      <c r="P1486" s="165">
        <f t="shared" ca="1" si="222"/>
        <v>1981.8965348735842</v>
      </c>
    </row>
    <row r="1487" spans="1:16" s="165" customFormat="1" x14ac:dyDescent="0.3">
      <c r="A1487" s="165">
        <f>MATCH(Calcs!B1487,Paste_Report_Here!$1:$1,0) -1</f>
        <v>22</v>
      </c>
      <c r="B1487" s="165" t="s">
        <v>140</v>
      </c>
      <c r="C1487" s="166">
        <f t="shared" ca="1" si="223"/>
        <v>9</v>
      </c>
      <c r="D1487" s="166">
        <f ca="1">RANK(P1487,P1470:P1494)</f>
        <v>15</v>
      </c>
      <c r="E1487" s="189" t="s">
        <v>169</v>
      </c>
      <c r="F1487" s="179">
        <f ca="1">COUNTIFS(Paste_Report_Here!$E$1:$E$2000,E1464, OFFSET(Paste_Report_Here!$A$1,0,$A1487,2000,1),F$75)</f>
        <v>0</v>
      </c>
      <c r="G1487" s="180">
        <f ca="1">COUNTIFS(Paste_Report_Here!$E$1:$E$2000,E1464, OFFSET(Paste_Report_Here!$A$1,0,$A1487,2000,1),G$75)</f>
        <v>1</v>
      </c>
      <c r="H1487" s="180">
        <f ca="1">COUNTIFS(Paste_Report_Here!$E$1:$E$2000,E1464, OFFSET(Paste_Report_Here!$A$1,0,$A1487,2000,1),H$75)</f>
        <v>20</v>
      </c>
      <c r="I1487" s="180">
        <f ca="1">COUNTIFS(Paste_Report_Here!$E$1:$E$2000,E1464, OFFSET(Paste_Report_Here!$A$1,0,$A1487,2000,1),I$75)</f>
        <v>4</v>
      </c>
      <c r="J1487" s="180">
        <f ca="1">COUNTIFS(Paste_Report_Here!$E$1:$E$2000,E1464, OFFSET(Paste_Report_Here!$A$1,0,$A1487,2000,1),J$75)</f>
        <v>0</v>
      </c>
      <c r="K1487" s="181">
        <f ca="1">COUNTIFS(Paste_Report_Here!$E$1:$E$2000,E1464, OFFSET(Paste_Report_Here!$A$1,0,$A1487,2000,1),K$75)</f>
        <v>0</v>
      </c>
      <c r="L1487" s="166">
        <f t="shared" ca="1" si="220"/>
        <v>25</v>
      </c>
      <c r="M1487" s="183">
        <f ca="1">SUMPRODUCT(F1487:K1487,F1468:K1468)/L:L</f>
        <v>0</v>
      </c>
      <c r="N1487" s="166">
        <f t="shared" ca="1" si="221"/>
        <v>1</v>
      </c>
      <c r="O1487" s="165">
        <f t="shared" ca="1" si="224"/>
        <v>2133.1449078567584</v>
      </c>
      <c r="P1487" s="165">
        <f t="shared" ca="1" si="222"/>
        <v>2133.1449078567584</v>
      </c>
    </row>
    <row r="1488" spans="1:16" s="165" customFormat="1" x14ac:dyDescent="0.3">
      <c r="A1488" s="165">
        <f>MATCH(Calcs!B1488,Paste_Report_Here!$1:$1,0) -1</f>
        <v>23</v>
      </c>
      <c r="B1488" s="165" t="s">
        <v>186</v>
      </c>
      <c r="C1488" s="166">
        <f t="shared" ca="1" si="223"/>
        <v>9</v>
      </c>
      <c r="D1488" s="166">
        <f ca="1">RANK(P1488,P1470:P1494)</f>
        <v>3</v>
      </c>
      <c r="E1488" s="189" t="s">
        <v>180</v>
      </c>
      <c r="F1488" s="179">
        <f ca="1">COUNTIFS(Paste_Report_Here!$E$1:$E$2000,E1464, OFFSET(Paste_Report_Here!$A$1,0,$A1488,2000,1),F$75)</f>
        <v>0</v>
      </c>
      <c r="G1488" s="180">
        <f ca="1">COUNTIFS(Paste_Report_Here!$E$1:$E$2000,E1464, OFFSET(Paste_Report_Here!$A$1,0,$A1488,2000,1),G$75)</f>
        <v>2</v>
      </c>
      <c r="H1488" s="180">
        <f ca="1">COUNTIFS(Paste_Report_Here!$E$1:$E$2000,E1464, OFFSET(Paste_Report_Here!$A$1,0,$A1488,2000,1),H$75)</f>
        <v>18</v>
      </c>
      <c r="I1488" s="180">
        <f ca="1">COUNTIFS(Paste_Report_Here!$E$1:$E$2000,E1464, OFFSET(Paste_Report_Here!$A$1,0,$A1488,2000,1),I$75)</f>
        <v>5</v>
      </c>
      <c r="J1488" s="180">
        <f ca="1">COUNTIFS(Paste_Report_Here!$E$1:$E$2000,E1464, OFFSET(Paste_Report_Here!$A$1,0,$A1488,2000,1),J$75)</f>
        <v>0</v>
      </c>
      <c r="K1488" s="181">
        <f ca="1">COUNTIFS(Paste_Report_Here!$E$1:$E$2000,E1464, OFFSET(Paste_Report_Here!$A$1,0,$A1488,2000,1),K$75)</f>
        <v>0</v>
      </c>
      <c r="L1488" s="166">
        <f t="shared" ca="1" si="220"/>
        <v>25</v>
      </c>
      <c r="M1488" s="183">
        <f ca="1">SUMPRODUCT(F1488:K1488,F1468:K1468)/L:L</f>
        <v>0</v>
      </c>
      <c r="N1488" s="166">
        <f t="shared" ca="1" si="221"/>
        <v>1</v>
      </c>
      <c r="O1488" s="165">
        <f t="shared" ca="1" si="224"/>
        <v>4210.6299638928112</v>
      </c>
      <c r="P1488" s="165">
        <f t="shared" ca="1" si="222"/>
        <v>4210.6299638928112</v>
      </c>
    </row>
    <row r="1489" spans="1:16" s="165" customFormat="1" x14ac:dyDescent="0.3">
      <c r="A1489" s="165">
        <f>MATCH(Calcs!B1489,Paste_Report_Here!$1:$1,0) -1</f>
        <v>24</v>
      </c>
      <c r="B1489" s="165" t="s">
        <v>209</v>
      </c>
      <c r="C1489" s="166">
        <f t="shared" ca="1" si="223"/>
        <v>9</v>
      </c>
      <c r="D1489" s="166">
        <f ca="1">RANK(P1489,P1470:P1494)</f>
        <v>23</v>
      </c>
      <c r="E1489" s="202" t="s">
        <v>211</v>
      </c>
      <c r="F1489" s="179">
        <f ca="1">COUNTIFS(Paste_Report_Here!$E$1:$E$2000,E1464, OFFSET(Paste_Report_Here!$A$1,0,$A1489,2000,1),F$75)</f>
        <v>0</v>
      </c>
      <c r="G1489" s="180">
        <f ca="1">COUNTIFS(Paste_Report_Here!$E$1:$E$2000,E1464, OFFSET(Paste_Report_Here!$A$1,0,$A1489,2000,1),G$75)</f>
        <v>1</v>
      </c>
      <c r="H1489" s="180">
        <f ca="1">COUNTIFS(Paste_Report_Here!$E$1:$E$2000,E1464, OFFSET(Paste_Report_Here!$A$1,0,$A1489,2000,1),H$75)</f>
        <v>20</v>
      </c>
      <c r="I1489" s="180">
        <f ca="1">COUNTIFS(Paste_Report_Here!$E$1:$E$2000,E1464, OFFSET(Paste_Report_Here!$A$1,0,$A1489,2000,1),I$75)</f>
        <v>3</v>
      </c>
      <c r="J1489" s="180">
        <f ca="1">COUNTIFS(Paste_Report_Here!$E$1:$E$2000,E1464, OFFSET(Paste_Report_Here!$A$1,0,$A1489,2000,1),J$75)</f>
        <v>0</v>
      </c>
      <c r="K1489" s="181">
        <f ca="1">COUNTIFS(Paste_Report_Here!$E$1:$E$2000,E1464, OFFSET(Paste_Report_Here!$A$1,0,$A1489,2000,1),K$75)</f>
        <v>1</v>
      </c>
      <c r="L1489" s="166">
        <f t="shared" ca="1" si="220"/>
        <v>25</v>
      </c>
      <c r="M1489" s="183">
        <f ca="1">SUMPRODUCT(F1489:K1489,F1468:K1468)/L:L</f>
        <v>0</v>
      </c>
      <c r="N1489" s="166">
        <f t="shared" ca="1" si="221"/>
        <v>1</v>
      </c>
      <c r="O1489" s="165">
        <f t="shared" ca="1" si="224"/>
        <v>1241.8557755981556</v>
      </c>
      <c r="P1489" s="165">
        <f t="shared" ca="1" si="222"/>
        <v>1241.8557755981556</v>
      </c>
    </row>
    <row r="1490" spans="1:16" s="165" customFormat="1" x14ac:dyDescent="0.3">
      <c r="A1490" s="165">
        <f>MATCH(Calcs!B1490,Paste_Report_Here!$1:$1,0) -1</f>
        <v>25</v>
      </c>
      <c r="B1490" s="165" t="s">
        <v>141</v>
      </c>
      <c r="C1490" s="166">
        <f t="shared" ca="1" si="223"/>
        <v>23</v>
      </c>
      <c r="D1490" s="166">
        <f ca="1">RANK(P1490,P1470:P1494)</f>
        <v>22</v>
      </c>
      <c r="E1490" s="189" t="s">
        <v>170</v>
      </c>
      <c r="F1490" s="179">
        <f ca="1">COUNTIFS(Paste_Report_Here!$E$1:$E$2000,E1464, OFFSET(Paste_Report_Here!$A$1,0,$A1490,2000,1),F$75)</f>
        <v>1</v>
      </c>
      <c r="G1490" s="180">
        <f ca="1">COUNTIFS(Paste_Report_Here!$E$1:$E$2000,E1464, OFFSET(Paste_Report_Here!$A$1,0,$A1490,2000,1),G$75)</f>
        <v>1</v>
      </c>
      <c r="H1490" s="180">
        <f ca="1">COUNTIFS(Paste_Report_Here!$E$1:$E$2000,E1464, OFFSET(Paste_Report_Here!$A$1,0,$A1490,2000,1),H$75)</f>
        <v>16</v>
      </c>
      <c r="I1490" s="180">
        <f ca="1">COUNTIFS(Paste_Report_Here!$E$1:$E$2000,E1464, OFFSET(Paste_Report_Here!$A$1,0,$A1490,2000,1),I$75)</f>
        <v>7</v>
      </c>
      <c r="J1490" s="180">
        <f ca="1">COUNTIFS(Paste_Report_Here!$E$1:$E$2000,E1464, OFFSET(Paste_Report_Here!$A$1,0,$A1490,2000,1),J$75)</f>
        <v>0</v>
      </c>
      <c r="K1490" s="181">
        <f ca="1">COUNTIFS(Paste_Report_Here!$E$1:$E$2000,E1464, OFFSET(Paste_Report_Here!$A$1,0,$A1490,2000,1),K$75)</f>
        <v>0</v>
      </c>
      <c r="L1490" s="166">
        <f t="shared" ca="1" si="220"/>
        <v>25</v>
      </c>
      <c r="M1490" s="183">
        <f ca="1">SUMPRODUCT(F1490:K1490,F1468:K1468)/L:L</f>
        <v>-8.0000000000000002E-3</v>
      </c>
      <c r="N1490" s="166">
        <f t="shared" ca="1" si="221"/>
        <v>0.99203191483706066</v>
      </c>
      <c r="O1490" s="165">
        <f t="shared" ca="1" si="224"/>
        <v>1368.8193602848023</v>
      </c>
      <c r="P1490" s="165">
        <f t="shared" ca="1" si="222"/>
        <v>1357.9124910493729</v>
      </c>
    </row>
    <row r="1491" spans="1:16" s="165" customFormat="1" x14ac:dyDescent="0.3">
      <c r="A1491" s="165">
        <f>MATCH(Calcs!B1491,Paste_Report_Here!$1:$1,0) -1</f>
        <v>26</v>
      </c>
      <c r="B1491" s="165" t="s">
        <v>142</v>
      </c>
      <c r="C1491" s="166">
        <f t="shared" ca="1" si="223"/>
        <v>9</v>
      </c>
      <c r="D1491" s="166">
        <f ca="1">RANK(P1491,P1470:P1494)</f>
        <v>12</v>
      </c>
      <c r="E1491" s="189" t="s">
        <v>171</v>
      </c>
      <c r="F1491" s="179">
        <f ca="1">COUNTIFS(Paste_Report_Here!$E$1:$E$2000,E1464, OFFSET(Paste_Report_Here!$A$1,0,$A1491,2000,1),F$75)</f>
        <v>1</v>
      </c>
      <c r="G1491" s="180">
        <f ca="1">COUNTIFS(Paste_Report_Here!$E$1:$E$2000,E1464, OFFSET(Paste_Report_Here!$A$1,0,$A1491,2000,1),G$75)</f>
        <v>0</v>
      </c>
      <c r="H1491" s="180">
        <f ca="1">COUNTIFS(Paste_Report_Here!$E$1:$E$2000,E1464, OFFSET(Paste_Report_Here!$A$1,0,$A1491,2000,1),H$75)</f>
        <v>18</v>
      </c>
      <c r="I1491" s="180">
        <f ca="1">COUNTIFS(Paste_Report_Here!$E$1:$E$2000,E1464, OFFSET(Paste_Report_Here!$A$1,0,$A1491,2000,1),I$75)</f>
        <v>5</v>
      </c>
      <c r="J1491" s="180">
        <f ca="1">COUNTIFS(Paste_Report_Here!$E$1:$E$2000,E1464, OFFSET(Paste_Report_Here!$A$1,0,$A1491,2000,1),J$75)</f>
        <v>1</v>
      </c>
      <c r="K1491" s="181">
        <f ca="1">COUNTIFS(Paste_Report_Here!$E$1:$E$2000,E1464, OFFSET(Paste_Report_Here!$A$1,0,$A1491,2000,1),K$75)</f>
        <v>0</v>
      </c>
      <c r="L1491" s="166">
        <f t="shared" ca="1" si="220"/>
        <v>25</v>
      </c>
      <c r="M1491" s="183">
        <f ca="1">SUMPRODUCT(F1491:K1491,F1468:K1468)/L:L</f>
        <v>0</v>
      </c>
      <c r="N1491" s="166">
        <f t="shared" ca="1" si="221"/>
        <v>1</v>
      </c>
      <c r="O1491" s="165">
        <f t="shared" ca="1" si="224"/>
        <v>2297.5923254871987</v>
      </c>
      <c r="P1491" s="165">
        <f t="shared" ca="1" si="222"/>
        <v>2297.5923254871987</v>
      </c>
    </row>
    <row r="1492" spans="1:16" s="165" customFormat="1" x14ac:dyDescent="0.3">
      <c r="A1492" s="165">
        <f>MATCH(Calcs!B1492,Paste_Report_Here!$1:$1,0) -1</f>
        <v>27</v>
      </c>
      <c r="B1492" s="165" t="s">
        <v>210</v>
      </c>
      <c r="C1492" s="166">
        <f t="shared" ca="1" si="223"/>
        <v>9</v>
      </c>
      <c r="D1492" s="166">
        <f ca="1">RANK(P1492,P1470:P1494)</f>
        <v>25</v>
      </c>
      <c r="E1492" s="202" t="s">
        <v>212</v>
      </c>
      <c r="F1492" s="179">
        <f ca="1">COUNTIFS(Paste_Report_Here!$E$1:$E$2000,E1464, OFFSET(Paste_Report_Here!$A$1,0,$A1492,2000,1),F$75)</f>
        <v>0</v>
      </c>
      <c r="G1492" s="180">
        <f ca="1">COUNTIFS(Paste_Report_Here!$E$1:$E$2000,E1464, OFFSET(Paste_Report_Here!$A$1,0,$A1492,2000,1),G$75)</f>
        <v>1</v>
      </c>
      <c r="H1492" s="180">
        <f ca="1">COUNTIFS(Paste_Report_Here!$E$1:$E$2000,E1464, OFFSET(Paste_Report_Here!$A$1,0,$A1492,2000,1),H$75)</f>
        <v>20</v>
      </c>
      <c r="I1492" s="180">
        <f ca="1">COUNTIFS(Paste_Report_Here!$E$1:$E$2000,E1464, OFFSET(Paste_Report_Here!$A$1,0,$A1492,2000,1),I$75)</f>
        <v>4</v>
      </c>
      <c r="J1492" s="180">
        <f ca="1">COUNTIFS(Paste_Report_Here!$E$1:$E$2000,E1464, OFFSET(Paste_Report_Here!$A$1,0,$A1492,2000,1),J$75)</f>
        <v>0</v>
      </c>
      <c r="K1492" s="181">
        <f ca="1">COUNTIFS(Paste_Report_Here!$E$1:$E$2000,E1464, OFFSET(Paste_Report_Here!$A$1,0,$A1492,2000,1),K$75)</f>
        <v>0</v>
      </c>
      <c r="L1492" s="166">
        <f t="shared" ca="1" si="220"/>
        <v>25</v>
      </c>
      <c r="M1492" s="183">
        <f ca="1">SUMPRODUCT(F1492:K1492,F1468:K1468)/L:L</f>
        <v>0</v>
      </c>
      <c r="N1492" s="166">
        <f t="shared" ca="1" si="221"/>
        <v>1</v>
      </c>
      <c r="O1492" s="165">
        <f t="shared" ca="1" si="224"/>
        <v>1143.6699917353874</v>
      </c>
      <c r="P1492" s="165">
        <f t="shared" ca="1" si="222"/>
        <v>1143.6699917353874</v>
      </c>
    </row>
    <row r="1493" spans="1:16" s="165" customFormat="1" x14ac:dyDescent="0.3">
      <c r="A1493" s="165">
        <f>MATCH(Calcs!B1493,Paste_Report_Here!$1:$1,0) -1</f>
        <v>28</v>
      </c>
      <c r="B1493" s="165" t="s">
        <v>143</v>
      </c>
      <c r="C1493" s="166">
        <f t="shared" ca="1" si="223"/>
        <v>1</v>
      </c>
      <c r="D1493" s="166">
        <f ca="1">RANK(P1493,P1470:P1494)</f>
        <v>1</v>
      </c>
      <c r="E1493" s="189" t="s">
        <v>172</v>
      </c>
      <c r="F1493" s="179">
        <f ca="1">COUNTIFS(Paste_Report_Here!$E$1:$E$2000,E1464, OFFSET(Paste_Report_Here!$A$1,0,$A1493,2000,1),F$75)</f>
        <v>0</v>
      </c>
      <c r="G1493" s="180">
        <f ca="1">COUNTIFS(Paste_Report_Here!$E$1:$E$2000,E1464, OFFSET(Paste_Report_Here!$A$1,0,$A1493,2000,1),G$75)</f>
        <v>2</v>
      </c>
      <c r="H1493" s="180">
        <f ca="1">COUNTIFS(Paste_Report_Here!$E$1:$E$2000,E1464, OFFSET(Paste_Report_Here!$A$1,0,$A1493,2000,1),H$75)</f>
        <v>16</v>
      </c>
      <c r="I1493" s="180">
        <f ca="1">COUNTIFS(Paste_Report_Here!$E$1:$E$2000,E1464, OFFSET(Paste_Report_Here!$A$1,0,$A1493,2000,1),I$75)</f>
        <v>5</v>
      </c>
      <c r="J1493" s="180">
        <f ca="1">COUNTIFS(Paste_Report_Here!$E$1:$E$2000,E1464, OFFSET(Paste_Report_Here!$A$1,0,$A1493,2000,1),J$75)</f>
        <v>2</v>
      </c>
      <c r="K1493" s="181">
        <f ca="1">COUNTIFS(Paste_Report_Here!$E$1:$E$2000,E1464, OFFSET(Paste_Report_Here!$A$1,0,$A1493,2000,1),K$75)</f>
        <v>0</v>
      </c>
      <c r="L1493" s="166">
        <f t="shared" ca="1" si="220"/>
        <v>25</v>
      </c>
      <c r="M1493" s="183">
        <f ca="1">SUMPRODUCT(F1493:K1493,F1468:K1468)/L:L</f>
        <v>1.6E-2</v>
      </c>
      <c r="N1493" s="166">
        <f t="shared" ca="1" si="221"/>
        <v>1.0161286854060949</v>
      </c>
      <c r="O1493" s="165">
        <f t="shared" ca="1" si="224"/>
        <v>9624.0182276318337</v>
      </c>
      <c r="P1493" s="165">
        <f t="shared" ca="1" si="222"/>
        <v>9779.2409899678314</v>
      </c>
    </row>
    <row r="1494" spans="1:16" s="165" customFormat="1" x14ac:dyDescent="0.3">
      <c r="A1494" s="165">
        <f>MATCH(Calcs!B1494,Paste_Report_Here!$1:$1,0) -1</f>
        <v>29</v>
      </c>
      <c r="B1494" s="187" t="s">
        <v>144</v>
      </c>
      <c r="C1494" s="147">
        <f t="shared" ca="1" si="223"/>
        <v>9</v>
      </c>
      <c r="D1494" s="147">
        <f ca="1">RANK(P1494,P1470:P1494)</f>
        <v>11</v>
      </c>
      <c r="E1494" s="145" t="s">
        <v>173</v>
      </c>
      <c r="F1494" s="146">
        <f ca="1">COUNTIFS(Paste_Report_Here!$E$1:$E$2000,E1464, OFFSET(Paste_Report_Here!$A$1,0,$A1494,2000,1),F$75)</f>
        <v>0</v>
      </c>
      <c r="G1494" s="147">
        <f ca="1">COUNTIFS(Paste_Report_Here!$E$1:$E$2000,E1464, OFFSET(Paste_Report_Here!$A$1,0,$A1494,2000,1),G$75)</f>
        <v>2</v>
      </c>
      <c r="H1494" s="147">
        <f ca="1">COUNTIFS(Paste_Report_Here!$E$1:$E$2000,E1464, OFFSET(Paste_Report_Here!$A$1,0,$A1494,2000,1),H$75)</f>
        <v>19</v>
      </c>
      <c r="I1494" s="147">
        <f ca="1">COUNTIFS(Paste_Report_Here!$E$1:$E$2000,E1464, OFFSET(Paste_Report_Here!$A$1,0,$A1494,2000,1),I$75)</f>
        <v>4</v>
      </c>
      <c r="J1494" s="147">
        <f ca="1">COUNTIFS(Paste_Report_Here!$E$1:$E$2000,E1464, OFFSET(Paste_Report_Here!$A$1,0,$A1494,2000,1),J$75)</f>
        <v>0</v>
      </c>
      <c r="K1494" s="148">
        <f ca="1">COUNTIFS(Paste_Report_Here!$E$1:$E$2000,E1464, OFFSET(Paste_Report_Here!$A$1,0,$A1494,2000,1),K$75)</f>
        <v>0</v>
      </c>
      <c r="L1494" s="147">
        <f t="shared" ca="1" si="220"/>
        <v>25</v>
      </c>
      <c r="M1494" s="149">
        <f ca="1">SUMPRODUCT(F1494:K1494,F1468:K1468)/L:L</f>
        <v>0</v>
      </c>
      <c r="N1494" s="147">
        <f t="shared" ca="1" si="221"/>
        <v>1</v>
      </c>
      <c r="O1494" s="187">
        <f t="shared" ca="1" si="224"/>
        <v>2373.8949567469472</v>
      </c>
      <c r="P1494" s="165">
        <f t="shared" ca="1" si="222"/>
        <v>2373.8949567469472</v>
      </c>
    </row>
    <row r="1495" spans="1:16" s="165" customFormat="1" x14ac:dyDescent="0.3">
      <c r="C1495" s="166"/>
      <c r="E1495" s="140" t="s">
        <v>293</v>
      </c>
      <c r="F1495" s="180">
        <f ca="1">SUM(F1470:F1494)</f>
        <v>8</v>
      </c>
      <c r="G1495" s="180">
        <f t="shared" ref="G1495:L1495" ca="1" si="225">SUM(G1470:G1494)</f>
        <v>40</v>
      </c>
      <c r="H1495" s="180">
        <f t="shared" ca="1" si="225"/>
        <v>443</v>
      </c>
      <c r="I1495" s="180">
        <f t="shared" ca="1" si="225"/>
        <v>117</v>
      </c>
      <c r="J1495" s="180">
        <f t="shared" ca="1" si="225"/>
        <v>16</v>
      </c>
      <c r="K1495" s="180">
        <f t="shared" ca="1" si="225"/>
        <v>1</v>
      </c>
      <c r="L1495" s="180">
        <f t="shared" ca="1" si="225"/>
        <v>625</v>
      </c>
      <c r="M1495" s="144">
        <f ca="1">SUMPRODUCT(F1495:K1495,F1468:K1468)/L1495</f>
        <v>2.5600000000000002E-3</v>
      </c>
      <c r="N1495" s="166">
        <f t="shared" ca="1" si="221"/>
        <v>1.0025632795979931</v>
      </c>
      <c r="O1495" s="165">
        <f t="shared" ca="1" si="224"/>
        <v>2742.3738514915367</v>
      </c>
      <c r="P1495" s="165">
        <f t="shared" ca="1" si="222"/>
        <v>2749.4033224351347</v>
      </c>
    </row>
    <row r="1496" spans="1:16" s="165" customFormat="1" x14ac:dyDescent="0.3">
      <c r="A1496" s="194"/>
      <c r="B1496" s="194"/>
      <c r="C1496" s="153"/>
      <c r="D1496" s="194"/>
      <c r="E1496" s="164"/>
      <c r="F1496" s="151"/>
      <c r="G1496" s="151"/>
      <c r="H1496" s="151"/>
      <c r="I1496" s="151"/>
      <c r="J1496" s="151"/>
      <c r="K1496" s="151"/>
      <c r="L1496" s="151"/>
      <c r="M1496" s="162"/>
      <c r="N1496" s="153"/>
      <c r="O1496" s="194"/>
      <c r="P1496" s="194"/>
    </row>
    <row r="1497" spans="1:16" s="165" customFormat="1" x14ac:dyDescent="0.3">
      <c r="E1497" s="173" t="s">
        <v>292</v>
      </c>
    </row>
    <row r="1498" spans="1:16" s="165" customFormat="1" x14ac:dyDescent="0.3">
      <c r="E1498" s="141">
        <v>41881</v>
      </c>
    </row>
    <row r="1499" spans="1:16" s="165" customFormat="1" ht="15" thickBot="1" x14ac:dyDescent="0.35"/>
    <row r="1500" spans="1:16" s="165" customFormat="1" ht="24.6" thickBot="1" x14ac:dyDescent="0.35">
      <c r="F1500" s="174" t="s">
        <v>23</v>
      </c>
      <c r="G1500" s="168" t="s">
        <v>18</v>
      </c>
      <c r="H1500" s="168" t="s">
        <v>16</v>
      </c>
      <c r="I1500" s="168" t="s">
        <v>17</v>
      </c>
      <c r="J1500" s="168" t="s">
        <v>19</v>
      </c>
      <c r="K1500" s="169" t="s">
        <v>114</v>
      </c>
    </row>
    <row r="1501" spans="1:16" s="165" customFormat="1" x14ac:dyDescent="0.3">
      <c r="F1501" s="267" t="s">
        <v>201</v>
      </c>
      <c r="G1501" s="268"/>
      <c r="H1501" s="268"/>
      <c r="I1501" s="268"/>
      <c r="J1501" s="268"/>
      <c r="K1501" s="169"/>
      <c r="M1501" s="203">
        <f ca="1">(H1529+K1529)/L1529</f>
        <v>0.7153846153846154</v>
      </c>
      <c r="N1501" s="204" t="s">
        <v>501</v>
      </c>
    </row>
    <row r="1502" spans="1:16" s="165" customFormat="1" ht="43.8" thickBot="1" x14ac:dyDescent="0.35">
      <c r="A1502" s="142" t="s">
        <v>294</v>
      </c>
      <c r="B1502" s="142" t="s">
        <v>295</v>
      </c>
      <c r="C1502" s="197" t="s">
        <v>440</v>
      </c>
      <c r="D1502" s="142" t="s">
        <v>441</v>
      </c>
      <c r="E1502" s="171" t="s">
        <v>30</v>
      </c>
      <c r="F1502" s="175">
        <f>Falling_fast</f>
        <v>-0.2</v>
      </c>
      <c r="G1502" s="176">
        <f>Falling</f>
        <v>0</v>
      </c>
      <c r="H1502" s="177">
        <f>Static</f>
        <v>0</v>
      </c>
      <c r="I1502" s="176">
        <f>Rising</f>
        <v>0</v>
      </c>
      <c r="J1502" s="178">
        <f>Rising_fast</f>
        <v>0.2</v>
      </c>
      <c r="K1502" s="182">
        <v>0</v>
      </c>
      <c r="L1502" s="171" t="s">
        <v>28</v>
      </c>
      <c r="M1502" s="172" t="s">
        <v>29</v>
      </c>
      <c r="N1502" s="143" t="s">
        <v>296</v>
      </c>
      <c r="O1502" s="142" t="s">
        <v>297</v>
      </c>
      <c r="P1502" s="142" t="s">
        <v>298</v>
      </c>
    </row>
    <row r="1503" spans="1:16" s="165" customFormat="1" x14ac:dyDescent="0.3">
      <c r="C1503" s="166"/>
      <c r="E1503" s="192"/>
      <c r="F1503" s="198" t="s">
        <v>151</v>
      </c>
      <c r="G1503" s="199" t="s">
        <v>149</v>
      </c>
      <c r="H1503" s="199" t="s">
        <v>16</v>
      </c>
      <c r="I1503" s="199" t="s">
        <v>148</v>
      </c>
      <c r="J1503" s="199" t="s">
        <v>150</v>
      </c>
      <c r="K1503" s="200" t="s">
        <v>114</v>
      </c>
      <c r="L1503" s="166"/>
      <c r="M1503" s="170"/>
      <c r="N1503" s="166"/>
    </row>
    <row r="1504" spans="1:16" s="165" customFormat="1" x14ac:dyDescent="0.3">
      <c r="A1504" s="165">
        <f>MATCH(Calcs!B1504,Paste_Report_Here!$1:$1,0) -1</f>
        <v>5</v>
      </c>
      <c r="B1504" s="165" t="s">
        <v>124</v>
      </c>
      <c r="C1504" s="166">
        <f ca="1">RANK(N1504,N1504:N1528)</f>
        <v>1</v>
      </c>
      <c r="D1504" s="166">
        <f ca="1">RANK(P1504,P1504:P1528)</f>
        <v>17</v>
      </c>
      <c r="E1504" s="189" t="s">
        <v>152</v>
      </c>
      <c r="F1504" s="179">
        <f ca="1">COUNTIFS(Paste_Report_Here!$E$1:$E$2000,E1498, OFFSET(Paste_Report_Here!$A$1,0,$A1504,2000,1),F$75)</f>
        <v>0</v>
      </c>
      <c r="G1504" s="180">
        <f ca="1">COUNTIFS(Paste_Report_Here!$E$1:$E$2000,E1498, OFFSET(Paste_Report_Here!$A$1,0,$A1504,2000,1),G$75)</f>
        <v>1</v>
      </c>
      <c r="H1504" s="180">
        <f ca="1">COUNTIFS(Paste_Report_Here!$E$1:$E$2000,E1498, OFFSET(Paste_Report_Here!$A$1,0,$A1504,2000,1),H$75)</f>
        <v>19</v>
      </c>
      <c r="I1504" s="180">
        <f ca="1">COUNTIFS(Paste_Report_Here!$E$1:$E$2000,E1498, OFFSET(Paste_Report_Here!$A$1,0,$A1504,2000,1),I$75)</f>
        <v>4</v>
      </c>
      <c r="J1504" s="180">
        <f ca="1">COUNTIFS(Paste_Report_Here!$E$1:$E$2000,E1498, OFFSET(Paste_Report_Here!$A$1,0,$A1504,2000,1),J$75)</f>
        <v>2</v>
      </c>
      <c r="K1504" s="181">
        <f ca="1">COUNTIFS(Paste_Report_Here!$E$1:$E$2000,E1498, OFFSET(Paste_Report_Here!$A$1,0,$A1504,2000,1),K$75)</f>
        <v>0</v>
      </c>
      <c r="L1504" s="166">
        <f t="shared" ref="L1504:L1528" ca="1" si="226">SUM(F1504:K1504)</f>
        <v>26</v>
      </c>
      <c r="M1504" s="183">
        <f ca="1">SUMPRODUCT(F1504:K1504,F1502:K1502)/L:L</f>
        <v>1.5384615384615385E-2</v>
      </c>
      <c r="N1504" s="166">
        <f t="shared" ref="N1504:N1529" ca="1" si="227">EXP(M1504)</f>
        <v>1.0155035678094484</v>
      </c>
      <c r="O1504" s="165">
        <f ca="1">P1470</f>
        <v>2082.653443747859</v>
      </c>
      <c r="P1504" s="165">
        <f t="shared" ref="P1504:P1529" ca="1" si="228">O1504*N1504</f>
        <v>2114.9420026365851</v>
      </c>
    </row>
    <row r="1505" spans="1:16" s="165" customFormat="1" x14ac:dyDescent="0.3">
      <c r="A1505" s="165">
        <f>MATCH(Calcs!B1505,Paste_Report_Here!$1:$1,0) -1</f>
        <v>6</v>
      </c>
      <c r="B1505" s="165" t="s">
        <v>125</v>
      </c>
      <c r="C1505" s="166">
        <f ca="1">RANK(N1505,N1504:N1528)</f>
        <v>7</v>
      </c>
      <c r="D1505" s="166">
        <f ca="1">RANK(P1505,P1504:P1528)</f>
        <v>16</v>
      </c>
      <c r="E1505" s="189" t="s">
        <v>153</v>
      </c>
      <c r="F1505" s="179">
        <f ca="1">COUNTIFS(Paste_Report_Here!$E$1:$E$2000,E1498, OFFSET(Paste_Report_Here!$A$1,0,$A1505,2000,1),F$75)</f>
        <v>0</v>
      </c>
      <c r="G1505" s="180">
        <f ca="1">COUNTIFS(Paste_Report_Here!$E$1:$E$2000,E1498, OFFSET(Paste_Report_Here!$A$1,0,$A1505,2000,1),G$75)</f>
        <v>1</v>
      </c>
      <c r="H1505" s="180">
        <f ca="1">COUNTIFS(Paste_Report_Here!$E$1:$E$2000,E1498, OFFSET(Paste_Report_Here!$A$1,0,$A1505,2000,1),H$75)</f>
        <v>20</v>
      </c>
      <c r="I1505" s="180">
        <f ca="1">COUNTIFS(Paste_Report_Here!$E$1:$E$2000,E1498, OFFSET(Paste_Report_Here!$A$1,0,$A1505,2000,1),I$75)</f>
        <v>5</v>
      </c>
      <c r="J1505" s="180">
        <f ca="1">COUNTIFS(Paste_Report_Here!$E$1:$E$2000,E1498, OFFSET(Paste_Report_Here!$A$1,0,$A1505,2000,1),J$75)</f>
        <v>0</v>
      </c>
      <c r="K1505" s="181">
        <f ca="1">COUNTIFS(Paste_Report_Here!$E$1:$E$2000,E1498, OFFSET(Paste_Report_Here!$A$1,0,$A1505,2000,1),K$75)</f>
        <v>0</v>
      </c>
      <c r="L1505" s="166">
        <f t="shared" ca="1" si="226"/>
        <v>26</v>
      </c>
      <c r="M1505" s="183">
        <f ca="1">SUMPRODUCT(F1505:K1505,F1502:K1502)/L:L</f>
        <v>0</v>
      </c>
      <c r="N1505" s="166">
        <f t="shared" ca="1" si="227"/>
        <v>1</v>
      </c>
      <c r="O1505" s="165">
        <f t="shared" ref="O1505:O1529" ca="1" si="229">P1471</f>
        <v>2121.0308107622359</v>
      </c>
      <c r="P1505" s="165">
        <f t="shared" ca="1" si="228"/>
        <v>2121.0308107622359</v>
      </c>
    </row>
    <row r="1506" spans="1:16" s="165" customFormat="1" x14ac:dyDescent="0.3">
      <c r="A1506" s="165">
        <f>MATCH(Calcs!B1506,Paste_Report_Here!$1:$1,0) -1</f>
        <v>7</v>
      </c>
      <c r="B1506" s="165" t="s">
        <v>126</v>
      </c>
      <c r="C1506" s="166">
        <f ca="1">RANK(N1506,N1504:N1528)</f>
        <v>25</v>
      </c>
      <c r="D1506" s="166">
        <f ca="1">RANK(P1506,P1504:P1528)</f>
        <v>8</v>
      </c>
      <c r="E1506" s="189" t="s">
        <v>154</v>
      </c>
      <c r="F1506" s="179">
        <f ca="1">COUNTIFS(Paste_Report_Here!$E$1:$E$2000,E1498, OFFSET(Paste_Report_Here!$A$1,0,$A1506,2000,1),F$75)</f>
        <v>2</v>
      </c>
      <c r="G1506" s="180">
        <f ca="1">COUNTIFS(Paste_Report_Here!$E$1:$E$2000,E1498, OFFSET(Paste_Report_Here!$A$1,0,$A1506,2000,1),G$75)</f>
        <v>3</v>
      </c>
      <c r="H1506" s="180">
        <f ca="1">COUNTIFS(Paste_Report_Here!$E$1:$E$2000,E1498, OFFSET(Paste_Report_Here!$A$1,0,$A1506,2000,1),H$75)</f>
        <v>15</v>
      </c>
      <c r="I1506" s="180">
        <f ca="1">COUNTIFS(Paste_Report_Here!$E$1:$E$2000,E1498, OFFSET(Paste_Report_Here!$A$1,0,$A1506,2000,1),I$75)</f>
        <v>6</v>
      </c>
      <c r="J1506" s="180">
        <f ca="1">COUNTIFS(Paste_Report_Here!$E$1:$E$2000,E1498, OFFSET(Paste_Report_Here!$A$1,0,$A1506,2000,1),J$75)</f>
        <v>0</v>
      </c>
      <c r="K1506" s="181">
        <f ca="1">COUNTIFS(Paste_Report_Here!$E$1:$E$2000,E1498, OFFSET(Paste_Report_Here!$A$1,0,$A1506,2000,1),K$75)</f>
        <v>0</v>
      </c>
      <c r="L1506" s="166">
        <f t="shared" ca="1" si="226"/>
        <v>26</v>
      </c>
      <c r="M1506" s="183">
        <f ca="1">SUMPRODUCT(F1506:K1506,F1502:K1502)/L:L</f>
        <v>-1.5384615384615385E-2</v>
      </c>
      <c r="N1506" s="166">
        <f t="shared" ca="1" si="227"/>
        <v>0.98473312324949158</v>
      </c>
      <c r="O1506" s="165">
        <f t="shared" ca="1" si="229"/>
        <v>2738.1787660639311</v>
      </c>
      <c r="P1506" s="165">
        <f t="shared" ca="1" si="228"/>
        <v>2696.3753283215738</v>
      </c>
    </row>
    <row r="1507" spans="1:16" s="165" customFormat="1" x14ac:dyDescent="0.3">
      <c r="A1507" s="165">
        <f>MATCH(Calcs!B1507,Paste_Report_Here!$1:$1,0) -1</f>
        <v>8</v>
      </c>
      <c r="B1507" s="165" t="s">
        <v>127</v>
      </c>
      <c r="C1507" s="166">
        <f ca="1">RANK(N1507,N1504:N1528)</f>
        <v>7</v>
      </c>
      <c r="D1507" s="166">
        <f ca="1">RANK(P1507,P1504:P1528)</f>
        <v>7</v>
      </c>
      <c r="E1507" s="189" t="s">
        <v>155</v>
      </c>
      <c r="F1507" s="179">
        <f ca="1">COUNTIFS(Paste_Report_Here!$E$1:$E$2000,E1498, OFFSET(Paste_Report_Here!$A$1,0,$A1507,2000,1),F$75)</f>
        <v>0</v>
      </c>
      <c r="G1507" s="180">
        <f ca="1">COUNTIFS(Paste_Report_Here!$E$1:$E$2000,E1498, OFFSET(Paste_Report_Here!$A$1,0,$A1507,2000,1),G$75)</f>
        <v>1</v>
      </c>
      <c r="H1507" s="180">
        <f ca="1">COUNTIFS(Paste_Report_Here!$E$1:$E$2000,E1498, OFFSET(Paste_Report_Here!$A$1,0,$A1507,2000,1),H$75)</f>
        <v>16</v>
      </c>
      <c r="I1507" s="180">
        <f ca="1">COUNTIFS(Paste_Report_Here!$E$1:$E$2000,E1498, OFFSET(Paste_Report_Here!$A$1,0,$A1507,2000,1),I$75)</f>
        <v>9</v>
      </c>
      <c r="J1507" s="180">
        <f ca="1">COUNTIFS(Paste_Report_Here!$E$1:$E$2000,E1498, OFFSET(Paste_Report_Here!$A$1,0,$A1507,2000,1),J$75)</f>
        <v>0</v>
      </c>
      <c r="K1507" s="181">
        <f ca="1">COUNTIFS(Paste_Report_Here!$E$1:$E$2000,E1498, OFFSET(Paste_Report_Here!$A$1,0,$A1507,2000,1),K$75)</f>
        <v>0</v>
      </c>
      <c r="L1507" s="166">
        <f t="shared" ca="1" si="226"/>
        <v>26</v>
      </c>
      <c r="M1507" s="183">
        <f ca="1">SUMPRODUCT(F1507:K1507,F1502:K1502)/L:L</f>
        <v>0</v>
      </c>
      <c r="N1507" s="166">
        <f t="shared" ca="1" si="227"/>
        <v>1</v>
      </c>
      <c r="O1507" s="165">
        <f t="shared" ca="1" si="229"/>
        <v>2986.6878137307476</v>
      </c>
      <c r="P1507" s="165">
        <f t="shared" ca="1" si="228"/>
        <v>2986.6878137307476</v>
      </c>
    </row>
    <row r="1508" spans="1:16" s="165" customFormat="1" x14ac:dyDescent="0.3">
      <c r="A1508" s="165">
        <f>MATCH(Calcs!B1508,Paste_Report_Here!$1:$1,0) -1</f>
        <v>9</v>
      </c>
      <c r="B1508" s="165" t="s">
        <v>214</v>
      </c>
      <c r="C1508" s="166">
        <f ca="1">RANK(N1508,N1504:N1528)</f>
        <v>7</v>
      </c>
      <c r="D1508" s="166">
        <f ca="1">RANK(P1508,P1504:P1528)</f>
        <v>5</v>
      </c>
      <c r="E1508" s="189" t="s">
        <v>156</v>
      </c>
      <c r="F1508" s="179">
        <f ca="1">COUNTIFS(Paste_Report_Here!$E$1:$E$2000,E1498, OFFSET(Paste_Report_Here!$A$1,0,$A1508,2000,1),F$75)</f>
        <v>0</v>
      </c>
      <c r="G1508" s="180">
        <f ca="1">COUNTIFS(Paste_Report_Here!$E$1:$E$2000,E1498, OFFSET(Paste_Report_Here!$A$1,0,$A1508,2000,1),G$75)</f>
        <v>4</v>
      </c>
      <c r="H1508" s="180">
        <f ca="1">COUNTIFS(Paste_Report_Here!$E$1:$E$2000,E1498, OFFSET(Paste_Report_Here!$A$1,0,$A1508,2000,1),H$75)</f>
        <v>15</v>
      </c>
      <c r="I1508" s="180">
        <f ca="1">COUNTIFS(Paste_Report_Here!$E$1:$E$2000,E1498, OFFSET(Paste_Report_Here!$A$1,0,$A1508,2000,1),I$75)</f>
        <v>7</v>
      </c>
      <c r="J1508" s="180">
        <f ca="1">COUNTIFS(Paste_Report_Here!$E$1:$E$2000,E1498, OFFSET(Paste_Report_Here!$A$1,0,$A1508,2000,1),J$75)</f>
        <v>0</v>
      </c>
      <c r="K1508" s="181">
        <f ca="1">COUNTIFS(Paste_Report_Here!$E$1:$E$2000,E1498, OFFSET(Paste_Report_Here!$A$1,0,$A1508,2000,1),K$75)</f>
        <v>0</v>
      </c>
      <c r="L1508" s="166">
        <f t="shared" ca="1" si="226"/>
        <v>26</v>
      </c>
      <c r="M1508" s="183">
        <f ca="1">SUMPRODUCT(F1508:K1508,F1502:K1502)/L:L</f>
        <v>0</v>
      </c>
      <c r="N1508" s="166">
        <f t="shared" ca="1" si="227"/>
        <v>1</v>
      </c>
      <c r="O1508" s="165">
        <f t="shared" ca="1" si="229"/>
        <v>3965.1366539302758</v>
      </c>
      <c r="P1508" s="165">
        <f t="shared" ca="1" si="228"/>
        <v>3965.1366539302758</v>
      </c>
    </row>
    <row r="1509" spans="1:16" s="165" customFormat="1" x14ac:dyDescent="0.3">
      <c r="A1509" s="165">
        <f>MATCH(Calcs!B1509,Paste_Report_Here!$1:$1,0) -1</f>
        <v>10</v>
      </c>
      <c r="B1509" s="165" t="s">
        <v>128</v>
      </c>
      <c r="C1509" s="166">
        <f ca="1">RANK(N1509,N1504:N1528)</f>
        <v>18</v>
      </c>
      <c r="D1509" s="166">
        <f ca="1">RANK(P1509,P1504:P1528)</f>
        <v>21</v>
      </c>
      <c r="E1509" s="189" t="s">
        <v>157</v>
      </c>
      <c r="F1509" s="179">
        <f ca="1">COUNTIFS(Paste_Report_Here!$E$1:$E$2000,E1498, OFFSET(Paste_Report_Here!$A$1,0,$A1509,2000,1),F$75)</f>
        <v>1</v>
      </c>
      <c r="G1509" s="180">
        <f ca="1">COUNTIFS(Paste_Report_Here!$E$1:$E$2000,E1498, OFFSET(Paste_Report_Here!$A$1,0,$A1509,2000,1),G$75)</f>
        <v>1</v>
      </c>
      <c r="H1509" s="180">
        <f ca="1">COUNTIFS(Paste_Report_Here!$E$1:$E$2000,E1498, OFFSET(Paste_Report_Here!$A$1,0,$A1509,2000,1),H$75)</f>
        <v>21</v>
      </c>
      <c r="I1509" s="180">
        <f ca="1">COUNTIFS(Paste_Report_Here!$E$1:$E$2000,E1498, OFFSET(Paste_Report_Here!$A$1,0,$A1509,2000,1),I$75)</f>
        <v>3</v>
      </c>
      <c r="J1509" s="180">
        <f ca="1">COUNTIFS(Paste_Report_Here!$E$1:$E$2000,E1498, OFFSET(Paste_Report_Here!$A$1,0,$A1509,2000,1),J$75)</f>
        <v>0</v>
      </c>
      <c r="K1509" s="181">
        <f ca="1">COUNTIFS(Paste_Report_Here!$E$1:$E$2000,E1498, OFFSET(Paste_Report_Here!$A$1,0,$A1509,2000,1),K$75)</f>
        <v>0</v>
      </c>
      <c r="L1509" s="166">
        <f t="shared" ca="1" si="226"/>
        <v>26</v>
      </c>
      <c r="M1509" s="183">
        <f ca="1">SUMPRODUCT(F1509:K1509,F1502:K1502)/L:L</f>
        <v>-7.6923076923076927E-3</v>
      </c>
      <c r="N1509" s="166">
        <f t="shared" ca="1" si="227"/>
        <v>0.99233720239114864</v>
      </c>
      <c r="O1509" s="165">
        <f t="shared" ca="1" si="229"/>
        <v>1590.2262189423586</v>
      </c>
      <c r="P1509" s="165">
        <f t="shared" ca="1" si="228"/>
        <v>1578.0406372743143</v>
      </c>
    </row>
    <row r="1510" spans="1:16" s="165" customFormat="1" x14ac:dyDescent="0.3">
      <c r="A1510" s="165">
        <f>MATCH(Calcs!B1510,Paste_Report_Here!$1:$1,0) -1</f>
        <v>11</v>
      </c>
      <c r="B1510" s="165" t="s">
        <v>129</v>
      </c>
      <c r="C1510" s="166">
        <f ca="1">RANK(N1510,N1504:N1528)</f>
        <v>7</v>
      </c>
      <c r="D1510" s="166">
        <f ca="1">RANK(P1510,P1504:P1528)</f>
        <v>9</v>
      </c>
      <c r="E1510" s="189" t="s">
        <v>158</v>
      </c>
      <c r="F1510" s="179">
        <f ca="1">COUNTIFS(Paste_Report_Here!$E$1:$E$2000,E1498, OFFSET(Paste_Report_Here!$A$1,0,$A1510,2000,1),F$75)</f>
        <v>0</v>
      </c>
      <c r="G1510" s="180">
        <f ca="1">COUNTIFS(Paste_Report_Here!$E$1:$E$2000,E1498, OFFSET(Paste_Report_Here!$A$1,0,$A1510,2000,1),G$75)</f>
        <v>3</v>
      </c>
      <c r="H1510" s="180">
        <f ca="1">COUNTIFS(Paste_Report_Here!$E$1:$E$2000,E1498, OFFSET(Paste_Report_Here!$A$1,0,$A1510,2000,1),H$75)</f>
        <v>20</v>
      </c>
      <c r="I1510" s="180">
        <f ca="1">COUNTIFS(Paste_Report_Here!$E$1:$E$2000,E1498, OFFSET(Paste_Report_Here!$A$1,0,$A1510,2000,1),I$75)</f>
        <v>3</v>
      </c>
      <c r="J1510" s="180">
        <f ca="1">COUNTIFS(Paste_Report_Here!$E$1:$E$2000,E1498, OFFSET(Paste_Report_Here!$A$1,0,$A1510,2000,1),J$75)</f>
        <v>0</v>
      </c>
      <c r="K1510" s="181">
        <f ca="1">COUNTIFS(Paste_Report_Here!$E$1:$E$2000,E1498, OFFSET(Paste_Report_Here!$A$1,0,$A1510,2000,1),K$75)</f>
        <v>0</v>
      </c>
      <c r="L1510" s="166">
        <f t="shared" ca="1" si="226"/>
        <v>26</v>
      </c>
      <c r="M1510" s="183">
        <f ca="1">SUMPRODUCT(F1510:K1510,F1502:K1502)/L:L</f>
        <v>0</v>
      </c>
      <c r="N1510" s="166">
        <f t="shared" ca="1" si="227"/>
        <v>1</v>
      </c>
      <c r="O1510" s="165">
        <f t="shared" ca="1" si="229"/>
        <v>2560.5680303768227</v>
      </c>
      <c r="P1510" s="165">
        <f t="shared" ca="1" si="228"/>
        <v>2560.5680303768227</v>
      </c>
    </row>
    <row r="1511" spans="1:16" s="165" customFormat="1" x14ac:dyDescent="0.3">
      <c r="A1511" s="165">
        <f>MATCH(Calcs!B1511,Paste_Report_Here!$1:$1,0) -1</f>
        <v>12</v>
      </c>
      <c r="B1511" s="165" t="s">
        <v>130</v>
      </c>
      <c r="C1511" s="166">
        <f ca="1">RANK(N1511,N1504:N1528)</f>
        <v>18</v>
      </c>
      <c r="D1511" s="166">
        <f ca="1">RANK(P1511,P1504:P1528)</f>
        <v>10</v>
      </c>
      <c r="E1511" s="189" t="s">
        <v>159</v>
      </c>
      <c r="F1511" s="179">
        <f ca="1">COUNTIFS(Paste_Report_Here!$E$1:$E$2000,E1498, OFFSET(Paste_Report_Here!$A$1,0,$A1511,2000,1),F$75)</f>
        <v>1</v>
      </c>
      <c r="G1511" s="180">
        <f ca="1">COUNTIFS(Paste_Report_Here!$E$1:$E$2000,E1498, OFFSET(Paste_Report_Here!$A$1,0,$A1511,2000,1),G$75)</f>
        <v>1</v>
      </c>
      <c r="H1511" s="180">
        <f ca="1">COUNTIFS(Paste_Report_Here!$E$1:$E$2000,E1498, OFFSET(Paste_Report_Here!$A$1,0,$A1511,2000,1),H$75)</f>
        <v>18</v>
      </c>
      <c r="I1511" s="180">
        <f ca="1">COUNTIFS(Paste_Report_Here!$E$1:$E$2000,E1498, OFFSET(Paste_Report_Here!$A$1,0,$A1511,2000,1),I$75)</f>
        <v>6</v>
      </c>
      <c r="J1511" s="180">
        <f ca="1">COUNTIFS(Paste_Report_Here!$E$1:$E$2000,E1498, OFFSET(Paste_Report_Here!$A$1,0,$A1511,2000,1),J$75)</f>
        <v>0</v>
      </c>
      <c r="K1511" s="181">
        <f ca="1">COUNTIFS(Paste_Report_Here!$E$1:$E$2000,E1498, OFFSET(Paste_Report_Here!$A$1,0,$A1511,2000,1),K$75)</f>
        <v>0</v>
      </c>
      <c r="L1511" s="166">
        <f t="shared" ca="1" si="226"/>
        <v>26</v>
      </c>
      <c r="M1511" s="183">
        <f ca="1">SUMPRODUCT(F1511:K1511,F1502:K1502)/L:L</f>
        <v>-7.6923076923076927E-3</v>
      </c>
      <c r="N1511" s="166">
        <f t="shared" ca="1" si="227"/>
        <v>0.99233720239114864</v>
      </c>
      <c r="O1511" s="165">
        <f t="shared" ca="1" si="229"/>
        <v>2569.3128647252079</v>
      </c>
      <c r="P1511" s="165">
        <f t="shared" ca="1" si="228"/>
        <v>2549.6247402490003</v>
      </c>
    </row>
    <row r="1512" spans="1:16" s="165" customFormat="1" x14ac:dyDescent="0.3">
      <c r="A1512" s="165">
        <f>MATCH(Calcs!B1512,Paste_Report_Here!$1:$1,0) -1</f>
        <v>13</v>
      </c>
      <c r="B1512" s="165" t="s">
        <v>131</v>
      </c>
      <c r="C1512" s="166">
        <f ca="1">RANK(N1512,N1504:N1528)</f>
        <v>3</v>
      </c>
      <c r="D1512" s="166">
        <f ca="1">RANK(P1512,P1504:P1528)</f>
        <v>2</v>
      </c>
      <c r="E1512" s="189" t="s">
        <v>160</v>
      </c>
      <c r="F1512" s="179">
        <f ca="1">COUNTIFS(Paste_Report_Here!$E$1:$E$2000,E1498, OFFSET(Paste_Report_Here!$A$1,0,$A1512,2000,1),F$75)</f>
        <v>0</v>
      </c>
      <c r="G1512" s="180">
        <f ca="1">COUNTIFS(Paste_Report_Here!$E$1:$E$2000,E1498, OFFSET(Paste_Report_Here!$A$1,0,$A1512,2000,1),G$75)</f>
        <v>1</v>
      </c>
      <c r="H1512" s="180">
        <f ca="1">COUNTIFS(Paste_Report_Here!$E$1:$E$2000,E1498, OFFSET(Paste_Report_Here!$A$1,0,$A1512,2000,1),H$75)</f>
        <v>15</v>
      </c>
      <c r="I1512" s="180">
        <f ca="1">COUNTIFS(Paste_Report_Here!$E$1:$E$2000,E1498, OFFSET(Paste_Report_Here!$A$1,0,$A1512,2000,1),I$75)</f>
        <v>9</v>
      </c>
      <c r="J1512" s="180">
        <f ca="1">COUNTIFS(Paste_Report_Here!$E$1:$E$2000,E1498, OFFSET(Paste_Report_Here!$A$1,0,$A1512,2000,1),J$75)</f>
        <v>1</v>
      </c>
      <c r="K1512" s="181">
        <f ca="1">COUNTIFS(Paste_Report_Here!$E$1:$E$2000,E1498, OFFSET(Paste_Report_Here!$A$1,0,$A1512,2000,1),K$75)</f>
        <v>0</v>
      </c>
      <c r="L1512" s="166">
        <f t="shared" ca="1" si="226"/>
        <v>26</v>
      </c>
      <c r="M1512" s="183">
        <f ca="1">SUMPRODUCT(F1512:K1512,F1502:K1502)/L:L</f>
        <v>7.6923076923076927E-3</v>
      </c>
      <c r="N1512" s="166">
        <f t="shared" ca="1" si="227"/>
        <v>1.0077219694982582</v>
      </c>
      <c r="O1512" s="165">
        <f t="shared" ca="1" si="229"/>
        <v>4875.1952490033864</v>
      </c>
      <c r="P1512" s="165">
        <f t="shared" ca="1" si="228"/>
        <v>4912.8413580142442</v>
      </c>
    </row>
    <row r="1513" spans="1:16" s="165" customFormat="1" x14ac:dyDescent="0.3">
      <c r="A1513" s="165">
        <f>MATCH(Calcs!B1513,Paste_Report_Here!$1:$1,0) -1</f>
        <v>14</v>
      </c>
      <c r="B1513" s="165" t="s">
        <v>132</v>
      </c>
      <c r="C1513" s="166">
        <f ca="1">RANK(N1513,N1504:N1528)</f>
        <v>18</v>
      </c>
      <c r="D1513" s="166">
        <f ca="1">RANK(P1513,P1504:P1528)</f>
        <v>14</v>
      </c>
      <c r="E1513" s="189" t="s">
        <v>161</v>
      </c>
      <c r="F1513" s="179">
        <f ca="1">COUNTIFS(Paste_Report_Here!$E$1:$E$2000,E1498, OFFSET(Paste_Report_Here!$A$1,0,$A1513,2000,1),F$75)</f>
        <v>1</v>
      </c>
      <c r="G1513" s="180">
        <f ca="1">COUNTIFS(Paste_Report_Here!$E$1:$E$2000,E1498, OFFSET(Paste_Report_Here!$A$1,0,$A1513,2000,1),G$75)</f>
        <v>1</v>
      </c>
      <c r="H1513" s="180">
        <f ca="1">COUNTIFS(Paste_Report_Here!$E$1:$E$2000,E1498, OFFSET(Paste_Report_Here!$A$1,0,$A1513,2000,1),H$75)</f>
        <v>13</v>
      </c>
      <c r="I1513" s="180">
        <f ca="1">COUNTIFS(Paste_Report_Here!$E$1:$E$2000,E1498, OFFSET(Paste_Report_Here!$A$1,0,$A1513,2000,1),I$75)</f>
        <v>11</v>
      </c>
      <c r="J1513" s="180">
        <f ca="1">COUNTIFS(Paste_Report_Here!$E$1:$E$2000,E1498, OFFSET(Paste_Report_Here!$A$1,0,$A1513,2000,1),J$75)</f>
        <v>0</v>
      </c>
      <c r="K1513" s="181">
        <f ca="1">COUNTIFS(Paste_Report_Here!$E$1:$E$2000,E1498, OFFSET(Paste_Report_Here!$A$1,0,$A1513,2000,1),K$75)</f>
        <v>0</v>
      </c>
      <c r="L1513" s="166">
        <f t="shared" ca="1" si="226"/>
        <v>26</v>
      </c>
      <c r="M1513" s="183">
        <f ca="1">SUMPRODUCT(F1513:K1513,F1502:K1502)/L:L</f>
        <v>-7.6923076923076927E-3</v>
      </c>
      <c r="N1513" s="166">
        <f t="shared" ca="1" si="227"/>
        <v>0.99233720239114864</v>
      </c>
      <c r="O1513" s="165">
        <f t="shared" ca="1" si="229"/>
        <v>2154.5400711344596</v>
      </c>
      <c r="P1513" s="165">
        <f t="shared" ca="1" si="228"/>
        <v>2138.0302666291959</v>
      </c>
    </row>
    <row r="1514" spans="1:16" s="165" customFormat="1" x14ac:dyDescent="0.3">
      <c r="A1514" s="165">
        <f>MATCH(Calcs!B1514,Paste_Report_Here!$1:$1,0) -1</f>
        <v>15</v>
      </c>
      <c r="B1514" s="165" t="s">
        <v>133</v>
      </c>
      <c r="C1514" s="166">
        <f ca="1">RANK(N1514,N1504:N1528)</f>
        <v>3</v>
      </c>
      <c r="D1514" s="166">
        <f ca="1">RANK(P1514,P1504:P1528)</f>
        <v>6</v>
      </c>
      <c r="E1514" s="189" t="s">
        <v>162</v>
      </c>
      <c r="F1514" s="179">
        <f ca="1">COUNTIFS(Paste_Report_Here!$E$1:$E$2000,E1498, OFFSET(Paste_Report_Here!$A$1,0,$A1514,2000,1),F$75)</f>
        <v>0</v>
      </c>
      <c r="G1514" s="180">
        <f ca="1">COUNTIFS(Paste_Report_Here!$E$1:$E$2000,E1498, OFFSET(Paste_Report_Here!$A$1,0,$A1514,2000,1),G$75)</f>
        <v>0</v>
      </c>
      <c r="H1514" s="180">
        <f ca="1">COUNTIFS(Paste_Report_Here!$E$1:$E$2000,E1498, OFFSET(Paste_Report_Here!$A$1,0,$A1514,2000,1),H$75)</f>
        <v>15</v>
      </c>
      <c r="I1514" s="180">
        <f ca="1">COUNTIFS(Paste_Report_Here!$E$1:$E$2000,E1498, OFFSET(Paste_Report_Here!$A$1,0,$A1514,2000,1),I$75)</f>
        <v>10</v>
      </c>
      <c r="J1514" s="180">
        <f ca="1">COUNTIFS(Paste_Report_Here!$E$1:$E$2000,E1498, OFFSET(Paste_Report_Here!$A$1,0,$A1514,2000,1),J$75)</f>
        <v>1</v>
      </c>
      <c r="K1514" s="181">
        <f ca="1">COUNTIFS(Paste_Report_Here!$E$1:$E$2000,E1498, OFFSET(Paste_Report_Here!$A$1,0,$A1514,2000,1),K$75)</f>
        <v>0</v>
      </c>
      <c r="L1514" s="166">
        <f t="shared" ca="1" si="226"/>
        <v>26</v>
      </c>
      <c r="M1514" s="183">
        <f ca="1">SUMPRODUCT(F1514:K1514,F1502:K1502)/L:L</f>
        <v>7.6923076923076927E-3</v>
      </c>
      <c r="N1514" s="166">
        <f t="shared" ca="1" si="227"/>
        <v>1.0077219694982582</v>
      </c>
      <c r="O1514" s="165">
        <f t="shared" ca="1" si="229"/>
        <v>3209.7984143530725</v>
      </c>
      <c r="P1514" s="165">
        <f t="shared" ca="1" si="228"/>
        <v>3234.5843798042647</v>
      </c>
    </row>
    <row r="1515" spans="1:16" s="165" customFormat="1" x14ac:dyDescent="0.3">
      <c r="A1515" s="165">
        <f>MATCH(Calcs!B1515,Paste_Report_Here!$1:$1,0) -1</f>
        <v>16</v>
      </c>
      <c r="B1515" s="165" t="s">
        <v>134</v>
      </c>
      <c r="C1515" s="166">
        <f ca="1">RANK(N1515,N1504:N1528)</f>
        <v>7</v>
      </c>
      <c r="D1515" s="166">
        <f ca="1">RANK(P1515,P1504:P1528)</f>
        <v>24</v>
      </c>
      <c r="E1515" s="189" t="s">
        <v>163</v>
      </c>
      <c r="F1515" s="179">
        <f ca="1">COUNTIFS(Paste_Report_Here!$E$1:$E$2000,E1498, OFFSET(Paste_Report_Here!$A$1,0,$A1515,2000,1),F$75)</f>
        <v>1</v>
      </c>
      <c r="G1515" s="180">
        <f ca="1">COUNTIFS(Paste_Report_Here!$E$1:$E$2000,E1498, OFFSET(Paste_Report_Here!$A$1,0,$A1515,2000,1),G$75)</f>
        <v>0</v>
      </c>
      <c r="H1515" s="180">
        <f ca="1">COUNTIFS(Paste_Report_Here!$E$1:$E$2000,E1498, OFFSET(Paste_Report_Here!$A$1,0,$A1515,2000,1),H$75)</f>
        <v>23</v>
      </c>
      <c r="I1515" s="180">
        <f ca="1">COUNTIFS(Paste_Report_Here!$E$1:$E$2000,E1498, OFFSET(Paste_Report_Here!$A$1,0,$A1515,2000,1),I$75)</f>
        <v>1</v>
      </c>
      <c r="J1515" s="180">
        <f ca="1">COUNTIFS(Paste_Report_Here!$E$1:$E$2000,E1498, OFFSET(Paste_Report_Here!$A$1,0,$A1515,2000,1),J$75)</f>
        <v>1</v>
      </c>
      <c r="K1515" s="181">
        <f ca="1">COUNTIFS(Paste_Report_Here!$E$1:$E$2000,E1498, OFFSET(Paste_Report_Here!$A$1,0,$A1515,2000,1),K$75)</f>
        <v>0</v>
      </c>
      <c r="L1515" s="166">
        <f t="shared" ca="1" si="226"/>
        <v>26</v>
      </c>
      <c r="M1515" s="183">
        <f ca="1">SUMPRODUCT(F1515:K1515,F1502:K1502)/L:L</f>
        <v>0</v>
      </c>
      <c r="N1515" s="166">
        <f t="shared" ca="1" si="227"/>
        <v>1</v>
      </c>
      <c r="O1515" s="165">
        <f t="shared" ca="1" si="229"/>
        <v>1145.3395872935305</v>
      </c>
      <c r="P1515" s="165">
        <f t="shared" ca="1" si="228"/>
        <v>1145.3395872935305</v>
      </c>
    </row>
    <row r="1516" spans="1:16" s="165" customFormat="1" x14ac:dyDescent="0.3">
      <c r="A1516" s="165">
        <f>MATCH(Calcs!B1516,Paste_Report_Here!$1:$1,0) -1</f>
        <v>17</v>
      </c>
      <c r="B1516" s="165" t="s">
        <v>135</v>
      </c>
      <c r="C1516" s="166">
        <f ca="1">RANK(N1516,N1504:N1528)</f>
        <v>18</v>
      </c>
      <c r="D1516" s="166">
        <f ca="1">RANK(P1516,P1504:P1528)</f>
        <v>19</v>
      </c>
      <c r="E1516" s="189" t="s">
        <v>164</v>
      </c>
      <c r="F1516" s="179">
        <f ca="1">COUNTIFS(Paste_Report_Here!$E$1:$E$2000,E1498, OFFSET(Paste_Report_Here!$A$1,0,$A1516,2000,1),F$75)</f>
        <v>1</v>
      </c>
      <c r="G1516" s="180">
        <f ca="1">COUNTIFS(Paste_Report_Here!$E$1:$E$2000,E1498, OFFSET(Paste_Report_Here!$A$1,0,$A1516,2000,1),G$75)</f>
        <v>2</v>
      </c>
      <c r="H1516" s="180">
        <f ca="1">COUNTIFS(Paste_Report_Here!$E$1:$E$2000,E1498, OFFSET(Paste_Report_Here!$A$1,0,$A1516,2000,1),H$75)</f>
        <v>20</v>
      </c>
      <c r="I1516" s="180">
        <f ca="1">COUNTIFS(Paste_Report_Here!$E$1:$E$2000,E1498, OFFSET(Paste_Report_Here!$A$1,0,$A1516,2000,1),I$75)</f>
        <v>3</v>
      </c>
      <c r="J1516" s="180">
        <f ca="1">COUNTIFS(Paste_Report_Here!$E$1:$E$2000,E1498, OFFSET(Paste_Report_Here!$A$1,0,$A1516,2000,1),J$75)</f>
        <v>0</v>
      </c>
      <c r="K1516" s="181">
        <f ca="1">COUNTIFS(Paste_Report_Here!$E$1:$E$2000,E1498, OFFSET(Paste_Report_Here!$A$1,0,$A1516,2000,1),K$75)</f>
        <v>0</v>
      </c>
      <c r="L1516" s="166">
        <f t="shared" ca="1" si="226"/>
        <v>26</v>
      </c>
      <c r="M1516" s="183">
        <f ca="1">SUMPRODUCT(F1516:K1516,F1502:K1502)/L:L</f>
        <v>-7.6923076923076927E-3</v>
      </c>
      <c r="N1516" s="166">
        <f t="shared" ca="1" si="227"/>
        <v>0.99233720239114864</v>
      </c>
      <c r="O1516" s="165">
        <f t="shared" ca="1" si="229"/>
        <v>1943.4125881587768</v>
      </c>
      <c r="P1516" s="165">
        <f t="shared" ca="1" si="228"/>
        <v>1928.5206108252221</v>
      </c>
    </row>
    <row r="1517" spans="1:16" s="165" customFormat="1" x14ac:dyDescent="0.3">
      <c r="A1517" s="165">
        <f>MATCH(Calcs!B1517,Paste_Report_Here!$1:$1,0) -1</f>
        <v>18</v>
      </c>
      <c r="B1517" s="165" t="s">
        <v>136</v>
      </c>
      <c r="C1517" s="166">
        <f ca="1">RANK(N1517,N1504:N1528)</f>
        <v>7</v>
      </c>
      <c r="D1517" s="166">
        <f ca="1">RANK(P1517,P1504:P1528)</f>
        <v>4</v>
      </c>
      <c r="E1517" s="189" t="s">
        <v>165</v>
      </c>
      <c r="F1517" s="179">
        <f ca="1">COUNTIFS(Paste_Report_Here!$E$1:$E$2000,E1498, OFFSET(Paste_Report_Here!$A$1,0,$A1517,2000,1),F$75)</f>
        <v>0</v>
      </c>
      <c r="G1517" s="180">
        <f ca="1">COUNTIFS(Paste_Report_Here!$E$1:$E$2000,E1498, OFFSET(Paste_Report_Here!$A$1,0,$A1517,2000,1),G$75)</f>
        <v>0</v>
      </c>
      <c r="H1517" s="180">
        <f ca="1">COUNTIFS(Paste_Report_Here!$E$1:$E$2000,E1498, OFFSET(Paste_Report_Here!$A$1,0,$A1517,2000,1),H$75)</f>
        <v>18</v>
      </c>
      <c r="I1517" s="180">
        <f ca="1">COUNTIFS(Paste_Report_Here!$E$1:$E$2000,E1498, OFFSET(Paste_Report_Here!$A$1,0,$A1517,2000,1),I$75)</f>
        <v>8</v>
      </c>
      <c r="J1517" s="180">
        <f ca="1">COUNTIFS(Paste_Report_Here!$E$1:$E$2000,E1498, OFFSET(Paste_Report_Here!$A$1,0,$A1517,2000,1),J$75)</f>
        <v>0</v>
      </c>
      <c r="K1517" s="181">
        <f ca="1">COUNTIFS(Paste_Report_Here!$E$1:$E$2000,E1498, OFFSET(Paste_Report_Here!$A$1,0,$A1517,2000,1),K$75)</f>
        <v>0</v>
      </c>
      <c r="L1517" s="166">
        <f t="shared" ca="1" si="226"/>
        <v>26</v>
      </c>
      <c r="M1517" s="183">
        <f ca="1">SUMPRODUCT(F1517:K1517,F1502:K1502)/L:L</f>
        <v>0</v>
      </c>
      <c r="N1517" s="166">
        <f t="shared" ca="1" si="227"/>
        <v>1</v>
      </c>
      <c r="O1517" s="165">
        <f t="shared" ca="1" si="229"/>
        <v>4159.507798056954</v>
      </c>
      <c r="P1517" s="165">
        <f t="shared" ca="1" si="228"/>
        <v>4159.507798056954</v>
      </c>
    </row>
    <row r="1518" spans="1:16" s="165" customFormat="1" x14ac:dyDescent="0.3">
      <c r="A1518" s="165">
        <f>MATCH(Calcs!B1518,Paste_Report_Here!$1:$1,0) -1</f>
        <v>19</v>
      </c>
      <c r="B1518" s="165" t="s">
        <v>137</v>
      </c>
      <c r="C1518" s="166">
        <f ca="1">RANK(N1518,N1504:N1528)</f>
        <v>7</v>
      </c>
      <c r="D1518" s="166">
        <f ca="1">RANK(P1518,P1504:P1528)</f>
        <v>13</v>
      </c>
      <c r="E1518" s="189" t="s">
        <v>166</v>
      </c>
      <c r="F1518" s="179">
        <f ca="1">COUNTIFS(Paste_Report_Here!$E$1:$E$2000,E1498, OFFSET(Paste_Report_Here!$A$1,0,$A1518,2000,1),F$75)</f>
        <v>0</v>
      </c>
      <c r="G1518" s="180">
        <f ca="1">COUNTIFS(Paste_Report_Here!$E$1:$E$2000,E1498, OFFSET(Paste_Report_Here!$A$1,0,$A1518,2000,1),G$75)</f>
        <v>0</v>
      </c>
      <c r="H1518" s="180">
        <f ca="1">COUNTIFS(Paste_Report_Here!$E$1:$E$2000,E1498, OFFSET(Paste_Report_Here!$A$1,0,$A1518,2000,1),H$75)</f>
        <v>24</v>
      </c>
      <c r="I1518" s="180">
        <f ca="1">COUNTIFS(Paste_Report_Here!$E$1:$E$2000,E1498, OFFSET(Paste_Report_Here!$A$1,0,$A1518,2000,1),I$75)</f>
        <v>2</v>
      </c>
      <c r="J1518" s="180">
        <f ca="1">COUNTIFS(Paste_Report_Here!$E$1:$E$2000,E1498, OFFSET(Paste_Report_Here!$A$1,0,$A1518,2000,1),J$75)</f>
        <v>0</v>
      </c>
      <c r="K1518" s="181">
        <f ca="1">COUNTIFS(Paste_Report_Here!$E$1:$E$2000,E1498, OFFSET(Paste_Report_Here!$A$1,0,$A1518,2000,1),K$75)</f>
        <v>0</v>
      </c>
      <c r="L1518" s="166">
        <f t="shared" ca="1" si="226"/>
        <v>26</v>
      </c>
      <c r="M1518" s="183">
        <f ca="1">SUMPRODUCT(F1518:K1518,F1502:K1502)/L:L</f>
        <v>0</v>
      </c>
      <c r="N1518" s="166">
        <f t="shared" ca="1" si="227"/>
        <v>1</v>
      </c>
      <c r="O1518" s="165">
        <f t="shared" ca="1" si="229"/>
        <v>2263.3700968892199</v>
      </c>
      <c r="P1518" s="165">
        <f t="shared" ca="1" si="228"/>
        <v>2263.3700968892199</v>
      </c>
    </row>
    <row r="1519" spans="1:16" s="165" customFormat="1" x14ac:dyDescent="0.3">
      <c r="A1519" s="165">
        <f>MATCH(Calcs!B1519,Paste_Report_Here!$1:$1,0) -1</f>
        <v>20</v>
      </c>
      <c r="B1519" s="165" t="s">
        <v>138</v>
      </c>
      <c r="C1519" s="166">
        <f ca="1">RANK(N1519,N1504:N1528)</f>
        <v>18</v>
      </c>
      <c r="D1519" s="166">
        <f ca="1">RANK(P1519,P1504:P1528)</f>
        <v>20</v>
      </c>
      <c r="E1519" s="189" t="s">
        <v>167</v>
      </c>
      <c r="F1519" s="179">
        <f ca="1">COUNTIFS(Paste_Report_Here!$E$1:$E$2000,E1498, OFFSET(Paste_Report_Here!$A$1,0,$A1519,2000,1),F$75)</f>
        <v>1</v>
      </c>
      <c r="G1519" s="180">
        <f ca="1">COUNTIFS(Paste_Report_Here!$E$1:$E$2000,E1498, OFFSET(Paste_Report_Here!$A$1,0,$A1519,2000,1),G$75)</f>
        <v>2</v>
      </c>
      <c r="H1519" s="180">
        <f ca="1">COUNTIFS(Paste_Report_Here!$E$1:$E$2000,E1498, OFFSET(Paste_Report_Here!$A$1,0,$A1519,2000,1),H$75)</f>
        <v>17</v>
      </c>
      <c r="I1519" s="180">
        <f ca="1">COUNTIFS(Paste_Report_Here!$E$1:$E$2000,E1498, OFFSET(Paste_Report_Here!$A$1,0,$A1519,2000,1),I$75)</f>
        <v>6</v>
      </c>
      <c r="J1519" s="180">
        <f ca="1">COUNTIFS(Paste_Report_Here!$E$1:$E$2000,E1498, OFFSET(Paste_Report_Here!$A$1,0,$A1519,2000,1),J$75)</f>
        <v>0</v>
      </c>
      <c r="K1519" s="181">
        <f ca="1">COUNTIFS(Paste_Report_Here!$E$1:$E$2000,E1498, OFFSET(Paste_Report_Here!$A$1,0,$A1519,2000,1),K$75)</f>
        <v>0</v>
      </c>
      <c r="L1519" s="166">
        <f t="shared" ca="1" si="226"/>
        <v>26</v>
      </c>
      <c r="M1519" s="183">
        <f ca="1">SUMPRODUCT(F1519:K1519,F1502:K1502)/L:L</f>
        <v>-7.6923076923076927E-3</v>
      </c>
      <c r="N1519" s="166">
        <f t="shared" ca="1" si="227"/>
        <v>0.99233720239114864</v>
      </c>
      <c r="O1519" s="165">
        <f t="shared" ca="1" si="229"/>
        <v>1917.0617940971867</v>
      </c>
      <c r="P1519" s="165">
        <f t="shared" ca="1" si="228"/>
        <v>1902.3717375653584</v>
      </c>
    </row>
    <row r="1520" spans="1:16" s="165" customFormat="1" x14ac:dyDescent="0.3">
      <c r="A1520" s="165">
        <f>MATCH(Calcs!B1520,Paste_Report_Here!$1:$1,0) -1</f>
        <v>21</v>
      </c>
      <c r="B1520" s="165" t="s">
        <v>139</v>
      </c>
      <c r="C1520" s="166">
        <f ca="1">RANK(N1520,N1504:N1528)</f>
        <v>7</v>
      </c>
      <c r="D1520" s="166">
        <f ca="1">RANK(P1520,P1504:P1528)</f>
        <v>18</v>
      </c>
      <c r="E1520" s="189" t="s">
        <v>168</v>
      </c>
      <c r="F1520" s="179">
        <f ca="1">COUNTIFS(Paste_Report_Here!$E$1:$E$2000,E1498, OFFSET(Paste_Report_Here!$A$1,0,$A1520,2000,1),F$75)</f>
        <v>1</v>
      </c>
      <c r="G1520" s="180">
        <f ca="1">COUNTIFS(Paste_Report_Here!$E$1:$E$2000,E1498, OFFSET(Paste_Report_Here!$A$1,0,$A1520,2000,1),G$75)</f>
        <v>1</v>
      </c>
      <c r="H1520" s="180">
        <f ca="1">COUNTIFS(Paste_Report_Here!$E$1:$E$2000,E1498, OFFSET(Paste_Report_Here!$A$1,0,$A1520,2000,1),H$75)</f>
        <v>20</v>
      </c>
      <c r="I1520" s="180">
        <f ca="1">COUNTIFS(Paste_Report_Here!$E$1:$E$2000,E1498, OFFSET(Paste_Report_Here!$A$1,0,$A1520,2000,1),I$75)</f>
        <v>3</v>
      </c>
      <c r="J1520" s="180">
        <f ca="1">COUNTIFS(Paste_Report_Here!$E$1:$E$2000,E1498, OFFSET(Paste_Report_Here!$A$1,0,$A1520,2000,1),J$75)</f>
        <v>1</v>
      </c>
      <c r="K1520" s="181">
        <f ca="1">COUNTIFS(Paste_Report_Here!$E$1:$E$2000,E1498, OFFSET(Paste_Report_Here!$A$1,0,$A1520,2000,1),K$75)</f>
        <v>0</v>
      </c>
      <c r="L1520" s="166">
        <f t="shared" ca="1" si="226"/>
        <v>26</v>
      </c>
      <c r="M1520" s="183">
        <f ca="1">SUMPRODUCT(F1520:K1520,F1502:K1502)/L:L</f>
        <v>0</v>
      </c>
      <c r="N1520" s="166">
        <f t="shared" ca="1" si="227"/>
        <v>1</v>
      </c>
      <c r="O1520" s="165">
        <f t="shared" ca="1" si="229"/>
        <v>1981.8965348735842</v>
      </c>
      <c r="P1520" s="165">
        <f t="shared" ca="1" si="228"/>
        <v>1981.8965348735842</v>
      </c>
    </row>
    <row r="1521" spans="1:16" s="165" customFormat="1" x14ac:dyDescent="0.3">
      <c r="A1521" s="165">
        <f>MATCH(Calcs!B1521,Paste_Report_Here!$1:$1,0) -1</f>
        <v>22</v>
      </c>
      <c r="B1521" s="165" t="s">
        <v>140</v>
      </c>
      <c r="C1521" s="166">
        <f ca="1">RANK(N1521,N1504:N1528)</f>
        <v>7</v>
      </c>
      <c r="D1521" s="166">
        <f ca="1">RANK(P1521,P1504:P1528)</f>
        <v>15</v>
      </c>
      <c r="E1521" s="189" t="s">
        <v>169</v>
      </c>
      <c r="F1521" s="179">
        <f ca="1">COUNTIFS(Paste_Report_Here!$E$1:$E$2000,E1498, OFFSET(Paste_Report_Here!$A$1,0,$A1521,2000,1),F$75)</f>
        <v>0</v>
      </c>
      <c r="G1521" s="180">
        <f ca="1">COUNTIFS(Paste_Report_Here!$E$1:$E$2000,E1498, OFFSET(Paste_Report_Here!$A$1,0,$A1521,2000,1),G$75)</f>
        <v>1</v>
      </c>
      <c r="H1521" s="180">
        <f ca="1">COUNTIFS(Paste_Report_Here!$E$1:$E$2000,E1498, OFFSET(Paste_Report_Here!$A$1,0,$A1521,2000,1),H$75)</f>
        <v>17</v>
      </c>
      <c r="I1521" s="180">
        <f ca="1">COUNTIFS(Paste_Report_Here!$E$1:$E$2000,E1498, OFFSET(Paste_Report_Here!$A$1,0,$A1521,2000,1),I$75)</f>
        <v>8</v>
      </c>
      <c r="J1521" s="180">
        <f ca="1">COUNTIFS(Paste_Report_Here!$E$1:$E$2000,E1498, OFFSET(Paste_Report_Here!$A$1,0,$A1521,2000,1),J$75)</f>
        <v>0</v>
      </c>
      <c r="K1521" s="181">
        <f ca="1">COUNTIFS(Paste_Report_Here!$E$1:$E$2000,E1498, OFFSET(Paste_Report_Here!$A$1,0,$A1521,2000,1),K$75)</f>
        <v>0</v>
      </c>
      <c r="L1521" s="166">
        <f t="shared" ca="1" si="226"/>
        <v>26</v>
      </c>
      <c r="M1521" s="183">
        <f ca="1">SUMPRODUCT(F1521:K1521,F1502:K1502)/L:L</f>
        <v>0</v>
      </c>
      <c r="N1521" s="166">
        <f t="shared" ca="1" si="227"/>
        <v>1</v>
      </c>
      <c r="O1521" s="165">
        <f t="shared" ca="1" si="229"/>
        <v>2133.1449078567584</v>
      </c>
      <c r="P1521" s="165">
        <f t="shared" ca="1" si="228"/>
        <v>2133.1449078567584</v>
      </c>
    </row>
    <row r="1522" spans="1:16" s="165" customFormat="1" x14ac:dyDescent="0.3">
      <c r="A1522" s="165">
        <f>MATCH(Calcs!B1522,Paste_Report_Here!$1:$1,0) -1</f>
        <v>23</v>
      </c>
      <c r="B1522" s="165" t="s">
        <v>186</v>
      </c>
      <c r="C1522" s="166">
        <f ca="1">RANK(N1522,N1504:N1528)</f>
        <v>1</v>
      </c>
      <c r="D1522" s="166">
        <f ca="1">RANK(P1522,P1504:P1528)</f>
        <v>3</v>
      </c>
      <c r="E1522" s="189" t="s">
        <v>180</v>
      </c>
      <c r="F1522" s="179">
        <f ca="1">COUNTIFS(Paste_Report_Here!$E$1:$E$2000,E1498, OFFSET(Paste_Report_Here!$A$1,0,$A1522,2000,1),F$75)</f>
        <v>0</v>
      </c>
      <c r="G1522" s="180">
        <f ca="1">COUNTIFS(Paste_Report_Here!$E$1:$E$2000,E1498, OFFSET(Paste_Report_Here!$A$1,0,$A1522,2000,1),G$75)</f>
        <v>1</v>
      </c>
      <c r="H1522" s="180">
        <f ca="1">COUNTIFS(Paste_Report_Here!$E$1:$E$2000,E1498, OFFSET(Paste_Report_Here!$A$1,0,$A1522,2000,1),H$75)</f>
        <v>16</v>
      </c>
      <c r="I1522" s="180">
        <f ca="1">COUNTIFS(Paste_Report_Here!$E$1:$E$2000,E1498, OFFSET(Paste_Report_Here!$A$1,0,$A1522,2000,1),I$75)</f>
        <v>7</v>
      </c>
      <c r="J1522" s="180">
        <f ca="1">COUNTIFS(Paste_Report_Here!$E$1:$E$2000,E1498, OFFSET(Paste_Report_Here!$A$1,0,$A1522,2000,1),J$75)</f>
        <v>2</v>
      </c>
      <c r="K1522" s="181">
        <f ca="1">COUNTIFS(Paste_Report_Here!$E$1:$E$2000,E1498, OFFSET(Paste_Report_Here!$A$1,0,$A1522,2000,1),K$75)</f>
        <v>0</v>
      </c>
      <c r="L1522" s="166">
        <f t="shared" ca="1" si="226"/>
        <v>26</v>
      </c>
      <c r="M1522" s="183">
        <f ca="1">SUMPRODUCT(F1522:K1522,F1502:K1502)/L:L</f>
        <v>1.5384615384615385E-2</v>
      </c>
      <c r="N1522" s="166">
        <f t="shared" ca="1" si="227"/>
        <v>1.0155035678094484</v>
      </c>
      <c r="O1522" s="165">
        <f t="shared" ca="1" si="229"/>
        <v>4210.6299638928112</v>
      </c>
      <c r="P1522" s="165">
        <f t="shared" ca="1" si="228"/>
        <v>4275.9097510585189</v>
      </c>
    </row>
    <row r="1523" spans="1:16" s="165" customFormat="1" x14ac:dyDescent="0.3">
      <c r="A1523" s="165">
        <f>MATCH(Calcs!B1523,Paste_Report_Here!$1:$1,0) -1</f>
        <v>24</v>
      </c>
      <c r="B1523" s="165" t="s">
        <v>209</v>
      </c>
      <c r="C1523" s="166">
        <f ca="1">RANK(N1523,N1504:N1528)</f>
        <v>7</v>
      </c>
      <c r="D1523" s="166">
        <f ca="1">RANK(P1523,P1504:P1528)</f>
        <v>23</v>
      </c>
      <c r="E1523" s="202" t="s">
        <v>211</v>
      </c>
      <c r="F1523" s="179">
        <f ca="1">COUNTIFS(Paste_Report_Here!$E$1:$E$2000,E1498, OFFSET(Paste_Report_Here!$A$1,0,$A1523,2000,1),F$75)</f>
        <v>0</v>
      </c>
      <c r="G1523" s="180">
        <f ca="1">COUNTIFS(Paste_Report_Here!$E$1:$E$2000,E1498, OFFSET(Paste_Report_Here!$A$1,0,$A1523,2000,1),G$75)</f>
        <v>2</v>
      </c>
      <c r="H1523" s="180">
        <f ca="1">COUNTIFS(Paste_Report_Here!$E$1:$E$2000,E1498, OFFSET(Paste_Report_Here!$A$1,0,$A1523,2000,1),H$75)</f>
        <v>20</v>
      </c>
      <c r="I1523" s="180">
        <f ca="1">COUNTIFS(Paste_Report_Here!$E$1:$E$2000,E1498, OFFSET(Paste_Report_Here!$A$1,0,$A1523,2000,1),I$75)</f>
        <v>4</v>
      </c>
      <c r="J1523" s="180">
        <f ca="1">COUNTIFS(Paste_Report_Here!$E$1:$E$2000,E1498, OFFSET(Paste_Report_Here!$A$1,0,$A1523,2000,1),J$75)</f>
        <v>0</v>
      </c>
      <c r="K1523" s="181">
        <f ca="1">COUNTIFS(Paste_Report_Here!$E$1:$E$2000,E1498, OFFSET(Paste_Report_Here!$A$1,0,$A1523,2000,1),K$75)</f>
        <v>0</v>
      </c>
      <c r="L1523" s="166">
        <f t="shared" ca="1" si="226"/>
        <v>26</v>
      </c>
      <c r="M1523" s="183">
        <f ca="1">SUMPRODUCT(F1523:K1523,F1502:K1502)/L:L</f>
        <v>0</v>
      </c>
      <c r="N1523" s="166">
        <f t="shared" ca="1" si="227"/>
        <v>1</v>
      </c>
      <c r="O1523" s="165">
        <f t="shared" ca="1" si="229"/>
        <v>1241.8557755981556</v>
      </c>
      <c r="P1523" s="165">
        <f t="shared" ca="1" si="228"/>
        <v>1241.8557755981556</v>
      </c>
    </row>
    <row r="1524" spans="1:16" s="165" customFormat="1" x14ac:dyDescent="0.3">
      <c r="A1524" s="165">
        <f>MATCH(Calcs!B1524,Paste_Report_Here!$1:$1,0) -1</f>
        <v>25</v>
      </c>
      <c r="B1524" s="165" t="s">
        <v>141</v>
      </c>
      <c r="C1524" s="166">
        <f ca="1">RANK(N1524,N1504:N1528)</f>
        <v>18</v>
      </c>
      <c r="D1524" s="166">
        <f ca="1">RANK(P1524,P1504:P1528)</f>
        <v>22</v>
      </c>
      <c r="E1524" s="189" t="s">
        <v>170</v>
      </c>
      <c r="F1524" s="179">
        <f ca="1">COUNTIFS(Paste_Report_Here!$E$1:$E$2000,E1498, OFFSET(Paste_Report_Here!$A$1,0,$A1524,2000,1),F$75)</f>
        <v>1</v>
      </c>
      <c r="G1524" s="180">
        <f ca="1">COUNTIFS(Paste_Report_Here!$E$1:$E$2000,E1498, OFFSET(Paste_Report_Here!$A$1,0,$A1524,2000,1),G$75)</f>
        <v>2</v>
      </c>
      <c r="H1524" s="180">
        <f ca="1">COUNTIFS(Paste_Report_Here!$E$1:$E$2000,E1498, OFFSET(Paste_Report_Here!$A$1,0,$A1524,2000,1),H$75)</f>
        <v>20</v>
      </c>
      <c r="I1524" s="180">
        <f ca="1">COUNTIFS(Paste_Report_Here!$E$1:$E$2000,E1498, OFFSET(Paste_Report_Here!$A$1,0,$A1524,2000,1),I$75)</f>
        <v>3</v>
      </c>
      <c r="J1524" s="180">
        <f ca="1">COUNTIFS(Paste_Report_Here!$E$1:$E$2000,E1498, OFFSET(Paste_Report_Here!$A$1,0,$A1524,2000,1),J$75)</f>
        <v>0</v>
      </c>
      <c r="K1524" s="181">
        <f ca="1">COUNTIFS(Paste_Report_Here!$E$1:$E$2000,E1498, OFFSET(Paste_Report_Here!$A$1,0,$A1524,2000,1),K$75)</f>
        <v>0</v>
      </c>
      <c r="L1524" s="166">
        <f t="shared" ca="1" si="226"/>
        <v>26</v>
      </c>
      <c r="M1524" s="183">
        <f ca="1">SUMPRODUCT(F1524:K1524,F1502:K1502)/L:L</f>
        <v>-7.6923076923076927E-3</v>
      </c>
      <c r="N1524" s="166">
        <f t="shared" ca="1" si="227"/>
        <v>0.99233720239114864</v>
      </c>
      <c r="O1524" s="165">
        <f t="shared" ca="1" si="229"/>
        <v>1357.9124910493729</v>
      </c>
      <c r="P1524" s="165">
        <f t="shared" ca="1" si="228"/>
        <v>1347.5070824599304</v>
      </c>
    </row>
    <row r="1525" spans="1:16" s="165" customFormat="1" x14ac:dyDescent="0.3">
      <c r="A1525" s="165">
        <f>MATCH(Calcs!B1525,Paste_Report_Here!$1:$1,0) -1</f>
        <v>26</v>
      </c>
      <c r="B1525" s="165" t="s">
        <v>142</v>
      </c>
      <c r="C1525" s="166">
        <f ca="1">RANK(N1525,N1504:N1528)</f>
        <v>18</v>
      </c>
      <c r="D1525" s="166">
        <f ca="1">RANK(P1525,P1504:P1528)</f>
        <v>12</v>
      </c>
      <c r="E1525" s="189" t="s">
        <v>171</v>
      </c>
      <c r="F1525" s="179">
        <f ca="1">COUNTIFS(Paste_Report_Here!$E$1:$E$2000,E1498, OFFSET(Paste_Report_Here!$A$1,0,$A1525,2000,1),F$75)</f>
        <v>1</v>
      </c>
      <c r="G1525" s="180">
        <f ca="1">COUNTIFS(Paste_Report_Here!$E$1:$E$2000,E1498, OFFSET(Paste_Report_Here!$A$1,0,$A1525,2000,1),G$75)</f>
        <v>1</v>
      </c>
      <c r="H1525" s="180">
        <f ca="1">COUNTIFS(Paste_Report_Here!$E$1:$E$2000,E1498, OFFSET(Paste_Report_Here!$A$1,0,$A1525,2000,1),H$75)</f>
        <v>20</v>
      </c>
      <c r="I1525" s="180">
        <f ca="1">COUNTIFS(Paste_Report_Here!$E$1:$E$2000,E1498, OFFSET(Paste_Report_Here!$A$1,0,$A1525,2000,1),I$75)</f>
        <v>4</v>
      </c>
      <c r="J1525" s="180">
        <f ca="1">COUNTIFS(Paste_Report_Here!$E$1:$E$2000,E1498, OFFSET(Paste_Report_Here!$A$1,0,$A1525,2000,1),J$75)</f>
        <v>0</v>
      </c>
      <c r="K1525" s="181">
        <f ca="1">COUNTIFS(Paste_Report_Here!$E$1:$E$2000,E1498, OFFSET(Paste_Report_Here!$A$1,0,$A1525,2000,1),K$75)</f>
        <v>0</v>
      </c>
      <c r="L1525" s="166">
        <f t="shared" ca="1" si="226"/>
        <v>26</v>
      </c>
      <c r="M1525" s="183">
        <f ca="1">SUMPRODUCT(F1525:K1525,F1502:K1502)/L:L</f>
        <v>-7.6923076923076927E-3</v>
      </c>
      <c r="N1525" s="166">
        <f t="shared" ca="1" si="227"/>
        <v>0.99233720239114864</v>
      </c>
      <c r="O1525" s="165">
        <f t="shared" ca="1" si="229"/>
        <v>2297.5923254871987</v>
      </c>
      <c r="P1525" s="165">
        <f t="shared" ca="1" si="228"/>
        <v>2279.9863405093402</v>
      </c>
    </row>
    <row r="1526" spans="1:16" s="165" customFormat="1" x14ac:dyDescent="0.3">
      <c r="A1526" s="165">
        <f>MATCH(Calcs!B1526,Paste_Report_Here!$1:$1,0) -1</f>
        <v>27</v>
      </c>
      <c r="B1526" s="165" t="s">
        <v>210</v>
      </c>
      <c r="C1526" s="166">
        <f ca="1">RANK(N1526,N1504:N1528)</f>
        <v>7</v>
      </c>
      <c r="D1526" s="166">
        <f ca="1">RANK(P1526,P1504:P1528)</f>
        <v>25</v>
      </c>
      <c r="E1526" s="202" t="s">
        <v>212</v>
      </c>
      <c r="F1526" s="179">
        <f ca="1">COUNTIFS(Paste_Report_Here!$E$1:$E$2000,E1498, OFFSET(Paste_Report_Here!$A$1,0,$A1526,2000,1),F$75)</f>
        <v>0</v>
      </c>
      <c r="G1526" s="180">
        <f ca="1">COUNTIFS(Paste_Report_Here!$E$1:$E$2000,E1498, OFFSET(Paste_Report_Here!$A$1,0,$A1526,2000,1),G$75)</f>
        <v>0</v>
      </c>
      <c r="H1526" s="180">
        <f ca="1">COUNTIFS(Paste_Report_Here!$E$1:$E$2000,E1498, OFFSET(Paste_Report_Here!$A$1,0,$A1526,2000,1),H$75)</f>
        <v>24</v>
      </c>
      <c r="I1526" s="180">
        <f ca="1">COUNTIFS(Paste_Report_Here!$E$1:$E$2000,E1498, OFFSET(Paste_Report_Here!$A$1,0,$A1526,2000,1),I$75)</f>
        <v>2</v>
      </c>
      <c r="J1526" s="180">
        <f ca="1">COUNTIFS(Paste_Report_Here!$E$1:$E$2000,E1498, OFFSET(Paste_Report_Here!$A$1,0,$A1526,2000,1),J$75)</f>
        <v>0</v>
      </c>
      <c r="K1526" s="181">
        <f ca="1">COUNTIFS(Paste_Report_Here!$E$1:$E$2000,E1498, OFFSET(Paste_Report_Here!$A$1,0,$A1526,2000,1),K$75)</f>
        <v>0</v>
      </c>
      <c r="L1526" s="166">
        <f t="shared" ca="1" si="226"/>
        <v>26</v>
      </c>
      <c r="M1526" s="183">
        <f ca="1">SUMPRODUCT(F1526:K1526,F1502:K1502)/L:L</f>
        <v>0</v>
      </c>
      <c r="N1526" s="166">
        <f t="shared" ca="1" si="227"/>
        <v>1</v>
      </c>
      <c r="O1526" s="165">
        <f t="shared" ca="1" si="229"/>
        <v>1143.6699917353874</v>
      </c>
      <c r="P1526" s="165">
        <f t="shared" ca="1" si="228"/>
        <v>1143.6699917353874</v>
      </c>
    </row>
    <row r="1527" spans="1:16" s="165" customFormat="1" x14ac:dyDescent="0.3">
      <c r="A1527" s="165">
        <f>MATCH(Calcs!B1527,Paste_Report_Here!$1:$1,0) -1</f>
        <v>28</v>
      </c>
      <c r="B1527" s="165" t="s">
        <v>143</v>
      </c>
      <c r="C1527" s="166">
        <f ca="1">RANK(N1527,N1504:N1528)</f>
        <v>3</v>
      </c>
      <c r="D1527" s="166">
        <f ca="1">RANK(P1527,P1504:P1528)</f>
        <v>1</v>
      </c>
      <c r="E1527" s="189" t="s">
        <v>172</v>
      </c>
      <c r="F1527" s="179">
        <f ca="1">COUNTIFS(Paste_Report_Here!$E$1:$E$2000,E1498, OFFSET(Paste_Report_Here!$A$1,0,$A1527,2000,1),F$75)</f>
        <v>0</v>
      </c>
      <c r="G1527" s="180">
        <f ca="1">COUNTIFS(Paste_Report_Here!$E$1:$E$2000,E1498, OFFSET(Paste_Report_Here!$A$1,0,$A1527,2000,1),G$75)</f>
        <v>0</v>
      </c>
      <c r="H1527" s="180">
        <f ca="1">COUNTIFS(Paste_Report_Here!$E$1:$E$2000,E1498, OFFSET(Paste_Report_Here!$A$1,0,$A1527,2000,1),H$75)</f>
        <v>17</v>
      </c>
      <c r="I1527" s="180">
        <f ca="1">COUNTIFS(Paste_Report_Here!$E$1:$E$2000,E1498, OFFSET(Paste_Report_Here!$A$1,0,$A1527,2000,1),I$75)</f>
        <v>8</v>
      </c>
      <c r="J1527" s="180">
        <f ca="1">COUNTIFS(Paste_Report_Here!$E$1:$E$2000,E1498, OFFSET(Paste_Report_Here!$A$1,0,$A1527,2000,1),J$75)</f>
        <v>1</v>
      </c>
      <c r="K1527" s="181">
        <f ca="1">COUNTIFS(Paste_Report_Here!$E$1:$E$2000,E1498, OFFSET(Paste_Report_Here!$A$1,0,$A1527,2000,1),K$75)</f>
        <v>0</v>
      </c>
      <c r="L1527" s="166">
        <f t="shared" ca="1" si="226"/>
        <v>26</v>
      </c>
      <c r="M1527" s="183">
        <f ca="1">SUMPRODUCT(F1527:K1527,F1502:K1502)/L:L</f>
        <v>7.6923076923076927E-3</v>
      </c>
      <c r="N1527" s="166">
        <f t="shared" ca="1" si="227"/>
        <v>1.0077219694982582</v>
      </c>
      <c r="O1527" s="165">
        <f t="shared" ca="1" si="229"/>
        <v>9779.2409899678314</v>
      </c>
      <c r="P1527" s="165">
        <f t="shared" ca="1" si="228"/>
        <v>9854.7559906084789</v>
      </c>
    </row>
    <row r="1528" spans="1:16" s="165" customFormat="1" x14ac:dyDescent="0.3">
      <c r="A1528" s="165">
        <f>MATCH(Calcs!B1528,Paste_Report_Here!$1:$1,0) -1</f>
        <v>29</v>
      </c>
      <c r="B1528" s="187" t="s">
        <v>144</v>
      </c>
      <c r="C1528" s="147">
        <f ca="1">RANK(N1528,N1504:N1528)</f>
        <v>3</v>
      </c>
      <c r="D1528" s="147">
        <f ca="1">RANK(P1528,P1504:P1528)</f>
        <v>11</v>
      </c>
      <c r="E1528" s="145" t="s">
        <v>173</v>
      </c>
      <c r="F1528" s="146">
        <f ca="1">COUNTIFS(Paste_Report_Here!$E$1:$E$2000,E1498, OFFSET(Paste_Report_Here!$A$1,0,$A1528,2000,1),F$75)</f>
        <v>0</v>
      </c>
      <c r="G1528" s="147">
        <f ca="1">COUNTIFS(Paste_Report_Here!$E$1:$E$2000,E1498, OFFSET(Paste_Report_Here!$A$1,0,$A1528,2000,1),G$75)</f>
        <v>0</v>
      </c>
      <c r="H1528" s="147">
        <f ca="1">COUNTIFS(Paste_Report_Here!$E$1:$E$2000,E1498, OFFSET(Paste_Report_Here!$A$1,0,$A1528,2000,1),H$75)</f>
        <v>22</v>
      </c>
      <c r="I1528" s="147">
        <f ca="1">COUNTIFS(Paste_Report_Here!$E$1:$E$2000,E1498, OFFSET(Paste_Report_Here!$A$1,0,$A1528,2000,1),I$75)</f>
        <v>3</v>
      </c>
      <c r="J1528" s="147">
        <f ca="1">COUNTIFS(Paste_Report_Here!$E$1:$E$2000,E1498, OFFSET(Paste_Report_Here!$A$1,0,$A1528,2000,1),J$75)</f>
        <v>1</v>
      </c>
      <c r="K1528" s="148">
        <f ca="1">COUNTIFS(Paste_Report_Here!$E$1:$E$2000,E1498, OFFSET(Paste_Report_Here!$A$1,0,$A1528,2000,1),K$75)</f>
        <v>0</v>
      </c>
      <c r="L1528" s="147">
        <f t="shared" ca="1" si="226"/>
        <v>26</v>
      </c>
      <c r="M1528" s="149">
        <f ca="1">SUMPRODUCT(F1528:K1528,F1502:K1502)/L:L</f>
        <v>7.6923076923076927E-3</v>
      </c>
      <c r="N1528" s="147">
        <f t="shared" ca="1" si="227"/>
        <v>1.0077219694982582</v>
      </c>
      <c r="O1528" s="187">
        <f t="shared" ca="1" si="229"/>
        <v>2373.8949567469472</v>
      </c>
      <c r="P1528" s="165">
        <f t="shared" ca="1" si="228"/>
        <v>2392.2261011950159</v>
      </c>
    </row>
    <row r="1529" spans="1:16" s="165" customFormat="1" x14ac:dyDescent="0.3">
      <c r="C1529" s="166"/>
      <c r="E1529" s="140" t="s">
        <v>293</v>
      </c>
      <c r="F1529" s="180">
        <f ca="1">SUM(F1504:F1528)</f>
        <v>11</v>
      </c>
      <c r="G1529" s="180">
        <f t="shared" ref="G1529:L1529" ca="1" si="230">SUM(G1504:G1528)</f>
        <v>29</v>
      </c>
      <c r="H1529" s="180">
        <f t="shared" ca="1" si="230"/>
        <v>465</v>
      </c>
      <c r="I1529" s="180">
        <f t="shared" ca="1" si="230"/>
        <v>135</v>
      </c>
      <c r="J1529" s="180">
        <f t="shared" ca="1" si="230"/>
        <v>10</v>
      </c>
      <c r="K1529" s="180">
        <f t="shared" ca="1" si="230"/>
        <v>0</v>
      </c>
      <c r="L1529" s="180">
        <f t="shared" ca="1" si="230"/>
        <v>650</v>
      </c>
      <c r="M1529" s="144">
        <f ca="1">SUMPRODUCT(F1529:K1529,F1502:K1502)/L1529</f>
        <v>-3.0769230769230797E-4</v>
      </c>
      <c r="N1529" s="166">
        <f t="shared" ca="1" si="227"/>
        <v>0.99969235502473108</v>
      </c>
      <c r="O1529" s="165">
        <f t="shared" ca="1" si="229"/>
        <v>2749.4033224351347</v>
      </c>
      <c r="P1529" s="165">
        <f t="shared" ca="1" si="228"/>
        <v>2748.557482318</v>
      </c>
    </row>
    <row r="1530" spans="1:16" s="165" customFormat="1" x14ac:dyDescent="0.3">
      <c r="A1530" s="194"/>
      <c r="B1530" s="194"/>
      <c r="C1530" s="153"/>
      <c r="D1530" s="194"/>
      <c r="E1530" s="164"/>
      <c r="F1530" s="151"/>
      <c r="G1530" s="151"/>
      <c r="H1530" s="151"/>
      <c r="I1530" s="151"/>
      <c r="J1530" s="151"/>
      <c r="K1530" s="151"/>
      <c r="L1530" s="151"/>
      <c r="M1530" s="162"/>
      <c r="N1530" s="153"/>
      <c r="O1530" s="194"/>
      <c r="P1530" s="194"/>
    </row>
    <row r="1531" spans="1:16" s="165" customFormat="1" x14ac:dyDescent="0.3">
      <c r="E1531" s="173" t="s">
        <v>292</v>
      </c>
    </row>
    <row r="1532" spans="1:16" s="165" customFormat="1" x14ac:dyDescent="0.3">
      <c r="E1532" s="141">
        <v>41911</v>
      </c>
    </row>
    <row r="1533" spans="1:16" s="165" customFormat="1" ht="15" thickBot="1" x14ac:dyDescent="0.35"/>
    <row r="1534" spans="1:16" s="165" customFormat="1" ht="24.6" thickBot="1" x14ac:dyDescent="0.35">
      <c r="F1534" s="174" t="s">
        <v>23</v>
      </c>
      <c r="G1534" s="168" t="s">
        <v>18</v>
      </c>
      <c r="H1534" s="168" t="s">
        <v>16</v>
      </c>
      <c r="I1534" s="168" t="s">
        <v>17</v>
      </c>
      <c r="J1534" s="168" t="s">
        <v>19</v>
      </c>
      <c r="K1534" s="169" t="s">
        <v>114</v>
      </c>
    </row>
    <row r="1535" spans="1:16" s="165" customFormat="1" ht="32.25" customHeight="1" x14ac:dyDescent="0.3">
      <c r="F1535" s="267" t="s">
        <v>201</v>
      </c>
      <c r="G1535" s="268"/>
      <c r="H1535" s="268"/>
      <c r="I1535" s="268"/>
      <c r="J1535" s="268"/>
      <c r="K1535" s="169"/>
      <c r="M1535" s="203">
        <f ca="1">(H1563+K1563)/L1563</f>
        <v>0.72173913043478266</v>
      </c>
      <c r="N1535" s="204" t="s">
        <v>501</v>
      </c>
    </row>
    <row r="1536" spans="1:16" s="165" customFormat="1" ht="43.8" thickBot="1" x14ac:dyDescent="0.35">
      <c r="A1536" s="142" t="s">
        <v>294</v>
      </c>
      <c r="B1536" s="142" t="s">
        <v>295</v>
      </c>
      <c r="C1536" s="197" t="s">
        <v>440</v>
      </c>
      <c r="D1536" s="142" t="s">
        <v>441</v>
      </c>
      <c r="E1536" s="171" t="s">
        <v>30</v>
      </c>
      <c r="F1536" s="175">
        <f>Falling_fast</f>
        <v>-0.2</v>
      </c>
      <c r="G1536" s="176">
        <f>Falling</f>
        <v>0</v>
      </c>
      <c r="H1536" s="177">
        <f>Static</f>
        <v>0</v>
      </c>
      <c r="I1536" s="176">
        <f>Rising</f>
        <v>0</v>
      </c>
      <c r="J1536" s="178">
        <f>Rising_fast</f>
        <v>0.2</v>
      </c>
      <c r="K1536" s="182">
        <v>0</v>
      </c>
      <c r="L1536" s="171" t="s">
        <v>28</v>
      </c>
      <c r="M1536" s="172" t="s">
        <v>29</v>
      </c>
      <c r="N1536" s="143" t="s">
        <v>296</v>
      </c>
      <c r="O1536" s="142" t="s">
        <v>297</v>
      </c>
      <c r="P1536" s="142" t="s">
        <v>298</v>
      </c>
    </row>
    <row r="1537" spans="1:16" s="165" customFormat="1" x14ac:dyDescent="0.3">
      <c r="C1537" s="166"/>
      <c r="E1537" s="192"/>
      <c r="F1537" s="198" t="s">
        <v>151</v>
      </c>
      <c r="G1537" s="199" t="s">
        <v>149</v>
      </c>
      <c r="H1537" s="199" t="s">
        <v>16</v>
      </c>
      <c r="I1537" s="199" t="s">
        <v>148</v>
      </c>
      <c r="J1537" s="199" t="s">
        <v>150</v>
      </c>
      <c r="K1537" s="200" t="s">
        <v>114</v>
      </c>
      <c r="L1537" s="166"/>
      <c r="M1537" s="170"/>
      <c r="N1537" s="166"/>
    </row>
    <row r="1538" spans="1:16" s="165" customFormat="1" x14ac:dyDescent="0.3">
      <c r="A1538" s="165">
        <f>MATCH(Calcs!B1538,Paste_Report_Here!$1:$1,0) -1</f>
        <v>5</v>
      </c>
      <c r="B1538" s="165" t="s">
        <v>124</v>
      </c>
      <c r="C1538" s="166">
        <f ca="1">RANK(N1538,N1538:N1562)</f>
        <v>6</v>
      </c>
      <c r="D1538" s="166">
        <f ca="1">RANK(P1538,P1538:P1562)</f>
        <v>16</v>
      </c>
      <c r="E1538" s="189" t="s">
        <v>152</v>
      </c>
      <c r="F1538" s="179">
        <f ca="1">COUNTIFS(Paste_Report_Here!$E$1:$E$2000,E1532, OFFSET(Paste_Report_Here!$A$1,0,$A1538,2000,1),F$75)</f>
        <v>1</v>
      </c>
      <c r="G1538" s="180">
        <f ca="1">COUNTIFS(Paste_Report_Here!$E$1:$E$2000,E1532, OFFSET(Paste_Report_Here!$A$1,0,$A1538,2000,1),G$75)</f>
        <v>1</v>
      </c>
      <c r="H1538" s="180">
        <f ca="1">COUNTIFS(Paste_Report_Here!$E$1:$E$2000,E1532, OFFSET(Paste_Report_Here!$A$1,0,$A1538,2000,1),H$75)</f>
        <v>16</v>
      </c>
      <c r="I1538" s="180">
        <f ca="1">COUNTIFS(Paste_Report_Here!$E$1:$E$2000,E1532, OFFSET(Paste_Report_Here!$A$1,0,$A1538,2000,1),I$75)</f>
        <v>3</v>
      </c>
      <c r="J1538" s="180">
        <f ca="1">COUNTIFS(Paste_Report_Here!$E$1:$E$2000,E1532, OFFSET(Paste_Report_Here!$A$1,0,$A1538,2000,1),J$75)</f>
        <v>2</v>
      </c>
      <c r="K1538" s="181">
        <f ca="1">COUNTIFS(Paste_Report_Here!$E$1:$E$2000,E1532, OFFSET(Paste_Report_Here!$A$1,0,$A1538,2000,1),K$75)</f>
        <v>0</v>
      </c>
      <c r="L1538" s="166">
        <f t="shared" ref="L1538:L1562" ca="1" si="231">SUM(F1538:K1538)</f>
        <v>23</v>
      </c>
      <c r="M1538" s="183">
        <f ca="1">SUMPRODUCT(F1538:K1538,F1536:K1536)/L:L</f>
        <v>8.6956521739130436E-3</v>
      </c>
      <c r="N1538" s="166">
        <f t="shared" ref="N1538:N1563" ca="1" si="232">EXP(M1538)</f>
        <v>1.0087335691819621</v>
      </c>
      <c r="O1538" s="165">
        <f ca="1">P1504</f>
        <v>2114.9420026365851</v>
      </c>
      <c r="P1538" s="165">
        <f t="shared" ref="P1538:P1563" ca="1" si="233">O1538*N1538</f>
        <v>2133.4129949324492</v>
      </c>
    </row>
    <row r="1539" spans="1:16" s="165" customFormat="1" x14ac:dyDescent="0.3">
      <c r="A1539" s="165">
        <f>MATCH(Calcs!B1539,Paste_Report_Here!$1:$1,0) -1</f>
        <v>6</v>
      </c>
      <c r="B1539" s="165" t="s">
        <v>125</v>
      </c>
      <c r="C1539" s="166">
        <f ca="1">RANK(N1539,N1538:N1562)</f>
        <v>19</v>
      </c>
      <c r="D1539" s="166">
        <f ca="1">RANK(P1539,P1538:P1562)</f>
        <v>17</v>
      </c>
      <c r="E1539" s="189" t="s">
        <v>153</v>
      </c>
      <c r="F1539" s="179">
        <f ca="1">COUNTIFS(Paste_Report_Here!$E$1:$E$2000,E1532, OFFSET(Paste_Report_Here!$A$1,0,$A1539,2000,1),F$75)</f>
        <v>1</v>
      </c>
      <c r="G1539" s="180">
        <f ca="1">COUNTIFS(Paste_Report_Here!$E$1:$E$2000,E1532, OFFSET(Paste_Report_Here!$A$1,0,$A1539,2000,1),G$75)</f>
        <v>0</v>
      </c>
      <c r="H1539" s="180">
        <f ca="1">COUNTIFS(Paste_Report_Here!$E$1:$E$2000,E1532, OFFSET(Paste_Report_Here!$A$1,0,$A1539,2000,1),H$75)</f>
        <v>19</v>
      </c>
      <c r="I1539" s="180">
        <f ca="1">COUNTIFS(Paste_Report_Here!$E$1:$E$2000,E1532, OFFSET(Paste_Report_Here!$A$1,0,$A1539,2000,1),I$75)</f>
        <v>3</v>
      </c>
      <c r="J1539" s="180">
        <f ca="1">COUNTIFS(Paste_Report_Here!$E$1:$E$2000,E1532, OFFSET(Paste_Report_Here!$A$1,0,$A1539,2000,1),J$75)</f>
        <v>0</v>
      </c>
      <c r="K1539" s="181">
        <f ca="1">COUNTIFS(Paste_Report_Here!$E$1:$E$2000,E1532, OFFSET(Paste_Report_Here!$A$1,0,$A1539,2000,1),K$75)</f>
        <v>0</v>
      </c>
      <c r="L1539" s="166">
        <f t="shared" ca="1" si="231"/>
        <v>23</v>
      </c>
      <c r="M1539" s="183">
        <f ca="1">SUMPRODUCT(F1539:K1539,F1536:K1536)/L:L</f>
        <v>-8.6956521739130436E-3</v>
      </c>
      <c r="N1539" s="166">
        <f t="shared" ca="1" si="232"/>
        <v>0.99134204566122985</v>
      </c>
      <c r="O1539" s="165">
        <f t="shared" ref="O1539:O1563" ca="1" si="234">P1505</f>
        <v>2121.0308107622359</v>
      </c>
      <c r="P1539" s="165">
        <f t="shared" ca="1" si="233"/>
        <v>2102.6670228515318</v>
      </c>
    </row>
    <row r="1540" spans="1:16" s="165" customFormat="1" x14ac:dyDescent="0.3">
      <c r="A1540" s="165">
        <f>MATCH(Calcs!B1540,Paste_Report_Here!$1:$1,0) -1</f>
        <v>7</v>
      </c>
      <c r="B1540" s="165" t="s">
        <v>126</v>
      </c>
      <c r="C1540" s="166">
        <f ca="1">RANK(N1540,N1538:N1562)</f>
        <v>19</v>
      </c>
      <c r="D1540" s="166">
        <f ca="1">RANK(P1540,P1538:P1562)</f>
        <v>8</v>
      </c>
      <c r="E1540" s="189" t="s">
        <v>154</v>
      </c>
      <c r="F1540" s="179">
        <f ca="1">COUNTIFS(Paste_Report_Here!$E$1:$E$2000,E1532, OFFSET(Paste_Report_Here!$A$1,0,$A1540,2000,1),F$75)</f>
        <v>1</v>
      </c>
      <c r="G1540" s="180">
        <f ca="1">COUNTIFS(Paste_Report_Here!$E$1:$E$2000,E1532, OFFSET(Paste_Report_Here!$A$1,0,$A1540,2000,1),G$75)</f>
        <v>1</v>
      </c>
      <c r="H1540" s="180">
        <f ca="1">COUNTIFS(Paste_Report_Here!$E$1:$E$2000,E1532, OFFSET(Paste_Report_Here!$A$1,0,$A1540,2000,1),H$75)</f>
        <v>18</v>
      </c>
      <c r="I1540" s="180">
        <f ca="1">COUNTIFS(Paste_Report_Here!$E$1:$E$2000,E1532, OFFSET(Paste_Report_Here!$A$1,0,$A1540,2000,1),I$75)</f>
        <v>3</v>
      </c>
      <c r="J1540" s="180">
        <f ca="1">COUNTIFS(Paste_Report_Here!$E$1:$E$2000,E1532, OFFSET(Paste_Report_Here!$A$1,0,$A1540,2000,1),J$75)</f>
        <v>0</v>
      </c>
      <c r="K1540" s="181">
        <f ca="1">COUNTIFS(Paste_Report_Here!$E$1:$E$2000,E1532, OFFSET(Paste_Report_Here!$A$1,0,$A1540,2000,1),K$75)</f>
        <v>0</v>
      </c>
      <c r="L1540" s="166">
        <f t="shared" ca="1" si="231"/>
        <v>23</v>
      </c>
      <c r="M1540" s="183">
        <f ca="1">SUMPRODUCT(F1540:K1540,F1536:K1536)/L:L</f>
        <v>-8.6956521739130436E-3</v>
      </c>
      <c r="N1540" s="166">
        <f t="shared" ca="1" si="232"/>
        <v>0.99134204566122985</v>
      </c>
      <c r="O1540" s="165">
        <f t="shared" ca="1" si="234"/>
        <v>2696.3753283215738</v>
      </c>
      <c r="P1540" s="165">
        <f t="shared" ca="1" si="233"/>
        <v>2673.0302338487791</v>
      </c>
    </row>
    <row r="1541" spans="1:16" s="165" customFormat="1" x14ac:dyDescent="0.3">
      <c r="A1541" s="165">
        <f>MATCH(Calcs!B1541,Paste_Report_Here!$1:$1,0) -1</f>
        <v>8</v>
      </c>
      <c r="B1541" s="165" t="s">
        <v>127</v>
      </c>
      <c r="C1541" s="166">
        <f ca="1">RANK(N1541,N1538:N1562)</f>
        <v>11</v>
      </c>
      <c r="D1541" s="166">
        <f ca="1">RANK(P1541,P1538:P1562)</f>
        <v>7</v>
      </c>
      <c r="E1541" s="189" t="s">
        <v>155</v>
      </c>
      <c r="F1541" s="179">
        <f ca="1">COUNTIFS(Paste_Report_Here!$E$1:$E$2000,E1532, OFFSET(Paste_Report_Here!$A$1,0,$A1541,2000,1),F$75)</f>
        <v>0</v>
      </c>
      <c r="G1541" s="180">
        <f ca="1">COUNTIFS(Paste_Report_Here!$E$1:$E$2000,E1532, OFFSET(Paste_Report_Here!$A$1,0,$A1541,2000,1),G$75)</f>
        <v>1</v>
      </c>
      <c r="H1541" s="180">
        <f ca="1">COUNTIFS(Paste_Report_Here!$E$1:$E$2000,E1532, OFFSET(Paste_Report_Here!$A$1,0,$A1541,2000,1),H$75)</f>
        <v>15</v>
      </c>
      <c r="I1541" s="180">
        <f ca="1">COUNTIFS(Paste_Report_Here!$E$1:$E$2000,E1532, OFFSET(Paste_Report_Here!$A$1,0,$A1541,2000,1),I$75)</f>
        <v>7</v>
      </c>
      <c r="J1541" s="180">
        <f ca="1">COUNTIFS(Paste_Report_Here!$E$1:$E$2000,E1532, OFFSET(Paste_Report_Here!$A$1,0,$A1541,2000,1),J$75)</f>
        <v>0</v>
      </c>
      <c r="K1541" s="181">
        <f ca="1">COUNTIFS(Paste_Report_Here!$E$1:$E$2000,E1532, OFFSET(Paste_Report_Here!$A$1,0,$A1541,2000,1),K$75)</f>
        <v>0</v>
      </c>
      <c r="L1541" s="166">
        <f t="shared" ca="1" si="231"/>
        <v>23</v>
      </c>
      <c r="M1541" s="183">
        <f ca="1">SUMPRODUCT(F1541:K1541,F1536:K1536)/L:L</f>
        <v>0</v>
      </c>
      <c r="N1541" s="166">
        <f t="shared" ca="1" si="232"/>
        <v>1</v>
      </c>
      <c r="O1541" s="165">
        <f t="shared" ca="1" si="234"/>
        <v>2986.6878137307476</v>
      </c>
      <c r="P1541" s="165">
        <f t="shared" ca="1" si="233"/>
        <v>2986.6878137307476</v>
      </c>
    </row>
    <row r="1542" spans="1:16" s="165" customFormat="1" x14ac:dyDescent="0.3">
      <c r="A1542" s="165">
        <f>MATCH(Calcs!B1542,Paste_Report_Here!$1:$1,0) -1</f>
        <v>9</v>
      </c>
      <c r="B1542" s="165" t="s">
        <v>214</v>
      </c>
      <c r="C1542" s="166">
        <f ca="1">RANK(N1542,N1538:N1562)</f>
        <v>1</v>
      </c>
      <c r="D1542" s="166">
        <f ca="1">RANK(P1542,P1538:P1562)</f>
        <v>5</v>
      </c>
      <c r="E1542" s="189" t="s">
        <v>156</v>
      </c>
      <c r="F1542" s="179">
        <f ca="1">COUNTIFS(Paste_Report_Here!$E$1:$E$2000,E1532, OFFSET(Paste_Report_Here!$A$1,0,$A1542,2000,1),F$75)</f>
        <v>0</v>
      </c>
      <c r="G1542" s="180">
        <f ca="1">COUNTIFS(Paste_Report_Here!$E$1:$E$2000,E1532, OFFSET(Paste_Report_Here!$A$1,0,$A1542,2000,1),G$75)</f>
        <v>0</v>
      </c>
      <c r="H1542" s="180">
        <f ca="1">COUNTIFS(Paste_Report_Here!$E$1:$E$2000,E1532, OFFSET(Paste_Report_Here!$A$1,0,$A1542,2000,1),H$75)</f>
        <v>12</v>
      </c>
      <c r="I1542" s="180">
        <f ca="1">COUNTIFS(Paste_Report_Here!$E$1:$E$2000,E1532, OFFSET(Paste_Report_Here!$A$1,0,$A1542,2000,1),I$75)</f>
        <v>8</v>
      </c>
      <c r="J1542" s="180">
        <f ca="1">COUNTIFS(Paste_Report_Here!$E$1:$E$2000,E1532, OFFSET(Paste_Report_Here!$A$1,0,$A1542,2000,1),J$75)</f>
        <v>3</v>
      </c>
      <c r="K1542" s="181">
        <f ca="1">COUNTIFS(Paste_Report_Here!$E$1:$E$2000,E1532, OFFSET(Paste_Report_Here!$A$1,0,$A1542,2000,1),K$75)</f>
        <v>0</v>
      </c>
      <c r="L1542" s="166">
        <f t="shared" ca="1" si="231"/>
        <v>23</v>
      </c>
      <c r="M1542" s="183">
        <f ca="1">SUMPRODUCT(F1542:K1542,F1536:K1536)/L:L</f>
        <v>2.6086956521739136E-2</v>
      </c>
      <c r="N1542" s="166">
        <f t="shared" ca="1" si="232"/>
        <v>1.0264301993928584</v>
      </c>
      <c r="O1542" s="165">
        <f t="shared" ca="1" si="234"/>
        <v>3965.1366539302758</v>
      </c>
      <c r="P1542" s="165">
        <f t="shared" ca="1" si="233"/>
        <v>4069.9360063135841</v>
      </c>
    </row>
    <row r="1543" spans="1:16" s="165" customFormat="1" x14ac:dyDescent="0.3">
      <c r="A1543" s="165">
        <f>MATCH(Calcs!B1543,Paste_Report_Here!$1:$1,0) -1</f>
        <v>10</v>
      </c>
      <c r="B1543" s="165" t="s">
        <v>128</v>
      </c>
      <c r="C1543" s="166">
        <f ca="1">RANK(N1543,N1538:N1562)</f>
        <v>19</v>
      </c>
      <c r="D1543" s="166">
        <f ca="1">RANK(P1543,P1538:P1562)</f>
        <v>21</v>
      </c>
      <c r="E1543" s="189" t="s">
        <v>157</v>
      </c>
      <c r="F1543" s="179">
        <f ca="1">COUNTIFS(Paste_Report_Here!$E$1:$E$2000,E1532, OFFSET(Paste_Report_Here!$A$1,0,$A1543,2000,1),F$75)</f>
        <v>1</v>
      </c>
      <c r="G1543" s="180">
        <f ca="1">COUNTIFS(Paste_Report_Here!$E$1:$E$2000,E1532, OFFSET(Paste_Report_Here!$A$1,0,$A1543,2000,1),G$75)</f>
        <v>2</v>
      </c>
      <c r="H1543" s="180">
        <f ca="1">COUNTIFS(Paste_Report_Here!$E$1:$E$2000,E1532, OFFSET(Paste_Report_Here!$A$1,0,$A1543,2000,1),H$75)</f>
        <v>20</v>
      </c>
      <c r="I1543" s="180">
        <f ca="1">COUNTIFS(Paste_Report_Here!$E$1:$E$2000,E1532, OFFSET(Paste_Report_Here!$A$1,0,$A1543,2000,1),I$75)</f>
        <v>0</v>
      </c>
      <c r="J1543" s="180">
        <f ca="1">COUNTIFS(Paste_Report_Here!$E$1:$E$2000,E1532, OFFSET(Paste_Report_Here!$A$1,0,$A1543,2000,1),J$75)</f>
        <v>0</v>
      </c>
      <c r="K1543" s="181">
        <f ca="1">COUNTIFS(Paste_Report_Here!$E$1:$E$2000,E1532, OFFSET(Paste_Report_Here!$A$1,0,$A1543,2000,1),K$75)</f>
        <v>0</v>
      </c>
      <c r="L1543" s="166">
        <f t="shared" ca="1" si="231"/>
        <v>23</v>
      </c>
      <c r="M1543" s="183">
        <f ca="1">SUMPRODUCT(F1543:K1543,F1536:K1536)/L:L</f>
        <v>-8.6956521739130436E-3</v>
      </c>
      <c r="N1543" s="166">
        <f t="shared" ca="1" si="232"/>
        <v>0.99134204566122985</v>
      </c>
      <c r="O1543" s="165">
        <f t="shared" ca="1" si="234"/>
        <v>1578.0406372743143</v>
      </c>
      <c r="P1543" s="165">
        <f t="shared" ca="1" si="233"/>
        <v>1564.3780334920696</v>
      </c>
    </row>
    <row r="1544" spans="1:16" s="165" customFormat="1" x14ac:dyDescent="0.3">
      <c r="A1544" s="165">
        <f>MATCH(Calcs!B1544,Paste_Report_Here!$1:$1,0) -1</f>
        <v>11</v>
      </c>
      <c r="B1544" s="165" t="s">
        <v>129</v>
      </c>
      <c r="C1544" s="166">
        <f ca="1">RANK(N1544,N1538:N1562)</f>
        <v>19</v>
      </c>
      <c r="D1544" s="166">
        <f ca="1">RANK(P1544,P1538:P1562)</f>
        <v>10</v>
      </c>
      <c r="E1544" s="189" t="s">
        <v>158</v>
      </c>
      <c r="F1544" s="179">
        <f ca="1">COUNTIFS(Paste_Report_Here!$E$1:$E$2000,E1532, OFFSET(Paste_Report_Here!$A$1,0,$A1544,2000,1),F$75)</f>
        <v>1</v>
      </c>
      <c r="G1544" s="180">
        <f ca="1">COUNTIFS(Paste_Report_Here!$E$1:$E$2000,E1532, OFFSET(Paste_Report_Here!$A$1,0,$A1544,2000,1),G$75)</f>
        <v>1</v>
      </c>
      <c r="H1544" s="180">
        <f ca="1">COUNTIFS(Paste_Report_Here!$E$1:$E$2000,E1532, OFFSET(Paste_Report_Here!$A$1,0,$A1544,2000,1),H$75)</f>
        <v>17</v>
      </c>
      <c r="I1544" s="180">
        <f ca="1">COUNTIFS(Paste_Report_Here!$E$1:$E$2000,E1532, OFFSET(Paste_Report_Here!$A$1,0,$A1544,2000,1),I$75)</f>
        <v>4</v>
      </c>
      <c r="J1544" s="180">
        <f ca="1">COUNTIFS(Paste_Report_Here!$E$1:$E$2000,E1532, OFFSET(Paste_Report_Here!$A$1,0,$A1544,2000,1),J$75)</f>
        <v>0</v>
      </c>
      <c r="K1544" s="181">
        <f ca="1">COUNTIFS(Paste_Report_Here!$E$1:$E$2000,E1532, OFFSET(Paste_Report_Here!$A$1,0,$A1544,2000,1),K$75)</f>
        <v>0</v>
      </c>
      <c r="L1544" s="166">
        <f t="shared" ca="1" si="231"/>
        <v>23</v>
      </c>
      <c r="M1544" s="183">
        <f ca="1">SUMPRODUCT(F1544:K1544,F1536:K1536)/L:L</f>
        <v>-8.6956521739130436E-3</v>
      </c>
      <c r="N1544" s="166">
        <f t="shared" ca="1" si="232"/>
        <v>0.99134204566122985</v>
      </c>
      <c r="O1544" s="165">
        <f t="shared" ca="1" si="234"/>
        <v>2560.5680303768227</v>
      </c>
      <c r="P1544" s="165">
        <f t="shared" ca="1" si="233"/>
        <v>2538.3987492885053</v>
      </c>
    </row>
    <row r="1545" spans="1:16" s="165" customFormat="1" x14ac:dyDescent="0.3">
      <c r="A1545" s="165">
        <f>MATCH(Calcs!B1545,Paste_Report_Here!$1:$1,0) -1</f>
        <v>12</v>
      </c>
      <c r="B1545" s="165" t="s">
        <v>130</v>
      </c>
      <c r="C1545" s="166">
        <f ca="1">RANK(N1545,N1538:N1562)</f>
        <v>11</v>
      </c>
      <c r="D1545" s="166">
        <f ca="1">RANK(P1545,P1538:P1562)</f>
        <v>9</v>
      </c>
      <c r="E1545" s="189" t="s">
        <v>159</v>
      </c>
      <c r="F1545" s="179">
        <f ca="1">COUNTIFS(Paste_Report_Here!$E$1:$E$2000,E1532, OFFSET(Paste_Report_Here!$A$1,0,$A1545,2000,1),F$75)</f>
        <v>0</v>
      </c>
      <c r="G1545" s="180">
        <f ca="1">COUNTIFS(Paste_Report_Here!$E$1:$E$2000,E1532, OFFSET(Paste_Report_Here!$A$1,0,$A1545,2000,1),G$75)</f>
        <v>1</v>
      </c>
      <c r="H1545" s="180">
        <f ca="1">COUNTIFS(Paste_Report_Here!$E$1:$E$2000,E1532, OFFSET(Paste_Report_Here!$A$1,0,$A1545,2000,1),H$75)</f>
        <v>13</v>
      </c>
      <c r="I1545" s="180">
        <f ca="1">COUNTIFS(Paste_Report_Here!$E$1:$E$2000,E1532, OFFSET(Paste_Report_Here!$A$1,0,$A1545,2000,1),I$75)</f>
        <v>9</v>
      </c>
      <c r="J1545" s="180">
        <f ca="1">COUNTIFS(Paste_Report_Here!$E$1:$E$2000,E1532, OFFSET(Paste_Report_Here!$A$1,0,$A1545,2000,1),J$75)</f>
        <v>0</v>
      </c>
      <c r="K1545" s="181">
        <f ca="1">COUNTIFS(Paste_Report_Here!$E$1:$E$2000,E1532, OFFSET(Paste_Report_Here!$A$1,0,$A1545,2000,1),K$75)</f>
        <v>0</v>
      </c>
      <c r="L1545" s="166">
        <f t="shared" ca="1" si="231"/>
        <v>23</v>
      </c>
      <c r="M1545" s="183">
        <f ca="1">SUMPRODUCT(F1545:K1545,F1536:K1536)/L:L</f>
        <v>0</v>
      </c>
      <c r="N1545" s="166">
        <f t="shared" ca="1" si="232"/>
        <v>1</v>
      </c>
      <c r="O1545" s="165">
        <f t="shared" ca="1" si="234"/>
        <v>2549.6247402490003</v>
      </c>
      <c r="P1545" s="165">
        <f t="shared" ca="1" si="233"/>
        <v>2549.6247402490003</v>
      </c>
    </row>
    <row r="1546" spans="1:16" s="165" customFormat="1" x14ac:dyDescent="0.3">
      <c r="A1546" s="165">
        <f>MATCH(Calcs!B1546,Paste_Report_Here!$1:$1,0) -1</f>
        <v>13</v>
      </c>
      <c r="B1546" s="165" t="s">
        <v>131</v>
      </c>
      <c r="C1546" s="166">
        <f ca="1">RANK(N1546,N1538:N1562)</f>
        <v>1</v>
      </c>
      <c r="D1546" s="166">
        <f ca="1">RANK(P1546,P1538:P1562)</f>
        <v>2</v>
      </c>
      <c r="E1546" s="189" t="s">
        <v>160</v>
      </c>
      <c r="F1546" s="179">
        <f ca="1">COUNTIFS(Paste_Report_Here!$E$1:$E$2000,E1532, OFFSET(Paste_Report_Here!$A$1,0,$A1546,2000,1),F$75)</f>
        <v>0</v>
      </c>
      <c r="G1546" s="180">
        <f ca="1">COUNTIFS(Paste_Report_Here!$E$1:$E$2000,E1532, OFFSET(Paste_Report_Here!$A$1,0,$A1546,2000,1),G$75)</f>
        <v>1</v>
      </c>
      <c r="H1546" s="180">
        <f ca="1">COUNTIFS(Paste_Report_Here!$E$1:$E$2000,E1532, OFFSET(Paste_Report_Here!$A$1,0,$A1546,2000,1),H$75)</f>
        <v>12</v>
      </c>
      <c r="I1546" s="180">
        <f ca="1">COUNTIFS(Paste_Report_Here!$E$1:$E$2000,E1532, OFFSET(Paste_Report_Here!$A$1,0,$A1546,2000,1),I$75)</f>
        <v>7</v>
      </c>
      <c r="J1546" s="180">
        <f ca="1">COUNTIFS(Paste_Report_Here!$E$1:$E$2000,E1532, OFFSET(Paste_Report_Here!$A$1,0,$A1546,2000,1),J$75)</f>
        <v>3</v>
      </c>
      <c r="K1546" s="181">
        <f ca="1">COUNTIFS(Paste_Report_Here!$E$1:$E$2000,E1532, OFFSET(Paste_Report_Here!$A$1,0,$A1546,2000,1),K$75)</f>
        <v>0</v>
      </c>
      <c r="L1546" s="166">
        <f t="shared" ca="1" si="231"/>
        <v>23</v>
      </c>
      <c r="M1546" s="183">
        <f ca="1">SUMPRODUCT(F1546:K1546,F1536:K1536)/L:L</f>
        <v>2.6086956521739136E-2</v>
      </c>
      <c r="N1546" s="166">
        <f t="shared" ca="1" si="232"/>
        <v>1.0264301993928584</v>
      </c>
      <c r="O1546" s="165">
        <f t="shared" ca="1" si="234"/>
        <v>4912.8413580142442</v>
      </c>
      <c r="P1546" s="165">
        <f t="shared" ca="1" si="233"/>
        <v>5042.6887346920421</v>
      </c>
    </row>
    <row r="1547" spans="1:16" s="165" customFormat="1" x14ac:dyDescent="0.3">
      <c r="A1547" s="165">
        <f>MATCH(Calcs!B1547,Paste_Report_Here!$1:$1,0) -1</f>
        <v>14</v>
      </c>
      <c r="B1547" s="165" t="s">
        <v>132</v>
      </c>
      <c r="C1547" s="166">
        <v>3</v>
      </c>
      <c r="D1547" s="166">
        <f ca="1">RANK(P1547,P1538:P1562)</f>
        <v>14</v>
      </c>
      <c r="E1547" s="189" t="s">
        <v>161</v>
      </c>
      <c r="F1547" s="179">
        <f ca="1">COUNTIFS(Paste_Report_Here!$E$1:$E$2000,E1532, OFFSET(Paste_Report_Here!$A$1,0,$A1547,2000,1),F$75)</f>
        <v>0</v>
      </c>
      <c r="G1547" s="180">
        <f ca="1">COUNTIFS(Paste_Report_Here!$E$1:$E$2000,E1532, OFFSET(Paste_Report_Here!$A$1,0,$A1547,2000,1),G$75)</f>
        <v>0</v>
      </c>
      <c r="H1547" s="180">
        <f ca="1">COUNTIFS(Paste_Report_Here!$E$1:$E$2000,E1532, OFFSET(Paste_Report_Here!$A$1,0,$A1547,2000,1),H$75)</f>
        <v>14</v>
      </c>
      <c r="I1547" s="180">
        <f ca="1">COUNTIFS(Paste_Report_Here!$E$1:$E$2000,E1532, OFFSET(Paste_Report_Here!$A$1,0,$A1547,2000,1),I$75)</f>
        <v>6</v>
      </c>
      <c r="J1547" s="180">
        <f ca="1">COUNTIFS(Paste_Report_Here!$E$1:$E$2000,E1532, OFFSET(Paste_Report_Here!$A$1,0,$A1547,2000,1),J$75)</f>
        <v>3</v>
      </c>
      <c r="K1547" s="181">
        <f ca="1">COUNTIFS(Paste_Report_Here!$E$1:$E$2000,E1532, OFFSET(Paste_Report_Here!$A$1,0,$A1547,2000,1),K$75)</f>
        <v>0</v>
      </c>
      <c r="L1547" s="166">
        <f t="shared" ca="1" si="231"/>
        <v>23</v>
      </c>
      <c r="M1547" s="183">
        <f ca="1">SUMPRODUCT(F1547:K1547,F1536:K1536)/L:L</f>
        <v>2.6086956521739136E-2</v>
      </c>
      <c r="N1547" s="166">
        <f t="shared" ca="1" si="232"/>
        <v>1.0264301993928584</v>
      </c>
      <c r="O1547" s="165">
        <f t="shared" ca="1" si="234"/>
        <v>2138.0302666291959</v>
      </c>
      <c r="P1547" s="165">
        <f t="shared" ca="1" si="233"/>
        <v>2194.5388328841718</v>
      </c>
    </row>
    <row r="1548" spans="1:16" s="165" customFormat="1" x14ac:dyDescent="0.3">
      <c r="A1548" s="165">
        <f>MATCH(Calcs!B1548,Paste_Report_Here!$1:$1,0) -1</f>
        <v>15</v>
      </c>
      <c r="B1548" s="165" t="s">
        <v>133</v>
      </c>
      <c r="C1548" s="166">
        <f ca="1">RANK(N1548,N1538:N1562)</f>
        <v>6</v>
      </c>
      <c r="D1548" s="166">
        <f ca="1">RANK(P1548,P1538:P1562)</f>
        <v>6</v>
      </c>
      <c r="E1548" s="189" t="s">
        <v>162</v>
      </c>
      <c r="F1548" s="179">
        <f ca="1">COUNTIFS(Paste_Report_Here!$E$1:$E$2000,E1532, OFFSET(Paste_Report_Here!$A$1,0,$A1548,2000,1),F$75)</f>
        <v>1</v>
      </c>
      <c r="G1548" s="180">
        <f ca="1">COUNTIFS(Paste_Report_Here!$E$1:$E$2000,E1532, OFFSET(Paste_Report_Here!$A$1,0,$A1548,2000,1),G$75)</f>
        <v>0</v>
      </c>
      <c r="H1548" s="180">
        <f ca="1">COUNTIFS(Paste_Report_Here!$E$1:$E$2000,E1532, OFFSET(Paste_Report_Here!$A$1,0,$A1548,2000,1),H$75)</f>
        <v>14</v>
      </c>
      <c r="I1548" s="180">
        <f ca="1">COUNTIFS(Paste_Report_Here!$E$1:$E$2000,E1532, OFFSET(Paste_Report_Here!$A$1,0,$A1548,2000,1),I$75)</f>
        <v>6</v>
      </c>
      <c r="J1548" s="180">
        <f ca="1">COUNTIFS(Paste_Report_Here!$E$1:$E$2000,E1532, OFFSET(Paste_Report_Here!$A$1,0,$A1548,2000,1),J$75)</f>
        <v>2</v>
      </c>
      <c r="K1548" s="181">
        <f ca="1">COUNTIFS(Paste_Report_Here!$E$1:$E$2000,E1532, OFFSET(Paste_Report_Here!$A$1,0,$A1548,2000,1),K$75)</f>
        <v>0</v>
      </c>
      <c r="L1548" s="166">
        <f t="shared" ca="1" si="231"/>
        <v>23</v>
      </c>
      <c r="M1548" s="183">
        <f ca="1">SUMPRODUCT(F1548:K1548,F1536:K1536)/L:L</f>
        <v>8.6956521739130436E-3</v>
      </c>
      <c r="N1548" s="166">
        <f t="shared" ca="1" si="232"/>
        <v>1.0087335691819621</v>
      </c>
      <c r="O1548" s="165">
        <f t="shared" ca="1" si="234"/>
        <v>3234.5843798042647</v>
      </c>
      <c r="P1548" s="165">
        <f t="shared" ca="1" si="233"/>
        <v>3262.8338462601791</v>
      </c>
    </row>
    <row r="1549" spans="1:16" s="165" customFormat="1" x14ac:dyDescent="0.3">
      <c r="A1549" s="165">
        <f>MATCH(Calcs!B1549,Paste_Report_Here!$1:$1,0) -1</f>
        <v>16</v>
      </c>
      <c r="B1549" s="165" t="s">
        <v>134</v>
      </c>
      <c r="C1549" s="166">
        <f ca="1">RANK(N1549,N1538:N1562)</f>
        <v>6</v>
      </c>
      <c r="D1549" s="166">
        <f ca="1">RANK(P1549,P1538:P1562)</f>
        <v>24</v>
      </c>
      <c r="E1549" s="189" t="s">
        <v>163</v>
      </c>
      <c r="F1549" s="179">
        <f ca="1">COUNTIFS(Paste_Report_Here!$E$1:$E$2000,E1532, OFFSET(Paste_Report_Here!$A$1,0,$A1549,2000,1),F$75)</f>
        <v>0</v>
      </c>
      <c r="G1549" s="180">
        <f ca="1">COUNTIFS(Paste_Report_Here!$E$1:$E$2000,E1532, OFFSET(Paste_Report_Here!$A$1,0,$A1549,2000,1),G$75)</f>
        <v>0</v>
      </c>
      <c r="H1549" s="180">
        <f ca="1">COUNTIFS(Paste_Report_Here!$E$1:$E$2000,E1532, OFFSET(Paste_Report_Here!$A$1,0,$A1549,2000,1),H$75)</f>
        <v>21</v>
      </c>
      <c r="I1549" s="180">
        <f ca="1">COUNTIFS(Paste_Report_Here!$E$1:$E$2000,E1532, OFFSET(Paste_Report_Here!$A$1,0,$A1549,2000,1),I$75)</f>
        <v>1</v>
      </c>
      <c r="J1549" s="180">
        <f ca="1">COUNTIFS(Paste_Report_Here!$E$1:$E$2000,E1532, OFFSET(Paste_Report_Here!$A$1,0,$A1549,2000,1),J$75)</f>
        <v>1</v>
      </c>
      <c r="K1549" s="181">
        <f ca="1">COUNTIFS(Paste_Report_Here!$E$1:$E$2000,E1532, OFFSET(Paste_Report_Here!$A$1,0,$A1549,2000,1),K$75)</f>
        <v>0</v>
      </c>
      <c r="L1549" s="166">
        <f t="shared" ca="1" si="231"/>
        <v>23</v>
      </c>
      <c r="M1549" s="183">
        <f ca="1">SUMPRODUCT(F1549:K1549,F1536:K1536)/L:L</f>
        <v>8.6956521739130436E-3</v>
      </c>
      <c r="N1549" s="166">
        <f t="shared" ca="1" si="232"/>
        <v>1.0087335691819621</v>
      </c>
      <c r="O1549" s="165">
        <f t="shared" ca="1" si="234"/>
        <v>1145.3395872935305</v>
      </c>
      <c r="P1549" s="165">
        <f t="shared" ca="1" si="233"/>
        <v>1155.3424898159985</v>
      </c>
    </row>
    <row r="1550" spans="1:16" s="165" customFormat="1" x14ac:dyDescent="0.3">
      <c r="A1550" s="165">
        <f>MATCH(Calcs!B1550,Paste_Report_Here!$1:$1,0) -1</f>
        <v>17</v>
      </c>
      <c r="B1550" s="165" t="s">
        <v>135</v>
      </c>
      <c r="C1550" s="166">
        <f ca="1">RANK(N1550,N1538:N1562)</f>
        <v>19</v>
      </c>
      <c r="D1550" s="166">
        <f ca="1">RANK(P1550,P1538:P1562)</f>
        <v>19</v>
      </c>
      <c r="E1550" s="189" t="s">
        <v>164</v>
      </c>
      <c r="F1550" s="179">
        <f ca="1">COUNTIFS(Paste_Report_Here!$E$1:$E$2000,E1532, OFFSET(Paste_Report_Here!$A$1,0,$A1550,2000,1),F$75)</f>
        <v>1</v>
      </c>
      <c r="G1550" s="180">
        <f ca="1">COUNTIFS(Paste_Report_Here!$E$1:$E$2000,E1532, OFFSET(Paste_Report_Here!$A$1,0,$A1550,2000,1),G$75)</f>
        <v>0</v>
      </c>
      <c r="H1550" s="180">
        <f ca="1">COUNTIFS(Paste_Report_Here!$E$1:$E$2000,E1532, OFFSET(Paste_Report_Here!$A$1,0,$A1550,2000,1),H$75)</f>
        <v>17</v>
      </c>
      <c r="I1550" s="180">
        <f ca="1">COUNTIFS(Paste_Report_Here!$E$1:$E$2000,E1532, OFFSET(Paste_Report_Here!$A$1,0,$A1550,2000,1),I$75)</f>
        <v>5</v>
      </c>
      <c r="J1550" s="180">
        <f ca="1">COUNTIFS(Paste_Report_Here!$E$1:$E$2000,E1532, OFFSET(Paste_Report_Here!$A$1,0,$A1550,2000,1),J$75)</f>
        <v>0</v>
      </c>
      <c r="K1550" s="181">
        <f ca="1">COUNTIFS(Paste_Report_Here!$E$1:$E$2000,E1532, OFFSET(Paste_Report_Here!$A$1,0,$A1550,2000,1),K$75)</f>
        <v>0</v>
      </c>
      <c r="L1550" s="166">
        <f t="shared" ca="1" si="231"/>
        <v>23</v>
      </c>
      <c r="M1550" s="183">
        <f ca="1">SUMPRODUCT(F1550:K1550,F1536:K1536)/L:L</f>
        <v>-8.6956521739130436E-3</v>
      </c>
      <c r="N1550" s="166">
        <f t="shared" ca="1" si="232"/>
        <v>0.99134204566122985</v>
      </c>
      <c r="O1550" s="165">
        <f t="shared" ca="1" si="234"/>
        <v>1928.5206108252221</v>
      </c>
      <c r="P1550" s="165">
        <f t="shared" ca="1" si="233"/>
        <v>1911.8235674353202</v>
      </c>
    </row>
    <row r="1551" spans="1:16" s="165" customFormat="1" x14ac:dyDescent="0.3">
      <c r="A1551" s="165">
        <f>MATCH(Calcs!B1551,Paste_Report_Here!$1:$1,0) -1</f>
        <v>18</v>
      </c>
      <c r="B1551" s="165" t="s">
        <v>136</v>
      </c>
      <c r="C1551" s="166">
        <f ca="1">RANK(N1551,N1538:N1562)</f>
        <v>11</v>
      </c>
      <c r="D1551" s="166">
        <f ca="1">RANK(P1551,P1538:P1562)</f>
        <v>4</v>
      </c>
      <c r="E1551" s="189" t="s">
        <v>165</v>
      </c>
      <c r="F1551" s="179">
        <f ca="1">COUNTIFS(Paste_Report_Here!$E$1:$E$2000,E1532, OFFSET(Paste_Report_Here!$A$1,0,$A1551,2000,1),F$75)</f>
        <v>0</v>
      </c>
      <c r="G1551" s="180">
        <f ca="1">COUNTIFS(Paste_Report_Here!$E$1:$E$2000,E1532, OFFSET(Paste_Report_Here!$A$1,0,$A1551,2000,1),G$75)</f>
        <v>0</v>
      </c>
      <c r="H1551" s="180">
        <f ca="1">COUNTIFS(Paste_Report_Here!$E$1:$E$2000,E1532, OFFSET(Paste_Report_Here!$A$1,0,$A1551,2000,1),H$75)</f>
        <v>20</v>
      </c>
      <c r="I1551" s="180">
        <f ca="1">COUNTIFS(Paste_Report_Here!$E$1:$E$2000,E1532, OFFSET(Paste_Report_Here!$A$1,0,$A1551,2000,1),I$75)</f>
        <v>3</v>
      </c>
      <c r="J1551" s="180">
        <f ca="1">COUNTIFS(Paste_Report_Here!$E$1:$E$2000,E1532, OFFSET(Paste_Report_Here!$A$1,0,$A1551,2000,1),J$75)</f>
        <v>0</v>
      </c>
      <c r="K1551" s="181">
        <f ca="1">COUNTIFS(Paste_Report_Here!$E$1:$E$2000,E1532, OFFSET(Paste_Report_Here!$A$1,0,$A1551,2000,1),K$75)</f>
        <v>0</v>
      </c>
      <c r="L1551" s="166">
        <f t="shared" ca="1" si="231"/>
        <v>23</v>
      </c>
      <c r="M1551" s="183">
        <f ca="1">SUMPRODUCT(F1551:K1551,F1536:K1536)/L:L</f>
        <v>0</v>
      </c>
      <c r="N1551" s="166">
        <f t="shared" ca="1" si="232"/>
        <v>1</v>
      </c>
      <c r="O1551" s="165">
        <f t="shared" ca="1" si="234"/>
        <v>4159.507798056954</v>
      </c>
      <c r="P1551" s="165">
        <f t="shared" ca="1" si="233"/>
        <v>4159.507798056954</v>
      </c>
    </row>
    <row r="1552" spans="1:16" s="165" customFormat="1" x14ac:dyDescent="0.3">
      <c r="A1552" s="165">
        <f>MATCH(Calcs!B1552,Paste_Report_Here!$1:$1,0) -1</f>
        <v>19</v>
      </c>
      <c r="B1552" s="165" t="s">
        <v>137</v>
      </c>
      <c r="C1552" s="166">
        <f ca="1">RANK(N1552,N1538:N1562)</f>
        <v>19</v>
      </c>
      <c r="D1552" s="166">
        <f ca="1">RANK(P1552,P1538:P1562)</f>
        <v>13</v>
      </c>
      <c r="E1552" s="189" t="s">
        <v>166</v>
      </c>
      <c r="F1552" s="179">
        <f ca="1">COUNTIFS(Paste_Report_Here!$E$1:$E$2000,E1532, OFFSET(Paste_Report_Here!$A$1,0,$A1552,2000,1),F$75)</f>
        <v>1</v>
      </c>
      <c r="G1552" s="180">
        <f ca="1">COUNTIFS(Paste_Report_Here!$E$1:$E$2000,E1532, OFFSET(Paste_Report_Here!$A$1,0,$A1552,2000,1),G$75)</f>
        <v>0</v>
      </c>
      <c r="H1552" s="180">
        <f ca="1">COUNTIFS(Paste_Report_Here!$E$1:$E$2000,E1532, OFFSET(Paste_Report_Here!$A$1,0,$A1552,2000,1),H$75)</f>
        <v>18</v>
      </c>
      <c r="I1552" s="180">
        <f ca="1">COUNTIFS(Paste_Report_Here!$E$1:$E$2000,E1532, OFFSET(Paste_Report_Here!$A$1,0,$A1552,2000,1),I$75)</f>
        <v>4</v>
      </c>
      <c r="J1552" s="180">
        <f ca="1">COUNTIFS(Paste_Report_Here!$E$1:$E$2000,E1532, OFFSET(Paste_Report_Here!$A$1,0,$A1552,2000,1),J$75)</f>
        <v>0</v>
      </c>
      <c r="K1552" s="181">
        <f ca="1">COUNTIFS(Paste_Report_Here!$E$1:$E$2000,E1532, OFFSET(Paste_Report_Here!$A$1,0,$A1552,2000,1),K$75)</f>
        <v>0</v>
      </c>
      <c r="L1552" s="166">
        <f t="shared" ca="1" si="231"/>
        <v>23</v>
      </c>
      <c r="M1552" s="183">
        <f ca="1">SUMPRODUCT(F1552:K1552,F1536:K1536)/L:L</f>
        <v>-8.6956521739130436E-3</v>
      </c>
      <c r="N1552" s="166">
        <f t="shared" ca="1" si="232"/>
        <v>0.99134204566122985</v>
      </c>
      <c r="O1552" s="165">
        <f t="shared" ca="1" si="234"/>
        <v>2263.3700968892199</v>
      </c>
      <c r="P1552" s="165">
        <f t="shared" ca="1" si="233"/>
        <v>2243.7739419386153</v>
      </c>
    </row>
    <row r="1553" spans="1:16" s="165" customFormat="1" x14ac:dyDescent="0.3">
      <c r="A1553" s="165">
        <f>MATCH(Calcs!B1553,Paste_Report_Here!$1:$1,0) -1</f>
        <v>20</v>
      </c>
      <c r="B1553" s="165" t="s">
        <v>138</v>
      </c>
      <c r="C1553" s="166">
        <f ca="1">RANK(N1553,N1538:N1562)</f>
        <v>19</v>
      </c>
      <c r="D1553" s="166">
        <f ca="1">RANK(P1553,P1538:P1562)</f>
        <v>20</v>
      </c>
      <c r="E1553" s="189" t="s">
        <v>167</v>
      </c>
      <c r="F1553" s="179">
        <f ca="1">COUNTIFS(Paste_Report_Here!$E$1:$E$2000,E1532, OFFSET(Paste_Report_Here!$A$1,0,$A1553,2000,1),F$75)</f>
        <v>1</v>
      </c>
      <c r="G1553" s="180">
        <f ca="1">COUNTIFS(Paste_Report_Here!$E$1:$E$2000,E1532, OFFSET(Paste_Report_Here!$A$1,0,$A1553,2000,1),G$75)</f>
        <v>0</v>
      </c>
      <c r="H1553" s="180">
        <f ca="1">COUNTIFS(Paste_Report_Here!$E$1:$E$2000,E1532, OFFSET(Paste_Report_Here!$A$1,0,$A1553,2000,1),H$75)</f>
        <v>16</v>
      </c>
      <c r="I1553" s="180">
        <f ca="1">COUNTIFS(Paste_Report_Here!$E$1:$E$2000,E1532, OFFSET(Paste_Report_Here!$A$1,0,$A1553,2000,1),I$75)</f>
        <v>6</v>
      </c>
      <c r="J1553" s="180">
        <f ca="1">COUNTIFS(Paste_Report_Here!$E$1:$E$2000,E1532, OFFSET(Paste_Report_Here!$A$1,0,$A1553,2000,1),J$75)</f>
        <v>0</v>
      </c>
      <c r="K1553" s="181">
        <f ca="1">COUNTIFS(Paste_Report_Here!$E$1:$E$2000,E1532, OFFSET(Paste_Report_Here!$A$1,0,$A1553,2000,1),K$75)</f>
        <v>0</v>
      </c>
      <c r="L1553" s="166">
        <f t="shared" ca="1" si="231"/>
        <v>23</v>
      </c>
      <c r="M1553" s="183">
        <f ca="1">SUMPRODUCT(F1553:K1553,F1536:K1536)/L:L</f>
        <v>-8.6956521739130436E-3</v>
      </c>
      <c r="N1553" s="166">
        <f t="shared" ca="1" si="232"/>
        <v>0.99134204566122985</v>
      </c>
      <c r="O1553" s="165">
        <f t="shared" ca="1" si="234"/>
        <v>1902.3717375653584</v>
      </c>
      <c r="P1553" s="165">
        <f t="shared" ca="1" si="233"/>
        <v>1885.9010899261507</v>
      </c>
    </row>
    <row r="1554" spans="1:16" s="165" customFormat="1" x14ac:dyDescent="0.3">
      <c r="A1554" s="165">
        <f>MATCH(Calcs!B1554,Paste_Report_Here!$1:$1,0) -1</f>
        <v>21</v>
      </c>
      <c r="B1554" s="165" t="s">
        <v>139</v>
      </c>
      <c r="C1554" s="166">
        <f ca="1">RANK(N1554,N1538:N1562)</f>
        <v>6</v>
      </c>
      <c r="D1554" s="166">
        <f ca="1">RANK(P1554,P1538:P1562)</f>
        <v>18</v>
      </c>
      <c r="E1554" s="189" t="s">
        <v>168</v>
      </c>
      <c r="F1554" s="179">
        <f ca="1">COUNTIFS(Paste_Report_Here!$E$1:$E$2000,E1532, OFFSET(Paste_Report_Here!$A$1,0,$A1554,2000,1),F$75)</f>
        <v>0</v>
      </c>
      <c r="G1554" s="180">
        <f ca="1">COUNTIFS(Paste_Report_Here!$E$1:$E$2000,E1532, OFFSET(Paste_Report_Here!$A$1,0,$A1554,2000,1),G$75)</f>
        <v>1</v>
      </c>
      <c r="H1554" s="180">
        <f ca="1">COUNTIFS(Paste_Report_Here!$E$1:$E$2000,E1532, OFFSET(Paste_Report_Here!$A$1,0,$A1554,2000,1),H$75)</f>
        <v>15</v>
      </c>
      <c r="I1554" s="180">
        <f ca="1">COUNTIFS(Paste_Report_Here!$E$1:$E$2000,E1532, OFFSET(Paste_Report_Here!$A$1,0,$A1554,2000,1),I$75)</f>
        <v>6</v>
      </c>
      <c r="J1554" s="180">
        <f ca="1">COUNTIFS(Paste_Report_Here!$E$1:$E$2000,E1532, OFFSET(Paste_Report_Here!$A$1,0,$A1554,2000,1),J$75)</f>
        <v>1</v>
      </c>
      <c r="K1554" s="181">
        <f ca="1">COUNTIFS(Paste_Report_Here!$E$1:$E$2000,E1532, OFFSET(Paste_Report_Here!$A$1,0,$A1554,2000,1),K$75)</f>
        <v>0</v>
      </c>
      <c r="L1554" s="166">
        <f t="shared" ca="1" si="231"/>
        <v>23</v>
      </c>
      <c r="M1554" s="183">
        <f ca="1">SUMPRODUCT(F1554:K1554,F1536:K1536)/L:L</f>
        <v>8.6956521739130436E-3</v>
      </c>
      <c r="N1554" s="166">
        <f t="shared" ca="1" si="232"/>
        <v>1.0087335691819621</v>
      </c>
      <c r="O1554" s="165">
        <f t="shared" ca="1" si="234"/>
        <v>1981.8965348735842</v>
      </c>
      <c r="P1554" s="165">
        <f t="shared" ca="1" si="233"/>
        <v>1999.2055653723937</v>
      </c>
    </row>
    <row r="1555" spans="1:16" s="165" customFormat="1" x14ac:dyDescent="0.3">
      <c r="A1555" s="165">
        <f>MATCH(Calcs!B1555,Paste_Report_Here!$1:$1,0) -1</f>
        <v>22</v>
      </c>
      <c r="B1555" s="165" t="s">
        <v>140</v>
      </c>
      <c r="C1555" s="166">
        <f ca="1">RANK(N1555,N1538:N1562)</f>
        <v>6</v>
      </c>
      <c r="D1555" s="166">
        <f ca="1">RANK(P1555,P1538:P1562)</f>
        <v>15</v>
      </c>
      <c r="E1555" s="189" t="s">
        <v>169</v>
      </c>
      <c r="F1555" s="179">
        <f ca="1">COUNTIFS(Paste_Report_Here!$E$1:$E$2000,E1532, OFFSET(Paste_Report_Here!$A$1,0,$A1555,2000,1),F$75)</f>
        <v>0</v>
      </c>
      <c r="G1555" s="180">
        <f ca="1">COUNTIFS(Paste_Report_Here!$E$1:$E$2000,E1532, OFFSET(Paste_Report_Here!$A$1,0,$A1555,2000,1),G$75)</f>
        <v>1</v>
      </c>
      <c r="H1555" s="180">
        <f ca="1">COUNTIFS(Paste_Report_Here!$E$1:$E$2000,E1532, OFFSET(Paste_Report_Here!$A$1,0,$A1555,2000,1),H$75)</f>
        <v>16</v>
      </c>
      <c r="I1555" s="180">
        <f ca="1">COUNTIFS(Paste_Report_Here!$E$1:$E$2000,E1532, OFFSET(Paste_Report_Here!$A$1,0,$A1555,2000,1),I$75)</f>
        <v>5</v>
      </c>
      <c r="J1555" s="180">
        <f ca="1">COUNTIFS(Paste_Report_Here!$E$1:$E$2000,E1532, OFFSET(Paste_Report_Here!$A$1,0,$A1555,2000,1),J$75)</f>
        <v>1</v>
      </c>
      <c r="K1555" s="181">
        <f ca="1">COUNTIFS(Paste_Report_Here!$E$1:$E$2000,E1532, OFFSET(Paste_Report_Here!$A$1,0,$A1555,2000,1),K$75)</f>
        <v>0</v>
      </c>
      <c r="L1555" s="166">
        <f t="shared" ca="1" si="231"/>
        <v>23</v>
      </c>
      <c r="M1555" s="183">
        <f ca="1">SUMPRODUCT(F1555:K1555,F1536:K1536)/L:L</f>
        <v>8.6956521739130436E-3</v>
      </c>
      <c r="N1555" s="166">
        <f t="shared" ca="1" si="232"/>
        <v>1.0087335691819621</v>
      </c>
      <c r="O1555" s="165">
        <f t="shared" ca="1" si="234"/>
        <v>2133.1449078567584</v>
      </c>
      <c r="P1555" s="165">
        <f t="shared" ca="1" si="233"/>
        <v>2151.7748764846756</v>
      </c>
    </row>
    <row r="1556" spans="1:16" s="165" customFormat="1" x14ac:dyDescent="0.3">
      <c r="A1556" s="165">
        <f>MATCH(Calcs!B1556,Paste_Report_Here!$1:$1,0) -1</f>
        <v>23</v>
      </c>
      <c r="B1556" s="165" t="s">
        <v>186</v>
      </c>
      <c r="C1556" s="166">
        <f ca="1">RANK(N1556,N1538:N1562)</f>
        <v>5</v>
      </c>
      <c r="D1556" s="166">
        <f ca="1">RANK(P1556,P1538:P1562)</f>
        <v>3</v>
      </c>
      <c r="E1556" s="189" t="s">
        <v>180</v>
      </c>
      <c r="F1556" s="179">
        <f ca="1">COUNTIFS(Paste_Report_Here!$E$1:$E$2000,E1532, OFFSET(Paste_Report_Here!$A$1,0,$A1556,2000,1),F$75)</f>
        <v>0</v>
      </c>
      <c r="G1556" s="180">
        <f ca="1">COUNTIFS(Paste_Report_Here!$E$1:$E$2000,E1532, OFFSET(Paste_Report_Here!$A$1,0,$A1556,2000,1),G$75)</f>
        <v>0</v>
      </c>
      <c r="H1556" s="180">
        <f ca="1">COUNTIFS(Paste_Report_Here!$E$1:$E$2000,E1532, OFFSET(Paste_Report_Here!$A$1,0,$A1556,2000,1),H$75)</f>
        <v>17</v>
      </c>
      <c r="I1556" s="180">
        <f ca="1">COUNTIFS(Paste_Report_Here!$E$1:$E$2000,E1532, OFFSET(Paste_Report_Here!$A$1,0,$A1556,2000,1),I$75)</f>
        <v>4</v>
      </c>
      <c r="J1556" s="180">
        <f ca="1">COUNTIFS(Paste_Report_Here!$E$1:$E$2000,E1532, OFFSET(Paste_Report_Here!$A$1,0,$A1556,2000,1),J$75)</f>
        <v>2</v>
      </c>
      <c r="K1556" s="181">
        <f ca="1">COUNTIFS(Paste_Report_Here!$E$1:$E$2000,E1532, OFFSET(Paste_Report_Here!$A$1,0,$A1556,2000,1),K$75)</f>
        <v>0</v>
      </c>
      <c r="L1556" s="166">
        <f t="shared" ca="1" si="231"/>
        <v>23</v>
      </c>
      <c r="M1556" s="183">
        <f ca="1">SUMPRODUCT(F1556:K1556,F1536:K1536)/L:L</f>
        <v>1.7391304347826087E-2</v>
      </c>
      <c r="N1556" s="166">
        <f t="shared" ca="1" si="232"/>
        <v>1.0175434135945802</v>
      </c>
      <c r="O1556" s="165">
        <f t="shared" ca="1" si="234"/>
        <v>4275.9097510585189</v>
      </c>
      <c r="P1556" s="165">
        <f t="shared" ca="1" si="233"/>
        <v>4350.9238043144369</v>
      </c>
    </row>
    <row r="1557" spans="1:16" s="165" customFormat="1" x14ac:dyDescent="0.3">
      <c r="A1557" s="165">
        <f>MATCH(Calcs!B1557,Paste_Report_Here!$1:$1,0) -1</f>
        <v>24</v>
      </c>
      <c r="B1557" s="165" t="s">
        <v>209</v>
      </c>
      <c r="C1557" s="166">
        <f ca="1">RANK(N1557,N1538:N1562)</f>
        <v>11</v>
      </c>
      <c r="D1557" s="166">
        <f ca="1">RANK(P1557,P1538:P1562)</f>
        <v>23</v>
      </c>
      <c r="E1557" s="202" t="s">
        <v>211</v>
      </c>
      <c r="F1557" s="179">
        <f ca="1">COUNTIFS(Paste_Report_Here!$E$1:$E$2000,E1532, OFFSET(Paste_Report_Here!$A$1,0,$A1557,2000,1),F$75)</f>
        <v>0</v>
      </c>
      <c r="G1557" s="180">
        <f ca="1">COUNTIFS(Paste_Report_Here!$E$1:$E$2000,E1532, OFFSET(Paste_Report_Here!$A$1,0,$A1557,2000,1),G$75)</f>
        <v>2</v>
      </c>
      <c r="H1557" s="180">
        <f ca="1">COUNTIFS(Paste_Report_Here!$E$1:$E$2000,E1532, OFFSET(Paste_Report_Here!$A$1,0,$A1557,2000,1),H$75)</f>
        <v>18</v>
      </c>
      <c r="I1557" s="180">
        <f ca="1">COUNTIFS(Paste_Report_Here!$E$1:$E$2000,E1532, OFFSET(Paste_Report_Here!$A$1,0,$A1557,2000,1),I$75)</f>
        <v>3</v>
      </c>
      <c r="J1557" s="180">
        <f ca="1">COUNTIFS(Paste_Report_Here!$E$1:$E$2000,E1532, OFFSET(Paste_Report_Here!$A$1,0,$A1557,2000,1),J$75)</f>
        <v>0</v>
      </c>
      <c r="K1557" s="181">
        <f ca="1">COUNTIFS(Paste_Report_Here!$E$1:$E$2000,E1532, OFFSET(Paste_Report_Here!$A$1,0,$A1557,2000,1),K$75)</f>
        <v>0</v>
      </c>
      <c r="L1557" s="166">
        <f t="shared" ca="1" si="231"/>
        <v>23</v>
      </c>
      <c r="M1557" s="183">
        <f ca="1">SUMPRODUCT(F1557:K1557,F1536:K1536)/L:L</f>
        <v>0</v>
      </c>
      <c r="N1557" s="166">
        <f t="shared" ca="1" si="232"/>
        <v>1</v>
      </c>
      <c r="O1557" s="165">
        <f t="shared" ca="1" si="234"/>
        <v>1241.8557755981556</v>
      </c>
      <c r="P1557" s="165">
        <f t="shared" ca="1" si="233"/>
        <v>1241.8557755981556</v>
      </c>
    </row>
    <row r="1558" spans="1:16" s="165" customFormat="1" x14ac:dyDescent="0.3">
      <c r="A1558" s="165">
        <f>MATCH(Calcs!B1558,Paste_Report_Here!$1:$1,0) -1</f>
        <v>25</v>
      </c>
      <c r="B1558" s="165" t="s">
        <v>141</v>
      </c>
      <c r="C1558" s="166">
        <f ca="1">RANK(N1558,N1538:N1562)</f>
        <v>11</v>
      </c>
      <c r="D1558" s="166">
        <f ca="1">RANK(P1558,P1538:P1562)</f>
        <v>22</v>
      </c>
      <c r="E1558" s="189" t="s">
        <v>170</v>
      </c>
      <c r="F1558" s="179">
        <f ca="1">COUNTIFS(Paste_Report_Here!$E$1:$E$2000,E1532, OFFSET(Paste_Report_Here!$A$1,0,$A1558,2000,1),F$75)</f>
        <v>0</v>
      </c>
      <c r="G1558" s="180">
        <f ca="1">COUNTIFS(Paste_Report_Here!$E$1:$E$2000,E1532, OFFSET(Paste_Report_Here!$A$1,0,$A1558,2000,1),G$75)</f>
        <v>1</v>
      </c>
      <c r="H1558" s="180">
        <f ca="1">COUNTIFS(Paste_Report_Here!$E$1:$E$2000,E1532, OFFSET(Paste_Report_Here!$A$1,0,$A1558,2000,1),H$75)</f>
        <v>17</v>
      </c>
      <c r="I1558" s="180">
        <f ca="1">COUNTIFS(Paste_Report_Here!$E$1:$E$2000,E1532, OFFSET(Paste_Report_Here!$A$1,0,$A1558,2000,1),I$75)</f>
        <v>5</v>
      </c>
      <c r="J1558" s="180">
        <f ca="1">COUNTIFS(Paste_Report_Here!$E$1:$E$2000,E1532, OFFSET(Paste_Report_Here!$A$1,0,$A1558,2000,1),J$75)</f>
        <v>0</v>
      </c>
      <c r="K1558" s="181">
        <f ca="1">COUNTIFS(Paste_Report_Here!$E$1:$E$2000,E1532, OFFSET(Paste_Report_Here!$A$1,0,$A1558,2000,1),K$75)</f>
        <v>0</v>
      </c>
      <c r="L1558" s="166">
        <f t="shared" ca="1" si="231"/>
        <v>23</v>
      </c>
      <c r="M1558" s="183">
        <f ca="1">SUMPRODUCT(F1558:K1558,F1536:K1536)/L:L</f>
        <v>0</v>
      </c>
      <c r="N1558" s="166">
        <f t="shared" ca="1" si="232"/>
        <v>1</v>
      </c>
      <c r="O1558" s="165">
        <f t="shared" ca="1" si="234"/>
        <v>1347.5070824599304</v>
      </c>
      <c r="P1558" s="165">
        <f t="shared" ca="1" si="233"/>
        <v>1347.5070824599304</v>
      </c>
    </row>
    <row r="1559" spans="1:16" s="165" customFormat="1" x14ac:dyDescent="0.3">
      <c r="A1559" s="165">
        <f>MATCH(Calcs!B1559,Paste_Report_Here!$1:$1,0) -1</f>
        <v>26</v>
      </c>
      <c r="B1559" s="165" t="s">
        <v>142</v>
      </c>
      <c r="C1559" s="166">
        <f ca="1">RANK(N1559,N1538:N1562)</f>
        <v>11</v>
      </c>
      <c r="D1559" s="166">
        <f ca="1">RANK(P1559,P1538:P1562)</f>
        <v>12</v>
      </c>
      <c r="E1559" s="189" t="s">
        <v>171</v>
      </c>
      <c r="F1559" s="179">
        <f ca="1">COUNTIFS(Paste_Report_Here!$E$1:$E$2000,E1532, OFFSET(Paste_Report_Here!$A$1,0,$A1559,2000,1),F$75)</f>
        <v>0</v>
      </c>
      <c r="G1559" s="180">
        <f ca="1">COUNTIFS(Paste_Report_Here!$E$1:$E$2000,E1532, OFFSET(Paste_Report_Here!$A$1,0,$A1559,2000,1),G$75)</f>
        <v>1</v>
      </c>
      <c r="H1559" s="180">
        <f ca="1">COUNTIFS(Paste_Report_Here!$E$1:$E$2000,E1532, OFFSET(Paste_Report_Here!$A$1,0,$A1559,2000,1),H$75)</f>
        <v>17</v>
      </c>
      <c r="I1559" s="180">
        <f ca="1">COUNTIFS(Paste_Report_Here!$E$1:$E$2000,E1532, OFFSET(Paste_Report_Here!$A$1,0,$A1559,2000,1),I$75)</f>
        <v>5</v>
      </c>
      <c r="J1559" s="180">
        <f ca="1">COUNTIFS(Paste_Report_Here!$E$1:$E$2000,E1532, OFFSET(Paste_Report_Here!$A$1,0,$A1559,2000,1),J$75)</f>
        <v>0</v>
      </c>
      <c r="K1559" s="181">
        <f ca="1">COUNTIFS(Paste_Report_Here!$E$1:$E$2000,E1532, OFFSET(Paste_Report_Here!$A$1,0,$A1559,2000,1),K$75)</f>
        <v>0</v>
      </c>
      <c r="L1559" s="166">
        <f t="shared" ca="1" si="231"/>
        <v>23</v>
      </c>
      <c r="M1559" s="183">
        <f ca="1">SUMPRODUCT(F1559:K1559,F1536:K1536)/L:L</f>
        <v>0</v>
      </c>
      <c r="N1559" s="166">
        <f t="shared" ca="1" si="232"/>
        <v>1</v>
      </c>
      <c r="O1559" s="165">
        <f t="shared" ca="1" si="234"/>
        <v>2279.9863405093402</v>
      </c>
      <c r="P1559" s="165">
        <f t="shared" ca="1" si="233"/>
        <v>2279.9863405093402</v>
      </c>
    </row>
    <row r="1560" spans="1:16" s="165" customFormat="1" x14ac:dyDescent="0.3">
      <c r="A1560" s="165">
        <f>MATCH(Calcs!B1560,Paste_Report_Here!$1:$1,0) -1</f>
        <v>27</v>
      </c>
      <c r="B1560" s="165" t="s">
        <v>210</v>
      </c>
      <c r="C1560" s="166">
        <f ca="1">RANK(N1560,N1538:N1562)</f>
        <v>11</v>
      </c>
      <c r="D1560" s="166">
        <f ca="1">RANK(P1560,P1538:P1562)</f>
        <v>25</v>
      </c>
      <c r="E1560" s="202" t="s">
        <v>212</v>
      </c>
      <c r="F1560" s="179">
        <f ca="1">COUNTIFS(Paste_Report_Here!$E$1:$E$2000,E1532, OFFSET(Paste_Report_Here!$A$1,0,$A1560,2000,1),F$75)</f>
        <v>0</v>
      </c>
      <c r="G1560" s="180">
        <f ca="1">COUNTIFS(Paste_Report_Here!$E$1:$E$2000,E1532, OFFSET(Paste_Report_Here!$A$1,0,$A1560,2000,1),G$75)</f>
        <v>1</v>
      </c>
      <c r="H1560" s="180">
        <f ca="1">COUNTIFS(Paste_Report_Here!$E$1:$E$2000,E1532, OFFSET(Paste_Report_Here!$A$1,0,$A1560,2000,1),H$75)</f>
        <v>18</v>
      </c>
      <c r="I1560" s="180">
        <f ca="1">COUNTIFS(Paste_Report_Here!$E$1:$E$2000,E1532, OFFSET(Paste_Report_Here!$A$1,0,$A1560,2000,1),I$75)</f>
        <v>4</v>
      </c>
      <c r="J1560" s="180">
        <f ca="1">COUNTIFS(Paste_Report_Here!$E$1:$E$2000,E1532, OFFSET(Paste_Report_Here!$A$1,0,$A1560,2000,1),J$75)</f>
        <v>0</v>
      </c>
      <c r="K1560" s="181">
        <f ca="1">COUNTIFS(Paste_Report_Here!$E$1:$E$2000,E1532, OFFSET(Paste_Report_Here!$A$1,0,$A1560,2000,1),K$75)</f>
        <v>0</v>
      </c>
      <c r="L1560" s="166">
        <f t="shared" ca="1" si="231"/>
        <v>23</v>
      </c>
      <c r="M1560" s="183">
        <f ca="1">SUMPRODUCT(F1560:K1560,F1536:K1536)/L:L</f>
        <v>0</v>
      </c>
      <c r="N1560" s="166">
        <f t="shared" ca="1" si="232"/>
        <v>1</v>
      </c>
      <c r="O1560" s="165">
        <f t="shared" ca="1" si="234"/>
        <v>1143.6699917353874</v>
      </c>
      <c r="P1560" s="165">
        <f t="shared" ca="1" si="233"/>
        <v>1143.6699917353874</v>
      </c>
    </row>
    <row r="1561" spans="1:16" s="165" customFormat="1" x14ac:dyDescent="0.3">
      <c r="A1561" s="165">
        <f>MATCH(Calcs!B1561,Paste_Report_Here!$1:$1,0) -1</f>
        <v>28</v>
      </c>
      <c r="B1561" s="165" t="s">
        <v>143</v>
      </c>
      <c r="C1561" s="166">
        <f ca="1">RANK(N1561,N1538:N1562)</f>
        <v>1</v>
      </c>
      <c r="D1561" s="166">
        <f ca="1">RANK(P1561,P1538:P1562)</f>
        <v>1</v>
      </c>
      <c r="E1561" s="189" t="s">
        <v>172</v>
      </c>
      <c r="F1561" s="179">
        <f ca="1">COUNTIFS(Paste_Report_Here!$E$1:$E$2000,E1532, OFFSET(Paste_Report_Here!$A$1,0,$A1561,2000,1),F$75)</f>
        <v>0</v>
      </c>
      <c r="G1561" s="180">
        <f ca="1">COUNTIFS(Paste_Report_Here!$E$1:$E$2000,E1532, OFFSET(Paste_Report_Here!$A$1,0,$A1561,2000,1),G$75)</f>
        <v>0</v>
      </c>
      <c r="H1561" s="180">
        <f ca="1">COUNTIFS(Paste_Report_Here!$E$1:$E$2000,E1532, OFFSET(Paste_Report_Here!$A$1,0,$A1561,2000,1),H$75)</f>
        <v>17</v>
      </c>
      <c r="I1561" s="180">
        <f ca="1">COUNTIFS(Paste_Report_Here!$E$1:$E$2000,E1532, OFFSET(Paste_Report_Here!$A$1,0,$A1561,2000,1),I$75)</f>
        <v>3</v>
      </c>
      <c r="J1561" s="180">
        <f ca="1">COUNTIFS(Paste_Report_Here!$E$1:$E$2000,E1532, OFFSET(Paste_Report_Here!$A$1,0,$A1561,2000,1),J$75)</f>
        <v>3</v>
      </c>
      <c r="K1561" s="181">
        <f ca="1">COUNTIFS(Paste_Report_Here!$E$1:$E$2000,E1532, OFFSET(Paste_Report_Here!$A$1,0,$A1561,2000,1),K$75)</f>
        <v>0</v>
      </c>
      <c r="L1561" s="166">
        <f t="shared" ca="1" si="231"/>
        <v>23</v>
      </c>
      <c r="M1561" s="183">
        <f ca="1">SUMPRODUCT(F1561:K1561,F1536:K1536)/L:L</f>
        <v>2.6086956521739136E-2</v>
      </c>
      <c r="N1561" s="166">
        <f t="shared" ca="1" si="232"/>
        <v>1.0264301993928584</v>
      </c>
      <c r="O1561" s="165">
        <f t="shared" ca="1" si="234"/>
        <v>9854.7559906084789</v>
      </c>
      <c r="P1561" s="165">
        <f t="shared" ca="1" si="233"/>
        <v>10115.219156408226</v>
      </c>
    </row>
    <row r="1562" spans="1:16" s="165" customFormat="1" x14ac:dyDescent="0.3">
      <c r="A1562" s="165">
        <f>MATCH(Calcs!B1562,Paste_Report_Here!$1:$1,0) -1</f>
        <v>29</v>
      </c>
      <c r="B1562" s="187" t="s">
        <v>144</v>
      </c>
      <c r="C1562" s="147">
        <f ca="1">RANK(N1562,N1538:N1562)</f>
        <v>11</v>
      </c>
      <c r="D1562" s="147">
        <f ca="1">RANK(P1562,P1538:P1562)</f>
        <v>11</v>
      </c>
      <c r="E1562" s="145" t="s">
        <v>173</v>
      </c>
      <c r="F1562" s="146">
        <f ca="1">COUNTIFS(Paste_Report_Here!$E$1:$E$2000,E1532, OFFSET(Paste_Report_Here!$A$1,0,$A1562,2000,1),F$75)</f>
        <v>0</v>
      </c>
      <c r="G1562" s="147">
        <f ca="1">COUNTIFS(Paste_Report_Here!$E$1:$E$2000,E1532, OFFSET(Paste_Report_Here!$A$1,0,$A1562,2000,1),G$75)</f>
        <v>1</v>
      </c>
      <c r="H1562" s="147">
        <f ca="1">COUNTIFS(Paste_Report_Here!$E$1:$E$2000,E1532, OFFSET(Paste_Report_Here!$A$1,0,$A1562,2000,1),H$75)</f>
        <v>18</v>
      </c>
      <c r="I1562" s="147">
        <f ca="1">COUNTIFS(Paste_Report_Here!$E$1:$E$2000,E1532, OFFSET(Paste_Report_Here!$A$1,0,$A1562,2000,1),I$75)</f>
        <v>4</v>
      </c>
      <c r="J1562" s="147">
        <f ca="1">COUNTIFS(Paste_Report_Here!$E$1:$E$2000,E1532, OFFSET(Paste_Report_Here!$A$1,0,$A1562,2000,1),J$75)</f>
        <v>0</v>
      </c>
      <c r="K1562" s="148">
        <f ca="1">COUNTIFS(Paste_Report_Here!$E$1:$E$2000,E1532, OFFSET(Paste_Report_Here!$A$1,0,$A1562,2000,1),K$75)</f>
        <v>0</v>
      </c>
      <c r="L1562" s="147">
        <f t="shared" ca="1" si="231"/>
        <v>23</v>
      </c>
      <c r="M1562" s="149">
        <f ca="1">SUMPRODUCT(F1562:K1562,F1536:K1536)/L:L</f>
        <v>0</v>
      </c>
      <c r="N1562" s="147">
        <f t="shared" ca="1" si="232"/>
        <v>1</v>
      </c>
      <c r="O1562" s="187">
        <f t="shared" ca="1" si="234"/>
        <v>2392.2261011950159</v>
      </c>
      <c r="P1562" s="165">
        <f t="shared" ca="1" si="233"/>
        <v>2392.2261011950159</v>
      </c>
    </row>
    <row r="1563" spans="1:16" s="165" customFormat="1" x14ac:dyDescent="0.3">
      <c r="C1563" s="166"/>
      <c r="E1563" s="140" t="s">
        <v>293</v>
      </c>
      <c r="F1563" s="180">
        <f ca="1">SUM(F1538:F1562)</f>
        <v>9</v>
      </c>
      <c r="G1563" s="180">
        <f t="shared" ref="G1563:L1563" ca="1" si="235">SUM(G1538:G1562)</f>
        <v>16</v>
      </c>
      <c r="H1563" s="180">
        <f t="shared" ca="1" si="235"/>
        <v>415</v>
      </c>
      <c r="I1563" s="180">
        <f t="shared" ca="1" si="235"/>
        <v>114</v>
      </c>
      <c r="J1563" s="180">
        <f t="shared" ca="1" si="235"/>
        <v>21</v>
      </c>
      <c r="K1563" s="180">
        <f t="shared" ca="1" si="235"/>
        <v>0</v>
      </c>
      <c r="L1563" s="180">
        <f t="shared" ca="1" si="235"/>
        <v>575</v>
      </c>
      <c r="M1563" s="144">
        <f ca="1">SUMPRODUCT(F1563:K1563,F1536:K1536)/L1563</f>
        <v>4.1739130434782614E-3</v>
      </c>
      <c r="N1563" s="166">
        <f t="shared" ca="1" si="232"/>
        <v>1.0041826359505215</v>
      </c>
      <c r="O1563" s="165">
        <f t="shared" ca="1" si="234"/>
        <v>2748.557482318</v>
      </c>
      <c r="P1563" s="165">
        <f t="shared" ca="1" si="233"/>
        <v>2760.0536976556182</v>
      </c>
    </row>
    <row r="1564" spans="1:16" s="165" customFormat="1" x14ac:dyDescent="0.3">
      <c r="A1564" s="194"/>
      <c r="B1564" s="194"/>
      <c r="C1564" s="153"/>
      <c r="D1564" s="194"/>
      <c r="E1564" s="164"/>
      <c r="F1564" s="151"/>
      <c r="G1564" s="151"/>
      <c r="H1564" s="151"/>
      <c r="I1564" s="151"/>
      <c r="J1564" s="151"/>
      <c r="K1564" s="151"/>
      <c r="L1564" s="151"/>
      <c r="M1564" s="162"/>
      <c r="N1564" s="153"/>
      <c r="O1564" s="194"/>
      <c r="P1564" s="194"/>
    </row>
    <row r="1565" spans="1:16" s="247" customFormat="1" x14ac:dyDescent="0.3">
      <c r="E1565" s="173" t="s">
        <v>292</v>
      </c>
    </row>
    <row r="1566" spans="1:16" s="247" customFormat="1" x14ac:dyDescent="0.3">
      <c r="E1566" s="141">
        <v>41942</v>
      </c>
    </row>
    <row r="1567" spans="1:16" s="247" customFormat="1" ht="15" thickBot="1" x14ac:dyDescent="0.35"/>
    <row r="1568" spans="1:16" s="247" customFormat="1" ht="24.6" thickBot="1" x14ac:dyDescent="0.35">
      <c r="F1568" s="174" t="s">
        <v>23</v>
      </c>
      <c r="G1568" s="168" t="s">
        <v>18</v>
      </c>
      <c r="H1568" s="168" t="s">
        <v>16</v>
      </c>
      <c r="I1568" s="168" t="s">
        <v>17</v>
      </c>
      <c r="J1568" s="168" t="s">
        <v>19</v>
      </c>
      <c r="K1568" s="169" t="s">
        <v>114</v>
      </c>
    </row>
    <row r="1569" spans="1:16" s="247" customFormat="1" ht="32.25" customHeight="1" x14ac:dyDescent="0.3">
      <c r="F1569" s="267" t="s">
        <v>201</v>
      </c>
      <c r="G1569" s="268"/>
      <c r="H1569" s="268"/>
      <c r="I1569" s="268"/>
      <c r="J1569" s="268"/>
      <c r="K1569" s="169"/>
      <c r="M1569" s="203">
        <f ca="1">(H1597+K1597)/L1597</f>
        <v>0.88666666666666671</v>
      </c>
      <c r="N1569" s="204" t="s">
        <v>501</v>
      </c>
    </row>
    <row r="1570" spans="1:16" s="247" customFormat="1" ht="43.8" thickBot="1" x14ac:dyDescent="0.35">
      <c r="A1570" s="142" t="s">
        <v>294</v>
      </c>
      <c r="B1570" s="142" t="s">
        <v>295</v>
      </c>
      <c r="C1570" s="197" t="s">
        <v>440</v>
      </c>
      <c r="D1570" s="142" t="s">
        <v>441</v>
      </c>
      <c r="E1570" s="171" t="s">
        <v>30</v>
      </c>
      <c r="F1570" s="175">
        <f>Falling_fast</f>
        <v>-0.2</v>
      </c>
      <c r="G1570" s="176">
        <f>Falling</f>
        <v>0</v>
      </c>
      <c r="H1570" s="177">
        <f>Static</f>
        <v>0</v>
      </c>
      <c r="I1570" s="176">
        <f>Rising</f>
        <v>0</v>
      </c>
      <c r="J1570" s="178">
        <f>Rising_fast</f>
        <v>0.2</v>
      </c>
      <c r="K1570" s="182">
        <v>0</v>
      </c>
      <c r="L1570" s="171" t="s">
        <v>28</v>
      </c>
      <c r="M1570" s="172" t="s">
        <v>29</v>
      </c>
      <c r="N1570" s="143" t="s">
        <v>296</v>
      </c>
      <c r="O1570" s="142" t="s">
        <v>297</v>
      </c>
      <c r="P1570" s="142" t="s">
        <v>298</v>
      </c>
    </row>
    <row r="1571" spans="1:16" s="247" customFormat="1" x14ac:dyDescent="0.3">
      <c r="C1571" s="166"/>
      <c r="E1571" s="192"/>
      <c r="F1571" s="198" t="s">
        <v>151</v>
      </c>
      <c r="G1571" s="199" t="s">
        <v>149</v>
      </c>
      <c r="H1571" s="199" t="s">
        <v>16</v>
      </c>
      <c r="I1571" s="199" t="s">
        <v>148</v>
      </c>
      <c r="J1571" s="199" t="s">
        <v>150</v>
      </c>
      <c r="K1571" s="200" t="s">
        <v>114</v>
      </c>
      <c r="L1571" s="166"/>
      <c r="M1571" s="170"/>
      <c r="N1571" s="166"/>
    </row>
    <row r="1572" spans="1:16" s="247" customFormat="1" x14ac:dyDescent="0.3">
      <c r="A1572" s="247">
        <f>MATCH(Calcs!B1572,Paste_Report_Here!$1:$1,0) -1</f>
        <v>5</v>
      </c>
      <c r="B1572" s="247" t="s">
        <v>124</v>
      </c>
      <c r="C1572" s="166">
        <f ca="1">RANK(N1572,N1572:N1596)</f>
        <v>1</v>
      </c>
      <c r="D1572" s="166">
        <f ca="1">RANK(P1572,P1572:P1596)</f>
        <v>15</v>
      </c>
      <c r="E1572" s="189" t="s">
        <v>152</v>
      </c>
      <c r="F1572" s="179">
        <f ca="1">COUNTIFS(Paste_Report_Here!$E$1:$E$2000,E1566, OFFSET(Paste_Report_Here!$A$1,0,$A1572,2000,1),F$75)</f>
        <v>0</v>
      </c>
      <c r="G1572" s="180">
        <f ca="1">COUNTIFS(Paste_Report_Here!$E$1:$E$2000,E1566, OFFSET(Paste_Report_Here!$A$1,0,$A1572,2000,1),G$75)</f>
        <v>0</v>
      </c>
      <c r="H1572" s="180">
        <f ca="1">COUNTIFS(Paste_Report_Here!$E$1:$E$2000,E1566, OFFSET(Paste_Report_Here!$A$1,0,$A1572,2000,1),H$75)</f>
        <v>15</v>
      </c>
      <c r="I1572" s="180">
        <f ca="1">COUNTIFS(Paste_Report_Here!$E$1:$E$2000,E1566, OFFSET(Paste_Report_Here!$A$1,0,$A1572,2000,1),I$75)</f>
        <v>1</v>
      </c>
      <c r="J1572" s="180">
        <f ca="1">COUNTIFS(Paste_Report_Here!$E$1:$E$2000,E1566, OFFSET(Paste_Report_Here!$A$1,0,$A1572,2000,1),J$75)</f>
        <v>2</v>
      </c>
      <c r="K1572" s="181">
        <f ca="1">COUNTIFS(Paste_Report_Here!$E$1:$E$2000,E1566, OFFSET(Paste_Report_Here!$A$1,0,$A1572,2000,1),K$75)</f>
        <v>0</v>
      </c>
      <c r="L1572" s="166">
        <f t="shared" ref="L1572:L1596" ca="1" si="236">SUM(F1572:K1572)</f>
        <v>18</v>
      </c>
      <c r="M1572" s="183">
        <f ca="1">SUMPRODUCT(F1572:K1572,F1570:K1570)/L:L</f>
        <v>2.2222222222222223E-2</v>
      </c>
      <c r="N1572" s="166">
        <f t="shared" ref="N1572:N1597" ca="1" si="237">EXP(M1572)</f>
        <v>1.0224709749983332</v>
      </c>
      <c r="O1572" s="247">
        <f ca="1">P1538</f>
        <v>2133.4129949324492</v>
      </c>
      <c r="P1572" s="247">
        <f t="shared" ref="P1572:P1597" ca="1" si="238">O1572*N1572</f>
        <v>2181.3528650026956</v>
      </c>
    </row>
    <row r="1573" spans="1:16" s="247" customFormat="1" x14ac:dyDescent="0.3">
      <c r="A1573" s="247">
        <f>MATCH(Calcs!B1573,Paste_Report_Here!$1:$1,0) -1</f>
        <v>6</v>
      </c>
      <c r="B1573" s="247" t="s">
        <v>125</v>
      </c>
      <c r="C1573" s="166">
        <f ca="1">RANK(N1573,N1572:N1596)</f>
        <v>11</v>
      </c>
      <c r="D1573" s="166">
        <f ca="1">RANK(P1573,P1572:P1596)</f>
        <v>17</v>
      </c>
      <c r="E1573" s="189" t="s">
        <v>153</v>
      </c>
      <c r="F1573" s="179">
        <f ca="1">COUNTIFS(Paste_Report_Here!$E$1:$E$2000,E1566, OFFSET(Paste_Report_Here!$A$1,0,$A1573,2000,1),F$75)</f>
        <v>0</v>
      </c>
      <c r="G1573" s="180">
        <f ca="1">COUNTIFS(Paste_Report_Here!$E$1:$E$2000,E1566, OFFSET(Paste_Report_Here!$A$1,0,$A1573,2000,1),G$75)</f>
        <v>1</v>
      </c>
      <c r="H1573" s="180">
        <f ca="1">COUNTIFS(Paste_Report_Here!$E$1:$E$2000,E1566, OFFSET(Paste_Report_Here!$A$1,0,$A1573,2000,1),H$75)</f>
        <v>17</v>
      </c>
      <c r="I1573" s="180">
        <f ca="1">COUNTIFS(Paste_Report_Here!$E$1:$E$2000,E1566, OFFSET(Paste_Report_Here!$A$1,0,$A1573,2000,1),I$75)</f>
        <v>0</v>
      </c>
      <c r="J1573" s="180">
        <f ca="1">COUNTIFS(Paste_Report_Here!$E$1:$E$2000,E1566, OFFSET(Paste_Report_Here!$A$1,0,$A1573,2000,1),J$75)</f>
        <v>0</v>
      </c>
      <c r="K1573" s="181">
        <f ca="1">COUNTIFS(Paste_Report_Here!$E$1:$E$2000,E1566, OFFSET(Paste_Report_Here!$A$1,0,$A1573,2000,1),K$75)</f>
        <v>0</v>
      </c>
      <c r="L1573" s="166">
        <f t="shared" ca="1" si="236"/>
        <v>18</v>
      </c>
      <c r="M1573" s="183">
        <f ca="1">SUMPRODUCT(F1573:K1573,F1570:K1570)/L:L</f>
        <v>0</v>
      </c>
      <c r="N1573" s="166">
        <f t="shared" ca="1" si="237"/>
        <v>1</v>
      </c>
      <c r="O1573" s="247">
        <f t="shared" ref="O1573:O1597" ca="1" si="239">P1539</f>
        <v>2102.6670228515318</v>
      </c>
      <c r="P1573" s="247">
        <f t="shared" ca="1" si="238"/>
        <v>2102.6670228515318</v>
      </c>
    </row>
    <row r="1574" spans="1:16" s="247" customFormat="1" x14ac:dyDescent="0.3">
      <c r="A1574" s="247">
        <f>MATCH(Calcs!B1574,Paste_Report_Here!$1:$1,0) -1</f>
        <v>7</v>
      </c>
      <c r="B1574" s="247" t="s">
        <v>126</v>
      </c>
      <c r="C1574" s="166">
        <f ca="1">RANK(N1574,N1572:N1596)</f>
        <v>11</v>
      </c>
      <c r="D1574" s="166">
        <f ca="1">RANK(P1574,P1572:P1596)</f>
        <v>8</v>
      </c>
      <c r="E1574" s="189" t="s">
        <v>154</v>
      </c>
      <c r="F1574" s="179">
        <f ca="1">COUNTIFS(Paste_Report_Here!$E$1:$E$2000,E1566, OFFSET(Paste_Report_Here!$A$1,0,$A1574,2000,1),F$75)</f>
        <v>0</v>
      </c>
      <c r="G1574" s="180">
        <f ca="1">COUNTIFS(Paste_Report_Here!$E$1:$E$2000,E1566, OFFSET(Paste_Report_Here!$A$1,0,$A1574,2000,1),G$75)</f>
        <v>2</v>
      </c>
      <c r="H1574" s="180">
        <f ca="1">COUNTIFS(Paste_Report_Here!$E$1:$E$2000,E1566, OFFSET(Paste_Report_Here!$A$1,0,$A1574,2000,1),H$75)</f>
        <v>14</v>
      </c>
      <c r="I1574" s="180">
        <f ca="1">COUNTIFS(Paste_Report_Here!$E$1:$E$2000,E1566, OFFSET(Paste_Report_Here!$A$1,0,$A1574,2000,1),I$75)</f>
        <v>2</v>
      </c>
      <c r="J1574" s="180">
        <f ca="1">COUNTIFS(Paste_Report_Here!$E$1:$E$2000,E1566, OFFSET(Paste_Report_Here!$A$1,0,$A1574,2000,1),J$75)</f>
        <v>0</v>
      </c>
      <c r="K1574" s="181">
        <f ca="1">COUNTIFS(Paste_Report_Here!$E$1:$E$2000,E1566, OFFSET(Paste_Report_Here!$A$1,0,$A1574,2000,1),K$75)</f>
        <v>0</v>
      </c>
      <c r="L1574" s="166">
        <f t="shared" ca="1" si="236"/>
        <v>18</v>
      </c>
      <c r="M1574" s="183">
        <f ca="1">SUMPRODUCT(F1574:K1574,F1570:K1570)/L:L</f>
        <v>0</v>
      </c>
      <c r="N1574" s="166">
        <f t="shared" ca="1" si="237"/>
        <v>1</v>
      </c>
      <c r="O1574" s="247">
        <f t="shared" ca="1" si="239"/>
        <v>2673.0302338487791</v>
      </c>
      <c r="P1574" s="247">
        <f t="shared" ca="1" si="238"/>
        <v>2673.0302338487791</v>
      </c>
    </row>
    <row r="1575" spans="1:16" s="247" customFormat="1" x14ac:dyDescent="0.3">
      <c r="A1575" s="247">
        <f>MATCH(Calcs!B1575,Paste_Report_Here!$1:$1,0) -1</f>
        <v>8</v>
      </c>
      <c r="B1575" s="247" t="s">
        <v>127</v>
      </c>
      <c r="C1575" s="166">
        <f ca="1">RANK(N1575,N1572:N1596)</f>
        <v>11</v>
      </c>
      <c r="D1575" s="166">
        <f ca="1">RANK(P1575,P1572:P1596)</f>
        <v>7</v>
      </c>
      <c r="E1575" s="189" t="s">
        <v>155</v>
      </c>
      <c r="F1575" s="179">
        <f ca="1">COUNTIFS(Paste_Report_Here!$E$1:$E$2000,E1566, OFFSET(Paste_Report_Here!$A$1,0,$A1575,2000,1),F$75)</f>
        <v>0</v>
      </c>
      <c r="G1575" s="180">
        <f ca="1">COUNTIFS(Paste_Report_Here!$E$1:$E$2000,E1566, OFFSET(Paste_Report_Here!$A$1,0,$A1575,2000,1),G$75)</f>
        <v>1</v>
      </c>
      <c r="H1575" s="180">
        <f ca="1">COUNTIFS(Paste_Report_Here!$E$1:$E$2000,E1566, OFFSET(Paste_Report_Here!$A$1,0,$A1575,2000,1),H$75)</f>
        <v>17</v>
      </c>
      <c r="I1575" s="180">
        <f ca="1">COUNTIFS(Paste_Report_Here!$E$1:$E$2000,E1566, OFFSET(Paste_Report_Here!$A$1,0,$A1575,2000,1),I$75)</f>
        <v>0</v>
      </c>
      <c r="J1575" s="180">
        <f ca="1">COUNTIFS(Paste_Report_Here!$E$1:$E$2000,E1566, OFFSET(Paste_Report_Here!$A$1,0,$A1575,2000,1),J$75)</f>
        <v>0</v>
      </c>
      <c r="K1575" s="181">
        <f ca="1">COUNTIFS(Paste_Report_Here!$E$1:$E$2000,E1566, OFFSET(Paste_Report_Here!$A$1,0,$A1575,2000,1),K$75)</f>
        <v>0</v>
      </c>
      <c r="L1575" s="166">
        <f t="shared" ca="1" si="236"/>
        <v>18</v>
      </c>
      <c r="M1575" s="183">
        <f ca="1">SUMPRODUCT(F1575:K1575,F1570:K1570)/L:L</f>
        <v>0</v>
      </c>
      <c r="N1575" s="166">
        <f t="shared" ca="1" si="237"/>
        <v>1</v>
      </c>
      <c r="O1575" s="247">
        <f t="shared" ca="1" si="239"/>
        <v>2986.6878137307476</v>
      </c>
      <c r="P1575" s="247">
        <f t="shared" ca="1" si="238"/>
        <v>2986.6878137307476</v>
      </c>
    </row>
    <row r="1576" spans="1:16" s="247" customFormat="1" x14ac:dyDescent="0.3">
      <c r="A1576" s="247">
        <f>MATCH(Calcs!B1576,Paste_Report_Here!$1:$1,0) -1</f>
        <v>9</v>
      </c>
      <c r="B1576" s="247" t="s">
        <v>214</v>
      </c>
      <c r="C1576" s="166">
        <f ca="1">RANK(N1576,N1572:N1596)</f>
        <v>2</v>
      </c>
      <c r="D1576" s="166">
        <f ca="1">RANK(P1576,P1572:P1596)</f>
        <v>5</v>
      </c>
      <c r="E1576" s="189" t="s">
        <v>156</v>
      </c>
      <c r="F1576" s="179">
        <f ca="1">COUNTIFS(Paste_Report_Here!$E$1:$E$2000,E1566, OFFSET(Paste_Report_Here!$A$1,0,$A1576,2000,1),F$75)</f>
        <v>0</v>
      </c>
      <c r="G1576" s="180">
        <f ca="1">COUNTIFS(Paste_Report_Here!$E$1:$E$2000,E1566, OFFSET(Paste_Report_Here!$A$1,0,$A1576,2000,1),G$75)</f>
        <v>0</v>
      </c>
      <c r="H1576" s="180">
        <f ca="1">COUNTIFS(Paste_Report_Here!$E$1:$E$2000,E1566, OFFSET(Paste_Report_Here!$A$1,0,$A1576,2000,1),H$75)</f>
        <v>16</v>
      </c>
      <c r="I1576" s="180">
        <f ca="1">COUNTIFS(Paste_Report_Here!$E$1:$E$2000,E1566, OFFSET(Paste_Report_Here!$A$1,0,$A1576,2000,1),I$75)</f>
        <v>1</v>
      </c>
      <c r="J1576" s="180">
        <f ca="1">COUNTIFS(Paste_Report_Here!$E$1:$E$2000,E1566, OFFSET(Paste_Report_Here!$A$1,0,$A1576,2000,1),J$75)</f>
        <v>1</v>
      </c>
      <c r="K1576" s="181">
        <f ca="1">COUNTIFS(Paste_Report_Here!$E$1:$E$2000,E1566, OFFSET(Paste_Report_Here!$A$1,0,$A1576,2000,1),K$75)</f>
        <v>0</v>
      </c>
      <c r="L1576" s="166">
        <f t="shared" ca="1" si="236"/>
        <v>18</v>
      </c>
      <c r="M1576" s="183">
        <f ca="1">SUMPRODUCT(F1576:K1576,F1570:K1570)/L:L</f>
        <v>1.1111111111111112E-2</v>
      </c>
      <c r="N1576" s="166">
        <f t="shared" ca="1" si="237"/>
        <v>1.0111730687663378</v>
      </c>
      <c r="O1576" s="247">
        <f t="shared" ca="1" si="239"/>
        <v>4069.9360063135841</v>
      </c>
      <c r="P1576" s="247">
        <f t="shared" ca="1" si="238"/>
        <v>4115.4096811867203</v>
      </c>
    </row>
    <row r="1577" spans="1:16" s="247" customFormat="1" x14ac:dyDescent="0.3">
      <c r="A1577" s="247">
        <f>MATCH(Calcs!B1577,Paste_Report_Here!$1:$1,0) -1</f>
        <v>10</v>
      </c>
      <c r="B1577" s="247" t="s">
        <v>128</v>
      </c>
      <c r="C1577" s="166">
        <f ca="1">RANK(N1577,N1572:N1596)</f>
        <v>22</v>
      </c>
      <c r="D1577" s="166">
        <f ca="1">RANK(P1577,P1572:P1596)</f>
        <v>21</v>
      </c>
      <c r="E1577" s="189" t="s">
        <v>157</v>
      </c>
      <c r="F1577" s="179">
        <f ca="1">COUNTIFS(Paste_Report_Here!$E$1:$E$2000,E1566, OFFSET(Paste_Report_Here!$A$1,0,$A1577,2000,1),F$75)</f>
        <v>1</v>
      </c>
      <c r="G1577" s="180">
        <f ca="1">COUNTIFS(Paste_Report_Here!$E$1:$E$2000,E1566, OFFSET(Paste_Report_Here!$A$1,0,$A1577,2000,1),G$75)</f>
        <v>1</v>
      </c>
      <c r="H1577" s="180">
        <f ca="1">COUNTIFS(Paste_Report_Here!$E$1:$E$2000,E1566, OFFSET(Paste_Report_Here!$A$1,0,$A1577,2000,1),H$75)</f>
        <v>16</v>
      </c>
      <c r="I1577" s="180">
        <f ca="1">COUNTIFS(Paste_Report_Here!$E$1:$E$2000,E1566, OFFSET(Paste_Report_Here!$A$1,0,$A1577,2000,1),I$75)</f>
        <v>0</v>
      </c>
      <c r="J1577" s="180">
        <f ca="1">COUNTIFS(Paste_Report_Here!$E$1:$E$2000,E1566, OFFSET(Paste_Report_Here!$A$1,0,$A1577,2000,1),J$75)</f>
        <v>0</v>
      </c>
      <c r="K1577" s="181">
        <f ca="1">COUNTIFS(Paste_Report_Here!$E$1:$E$2000,E1566, OFFSET(Paste_Report_Here!$A$1,0,$A1577,2000,1),K$75)</f>
        <v>0</v>
      </c>
      <c r="L1577" s="166">
        <f t="shared" ca="1" si="236"/>
        <v>18</v>
      </c>
      <c r="M1577" s="183">
        <f ca="1">SUMPRODUCT(F1577:K1577,F1570:K1570)/L:L</f>
        <v>-1.1111111111111112E-2</v>
      </c>
      <c r="N1577" s="166">
        <f t="shared" ca="1" si="237"/>
        <v>0.98895038929392232</v>
      </c>
      <c r="O1577" s="247">
        <f t="shared" ca="1" si="239"/>
        <v>1564.3780334920696</v>
      </c>
      <c r="P1577" s="247">
        <f t="shared" ca="1" si="238"/>
        <v>1547.0922652248428</v>
      </c>
    </row>
    <row r="1578" spans="1:16" s="247" customFormat="1" x14ac:dyDescent="0.3">
      <c r="A1578" s="247">
        <f>MATCH(Calcs!B1578,Paste_Report_Here!$1:$1,0) -1</f>
        <v>11</v>
      </c>
      <c r="B1578" s="247" t="s">
        <v>129</v>
      </c>
      <c r="C1578" s="166">
        <f ca="1">RANK(N1578,N1572:N1596)</f>
        <v>22</v>
      </c>
      <c r="D1578" s="166">
        <f ca="1">RANK(P1578,P1572:P1596)</f>
        <v>10</v>
      </c>
      <c r="E1578" s="189" t="s">
        <v>158</v>
      </c>
      <c r="F1578" s="179">
        <f ca="1">COUNTIFS(Paste_Report_Here!$E$1:$E$2000,E1566, OFFSET(Paste_Report_Here!$A$1,0,$A1578,2000,1),F$75)</f>
        <v>1</v>
      </c>
      <c r="G1578" s="180">
        <f ca="1">COUNTIFS(Paste_Report_Here!$E$1:$E$2000,E1566, OFFSET(Paste_Report_Here!$A$1,0,$A1578,2000,1),G$75)</f>
        <v>2</v>
      </c>
      <c r="H1578" s="180">
        <f ca="1">COUNTIFS(Paste_Report_Here!$E$1:$E$2000,E1566, OFFSET(Paste_Report_Here!$A$1,0,$A1578,2000,1),H$75)</f>
        <v>15</v>
      </c>
      <c r="I1578" s="180">
        <f ca="1">COUNTIFS(Paste_Report_Here!$E$1:$E$2000,E1566, OFFSET(Paste_Report_Here!$A$1,0,$A1578,2000,1),I$75)</f>
        <v>0</v>
      </c>
      <c r="J1578" s="180">
        <f ca="1">COUNTIFS(Paste_Report_Here!$E$1:$E$2000,E1566, OFFSET(Paste_Report_Here!$A$1,0,$A1578,2000,1),J$75)</f>
        <v>0</v>
      </c>
      <c r="K1578" s="181">
        <f ca="1">COUNTIFS(Paste_Report_Here!$E$1:$E$2000,E1566, OFFSET(Paste_Report_Here!$A$1,0,$A1578,2000,1),K$75)</f>
        <v>0</v>
      </c>
      <c r="L1578" s="166">
        <f t="shared" ca="1" si="236"/>
        <v>18</v>
      </c>
      <c r="M1578" s="183">
        <f ca="1">SUMPRODUCT(F1578:K1578,F1570:K1570)/L:L</f>
        <v>-1.1111111111111112E-2</v>
      </c>
      <c r="N1578" s="166">
        <f t="shared" ca="1" si="237"/>
        <v>0.98895038929392232</v>
      </c>
      <c r="O1578" s="247">
        <f t="shared" ca="1" si="239"/>
        <v>2538.3987492885053</v>
      </c>
      <c r="P1578" s="247">
        <f t="shared" ca="1" si="238"/>
        <v>2510.3504312920727</v>
      </c>
    </row>
    <row r="1579" spans="1:16" s="247" customFormat="1" x14ac:dyDescent="0.3">
      <c r="A1579" s="247">
        <f>MATCH(Calcs!B1579,Paste_Report_Here!$1:$1,0) -1</f>
        <v>12</v>
      </c>
      <c r="B1579" s="247" t="s">
        <v>130</v>
      </c>
      <c r="C1579" s="166">
        <f ca="1">RANK(N1579,N1572:N1596)</f>
        <v>22</v>
      </c>
      <c r="D1579" s="166">
        <f ca="1">RANK(P1579,P1572:P1596)</f>
        <v>9</v>
      </c>
      <c r="E1579" s="189" t="s">
        <v>159</v>
      </c>
      <c r="F1579" s="179">
        <f ca="1">COUNTIFS(Paste_Report_Here!$E$1:$E$2000,E1566, OFFSET(Paste_Report_Here!$A$1,0,$A1579,2000,1),F$75)</f>
        <v>1</v>
      </c>
      <c r="G1579" s="180">
        <f ca="1">COUNTIFS(Paste_Report_Here!$E$1:$E$2000,E1566, OFFSET(Paste_Report_Here!$A$1,0,$A1579,2000,1),G$75)</f>
        <v>0</v>
      </c>
      <c r="H1579" s="180">
        <f ca="1">COUNTIFS(Paste_Report_Here!$E$1:$E$2000,E1566, OFFSET(Paste_Report_Here!$A$1,0,$A1579,2000,1),H$75)</f>
        <v>16</v>
      </c>
      <c r="I1579" s="180">
        <f ca="1">COUNTIFS(Paste_Report_Here!$E$1:$E$2000,E1566, OFFSET(Paste_Report_Here!$A$1,0,$A1579,2000,1),I$75)</f>
        <v>1</v>
      </c>
      <c r="J1579" s="180">
        <f ca="1">COUNTIFS(Paste_Report_Here!$E$1:$E$2000,E1566, OFFSET(Paste_Report_Here!$A$1,0,$A1579,2000,1),J$75)</f>
        <v>0</v>
      </c>
      <c r="K1579" s="181">
        <f ca="1">COUNTIFS(Paste_Report_Here!$E$1:$E$2000,E1566, OFFSET(Paste_Report_Here!$A$1,0,$A1579,2000,1),K$75)</f>
        <v>0</v>
      </c>
      <c r="L1579" s="166">
        <f t="shared" ca="1" si="236"/>
        <v>18</v>
      </c>
      <c r="M1579" s="183">
        <f ca="1">SUMPRODUCT(F1579:K1579,F1570:K1570)/L:L</f>
        <v>-1.1111111111111112E-2</v>
      </c>
      <c r="N1579" s="166">
        <f t="shared" ca="1" si="237"/>
        <v>0.98895038929392232</v>
      </c>
      <c r="O1579" s="247">
        <f t="shared" ca="1" si="239"/>
        <v>2549.6247402490003</v>
      </c>
      <c r="P1579" s="247">
        <f t="shared" ca="1" si="238"/>
        <v>2521.4523794226643</v>
      </c>
    </row>
    <row r="1580" spans="1:16" s="247" customFormat="1" x14ac:dyDescent="0.3">
      <c r="A1580" s="247">
        <f>MATCH(Calcs!B1580,Paste_Report_Here!$1:$1,0) -1</f>
        <v>13</v>
      </c>
      <c r="B1580" s="247" t="s">
        <v>131</v>
      </c>
      <c r="C1580" s="166">
        <f ca="1">RANK(N1580,N1572:N1596)</f>
        <v>2</v>
      </c>
      <c r="D1580" s="166">
        <f ca="1">RANK(P1580,P1572:P1596)</f>
        <v>2</v>
      </c>
      <c r="E1580" s="189" t="s">
        <v>160</v>
      </c>
      <c r="F1580" s="179">
        <f ca="1">COUNTIFS(Paste_Report_Here!$E$1:$E$2000,E1566, OFFSET(Paste_Report_Here!$A$1,0,$A1580,2000,1),F$75)</f>
        <v>0</v>
      </c>
      <c r="G1580" s="180">
        <f ca="1">COUNTIFS(Paste_Report_Here!$E$1:$E$2000,E1566, OFFSET(Paste_Report_Here!$A$1,0,$A1580,2000,1),G$75)</f>
        <v>0</v>
      </c>
      <c r="H1580" s="180">
        <f ca="1">COUNTIFS(Paste_Report_Here!$E$1:$E$2000,E1566, OFFSET(Paste_Report_Here!$A$1,0,$A1580,2000,1),H$75)</f>
        <v>15</v>
      </c>
      <c r="I1580" s="180">
        <f ca="1">COUNTIFS(Paste_Report_Here!$E$1:$E$2000,E1566, OFFSET(Paste_Report_Here!$A$1,0,$A1580,2000,1),I$75)</f>
        <v>2</v>
      </c>
      <c r="J1580" s="180">
        <f ca="1">COUNTIFS(Paste_Report_Here!$E$1:$E$2000,E1566, OFFSET(Paste_Report_Here!$A$1,0,$A1580,2000,1),J$75)</f>
        <v>1</v>
      </c>
      <c r="K1580" s="181">
        <f ca="1">COUNTIFS(Paste_Report_Here!$E$1:$E$2000,E1566, OFFSET(Paste_Report_Here!$A$1,0,$A1580,2000,1),K$75)</f>
        <v>0</v>
      </c>
      <c r="L1580" s="166">
        <f t="shared" ca="1" si="236"/>
        <v>18</v>
      </c>
      <c r="M1580" s="183">
        <f ca="1">SUMPRODUCT(F1580:K1580,F1570:K1570)/L:L</f>
        <v>1.1111111111111112E-2</v>
      </c>
      <c r="N1580" s="166">
        <f t="shared" ca="1" si="237"/>
        <v>1.0111730687663378</v>
      </c>
      <c r="O1580" s="247">
        <f t="shared" ca="1" si="239"/>
        <v>5042.6887346920421</v>
      </c>
      <c r="P1580" s="247">
        <f t="shared" ca="1" si="238"/>
        <v>5099.0310426919932</v>
      </c>
    </row>
    <row r="1581" spans="1:16" s="247" customFormat="1" x14ac:dyDescent="0.3">
      <c r="A1581" s="247">
        <f>MATCH(Calcs!B1581,Paste_Report_Here!$1:$1,0) -1</f>
        <v>14</v>
      </c>
      <c r="B1581" s="247" t="s">
        <v>132</v>
      </c>
      <c r="C1581" s="166">
        <f ca="1">RANK(N1581,N1572:N1596)</f>
        <v>2</v>
      </c>
      <c r="D1581" s="166">
        <f ca="1">RANK(P1581,P1572:P1596)</f>
        <v>14</v>
      </c>
      <c r="E1581" s="189" t="s">
        <v>161</v>
      </c>
      <c r="F1581" s="179">
        <f ca="1">COUNTIFS(Paste_Report_Here!$E$1:$E$2000,E1566, OFFSET(Paste_Report_Here!$A$1,0,$A1581,2000,1),F$75)</f>
        <v>0</v>
      </c>
      <c r="G1581" s="180">
        <f ca="1">COUNTIFS(Paste_Report_Here!$E$1:$E$2000,E1566, OFFSET(Paste_Report_Here!$A$1,0,$A1581,2000,1),G$75)</f>
        <v>1</v>
      </c>
      <c r="H1581" s="180">
        <f ca="1">COUNTIFS(Paste_Report_Here!$E$1:$E$2000,E1566, OFFSET(Paste_Report_Here!$A$1,0,$A1581,2000,1),H$75)</f>
        <v>15</v>
      </c>
      <c r="I1581" s="180">
        <f ca="1">COUNTIFS(Paste_Report_Here!$E$1:$E$2000,E1566, OFFSET(Paste_Report_Here!$A$1,0,$A1581,2000,1),I$75)</f>
        <v>1</v>
      </c>
      <c r="J1581" s="180">
        <f ca="1">COUNTIFS(Paste_Report_Here!$E$1:$E$2000,E1566, OFFSET(Paste_Report_Here!$A$1,0,$A1581,2000,1),J$75)</f>
        <v>1</v>
      </c>
      <c r="K1581" s="181">
        <f ca="1">COUNTIFS(Paste_Report_Here!$E$1:$E$2000,E1566, OFFSET(Paste_Report_Here!$A$1,0,$A1581,2000,1),K$75)</f>
        <v>0</v>
      </c>
      <c r="L1581" s="166">
        <f t="shared" ca="1" si="236"/>
        <v>18</v>
      </c>
      <c r="M1581" s="183">
        <f ca="1">SUMPRODUCT(F1581:K1581,F1570:K1570)/L:L</f>
        <v>1.1111111111111112E-2</v>
      </c>
      <c r="N1581" s="166">
        <f t="shared" ca="1" si="237"/>
        <v>1.0111730687663378</v>
      </c>
      <c r="O1581" s="247">
        <f t="shared" ca="1" si="239"/>
        <v>2194.5388328841718</v>
      </c>
      <c r="P1581" s="247">
        <f t="shared" ca="1" si="238"/>
        <v>2219.0585661743853</v>
      </c>
    </row>
    <row r="1582" spans="1:16" s="247" customFormat="1" x14ac:dyDescent="0.3">
      <c r="A1582" s="247">
        <f>MATCH(Calcs!B1582,Paste_Report_Here!$1:$1,0) -1</f>
        <v>15</v>
      </c>
      <c r="B1582" s="247" t="s">
        <v>133</v>
      </c>
      <c r="C1582" s="166">
        <f ca="1">RANK(N1582,N1572:N1596)</f>
        <v>2</v>
      </c>
      <c r="D1582" s="166">
        <f ca="1">RANK(P1582,P1572:P1596)</f>
        <v>6</v>
      </c>
      <c r="E1582" s="189" t="s">
        <v>162</v>
      </c>
      <c r="F1582" s="179">
        <f ca="1">COUNTIFS(Paste_Report_Here!$E$1:$E$2000,E1566, OFFSET(Paste_Report_Here!$A$1,0,$A1582,2000,1),F$75)</f>
        <v>0</v>
      </c>
      <c r="G1582" s="180">
        <f ca="1">COUNTIFS(Paste_Report_Here!$E$1:$E$2000,E1566, OFFSET(Paste_Report_Here!$A$1,0,$A1582,2000,1),G$75)</f>
        <v>1</v>
      </c>
      <c r="H1582" s="180">
        <f ca="1">COUNTIFS(Paste_Report_Here!$E$1:$E$2000,E1566, OFFSET(Paste_Report_Here!$A$1,0,$A1582,2000,1),H$75)</f>
        <v>16</v>
      </c>
      <c r="I1582" s="180">
        <f ca="1">COUNTIFS(Paste_Report_Here!$E$1:$E$2000,E1566, OFFSET(Paste_Report_Here!$A$1,0,$A1582,2000,1),I$75)</f>
        <v>0</v>
      </c>
      <c r="J1582" s="180">
        <f ca="1">COUNTIFS(Paste_Report_Here!$E$1:$E$2000,E1566, OFFSET(Paste_Report_Here!$A$1,0,$A1582,2000,1),J$75)</f>
        <v>1</v>
      </c>
      <c r="K1582" s="181">
        <f ca="1">COUNTIFS(Paste_Report_Here!$E$1:$E$2000,E1566, OFFSET(Paste_Report_Here!$A$1,0,$A1582,2000,1),K$75)</f>
        <v>0</v>
      </c>
      <c r="L1582" s="166">
        <f t="shared" ca="1" si="236"/>
        <v>18</v>
      </c>
      <c r="M1582" s="183">
        <f ca="1">SUMPRODUCT(F1582:K1582,F1570:K1570)/L:L</f>
        <v>1.1111111111111112E-2</v>
      </c>
      <c r="N1582" s="166">
        <f t="shared" ca="1" si="237"/>
        <v>1.0111730687663378</v>
      </c>
      <c r="O1582" s="247">
        <f t="shared" ca="1" si="239"/>
        <v>3262.8338462601791</v>
      </c>
      <c r="P1582" s="247">
        <f t="shared" ca="1" si="238"/>
        <v>3299.2897131975787</v>
      </c>
    </row>
    <row r="1583" spans="1:16" s="247" customFormat="1" x14ac:dyDescent="0.3">
      <c r="A1583" s="247">
        <f>MATCH(Calcs!B1583,Paste_Report_Here!$1:$1,0) -1</f>
        <v>16</v>
      </c>
      <c r="B1583" s="247" t="s">
        <v>134</v>
      </c>
      <c r="C1583" s="166">
        <f ca="1">RANK(N1583,N1572:N1596)</f>
        <v>11</v>
      </c>
      <c r="D1583" s="166">
        <f ca="1">RANK(P1583,P1572:P1596)</f>
        <v>24</v>
      </c>
      <c r="E1583" s="189" t="s">
        <v>163</v>
      </c>
      <c r="F1583" s="179">
        <f ca="1">COUNTIFS(Paste_Report_Here!$E$1:$E$2000,E1566, OFFSET(Paste_Report_Here!$A$1,0,$A1583,2000,1),F$75)</f>
        <v>0</v>
      </c>
      <c r="G1583" s="180">
        <f ca="1">COUNTIFS(Paste_Report_Here!$E$1:$E$2000,E1566, OFFSET(Paste_Report_Here!$A$1,0,$A1583,2000,1),G$75)</f>
        <v>1</v>
      </c>
      <c r="H1583" s="180">
        <f ca="1">COUNTIFS(Paste_Report_Here!$E$1:$E$2000,E1566, OFFSET(Paste_Report_Here!$A$1,0,$A1583,2000,1),H$75)</f>
        <v>17</v>
      </c>
      <c r="I1583" s="180">
        <f ca="1">COUNTIFS(Paste_Report_Here!$E$1:$E$2000,E1566, OFFSET(Paste_Report_Here!$A$1,0,$A1583,2000,1),I$75)</f>
        <v>0</v>
      </c>
      <c r="J1583" s="180">
        <f ca="1">COUNTIFS(Paste_Report_Here!$E$1:$E$2000,E1566, OFFSET(Paste_Report_Here!$A$1,0,$A1583,2000,1),J$75)</f>
        <v>0</v>
      </c>
      <c r="K1583" s="181">
        <f ca="1">COUNTIFS(Paste_Report_Here!$E$1:$E$2000,E1566, OFFSET(Paste_Report_Here!$A$1,0,$A1583,2000,1),K$75)</f>
        <v>0</v>
      </c>
      <c r="L1583" s="166">
        <f t="shared" ca="1" si="236"/>
        <v>18</v>
      </c>
      <c r="M1583" s="183">
        <f ca="1">SUMPRODUCT(F1583:K1583,F1570:K1570)/L:L</f>
        <v>0</v>
      </c>
      <c r="N1583" s="166">
        <f t="shared" ca="1" si="237"/>
        <v>1</v>
      </c>
      <c r="O1583" s="247">
        <f t="shared" ca="1" si="239"/>
        <v>1155.3424898159985</v>
      </c>
      <c r="P1583" s="247">
        <f t="shared" ca="1" si="238"/>
        <v>1155.3424898159985</v>
      </c>
    </row>
    <row r="1584" spans="1:16" s="247" customFormat="1" x14ac:dyDescent="0.3">
      <c r="A1584" s="247">
        <f>MATCH(Calcs!B1584,Paste_Report_Here!$1:$1,0) -1</f>
        <v>17</v>
      </c>
      <c r="B1584" s="247" t="s">
        <v>135</v>
      </c>
      <c r="C1584" s="166">
        <f ca="1">RANK(N1584,N1572:N1596)</f>
        <v>11</v>
      </c>
      <c r="D1584" s="166">
        <f ca="1">RANK(P1584,P1572:P1596)</f>
        <v>19</v>
      </c>
      <c r="E1584" s="189" t="s">
        <v>164</v>
      </c>
      <c r="F1584" s="179">
        <f ca="1">COUNTIFS(Paste_Report_Here!$E$1:$E$2000,E1566, OFFSET(Paste_Report_Here!$A$1,0,$A1584,2000,1),F$75)</f>
        <v>0</v>
      </c>
      <c r="G1584" s="180">
        <f ca="1">COUNTIFS(Paste_Report_Here!$E$1:$E$2000,E1566, OFFSET(Paste_Report_Here!$A$1,0,$A1584,2000,1),G$75)</f>
        <v>1</v>
      </c>
      <c r="H1584" s="180">
        <f ca="1">COUNTIFS(Paste_Report_Here!$E$1:$E$2000,E1566, OFFSET(Paste_Report_Here!$A$1,0,$A1584,2000,1),H$75)</f>
        <v>17</v>
      </c>
      <c r="I1584" s="180">
        <f ca="1">COUNTIFS(Paste_Report_Here!$E$1:$E$2000,E1566, OFFSET(Paste_Report_Here!$A$1,0,$A1584,2000,1),I$75)</f>
        <v>0</v>
      </c>
      <c r="J1584" s="180">
        <f ca="1">COUNTIFS(Paste_Report_Here!$E$1:$E$2000,E1566, OFFSET(Paste_Report_Here!$A$1,0,$A1584,2000,1),J$75)</f>
        <v>0</v>
      </c>
      <c r="K1584" s="181">
        <f ca="1">COUNTIFS(Paste_Report_Here!$E$1:$E$2000,E1566, OFFSET(Paste_Report_Here!$A$1,0,$A1584,2000,1),K$75)</f>
        <v>0</v>
      </c>
      <c r="L1584" s="166">
        <f t="shared" ca="1" si="236"/>
        <v>18</v>
      </c>
      <c r="M1584" s="183">
        <f ca="1">SUMPRODUCT(F1584:K1584,F1570:K1570)/L:L</f>
        <v>0</v>
      </c>
      <c r="N1584" s="166">
        <f t="shared" ca="1" si="237"/>
        <v>1</v>
      </c>
      <c r="O1584" s="247">
        <f t="shared" ca="1" si="239"/>
        <v>1911.8235674353202</v>
      </c>
      <c r="P1584" s="247">
        <f t="shared" ca="1" si="238"/>
        <v>1911.8235674353202</v>
      </c>
    </row>
    <row r="1585" spans="1:16" s="247" customFormat="1" x14ac:dyDescent="0.3">
      <c r="A1585" s="247">
        <f>MATCH(Calcs!B1585,Paste_Report_Here!$1:$1,0) -1</f>
        <v>18</v>
      </c>
      <c r="B1585" s="247" t="s">
        <v>136</v>
      </c>
      <c r="C1585" s="166">
        <f ca="1">RANK(N1585,N1572:N1596)</f>
        <v>2</v>
      </c>
      <c r="D1585" s="166">
        <f ca="1">RANK(P1585,P1572:P1596)</f>
        <v>4</v>
      </c>
      <c r="E1585" s="189" t="s">
        <v>165</v>
      </c>
      <c r="F1585" s="179">
        <f ca="1">COUNTIFS(Paste_Report_Here!$E$1:$E$2000,E1566, OFFSET(Paste_Report_Here!$A$1,0,$A1585,2000,1),F$75)</f>
        <v>0</v>
      </c>
      <c r="G1585" s="180">
        <f ca="1">COUNTIFS(Paste_Report_Here!$E$1:$E$2000,E1566, OFFSET(Paste_Report_Here!$A$1,0,$A1585,2000,1),G$75)</f>
        <v>1</v>
      </c>
      <c r="H1585" s="180">
        <f ca="1">COUNTIFS(Paste_Report_Here!$E$1:$E$2000,E1566, OFFSET(Paste_Report_Here!$A$1,0,$A1585,2000,1),H$75)</f>
        <v>15</v>
      </c>
      <c r="I1585" s="180">
        <f ca="1">COUNTIFS(Paste_Report_Here!$E$1:$E$2000,E1566, OFFSET(Paste_Report_Here!$A$1,0,$A1585,2000,1),I$75)</f>
        <v>1</v>
      </c>
      <c r="J1585" s="180">
        <f ca="1">COUNTIFS(Paste_Report_Here!$E$1:$E$2000,E1566, OFFSET(Paste_Report_Here!$A$1,0,$A1585,2000,1),J$75)</f>
        <v>1</v>
      </c>
      <c r="K1585" s="181">
        <f ca="1">COUNTIFS(Paste_Report_Here!$E$1:$E$2000,E1566, OFFSET(Paste_Report_Here!$A$1,0,$A1585,2000,1),K$75)</f>
        <v>0</v>
      </c>
      <c r="L1585" s="166">
        <f t="shared" ca="1" si="236"/>
        <v>18</v>
      </c>
      <c r="M1585" s="183">
        <f ca="1">SUMPRODUCT(F1585:K1585,F1570:K1570)/L:L</f>
        <v>1.1111111111111112E-2</v>
      </c>
      <c r="N1585" s="166">
        <f t="shared" ca="1" si="237"/>
        <v>1.0111730687663378</v>
      </c>
      <c r="O1585" s="247">
        <f t="shared" ca="1" si="239"/>
        <v>4159.507798056954</v>
      </c>
      <c r="P1585" s="247">
        <f t="shared" ca="1" si="238"/>
        <v>4205.982264718763</v>
      </c>
    </row>
    <row r="1586" spans="1:16" s="247" customFormat="1" x14ac:dyDescent="0.3">
      <c r="A1586" s="247">
        <f>MATCH(Calcs!B1586,Paste_Report_Here!$1:$1,0) -1</f>
        <v>19</v>
      </c>
      <c r="B1586" s="247" t="s">
        <v>137</v>
      </c>
      <c r="C1586" s="166">
        <f ca="1">RANK(N1586,N1572:N1596)</f>
        <v>11</v>
      </c>
      <c r="D1586" s="166">
        <f ca="1">RANK(P1586,P1572:P1596)</f>
        <v>13</v>
      </c>
      <c r="E1586" s="189" t="s">
        <v>166</v>
      </c>
      <c r="F1586" s="179">
        <f ca="1">COUNTIFS(Paste_Report_Here!$E$1:$E$2000,E1566, OFFSET(Paste_Report_Here!$A$1,0,$A1586,2000,1),F$75)</f>
        <v>0</v>
      </c>
      <c r="G1586" s="180">
        <f ca="1">COUNTIFS(Paste_Report_Here!$E$1:$E$2000,E1566, OFFSET(Paste_Report_Here!$A$1,0,$A1586,2000,1),G$75)</f>
        <v>1</v>
      </c>
      <c r="H1586" s="180">
        <f ca="1">COUNTIFS(Paste_Report_Here!$E$1:$E$2000,E1566, OFFSET(Paste_Report_Here!$A$1,0,$A1586,2000,1),H$75)</f>
        <v>17</v>
      </c>
      <c r="I1586" s="180">
        <f ca="1">COUNTIFS(Paste_Report_Here!$E$1:$E$2000,E1566, OFFSET(Paste_Report_Here!$A$1,0,$A1586,2000,1),I$75)</f>
        <v>0</v>
      </c>
      <c r="J1586" s="180">
        <f ca="1">COUNTIFS(Paste_Report_Here!$E$1:$E$2000,E1566, OFFSET(Paste_Report_Here!$A$1,0,$A1586,2000,1),J$75)</f>
        <v>0</v>
      </c>
      <c r="K1586" s="181">
        <f ca="1">COUNTIFS(Paste_Report_Here!$E$1:$E$2000,E1566, OFFSET(Paste_Report_Here!$A$1,0,$A1586,2000,1),K$75)</f>
        <v>0</v>
      </c>
      <c r="L1586" s="166">
        <f t="shared" ca="1" si="236"/>
        <v>18</v>
      </c>
      <c r="M1586" s="183">
        <f ca="1">SUMPRODUCT(F1586:K1586,F1570:K1570)/L:L</f>
        <v>0</v>
      </c>
      <c r="N1586" s="166">
        <f t="shared" ca="1" si="237"/>
        <v>1</v>
      </c>
      <c r="O1586" s="247">
        <f t="shared" ca="1" si="239"/>
        <v>2243.7739419386153</v>
      </c>
      <c r="P1586" s="247">
        <f t="shared" ca="1" si="238"/>
        <v>2243.7739419386153</v>
      </c>
    </row>
    <row r="1587" spans="1:16" s="247" customFormat="1" x14ac:dyDescent="0.3">
      <c r="A1587" s="247">
        <f>MATCH(Calcs!B1587,Paste_Report_Here!$1:$1,0) -1</f>
        <v>20</v>
      </c>
      <c r="B1587" s="247" t="s">
        <v>138</v>
      </c>
      <c r="C1587" s="166">
        <f ca="1">RANK(N1587,N1572:N1596)</f>
        <v>22</v>
      </c>
      <c r="D1587" s="166">
        <f ca="1">RANK(P1587,P1572:P1596)</f>
        <v>20</v>
      </c>
      <c r="E1587" s="189" t="s">
        <v>167</v>
      </c>
      <c r="F1587" s="179">
        <f ca="1">COUNTIFS(Paste_Report_Here!$E$1:$E$2000,E1566, OFFSET(Paste_Report_Here!$A$1,0,$A1587,2000,1),F$75)</f>
        <v>1</v>
      </c>
      <c r="G1587" s="180">
        <f ca="1">COUNTIFS(Paste_Report_Here!$E$1:$E$2000,E1566, OFFSET(Paste_Report_Here!$A$1,0,$A1587,2000,1),G$75)</f>
        <v>0</v>
      </c>
      <c r="H1587" s="180">
        <f ca="1">COUNTIFS(Paste_Report_Here!$E$1:$E$2000,E1566, OFFSET(Paste_Report_Here!$A$1,0,$A1587,2000,1),H$75)</f>
        <v>17</v>
      </c>
      <c r="I1587" s="180">
        <f ca="1">COUNTIFS(Paste_Report_Here!$E$1:$E$2000,E1566, OFFSET(Paste_Report_Here!$A$1,0,$A1587,2000,1),I$75)</f>
        <v>0</v>
      </c>
      <c r="J1587" s="180">
        <f ca="1">COUNTIFS(Paste_Report_Here!$E$1:$E$2000,E1566, OFFSET(Paste_Report_Here!$A$1,0,$A1587,2000,1),J$75)</f>
        <v>0</v>
      </c>
      <c r="K1587" s="181">
        <f ca="1">COUNTIFS(Paste_Report_Here!$E$1:$E$2000,E1566, OFFSET(Paste_Report_Here!$A$1,0,$A1587,2000,1),K$75)</f>
        <v>0</v>
      </c>
      <c r="L1587" s="166">
        <f t="shared" ca="1" si="236"/>
        <v>18</v>
      </c>
      <c r="M1587" s="183">
        <f ca="1">SUMPRODUCT(F1587:K1587,F1570:K1570)/L:L</f>
        <v>-1.1111111111111112E-2</v>
      </c>
      <c r="N1587" s="166">
        <f t="shared" ca="1" si="237"/>
        <v>0.98895038929392232</v>
      </c>
      <c r="O1587" s="247">
        <f t="shared" ca="1" si="239"/>
        <v>1885.9010899261507</v>
      </c>
      <c r="P1587" s="247">
        <f t="shared" ca="1" si="238"/>
        <v>1865.0626170522992</v>
      </c>
    </row>
    <row r="1588" spans="1:16" s="247" customFormat="1" x14ac:dyDescent="0.3">
      <c r="A1588" s="247">
        <f>MATCH(Calcs!B1588,Paste_Report_Here!$1:$1,0) -1</f>
        <v>21</v>
      </c>
      <c r="B1588" s="247" t="s">
        <v>139</v>
      </c>
      <c r="C1588" s="166">
        <f ca="1">RANK(N1588,N1572:N1596)</f>
        <v>11</v>
      </c>
      <c r="D1588" s="166">
        <f ca="1">RANK(P1588,P1572:P1596)</f>
        <v>18</v>
      </c>
      <c r="E1588" s="189" t="s">
        <v>168</v>
      </c>
      <c r="F1588" s="179">
        <f ca="1">COUNTIFS(Paste_Report_Here!$E$1:$E$2000,E1566, OFFSET(Paste_Report_Here!$A$1,0,$A1588,2000,1),F$75)</f>
        <v>0</v>
      </c>
      <c r="G1588" s="180">
        <f ca="1">COUNTIFS(Paste_Report_Here!$E$1:$E$2000,E1566, OFFSET(Paste_Report_Here!$A$1,0,$A1588,2000,1),G$75)</f>
        <v>1</v>
      </c>
      <c r="H1588" s="180">
        <f ca="1">COUNTIFS(Paste_Report_Here!$E$1:$E$2000,E1566, OFFSET(Paste_Report_Here!$A$1,0,$A1588,2000,1),H$75)</f>
        <v>17</v>
      </c>
      <c r="I1588" s="180">
        <f ca="1">COUNTIFS(Paste_Report_Here!$E$1:$E$2000,E1566, OFFSET(Paste_Report_Here!$A$1,0,$A1588,2000,1),I$75)</f>
        <v>0</v>
      </c>
      <c r="J1588" s="180">
        <f ca="1">COUNTIFS(Paste_Report_Here!$E$1:$E$2000,E1566, OFFSET(Paste_Report_Here!$A$1,0,$A1588,2000,1),J$75)</f>
        <v>0</v>
      </c>
      <c r="K1588" s="181">
        <f ca="1">COUNTIFS(Paste_Report_Here!$E$1:$E$2000,E1566, OFFSET(Paste_Report_Here!$A$1,0,$A1588,2000,1),K$75)</f>
        <v>0</v>
      </c>
      <c r="L1588" s="166">
        <f t="shared" ca="1" si="236"/>
        <v>18</v>
      </c>
      <c r="M1588" s="183">
        <f ca="1">SUMPRODUCT(F1588:K1588,F1570:K1570)/L:L</f>
        <v>0</v>
      </c>
      <c r="N1588" s="166">
        <f t="shared" ca="1" si="237"/>
        <v>1</v>
      </c>
      <c r="O1588" s="247">
        <f t="shared" ca="1" si="239"/>
        <v>1999.2055653723937</v>
      </c>
      <c r="P1588" s="247">
        <f t="shared" ca="1" si="238"/>
        <v>1999.2055653723937</v>
      </c>
    </row>
    <row r="1589" spans="1:16" s="247" customFormat="1" x14ac:dyDescent="0.3">
      <c r="A1589" s="247">
        <f>MATCH(Calcs!B1589,Paste_Report_Here!$1:$1,0) -1</f>
        <v>22</v>
      </c>
      <c r="B1589" s="247" t="s">
        <v>140</v>
      </c>
      <c r="C1589" s="166">
        <f ca="1">RANK(N1589,N1572:N1596)</f>
        <v>11</v>
      </c>
      <c r="D1589" s="166">
        <f ca="1">RANK(P1589,P1572:P1596)</f>
        <v>16</v>
      </c>
      <c r="E1589" s="189" t="s">
        <v>169</v>
      </c>
      <c r="F1589" s="179">
        <f ca="1">COUNTIFS(Paste_Report_Here!$E$1:$E$2000,E1566, OFFSET(Paste_Report_Here!$A$1,0,$A1589,2000,1),F$75)</f>
        <v>0</v>
      </c>
      <c r="G1589" s="180">
        <f ca="1">COUNTIFS(Paste_Report_Here!$E$1:$E$2000,E1566, OFFSET(Paste_Report_Here!$A$1,0,$A1589,2000,1),G$75)</f>
        <v>1</v>
      </c>
      <c r="H1589" s="180">
        <f ca="1">COUNTIFS(Paste_Report_Here!$E$1:$E$2000,E1566, OFFSET(Paste_Report_Here!$A$1,0,$A1589,2000,1),H$75)</f>
        <v>17</v>
      </c>
      <c r="I1589" s="180">
        <f ca="1">COUNTIFS(Paste_Report_Here!$E$1:$E$2000,E1566, OFFSET(Paste_Report_Here!$A$1,0,$A1589,2000,1),I$75)</f>
        <v>0</v>
      </c>
      <c r="J1589" s="180">
        <f ca="1">COUNTIFS(Paste_Report_Here!$E$1:$E$2000,E1566, OFFSET(Paste_Report_Here!$A$1,0,$A1589,2000,1),J$75)</f>
        <v>0</v>
      </c>
      <c r="K1589" s="181">
        <f ca="1">COUNTIFS(Paste_Report_Here!$E$1:$E$2000,E1566, OFFSET(Paste_Report_Here!$A$1,0,$A1589,2000,1),K$75)</f>
        <v>0</v>
      </c>
      <c r="L1589" s="166">
        <f t="shared" ca="1" si="236"/>
        <v>18</v>
      </c>
      <c r="M1589" s="183">
        <f ca="1">SUMPRODUCT(F1589:K1589,F1570:K1570)/L:L</f>
        <v>0</v>
      </c>
      <c r="N1589" s="166">
        <f t="shared" ca="1" si="237"/>
        <v>1</v>
      </c>
      <c r="O1589" s="247">
        <f t="shared" ca="1" si="239"/>
        <v>2151.7748764846756</v>
      </c>
      <c r="P1589" s="247">
        <f t="shared" ca="1" si="238"/>
        <v>2151.7748764846756</v>
      </c>
    </row>
    <row r="1590" spans="1:16" s="247" customFormat="1" x14ac:dyDescent="0.3">
      <c r="A1590" s="247">
        <f>MATCH(Calcs!B1590,Paste_Report_Here!$1:$1,0) -1</f>
        <v>23</v>
      </c>
      <c r="B1590" s="247" t="s">
        <v>186</v>
      </c>
      <c r="C1590" s="166">
        <f ca="1">RANK(N1590,N1572:N1596)</f>
        <v>2</v>
      </c>
      <c r="D1590" s="166">
        <f ca="1">RANK(P1590,P1572:P1596)</f>
        <v>3</v>
      </c>
      <c r="E1590" s="189" t="s">
        <v>180</v>
      </c>
      <c r="F1590" s="179">
        <f ca="1">COUNTIFS(Paste_Report_Here!$E$1:$E$2000,E1566, OFFSET(Paste_Report_Here!$A$1,0,$A1590,2000,1),F$75)</f>
        <v>0</v>
      </c>
      <c r="G1590" s="180">
        <f ca="1">COUNTIFS(Paste_Report_Here!$E$1:$E$2000,E1566, OFFSET(Paste_Report_Here!$A$1,0,$A1590,2000,1),G$75)</f>
        <v>0</v>
      </c>
      <c r="H1590" s="180">
        <f ca="1">COUNTIFS(Paste_Report_Here!$E$1:$E$2000,E1566, OFFSET(Paste_Report_Here!$A$1,0,$A1590,2000,1),H$75)</f>
        <v>16</v>
      </c>
      <c r="I1590" s="180">
        <f ca="1">COUNTIFS(Paste_Report_Here!$E$1:$E$2000,E1566, OFFSET(Paste_Report_Here!$A$1,0,$A1590,2000,1),I$75)</f>
        <v>1</v>
      </c>
      <c r="J1590" s="180">
        <f ca="1">COUNTIFS(Paste_Report_Here!$E$1:$E$2000,E1566, OFFSET(Paste_Report_Here!$A$1,0,$A1590,2000,1),J$75)</f>
        <v>1</v>
      </c>
      <c r="K1590" s="181">
        <f ca="1">COUNTIFS(Paste_Report_Here!$E$1:$E$2000,E1566, OFFSET(Paste_Report_Here!$A$1,0,$A1590,2000,1),K$75)</f>
        <v>0</v>
      </c>
      <c r="L1590" s="166">
        <f t="shared" ca="1" si="236"/>
        <v>18</v>
      </c>
      <c r="M1590" s="183">
        <f ca="1">SUMPRODUCT(F1590:K1590,F1570:K1570)/L:L</f>
        <v>1.1111111111111112E-2</v>
      </c>
      <c r="N1590" s="166">
        <f t="shared" ca="1" si="237"/>
        <v>1.0111730687663378</v>
      </c>
      <c r="O1590" s="247">
        <f t="shared" ca="1" si="239"/>
        <v>4350.9238043144369</v>
      </c>
      <c r="P1590" s="247">
        <f t="shared" ca="1" si="238"/>
        <v>4399.5369751771386</v>
      </c>
    </row>
    <row r="1591" spans="1:16" s="247" customFormat="1" x14ac:dyDescent="0.3">
      <c r="A1591" s="247">
        <f>MATCH(Calcs!B1591,Paste_Report_Here!$1:$1,0) -1</f>
        <v>24</v>
      </c>
      <c r="B1591" s="247" t="s">
        <v>209</v>
      </c>
      <c r="C1591" s="166">
        <f ca="1">RANK(N1591,N1572:N1596)</f>
        <v>11</v>
      </c>
      <c r="D1591" s="166">
        <f ca="1">RANK(P1591,P1572:P1596)</f>
        <v>23</v>
      </c>
      <c r="E1591" s="202" t="s">
        <v>211</v>
      </c>
      <c r="F1591" s="179">
        <f ca="1">COUNTIFS(Paste_Report_Here!$E$1:$E$2000,E1566, OFFSET(Paste_Report_Here!$A$1,0,$A1591,2000,1),F$75)</f>
        <v>0</v>
      </c>
      <c r="G1591" s="180">
        <f ca="1">COUNTIFS(Paste_Report_Here!$E$1:$E$2000,E1566, OFFSET(Paste_Report_Here!$A$1,0,$A1591,2000,1),G$75)</f>
        <v>0</v>
      </c>
      <c r="H1591" s="180">
        <f ca="1">COUNTIFS(Paste_Report_Here!$E$1:$E$2000,E1566, OFFSET(Paste_Report_Here!$A$1,0,$A1591,2000,1),H$75)</f>
        <v>18</v>
      </c>
      <c r="I1591" s="180">
        <f ca="1">COUNTIFS(Paste_Report_Here!$E$1:$E$2000,E1566, OFFSET(Paste_Report_Here!$A$1,0,$A1591,2000,1),I$75)</f>
        <v>0</v>
      </c>
      <c r="J1591" s="180">
        <f ca="1">COUNTIFS(Paste_Report_Here!$E$1:$E$2000,E1566, OFFSET(Paste_Report_Here!$A$1,0,$A1591,2000,1),J$75)</f>
        <v>0</v>
      </c>
      <c r="K1591" s="181">
        <f ca="1">COUNTIFS(Paste_Report_Here!$E$1:$E$2000,E1566, OFFSET(Paste_Report_Here!$A$1,0,$A1591,2000,1),K$75)</f>
        <v>0</v>
      </c>
      <c r="L1591" s="166">
        <f t="shared" ca="1" si="236"/>
        <v>18</v>
      </c>
      <c r="M1591" s="183">
        <f ca="1">SUMPRODUCT(F1591:K1591,F1570:K1570)/L:L</f>
        <v>0</v>
      </c>
      <c r="N1591" s="166">
        <f t="shared" ca="1" si="237"/>
        <v>1</v>
      </c>
      <c r="O1591" s="247">
        <f t="shared" ca="1" si="239"/>
        <v>1241.8557755981556</v>
      </c>
      <c r="P1591" s="247">
        <f t="shared" ca="1" si="238"/>
        <v>1241.8557755981556</v>
      </c>
    </row>
    <row r="1592" spans="1:16" s="247" customFormat="1" x14ac:dyDescent="0.3">
      <c r="A1592" s="247">
        <f>MATCH(Calcs!B1592,Paste_Report_Here!$1:$1,0) -1</f>
        <v>25</v>
      </c>
      <c r="B1592" s="247" t="s">
        <v>141</v>
      </c>
      <c r="C1592" s="166">
        <f ca="1">RANK(N1592,N1572:N1596)</f>
        <v>2</v>
      </c>
      <c r="D1592" s="166">
        <f ca="1">RANK(P1592,P1572:P1596)</f>
        <v>22</v>
      </c>
      <c r="E1592" s="189" t="s">
        <v>170</v>
      </c>
      <c r="F1592" s="179">
        <f ca="1">COUNTIFS(Paste_Report_Here!$E$1:$E$2000,E1566, OFFSET(Paste_Report_Here!$A$1,0,$A1592,2000,1),F$75)</f>
        <v>0</v>
      </c>
      <c r="G1592" s="180">
        <f ca="1">COUNTIFS(Paste_Report_Here!$E$1:$E$2000,E1566, OFFSET(Paste_Report_Here!$A$1,0,$A1592,2000,1),G$75)</f>
        <v>2</v>
      </c>
      <c r="H1592" s="180">
        <f ca="1">COUNTIFS(Paste_Report_Here!$E$1:$E$2000,E1566, OFFSET(Paste_Report_Here!$A$1,0,$A1592,2000,1),H$75)</f>
        <v>15</v>
      </c>
      <c r="I1592" s="180">
        <f ca="1">COUNTIFS(Paste_Report_Here!$E$1:$E$2000,E1566, OFFSET(Paste_Report_Here!$A$1,0,$A1592,2000,1),I$75)</f>
        <v>0</v>
      </c>
      <c r="J1592" s="180">
        <f ca="1">COUNTIFS(Paste_Report_Here!$E$1:$E$2000,E1566, OFFSET(Paste_Report_Here!$A$1,0,$A1592,2000,1),J$75)</f>
        <v>1</v>
      </c>
      <c r="K1592" s="181">
        <f ca="1">COUNTIFS(Paste_Report_Here!$E$1:$E$2000,E1566, OFFSET(Paste_Report_Here!$A$1,0,$A1592,2000,1),K$75)</f>
        <v>0</v>
      </c>
      <c r="L1592" s="166">
        <f t="shared" ca="1" si="236"/>
        <v>18</v>
      </c>
      <c r="M1592" s="183">
        <f ca="1">SUMPRODUCT(F1592:K1592,F1570:K1570)/L:L</f>
        <v>1.1111111111111112E-2</v>
      </c>
      <c r="N1592" s="166">
        <f t="shared" ca="1" si="237"/>
        <v>1.0111730687663378</v>
      </c>
      <c r="O1592" s="247">
        <f t="shared" ca="1" si="239"/>
        <v>1347.5070824599304</v>
      </c>
      <c r="P1592" s="247">
        <f t="shared" ca="1" si="238"/>
        <v>1362.5628717553825</v>
      </c>
    </row>
    <row r="1593" spans="1:16" s="247" customFormat="1" x14ac:dyDescent="0.3">
      <c r="A1593" s="247">
        <f>MATCH(Calcs!B1593,Paste_Report_Here!$1:$1,0) -1</f>
        <v>26</v>
      </c>
      <c r="B1593" s="247" t="s">
        <v>142</v>
      </c>
      <c r="C1593" s="166">
        <f ca="1">RANK(N1593,N1572:N1596)</f>
        <v>2</v>
      </c>
      <c r="D1593" s="166">
        <f ca="1">RANK(P1593,P1572:P1596)</f>
        <v>12</v>
      </c>
      <c r="E1593" s="189" t="s">
        <v>171</v>
      </c>
      <c r="F1593" s="179">
        <f ca="1">COUNTIFS(Paste_Report_Here!$E$1:$E$2000,E1566, OFFSET(Paste_Report_Here!$A$1,0,$A1593,2000,1),F$75)</f>
        <v>0</v>
      </c>
      <c r="G1593" s="180">
        <f ca="1">COUNTIFS(Paste_Report_Here!$E$1:$E$2000,E1566, OFFSET(Paste_Report_Here!$A$1,0,$A1593,2000,1),G$75)</f>
        <v>2</v>
      </c>
      <c r="H1593" s="180">
        <f ca="1">COUNTIFS(Paste_Report_Here!$E$1:$E$2000,E1566, OFFSET(Paste_Report_Here!$A$1,0,$A1593,2000,1),H$75)</f>
        <v>15</v>
      </c>
      <c r="I1593" s="180">
        <f ca="1">COUNTIFS(Paste_Report_Here!$E$1:$E$2000,E1566, OFFSET(Paste_Report_Here!$A$1,0,$A1593,2000,1),I$75)</f>
        <v>0</v>
      </c>
      <c r="J1593" s="180">
        <f ca="1">COUNTIFS(Paste_Report_Here!$E$1:$E$2000,E1566, OFFSET(Paste_Report_Here!$A$1,0,$A1593,2000,1),J$75)</f>
        <v>1</v>
      </c>
      <c r="K1593" s="181">
        <f ca="1">COUNTIFS(Paste_Report_Here!$E$1:$E$2000,E1566, OFFSET(Paste_Report_Here!$A$1,0,$A1593,2000,1),K$75)</f>
        <v>0</v>
      </c>
      <c r="L1593" s="166">
        <f t="shared" ca="1" si="236"/>
        <v>18</v>
      </c>
      <c r="M1593" s="183">
        <f ca="1">SUMPRODUCT(F1593:K1593,F1570:K1570)/L:L</f>
        <v>1.1111111111111112E-2</v>
      </c>
      <c r="N1593" s="166">
        <f t="shared" ca="1" si="237"/>
        <v>1.0111730687663378</v>
      </c>
      <c r="O1593" s="247">
        <f t="shared" ca="1" si="239"/>
        <v>2279.9863405093402</v>
      </c>
      <c r="P1593" s="247">
        <f t="shared" ca="1" si="238"/>
        <v>2305.4607846781619</v>
      </c>
    </row>
    <row r="1594" spans="1:16" s="247" customFormat="1" x14ac:dyDescent="0.3">
      <c r="A1594" s="247">
        <f>MATCH(Calcs!B1594,Paste_Report_Here!$1:$1,0) -1</f>
        <v>27</v>
      </c>
      <c r="B1594" s="247" t="s">
        <v>210</v>
      </c>
      <c r="C1594" s="166">
        <f ca="1">RANK(N1594,N1572:N1596)</f>
        <v>11</v>
      </c>
      <c r="D1594" s="166">
        <f ca="1">RANK(P1594,P1572:P1596)</f>
        <v>25</v>
      </c>
      <c r="E1594" s="202" t="s">
        <v>212</v>
      </c>
      <c r="F1594" s="179">
        <f ca="1">COUNTIFS(Paste_Report_Here!$E$1:$E$2000,E1566, OFFSET(Paste_Report_Here!$A$1,0,$A1594,2000,1),F$75)</f>
        <v>0</v>
      </c>
      <c r="G1594" s="180">
        <f ca="1">COUNTIFS(Paste_Report_Here!$E$1:$E$2000,E1566, OFFSET(Paste_Report_Here!$A$1,0,$A1594,2000,1),G$75)</f>
        <v>3</v>
      </c>
      <c r="H1594" s="180">
        <f ca="1">COUNTIFS(Paste_Report_Here!$E$1:$E$2000,E1566, OFFSET(Paste_Report_Here!$A$1,0,$A1594,2000,1),H$75)</f>
        <v>15</v>
      </c>
      <c r="I1594" s="180">
        <f ca="1">COUNTIFS(Paste_Report_Here!$E$1:$E$2000,E1566, OFFSET(Paste_Report_Here!$A$1,0,$A1594,2000,1),I$75)</f>
        <v>0</v>
      </c>
      <c r="J1594" s="180">
        <f ca="1">COUNTIFS(Paste_Report_Here!$E$1:$E$2000,E1566, OFFSET(Paste_Report_Here!$A$1,0,$A1594,2000,1),J$75)</f>
        <v>0</v>
      </c>
      <c r="K1594" s="181">
        <f ca="1">COUNTIFS(Paste_Report_Here!$E$1:$E$2000,E1566, OFFSET(Paste_Report_Here!$A$1,0,$A1594,2000,1),K$75)</f>
        <v>0</v>
      </c>
      <c r="L1594" s="166">
        <f t="shared" ca="1" si="236"/>
        <v>18</v>
      </c>
      <c r="M1594" s="183">
        <f ca="1">SUMPRODUCT(F1594:K1594,F1570:K1570)/L:L</f>
        <v>0</v>
      </c>
      <c r="N1594" s="166">
        <f t="shared" ca="1" si="237"/>
        <v>1</v>
      </c>
      <c r="O1594" s="247">
        <f t="shared" ca="1" si="239"/>
        <v>1143.6699917353874</v>
      </c>
      <c r="P1594" s="247">
        <f t="shared" ca="1" si="238"/>
        <v>1143.6699917353874</v>
      </c>
    </row>
    <row r="1595" spans="1:16" s="247" customFormat="1" x14ac:dyDescent="0.3">
      <c r="A1595" s="247">
        <f>MATCH(Calcs!B1595,Paste_Report_Here!$1:$1,0) -1</f>
        <v>28</v>
      </c>
      <c r="B1595" s="247" t="s">
        <v>143</v>
      </c>
      <c r="C1595" s="166">
        <f ca="1">RANK(N1595,N1572:N1596)</f>
        <v>2</v>
      </c>
      <c r="D1595" s="166">
        <f ca="1">RANK(P1595,P1572:P1596)</f>
        <v>1</v>
      </c>
      <c r="E1595" s="189" t="s">
        <v>172</v>
      </c>
      <c r="F1595" s="179">
        <f ca="1">COUNTIFS(Paste_Report_Here!$E$1:$E$2000,E1566, OFFSET(Paste_Report_Here!$A$1,0,$A1595,2000,1),F$75)</f>
        <v>0</v>
      </c>
      <c r="G1595" s="180">
        <f ca="1">COUNTIFS(Paste_Report_Here!$E$1:$E$2000,E1566, OFFSET(Paste_Report_Here!$A$1,0,$A1595,2000,1),G$75)</f>
        <v>2</v>
      </c>
      <c r="H1595" s="180">
        <f ca="1">COUNTIFS(Paste_Report_Here!$E$1:$E$2000,E1566, OFFSET(Paste_Report_Here!$A$1,0,$A1595,2000,1),H$75)</f>
        <v>14</v>
      </c>
      <c r="I1595" s="180">
        <f ca="1">COUNTIFS(Paste_Report_Here!$E$1:$E$2000,E1566, OFFSET(Paste_Report_Here!$A$1,0,$A1595,2000,1),I$75)</f>
        <v>1</v>
      </c>
      <c r="J1595" s="180">
        <f ca="1">COUNTIFS(Paste_Report_Here!$E$1:$E$2000,E1566, OFFSET(Paste_Report_Here!$A$1,0,$A1595,2000,1),J$75)</f>
        <v>1</v>
      </c>
      <c r="K1595" s="181">
        <f ca="1">COUNTIFS(Paste_Report_Here!$E$1:$E$2000,E1566, OFFSET(Paste_Report_Here!$A$1,0,$A1595,2000,1),K$75)</f>
        <v>0</v>
      </c>
      <c r="L1595" s="166">
        <f t="shared" ca="1" si="236"/>
        <v>18</v>
      </c>
      <c r="M1595" s="183">
        <f ca="1">SUMPRODUCT(F1595:K1595,F1570:K1570)/L:L</f>
        <v>1.1111111111111112E-2</v>
      </c>
      <c r="N1595" s="166">
        <f t="shared" ca="1" si="237"/>
        <v>1.0111730687663378</v>
      </c>
      <c r="O1595" s="247">
        <f t="shared" ca="1" si="239"/>
        <v>10115.219156408226</v>
      </c>
      <c r="P1595" s="247">
        <f t="shared" ca="1" si="238"/>
        <v>10228.237195629354</v>
      </c>
    </row>
    <row r="1596" spans="1:16" s="247" customFormat="1" x14ac:dyDescent="0.3">
      <c r="A1596" s="247">
        <f>MATCH(Calcs!B1596,Paste_Report_Here!$1:$1,0) -1</f>
        <v>29</v>
      </c>
      <c r="B1596" s="187" t="s">
        <v>144</v>
      </c>
      <c r="C1596" s="147">
        <f ca="1">RANK(N1596,N1572:N1596)</f>
        <v>11</v>
      </c>
      <c r="D1596" s="147">
        <f ca="1">RANK(P1596,P1572:P1596)</f>
        <v>11</v>
      </c>
      <c r="E1596" s="145" t="s">
        <v>173</v>
      </c>
      <c r="F1596" s="146">
        <f ca="1">COUNTIFS(Paste_Report_Here!$E$1:$E$2000,E1566, OFFSET(Paste_Report_Here!$A$1,0,$A1596,2000,1),F$75)</f>
        <v>0</v>
      </c>
      <c r="G1596" s="147">
        <f ca="1">COUNTIFS(Paste_Report_Here!$E$1:$E$2000,E1566, OFFSET(Paste_Report_Here!$A$1,0,$A1596,2000,1),G$75)</f>
        <v>0</v>
      </c>
      <c r="H1596" s="147">
        <f ca="1">COUNTIFS(Paste_Report_Here!$E$1:$E$2000,E1566, OFFSET(Paste_Report_Here!$A$1,0,$A1596,2000,1),H$75)</f>
        <v>17</v>
      </c>
      <c r="I1596" s="147">
        <f ca="1">COUNTIFS(Paste_Report_Here!$E$1:$E$2000,E1566, OFFSET(Paste_Report_Here!$A$1,0,$A1596,2000,1),I$75)</f>
        <v>1</v>
      </c>
      <c r="J1596" s="147">
        <f ca="1">COUNTIFS(Paste_Report_Here!$E$1:$E$2000,E1566, OFFSET(Paste_Report_Here!$A$1,0,$A1596,2000,1),J$75)</f>
        <v>0</v>
      </c>
      <c r="K1596" s="148">
        <f ca="1">COUNTIFS(Paste_Report_Here!$E$1:$E$2000,E1566, OFFSET(Paste_Report_Here!$A$1,0,$A1596,2000,1),K$75)</f>
        <v>0</v>
      </c>
      <c r="L1596" s="147">
        <f t="shared" ca="1" si="236"/>
        <v>18</v>
      </c>
      <c r="M1596" s="149">
        <f ca="1">SUMPRODUCT(F1596:K1596,F1570:K1570)/L:L</f>
        <v>0</v>
      </c>
      <c r="N1596" s="147">
        <f t="shared" ca="1" si="237"/>
        <v>1</v>
      </c>
      <c r="O1596" s="187">
        <f t="shared" ca="1" si="239"/>
        <v>2392.2261011950159</v>
      </c>
      <c r="P1596" s="247">
        <f t="shared" ca="1" si="238"/>
        <v>2392.2261011950159</v>
      </c>
    </row>
    <row r="1597" spans="1:16" s="247" customFormat="1" x14ac:dyDescent="0.3">
      <c r="C1597" s="166"/>
      <c r="E1597" s="140" t="s">
        <v>293</v>
      </c>
      <c r="F1597" s="180">
        <f ca="1">SUM(F1572:F1596)</f>
        <v>4</v>
      </c>
      <c r="G1597" s="180">
        <f t="shared" ref="G1597:L1597" ca="1" si="240">SUM(G1572:G1596)</f>
        <v>24</v>
      </c>
      <c r="H1597" s="180">
        <f t="shared" ca="1" si="240"/>
        <v>399</v>
      </c>
      <c r="I1597" s="180">
        <f t="shared" ca="1" si="240"/>
        <v>12</v>
      </c>
      <c r="J1597" s="180">
        <f t="shared" ca="1" si="240"/>
        <v>11</v>
      </c>
      <c r="K1597" s="180">
        <f t="shared" ca="1" si="240"/>
        <v>0</v>
      </c>
      <c r="L1597" s="180">
        <f t="shared" ca="1" si="240"/>
        <v>450</v>
      </c>
      <c r="M1597" s="144">
        <f ca="1">SUMPRODUCT(F1597:K1597,F1570:K1570)/L1597</f>
        <v>3.1111111111111114E-3</v>
      </c>
      <c r="N1597" s="166">
        <f t="shared" ca="1" si="237"/>
        <v>1.0031159556399369</v>
      </c>
      <c r="O1597" s="247">
        <f t="shared" ca="1" si="239"/>
        <v>2760.0536976556182</v>
      </c>
      <c r="P1597" s="247">
        <f t="shared" ca="1" si="238"/>
        <v>2768.6539025413572</v>
      </c>
    </row>
    <row r="1598" spans="1:16" s="247" customFormat="1" x14ac:dyDescent="0.3">
      <c r="A1598" s="194"/>
      <c r="B1598" s="194"/>
      <c r="C1598" s="153"/>
      <c r="D1598" s="194"/>
      <c r="E1598" s="164"/>
      <c r="F1598" s="151"/>
      <c r="G1598" s="151"/>
      <c r="H1598" s="151"/>
      <c r="I1598" s="151"/>
      <c r="J1598" s="151"/>
      <c r="K1598" s="151"/>
      <c r="L1598" s="151"/>
      <c r="M1598" s="162"/>
      <c r="N1598" s="153"/>
      <c r="O1598" s="194"/>
      <c r="P1598" s="194"/>
    </row>
    <row r="1599" spans="1:16" s="247" customFormat="1" x14ac:dyDescent="0.3">
      <c r="E1599" s="173" t="s">
        <v>292</v>
      </c>
    </row>
    <row r="1600" spans="1:16" s="247" customFormat="1" x14ac:dyDescent="0.3">
      <c r="E1600" s="141">
        <v>41972</v>
      </c>
    </row>
    <row r="1601" spans="1:16" s="247" customFormat="1" ht="15" thickBot="1" x14ac:dyDescent="0.35"/>
    <row r="1602" spans="1:16" s="247" customFormat="1" ht="24.6" thickBot="1" x14ac:dyDescent="0.35">
      <c r="F1602" s="174" t="s">
        <v>23</v>
      </c>
      <c r="G1602" s="168" t="s">
        <v>18</v>
      </c>
      <c r="H1602" s="168" t="s">
        <v>16</v>
      </c>
      <c r="I1602" s="168" t="s">
        <v>17</v>
      </c>
      <c r="J1602" s="168" t="s">
        <v>19</v>
      </c>
      <c r="K1602" s="169" t="s">
        <v>114</v>
      </c>
    </row>
    <row r="1603" spans="1:16" s="247" customFormat="1" ht="32.25" customHeight="1" x14ac:dyDescent="0.3">
      <c r="F1603" s="267" t="s">
        <v>201</v>
      </c>
      <c r="G1603" s="268"/>
      <c r="H1603" s="268"/>
      <c r="I1603" s="268"/>
      <c r="J1603" s="268"/>
      <c r="K1603" s="169"/>
      <c r="M1603" s="203">
        <f ca="1">(H1631+K1631)/L1631</f>
        <v>0.73166666666666669</v>
      </c>
      <c r="N1603" s="204" t="s">
        <v>501</v>
      </c>
    </row>
    <row r="1604" spans="1:16" s="247" customFormat="1" ht="43.8" thickBot="1" x14ac:dyDescent="0.35">
      <c r="A1604" s="142" t="s">
        <v>294</v>
      </c>
      <c r="B1604" s="142" t="s">
        <v>295</v>
      </c>
      <c r="C1604" s="197" t="s">
        <v>440</v>
      </c>
      <c r="D1604" s="142" t="s">
        <v>441</v>
      </c>
      <c r="E1604" s="171" t="s">
        <v>30</v>
      </c>
      <c r="F1604" s="175">
        <f>Falling_fast</f>
        <v>-0.2</v>
      </c>
      <c r="G1604" s="176">
        <f>Falling</f>
        <v>0</v>
      </c>
      <c r="H1604" s="177">
        <f>Static</f>
        <v>0</v>
      </c>
      <c r="I1604" s="176">
        <f>Rising</f>
        <v>0</v>
      </c>
      <c r="J1604" s="178">
        <f>Rising_fast</f>
        <v>0.2</v>
      </c>
      <c r="K1604" s="182">
        <v>0</v>
      </c>
      <c r="L1604" s="171" t="s">
        <v>28</v>
      </c>
      <c r="M1604" s="172" t="s">
        <v>29</v>
      </c>
      <c r="N1604" s="143" t="s">
        <v>296</v>
      </c>
      <c r="O1604" s="142" t="s">
        <v>297</v>
      </c>
      <c r="P1604" s="142" t="s">
        <v>298</v>
      </c>
    </row>
    <row r="1605" spans="1:16" s="247" customFormat="1" x14ac:dyDescent="0.3">
      <c r="C1605" s="166"/>
      <c r="E1605" s="192"/>
      <c r="F1605" s="198" t="s">
        <v>151</v>
      </c>
      <c r="G1605" s="199" t="s">
        <v>149</v>
      </c>
      <c r="H1605" s="199" t="s">
        <v>16</v>
      </c>
      <c r="I1605" s="199" t="s">
        <v>148</v>
      </c>
      <c r="J1605" s="199" t="s">
        <v>150</v>
      </c>
      <c r="K1605" s="200" t="s">
        <v>114</v>
      </c>
      <c r="L1605" s="166"/>
      <c r="M1605" s="170"/>
      <c r="N1605" s="166"/>
    </row>
    <row r="1606" spans="1:16" s="247" customFormat="1" x14ac:dyDescent="0.3">
      <c r="A1606" s="247">
        <f>MATCH(Calcs!B1606,Paste_Report_Here!$1:$1,0) -1</f>
        <v>5</v>
      </c>
      <c r="B1606" s="247" t="s">
        <v>124</v>
      </c>
      <c r="C1606" s="166">
        <f ca="1">RANK(N1606,N1606:N1630)</f>
        <v>1</v>
      </c>
      <c r="D1606" s="166">
        <f ca="1">RANK(P1606,P1606:P1630)</f>
        <v>15</v>
      </c>
      <c r="E1606" s="189" t="s">
        <v>152</v>
      </c>
      <c r="F1606" s="179">
        <f ca="1">COUNTIFS(Paste_Report_Here!$E$1:$E$2000,E1600, OFFSET(Paste_Report_Here!$A$1,0,$A1606,2000,1),F$75)</f>
        <v>0</v>
      </c>
      <c r="G1606" s="180">
        <f ca="1">COUNTIFS(Paste_Report_Here!$E$1:$E$2000,E1600, OFFSET(Paste_Report_Here!$A$1,0,$A1606,2000,1),G$75)</f>
        <v>3</v>
      </c>
      <c r="H1606" s="180">
        <f ca="1">COUNTIFS(Paste_Report_Here!$E$1:$E$2000,E1600, OFFSET(Paste_Report_Here!$A$1,0,$A1606,2000,1),H$75)</f>
        <v>15</v>
      </c>
      <c r="I1606" s="180">
        <f ca="1">COUNTIFS(Paste_Report_Here!$E$1:$E$2000,E1600, OFFSET(Paste_Report_Here!$A$1,0,$A1606,2000,1),I$75)</f>
        <v>4</v>
      </c>
      <c r="J1606" s="180">
        <f ca="1">COUNTIFS(Paste_Report_Here!$E$1:$E$2000,E1600, OFFSET(Paste_Report_Here!$A$1,0,$A1606,2000,1),J$75)</f>
        <v>2</v>
      </c>
      <c r="K1606" s="181">
        <f ca="1">COUNTIFS(Paste_Report_Here!$E$1:$E$2000,E1600, OFFSET(Paste_Report_Here!$A$1,0,$A1606,2000,1),K$75)</f>
        <v>0</v>
      </c>
      <c r="L1606" s="166">
        <f t="shared" ref="L1606:L1630" ca="1" si="241">SUM(F1606:K1606)</f>
        <v>24</v>
      </c>
      <c r="M1606" s="183">
        <f ca="1">SUMPRODUCT(F1606:K1606,F1604:K1604)/L:L</f>
        <v>1.6666666666666666E-2</v>
      </c>
      <c r="N1606" s="166">
        <f t="shared" ref="N1606:N1631" ca="1" si="242">EXP(M1606)</f>
        <v>1.0168063303862609</v>
      </c>
      <c r="O1606" s="247">
        <f ca="1">P1572</f>
        <v>2181.3528650026956</v>
      </c>
      <c r="P1606" s="247">
        <f t="shared" ref="P1606:P1631" ca="1" si="243">O1606*N1606</f>
        <v>2218.0134019409475</v>
      </c>
    </row>
    <row r="1607" spans="1:16" s="247" customFormat="1" x14ac:dyDescent="0.3">
      <c r="A1607" s="247">
        <f>MATCH(Calcs!B1607,Paste_Report_Here!$1:$1,0) -1</f>
        <v>6</v>
      </c>
      <c r="B1607" s="247" t="s">
        <v>125</v>
      </c>
      <c r="C1607" s="166">
        <f ca="1">RANK(N1607,N1606:N1630)</f>
        <v>18</v>
      </c>
      <c r="D1607" s="166">
        <f ca="1">RANK(P1607,P1606:P1630)</f>
        <v>17</v>
      </c>
      <c r="E1607" s="189" t="s">
        <v>153</v>
      </c>
      <c r="F1607" s="179">
        <f ca="1">COUNTIFS(Paste_Report_Here!$E$1:$E$2000,E1600, OFFSET(Paste_Report_Here!$A$1,0,$A1607,2000,1),F$75)</f>
        <v>1</v>
      </c>
      <c r="G1607" s="180">
        <f ca="1">COUNTIFS(Paste_Report_Here!$E$1:$E$2000,E1600, OFFSET(Paste_Report_Here!$A$1,0,$A1607,2000,1),G$75)</f>
        <v>2</v>
      </c>
      <c r="H1607" s="180">
        <f ca="1">COUNTIFS(Paste_Report_Here!$E$1:$E$2000,E1600, OFFSET(Paste_Report_Here!$A$1,0,$A1607,2000,1),H$75)</f>
        <v>17</v>
      </c>
      <c r="I1607" s="180">
        <f ca="1">COUNTIFS(Paste_Report_Here!$E$1:$E$2000,E1600, OFFSET(Paste_Report_Here!$A$1,0,$A1607,2000,1),I$75)</f>
        <v>4</v>
      </c>
      <c r="J1607" s="180">
        <f ca="1">COUNTIFS(Paste_Report_Here!$E$1:$E$2000,E1600, OFFSET(Paste_Report_Here!$A$1,0,$A1607,2000,1),J$75)</f>
        <v>0</v>
      </c>
      <c r="K1607" s="181">
        <f ca="1">COUNTIFS(Paste_Report_Here!$E$1:$E$2000,E1600, OFFSET(Paste_Report_Here!$A$1,0,$A1607,2000,1),K$75)</f>
        <v>0</v>
      </c>
      <c r="L1607" s="166">
        <f t="shared" ca="1" si="241"/>
        <v>24</v>
      </c>
      <c r="M1607" s="183">
        <f ca="1">SUMPRODUCT(F1607:K1607,F1604:K1604)/L:L</f>
        <v>-8.3333333333333332E-3</v>
      </c>
      <c r="N1607" s="166">
        <f t="shared" ca="1" si="242"/>
        <v>0.99170129263887596</v>
      </c>
      <c r="O1607" s="247">
        <f t="shared" ref="O1607:O1631" ca="1" si="244">P1573</f>
        <v>2102.6670228515318</v>
      </c>
      <c r="P1607" s="247">
        <f t="shared" ca="1" si="243"/>
        <v>2085.2176045510009</v>
      </c>
    </row>
    <row r="1608" spans="1:16" s="247" customFormat="1" x14ac:dyDescent="0.3">
      <c r="A1608" s="247">
        <f>MATCH(Calcs!B1608,Paste_Report_Here!$1:$1,0) -1</f>
        <v>7</v>
      </c>
      <c r="B1608" s="247" t="s">
        <v>126</v>
      </c>
      <c r="C1608" s="166">
        <f ca="1">RANK(N1608,N1606:N1630)</f>
        <v>18</v>
      </c>
      <c r="D1608" s="166">
        <f ca="1">RANK(P1608,P1606:P1630)</f>
        <v>8</v>
      </c>
      <c r="E1608" s="189" t="s">
        <v>154</v>
      </c>
      <c r="F1608" s="179">
        <f ca="1">COUNTIFS(Paste_Report_Here!$E$1:$E$2000,E1600, OFFSET(Paste_Report_Here!$A$1,0,$A1608,2000,1),F$75)</f>
        <v>1</v>
      </c>
      <c r="G1608" s="180">
        <f ca="1">COUNTIFS(Paste_Report_Here!$E$1:$E$2000,E1600, OFFSET(Paste_Report_Here!$A$1,0,$A1608,2000,1),G$75)</f>
        <v>3</v>
      </c>
      <c r="H1608" s="180">
        <f ca="1">COUNTIFS(Paste_Report_Here!$E$1:$E$2000,E1600, OFFSET(Paste_Report_Here!$A$1,0,$A1608,2000,1),H$75)</f>
        <v>13</v>
      </c>
      <c r="I1608" s="180">
        <f ca="1">COUNTIFS(Paste_Report_Here!$E$1:$E$2000,E1600, OFFSET(Paste_Report_Here!$A$1,0,$A1608,2000,1),I$75)</f>
        <v>7</v>
      </c>
      <c r="J1608" s="180">
        <f ca="1">COUNTIFS(Paste_Report_Here!$E$1:$E$2000,E1600, OFFSET(Paste_Report_Here!$A$1,0,$A1608,2000,1),J$75)</f>
        <v>0</v>
      </c>
      <c r="K1608" s="181">
        <f ca="1">COUNTIFS(Paste_Report_Here!$E$1:$E$2000,E1600, OFFSET(Paste_Report_Here!$A$1,0,$A1608,2000,1),K$75)</f>
        <v>0</v>
      </c>
      <c r="L1608" s="166">
        <f t="shared" ca="1" si="241"/>
        <v>24</v>
      </c>
      <c r="M1608" s="183">
        <f ca="1">SUMPRODUCT(F1608:K1608,F1604:K1604)/L:L</f>
        <v>-8.3333333333333332E-3</v>
      </c>
      <c r="N1608" s="166">
        <f t="shared" ca="1" si="242"/>
        <v>0.99170129263887596</v>
      </c>
      <c r="O1608" s="247">
        <f t="shared" ca="1" si="244"/>
        <v>2673.0302338487791</v>
      </c>
      <c r="P1608" s="247">
        <f t="shared" ca="1" si="243"/>
        <v>2650.8475381706312</v>
      </c>
    </row>
    <row r="1609" spans="1:16" s="247" customFormat="1" x14ac:dyDescent="0.3">
      <c r="A1609" s="247">
        <f>MATCH(Calcs!B1609,Paste_Report_Here!$1:$1,0) -1</f>
        <v>8</v>
      </c>
      <c r="B1609" s="247" t="s">
        <v>127</v>
      </c>
      <c r="C1609" s="166">
        <f ca="1">RANK(N1609,N1606:N1630)</f>
        <v>3</v>
      </c>
      <c r="D1609" s="166">
        <f ca="1">RANK(P1609,P1606:P1630)</f>
        <v>7</v>
      </c>
      <c r="E1609" s="189" t="s">
        <v>155</v>
      </c>
      <c r="F1609" s="179">
        <f ca="1">COUNTIFS(Paste_Report_Here!$E$1:$E$2000,E1600, OFFSET(Paste_Report_Here!$A$1,0,$A1609,2000,1),F$75)</f>
        <v>1</v>
      </c>
      <c r="G1609" s="180">
        <f ca="1">COUNTIFS(Paste_Report_Here!$E$1:$E$2000,E1600, OFFSET(Paste_Report_Here!$A$1,0,$A1609,2000,1),G$75)</f>
        <v>1</v>
      </c>
      <c r="H1609" s="180">
        <f ca="1">COUNTIFS(Paste_Report_Here!$E$1:$E$2000,E1600, OFFSET(Paste_Report_Here!$A$1,0,$A1609,2000,1),H$75)</f>
        <v>17</v>
      </c>
      <c r="I1609" s="180">
        <f ca="1">COUNTIFS(Paste_Report_Here!$E$1:$E$2000,E1600, OFFSET(Paste_Report_Here!$A$1,0,$A1609,2000,1),I$75)</f>
        <v>3</v>
      </c>
      <c r="J1609" s="180">
        <f ca="1">COUNTIFS(Paste_Report_Here!$E$1:$E$2000,E1600, OFFSET(Paste_Report_Here!$A$1,0,$A1609,2000,1),J$75)</f>
        <v>2</v>
      </c>
      <c r="K1609" s="181">
        <f ca="1">COUNTIFS(Paste_Report_Here!$E$1:$E$2000,E1600, OFFSET(Paste_Report_Here!$A$1,0,$A1609,2000,1),K$75)</f>
        <v>0</v>
      </c>
      <c r="L1609" s="166">
        <f t="shared" ca="1" si="241"/>
        <v>24</v>
      </c>
      <c r="M1609" s="183">
        <f ca="1">SUMPRODUCT(F1609:K1609,F1604:K1604)/L:L</f>
        <v>8.3333333333333332E-3</v>
      </c>
      <c r="N1609" s="166">
        <f t="shared" ca="1" si="242"/>
        <v>1.008368152207447</v>
      </c>
      <c r="O1609" s="247">
        <f t="shared" ca="1" si="244"/>
        <v>2986.6878137307476</v>
      </c>
      <c r="P1609" s="247">
        <f t="shared" ca="1" si="243"/>
        <v>3011.6808719521737</v>
      </c>
    </row>
    <row r="1610" spans="1:16" s="247" customFormat="1" x14ac:dyDescent="0.3">
      <c r="A1610" s="247">
        <f>MATCH(Calcs!B1610,Paste_Report_Here!$1:$1,0) -1</f>
        <v>9</v>
      </c>
      <c r="B1610" s="247" t="s">
        <v>214</v>
      </c>
      <c r="C1610" s="166">
        <f ca="1">RANK(N1610,N1606:N1630)</f>
        <v>11</v>
      </c>
      <c r="D1610" s="166">
        <f ca="1">RANK(P1610,P1606:P1630)</f>
        <v>5</v>
      </c>
      <c r="E1610" s="189" t="s">
        <v>156</v>
      </c>
      <c r="F1610" s="179">
        <f ca="1">COUNTIFS(Paste_Report_Here!$E$1:$E$2000,E1600, OFFSET(Paste_Report_Here!$A$1,0,$A1610,2000,1),F$75)</f>
        <v>0</v>
      </c>
      <c r="G1610" s="180">
        <f ca="1">COUNTIFS(Paste_Report_Here!$E$1:$E$2000,E1600, OFFSET(Paste_Report_Here!$A$1,0,$A1610,2000,1),G$75)</f>
        <v>2</v>
      </c>
      <c r="H1610" s="180">
        <f ca="1">COUNTIFS(Paste_Report_Here!$E$1:$E$2000,E1600, OFFSET(Paste_Report_Here!$A$1,0,$A1610,2000,1),H$75)</f>
        <v>17</v>
      </c>
      <c r="I1610" s="180">
        <f ca="1">COUNTIFS(Paste_Report_Here!$E$1:$E$2000,E1600, OFFSET(Paste_Report_Here!$A$1,0,$A1610,2000,1),I$75)</f>
        <v>5</v>
      </c>
      <c r="J1610" s="180">
        <f ca="1">COUNTIFS(Paste_Report_Here!$E$1:$E$2000,E1600, OFFSET(Paste_Report_Here!$A$1,0,$A1610,2000,1),J$75)</f>
        <v>0</v>
      </c>
      <c r="K1610" s="181">
        <f ca="1">COUNTIFS(Paste_Report_Here!$E$1:$E$2000,E1600, OFFSET(Paste_Report_Here!$A$1,0,$A1610,2000,1),K$75)</f>
        <v>0</v>
      </c>
      <c r="L1610" s="166">
        <f t="shared" ca="1" si="241"/>
        <v>24</v>
      </c>
      <c r="M1610" s="183">
        <f ca="1">SUMPRODUCT(F1610:K1610,F1604:K1604)/L:L</f>
        <v>0</v>
      </c>
      <c r="N1610" s="166">
        <f t="shared" ca="1" si="242"/>
        <v>1</v>
      </c>
      <c r="O1610" s="247">
        <f t="shared" ca="1" si="244"/>
        <v>4115.4096811867203</v>
      </c>
      <c r="P1610" s="247">
        <f t="shared" ca="1" si="243"/>
        <v>4115.4096811867203</v>
      </c>
    </row>
    <row r="1611" spans="1:16" s="247" customFormat="1" x14ac:dyDescent="0.3">
      <c r="A1611" s="247">
        <f>MATCH(Calcs!B1611,Paste_Report_Here!$1:$1,0) -1</f>
        <v>10</v>
      </c>
      <c r="B1611" s="247" t="s">
        <v>128</v>
      </c>
      <c r="C1611" s="166">
        <f ca="1">RANK(N1611,N1606:N1630)</f>
        <v>18</v>
      </c>
      <c r="D1611" s="166">
        <f ca="1">RANK(P1611,P1606:P1630)</f>
        <v>21</v>
      </c>
      <c r="E1611" s="189" t="s">
        <v>157</v>
      </c>
      <c r="F1611" s="179">
        <f ca="1">COUNTIFS(Paste_Report_Here!$E$1:$E$2000,E1600, OFFSET(Paste_Report_Here!$A$1,0,$A1611,2000,1),F$75)</f>
        <v>1</v>
      </c>
      <c r="G1611" s="180">
        <f ca="1">COUNTIFS(Paste_Report_Here!$E$1:$E$2000,E1600, OFFSET(Paste_Report_Here!$A$1,0,$A1611,2000,1),G$75)</f>
        <v>3</v>
      </c>
      <c r="H1611" s="180">
        <f ca="1">COUNTIFS(Paste_Report_Here!$E$1:$E$2000,E1600, OFFSET(Paste_Report_Here!$A$1,0,$A1611,2000,1),H$75)</f>
        <v>18</v>
      </c>
      <c r="I1611" s="180">
        <f ca="1">COUNTIFS(Paste_Report_Here!$E$1:$E$2000,E1600, OFFSET(Paste_Report_Here!$A$1,0,$A1611,2000,1),I$75)</f>
        <v>2</v>
      </c>
      <c r="J1611" s="180">
        <f ca="1">COUNTIFS(Paste_Report_Here!$E$1:$E$2000,E1600, OFFSET(Paste_Report_Here!$A$1,0,$A1611,2000,1),J$75)</f>
        <v>0</v>
      </c>
      <c r="K1611" s="181">
        <f ca="1">COUNTIFS(Paste_Report_Here!$E$1:$E$2000,E1600, OFFSET(Paste_Report_Here!$A$1,0,$A1611,2000,1),K$75)</f>
        <v>0</v>
      </c>
      <c r="L1611" s="166">
        <f t="shared" ca="1" si="241"/>
        <v>24</v>
      </c>
      <c r="M1611" s="183">
        <f ca="1">SUMPRODUCT(F1611:K1611,F1604:K1604)/L:L</f>
        <v>-8.3333333333333332E-3</v>
      </c>
      <c r="N1611" s="166">
        <f t="shared" ca="1" si="242"/>
        <v>0.99170129263887596</v>
      </c>
      <c r="O1611" s="247">
        <f t="shared" ca="1" si="244"/>
        <v>1547.0922652248428</v>
      </c>
      <c r="P1611" s="247">
        <f t="shared" ca="1" si="243"/>
        <v>1534.2533992550834</v>
      </c>
    </row>
    <row r="1612" spans="1:16" s="247" customFormat="1" x14ac:dyDescent="0.3">
      <c r="A1612" s="247">
        <f>MATCH(Calcs!B1612,Paste_Report_Here!$1:$1,0) -1</f>
        <v>11</v>
      </c>
      <c r="B1612" s="247" t="s">
        <v>129</v>
      </c>
      <c r="C1612" s="166">
        <f ca="1">RANK(N1612,N1606:N1630)</f>
        <v>18</v>
      </c>
      <c r="D1612" s="166">
        <f ca="1">RANK(P1612,P1606:P1630)</f>
        <v>10</v>
      </c>
      <c r="E1612" s="189" t="s">
        <v>158</v>
      </c>
      <c r="F1612" s="179">
        <f ca="1">COUNTIFS(Paste_Report_Here!$E$1:$E$2000,E1600, OFFSET(Paste_Report_Here!$A$1,0,$A1612,2000,1),F$75)</f>
        <v>1</v>
      </c>
      <c r="G1612" s="180">
        <f ca="1">COUNTIFS(Paste_Report_Here!$E$1:$E$2000,E1600, OFFSET(Paste_Report_Here!$A$1,0,$A1612,2000,1),G$75)</f>
        <v>2</v>
      </c>
      <c r="H1612" s="180">
        <f ca="1">COUNTIFS(Paste_Report_Here!$E$1:$E$2000,E1600, OFFSET(Paste_Report_Here!$A$1,0,$A1612,2000,1),H$75)</f>
        <v>20</v>
      </c>
      <c r="I1612" s="180">
        <f ca="1">COUNTIFS(Paste_Report_Here!$E$1:$E$2000,E1600, OFFSET(Paste_Report_Here!$A$1,0,$A1612,2000,1),I$75)</f>
        <v>1</v>
      </c>
      <c r="J1612" s="180">
        <f ca="1">COUNTIFS(Paste_Report_Here!$E$1:$E$2000,E1600, OFFSET(Paste_Report_Here!$A$1,0,$A1612,2000,1),J$75)</f>
        <v>0</v>
      </c>
      <c r="K1612" s="181">
        <f ca="1">COUNTIFS(Paste_Report_Here!$E$1:$E$2000,E1600, OFFSET(Paste_Report_Here!$A$1,0,$A1612,2000,1),K$75)</f>
        <v>0</v>
      </c>
      <c r="L1612" s="166">
        <f t="shared" ca="1" si="241"/>
        <v>24</v>
      </c>
      <c r="M1612" s="183">
        <f ca="1">SUMPRODUCT(F1612:K1612,F1604:K1604)/L:L</f>
        <v>-8.3333333333333332E-3</v>
      </c>
      <c r="N1612" s="166">
        <f t="shared" ca="1" si="242"/>
        <v>0.99170129263887596</v>
      </c>
      <c r="O1612" s="247">
        <f t="shared" ca="1" si="244"/>
        <v>2510.3504312920727</v>
      </c>
      <c r="P1612" s="247">
        <f t="shared" ca="1" si="243"/>
        <v>2489.5177676889084</v>
      </c>
    </row>
    <row r="1613" spans="1:16" s="247" customFormat="1" x14ac:dyDescent="0.3">
      <c r="A1613" s="247">
        <f>MATCH(Calcs!B1613,Paste_Report_Here!$1:$1,0) -1</f>
        <v>12</v>
      </c>
      <c r="B1613" s="247" t="s">
        <v>130</v>
      </c>
      <c r="C1613" s="166">
        <f ca="1">RANK(N1613,N1606:N1630)</f>
        <v>18</v>
      </c>
      <c r="D1613" s="166">
        <f ca="1">RANK(P1613,P1606:P1630)</f>
        <v>9</v>
      </c>
      <c r="E1613" s="189" t="s">
        <v>159</v>
      </c>
      <c r="F1613" s="179">
        <f ca="1">COUNTIFS(Paste_Report_Here!$E$1:$E$2000,E1600, OFFSET(Paste_Report_Here!$A$1,0,$A1613,2000,1),F$75)</f>
        <v>1</v>
      </c>
      <c r="G1613" s="180">
        <f ca="1">COUNTIFS(Paste_Report_Here!$E$1:$E$2000,E1600, OFFSET(Paste_Report_Here!$A$1,0,$A1613,2000,1),G$75)</f>
        <v>1</v>
      </c>
      <c r="H1613" s="180">
        <f ca="1">COUNTIFS(Paste_Report_Here!$E$1:$E$2000,E1600, OFFSET(Paste_Report_Here!$A$1,0,$A1613,2000,1),H$75)</f>
        <v>18</v>
      </c>
      <c r="I1613" s="180">
        <f ca="1">COUNTIFS(Paste_Report_Here!$E$1:$E$2000,E1600, OFFSET(Paste_Report_Here!$A$1,0,$A1613,2000,1),I$75)</f>
        <v>4</v>
      </c>
      <c r="J1613" s="180">
        <f ca="1">COUNTIFS(Paste_Report_Here!$E$1:$E$2000,E1600, OFFSET(Paste_Report_Here!$A$1,0,$A1613,2000,1),J$75)</f>
        <v>0</v>
      </c>
      <c r="K1613" s="181">
        <f ca="1">COUNTIFS(Paste_Report_Here!$E$1:$E$2000,E1600, OFFSET(Paste_Report_Here!$A$1,0,$A1613,2000,1),K$75)</f>
        <v>0</v>
      </c>
      <c r="L1613" s="166">
        <f t="shared" ca="1" si="241"/>
        <v>24</v>
      </c>
      <c r="M1613" s="183">
        <f ca="1">SUMPRODUCT(F1613:K1613,F1604:K1604)/L:L</f>
        <v>-8.3333333333333332E-3</v>
      </c>
      <c r="N1613" s="166">
        <f t="shared" ca="1" si="242"/>
        <v>0.99170129263887596</v>
      </c>
      <c r="O1613" s="247">
        <f t="shared" ca="1" si="244"/>
        <v>2521.4523794226643</v>
      </c>
      <c r="P1613" s="247">
        <f t="shared" ca="1" si="243"/>
        <v>2500.5275840008258</v>
      </c>
    </row>
    <row r="1614" spans="1:16" s="247" customFormat="1" x14ac:dyDescent="0.3">
      <c r="A1614" s="247">
        <f>MATCH(Calcs!B1614,Paste_Report_Here!$1:$1,0) -1</f>
        <v>13</v>
      </c>
      <c r="B1614" s="247" t="s">
        <v>131</v>
      </c>
      <c r="C1614" s="166">
        <f ca="1">RANK(N1614,N1606:N1630)</f>
        <v>3</v>
      </c>
      <c r="D1614" s="166">
        <f ca="1">RANK(P1614,P1606:P1630)</f>
        <v>2</v>
      </c>
      <c r="E1614" s="189" t="s">
        <v>160</v>
      </c>
      <c r="F1614" s="179">
        <f ca="1">COUNTIFS(Paste_Report_Here!$E$1:$E$2000,E1600, OFFSET(Paste_Report_Here!$A$1,0,$A1614,2000,1),F$75)</f>
        <v>0</v>
      </c>
      <c r="G1614" s="180">
        <f ca="1">COUNTIFS(Paste_Report_Here!$E$1:$E$2000,E1600, OFFSET(Paste_Report_Here!$A$1,0,$A1614,2000,1),G$75)</f>
        <v>0</v>
      </c>
      <c r="H1614" s="180">
        <f ca="1">COUNTIFS(Paste_Report_Here!$E$1:$E$2000,E1600, OFFSET(Paste_Report_Here!$A$1,0,$A1614,2000,1),H$75)</f>
        <v>16</v>
      </c>
      <c r="I1614" s="180">
        <f ca="1">COUNTIFS(Paste_Report_Here!$E$1:$E$2000,E1600, OFFSET(Paste_Report_Here!$A$1,0,$A1614,2000,1),I$75)</f>
        <v>7</v>
      </c>
      <c r="J1614" s="180">
        <f ca="1">COUNTIFS(Paste_Report_Here!$E$1:$E$2000,E1600, OFFSET(Paste_Report_Here!$A$1,0,$A1614,2000,1),J$75)</f>
        <v>1</v>
      </c>
      <c r="K1614" s="181">
        <f ca="1">COUNTIFS(Paste_Report_Here!$E$1:$E$2000,E1600, OFFSET(Paste_Report_Here!$A$1,0,$A1614,2000,1),K$75)</f>
        <v>0</v>
      </c>
      <c r="L1614" s="166">
        <f t="shared" ca="1" si="241"/>
        <v>24</v>
      </c>
      <c r="M1614" s="183">
        <f ca="1">SUMPRODUCT(F1614:K1614,F1604:K1604)/L:L</f>
        <v>8.3333333333333332E-3</v>
      </c>
      <c r="N1614" s="166">
        <f t="shared" ca="1" si="242"/>
        <v>1.008368152207447</v>
      </c>
      <c r="O1614" s="247">
        <f t="shared" ca="1" si="244"/>
        <v>5099.0310426919932</v>
      </c>
      <c r="P1614" s="247">
        <f t="shared" ca="1" si="243"/>
        <v>5141.7005105677372</v>
      </c>
    </row>
    <row r="1615" spans="1:16" s="247" customFormat="1" x14ac:dyDescent="0.3">
      <c r="A1615" s="247">
        <f>MATCH(Calcs!B1615,Paste_Report_Here!$1:$1,0) -1</f>
        <v>14</v>
      </c>
      <c r="B1615" s="247" t="s">
        <v>132</v>
      </c>
      <c r="C1615" s="166">
        <f ca="1">RANK(N1615,N1606:N1630)</f>
        <v>3</v>
      </c>
      <c r="D1615" s="166">
        <f ca="1">RANK(P1615,P1606:P1630)</f>
        <v>14</v>
      </c>
      <c r="E1615" s="189" t="s">
        <v>161</v>
      </c>
      <c r="F1615" s="179">
        <f ca="1">COUNTIFS(Paste_Report_Here!$E$1:$E$2000,E1600, OFFSET(Paste_Report_Here!$A$1,0,$A1615,2000,1),F$75)</f>
        <v>0</v>
      </c>
      <c r="G1615" s="180">
        <f ca="1">COUNTIFS(Paste_Report_Here!$E$1:$E$2000,E1600, OFFSET(Paste_Report_Here!$A$1,0,$A1615,2000,1),G$75)</f>
        <v>0</v>
      </c>
      <c r="H1615" s="180">
        <f ca="1">COUNTIFS(Paste_Report_Here!$E$1:$E$2000,E1600, OFFSET(Paste_Report_Here!$A$1,0,$A1615,2000,1),H$75)</f>
        <v>19</v>
      </c>
      <c r="I1615" s="180">
        <f ca="1">COUNTIFS(Paste_Report_Here!$E$1:$E$2000,E1600, OFFSET(Paste_Report_Here!$A$1,0,$A1615,2000,1),I$75)</f>
        <v>4</v>
      </c>
      <c r="J1615" s="180">
        <f ca="1">COUNTIFS(Paste_Report_Here!$E$1:$E$2000,E1600, OFFSET(Paste_Report_Here!$A$1,0,$A1615,2000,1),J$75)</f>
        <v>1</v>
      </c>
      <c r="K1615" s="181">
        <f ca="1">COUNTIFS(Paste_Report_Here!$E$1:$E$2000,E1600, OFFSET(Paste_Report_Here!$A$1,0,$A1615,2000,1),K$75)</f>
        <v>0</v>
      </c>
      <c r="L1615" s="166">
        <f t="shared" ca="1" si="241"/>
        <v>24</v>
      </c>
      <c r="M1615" s="183">
        <f ca="1">SUMPRODUCT(F1615:K1615,F1604:K1604)/L:L</f>
        <v>8.3333333333333332E-3</v>
      </c>
      <c r="N1615" s="166">
        <f t="shared" ca="1" si="242"/>
        <v>1.008368152207447</v>
      </c>
      <c r="O1615" s="247">
        <f t="shared" ca="1" si="244"/>
        <v>2219.0585661743853</v>
      </c>
      <c r="P1615" s="247">
        <f t="shared" ca="1" si="243"/>
        <v>2237.6279860133718</v>
      </c>
    </row>
    <row r="1616" spans="1:16" s="247" customFormat="1" x14ac:dyDescent="0.3">
      <c r="A1616" s="247">
        <f>MATCH(Calcs!B1616,Paste_Report_Here!$1:$1,0) -1</f>
        <v>15</v>
      </c>
      <c r="B1616" s="247" t="s">
        <v>133</v>
      </c>
      <c r="C1616" s="166">
        <f ca="1">RANK(N1616,N1606:N1630)</f>
        <v>3</v>
      </c>
      <c r="D1616" s="166">
        <f ca="1">RANK(P1616,P1606:P1630)</f>
        <v>6</v>
      </c>
      <c r="E1616" s="189" t="s">
        <v>162</v>
      </c>
      <c r="F1616" s="179">
        <f ca="1">COUNTIFS(Paste_Report_Here!$E$1:$E$2000,E1600, OFFSET(Paste_Report_Here!$A$1,0,$A1616,2000,1),F$75)</f>
        <v>1</v>
      </c>
      <c r="G1616" s="180">
        <f ca="1">COUNTIFS(Paste_Report_Here!$E$1:$E$2000,E1600, OFFSET(Paste_Report_Here!$A$1,0,$A1616,2000,1),G$75)</f>
        <v>0</v>
      </c>
      <c r="H1616" s="180">
        <f ca="1">COUNTIFS(Paste_Report_Here!$E$1:$E$2000,E1600, OFFSET(Paste_Report_Here!$A$1,0,$A1616,2000,1),H$75)</f>
        <v>17</v>
      </c>
      <c r="I1616" s="180">
        <f ca="1">COUNTIFS(Paste_Report_Here!$E$1:$E$2000,E1600, OFFSET(Paste_Report_Here!$A$1,0,$A1616,2000,1),I$75)</f>
        <v>4</v>
      </c>
      <c r="J1616" s="180">
        <f ca="1">COUNTIFS(Paste_Report_Here!$E$1:$E$2000,E1600, OFFSET(Paste_Report_Here!$A$1,0,$A1616,2000,1),J$75)</f>
        <v>2</v>
      </c>
      <c r="K1616" s="181">
        <f ca="1">COUNTIFS(Paste_Report_Here!$E$1:$E$2000,E1600, OFFSET(Paste_Report_Here!$A$1,0,$A1616,2000,1),K$75)</f>
        <v>0</v>
      </c>
      <c r="L1616" s="166">
        <f t="shared" ca="1" si="241"/>
        <v>24</v>
      </c>
      <c r="M1616" s="183">
        <f ca="1">SUMPRODUCT(F1616:K1616,F1604:K1604)/L:L</f>
        <v>8.3333333333333332E-3</v>
      </c>
      <c r="N1616" s="166">
        <f t="shared" ca="1" si="242"/>
        <v>1.008368152207447</v>
      </c>
      <c r="O1616" s="247">
        <f t="shared" ca="1" si="244"/>
        <v>3299.2897131975787</v>
      </c>
      <c r="P1616" s="247">
        <f t="shared" ca="1" si="243"/>
        <v>3326.8986716940803</v>
      </c>
    </row>
    <row r="1617" spans="1:16" s="247" customFormat="1" x14ac:dyDescent="0.3">
      <c r="A1617" s="247">
        <f>MATCH(Calcs!B1617,Paste_Report_Here!$1:$1,0) -1</f>
        <v>16</v>
      </c>
      <c r="B1617" s="247" t="s">
        <v>134</v>
      </c>
      <c r="C1617" s="166">
        <f ca="1">RANK(N1617,N1606:N1630)</f>
        <v>18</v>
      </c>
      <c r="D1617" s="166">
        <f ca="1">RANK(P1617,P1606:P1630)</f>
        <v>24</v>
      </c>
      <c r="E1617" s="189" t="s">
        <v>163</v>
      </c>
      <c r="F1617" s="179">
        <f ca="1">COUNTIFS(Paste_Report_Here!$E$1:$E$2000,E1600, OFFSET(Paste_Report_Here!$A$1,0,$A1617,2000,1),F$75)</f>
        <v>1</v>
      </c>
      <c r="G1617" s="180">
        <f ca="1">COUNTIFS(Paste_Report_Here!$E$1:$E$2000,E1600, OFFSET(Paste_Report_Here!$A$1,0,$A1617,2000,1),G$75)</f>
        <v>2</v>
      </c>
      <c r="H1617" s="180">
        <f ca="1">COUNTIFS(Paste_Report_Here!$E$1:$E$2000,E1600, OFFSET(Paste_Report_Here!$A$1,0,$A1617,2000,1),H$75)</f>
        <v>19</v>
      </c>
      <c r="I1617" s="180">
        <f ca="1">COUNTIFS(Paste_Report_Here!$E$1:$E$2000,E1600, OFFSET(Paste_Report_Here!$A$1,0,$A1617,2000,1),I$75)</f>
        <v>2</v>
      </c>
      <c r="J1617" s="180">
        <f ca="1">COUNTIFS(Paste_Report_Here!$E$1:$E$2000,E1600, OFFSET(Paste_Report_Here!$A$1,0,$A1617,2000,1),J$75)</f>
        <v>0</v>
      </c>
      <c r="K1617" s="181">
        <f ca="1">COUNTIFS(Paste_Report_Here!$E$1:$E$2000,E1600, OFFSET(Paste_Report_Here!$A$1,0,$A1617,2000,1),K$75)</f>
        <v>0</v>
      </c>
      <c r="L1617" s="166">
        <f t="shared" ca="1" si="241"/>
        <v>24</v>
      </c>
      <c r="M1617" s="183">
        <f ca="1">SUMPRODUCT(F1617:K1617,F1604:K1604)/L:L</f>
        <v>-8.3333333333333332E-3</v>
      </c>
      <c r="N1617" s="166">
        <f t="shared" ca="1" si="242"/>
        <v>0.99170129263887596</v>
      </c>
      <c r="O1617" s="247">
        <f t="shared" ca="1" si="244"/>
        <v>1155.3424898159985</v>
      </c>
      <c r="P1617" s="247">
        <f t="shared" ca="1" si="243"/>
        <v>1145.7546405911432</v>
      </c>
    </row>
    <row r="1618" spans="1:16" s="247" customFormat="1" x14ac:dyDescent="0.3">
      <c r="A1618" s="247">
        <f>MATCH(Calcs!B1618,Paste_Report_Here!$1:$1,0) -1</f>
        <v>17</v>
      </c>
      <c r="B1618" s="247" t="s">
        <v>135</v>
      </c>
      <c r="C1618" s="166">
        <f ca="1">RANK(N1618,N1606:N1630)</f>
        <v>18</v>
      </c>
      <c r="D1618" s="166">
        <f ca="1">RANK(P1618,P1606:P1630)</f>
        <v>19</v>
      </c>
      <c r="E1618" s="189" t="s">
        <v>164</v>
      </c>
      <c r="F1618" s="179">
        <f ca="1">COUNTIFS(Paste_Report_Here!$E$1:$E$2000,E1600, OFFSET(Paste_Report_Here!$A$1,0,$A1618,2000,1),F$75)</f>
        <v>1</v>
      </c>
      <c r="G1618" s="180">
        <f ca="1">COUNTIFS(Paste_Report_Here!$E$1:$E$2000,E1600, OFFSET(Paste_Report_Here!$A$1,0,$A1618,2000,1),G$75)</f>
        <v>2</v>
      </c>
      <c r="H1618" s="180">
        <f ca="1">COUNTIFS(Paste_Report_Here!$E$1:$E$2000,E1600, OFFSET(Paste_Report_Here!$A$1,0,$A1618,2000,1),H$75)</f>
        <v>19</v>
      </c>
      <c r="I1618" s="180">
        <f ca="1">COUNTIFS(Paste_Report_Here!$E$1:$E$2000,E1600, OFFSET(Paste_Report_Here!$A$1,0,$A1618,2000,1),I$75)</f>
        <v>2</v>
      </c>
      <c r="J1618" s="180">
        <f ca="1">COUNTIFS(Paste_Report_Here!$E$1:$E$2000,E1600, OFFSET(Paste_Report_Here!$A$1,0,$A1618,2000,1),J$75)</f>
        <v>0</v>
      </c>
      <c r="K1618" s="181">
        <f ca="1">COUNTIFS(Paste_Report_Here!$E$1:$E$2000,E1600, OFFSET(Paste_Report_Here!$A$1,0,$A1618,2000,1),K$75)</f>
        <v>0</v>
      </c>
      <c r="L1618" s="166">
        <f t="shared" ca="1" si="241"/>
        <v>24</v>
      </c>
      <c r="M1618" s="183">
        <f ca="1">SUMPRODUCT(F1618:K1618,F1604:K1604)/L:L</f>
        <v>-8.3333333333333332E-3</v>
      </c>
      <c r="N1618" s="166">
        <f t="shared" ca="1" si="242"/>
        <v>0.99170129263887596</v>
      </c>
      <c r="O1618" s="247">
        <f t="shared" ca="1" si="244"/>
        <v>1911.8235674353202</v>
      </c>
      <c r="P1618" s="247">
        <f t="shared" ca="1" si="243"/>
        <v>1895.9579031230744</v>
      </c>
    </row>
    <row r="1619" spans="1:16" s="247" customFormat="1" x14ac:dyDescent="0.3">
      <c r="A1619" s="247">
        <f>MATCH(Calcs!B1619,Paste_Report_Here!$1:$1,0) -1</f>
        <v>18</v>
      </c>
      <c r="B1619" s="247" t="s">
        <v>136</v>
      </c>
      <c r="C1619" s="166">
        <f ca="1">RANK(N1619,N1606:N1630)</f>
        <v>11</v>
      </c>
      <c r="D1619" s="166">
        <f ca="1">RANK(P1619,P1606:P1630)</f>
        <v>4</v>
      </c>
      <c r="E1619" s="189" t="s">
        <v>165</v>
      </c>
      <c r="F1619" s="179">
        <f ca="1">COUNTIFS(Paste_Report_Here!$E$1:$E$2000,E1600, OFFSET(Paste_Report_Here!$A$1,0,$A1619,2000,1),F$75)</f>
        <v>0</v>
      </c>
      <c r="G1619" s="180">
        <f ca="1">COUNTIFS(Paste_Report_Here!$E$1:$E$2000,E1600, OFFSET(Paste_Report_Here!$A$1,0,$A1619,2000,1),G$75)</f>
        <v>1</v>
      </c>
      <c r="H1619" s="180">
        <f ca="1">COUNTIFS(Paste_Report_Here!$E$1:$E$2000,E1600, OFFSET(Paste_Report_Here!$A$1,0,$A1619,2000,1),H$75)</f>
        <v>15</v>
      </c>
      <c r="I1619" s="180">
        <f ca="1">COUNTIFS(Paste_Report_Here!$E$1:$E$2000,E1600, OFFSET(Paste_Report_Here!$A$1,0,$A1619,2000,1),I$75)</f>
        <v>8</v>
      </c>
      <c r="J1619" s="180">
        <f ca="1">COUNTIFS(Paste_Report_Here!$E$1:$E$2000,E1600, OFFSET(Paste_Report_Here!$A$1,0,$A1619,2000,1),J$75)</f>
        <v>0</v>
      </c>
      <c r="K1619" s="181">
        <f ca="1">COUNTIFS(Paste_Report_Here!$E$1:$E$2000,E1600, OFFSET(Paste_Report_Here!$A$1,0,$A1619,2000,1),K$75)</f>
        <v>0</v>
      </c>
      <c r="L1619" s="166">
        <f t="shared" ca="1" si="241"/>
        <v>24</v>
      </c>
      <c r="M1619" s="183">
        <f ca="1">SUMPRODUCT(F1619:K1619,F1604:K1604)/L:L</f>
        <v>0</v>
      </c>
      <c r="N1619" s="166">
        <f t="shared" ca="1" si="242"/>
        <v>1</v>
      </c>
      <c r="O1619" s="247">
        <f t="shared" ca="1" si="244"/>
        <v>4205.982264718763</v>
      </c>
      <c r="P1619" s="247">
        <f t="shared" ca="1" si="243"/>
        <v>4205.982264718763</v>
      </c>
    </row>
    <row r="1620" spans="1:16" s="247" customFormat="1" x14ac:dyDescent="0.3">
      <c r="A1620" s="247">
        <f>MATCH(Calcs!B1620,Paste_Report_Here!$1:$1,0) -1</f>
        <v>19</v>
      </c>
      <c r="B1620" s="247" t="s">
        <v>137</v>
      </c>
      <c r="C1620" s="166">
        <f ca="1">RANK(N1620,N1606:N1630)</f>
        <v>11</v>
      </c>
      <c r="D1620" s="166">
        <f ca="1">RANK(P1620,P1606:P1630)</f>
        <v>13</v>
      </c>
      <c r="E1620" s="189" t="s">
        <v>166</v>
      </c>
      <c r="F1620" s="179">
        <f ca="1">COUNTIFS(Paste_Report_Here!$E$1:$E$2000,E1600, OFFSET(Paste_Report_Here!$A$1,0,$A1620,2000,1),F$75)</f>
        <v>0</v>
      </c>
      <c r="G1620" s="180">
        <f ca="1">COUNTIFS(Paste_Report_Here!$E$1:$E$2000,E1600, OFFSET(Paste_Report_Here!$A$1,0,$A1620,2000,1),G$75)</f>
        <v>1</v>
      </c>
      <c r="H1620" s="180">
        <f ca="1">COUNTIFS(Paste_Report_Here!$E$1:$E$2000,E1600, OFFSET(Paste_Report_Here!$A$1,0,$A1620,2000,1),H$75)</f>
        <v>18</v>
      </c>
      <c r="I1620" s="180">
        <f ca="1">COUNTIFS(Paste_Report_Here!$E$1:$E$2000,E1600, OFFSET(Paste_Report_Here!$A$1,0,$A1620,2000,1),I$75)</f>
        <v>5</v>
      </c>
      <c r="J1620" s="180">
        <f ca="1">COUNTIFS(Paste_Report_Here!$E$1:$E$2000,E1600, OFFSET(Paste_Report_Here!$A$1,0,$A1620,2000,1),J$75)</f>
        <v>0</v>
      </c>
      <c r="K1620" s="181">
        <f ca="1">COUNTIFS(Paste_Report_Here!$E$1:$E$2000,E1600, OFFSET(Paste_Report_Here!$A$1,0,$A1620,2000,1),K$75)</f>
        <v>0</v>
      </c>
      <c r="L1620" s="166">
        <f t="shared" ca="1" si="241"/>
        <v>24</v>
      </c>
      <c r="M1620" s="183">
        <f ca="1">SUMPRODUCT(F1620:K1620,F1604:K1604)/L:L</f>
        <v>0</v>
      </c>
      <c r="N1620" s="166">
        <f t="shared" ca="1" si="242"/>
        <v>1</v>
      </c>
      <c r="O1620" s="247">
        <f t="shared" ca="1" si="244"/>
        <v>2243.7739419386153</v>
      </c>
      <c r="P1620" s="247">
        <f t="shared" ca="1" si="243"/>
        <v>2243.7739419386153</v>
      </c>
    </row>
    <row r="1621" spans="1:16" s="247" customFormat="1" x14ac:dyDescent="0.3">
      <c r="A1621" s="247">
        <f>MATCH(Calcs!B1621,Paste_Report_Here!$1:$1,0) -1</f>
        <v>20</v>
      </c>
      <c r="B1621" s="247" t="s">
        <v>138</v>
      </c>
      <c r="C1621" s="166">
        <f ca="1">RANK(N1621,N1606:N1630)</f>
        <v>11</v>
      </c>
      <c r="D1621" s="166">
        <f ca="1">RANK(P1621,P1606:P1630)</f>
        <v>20</v>
      </c>
      <c r="E1621" s="189" t="s">
        <v>167</v>
      </c>
      <c r="F1621" s="179">
        <f ca="1">COUNTIFS(Paste_Report_Here!$E$1:$E$2000,E1600, OFFSET(Paste_Report_Here!$A$1,0,$A1621,2000,1),F$75)</f>
        <v>0</v>
      </c>
      <c r="G1621" s="180">
        <f ca="1">COUNTIFS(Paste_Report_Here!$E$1:$E$2000,E1600, OFFSET(Paste_Report_Here!$A$1,0,$A1621,2000,1),G$75)</f>
        <v>2</v>
      </c>
      <c r="H1621" s="180">
        <f ca="1">COUNTIFS(Paste_Report_Here!$E$1:$E$2000,E1600, OFFSET(Paste_Report_Here!$A$1,0,$A1621,2000,1),H$75)</f>
        <v>18</v>
      </c>
      <c r="I1621" s="180">
        <f ca="1">COUNTIFS(Paste_Report_Here!$E$1:$E$2000,E1600, OFFSET(Paste_Report_Here!$A$1,0,$A1621,2000,1),I$75)</f>
        <v>4</v>
      </c>
      <c r="J1621" s="180">
        <f ca="1">COUNTIFS(Paste_Report_Here!$E$1:$E$2000,E1600, OFFSET(Paste_Report_Here!$A$1,0,$A1621,2000,1),J$75)</f>
        <v>0</v>
      </c>
      <c r="K1621" s="181">
        <f ca="1">COUNTIFS(Paste_Report_Here!$E$1:$E$2000,E1600, OFFSET(Paste_Report_Here!$A$1,0,$A1621,2000,1),K$75)</f>
        <v>0</v>
      </c>
      <c r="L1621" s="166">
        <f t="shared" ca="1" si="241"/>
        <v>24</v>
      </c>
      <c r="M1621" s="183">
        <f ca="1">SUMPRODUCT(F1621:K1621,F1604:K1604)/L:L</f>
        <v>0</v>
      </c>
      <c r="N1621" s="166">
        <f t="shared" ca="1" si="242"/>
        <v>1</v>
      </c>
      <c r="O1621" s="247">
        <f t="shared" ca="1" si="244"/>
        <v>1865.0626170522992</v>
      </c>
      <c r="P1621" s="247">
        <f t="shared" ca="1" si="243"/>
        <v>1865.0626170522992</v>
      </c>
    </row>
    <row r="1622" spans="1:16" s="247" customFormat="1" x14ac:dyDescent="0.3">
      <c r="A1622" s="247">
        <f>MATCH(Calcs!B1622,Paste_Report_Here!$1:$1,0) -1</f>
        <v>21</v>
      </c>
      <c r="B1622" s="247" t="s">
        <v>139</v>
      </c>
      <c r="C1622" s="166">
        <f ca="1">RANK(N1622,N1606:N1630)</f>
        <v>3</v>
      </c>
      <c r="D1622" s="166">
        <f ca="1">RANK(P1622,P1606:P1630)</f>
        <v>18</v>
      </c>
      <c r="E1622" s="189" t="s">
        <v>168</v>
      </c>
      <c r="F1622" s="179">
        <f ca="1">COUNTIFS(Paste_Report_Here!$E$1:$E$2000,E1600, OFFSET(Paste_Report_Here!$A$1,0,$A1622,2000,1),F$75)</f>
        <v>0</v>
      </c>
      <c r="G1622" s="180">
        <f ca="1">COUNTIFS(Paste_Report_Here!$E$1:$E$2000,E1600, OFFSET(Paste_Report_Here!$A$1,0,$A1622,2000,1),G$75)</f>
        <v>3</v>
      </c>
      <c r="H1622" s="180">
        <f ca="1">COUNTIFS(Paste_Report_Here!$E$1:$E$2000,E1600, OFFSET(Paste_Report_Here!$A$1,0,$A1622,2000,1),H$75)</f>
        <v>16</v>
      </c>
      <c r="I1622" s="180">
        <f ca="1">COUNTIFS(Paste_Report_Here!$E$1:$E$2000,E1600, OFFSET(Paste_Report_Here!$A$1,0,$A1622,2000,1),I$75)</f>
        <v>4</v>
      </c>
      <c r="J1622" s="180">
        <f ca="1">COUNTIFS(Paste_Report_Here!$E$1:$E$2000,E1600, OFFSET(Paste_Report_Here!$A$1,0,$A1622,2000,1),J$75)</f>
        <v>1</v>
      </c>
      <c r="K1622" s="181">
        <f ca="1">COUNTIFS(Paste_Report_Here!$E$1:$E$2000,E1600, OFFSET(Paste_Report_Here!$A$1,0,$A1622,2000,1),K$75)</f>
        <v>0</v>
      </c>
      <c r="L1622" s="166">
        <f t="shared" ca="1" si="241"/>
        <v>24</v>
      </c>
      <c r="M1622" s="183">
        <f ca="1">SUMPRODUCT(F1622:K1622,F1604:K1604)/L:L</f>
        <v>8.3333333333333332E-3</v>
      </c>
      <c r="N1622" s="166">
        <f t="shared" ca="1" si="242"/>
        <v>1.008368152207447</v>
      </c>
      <c r="O1622" s="247">
        <f t="shared" ca="1" si="244"/>
        <v>1999.2055653723937</v>
      </c>
      <c r="P1622" s="247">
        <f t="shared" ca="1" si="243"/>
        <v>2015.9352218374052</v>
      </c>
    </row>
    <row r="1623" spans="1:16" s="247" customFormat="1" x14ac:dyDescent="0.3">
      <c r="A1623" s="247">
        <f>MATCH(Calcs!B1623,Paste_Report_Here!$1:$1,0) -1</f>
        <v>22</v>
      </c>
      <c r="B1623" s="247" t="s">
        <v>140</v>
      </c>
      <c r="C1623" s="166">
        <f ca="1">RANK(N1623,N1606:N1630)</f>
        <v>3</v>
      </c>
      <c r="D1623" s="166">
        <f ca="1">RANK(P1623,P1606:P1630)</f>
        <v>16</v>
      </c>
      <c r="E1623" s="189" t="s">
        <v>169</v>
      </c>
      <c r="F1623" s="179">
        <f ca="1">COUNTIFS(Paste_Report_Here!$E$1:$E$2000,E1600, OFFSET(Paste_Report_Here!$A$1,0,$A1623,2000,1),F$75)</f>
        <v>0</v>
      </c>
      <c r="G1623" s="180">
        <f ca="1">COUNTIFS(Paste_Report_Here!$E$1:$E$2000,E1600, OFFSET(Paste_Report_Here!$A$1,0,$A1623,2000,1),G$75)</f>
        <v>1</v>
      </c>
      <c r="H1623" s="180">
        <f ca="1">COUNTIFS(Paste_Report_Here!$E$1:$E$2000,E1600, OFFSET(Paste_Report_Here!$A$1,0,$A1623,2000,1),H$75)</f>
        <v>18</v>
      </c>
      <c r="I1623" s="180">
        <f ca="1">COUNTIFS(Paste_Report_Here!$E$1:$E$2000,E1600, OFFSET(Paste_Report_Here!$A$1,0,$A1623,2000,1),I$75)</f>
        <v>4</v>
      </c>
      <c r="J1623" s="180">
        <f ca="1">COUNTIFS(Paste_Report_Here!$E$1:$E$2000,E1600, OFFSET(Paste_Report_Here!$A$1,0,$A1623,2000,1),J$75)</f>
        <v>1</v>
      </c>
      <c r="K1623" s="181">
        <f ca="1">COUNTIFS(Paste_Report_Here!$E$1:$E$2000,E1600, OFFSET(Paste_Report_Here!$A$1,0,$A1623,2000,1),K$75)</f>
        <v>0</v>
      </c>
      <c r="L1623" s="166">
        <f t="shared" ca="1" si="241"/>
        <v>24</v>
      </c>
      <c r="M1623" s="183">
        <f ca="1">SUMPRODUCT(F1623:K1623,F1604:K1604)/L:L</f>
        <v>8.3333333333333332E-3</v>
      </c>
      <c r="N1623" s="166">
        <f t="shared" ca="1" si="242"/>
        <v>1.008368152207447</v>
      </c>
      <c r="O1623" s="247">
        <f t="shared" ca="1" si="244"/>
        <v>2151.7748764846756</v>
      </c>
      <c r="P1623" s="247">
        <f t="shared" ca="1" si="243"/>
        <v>2169.7812561672599</v>
      </c>
    </row>
    <row r="1624" spans="1:16" s="247" customFormat="1" x14ac:dyDescent="0.3">
      <c r="A1624" s="247">
        <f>MATCH(Calcs!B1624,Paste_Report_Here!$1:$1,0) -1</f>
        <v>23</v>
      </c>
      <c r="B1624" s="247" t="s">
        <v>186</v>
      </c>
      <c r="C1624" s="166">
        <f ca="1">RANK(N1624,N1606:N1630)</f>
        <v>3</v>
      </c>
      <c r="D1624" s="166">
        <f ca="1">RANK(P1624,P1606:P1630)</f>
        <v>3</v>
      </c>
      <c r="E1624" s="189" t="s">
        <v>180</v>
      </c>
      <c r="F1624" s="179">
        <f ca="1">COUNTIFS(Paste_Report_Here!$E$1:$E$2000,E1600, OFFSET(Paste_Report_Here!$A$1,0,$A1624,2000,1),F$75)</f>
        <v>0</v>
      </c>
      <c r="G1624" s="180">
        <f ca="1">COUNTIFS(Paste_Report_Here!$E$1:$E$2000,E1600, OFFSET(Paste_Report_Here!$A$1,0,$A1624,2000,1),G$75)</f>
        <v>1</v>
      </c>
      <c r="H1624" s="180">
        <f ca="1">COUNTIFS(Paste_Report_Here!$E$1:$E$2000,E1600, OFFSET(Paste_Report_Here!$A$1,0,$A1624,2000,1),H$75)</f>
        <v>16</v>
      </c>
      <c r="I1624" s="180">
        <f ca="1">COUNTIFS(Paste_Report_Here!$E$1:$E$2000,E1600, OFFSET(Paste_Report_Here!$A$1,0,$A1624,2000,1),I$75)</f>
        <v>6</v>
      </c>
      <c r="J1624" s="180">
        <f ca="1">COUNTIFS(Paste_Report_Here!$E$1:$E$2000,E1600, OFFSET(Paste_Report_Here!$A$1,0,$A1624,2000,1),J$75)</f>
        <v>1</v>
      </c>
      <c r="K1624" s="181">
        <f ca="1">COUNTIFS(Paste_Report_Here!$E$1:$E$2000,E1600, OFFSET(Paste_Report_Here!$A$1,0,$A1624,2000,1),K$75)</f>
        <v>0</v>
      </c>
      <c r="L1624" s="166">
        <f t="shared" ca="1" si="241"/>
        <v>24</v>
      </c>
      <c r="M1624" s="183">
        <f ca="1">SUMPRODUCT(F1624:K1624,F1604:K1604)/L:L</f>
        <v>8.3333333333333332E-3</v>
      </c>
      <c r="N1624" s="166">
        <f t="shared" ca="1" si="242"/>
        <v>1.008368152207447</v>
      </c>
      <c r="O1624" s="247">
        <f t="shared" ca="1" si="244"/>
        <v>4399.5369751771386</v>
      </c>
      <c r="P1624" s="247">
        <f t="shared" ca="1" si="243"/>
        <v>4436.3529702277119</v>
      </c>
    </row>
    <row r="1625" spans="1:16" s="247" customFormat="1" x14ac:dyDescent="0.3">
      <c r="A1625" s="247">
        <f>MATCH(Calcs!B1625,Paste_Report_Here!$1:$1,0) -1</f>
        <v>24</v>
      </c>
      <c r="B1625" s="247" t="s">
        <v>209</v>
      </c>
      <c r="C1625" s="166">
        <f ca="1">RANK(N1625,N1606:N1630)</f>
        <v>3</v>
      </c>
      <c r="D1625" s="166">
        <f ca="1">RANK(P1625,P1606:P1630)</f>
        <v>23</v>
      </c>
      <c r="E1625" s="202" t="s">
        <v>211</v>
      </c>
      <c r="F1625" s="179">
        <f ca="1">COUNTIFS(Paste_Report_Here!$E$1:$E$2000,E1600, OFFSET(Paste_Report_Here!$A$1,0,$A1625,2000,1),F$75)</f>
        <v>0</v>
      </c>
      <c r="G1625" s="180">
        <f ca="1">COUNTIFS(Paste_Report_Here!$E$1:$E$2000,E1600, OFFSET(Paste_Report_Here!$A$1,0,$A1625,2000,1),G$75)</f>
        <v>1</v>
      </c>
      <c r="H1625" s="180">
        <f ca="1">COUNTIFS(Paste_Report_Here!$E$1:$E$2000,E1600, OFFSET(Paste_Report_Here!$A$1,0,$A1625,2000,1),H$75)</f>
        <v>19</v>
      </c>
      <c r="I1625" s="180">
        <f ca="1">COUNTIFS(Paste_Report_Here!$E$1:$E$2000,E1600, OFFSET(Paste_Report_Here!$A$1,0,$A1625,2000,1),I$75)</f>
        <v>3</v>
      </c>
      <c r="J1625" s="180">
        <f ca="1">COUNTIFS(Paste_Report_Here!$E$1:$E$2000,E1600, OFFSET(Paste_Report_Here!$A$1,0,$A1625,2000,1),J$75)</f>
        <v>1</v>
      </c>
      <c r="K1625" s="181">
        <f ca="1">COUNTIFS(Paste_Report_Here!$E$1:$E$2000,E1600, OFFSET(Paste_Report_Here!$A$1,0,$A1625,2000,1),K$75)</f>
        <v>0</v>
      </c>
      <c r="L1625" s="166">
        <f t="shared" ca="1" si="241"/>
        <v>24</v>
      </c>
      <c r="M1625" s="183">
        <f ca="1">SUMPRODUCT(F1625:K1625,F1604:K1604)/L:L</f>
        <v>8.3333333333333332E-3</v>
      </c>
      <c r="N1625" s="166">
        <f t="shared" ca="1" si="242"/>
        <v>1.008368152207447</v>
      </c>
      <c r="O1625" s="247">
        <f t="shared" ca="1" si="244"/>
        <v>1241.8557755981556</v>
      </c>
      <c r="P1625" s="247">
        <f t="shared" ca="1" si="243"/>
        <v>1252.2478137480582</v>
      </c>
    </row>
    <row r="1626" spans="1:16" s="247" customFormat="1" x14ac:dyDescent="0.3">
      <c r="A1626" s="247">
        <f>MATCH(Calcs!B1626,Paste_Report_Here!$1:$1,0) -1</f>
        <v>25</v>
      </c>
      <c r="B1626" s="247" t="s">
        <v>141</v>
      </c>
      <c r="C1626" s="166">
        <f ca="1">RANK(N1626,N1606:N1630)</f>
        <v>18</v>
      </c>
      <c r="D1626" s="166">
        <f ca="1">RANK(P1626,P1606:P1630)</f>
        <v>22</v>
      </c>
      <c r="E1626" s="189" t="s">
        <v>170</v>
      </c>
      <c r="F1626" s="179">
        <f ca="1">COUNTIFS(Paste_Report_Here!$E$1:$E$2000,E1600, OFFSET(Paste_Report_Here!$A$1,0,$A1626,2000,1),F$75)</f>
        <v>1</v>
      </c>
      <c r="G1626" s="180">
        <f ca="1">COUNTIFS(Paste_Report_Here!$E$1:$E$2000,E1600, OFFSET(Paste_Report_Here!$A$1,0,$A1626,2000,1),G$75)</f>
        <v>2</v>
      </c>
      <c r="H1626" s="180">
        <f ca="1">COUNTIFS(Paste_Report_Here!$E$1:$E$2000,E1600, OFFSET(Paste_Report_Here!$A$1,0,$A1626,2000,1),H$75)</f>
        <v>19</v>
      </c>
      <c r="I1626" s="180">
        <f ca="1">COUNTIFS(Paste_Report_Here!$E$1:$E$2000,E1600, OFFSET(Paste_Report_Here!$A$1,0,$A1626,2000,1),I$75)</f>
        <v>2</v>
      </c>
      <c r="J1626" s="180">
        <f ca="1">COUNTIFS(Paste_Report_Here!$E$1:$E$2000,E1600, OFFSET(Paste_Report_Here!$A$1,0,$A1626,2000,1),J$75)</f>
        <v>0</v>
      </c>
      <c r="K1626" s="181">
        <f ca="1">COUNTIFS(Paste_Report_Here!$E$1:$E$2000,E1600, OFFSET(Paste_Report_Here!$A$1,0,$A1626,2000,1),K$75)</f>
        <v>0</v>
      </c>
      <c r="L1626" s="166">
        <f t="shared" ca="1" si="241"/>
        <v>24</v>
      </c>
      <c r="M1626" s="183">
        <f ca="1">SUMPRODUCT(F1626:K1626,F1604:K1604)/L:L</f>
        <v>-8.3333333333333332E-3</v>
      </c>
      <c r="N1626" s="166">
        <f t="shared" ca="1" si="242"/>
        <v>0.99170129263887596</v>
      </c>
      <c r="O1626" s="247">
        <f t="shared" ca="1" si="244"/>
        <v>1362.5628717553825</v>
      </c>
      <c r="P1626" s="247">
        <f t="shared" ca="1" si="243"/>
        <v>1351.2553612215518</v>
      </c>
    </row>
    <row r="1627" spans="1:16" s="247" customFormat="1" x14ac:dyDescent="0.3">
      <c r="A1627" s="247">
        <f>MATCH(Calcs!B1627,Paste_Report_Here!$1:$1,0) -1</f>
        <v>26</v>
      </c>
      <c r="B1627" s="247" t="s">
        <v>142</v>
      </c>
      <c r="C1627" s="166">
        <f ca="1">RANK(N1627,N1606:N1630)</f>
        <v>11</v>
      </c>
      <c r="D1627" s="166">
        <f ca="1">RANK(P1627,P1606:P1630)</f>
        <v>12</v>
      </c>
      <c r="E1627" s="189" t="s">
        <v>171</v>
      </c>
      <c r="F1627" s="179">
        <f ca="1">COUNTIFS(Paste_Report_Here!$E$1:$E$2000,E1600, OFFSET(Paste_Report_Here!$A$1,0,$A1627,2000,1),F$75)</f>
        <v>1</v>
      </c>
      <c r="G1627" s="180">
        <f ca="1">COUNTIFS(Paste_Report_Here!$E$1:$E$2000,E1600, OFFSET(Paste_Report_Here!$A$1,0,$A1627,2000,1),G$75)</f>
        <v>0</v>
      </c>
      <c r="H1627" s="180">
        <f ca="1">COUNTIFS(Paste_Report_Here!$E$1:$E$2000,E1600, OFFSET(Paste_Report_Here!$A$1,0,$A1627,2000,1),H$75)</f>
        <v>18</v>
      </c>
      <c r="I1627" s="180">
        <f ca="1">COUNTIFS(Paste_Report_Here!$E$1:$E$2000,E1600, OFFSET(Paste_Report_Here!$A$1,0,$A1627,2000,1),I$75)</f>
        <v>4</v>
      </c>
      <c r="J1627" s="180">
        <f ca="1">COUNTIFS(Paste_Report_Here!$E$1:$E$2000,E1600, OFFSET(Paste_Report_Here!$A$1,0,$A1627,2000,1),J$75)</f>
        <v>1</v>
      </c>
      <c r="K1627" s="181">
        <f ca="1">COUNTIFS(Paste_Report_Here!$E$1:$E$2000,E1600, OFFSET(Paste_Report_Here!$A$1,0,$A1627,2000,1),K$75)</f>
        <v>0</v>
      </c>
      <c r="L1627" s="166">
        <f t="shared" ca="1" si="241"/>
        <v>24</v>
      </c>
      <c r="M1627" s="183">
        <f ca="1">SUMPRODUCT(F1627:K1627,F1604:K1604)/L:L</f>
        <v>0</v>
      </c>
      <c r="N1627" s="166">
        <f t="shared" ca="1" si="242"/>
        <v>1</v>
      </c>
      <c r="O1627" s="247">
        <f t="shared" ca="1" si="244"/>
        <v>2305.4607846781619</v>
      </c>
      <c r="P1627" s="247">
        <f t="shared" ca="1" si="243"/>
        <v>2305.4607846781619</v>
      </c>
    </row>
    <row r="1628" spans="1:16" s="247" customFormat="1" x14ac:dyDescent="0.3">
      <c r="A1628" s="247">
        <f>MATCH(Calcs!B1628,Paste_Report_Here!$1:$1,0) -1</f>
        <v>27</v>
      </c>
      <c r="B1628" s="247" t="s">
        <v>210</v>
      </c>
      <c r="C1628" s="166">
        <f ca="1">RANK(N1628,N1606:N1630)</f>
        <v>11</v>
      </c>
      <c r="D1628" s="166">
        <f ca="1">RANK(P1628,P1606:P1630)</f>
        <v>25</v>
      </c>
      <c r="E1628" s="202" t="s">
        <v>212</v>
      </c>
      <c r="F1628" s="179">
        <f ca="1">COUNTIFS(Paste_Report_Here!$E$1:$E$2000,E1600, OFFSET(Paste_Report_Here!$A$1,0,$A1628,2000,1),F$75)</f>
        <v>0</v>
      </c>
      <c r="G1628" s="180">
        <f ca="1">COUNTIFS(Paste_Report_Here!$E$1:$E$2000,E1600, OFFSET(Paste_Report_Here!$A$1,0,$A1628,2000,1),G$75)</f>
        <v>2</v>
      </c>
      <c r="H1628" s="180">
        <f ca="1">COUNTIFS(Paste_Report_Here!$E$1:$E$2000,E1600, OFFSET(Paste_Report_Here!$A$1,0,$A1628,2000,1),H$75)</f>
        <v>21</v>
      </c>
      <c r="I1628" s="180">
        <f ca="1">COUNTIFS(Paste_Report_Here!$E$1:$E$2000,E1600, OFFSET(Paste_Report_Here!$A$1,0,$A1628,2000,1),I$75)</f>
        <v>1</v>
      </c>
      <c r="J1628" s="180">
        <f ca="1">COUNTIFS(Paste_Report_Here!$E$1:$E$2000,E1600, OFFSET(Paste_Report_Here!$A$1,0,$A1628,2000,1),J$75)</f>
        <v>0</v>
      </c>
      <c r="K1628" s="181">
        <f ca="1">COUNTIFS(Paste_Report_Here!$E$1:$E$2000,E1600, OFFSET(Paste_Report_Here!$A$1,0,$A1628,2000,1),K$75)</f>
        <v>0</v>
      </c>
      <c r="L1628" s="166">
        <f t="shared" ca="1" si="241"/>
        <v>24</v>
      </c>
      <c r="M1628" s="183">
        <f ca="1">SUMPRODUCT(F1628:K1628,F1604:K1604)/L:L</f>
        <v>0</v>
      </c>
      <c r="N1628" s="166">
        <f t="shared" ca="1" si="242"/>
        <v>1</v>
      </c>
      <c r="O1628" s="247">
        <f t="shared" ca="1" si="244"/>
        <v>1143.6699917353874</v>
      </c>
      <c r="P1628" s="247">
        <f t="shared" ca="1" si="243"/>
        <v>1143.6699917353874</v>
      </c>
    </row>
    <row r="1629" spans="1:16" s="247" customFormat="1" x14ac:dyDescent="0.3">
      <c r="A1629" s="247">
        <f>MATCH(Calcs!B1629,Paste_Report_Here!$1:$1,0) -1</f>
        <v>28</v>
      </c>
      <c r="B1629" s="247" t="s">
        <v>143</v>
      </c>
      <c r="C1629" s="166">
        <f ca="1">RANK(N1629,N1606:N1630)</f>
        <v>1</v>
      </c>
      <c r="D1629" s="166">
        <f ca="1">RANK(P1629,P1606:P1630)</f>
        <v>1</v>
      </c>
      <c r="E1629" s="189" t="s">
        <v>172</v>
      </c>
      <c r="F1629" s="179">
        <f ca="1">COUNTIFS(Paste_Report_Here!$E$1:$E$2000,E1600, OFFSET(Paste_Report_Here!$A$1,0,$A1629,2000,1),F$75)</f>
        <v>0</v>
      </c>
      <c r="G1629" s="180">
        <f ca="1">COUNTIFS(Paste_Report_Here!$E$1:$E$2000,E1600, OFFSET(Paste_Report_Here!$A$1,0,$A1629,2000,1),G$75)</f>
        <v>0</v>
      </c>
      <c r="H1629" s="180">
        <f ca="1">COUNTIFS(Paste_Report_Here!$E$1:$E$2000,E1600, OFFSET(Paste_Report_Here!$A$1,0,$A1629,2000,1),H$75)</f>
        <v>18</v>
      </c>
      <c r="I1629" s="180">
        <f ca="1">COUNTIFS(Paste_Report_Here!$E$1:$E$2000,E1600, OFFSET(Paste_Report_Here!$A$1,0,$A1629,2000,1),I$75)</f>
        <v>4</v>
      </c>
      <c r="J1629" s="180">
        <f ca="1">COUNTIFS(Paste_Report_Here!$E$1:$E$2000,E1600, OFFSET(Paste_Report_Here!$A$1,0,$A1629,2000,1),J$75)</f>
        <v>2</v>
      </c>
      <c r="K1629" s="181">
        <f ca="1">COUNTIFS(Paste_Report_Here!$E$1:$E$2000,E1600, OFFSET(Paste_Report_Here!$A$1,0,$A1629,2000,1),K$75)</f>
        <v>0</v>
      </c>
      <c r="L1629" s="166">
        <f t="shared" ca="1" si="241"/>
        <v>24</v>
      </c>
      <c r="M1629" s="183">
        <f ca="1">SUMPRODUCT(F1629:K1629,F1604:K1604)/L:L</f>
        <v>1.6666666666666666E-2</v>
      </c>
      <c r="N1629" s="166">
        <f t="shared" ca="1" si="242"/>
        <v>1.0168063303862609</v>
      </c>
      <c r="O1629" s="247">
        <f t="shared" ca="1" si="244"/>
        <v>10228.237195629354</v>
      </c>
      <c r="P1629" s="247">
        <f t="shared" ca="1" si="243"/>
        <v>10400.136329208142</v>
      </c>
    </row>
    <row r="1630" spans="1:16" s="247" customFormat="1" x14ac:dyDescent="0.3">
      <c r="A1630" s="247">
        <f>MATCH(Calcs!B1630,Paste_Report_Here!$1:$1,0) -1</f>
        <v>29</v>
      </c>
      <c r="B1630" s="187" t="s">
        <v>144</v>
      </c>
      <c r="C1630" s="147">
        <f ca="1">RANK(N1630,N1606:N1630)</f>
        <v>11</v>
      </c>
      <c r="D1630" s="147">
        <f ca="1">RANK(P1630,P1606:P1630)</f>
        <v>11</v>
      </c>
      <c r="E1630" s="145" t="s">
        <v>173</v>
      </c>
      <c r="F1630" s="146">
        <f ca="1">COUNTIFS(Paste_Report_Here!$E$1:$E$2000,E1600, OFFSET(Paste_Report_Here!$A$1,0,$A1630,2000,1),F$75)</f>
        <v>0</v>
      </c>
      <c r="G1630" s="147">
        <f ca="1">COUNTIFS(Paste_Report_Here!$E$1:$E$2000,E1600, OFFSET(Paste_Report_Here!$A$1,0,$A1630,2000,1),G$75)</f>
        <v>0</v>
      </c>
      <c r="H1630" s="147">
        <f ca="1">COUNTIFS(Paste_Report_Here!$E$1:$E$2000,E1600, OFFSET(Paste_Report_Here!$A$1,0,$A1630,2000,1),H$75)</f>
        <v>18</v>
      </c>
      <c r="I1630" s="147">
        <f ca="1">COUNTIFS(Paste_Report_Here!$E$1:$E$2000,E1600, OFFSET(Paste_Report_Here!$A$1,0,$A1630,2000,1),I$75)</f>
        <v>6</v>
      </c>
      <c r="J1630" s="147">
        <f ca="1">COUNTIFS(Paste_Report_Here!$E$1:$E$2000,E1600, OFFSET(Paste_Report_Here!$A$1,0,$A1630,2000,1),J$75)</f>
        <v>0</v>
      </c>
      <c r="K1630" s="148">
        <f ca="1">COUNTIFS(Paste_Report_Here!$E$1:$E$2000,E1600, OFFSET(Paste_Report_Here!$A$1,0,$A1630,2000,1),K$75)</f>
        <v>0</v>
      </c>
      <c r="L1630" s="147">
        <f t="shared" ca="1" si="241"/>
        <v>24</v>
      </c>
      <c r="M1630" s="149">
        <f ca="1">SUMPRODUCT(F1630:K1630,F1604:K1604)/L:L</f>
        <v>0</v>
      </c>
      <c r="N1630" s="147">
        <f t="shared" ca="1" si="242"/>
        <v>1</v>
      </c>
      <c r="O1630" s="187">
        <f t="shared" ca="1" si="244"/>
        <v>2392.2261011950159</v>
      </c>
      <c r="P1630" s="247">
        <f t="shared" ca="1" si="243"/>
        <v>2392.2261011950159</v>
      </c>
    </row>
    <row r="1631" spans="1:16" s="247" customFormat="1" x14ac:dyDescent="0.3">
      <c r="C1631" s="166"/>
      <c r="E1631" s="140" t="s">
        <v>293</v>
      </c>
      <c r="F1631" s="180">
        <f ca="1">SUM(F1606:F1630)</f>
        <v>11</v>
      </c>
      <c r="G1631" s="180">
        <f t="shared" ref="G1631:L1631" ca="1" si="245">SUM(G1606:G1630)</f>
        <v>35</v>
      </c>
      <c r="H1631" s="180">
        <f t="shared" ca="1" si="245"/>
        <v>439</v>
      </c>
      <c r="I1631" s="180">
        <f t="shared" ca="1" si="245"/>
        <v>100</v>
      </c>
      <c r="J1631" s="180">
        <f t="shared" ca="1" si="245"/>
        <v>15</v>
      </c>
      <c r="K1631" s="180">
        <f t="shared" ca="1" si="245"/>
        <v>0</v>
      </c>
      <c r="L1631" s="180">
        <f t="shared" ca="1" si="245"/>
        <v>600</v>
      </c>
      <c r="M1631" s="144">
        <f ca="1">SUMPRODUCT(F1631:K1631,F1604:K1604)/L1631</f>
        <v>1.3333333333333331E-3</v>
      </c>
      <c r="N1631" s="166">
        <f t="shared" ca="1" si="242"/>
        <v>1.0013342226174158</v>
      </c>
      <c r="O1631" s="247">
        <f t="shared" ca="1" si="244"/>
        <v>2768.6539025413572</v>
      </c>
      <c r="P1631" s="247">
        <f t="shared" ca="1" si="243"/>
        <v>2772.3479031979246</v>
      </c>
    </row>
    <row r="1632" spans="1:16" s="247" customFormat="1" x14ac:dyDescent="0.3">
      <c r="A1632" s="194"/>
      <c r="B1632" s="194"/>
      <c r="C1632" s="153"/>
      <c r="D1632" s="194"/>
      <c r="E1632" s="164"/>
      <c r="F1632" s="151"/>
      <c r="G1632" s="151"/>
      <c r="H1632" s="151"/>
      <c r="I1632" s="151"/>
      <c r="J1632" s="151"/>
      <c r="K1632" s="151"/>
      <c r="L1632" s="151"/>
      <c r="M1632" s="162"/>
      <c r="N1632" s="153"/>
      <c r="O1632" s="194"/>
      <c r="P1632" s="194"/>
    </row>
    <row r="1633" spans="1:16" s="247" customFormat="1" x14ac:dyDescent="0.3">
      <c r="E1633" s="173" t="s">
        <v>292</v>
      </c>
    </row>
    <row r="1634" spans="1:16" s="247" customFormat="1" x14ac:dyDescent="0.3">
      <c r="E1634" s="141">
        <v>42003</v>
      </c>
    </row>
    <row r="1635" spans="1:16" s="247" customFormat="1" ht="15" thickBot="1" x14ac:dyDescent="0.35"/>
    <row r="1636" spans="1:16" s="247" customFormat="1" ht="24.6" thickBot="1" x14ac:dyDescent="0.35">
      <c r="F1636" s="174" t="s">
        <v>23</v>
      </c>
      <c r="G1636" s="168" t="s">
        <v>18</v>
      </c>
      <c r="H1636" s="168" t="s">
        <v>16</v>
      </c>
      <c r="I1636" s="168" t="s">
        <v>17</v>
      </c>
      <c r="J1636" s="168" t="s">
        <v>19</v>
      </c>
      <c r="K1636" s="169" t="s">
        <v>114</v>
      </c>
    </row>
    <row r="1637" spans="1:16" s="247" customFormat="1" ht="32.25" customHeight="1" x14ac:dyDescent="0.3">
      <c r="F1637" s="267" t="s">
        <v>201</v>
      </c>
      <c r="G1637" s="268"/>
      <c r="H1637" s="268"/>
      <c r="I1637" s="268"/>
      <c r="J1637" s="268"/>
      <c r="K1637" s="169"/>
      <c r="M1637" s="203">
        <f ca="1">(H1665+K1665)/L1665</f>
        <v>0.74260869565217391</v>
      </c>
      <c r="N1637" s="204" t="s">
        <v>501</v>
      </c>
    </row>
    <row r="1638" spans="1:16" s="247" customFormat="1" ht="43.8" thickBot="1" x14ac:dyDescent="0.35">
      <c r="A1638" s="142" t="s">
        <v>294</v>
      </c>
      <c r="B1638" s="142" t="s">
        <v>295</v>
      </c>
      <c r="C1638" s="197" t="s">
        <v>440</v>
      </c>
      <c r="D1638" s="142" t="s">
        <v>441</v>
      </c>
      <c r="E1638" s="171" t="s">
        <v>30</v>
      </c>
      <c r="F1638" s="175">
        <f>Falling_fast</f>
        <v>-0.2</v>
      </c>
      <c r="G1638" s="176">
        <f>Falling</f>
        <v>0</v>
      </c>
      <c r="H1638" s="177">
        <f>Static</f>
        <v>0</v>
      </c>
      <c r="I1638" s="176">
        <f>Rising</f>
        <v>0</v>
      </c>
      <c r="J1638" s="178">
        <f>Rising_fast</f>
        <v>0.2</v>
      </c>
      <c r="K1638" s="182">
        <v>0</v>
      </c>
      <c r="L1638" s="171" t="s">
        <v>28</v>
      </c>
      <c r="M1638" s="172" t="s">
        <v>29</v>
      </c>
      <c r="N1638" s="143" t="s">
        <v>296</v>
      </c>
      <c r="O1638" s="142" t="s">
        <v>297</v>
      </c>
      <c r="P1638" s="142" t="s">
        <v>298</v>
      </c>
    </row>
    <row r="1639" spans="1:16" s="247" customFormat="1" x14ac:dyDescent="0.3">
      <c r="C1639" s="166"/>
      <c r="E1639" s="192"/>
      <c r="F1639" s="198" t="s">
        <v>151</v>
      </c>
      <c r="G1639" s="199" t="s">
        <v>149</v>
      </c>
      <c r="H1639" s="199" t="s">
        <v>16</v>
      </c>
      <c r="I1639" s="199" t="s">
        <v>148</v>
      </c>
      <c r="J1639" s="199" t="s">
        <v>150</v>
      </c>
      <c r="K1639" s="200" t="s">
        <v>114</v>
      </c>
      <c r="L1639" s="166"/>
      <c r="M1639" s="170"/>
      <c r="N1639" s="166"/>
    </row>
    <row r="1640" spans="1:16" s="247" customFormat="1" x14ac:dyDescent="0.3">
      <c r="A1640" s="247">
        <f>MATCH(Calcs!B1640,Paste_Report_Here!$1:$1,0) -1</f>
        <v>5</v>
      </c>
      <c r="B1640" s="247" t="s">
        <v>124</v>
      </c>
      <c r="C1640" s="166">
        <f ca="1">RANK(N1640,N1640:N1664)</f>
        <v>7</v>
      </c>
      <c r="D1640" s="166">
        <f ca="1">RANK(P1640,P1640:P1664)</f>
        <v>15</v>
      </c>
      <c r="E1640" s="189" t="s">
        <v>152</v>
      </c>
      <c r="F1640" s="179">
        <f ca="1">COUNTIFS(Paste_Report_Here!$E$1:$E$2000,E1634, OFFSET(Paste_Report_Here!$A$1,0,$A1640,2000,1),F$75)</f>
        <v>0</v>
      </c>
      <c r="G1640" s="180">
        <f ca="1">COUNTIFS(Paste_Report_Here!$E$1:$E$2000,E1634, OFFSET(Paste_Report_Here!$A$1,0,$A1640,2000,1),G$75)</f>
        <v>3</v>
      </c>
      <c r="H1640" s="180">
        <f ca="1">COUNTIFS(Paste_Report_Here!$E$1:$E$2000,E1634, OFFSET(Paste_Report_Here!$A$1,0,$A1640,2000,1),H$75)</f>
        <v>18</v>
      </c>
      <c r="I1640" s="180">
        <f ca="1">COUNTIFS(Paste_Report_Here!$E$1:$E$2000,E1634, OFFSET(Paste_Report_Here!$A$1,0,$A1640,2000,1),I$75)</f>
        <v>2</v>
      </c>
      <c r="J1640" s="180">
        <f ca="1">COUNTIFS(Paste_Report_Here!$E$1:$E$2000,E1634, OFFSET(Paste_Report_Here!$A$1,0,$A1640,2000,1),J$75)</f>
        <v>0</v>
      </c>
      <c r="K1640" s="181">
        <f ca="1">COUNTIFS(Paste_Report_Here!$E$1:$E$2000,E1634, OFFSET(Paste_Report_Here!$A$1,0,$A1640,2000,1),K$75)</f>
        <v>0</v>
      </c>
      <c r="L1640" s="166">
        <f t="shared" ref="L1640:L1664" ca="1" si="246">SUM(F1640:K1640)</f>
        <v>23</v>
      </c>
      <c r="M1640" s="183">
        <f ca="1">SUMPRODUCT(F1640:K1640,F1638:K1638)/L:L</f>
        <v>0</v>
      </c>
      <c r="N1640" s="166">
        <f t="shared" ref="N1640:N1665" ca="1" si="247">EXP(M1640)</f>
        <v>1</v>
      </c>
      <c r="O1640" s="247">
        <f ca="1">P1606</f>
        <v>2218.0134019409475</v>
      </c>
      <c r="P1640" s="247">
        <f t="shared" ref="P1640:P1665" ca="1" si="248">O1640*N1640</f>
        <v>2218.0134019409475</v>
      </c>
    </row>
    <row r="1641" spans="1:16" s="247" customFormat="1" x14ac:dyDescent="0.3">
      <c r="A1641" s="247">
        <f>MATCH(Calcs!B1641,Paste_Report_Here!$1:$1,0) -1</f>
        <v>6</v>
      </c>
      <c r="B1641" s="247" t="s">
        <v>125</v>
      </c>
      <c r="C1641" s="166">
        <f ca="1">RANK(N1641,N1640:N1664)</f>
        <v>7</v>
      </c>
      <c r="D1641" s="166">
        <f ca="1">RANK(P1641,P1640:P1664)</f>
        <v>17</v>
      </c>
      <c r="E1641" s="189" t="s">
        <v>153</v>
      </c>
      <c r="F1641" s="179">
        <f ca="1">COUNTIFS(Paste_Report_Here!$E$1:$E$2000,E1634, OFFSET(Paste_Report_Here!$A$1,0,$A1641,2000,1),F$75)</f>
        <v>0</v>
      </c>
      <c r="G1641" s="180">
        <f ca="1">COUNTIFS(Paste_Report_Here!$E$1:$E$2000,E1634, OFFSET(Paste_Report_Here!$A$1,0,$A1641,2000,1),G$75)</f>
        <v>2</v>
      </c>
      <c r="H1641" s="180">
        <f ca="1">COUNTIFS(Paste_Report_Here!$E$1:$E$2000,E1634, OFFSET(Paste_Report_Here!$A$1,0,$A1641,2000,1),H$75)</f>
        <v>18</v>
      </c>
      <c r="I1641" s="180">
        <f ca="1">COUNTIFS(Paste_Report_Here!$E$1:$E$2000,E1634, OFFSET(Paste_Report_Here!$A$1,0,$A1641,2000,1),I$75)</f>
        <v>3</v>
      </c>
      <c r="J1641" s="180">
        <f ca="1">COUNTIFS(Paste_Report_Here!$E$1:$E$2000,E1634, OFFSET(Paste_Report_Here!$A$1,0,$A1641,2000,1),J$75)</f>
        <v>0</v>
      </c>
      <c r="K1641" s="181">
        <f ca="1">COUNTIFS(Paste_Report_Here!$E$1:$E$2000,E1634, OFFSET(Paste_Report_Here!$A$1,0,$A1641,2000,1),K$75)</f>
        <v>0</v>
      </c>
      <c r="L1641" s="166">
        <f t="shared" ca="1" si="246"/>
        <v>23</v>
      </c>
      <c r="M1641" s="183">
        <f ca="1">SUMPRODUCT(F1641:K1641,F1638:K1638)/L:L</f>
        <v>0</v>
      </c>
      <c r="N1641" s="166">
        <f t="shared" ca="1" si="247"/>
        <v>1</v>
      </c>
      <c r="O1641" s="247">
        <f t="shared" ref="O1641:O1665" ca="1" si="249">P1607</f>
        <v>2085.2176045510009</v>
      </c>
      <c r="P1641" s="247">
        <f t="shared" ca="1" si="248"/>
        <v>2085.2176045510009</v>
      </c>
    </row>
    <row r="1642" spans="1:16" s="247" customFormat="1" x14ac:dyDescent="0.3">
      <c r="A1642" s="247">
        <f>MATCH(Calcs!B1642,Paste_Report_Here!$1:$1,0) -1</f>
        <v>7</v>
      </c>
      <c r="B1642" s="247" t="s">
        <v>126</v>
      </c>
      <c r="C1642" s="166">
        <f ca="1">RANK(N1642,N1640:N1664)</f>
        <v>7</v>
      </c>
      <c r="D1642" s="166">
        <f ca="1">RANK(P1642,P1640:P1664)</f>
        <v>8</v>
      </c>
      <c r="E1642" s="189" t="s">
        <v>154</v>
      </c>
      <c r="F1642" s="179">
        <f ca="1">COUNTIFS(Paste_Report_Here!$E$1:$E$2000,E1634, OFFSET(Paste_Report_Here!$A$1,0,$A1642,2000,1),F$75)</f>
        <v>0</v>
      </c>
      <c r="G1642" s="180">
        <f ca="1">COUNTIFS(Paste_Report_Here!$E$1:$E$2000,E1634, OFFSET(Paste_Report_Here!$A$1,0,$A1642,2000,1),G$75)</f>
        <v>3</v>
      </c>
      <c r="H1642" s="180">
        <f ca="1">COUNTIFS(Paste_Report_Here!$E$1:$E$2000,E1634, OFFSET(Paste_Report_Here!$A$1,0,$A1642,2000,1),H$75)</f>
        <v>19</v>
      </c>
      <c r="I1642" s="180">
        <f ca="1">COUNTIFS(Paste_Report_Here!$E$1:$E$2000,E1634, OFFSET(Paste_Report_Here!$A$1,0,$A1642,2000,1),I$75)</f>
        <v>1</v>
      </c>
      <c r="J1642" s="180">
        <f ca="1">COUNTIFS(Paste_Report_Here!$E$1:$E$2000,E1634, OFFSET(Paste_Report_Here!$A$1,0,$A1642,2000,1),J$75)</f>
        <v>0</v>
      </c>
      <c r="K1642" s="181">
        <f ca="1">COUNTIFS(Paste_Report_Here!$E$1:$E$2000,E1634, OFFSET(Paste_Report_Here!$A$1,0,$A1642,2000,1),K$75)</f>
        <v>0</v>
      </c>
      <c r="L1642" s="166">
        <f t="shared" ca="1" si="246"/>
        <v>23</v>
      </c>
      <c r="M1642" s="183">
        <f ca="1">SUMPRODUCT(F1642:K1642,F1638:K1638)/L:L</f>
        <v>0</v>
      </c>
      <c r="N1642" s="166">
        <f t="shared" ca="1" si="247"/>
        <v>1</v>
      </c>
      <c r="O1642" s="247">
        <f t="shared" ca="1" si="249"/>
        <v>2650.8475381706312</v>
      </c>
      <c r="P1642" s="247">
        <f t="shared" ca="1" si="248"/>
        <v>2650.8475381706312</v>
      </c>
    </row>
    <row r="1643" spans="1:16" s="247" customFormat="1" x14ac:dyDescent="0.3">
      <c r="A1643" s="247">
        <f>MATCH(Calcs!B1643,Paste_Report_Here!$1:$1,0) -1</f>
        <v>8</v>
      </c>
      <c r="B1643" s="247" t="s">
        <v>127</v>
      </c>
      <c r="C1643" s="166">
        <f ca="1">RANK(N1643,N1640:N1664)</f>
        <v>7</v>
      </c>
      <c r="D1643" s="166">
        <f ca="1">RANK(P1643,P1640:P1664)</f>
        <v>7</v>
      </c>
      <c r="E1643" s="189" t="s">
        <v>155</v>
      </c>
      <c r="F1643" s="179">
        <f ca="1">COUNTIFS(Paste_Report_Here!$E$1:$E$2000,E1634, OFFSET(Paste_Report_Here!$A$1,0,$A1643,2000,1),F$75)</f>
        <v>0</v>
      </c>
      <c r="G1643" s="180">
        <f ca="1">COUNTIFS(Paste_Report_Here!$E$1:$E$2000,E1634, OFFSET(Paste_Report_Here!$A$1,0,$A1643,2000,1),G$75)</f>
        <v>2</v>
      </c>
      <c r="H1643" s="180">
        <f ca="1">COUNTIFS(Paste_Report_Here!$E$1:$E$2000,E1634, OFFSET(Paste_Report_Here!$A$1,0,$A1643,2000,1),H$75)</f>
        <v>17</v>
      </c>
      <c r="I1643" s="180">
        <f ca="1">COUNTIFS(Paste_Report_Here!$E$1:$E$2000,E1634, OFFSET(Paste_Report_Here!$A$1,0,$A1643,2000,1),I$75)</f>
        <v>4</v>
      </c>
      <c r="J1643" s="180">
        <f ca="1">COUNTIFS(Paste_Report_Here!$E$1:$E$2000,E1634, OFFSET(Paste_Report_Here!$A$1,0,$A1643,2000,1),J$75)</f>
        <v>0</v>
      </c>
      <c r="K1643" s="181">
        <f ca="1">COUNTIFS(Paste_Report_Here!$E$1:$E$2000,E1634, OFFSET(Paste_Report_Here!$A$1,0,$A1643,2000,1),K$75)</f>
        <v>0</v>
      </c>
      <c r="L1643" s="166">
        <f t="shared" ca="1" si="246"/>
        <v>23</v>
      </c>
      <c r="M1643" s="183">
        <f ca="1">SUMPRODUCT(F1643:K1643,F1638:K1638)/L:L</f>
        <v>0</v>
      </c>
      <c r="N1643" s="166">
        <f t="shared" ca="1" si="247"/>
        <v>1</v>
      </c>
      <c r="O1643" s="247">
        <f t="shared" ca="1" si="249"/>
        <v>3011.6808719521737</v>
      </c>
      <c r="P1643" s="247">
        <f t="shared" ca="1" si="248"/>
        <v>3011.6808719521737</v>
      </c>
    </row>
    <row r="1644" spans="1:16" s="247" customFormat="1" x14ac:dyDescent="0.3">
      <c r="A1644" s="247">
        <f>MATCH(Calcs!B1644,Paste_Report_Here!$1:$1,0) -1</f>
        <v>9</v>
      </c>
      <c r="B1644" s="247" t="s">
        <v>214</v>
      </c>
      <c r="C1644" s="166">
        <f ca="1">RANK(N1644,N1640:N1664)</f>
        <v>7</v>
      </c>
      <c r="D1644" s="166">
        <f ca="1">RANK(P1644,P1640:P1664)</f>
        <v>5</v>
      </c>
      <c r="E1644" s="189" t="s">
        <v>156</v>
      </c>
      <c r="F1644" s="179">
        <f ca="1">COUNTIFS(Paste_Report_Here!$E$1:$E$2000,E1634, OFFSET(Paste_Report_Here!$A$1,0,$A1644,2000,1),F$75)</f>
        <v>0</v>
      </c>
      <c r="G1644" s="180">
        <f ca="1">COUNTIFS(Paste_Report_Here!$E$1:$E$2000,E1634, OFFSET(Paste_Report_Here!$A$1,0,$A1644,2000,1),G$75)</f>
        <v>1</v>
      </c>
      <c r="H1644" s="180">
        <f ca="1">COUNTIFS(Paste_Report_Here!$E$1:$E$2000,E1634, OFFSET(Paste_Report_Here!$A$1,0,$A1644,2000,1),H$75)</f>
        <v>18</v>
      </c>
      <c r="I1644" s="180">
        <f ca="1">COUNTIFS(Paste_Report_Here!$E$1:$E$2000,E1634, OFFSET(Paste_Report_Here!$A$1,0,$A1644,2000,1),I$75)</f>
        <v>4</v>
      </c>
      <c r="J1644" s="180">
        <f ca="1">COUNTIFS(Paste_Report_Here!$E$1:$E$2000,E1634, OFFSET(Paste_Report_Here!$A$1,0,$A1644,2000,1),J$75)</f>
        <v>0</v>
      </c>
      <c r="K1644" s="181">
        <f ca="1">COUNTIFS(Paste_Report_Here!$E$1:$E$2000,E1634, OFFSET(Paste_Report_Here!$A$1,0,$A1644,2000,1),K$75)</f>
        <v>0</v>
      </c>
      <c r="L1644" s="166">
        <f t="shared" ca="1" si="246"/>
        <v>23</v>
      </c>
      <c r="M1644" s="183">
        <f ca="1">SUMPRODUCT(F1644:K1644,F1638:K1638)/L:L</f>
        <v>0</v>
      </c>
      <c r="N1644" s="166">
        <f t="shared" ca="1" si="247"/>
        <v>1</v>
      </c>
      <c r="O1644" s="247">
        <f t="shared" ca="1" si="249"/>
        <v>4115.4096811867203</v>
      </c>
      <c r="P1644" s="247">
        <f t="shared" ca="1" si="248"/>
        <v>4115.4096811867203</v>
      </c>
    </row>
    <row r="1645" spans="1:16" s="247" customFormat="1" x14ac:dyDescent="0.3">
      <c r="A1645" s="247">
        <f>MATCH(Calcs!B1645,Paste_Report_Here!$1:$1,0) -1</f>
        <v>10</v>
      </c>
      <c r="B1645" s="247" t="s">
        <v>128</v>
      </c>
      <c r="C1645" s="166">
        <f ca="1">RANK(N1645,N1640:N1664)</f>
        <v>19</v>
      </c>
      <c r="D1645" s="166">
        <f ca="1">RANK(P1645,P1640:P1664)</f>
        <v>21</v>
      </c>
      <c r="E1645" s="189" t="s">
        <v>157</v>
      </c>
      <c r="F1645" s="179">
        <f ca="1">COUNTIFS(Paste_Report_Here!$E$1:$E$2000,E1634, OFFSET(Paste_Report_Here!$A$1,0,$A1645,2000,1),F$75)</f>
        <v>1</v>
      </c>
      <c r="G1645" s="180">
        <f ca="1">COUNTIFS(Paste_Report_Here!$E$1:$E$2000,E1634, OFFSET(Paste_Report_Here!$A$1,0,$A1645,2000,1),G$75)</f>
        <v>0</v>
      </c>
      <c r="H1645" s="180">
        <f ca="1">COUNTIFS(Paste_Report_Here!$E$1:$E$2000,E1634, OFFSET(Paste_Report_Here!$A$1,0,$A1645,2000,1),H$75)</f>
        <v>20</v>
      </c>
      <c r="I1645" s="180">
        <f ca="1">COUNTIFS(Paste_Report_Here!$E$1:$E$2000,E1634, OFFSET(Paste_Report_Here!$A$1,0,$A1645,2000,1),I$75)</f>
        <v>2</v>
      </c>
      <c r="J1645" s="180">
        <f ca="1">COUNTIFS(Paste_Report_Here!$E$1:$E$2000,E1634, OFFSET(Paste_Report_Here!$A$1,0,$A1645,2000,1),J$75)</f>
        <v>0</v>
      </c>
      <c r="K1645" s="181">
        <f ca="1">COUNTIFS(Paste_Report_Here!$E$1:$E$2000,E1634, OFFSET(Paste_Report_Here!$A$1,0,$A1645,2000,1),K$75)</f>
        <v>0</v>
      </c>
      <c r="L1645" s="166">
        <f t="shared" ca="1" si="246"/>
        <v>23</v>
      </c>
      <c r="M1645" s="183">
        <f ca="1">SUMPRODUCT(F1645:K1645,F1638:K1638)/L:L</f>
        <v>-8.6956521739130436E-3</v>
      </c>
      <c r="N1645" s="166">
        <f t="shared" ca="1" si="247"/>
        <v>0.99134204566122985</v>
      </c>
      <c r="O1645" s="247">
        <f t="shared" ca="1" si="249"/>
        <v>1534.2533992550834</v>
      </c>
      <c r="P1645" s="247">
        <f t="shared" ca="1" si="248"/>
        <v>1520.9699033802301</v>
      </c>
    </row>
    <row r="1646" spans="1:16" s="247" customFormat="1" x14ac:dyDescent="0.3">
      <c r="A1646" s="247">
        <f>MATCH(Calcs!B1646,Paste_Report_Here!$1:$1,0) -1</f>
        <v>11</v>
      </c>
      <c r="B1646" s="247" t="s">
        <v>129</v>
      </c>
      <c r="C1646" s="166">
        <f ca="1">RANK(N1646,N1640:N1664)</f>
        <v>19</v>
      </c>
      <c r="D1646" s="166">
        <f ca="1">RANK(P1646,P1640:P1664)</f>
        <v>10</v>
      </c>
      <c r="E1646" s="189" t="s">
        <v>158</v>
      </c>
      <c r="F1646" s="179">
        <f ca="1">COUNTIFS(Paste_Report_Here!$E$1:$E$2000,E1634, OFFSET(Paste_Report_Here!$A$1,0,$A1646,2000,1),F$75)</f>
        <v>1</v>
      </c>
      <c r="G1646" s="180">
        <f ca="1">COUNTIFS(Paste_Report_Here!$E$1:$E$2000,E1634, OFFSET(Paste_Report_Here!$A$1,0,$A1646,2000,1),G$75)</f>
        <v>0</v>
      </c>
      <c r="H1646" s="180">
        <f ca="1">COUNTIFS(Paste_Report_Here!$E$1:$E$2000,E1634, OFFSET(Paste_Report_Here!$A$1,0,$A1646,2000,1),H$75)</f>
        <v>18</v>
      </c>
      <c r="I1646" s="180">
        <f ca="1">COUNTIFS(Paste_Report_Here!$E$1:$E$2000,E1634, OFFSET(Paste_Report_Here!$A$1,0,$A1646,2000,1),I$75)</f>
        <v>4</v>
      </c>
      <c r="J1646" s="180">
        <f ca="1">COUNTIFS(Paste_Report_Here!$E$1:$E$2000,E1634, OFFSET(Paste_Report_Here!$A$1,0,$A1646,2000,1),J$75)</f>
        <v>0</v>
      </c>
      <c r="K1646" s="181">
        <f ca="1">COUNTIFS(Paste_Report_Here!$E$1:$E$2000,E1634, OFFSET(Paste_Report_Here!$A$1,0,$A1646,2000,1),K$75)</f>
        <v>0</v>
      </c>
      <c r="L1646" s="166">
        <f t="shared" ca="1" si="246"/>
        <v>23</v>
      </c>
      <c r="M1646" s="183">
        <f ca="1">SUMPRODUCT(F1646:K1646,F1638:K1638)/L:L</f>
        <v>-8.6956521739130436E-3</v>
      </c>
      <c r="N1646" s="166">
        <f t="shared" ca="1" si="247"/>
        <v>0.99134204566122985</v>
      </c>
      <c r="O1646" s="247">
        <f t="shared" ca="1" si="249"/>
        <v>2489.5177676889084</v>
      </c>
      <c r="P1646" s="247">
        <f t="shared" ca="1" si="248"/>
        <v>2467.963636530701</v>
      </c>
    </row>
    <row r="1647" spans="1:16" s="247" customFormat="1" x14ac:dyDescent="0.3">
      <c r="A1647" s="247">
        <f>MATCH(Calcs!B1647,Paste_Report_Here!$1:$1,0) -1</f>
        <v>12</v>
      </c>
      <c r="B1647" s="247" t="s">
        <v>130</v>
      </c>
      <c r="C1647" s="166">
        <f ca="1">RANK(N1647,N1640:N1664)</f>
        <v>19</v>
      </c>
      <c r="D1647" s="166">
        <f ca="1">RANK(P1647,P1640:P1664)</f>
        <v>9</v>
      </c>
      <c r="E1647" s="189" t="s">
        <v>159</v>
      </c>
      <c r="F1647" s="179">
        <f ca="1">COUNTIFS(Paste_Report_Here!$E$1:$E$2000,E1634, OFFSET(Paste_Report_Here!$A$1,0,$A1647,2000,1),F$75)</f>
        <v>1</v>
      </c>
      <c r="G1647" s="180">
        <f ca="1">COUNTIFS(Paste_Report_Here!$E$1:$E$2000,E1634, OFFSET(Paste_Report_Here!$A$1,0,$A1647,2000,1),G$75)</f>
        <v>0</v>
      </c>
      <c r="H1647" s="180">
        <f ca="1">COUNTIFS(Paste_Report_Here!$E$1:$E$2000,E1634, OFFSET(Paste_Report_Here!$A$1,0,$A1647,2000,1),H$75)</f>
        <v>17</v>
      </c>
      <c r="I1647" s="180">
        <f ca="1">COUNTIFS(Paste_Report_Here!$E$1:$E$2000,E1634, OFFSET(Paste_Report_Here!$A$1,0,$A1647,2000,1),I$75)</f>
        <v>5</v>
      </c>
      <c r="J1647" s="180">
        <f ca="1">COUNTIFS(Paste_Report_Here!$E$1:$E$2000,E1634, OFFSET(Paste_Report_Here!$A$1,0,$A1647,2000,1),J$75)</f>
        <v>0</v>
      </c>
      <c r="K1647" s="181">
        <f ca="1">COUNTIFS(Paste_Report_Here!$E$1:$E$2000,E1634, OFFSET(Paste_Report_Here!$A$1,0,$A1647,2000,1),K$75)</f>
        <v>0</v>
      </c>
      <c r="L1647" s="166">
        <f t="shared" ca="1" si="246"/>
        <v>23</v>
      </c>
      <c r="M1647" s="183">
        <f ca="1">SUMPRODUCT(F1647:K1647,F1638:K1638)/L:L</f>
        <v>-8.6956521739130436E-3</v>
      </c>
      <c r="N1647" s="166">
        <f t="shared" ca="1" si="247"/>
        <v>0.99134204566122985</v>
      </c>
      <c r="O1647" s="247">
        <f t="shared" ca="1" si="249"/>
        <v>2500.5275840008258</v>
      </c>
      <c r="P1647" s="247">
        <f t="shared" ca="1" si="248"/>
        <v>2478.8781303557112</v>
      </c>
    </row>
    <row r="1648" spans="1:16" s="247" customFormat="1" x14ac:dyDescent="0.3">
      <c r="A1648" s="247">
        <f>MATCH(Calcs!B1648,Paste_Report_Here!$1:$1,0) -1</f>
        <v>13</v>
      </c>
      <c r="B1648" s="247" t="s">
        <v>131</v>
      </c>
      <c r="C1648" s="166">
        <f ca="1">RANK(N1648,N1640:N1664)</f>
        <v>1</v>
      </c>
      <c r="D1648" s="166">
        <f ca="1">RANK(P1648,P1640:P1664)</f>
        <v>2</v>
      </c>
      <c r="E1648" s="189" t="s">
        <v>160</v>
      </c>
      <c r="F1648" s="179">
        <f ca="1">COUNTIFS(Paste_Report_Here!$E$1:$E$2000,E1634, OFFSET(Paste_Report_Here!$A$1,0,$A1648,2000,1),F$75)</f>
        <v>0</v>
      </c>
      <c r="G1648" s="180">
        <f ca="1">COUNTIFS(Paste_Report_Here!$E$1:$E$2000,E1634, OFFSET(Paste_Report_Here!$A$1,0,$A1648,2000,1),G$75)</f>
        <v>1</v>
      </c>
      <c r="H1648" s="180">
        <f ca="1">COUNTIFS(Paste_Report_Here!$E$1:$E$2000,E1634, OFFSET(Paste_Report_Here!$A$1,0,$A1648,2000,1),H$75)</f>
        <v>9</v>
      </c>
      <c r="I1648" s="180">
        <f ca="1">COUNTIFS(Paste_Report_Here!$E$1:$E$2000,E1634, OFFSET(Paste_Report_Here!$A$1,0,$A1648,2000,1),I$75)</f>
        <v>11</v>
      </c>
      <c r="J1648" s="180">
        <f ca="1">COUNTIFS(Paste_Report_Here!$E$1:$E$2000,E1634, OFFSET(Paste_Report_Here!$A$1,0,$A1648,2000,1),J$75)</f>
        <v>2</v>
      </c>
      <c r="K1648" s="181">
        <f ca="1">COUNTIFS(Paste_Report_Here!$E$1:$E$2000,E1634, OFFSET(Paste_Report_Here!$A$1,0,$A1648,2000,1),K$75)</f>
        <v>0</v>
      </c>
      <c r="L1648" s="166">
        <f t="shared" ca="1" si="246"/>
        <v>23</v>
      </c>
      <c r="M1648" s="183">
        <f ca="1">SUMPRODUCT(F1648:K1648,F1638:K1638)/L:L</f>
        <v>1.7391304347826087E-2</v>
      </c>
      <c r="N1648" s="166">
        <f t="shared" ca="1" si="247"/>
        <v>1.0175434135945802</v>
      </c>
      <c r="O1648" s="247">
        <f t="shared" ca="1" si="249"/>
        <v>5141.7005105677372</v>
      </c>
      <c r="P1648" s="247">
        <f t="shared" ca="1" si="248"/>
        <v>5231.9034892040909</v>
      </c>
    </row>
    <row r="1649" spans="1:16" s="247" customFormat="1" x14ac:dyDescent="0.3">
      <c r="A1649" s="247">
        <f>MATCH(Calcs!B1649,Paste_Report_Here!$1:$1,0) -1</f>
        <v>14</v>
      </c>
      <c r="B1649" s="247" t="s">
        <v>132</v>
      </c>
      <c r="C1649" s="166">
        <f ca="1">RANK(N1649,N1640:N1664)</f>
        <v>1</v>
      </c>
      <c r="D1649" s="166">
        <f ca="1">RANK(P1649,P1640:P1664)</f>
        <v>13</v>
      </c>
      <c r="E1649" s="189" t="s">
        <v>161</v>
      </c>
      <c r="F1649" s="179">
        <f ca="1">COUNTIFS(Paste_Report_Here!$E$1:$E$2000,E1634, OFFSET(Paste_Report_Here!$A$1,0,$A1649,2000,1),F$75)</f>
        <v>0</v>
      </c>
      <c r="G1649" s="180">
        <f ca="1">COUNTIFS(Paste_Report_Here!$E$1:$E$2000,E1634, OFFSET(Paste_Report_Here!$A$1,0,$A1649,2000,1),G$75)</f>
        <v>1</v>
      </c>
      <c r="H1649" s="180">
        <f ca="1">COUNTIFS(Paste_Report_Here!$E$1:$E$2000,E1634, OFFSET(Paste_Report_Here!$A$1,0,$A1649,2000,1),H$75)</f>
        <v>17</v>
      </c>
      <c r="I1649" s="180">
        <f ca="1">COUNTIFS(Paste_Report_Here!$E$1:$E$2000,E1634, OFFSET(Paste_Report_Here!$A$1,0,$A1649,2000,1),I$75)</f>
        <v>3</v>
      </c>
      <c r="J1649" s="180">
        <f ca="1">COUNTIFS(Paste_Report_Here!$E$1:$E$2000,E1634, OFFSET(Paste_Report_Here!$A$1,0,$A1649,2000,1),J$75)</f>
        <v>2</v>
      </c>
      <c r="K1649" s="181">
        <f ca="1">COUNTIFS(Paste_Report_Here!$E$1:$E$2000,E1634, OFFSET(Paste_Report_Here!$A$1,0,$A1649,2000,1),K$75)</f>
        <v>0</v>
      </c>
      <c r="L1649" s="166">
        <f t="shared" ca="1" si="246"/>
        <v>23</v>
      </c>
      <c r="M1649" s="183">
        <f ca="1">SUMPRODUCT(F1649:K1649,F1638:K1638)/L:L</f>
        <v>1.7391304347826087E-2</v>
      </c>
      <c r="N1649" s="166">
        <f t="shared" ca="1" si="247"/>
        <v>1.0175434135945802</v>
      </c>
      <c r="O1649" s="247">
        <f t="shared" ca="1" si="249"/>
        <v>2237.6279860133718</v>
      </c>
      <c r="P1649" s="247">
        <f t="shared" ca="1" si="248"/>
        <v>2276.8836192428121</v>
      </c>
    </row>
    <row r="1650" spans="1:16" s="247" customFormat="1" x14ac:dyDescent="0.3">
      <c r="A1650" s="247">
        <f>MATCH(Calcs!B1650,Paste_Report_Here!$1:$1,0) -1</f>
        <v>15</v>
      </c>
      <c r="B1650" s="247" t="s">
        <v>133</v>
      </c>
      <c r="C1650" s="166">
        <f ca="1">RANK(N1650,N1640:N1664)</f>
        <v>7</v>
      </c>
      <c r="D1650" s="166">
        <f ca="1">RANK(P1650,P1640:P1664)</f>
        <v>6</v>
      </c>
      <c r="E1650" s="189" t="s">
        <v>162</v>
      </c>
      <c r="F1650" s="179">
        <f ca="1">COUNTIFS(Paste_Report_Here!$E$1:$E$2000,E1634, OFFSET(Paste_Report_Here!$A$1,0,$A1650,2000,1),F$75)</f>
        <v>0</v>
      </c>
      <c r="G1650" s="180">
        <f ca="1">COUNTIFS(Paste_Report_Here!$E$1:$E$2000,E1634, OFFSET(Paste_Report_Here!$A$1,0,$A1650,2000,1),G$75)</f>
        <v>1</v>
      </c>
      <c r="H1650" s="180">
        <f ca="1">COUNTIFS(Paste_Report_Here!$E$1:$E$2000,E1634, OFFSET(Paste_Report_Here!$A$1,0,$A1650,2000,1),H$75)</f>
        <v>16</v>
      </c>
      <c r="I1650" s="180">
        <f ca="1">COUNTIFS(Paste_Report_Here!$E$1:$E$2000,E1634, OFFSET(Paste_Report_Here!$A$1,0,$A1650,2000,1),I$75)</f>
        <v>6</v>
      </c>
      <c r="J1650" s="180">
        <f ca="1">COUNTIFS(Paste_Report_Here!$E$1:$E$2000,E1634, OFFSET(Paste_Report_Here!$A$1,0,$A1650,2000,1),J$75)</f>
        <v>0</v>
      </c>
      <c r="K1650" s="181">
        <f ca="1">COUNTIFS(Paste_Report_Here!$E$1:$E$2000,E1634, OFFSET(Paste_Report_Here!$A$1,0,$A1650,2000,1),K$75)</f>
        <v>0</v>
      </c>
      <c r="L1650" s="166">
        <f t="shared" ca="1" si="246"/>
        <v>23</v>
      </c>
      <c r="M1650" s="183">
        <f ca="1">SUMPRODUCT(F1650:K1650,F1638:K1638)/L:L</f>
        <v>0</v>
      </c>
      <c r="N1650" s="166">
        <f t="shared" ca="1" si="247"/>
        <v>1</v>
      </c>
      <c r="O1650" s="247">
        <f t="shared" ca="1" si="249"/>
        <v>3326.8986716940803</v>
      </c>
      <c r="P1650" s="247">
        <f t="shared" ca="1" si="248"/>
        <v>3326.8986716940803</v>
      </c>
    </row>
    <row r="1651" spans="1:16" s="247" customFormat="1" x14ac:dyDescent="0.3">
      <c r="A1651" s="247">
        <f>MATCH(Calcs!B1651,Paste_Report_Here!$1:$1,0) -1</f>
        <v>16</v>
      </c>
      <c r="B1651" s="247" t="s">
        <v>134</v>
      </c>
      <c r="C1651" s="166">
        <f ca="1">RANK(N1651,N1640:N1664)</f>
        <v>7</v>
      </c>
      <c r="D1651" s="166">
        <f ca="1">RANK(P1651,P1640:P1664)</f>
        <v>24</v>
      </c>
      <c r="E1651" s="189" t="s">
        <v>163</v>
      </c>
      <c r="F1651" s="179">
        <f ca="1">COUNTIFS(Paste_Report_Here!$E$1:$E$2000,E1634, OFFSET(Paste_Report_Here!$A$1,0,$A1651,2000,1),F$75)</f>
        <v>0</v>
      </c>
      <c r="G1651" s="180">
        <f ca="1">COUNTIFS(Paste_Report_Here!$E$1:$E$2000,E1634, OFFSET(Paste_Report_Here!$A$1,0,$A1651,2000,1),G$75)</f>
        <v>3</v>
      </c>
      <c r="H1651" s="180">
        <f ca="1">COUNTIFS(Paste_Report_Here!$E$1:$E$2000,E1634, OFFSET(Paste_Report_Here!$A$1,0,$A1651,2000,1),H$75)</f>
        <v>18</v>
      </c>
      <c r="I1651" s="180">
        <f ca="1">COUNTIFS(Paste_Report_Here!$E$1:$E$2000,E1634, OFFSET(Paste_Report_Here!$A$1,0,$A1651,2000,1),I$75)</f>
        <v>2</v>
      </c>
      <c r="J1651" s="180">
        <f ca="1">COUNTIFS(Paste_Report_Here!$E$1:$E$2000,E1634, OFFSET(Paste_Report_Here!$A$1,0,$A1651,2000,1),J$75)</f>
        <v>0</v>
      </c>
      <c r="K1651" s="181">
        <f ca="1">COUNTIFS(Paste_Report_Here!$E$1:$E$2000,E1634, OFFSET(Paste_Report_Here!$A$1,0,$A1651,2000,1),K$75)</f>
        <v>0</v>
      </c>
      <c r="L1651" s="166">
        <f t="shared" ca="1" si="246"/>
        <v>23</v>
      </c>
      <c r="M1651" s="183">
        <f ca="1">SUMPRODUCT(F1651:K1651,F1638:K1638)/L:L</f>
        <v>0</v>
      </c>
      <c r="N1651" s="166">
        <f t="shared" ca="1" si="247"/>
        <v>1</v>
      </c>
      <c r="O1651" s="247">
        <f t="shared" ca="1" si="249"/>
        <v>1145.7546405911432</v>
      </c>
      <c r="P1651" s="247">
        <f t="shared" ca="1" si="248"/>
        <v>1145.7546405911432</v>
      </c>
    </row>
    <row r="1652" spans="1:16" s="247" customFormat="1" x14ac:dyDescent="0.3">
      <c r="A1652" s="247">
        <f>MATCH(Calcs!B1652,Paste_Report_Here!$1:$1,0) -1</f>
        <v>17</v>
      </c>
      <c r="B1652" s="247" t="s">
        <v>135</v>
      </c>
      <c r="C1652" s="166">
        <f ca="1">RANK(N1652,N1640:N1664)</f>
        <v>7</v>
      </c>
      <c r="D1652" s="166">
        <f ca="1">RANK(P1652,P1640:P1664)</f>
        <v>19</v>
      </c>
      <c r="E1652" s="189" t="s">
        <v>164</v>
      </c>
      <c r="F1652" s="179">
        <f ca="1">COUNTIFS(Paste_Report_Here!$E$1:$E$2000,E1634, OFFSET(Paste_Report_Here!$A$1,0,$A1652,2000,1),F$75)</f>
        <v>0</v>
      </c>
      <c r="G1652" s="180">
        <f ca="1">COUNTIFS(Paste_Report_Here!$E$1:$E$2000,E1634, OFFSET(Paste_Report_Here!$A$1,0,$A1652,2000,1),G$75)</f>
        <v>1</v>
      </c>
      <c r="H1652" s="180">
        <f ca="1">COUNTIFS(Paste_Report_Here!$E$1:$E$2000,E1634, OFFSET(Paste_Report_Here!$A$1,0,$A1652,2000,1),H$75)</f>
        <v>18</v>
      </c>
      <c r="I1652" s="180">
        <f ca="1">COUNTIFS(Paste_Report_Here!$E$1:$E$2000,E1634, OFFSET(Paste_Report_Here!$A$1,0,$A1652,2000,1),I$75)</f>
        <v>4</v>
      </c>
      <c r="J1652" s="180">
        <f ca="1">COUNTIFS(Paste_Report_Here!$E$1:$E$2000,E1634, OFFSET(Paste_Report_Here!$A$1,0,$A1652,2000,1),J$75)</f>
        <v>0</v>
      </c>
      <c r="K1652" s="181">
        <f ca="1">COUNTIFS(Paste_Report_Here!$E$1:$E$2000,E1634, OFFSET(Paste_Report_Here!$A$1,0,$A1652,2000,1),K$75)</f>
        <v>0</v>
      </c>
      <c r="L1652" s="166">
        <f t="shared" ca="1" si="246"/>
        <v>23</v>
      </c>
      <c r="M1652" s="183">
        <f ca="1">SUMPRODUCT(F1652:K1652,F1638:K1638)/L:L</f>
        <v>0</v>
      </c>
      <c r="N1652" s="166">
        <f t="shared" ca="1" si="247"/>
        <v>1</v>
      </c>
      <c r="O1652" s="247">
        <f t="shared" ca="1" si="249"/>
        <v>1895.9579031230744</v>
      </c>
      <c r="P1652" s="247">
        <f t="shared" ca="1" si="248"/>
        <v>1895.9579031230744</v>
      </c>
    </row>
    <row r="1653" spans="1:16" s="247" customFormat="1" x14ac:dyDescent="0.3">
      <c r="A1653" s="247">
        <f>MATCH(Calcs!B1653,Paste_Report_Here!$1:$1,0) -1</f>
        <v>18</v>
      </c>
      <c r="B1653" s="247" t="s">
        <v>136</v>
      </c>
      <c r="C1653" s="166">
        <f ca="1">RANK(N1653,N1640:N1664)</f>
        <v>4</v>
      </c>
      <c r="D1653" s="166">
        <f ca="1">RANK(P1653,P1640:P1664)</f>
        <v>4</v>
      </c>
      <c r="E1653" s="189" t="s">
        <v>165</v>
      </c>
      <c r="F1653" s="179">
        <f ca="1">COUNTIFS(Paste_Report_Here!$E$1:$E$2000,E1634, OFFSET(Paste_Report_Here!$A$1,0,$A1653,2000,1),F$75)</f>
        <v>0</v>
      </c>
      <c r="G1653" s="180">
        <f ca="1">COUNTIFS(Paste_Report_Here!$E$1:$E$2000,E1634, OFFSET(Paste_Report_Here!$A$1,0,$A1653,2000,1),G$75)</f>
        <v>1</v>
      </c>
      <c r="H1653" s="180">
        <f ca="1">COUNTIFS(Paste_Report_Here!$E$1:$E$2000,E1634, OFFSET(Paste_Report_Here!$A$1,0,$A1653,2000,1),H$75)</f>
        <v>14</v>
      </c>
      <c r="I1653" s="180">
        <f ca="1">COUNTIFS(Paste_Report_Here!$E$1:$E$2000,E1634, OFFSET(Paste_Report_Here!$A$1,0,$A1653,2000,1),I$75)</f>
        <v>7</v>
      </c>
      <c r="J1653" s="180">
        <f ca="1">COUNTIFS(Paste_Report_Here!$E$1:$E$2000,E1634, OFFSET(Paste_Report_Here!$A$1,0,$A1653,2000,1),J$75)</f>
        <v>1</v>
      </c>
      <c r="K1653" s="181">
        <f ca="1">COUNTIFS(Paste_Report_Here!$E$1:$E$2000,E1634, OFFSET(Paste_Report_Here!$A$1,0,$A1653,2000,1),K$75)</f>
        <v>0</v>
      </c>
      <c r="L1653" s="166">
        <f t="shared" ca="1" si="246"/>
        <v>23</v>
      </c>
      <c r="M1653" s="183">
        <f ca="1">SUMPRODUCT(F1653:K1653,F1638:K1638)/L:L</f>
        <v>8.6956521739130436E-3</v>
      </c>
      <c r="N1653" s="166">
        <f t="shared" ca="1" si="247"/>
        <v>1.0087335691819621</v>
      </c>
      <c r="O1653" s="247">
        <f t="shared" ca="1" si="249"/>
        <v>4205.982264718763</v>
      </c>
      <c r="P1653" s="247">
        <f t="shared" ca="1" si="248"/>
        <v>4242.7155018057902</v>
      </c>
    </row>
    <row r="1654" spans="1:16" s="247" customFormat="1" x14ac:dyDescent="0.3">
      <c r="A1654" s="247">
        <f>MATCH(Calcs!B1654,Paste_Report_Here!$1:$1,0) -1</f>
        <v>19</v>
      </c>
      <c r="B1654" s="247" t="s">
        <v>137</v>
      </c>
      <c r="C1654" s="166">
        <f ca="1">RANK(N1654,N1640:N1664)</f>
        <v>7</v>
      </c>
      <c r="D1654" s="166">
        <f ca="1">RANK(P1654,P1640:P1664)</f>
        <v>14</v>
      </c>
      <c r="E1654" s="189" t="s">
        <v>166</v>
      </c>
      <c r="F1654" s="179">
        <f ca="1">COUNTIFS(Paste_Report_Here!$E$1:$E$2000,E1634, OFFSET(Paste_Report_Here!$A$1,0,$A1654,2000,1),F$75)</f>
        <v>0</v>
      </c>
      <c r="G1654" s="180">
        <f ca="1">COUNTIFS(Paste_Report_Here!$E$1:$E$2000,E1634, OFFSET(Paste_Report_Here!$A$1,0,$A1654,2000,1),G$75)</f>
        <v>2</v>
      </c>
      <c r="H1654" s="180">
        <f ca="1">COUNTIFS(Paste_Report_Here!$E$1:$E$2000,E1634, OFFSET(Paste_Report_Here!$A$1,0,$A1654,2000,1),H$75)</f>
        <v>17</v>
      </c>
      <c r="I1654" s="180">
        <f ca="1">COUNTIFS(Paste_Report_Here!$E$1:$E$2000,E1634, OFFSET(Paste_Report_Here!$A$1,0,$A1654,2000,1),I$75)</f>
        <v>4</v>
      </c>
      <c r="J1654" s="180">
        <f ca="1">COUNTIFS(Paste_Report_Here!$E$1:$E$2000,E1634, OFFSET(Paste_Report_Here!$A$1,0,$A1654,2000,1),J$75)</f>
        <v>0</v>
      </c>
      <c r="K1654" s="181">
        <f ca="1">COUNTIFS(Paste_Report_Here!$E$1:$E$2000,E1634, OFFSET(Paste_Report_Here!$A$1,0,$A1654,2000,1),K$75)</f>
        <v>0</v>
      </c>
      <c r="L1654" s="166">
        <f t="shared" ca="1" si="246"/>
        <v>23</v>
      </c>
      <c r="M1654" s="183">
        <f ca="1">SUMPRODUCT(F1654:K1654,F1638:K1638)/L:L</f>
        <v>0</v>
      </c>
      <c r="N1654" s="166">
        <f t="shared" ca="1" si="247"/>
        <v>1</v>
      </c>
      <c r="O1654" s="247">
        <f t="shared" ca="1" si="249"/>
        <v>2243.7739419386153</v>
      </c>
      <c r="P1654" s="247">
        <f t="shared" ca="1" si="248"/>
        <v>2243.7739419386153</v>
      </c>
    </row>
    <row r="1655" spans="1:16" s="247" customFormat="1" x14ac:dyDescent="0.3">
      <c r="A1655" s="247">
        <f>MATCH(Calcs!B1655,Paste_Report_Here!$1:$1,0) -1</f>
        <v>20</v>
      </c>
      <c r="B1655" s="247" t="s">
        <v>138</v>
      </c>
      <c r="C1655" s="166">
        <f ca="1">RANK(N1655,N1640:N1664)</f>
        <v>19</v>
      </c>
      <c r="D1655" s="166">
        <f ca="1">RANK(P1655,P1640:P1664)</f>
        <v>20</v>
      </c>
      <c r="E1655" s="189" t="s">
        <v>167</v>
      </c>
      <c r="F1655" s="179">
        <f ca="1">COUNTIFS(Paste_Report_Here!$E$1:$E$2000,E1634, OFFSET(Paste_Report_Here!$A$1,0,$A1655,2000,1),F$75)</f>
        <v>1</v>
      </c>
      <c r="G1655" s="180">
        <f ca="1">COUNTIFS(Paste_Report_Here!$E$1:$E$2000,E1634, OFFSET(Paste_Report_Here!$A$1,0,$A1655,2000,1),G$75)</f>
        <v>0</v>
      </c>
      <c r="H1655" s="180">
        <f ca="1">COUNTIFS(Paste_Report_Here!$E$1:$E$2000,E1634, OFFSET(Paste_Report_Here!$A$1,0,$A1655,2000,1),H$75)</f>
        <v>15</v>
      </c>
      <c r="I1655" s="180">
        <f ca="1">COUNTIFS(Paste_Report_Here!$E$1:$E$2000,E1634, OFFSET(Paste_Report_Here!$A$1,0,$A1655,2000,1),I$75)</f>
        <v>7</v>
      </c>
      <c r="J1655" s="180">
        <f ca="1">COUNTIFS(Paste_Report_Here!$E$1:$E$2000,E1634, OFFSET(Paste_Report_Here!$A$1,0,$A1655,2000,1),J$75)</f>
        <v>0</v>
      </c>
      <c r="K1655" s="181">
        <f ca="1">COUNTIFS(Paste_Report_Here!$E$1:$E$2000,E1634, OFFSET(Paste_Report_Here!$A$1,0,$A1655,2000,1),K$75)</f>
        <v>0</v>
      </c>
      <c r="L1655" s="166">
        <f t="shared" ca="1" si="246"/>
        <v>23</v>
      </c>
      <c r="M1655" s="183">
        <f ca="1">SUMPRODUCT(F1655:K1655,F1638:K1638)/L:L</f>
        <v>-8.6956521739130436E-3</v>
      </c>
      <c r="N1655" s="166">
        <f t="shared" ca="1" si="247"/>
        <v>0.99134204566122985</v>
      </c>
      <c r="O1655" s="247">
        <f t="shared" ca="1" si="249"/>
        <v>1865.0626170522992</v>
      </c>
      <c r="P1655" s="247">
        <f t="shared" ca="1" si="248"/>
        <v>1848.9149900749132</v>
      </c>
    </row>
    <row r="1656" spans="1:16" s="247" customFormat="1" x14ac:dyDescent="0.3">
      <c r="A1656" s="247">
        <f>MATCH(Calcs!B1656,Paste_Report_Here!$1:$1,0) -1</f>
        <v>21</v>
      </c>
      <c r="B1656" s="247" t="s">
        <v>139</v>
      </c>
      <c r="C1656" s="166">
        <f ca="1">RANK(N1656,N1640:N1664)</f>
        <v>19</v>
      </c>
      <c r="D1656" s="166">
        <f ca="1">RANK(P1656,P1640:P1664)</f>
        <v>18</v>
      </c>
      <c r="E1656" s="189" t="s">
        <v>168</v>
      </c>
      <c r="F1656" s="179">
        <f ca="1">COUNTIFS(Paste_Report_Here!$E$1:$E$2000,E1634, OFFSET(Paste_Report_Here!$A$1,0,$A1656,2000,1),F$75)</f>
        <v>1</v>
      </c>
      <c r="G1656" s="180">
        <f ca="1">COUNTIFS(Paste_Report_Here!$E$1:$E$2000,E1634, OFFSET(Paste_Report_Here!$A$1,0,$A1656,2000,1),G$75)</f>
        <v>0</v>
      </c>
      <c r="H1656" s="180">
        <f ca="1">COUNTIFS(Paste_Report_Here!$E$1:$E$2000,E1634, OFFSET(Paste_Report_Here!$A$1,0,$A1656,2000,1),H$75)</f>
        <v>16</v>
      </c>
      <c r="I1656" s="180">
        <f ca="1">COUNTIFS(Paste_Report_Here!$E$1:$E$2000,E1634, OFFSET(Paste_Report_Here!$A$1,0,$A1656,2000,1),I$75)</f>
        <v>6</v>
      </c>
      <c r="J1656" s="180">
        <f ca="1">COUNTIFS(Paste_Report_Here!$E$1:$E$2000,E1634, OFFSET(Paste_Report_Here!$A$1,0,$A1656,2000,1),J$75)</f>
        <v>0</v>
      </c>
      <c r="K1656" s="181">
        <f ca="1">COUNTIFS(Paste_Report_Here!$E$1:$E$2000,E1634, OFFSET(Paste_Report_Here!$A$1,0,$A1656,2000,1),K$75)</f>
        <v>0</v>
      </c>
      <c r="L1656" s="166">
        <f t="shared" ca="1" si="246"/>
        <v>23</v>
      </c>
      <c r="M1656" s="183">
        <f ca="1">SUMPRODUCT(F1656:K1656,F1638:K1638)/L:L</f>
        <v>-8.6956521739130436E-3</v>
      </c>
      <c r="N1656" s="166">
        <f t="shared" ca="1" si="247"/>
        <v>0.99134204566122985</v>
      </c>
      <c r="O1656" s="247">
        <f t="shared" ca="1" si="249"/>
        <v>2015.9352218374052</v>
      </c>
      <c r="P1656" s="247">
        <f t="shared" ca="1" si="248"/>
        <v>1998.4813467368185</v>
      </c>
    </row>
    <row r="1657" spans="1:16" s="247" customFormat="1" x14ac:dyDescent="0.3">
      <c r="A1657" s="247">
        <f>MATCH(Calcs!B1657,Paste_Report_Here!$1:$1,0) -1</f>
        <v>22</v>
      </c>
      <c r="B1657" s="247" t="s">
        <v>140</v>
      </c>
      <c r="C1657" s="166">
        <f ca="1">RANK(N1657,N1640:N1664)</f>
        <v>4</v>
      </c>
      <c r="D1657" s="166">
        <f ca="1">RANK(P1657,P1640:P1664)</f>
        <v>16</v>
      </c>
      <c r="E1657" s="189" t="s">
        <v>169</v>
      </c>
      <c r="F1657" s="179">
        <f ca="1">COUNTIFS(Paste_Report_Here!$E$1:$E$2000,E1634, OFFSET(Paste_Report_Here!$A$1,0,$A1657,2000,1),F$75)</f>
        <v>0</v>
      </c>
      <c r="G1657" s="180">
        <f ca="1">COUNTIFS(Paste_Report_Here!$E$1:$E$2000,E1634, OFFSET(Paste_Report_Here!$A$1,0,$A1657,2000,1),G$75)</f>
        <v>2</v>
      </c>
      <c r="H1657" s="180">
        <f ca="1">COUNTIFS(Paste_Report_Here!$E$1:$E$2000,E1634, OFFSET(Paste_Report_Here!$A$1,0,$A1657,2000,1),H$75)</f>
        <v>15</v>
      </c>
      <c r="I1657" s="180">
        <f ca="1">COUNTIFS(Paste_Report_Here!$E$1:$E$2000,E1634, OFFSET(Paste_Report_Here!$A$1,0,$A1657,2000,1),I$75)</f>
        <v>5</v>
      </c>
      <c r="J1657" s="180">
        <f ca="1">COUNTIFS(Paste_Report_Here!$E$1:$E$2000,E1634, OFFSET(Paste_Report_Here!$A$1,0,$A1657,2000,1),J$75)</f>
        <v>1</v>
      </c>
      <c r="K1657" s="181">
        <f ca="1">COUNTIFS(Paste_Report_Here!$E$1:$E$2000,E1634, OFFSET(Paste_Report_Here!$A$1,0,$A1657,2000,1),K$75)</f>
        <v>0</v>
      </c>
      <c r="L1657" s="166">
        <f t="shared" ca="1" si="246"/>
        <v>23</v>
      </c>
      <c r="M1657" s="183">
        <f ca="1">SUMPRODUCT(F1657:K1657,F1638:K1638)/L:L</f>
        <v>8.6956521739130436E-3</v>
      </c>
      <c r="N1657" s="166">
        <f t="shared" ca="1" si="247"/>
        <v>1.0087335691819621</v>
      </c>
      <c r="O1657" s="247">
        <f t="shared" ca="1" si="249"/>
        <v>2169.7812561672599</v>
      </c>
      <c r="P1657" s="247">
        <f t="shared" ca="1" si="248"/>
        <v>2188.7311908777215</v>
      </c>
    </row>
    <row r="1658" spans="1:16" s="247" customFormat="1" x14ac:dyDescent="0.3">
      <c r="A1658" s="247">
        <f>MATCH(Calcs!B1658,Paste_Report_Here!$1:$1,0) -1</f>
        <v>23</v>
      </c>
      <c r="B1658" s="247" t="s">
        <v>186</v>
      </c>
      <c r="C1658" s="166">
        <f ca="1">RANK(N1658,N1640:N1664)</f>
        <v>4</v>
      </c>
      <c r="D1658" s="166">
        <f ca="1">RANK(P1658,P1640:P1664)</f>
        <v>3</v>
      </c>
      <c r="E1658" s="189" t="s">
        <v>180</v>
      </c>
      <c r="F1658" s="179">
        <f ca="1">COUNTIFS(Paste_Report_Here!$E$1:$E$2000,E1634, OFFSET(Paste_Report_Here!$A$1,0,$A1658,2000,1),F$75)</f>
        <v>0</v>
      </c>
      <c r="G1658" s="180">
        <f ca="1">COUNTIFS(Paste_Report_Here!$E$1:$E$2000,E1634, OFFSET(Paste_Report_Here!$A$1,0,$A1658,2000,1),G$75)</f>
        <v>1</v>
      </c>
      <c r="H1658" s="180">
        <f ca="1">COUNTIFS(Paste_Report_Here!$E$1:$E$2000,E1634, OFFSET(Paste_Report_Here!$A$1,0,$A1658,2000,1),H$75)</f>
        <v>13</v>
      </c>
      <c r="I1658" s="180">
        <f ca="1">COUNTIFS(Paste_Report_Here!$E$1:$E$2000,E1634, OFFSET(Paste_Report_Here!$A$1,0,$A1658,2000,1),I$75)</f>
        <v>8</v>
      </c>
      <c r="J1658" s="180">
        <f ca="1">COUNTIFS(Paste_Report_Here!$E$1:$E$2000,E1634, OFFSET(Paste_Report_Here!$A$1,0,$A1658,2000,1),J$75)</f>
        <v>1</v>
      </c>
      <c r="K1658" s="181">
        <f ca="1">COUNTIFS(Paste_Report_Here!$E$1:$E$2000,E1634, OFFSET(Paste_Report_Here!$A$1,0,$A1658,2000,1),K$75)</f>
        <v>0</v>
      </c>
      <c r="L1658" s="166">
        <f t="shared" ca="1" si="246"/>
        <v>23</v>
      </c>
      <c r="M1658" s="183">
        <f ca="1">SUMPRODUCT(F1658:K1658,F1638:K1638)/L:L</f>
        <v>8.6956521739130436E-3</v>
      </c>
      <c r="N1658" s="166">
        <f t="shared" ca="1" si="247"/>
        <v>1.0087335691819621</v>
      </c>
      <c r="O1658" s="247">
        <f t="shared" ca="1" si="249"/>
        <v>4436.3529702277119</v>
      </c>
      <c r="P1658" s="247">
        <f t="shared" ca="1" si="248"/>
        <v>4475.0981658087985</v>
      </c>
    </row>
    <row r="1659" spans="1:16" s="247" customFormat="1" x14ac:dyDescent="0.3">
      <c r="A1659" s="247">
        <f>MATCH(Calcs!B1659,Paste_Report_Here!$1:$1,0) -1</f>
        <v>24</v>
      </c>
      <c r="B1659" s="247" t="s">
        <v>209</v>
      </c>
      <c r="C1659" s="166">
        <f ca="1">RANK(N1659,N1640:N1664)</f>
        <v>7</v>
      </c>
      <c r="D1659" s="166">
        <f ca="1">RANK(P1659,P1640:P1664)</f>
        <v>23</v>
      </c>
      <c r="E1659" s="202" t="s">
        <v>211</v>
      </c>
      <c r="F1659" s="179">
        <f ca="1">COUNTIFS(Paste_Report_Here!$E$1:$E$2000,E1634, OFFSET(Paste_Report_Here!$A$1,0,$A1659,2000,1),F$75)</f>
        <v>0</v>
      </c>
      <c r="G1659" s="180">
        <f ca="1">COUNTIFS(Paste_Report_Here!$E$1:$E$2000,E1634, OFFSET(Paste_Report_Here!$A$1,0,$A1659,2000,1),G$75)</f>
        <v>2</v>
      </c>
      <c r="H1659" s="180">
        <f ca="1">COUNTIFS(Paste_Report_Here!$E$1:$E$2000,E1634, OFFSET(Paste_Report_Here!$A$1,0,$A1659,2000,1),H$75)</f>
        <v>19</v>
      </c>
      <c r="I1659" s="180">
        <f ca="1">COUNTIFS(Paste_Report_Here!$E$1:$E$2000,E1634, OFFSET(Paste_Report_Here!$A$1,0,$A1659,2000,1),I$75)</f>
        <v>2</v>
      </c>
      <c r="J1659" s="180">
        <f ca="1">COUNTIFS(Paste_Report_Here!$E$1:$E$2000,E1634, OFFSET(Paste_Report_Here!$A$1,0,$A1659,2000,1),J$75)</f>
        <v>0</v>
      </c>
      <c r="K1659" s="181">
        <f ca="1">COUNTIFS(Paste_Report_Here!$E$1:$E$2000,E1634, OFFSET(Paste_Report_Here!$A$1,0,$A1659,2000,1),K$75)</f>
        <v>0</v>
      </c>
      <c r="L1659" s="166">
        <f t="shared" ca="1" si="246"/>
        <v>23</v>
      </c>
      <c r="M1659" s="183">
        <f ca="1">SUMPRODUCT(F1659:K1659,F1638:K1638)/L:L</f>
        <v>0</v>
      </c>
      <c r="N1659" s="166">
        <f t="shared" ca="1" si="247"/>
        <v>1</v>
      </c>
      <c r="O1659" s="247">
        <f t="shared" ca="1" si="249"/>
        <v>1252.2478137480582</v>
      </c>
      <c r="P1659" s="247">
        <f t="shared" ca="1" si="248"/>
        <v>1252.2478137480582</v>
      </c>
    </row>
    <row r="1660" spans="1:16" s="247" customFormat="1" x14ac:dyDescent="0.3">
      <c r="A1660" s="247">
        <f>MATCH(Calcs!B1660,Paste_Report_Here!$1:$1,0) -1</f>
        <v>25</v>
      </c>
      <c r="B1660" s="247" t="s">
        <v>141</v>
      </c>
      <c r="C1660" s="166">
        <f ca="1">RANK(N1660,N1640:N1664)</f>
        <v>19</v>
      </c>
      <c r="D1660" s="166">
        <f ca="1">RANK(P1660,P1640:P1664)</f>
        <v>22</v>
      </c>
      <c r="E1660" s="189" t="s">
        <v>170</v>
      </c>
      <c r="F1660" s="179">
        <f ca="1">COUNTIFS(Paste_Report_Here!$E$1:$E$2000,E1634, OFFSET(Paste_Report_Here!$A$1,0,$A1660,2000,1),F$75)</f>
        <v>1</v>
      </c>
      <c r="G1660" s="180">
        <f ca="1">COUNTIFS(Paste_Report_Here!$E$1:$E$2000,E1634, OFFSET(Paste_Report_Here!$A$1,0,$A1660,2000,1),G$75)</f>
        <v>1</v>
      </c>
      <c r="H1660" s="180">
        <f ca="1">COUNTIFS(Paste_Report_Here!$E$1:$E$2000,E1634, OFFSET(Paste_Report_Here!$A$1,0,$A1660,2000,1),H$75)</f>
        <v>20</v>
      </c>
      <c r="I1660" s="180">
        <f ca="1">COUNTIFS(Paste_Report_Here!$E$1:$E$2000,E1634, OFFSET(Paste_Report_Here!$A$1,0,$A1660,2000,1),I$75)</f>
        <v>1</v>
      </c>
      <c r="J1660" s="180">
        <f ca="1">COUNTIFS(Paste_Report_Here!$E$1:$E$2000,E1634, OFFSET(Paste_Report_Here!$A$1,0,$A1660,2000,1),J$75)</f>
        <v>0</v>
      </c>
      <c r="K1660" s="181">
        <f ca="1">COUNTIFS(Paste_Report_Here!$E$1:$E$2000,E1634, OFFSET(Paste_Report_Here!$A$1,0,$A1660,2000,1),K$75)</f>
        <v>0</v>
      </c>
      <c r="L1660" s="166">
        <f t="shared" ca="1" si="246"/>
        <v>23</v>
      </c>
      <c r="M1660" s="183">
        <f ca="1">SUMPRODUCT(F1660:K1660,F1638:K1638)/L:L</f>
        <v>-8.6956521739130436E-3</v>
      </c>
      <c r="N1660" s="166">
        <f t="shared" ca="1" si="247"/>
        <v>0.99134204566122985</v>
      </c>
      <c r="O1660" s="247">
        <f t="shared" ca="1" si="249"/>
        <v>1351.2553612215518</v>
      </c>
      <c r="P1660" s="247">
        <f t="shared" ca="1" si="248"/>
        <v>1339.5562540040771</v>
      </c>
    </row>
    <row r="1661" spans="1:16" s="247" customFormat="1" x14ac:dyDescent="0.3">
      <c r="A1661" s="247">
        <f>MATCH(Calcs!B1661,Paste_Report_Here!$1:$1,0) -1</f>
        <v>26</v>
      </c>
      <c r="B1661" s="247" t="s">
        <v>142</v>
      </c>
      <c r="C1661" s="166">
        <f ca="1">RANK(N1661,N1640:N1664)</f>
        <v>19</v>
      </c>
      <c r="D1661" s="166">
        <f ca="1">RANK(P1661,P1640:P1664)</f>
        <v>12</v>
      </c>
      <c r="E1661" s="189" t="s">
        <v>171</v>
      </c>
      <c r="F1661" s="179">
        <f ca="1">COUNTIFS(Paste_Report_Here!$E$1:$E$2000,E1634, OFFSET(Paste_Report_Here!$A$1,0,$A1661,2000,1),F$75)</f>
        <v>1</v>
      </c>
      <c r="G1661" s="180">
        <f ca="1">COUNTIFS(Paste_Report_Here!$E$1:$E$2000,E1634, OFFSET(Paste_Report_Here!$A$1,0,$A1661,2000,1),G$75)</f>
        <v>0</v>
      </c>
      <c r="H1661" s="180">
        <f ca="1">COUNTIFS(Paste_Report_Here!$E$1:$E$2000,E1634, OFFSET(Paste_Report_Here!$A$1,0,$A1661,2000,1),H$75)</f>
        <v>22</v>
      </c>
      <c r="I1661" s="180">
        <f ca="1">COUNTIFS(Paste_Report_Here!$E$1:$E$2000,E1634, OFFSET(Paste_Report_Here!$A$1,0,$A1661,2000,1),I$75)</f>
        <v>0</v>
      </c>
      <c r="J1661" s="180">
        <f ca="1">COUNTIFS(Paste_Report_Here!$E$1:$E$2000,E1634, OFFSET(Paste_Report_Here!$A$1,0,$A1661,2000,1),J$75)</f>
        <v>0</v>
      </c>
      <c r="K1661" s="181">
        <f ca="1">COUNTIFS(Paste_Report_Here!$E$1:$E$2000,E1634, OFFSET(Paste_Report_Here!$A$1,0,$A1661,2000,1),K$75)</f>
        <v>0</v>
      </c>
      <c r="L1661" s="166">
        <f t="shared" ca="1" si="246"/>
        <v>23</v>
      </c>
      <c r="M1661" s="183">
        <f ca="1">SUMPRODUCT(F1661:K1661,F1638:K1638)/L:L</f>
        <v>-8.6956521739130436E-3</v>
      </c>
      <c r="N1661" s="166">
        <f t="shared" ca="1" si="247"/>
        <v>0.99134204566122985</v>
      </c>
      <c r="O1661" s="247">
        <f t="shared" ca="1" si="249"/>
        <v>2305.4607846781619</v>
      </c>
      <c r="P1661" s="247">
        <f t="shared" ca="1" si="248"/>
        <v>2285.5002104745931</v>
      </c>
    </row>
    <row r="1662" spans="1:16" s="247" customFormat="1" x14ac:dyDescent="0.3">
      <c r="A1662" s="247">
        <f>MATCH(Calcs!B1662,Paste_Report_Here!$1:$1,0) -1</f>
        <v>27</v>
      </c>
      <c r="B1662" s="247" t="s">
        <v>210</v>
      </c>
      <c r="C1662" s="166">
        <f ca="1">RANK(N1662,N1640:N1664)</f>
        <v>7</v>
      </c>
      <c r="D1662" s="166">
        <f ca="1">RANK(P1662,P1640:P1664)</f>
        <v>25</v>
      </c>
      <c r="E1662" s="202" t="s">
        <v>212</v>
      </c>
      <c r="F1662" s="179">
        <f ca="1">COUNTIFS(Paste_Report_Here!$E$1:$E$2000,E1634, OFFSET(Paste_Report_Here!$A$1,0,$A1662,2000,1),F$75)</f>
        <v>0</v>
      </c>
      <c r="G1662" s="180">
        <f ca="1">COUNTIFS(Paste_Report_Here!$E$1:$E$2000,E1634, OFFSET(Paste_Report_Here!$A$1,0,$A1662,2000,1),G$75)</f>
        <v>1</v>
      </c>
      <c r="H1662" s="180">
        <f ca="1">COUNTIFS(Paste_Report_Here!$E$1:$E$2000,E1634, OFFSET(Paste_Report_Here!$A$1,0,$A1662,2000,1),H$75)</f>
        <v>17</v>
      </c>
      <c r="I1662" s="180">
        <f ca="1">COUNTIFS(Paste_Report_Here!$E$1:$E$2000,E1634, OFFSET(Paste_Report_Here!$A$1,0,$A1662,2000,1),I$75)</f>
        <v>5</v>
      </c>
      <c r="J1662" s="180">
        <f ca="1">COUNTIFS(Paste_Report_Here!$E$1:$E$2000,E1634, OFFSET(Paste_Report_Here!$A$1,0,$A1662,2000,1),J$75)</f>
        <v>0</v>
      </c>
      <c r="K1662" s="181">
        <f ca="1">COUNTIFS(Paste_Report_Here!$E$1:$E$2000,E1634, OFFSET(Paste_Report_Here!$A$1,0,$A1662,2000,1),K$75)</f>
        <v>0</v>
      </c>
      <c r="L1662" s="166">
        <f t="shared" ca="1" si="246"/>
        <v>23</v>
      </c>
      <c r="M1662" s="183">
        <f ca="1">SUMPRODUCT(F1662:K1662,F1638:K1638)/L:L</f>
        <v>0</v>
      </c>
      <c r="N1662" s="166">
        <f t="shared" ca="1" si="247"/>
        <v>1</v>
      </c>
      <c r="O1662" s="247">
        <f t="shared" ca="1" si="249"/>
        <v>1143.6699917353874</v>
      </c>
      <c r="P1662" s="247">
        <f t="shared" ca="1" si="248"/>
        <v>1143.6699917353874</v>
      </c>
    </row>
    <row r="1663" spans="1:16" s="247" customFormat="1" x14ac:dyDescent="0.3">
      <c r="A1663" s="247">
        <f>MATCH(Calcs!B1663,Paste_Report_Here!$1:$1,0) -1</f>
        <v>28</v>
      </c>
      <c r="B1663" s="247" t="s">
        <v>143</v>
      </c>
      <c r="C1663" s="166">
        <f ca="1">RANK(N1663,N1640:N1664)</f>
        <v>1</v>
      </c>
      <c r="D1663" s="166">
        <f ca="1">RANK(P1663,P1640:P1664)</f>
        <v>1</v>
      </c>
      <c r="E1663" s="189" t="s">
        <v>172</v>
      </c>
      <c r="F1663" s="179">
        <f ca="1">COUNTIFS(Paste_Report_Here!$E$1:$E$2000,E1634, OFFSET(Paste_Report_Here!$A$1,0,$A1663,2000,1),F$75)</f>
        <v>0</v>
      </c>
      <c r="G1663" s="180">
        <f ca="1">COUNTIFS(Paste_Report_Here!$E$1:$E$2000,E1634, OFFSET(Paste_Report_Here!$A$1,0,$A1663,2000,1),G$75)</f>
        <v>0</v>
      </c>
      <c r="H1663" s="180">
        <f ca="1">COUNTIFS(Paste_Report_Here!$E$1:$E$2000,E1634, OFFSET(Paste_Report_Here!$A$1,0,$A1663,2000,1),H$75)</f>
        <v>18</v>
      </c>
      <c r="I1663" s="180">
        <f ca="1">COUNTIFS(Paste_Report_Here!$E$1:$E$2000,E1634, OFFSET(Paste_Report_Here!$A$1,0,$A1663,2000,1),I$75)</f>
        <v>3</v>
      </c>
      <c r="J1663" s="180">
        <f ca="1">COUNTIFS(Paste_Report_Here!$E$1:$E$2000,E1634, OFFSET(Paste_Report_Here!$A$1,0,$A1663,2000,1),J$75)</f>
        <v>2</v>
      </c>
      <c r="K1663" s="181">
        <f ca="1">COUNTIFS(Paste_Report_Here!$E$1:$E$2000,E1634, OFFSET(Paste_Report_Here!$A$1,0,$A1663,2000,1),K$75)</f>
        <v>0</v>
      </c>
      <c r="L1663" s="166">
        <f t="shared" ca="1" si="246"/>
        <v>23</v>
      </c>
      <c r="M1663" s="183">
        <f ca="1">SUMPRODUCT(F1663:K1663,F1638:K1638)/L:L</f>
        <v>1.7391304347826087E-2</v>
      </c>
      <c r="N1663" s="166">
        <f t="shared" ca="1" si="247"/>
        <v>1.0175434135945802</v>
      </c>
      <c r="O1663" s="247">
        <f t="shared" ca="1" si="249"/>
        <v>10400.136329208142</v>
      </c>
      <c r="P1663" s="247">
        <f t="shared" ca="1" si="248"/>
        <v>10582.590222271459</v>
      </c>
    </row>
    <row r="1664" spans="1:16" s="247" customFormat="1" x14ac:dyDescent="0.3">
      <c r="A1664" s="247">
        <f>MATCH(Calcs!B1664,Paste_Report_Here!$1:$1,0) -1</f>
        <v>29</v>
      </c>
      <c r="B1664" s="187" t="s">
        <v>144</v>
      </c>
      <c r="C1664" s="147">
        <f ca="1">RANK(N1664,N1640:N1664)</f>
        <v>7</v>
      </c>
      <c r="D1664" s="147">
        <f ca="1">RANK(P1664,P1640:P1664)</f>
        <v>11</v>
      </c>
      <c r="E1664" s="145" t="s">
        <v>173</v>
      </c>
      <c r="F1664" s="146">
        <f ca="1">COUNTIFS(Paste_Report_Here!$E$1:$E$2000,E1634, OFFSET(Paste_Report_Here!$A$1,0,$A1664,2000,1),F$75)</f>
        <v>0</v>
      </c>
      <c r="G1664" s="147">
        <f ca="1">COUNTIFS(Paste_Report_Here!$E$1:$E$2000,E1634, OFFSET(Paste_Report_Here!$A$1,0,$A1664,2000,1),G$75)</f>
        <v>0</v>
      </c>
      <c r="H1664" s="147">
        <f ca="1">COUNTIFS(Paste_Report_Here!$E$1:$E$2000,E1634, OFFSET(Paste_Report_Here!$A$1,0,$A1664,2000,1),H$75)</f>
        <v>18</v>
      </c>
      <c r="I1664" s="147">
        <f ca="1">COUNTIFS(Paste_Report_Here!$E$1:$E$2000,E1634, OFFSET(Paste_Report_Here!$A$1,0,$A1664,2000,1),I$75)</f>
        <v>5</v>
      </c>
      <c r="J1664" s="147">
        <f ca="1">COUNTIFS(Paste_Report_Here!$E$1:$E$2000,E1634, OFFSET(Paste_Report_Here!$A$1,0,$A1664,2000,1),J$75)</f>
        <v>0</v>
      </c>
      <c r="K1664" s="148">
        <f ca="1">COUNTIFS(Paste_Report_Here!$E$1:$E$2000,E1634, OFFSET(Paste_Report_Here!$A$1,0,$A1664,2000,1),K$75)</f>
        <v>0</v>
      </c>
      <c r="L1664" s="147">
        <f t="shared" ca="1" si="246"/>
        <v>23</v>
      </c>
      <c r="M1664" s="149">
        <f ca="1">SUMPRODUCT(F1664:K1664,F1638:K1638)/L:L</f>
        <v>0</v>
      </c>
      <c r="N1664" s="147">
        <f t="shared" ca="1" si="247"/>
        <v>1</v>
      </c>
      <c r="O1664" s="187">
        <f t="shared" ca="1" si="249"/>
        <v>2392.2261011950159</v>
      </c>
      <c r="P1664" s="247">
        <f t="shared" ca="1" si="248"/>
        <v>2392.2261011950159</v>
      </c>
    </row>
    <row r="1665" spans="1:16" s="247" customFormat="1" x14ac:dyDescent="0.3">
      <c r="C1665" s="166"/>
      <c r="E1665" s="140" t="s">
        <v>293</v>
      </c>
      <c r="F1665" s="180">
        <f ca="1">SUM(F1640:F1664)</f>
        <v>7</v>
      </c>
      <c r="G1665" s="180">
        <f t="shared" ref="G1665:L1665" ca="1" si="250">SUM(G1640:G1664)</f>
        <v>28</v>
      </c>
      <c r="H1665" s="180">
        <f t="shared" ca="1" si="250"/>
        <v>427</v>
      </c>
      <c r="I1665" s="180">
        <f t="shared" ca="1" si="250"/>
        <v>104</v>
      </c>
      <c r="J1665" s="180">
        <f t="shared" ca="1" si="250"/>
        <v>9</v>
      </c>
      <c r="K1665" s="180">
        <f t="shared" ca="1" si="250"/>
        <v>0</v>
      </c>
      <c r="L1665" s="180">
        <f t="shared" ca="1" si="250"/>
        <v>575</v>
      </c>
      <c r="M1665" s="144">
        <f ca="1">SUMPRODUCT(F1665:K1665,F1638:K1638)/L1665</f>
        <v>6.9565217391304331E-4</v>
      </c>
      <c r="N1665" s="166">
        <f t="shared" ca="1" si="247"/>
        <v>1.0006958941960045</v>
      </c>
      <c r="O1665" s="247">
        <f t="shared" ca="1" si="249"/>
        <v>2772.3479031979246</v>
      </c>
      <c r="P1665" s="247">
        <f t="shared" ca="1" si="248"/>
        <v>2774.277164013065</v>
      </c>
    </row>
    <row r="1666" spans="1:16" s="247" customFormat="1" x14ac:dyDescent="0.3">
      <c r="A1666" s="194"/>
      <c r="B1666" s="194"/>
      <c r="C1666" s="153"/>
      <c r="D1666" s="194"/>
      <c r="E1666" s="164"/>
      <c r="F1666" s="151"/>
      <c r="G1666" s="151"/>
      <c r="H1666" s="151"/>
      <c r="I1666" s="151"/>
      <c r="J1666" s="151"/>
      <c r="K1666" s="151"/>
      <c r="L1666" s="151"/>
      <c r="M1666" s="162"/>
      <c r="N1666" s="153"/>
      <c r="O1666" s="194"/>
      <c r="P1666" s="194"/>
    </row>
    <row r="1667" spans="1:16" s="247" customFormat="1" x14ac:dyDescent="0.3">
      <c r="E1667" s="173" t="s">
        <v>292</v>
      </c>
    </row>
    <row r="1668" spans="1:16" s="247" customFormat="1" x14ac:dyDescent="0.3">
      <c r="E1668" s="141">
        <v>42034</v>
      </c>
    </row>
    <row r="1669" spans="1:16" s="247" customFormat="1" ht="15" thickBot="1" x14ac:dyDescent="0.35"/>
    <row r="1670" spans="1:16" s="247" customFormat="1" ht="24.6" thickBot="1" x14ac:dyDescent="0.35">
      <c r="F1670" s="174" t="s">
        <v>23</v>
      </c>
      <c r="G1670" s="168" t="s">
        <v>18</v>
      </c>
      <c r="H1670" s="168" t="s">
        <v>16</v>
      </c>
      <c r="I1670" s="168" t="s">
        <v>17</v>
      </c>
      <c r="J1670" s="168" t="s">
        <v>19</v>
      </c>
      <c r="K1670" s="169" t="s">
        <v>114</v>
      </c>
    </row>
    <row r="1671" spans="1:16" s="247" customFormat="1" ht="32.25" customHeight="1" x14ac:dyDescent="0.3">
      <c r="F1671" s="267" t="s">
        <v>201</v>
      </c>
      <c r="G1671" s="268"/>
      <c r="H1671" s="268"/>
      <c r="I1671" s="268"/>
      <c r="J1671" s="268"/>
      <c r="K1671" s="169"/>
      <c r="M1671" s="203">
        <f ca="1">(H1699+K1699)/L1699</f>
        <v>0.70720000000000005</v>
      </c>
      <c r="N1671" s="204" t="s">
        <v>501</v>
      </c>
    </row>
    <row r="1672" spans="1:16" s="247" customFormat="1" ht="43.8" thickBot="1" x14ac:dyDescent="0.35">
      <c r="A1672" s="142" t="s">
        <v>294</v>
      </c>
      <c r="B1672" s="142" t="s">
        <v>295</v>
      </c>
      <c r="C1672" s="197" t="s">
        <v>440</v>
      </c>
      <c r="D1672" s="142" t="s">
        <v>441</v>
      </c>
      <c r="E1672" s="171" t="s">
        <v>30</v>
      </c>
      <c r="F1672" s="175">
        <f>Falling_fast</f>
        <v>-0.2</v>
      </c>
      <c r="G1672" s="176">
        <f>Falling</f>
        <v>0</v>
      </c>
      <c r="H1672" s="177">
        <f>Static</f>
        <v>0</v>
      </c>
      <c r="I1672" s="176">
        <f>Rising</f>
        <v>0</v>
      </c>
      <c r="J1672" s="178">
        <f>Rising_fast</f>
        <v>0.2</v>
      </c>
      <c r="K1672" s="182">
        <v>0</v>
      </c>
      <c r="L1672" s="171" t="s">
        <v>28</v>
      </c>
      <c r="M1672" s="172" t="s">
        <v>29</v>
      </c>
      <c r="N1672" s="143" t="s">
        <v>296</v>
      </c>
      <c r="O1672" s="142" t="s">
        <v>297</v>
      </c>
      <c r="P1672" s="142" t="s">
        <v>298</v>
      </c>
    </row>
    <row r="1673" spans="1:16" s="247" customFormat="1" x14ac:dyDescent="0.3">
      <c r="C1673" s="166"/>
      <c r="E1673" s="192"/>
      <c r="F1673" s="198" t="s">
        <v>151</v>
      </c>
      <c r="G1673" s="199" t="s">
        <v>149</v>
      </c>
      <c r="H1673" s="199" t="s">
        <v>16</v>
      </c>
      <c r="I1673" s="199" t="s">
        <v>148</v>
      </c>
      <c r="J1673" s="199" t="s">
        <v>150</v>
      </c>
      <c r="K1673" s="200" t="s">
        <v>114</v>
      </c>
      <c r="L1673" s="166"/>
      <c r="M1673" s="170"/>
      <c r="N1673" s="166"/>
    </row>
    <row r="1674" spans="1:16" s="247" customFormat="1" x14ac:dyDescent="0.3">
      <c r="A1674" s="247">
        <f>MATCH(Calcs!B1674,Paste_Report_Here!$1:$1,0) -1</f>
        <v>5</v>
      </c>
      <c r="B1674" s="247" t="s">
        <v>124</v>
      </c>
      <c r="C1674" s="166">
        <f ca="1">RANK(N1674,N1674:N1698)</f>
        <v>5</v>
      </c>
      <c r="D1674" s="166">
        <f ca="1">RANK(P1674,P1674:P1698)</f>
        <v>14</v>
      </c>
      <c r="E1674" s="189" t="s">
        <v>152</v>
      </c>
      <c r="F1674" s="179">
        <f ca="1">COUNTIFS(Paste_Report_Here!$E$1:$E$2000,E1668, OFFSET(Paste_Report_Here!$A$1,0,$A1674,2000,1),F$75)</f>
        <v>0</v>
      </c>
      <c r="G1674" s="180">
        <f ca="1">COUNTIFS(Paste_Report_Here!$E$1:$E$2000,E1668, OFFSET(Paste_Report_Here!$A$1,0,$A1674,2000,1),G$75)</f>
        <v>2</v>
      </c>
      <c r="H1674" s="180">
        <f ca="1">COUNTIFS(Paste_Report_Here!$E$1:$E$2000,E1668, OFFSET(Paste_Report_Here!$A$1,0,$A1674,2000,1),H$75)</f>
        <v>16</v>
      </c>
      <c r="I1674" s="180">
        <f ca="1">COUNTIFS(Paste_Report_Here!$E$1:$E$2000,E1668, OFFSET(Paste_Report_Here!$A$1,0,$A1674,2000,1),I$75)</f>
        <v>6</v>
      </c>
      <c r="J1674" s="180">
        <f ca="1">COUNTIFS(Paste_Report_Here!$E$1:$E$2000,E1668, OFFSET(Paste_Report_Here!$A$1,0,$A1674,2000,1),J$75)</f>
        <v>1</v>
      </c>
      <c r="K1674" s="181">
        <f ca="1">COUNTIFS(Paste_Report_Here!$E$1:$E$2000,E1668, OFFSET(Paste_Report_Here!$A$1,0,$A1674,2000,1),K$75)</f>
        <v>0</v>
      </c>
      <c r="L1674" s="166">
        <f t="shared" ref="L1674:L1698" ca="1" si="251">SUM(F1674:K1674)</f>
        <v>25</v>
      </c>
      <c r="M1674" s="183">
        <f ca="1">SUMPRODUCT(F1674:K1674,F1672:K1672)/L:L</f>
        <v>8.0000000000000002E-3</v>
      </c>
      <c r="N1674" s="166">
        <f t="shared" ref="N1674:N1699" ca="1" si="252">EXP(M1674)</f>
        <v>1.0080320855042735</v>
      </c>
      <c r="O1674" s="247">
        <f ca="1">P1640</f>
        <v>2218.0134019409475</v>
      </c>
      <c r="P1674" s="247">
        <f t="shared" ref="P1674:P1699" ca="1" si="253">O1674*N1674</f>
        <v>2235.8286752349618</v>
      </c>
    </row>
    <row r="1675" spans="1:16" s="247" customFormat="1" x14ac:dyDescent="0.3">
      <c r="A1675" s="247">
        <f>MATCH(Calcs!B1675,Paste_Report_Here!$1:$1,0) -1</f>
        <v>6</v>
      </c>
      <c r="B1675" s="247" t="s">
        <v>125</v>
      </c>
      <c r="C1675" s="166">
        <f ca="1">RANK(N1675,N1674:N1698)</f>
        <v>19</v>
      </c>
      <c r="D1675" s="166">
        <f ca="1">RANK(P1675,P1674:P1698)</f>
        <v>17</v>
      </c>
      <c r="E1675" s="189" t="s">
        <v>153</v>
      </c>
      <c r="F1675" s="179">
        <f ca="1">COUNTIFS(Paste_Report_Here!$E$1:$E$2000,E1668, OFFSET(Paste_Report_Here!$A$1,0,$A1675,2000,1),F$75)</f>
        <v>1</v>
      </c>
      <c r="G1675" s="180">
        <f ca="1">COUNTIFS(Paste_Report_Here!$E$1:$E$2000,E1668, OFFSET(Paste_Report_Here!$A$1,0,$A1675,2000,1),G$75)</f>
        <v>1</v>
      </c>
      <c r="H1675" s="180">
        <f ca="1">COUNTIFS(Paste_Report_Here!$E$1:$E$2000,E1668, OFFSET(Paste_Report_Here!$A$1,0,$A1675,2000,1),H$75)</f>
        <v>14</v>
      </c>
      <c r="I1675" s="180">
        <f ca="1">COUNTIFS(Paste_Report_Here!$E$1:$E$2000,E1668, OFFSET(Paste_Report_Here!$A$1,0,$A1675,2000,1),I$75)</f>
        <v>8</v>
      </c>
      <c r="J1675" s="180">
        <f ca="1">COUNTIFS(Paste_Report_Here!$E$1:$E$2000,E1668, OFFSET(Paste_Report_Here!$A$1,0,$A1675,2000,1),J$75)</f>
        <v>0</v>
      </c>
      <c r="K1675" s="181">
        <f ca="1">COUNTIFS(Paste_Report_Here!$E$1:$E$2000,E1668, OFFSET(Paste_Report_Here!$A$1,0,$A1675,2000,1),K$75)</f>
        <v>1</v>
      </c>
      <c r="L1675" s="166">
        <f t="shared" ca="1" si="251"/>
        <v>25</v>
      </c>
      <c r="M1675" s="183">
        <f ca="1">SUMPRODUCT(F1675:K1675,F1672:K1672)/L:L</f>
        <v>-8.0000000000000002E-3</v>
      </c>
      <c r="N1675" s="166">
        <f t="shared" ca="1" si="252"/>
        <v>0.99203191483706066</v>
      </c>
      <c r="O1675" s="247">
        <f t="shared" ref="O1675:O1699" ca="1" si="254">P1641</f>
        <v>2085.2176045510009</v>
      </c>
      <c r="P1675" s="247">
        <f t="shared" ca="1" si="253"/>
        <v>2068.602413094678</v>
      </c>
    </row>
    <row r="1676" spans="1:16" s="247" customFormat="1" x14ac:dyDescent="0.3">
      <c r="A1676" s="247">
        <f>MATCH(Calcs!B1676,Paste_Report_Here!$1:$1,0) -1</f>
        <v>7</v>
      </c>
      <c r="B1676" s="247" t="s">
        <v>126</v>
      </c>
      <c r="C1676" s="166">
        <f ca="1">RANK(N1676,N1674:N1698)</f>
        <v>19</v>
      </c>
      <c r="D1676" s="166">
        <f ca="1">RANK(P1676,P1674:P1698)</f>
        <v>8</v>
      </c>
      <c r="E1676" s="189" t="s">
        <v>154</v>
      </c>
      <c r="F1676" s="179">
        <f ca="1">COUNTIFS(Paste_Report_Here!$E$1:$E$2000,E1668, OFFSET(Paste_Report_Here!$A$1,0,$A1676,2000,1),F$75)</f>
        <v>1</v>
      </c>
      <c r="G1676" s="180">
        <f ca="1">COUNTIFS(Paste_Report_Here!$E$1:$E$2000,E1668, OFFSET(Paste_Report_Here!$A$1,0,$A1676,2000,1),G$75)</f>
        <v>2</v>
      </c>
      <c r="H1676" s="180">
        <f ca="1">COUNTIFS(Paste_Report_Here!$E$1:$E$2000,E1668, OFFSET(Paste_Report_Here!$A$1,0,$A1676,2000,1),H$75)</f>
        <v>20</v>
      </c>
      <c r="I1676" s="180">
        <f ca="1">COUNTIFS(Paste_Report_Here!$E$1:$E$2000,E1668, OFFSET(Paste_Report_Here!$A$1,0,$A1676,2000,1),I$75)</f>
        <v>2</v>
      </c>
      <c r="J1676" s="180">
        <f ca="1">COUNTIFS(Paste_Report_Here!$E$1:$E$2000,E1668, OFFSET(Paste_Report_Here!$A$1,0,$A1676,2000,1),J$75)</f>
        <v>0</v>
      </c>
      <c r="K1676" s="181">
        <f ca="1">COUNTIFS(Paste_Report_Here!$E$1:$E$2000,E1668, OFFSET(Paste_Report_Here!$A$1,0,$A1676,2000,1),K$75)</f>
        <v>0</v>
      </c>
      <c r="L1676" s="166">
        <f t="shared" ca="1" si="251"/>
        <v>25</v>
      </c>
      <c r="M1676" s="183">
        <f ca="1">SUMPRODUCT(F1676:K1676,F1672:K1672)/L:L</f>
        <v>-8.0000000000000002E-3</v>
      </c>
      <c r="N1676" s="166">
        <f t="shared" ca="1" si="252"/>
        <v>0.99203191483706066</v>
      </c>
      <c r="O1676" s="247">
        <f t="shared" ca="1" si="254"/>
        <v>2650.8475381706312</v>
      </c>
      <c r="P1676" s="247">
        <f t="shared" ca="1" si="253"/>
        <v>2629.7253592325196</v>
      </c>
    </row>
    <row r="1677" spans="1:16" s="247" customFormat="1" x14ac:dyDescent="0.3">
      <c r="A1677" s="247">
        <f>MATCH(Calcs!B1677,Paste_Report_Here!$1:$1,0) -1</f>
        <v>8</v>
      </c>
      <c r="B1677" s="247" t="s">
        <v>127</v>
      </c>
      <c r="C1677" s="166">
        <f ca="1">RANK(N1677,N1674:N1698)</f>
        <v>5</v>
      </c>
      <c r="D1677" s="166">
        <f ca="1">RANK(P1677,P1674:P1698)</f>
        <v>7</v>
      </c>
      <c r="E1677" s="189" t="s">
        <v>155</v>
      </c>
      <c r="F1677" s="179">
        <f ca="1">COUNTIFS(Paste_Report_Here!$E$1:$E$2000,E1668, OFFSET(Paste_Report_Here!$A$1,0,$A1677,2000,1),F$75)</f>
        <v>0</v>
      </c>
      <c r="G1677" s="180">
        <f ca="1">COUNTIFS(Paste_Report_Here!$E$1:$E$2000,E1668, OFFSET(Paste_Report_Here!$A$1,0,$A1677,2000,1),G$75)</f>
        <v>2</v>
      </c>
      <c r="H1677" s="180">
        <f ca="1">COUNTIFS(Paste_Report_Here!$E$1:$E$2000,E1668, OFFSET(Paste_Report_Here!$A$1,0,$A1677,2000,1),H$75)</f>
        <v>16</v>
      </c>
      <c r="I1677" s="180">
        <f ca="1">COUNTIFS(Paste_Report_Here!$E$1:$E$2000,E1668, OFFSET(Paste_Report_Here!$A$1,0,$A1677,2000,1),I$75)</f>
        <v>6</v>
      </c>
      <c r="J1677" s="180">
        <f ca="1">COUNTIFS(Paste_Report_Here!$E$1:$E$2000,E1668, OFFSET(Paste_Report_Here!$A$1,0,$A1677,2000,1),J$75)</f>
        <v>1</v>
      </c>
      <c r="K1677" s="181">
        <f ca="1">COUNTIFS(Paste_Report_Here!$E$1:$E$2000,E1668, OFFSET(Paste_Report_Here!$A$1,0,$A1677,2000,1),K$75)</f>
        <v>0</v>
      </c>
      <c r="L1677" s="166">
        <f t="shared" ca="1" si="251"/>
        <v>25</v>
      </c>
      <c r="M1677" s="183">
        <f ca="1">SUMPRODUCT(F1677:K1677,F1672:K1672)/L:L</f>
        <v>8.0000000000000002E-3</v>
      </c>
      <c r="N1677" s="166">
        <f t="shared" ca="1" si="252"/>
        <v>1.0080320855042735</v>
      </c>
      <c r="O1677" s="247">
        <f t="shared" ca="1" si="254"/>
        <v>3011.6808719521737</v>
      </c>
      <c r="P1677" s="247">
        <f t="shared" ca="1" si="253"/>
        <v>3035.8709502272786</v>
      </c>
    </row>
    <row r="1678" spans="1:16" s="247" customFormat="1" x14ac:dyDescent="0.3">
      <c r="A1678" s="247">
        <f>MATCH(Calcs!B1678,Paste_Report_Here!$1:$1,0) -1</f>
        <v>9</v>
      </c>
      <c r="B1678" s="247" t="s">
        <v>214</v>
      </c>
      <c r="C1678" s="166">
        <f ca="1">RANK(N1678,N1674:N1698)</f>
        <v>5</v>
      </c>
      <c r="D1678" s="166">
        <f ca="1">RANK(P1678,P1674:P1698)</f>
        <v>5</v>
      </c>
      <c r="E1678" s="189" t="s">
        <v>156</v>
      </c>
      <c r="F1678" s="179">
        <f ca="1">COUNTIFS(Paste_Report_Here!$E$1:$E$2000,E1668, OFFSET(Paste_Report_Here!$A$1,0,$A1678,2000,1),F$75)</f>
        <v>0</v>
      </c>
      <c r="G1678" s="180">
        <f ca="1">COUNTIFS(Paste_Report_Here!$E$1:$E$2000,E1668, OFFSET(Paste_Report_Here!$A$1,0,$A1678,2000,1),G$75)</f>
        <v>1</v>
      </c>
      <c r="H1678" s="180">
        <f ca="1">COUNTIFS(Paste_Report_Here!$E$1:$E$2000,E1668, OFFSET(Paste_Report_Here!$A$1,0,$A1678,2000,1),H$75)</f>
        <v>16</v>
      </c>
      <c r="I1678" s="180">
        <f ca="1">COUNTIFS(Paste_Report_Here!$E$1:$E$2000,E1668, OFFSET(Paste_Report_Here!$A$1,0,$A1678,2000,1),I$75)</f>
        <v>7</v>
      </c>
      <c r="J1678" s="180">
        <f ca="1">COUNTIFS(Paste_Report_Here!$E$1:$E$2000,E1668, OFFSET(Paste_Report_Here!$A$1,0,$A1678,2000,1),J$75)</f>
        <v>1</v>
      </c>
      <c r="K1678" s="181">
        <f ca="1">COUNTIFS(Paste_Report_Here!$E$1:$E$2000,E1668, OFFSET(Paste_Report_Here!$A$1,0,$A1678,2000,1),K$75)</f>
        <v>0</v>
      </c>
      <c r="L1678" s="166">
        <f t="shared" ca="1" si="251"/>
        <v>25</v>
      </c>
      <c r="M1678" s="183">
        <f ca="1">SUMPRODUCT(F1678:K1678,F1672:K1672)/L:L</f>
        <v>8.0000000000000002E-3</v>
      </c>
      <c r="N1678" s="166">
        <f t="shared" ca="1" si="252"/>
        <v>1.0080320855042735</v>
      </c>
      <c r="O1678" s="247">
        <f t="shared" ca="1" si="254"/>
        <v>4115.4096811867203</v>
      </c>
      <c r="P1678" s="247">
        <f t="shared" ca="1" si="253"/>
        <v>4148.4650036311268</v>
      </c>
    </row>
    <row r="1679" spans="1:16" s="247" customFormat="1" x14ac:dyDescent="0.3">
      <c r="A1679" s="247">
        <f>MATCH(Calcs!B1679,Paste_Report_Here!$1:$1,0) -1</f>
        <v>10</v>
      </c>
      <c r="B1679" s="247" t="s">
        <v>128</v>
      </c>
      <c r="C1679" s="166">
        <f ca="1">RANK(N1679,N1674:N1698)</f>
        <v>12</v>
      </c>
      <c r="D1679" s="166">
        <f ca="1">RANK(P1679,P1674:P1698)</f>
        <v>21</v>
      </c>
      <c r="E1679" s="189" t="s">
        <v>157</v>
      </c>
      <c r="F1679" s="179">
        <f ca="1">COUNTIFS(Paste_Report_Here!$E$1:$E$2000,E1668, OFFSET(Paste_Report_Here!$A$1,0,$A1679,2000,1),F$75)</f>
        <v>0</v>
      </c>
      <c r="G1679" s="180">
        <f ca="1">COUNTIFS(Paste_Report_Here!$E$1:$E$2000,E1668, OFFSET(Paste_Report_Here!$A$1,0,$A1679,2000,1),G$75)</f>
        <v>4</v>
      </c>
      <c r="H1679" s="180">
        <f ca="1">COUNTIFS(Paste_Report_Here!$E$1:$E$2000,E1668, OFFSET(Paste_Report_Here!$A$1,0,$A1679,2000,1),H$75)</f>
        <v>19</v>
      </c>
      <c r="I1679" s="180">
        <f ca="1">COUNTIFS(Paste_Report_Here!$E$1:$E$2000,E1668, OFFSET(Paste_Report_Here!$A$1,0,$A1679,2000,1),I$75)</f>
        <v>2</v>
      </c>
      <c r="J1679" s="180">
        <f ca="1">COUNTIFS(Paste_Report_Here!$E$1:$E$2000,E1668, OFFSET(Paste_Report_Here!$A$1,0,$A1679,2000,1),J$75)</f>
        <v>0</v>
      </c>
      <c r="K1679" s="181">
        <f ca="1">COUNTIFS(Paste_Report_Here!$E$1:$E$2000,E1668, OFFSET(Paste_Report_Here!$A$1,0,$A1679,2000,1),K$75)</f>
        <v>0</v>
      </c>
      <c r="L1679" s="166">
        <f t="shared" ca="1" si="251"/>
        <v>25</v>
      </c>
      <c r="M1679" s="183">
        <f ca="1">SUMPRODUCT(F1679:K1679,F1672:K1672)/L:L</f>
        <v>0</v>
      </c>
      <c r="N1679" s="166">
        <f t="shared" ca="1" si="252"/>
        <v>1</v>
      </c>
      <c r="O1679" s="247">
        <f t="shared" ca="1" si="254"/>
        <v>1520.9699033802301</v>
      </c>
      <c r="P1679" s="247">
        <f t="shared" ca="1" si="253"/>
        <v>1520.9699033802301</v>
      </c>
    </row>
    <row r="1680" spans="1:16" s="247" customFormat="1" x14ac:dyDescent="0.3">
      <c r="A1680" s="247">
        <f>MATCH(Calcs!B1680,Paste_Report_Here!$1:$1,0) -1</f>
        <v>11</v>
      </c>
      <c r="B1680" s="247" t="s">
        <v>129</v>
      </c>
      <c r="C1680" s="166">
        <f ca="1">RANK(N1680,N1674:N1698)</f>
        <v>5</v>
      </c>
      <c r="D1680" s="166">
        <f ca="1">RANK(P1680,P1674:P1698)</f>
        <v>9</v>
      </c>
      <c r="E1680" s="189" t="s">
        <v>158</v>
      </c>
      <c r="F1680" s="179">
        <f ca="1">COUNTIFS(Paste_Report_Here!$E$1:$E$2000,E1668, OFFSET(Paste_Report_Here!$A$1,0,$A1680,2000,1),F$75)</f>
        <v>0</v>
      </c>
      <c r="G1680" s="180">
        <f ca="1">COUNTIFS(Paste_Report_Here!$E$1:$E$2000,E1668, OFFSET(Paste_Report_Here!$A$1,0,$A1680,2000,1),G$75)</f>
        <v>5</v>
      </c>
      <c r="H1680" s="180">
        <f ca="1">COUNTIFS(Paste_Report_Here!$E$1:$E$2000,E1668, OFFSET(Paste_Report_Here!$A$1,0,$A1680,2000,1),H$75)</f>
        <v>17</v>
      </c>
      <c r="I1680" s="180">
        <f ca="1">COUNTIFS(Paste_Report_Here!$E$1:$E$2000,E1668, OFFSET(Paste_Report_Here!$A$1,0,$A1680,2000,1),I$75)</f>
        <v>2</v>
      </c>
      <c r="J1680" s="180">
        <f ca="1">COUNTIFS(Paste_Report_Here!$E$1:$E$2000,E1668, OFFSET(Paste_Report_Here!$A$1,0,$A1680,2000,1),J$75)</f>
        <v>1</v>
      </c>
      <c r="K1680" s="181">
        <f ca="1">COUNTIFS(Paste_Report_Here!$E$1:$E$2000,E1668, OFFSET(Paste_Report_Here!$A$1,0,$A1680,2000,1),K$75)</f>
        <v>0</v>
      </c>
      <c r="L1680" s="166">
        <f t="shared" ca="1" si="251"/>
        <v>25</v>
      </c>
      <c r="M1680" s="183">
        <f ca="1">SUMPRODUCT(F1680:K1680,F1672:K1672)/L:L</f>
        <v>8.0000000000000002E-3</v>
      </c>
      <c r="N1680" s="166">
        <f t="shared" ca="1" si="252"/>
        <v>1.0080320855042735</v>
      </c>
      <c r="O1680" s="247">
        <f t="shared" ca="1" si="254"/>
        <v>2467.963636530701</v>
      </c>
      <c r="P1680" s="247">
        <f t="shared" ca="1" si="253"/>
        <v>2487.7865314807532</v>
      </c>
    </row>
    <row r="1681" spans="1:16" s="247" customFormat="1" x14ac:dyDescent="0.3">
      <c r="A1681" s="247">
        <f>MATCH(Calcs!B1681,Paste_Report_Here!$1:$1,0) -1</f>
        <v>12</v>
      </c>
      <c r="B1681" s="247" t="s">
        <v>130</v>
      </c>
      <c r="C1681" s="166">
        <f ca="1">RANK(N1681,N1674:N1698)</f>
        <v>12</v>
      </c>
      <c r="D1681" s="166">
        <f ca="1">RANK(P1681,P1674:P1698)</f>
        <v>10</v>
      </c>
      <c r="E1681" s="189" t="s">
        <v>159</v>
      </c>
      <c r="F1681" s="179">
        <f ca="1">COUNTIFS(Paste_Report_Here!$E$1:$E$2000,E1668, OFFSET(Paste_Report_Here!$A$1,0,$A1681,2000,1),F$75)</f>
        <v>0</v>
      </c>
      <c r="G1681" s="180">
        <f ca="1">COUNTIFS(Paste_Report_Here!$E$1:$E$2000,E1668, OFFSET(Paste_Report_Here!$A$1,0,$A1681,2000,1),G$75)</f>
        <v>3</v>
      </c>
      <c r="H1681" s="180">
        <f ca="1">COUNTIFS(Paste_Report_Here!$E$1:$E$2000,E1668, OFFSET(Paste_Report_Here!$A$1,0,$A1681,2000,1),H$75)</f>
        <v>16</v>
      </c>
      <c r="I1681" s="180">
        <f ca="1">COUNTIFS(Paste_Report_Here!$E$1:$E$2000,E1668, OFFSET(Paste_Report_Here!$A$1,0,$A1681,2000,1),I$75)</f>
        <v>6</v>
      </c>
      <c r="J1681" s="180">
        <f ca="1">COUNTIFS(Paste_Report_Here!$E$1:$E$2000,E1668, OFFSET(Paste_Report_Here!$A$1,0,$A1681,2000,1),J$75)</f>
        <v>0</v>
      </c>
      <c r="K1681" s="181">
        <f ca="1">COUNTIFS(Paste_Report_Here!$E$1:$E$2000,E1668, OFFSET(Paste_Report_Here!$A$1,0,$A1681,2000,1),K$75)</f>
        <v>0</v>
      </c>
      <c r="L1681" s="166">
        <f t="shared" ca="1" si="251"/>
        <v>25</v>
      </c>
      <c r="M1681" s="183">
        <f ca="1">SUMPRODUCT(F1681:K1681,F1672:K1672)/L:L</f>
        <v>0</v>
      </c>
      <c r="N1681" s="166">
        <f t="shared" ca="1" si="252"/>
        <v>1</v>
      </c>
      <c r="O1681" s="247">
        <f t="shared" ca="1" si="254"/>
        <v>2478.8781303557112</v>
      </c>
      <c r="P1681" s="247">
        <f t="shared" ca="1" si="253"/>
        <v>2478.8781303557112</v>
      </c>
    </row>
    <row r="1682" spans="1:16" s="247" customFormat="1" x14ac:dyDescent="0.3">
      <c r="A1682" s="247">
        <f>MATCH(Calcs!B1682,Paste_Report_Here!$1:$1,0) -1</f>
        <v>13</v>
      </c>
      <c r="B1682" s="247" t="s">
        <v>131</v>
      </c>
      <c r="C1682" s="166">
        <f ca="1">RANK(N1682,N1674:N1698)</f>
        <v>1</v>
      </c>
      <c r="D1682" s="166">
        <f ca="1">RANK(P1682,P1674:P1698)</f>
        <v>2</v>
      </c>
      <c r="E1682" s="189" t="s">
        <v>160</v>
      </c>
      <c r="F1682" s="179">
        <f ca="1">COUNTIFS(Paste_Report_Here!$E$1:$E$2000,E1668, OFFSET(Paste_Report_Here!$A$1,0,$A1682,2000,1),F$75)</f>
        <v>0</v>
      </c>
      <c r="G1682" s="180">
        <f ca="1">COUNTIFS(Paste_Report_Here!$E$1:$E$2000,E1668, OFFSET(Paste_Report_Here!$A$1,0,$A1682,2000,1),G$75)</f>
        <v>1</v>
      </c>
      <c r="H1682" s="180">
        <f ca="1">COUNTIFS(Paste_Report_Here!$E$1:$E$2000,E1668, OFFSET(Paste_Report_Here!$A$1,0,$A1682,2000,1),H$75)</f>
        <v>11</v>
      </c>
      <c r="I1682" s="180">
        <f ca="1">COUNTIFS(Paste_Report_Here!$E$1:$E$2000,E1668, OFFSET(Paste_Report_Here!$A$1,0,$A1682,2000,1),I$75)</f>
        <v>9</v>
      </c>
      <c r="J1682" s="180">
        <f ca="1">COUNTIFS(Paste_Report_Here!$E$1:$E$2000,E1668, OFFSET(Paste_Report_Here!$A$1,0,$A1682,2000,1),J$75)</f>
        <v>4</v>
      </c>
      <c r="K1682" s="181">
        <f ca="1">COUNTIFS(Paste_Report_Here!$E$1:$E$2000,E1668, OFFSET(Paste_Report_Here!$A$1,0,$A1682,2000,1),K$75)</f>
        <v>0</v>
      </c>
      <c r="L1682" s="166">
        <f t="shared" ca="1" si="251"/>
        <v>25</v>
      </c>
      <c r="M1682" s="183">
        <f ca="1">SUMPRODUCT(F1682:K1682,F1672:K1672)/L:L</f>
        <v>3.2000000000000001E-2</v>
      </c>
      <c r="N1682" s="166">
        <f t="shared" ca="1" si="252"/>
        <v>1.0325175053051183</v>
      </c>
      <c r="O1682" s="247">
        <f t="shared" ca="1" si="254"/>
        <v>5231.9034892040909</v>
      </c>
      <c r="P1682" s="247">
        <f t="shared" ca="1" si="253"/>
        <v>5402.0319386701522</v>
      </c>
    </row>
    <row r="1683" spans="1:16" s="247" customFormat="1" x14ac:dyDescent="0.3">
      <c r="A1683" s="247">
        <f>MATCH(Calcs!B1683,Paste_Report_Here!$1:$1,0) -1</f>
        <v>14</v>
      </c>
      <c r="B1683" s="247" t="s">
        <v>132</v>
      </c>
      <c r="C1683" s="166">
        <f ca="1">RANK(N1683,N1674:N1698)</f>
        <v>2</v>
      </c>
      <c r="D1683" s="166">
        <f ca="1">RANK(P1683,P1674:P1698)</f>
        <v>12</v>
      </c>
      <c r="E1683" s="189" t="s">
        <v>161</v>
      </c>
      <c r="F1683" s="179">
        <f ca="1">COUNTIFS(Paste_Report_Here!$E$1:$E$2000,E1668, OFFSET(Paste_Report_Here!$A$1,0,$A1683,2000,1),F$75)</f>
        <v>0</v>
      </c>
      <c r="G1683" s="180">
        <f ca="1">COUNTIFS(Paste_Report_Here!$E$1:$E$2000,E1668, OFFSET(Paste_Report_Here!$A$1,0,$A1683,2000,1),G$75)</f>
        <v>1</v>
      </c>
      <c r="H1683" s="180">
        <f ca="1">COUNTIFS(Paste_Report_Here!$E$1:$E$2000,E1668, OFFSET(Paste_Report_Here!$A$1,0,$A1683,2000,1),H$75)</f>
        <v>21</v>
      </c>
      <c r="I1683" s="180">
        <f ca="1">COUNTIFS(Paste_Report_Here!$E$1:$E$2000,E1668, OFFSET(Paste_Report_Here!$A$1,0,$A1683,2000,1),I$75)</f>
        <v>1</v>
      </c>
      <c r="J1683" s="180">
        <f ca="1">COUNTIFS(Paste_Report_Here!$E$1:$E$2000,E1668, OFFSET(Paste_Report_Here!$A$1,0,$A1683,2000,1),J$75)</f>
        <v>2</v>
      </c>
      <c r="K1683" s="181">
        <f ca="1">COUNTIFS(Paste_Report_Here!$E$1:$E$2000,E1668, OFFSET(Paste_Report_Here!$A$1,0,$A1683,2000,1),K$75)</f>
        <v>0</v>
      </c>
      <c r="L1683" s="166">
        <f t="shared" ca="1" si="251"/>
        <v>25</v>
      </c>
      <c r="M1683" s="183">
        <f ca="1">SUMPRODUCT(F1683:K1683,F1672:K1672)/L:L</f>
        <v>1.6E-2</v>
      </c>
      <c r="N1683" s="166">
        <f t="shared" ca="1" si="252"/>
        <v>1.0161286854060949</v>
      </c>
      <c r="O1683" s="247">
        <f t="shared" ca="1" si="254"/>
        <v>2276.8836192428121</v>
      </c>
      <c r="P1683" s="247">
        <f t="shared" ca="1" si="253"/>
        <v>2313.60675884387</v>
      </c>
    </row>
    <row r="1684" spans="1:16" s="247" customFormat="1" x14ac:dyDescent="0.3">
      <c r="A1684" s="247">
        <f>MATCH(Calcs!B1684,Paste_Report_Here!$1:$1,0) -1</f>
        <v>15</v>
      </c>
      <c r="B1684" s="247" t="s">
        <v>133</v>
      </c>
      <c r="C1684" s="166">
        <f ca="1">RANK(N1684,N1674:N1698)</f>
        <v>2</v>
      </c>
      <c r="D1684" s="166">
        <f ca="1">RANK(P1684,P1674:P1698)</f>
        <v>6</v>
      </c>
      <c r="E1684" s="189" t="s">
        <v>162</v>
      </c>
      <c r="F1684" s="179">
        <f ca="1">COUNTIFS(Paste_Report_Here!$E$1:$E$2000,E1668, OFFSET(Paste_Report_Here!$A$1,0,$A1684,2000,1),F$75)</f>
        <v>0</v>
      </c>
      <c r="G1684" s="180">
        <f ca="1">COUNTIFS(Paste_Report_Here!$E$1:$E$2000,E1668, OFFSET(Paste_Report_Here!$A$1,0,$A1684,2000,1),G$75)</f>
        <v>2</v>
      </c>
      <c r="H1684" s="180">
        <f ca="1">COUNTIFS(Paste_Report_Here!$E$1:$E$2000,E1668, OFFSET(Paste_Report_Here!$A$1,0,$A1684,2000,1),H$75)</f>
        <v>14</v>
      </c>
      <c r="I1684" s="180">
        <f ca="1">COUNTIFS(Paste_Report_Here!$E$1:$E$2000,E1668, OFFSET(Paste_Report_Here!$A$1,0,$A1684,2000,1),I$75)</f>
        <v>7</v>
      </c>
      <c r="J1684" s="180">
        <f ca="1">COUNTIFS(Paste_Report_Here!$E$1:$E$2000,E1668, OFFSET(Paste_Report_Here!$A$1,0,$A1684,2000,1),J$75)</f>
        <v>2</v>
      </c>
      <c r="K1684" s="181">
        <f ca="1">COUNTIFS(Paste_Report_Here!$E$1:$E$2000,E1668, OFFSET(Paste_Report_Here!$A$1,0,$A1684,2000,1),K$75)</f>
        <v>0</v>
      </c>
      <c r="L1684" s="166">
        <f t="shared" ca="1" si="251"/>
        <v>25</v>
      </c>
      <c r="M1684" s="183">
        <f ca="1">SUMPRODUCT(F1684:K1684,F1672:K1672)/L:L</f>
        <v>1.6E-2</v>
      </c>
      <c r="N1684" s="166">
        <f t="shared" ca="1" si="252"/>
        <v>1.0161286854060949</v>
      </c>
      <c r="O1684" s="247">
        <f t="shared" ca="1" si="254"/>
        <v>3326.8986716940803</v>
      </c>
      <c r="P1684" s="247">
        <f t="shared" ca="1" si="253"/>
        <v>3380.5571737477894</v>
      </c>
    </row>
    <row r="1685" spans="1:16" s="247" customFormat="1" x14ac:dyDescent="0.3">
      <c r="A1685" s="247">
        <f>MATCH(Calcs!B1685,Paste_Report_Here!$1:$1,0) -1</f>
        <v>16</v>
      </c>
      <c r="B1685" s="247" t="s">
        <v>134</v>
      </c>
      <c r="C1685" s="166">
        <f ca="1">RANK(N1685,N1674:N1698)</f>
        <v>12</v>
      </c>
      <c r="D1685" s="166">
        <f ca="1">RANK(P1685,P1674:P1698)</f>
        <v>25</v>
      </c>
      <c r="E1685" s="189" t="s">
        <v>163</v>
      </c>
      <c r="F1685" s="179">
        <f ca="1">COUNTIFS(Paste_Report_Here!$E$1:$E$2000,E1668, OFFSET(Paste_Report_Here!$A$1,0,$A1685,2000,1),F$75)</f>
        <v>0</v>
      </c>
      <c r="G1685" s="180">
        <f ca="1">COUNTIFS(Paste_Report_Here!$E$1:$E$2000,E1668, OFFSET(Paste_Report_Here!$A$1,0,$A1685,2000,1),G$75)</f>
        <v>1</v>
      </c>
      <c r="H1685" s="180">
        <f ca="1">COUNTIFS(Paste_Report_Here!$E$1:$E$2000,E1668, OFFSET(Paste_Report_Here!$A$1,0,$A1685,2000,1),H$75)</f>
        <v>23</v>
      </c>
      <c r="I1685" s="180">
        <f ca="1">COUNTIFS(Paste_Report_Here!$E$1:$E$2000,E1668, OFFSET(Paste_Report_Here!$A$1,0,$A1685,2000,1),I$75)</f>
        <v>1</v>
      </c>
      <c r="J1685" s="180">
        <f ca="1">COUNTIFS(Paste_Report_Here!$E$1:$E$2000,E1668, OFFSET(Paste_Report_Here!$A$1,0,$A1685,2000,1),J$75)</f>
        <v>0</v>
      </c>
      <c r="K1685" s="181">
        <f ca="1">COUNTIFS(Paste_Report_Here!$E$1:$E$2000,E1668, OFFSET(Paste_Report_Here!$A$1,0,$A1685,2000,1),K$75)</f>
        <v>0</v>
      </c>
      <c r="L1685" s="166">
        <f t="shared" ca="1" si="251"/>
        <v>25</v>
      </c>
      <c r="M1685" s="183">
        <f ca="1">SUMPRODUCT(F1685:K1685,F1672:K1672)/L:L</f>
        <v>0</v>
      </c>
      <c r="N1685" s="166">
        <f t="shared" ca="1" si="252"/>
        <v>1</v>
      </c>
      <c r="O1685" s="247">
        <f t="shared" ca="1" si="254"/>
        <v>1145.7546405911432</v>
      </c>
      <c r="P1685" s="247">
        <f t="shared" ca="1" si="253"/>
        <v>1145.7546405911432</v>
      </c>
    </row>
    <row r="1686" spans="1:16" s="247" customFormat="1" x14ac:dyDescent="0.3">
      <c r="A1686" s="247">
        <f>MATCH(Calcs!B1686,Paste_Report_Here!$1:$1,0) -1</f>
        <v>17</v>
      </c>
      <c r="B1686" s="247" t="s">
        <v>135</v>
      </c>
      <c r="C1686" s="166">
        <f ca="1">RANK(N1686,N1674:N1698)</f>
        <v>12</v>
      </c>
      <c r="D1686" s="166">
        <f ca="1">RANK(P1686,P1674:P1698)</f>
        <v>19</v>
      </c>
      <c r="E1686" s="189" t="s">
        <v>164</v>
      </c>
      <c r="F1686" s="179">
        <f ca="1">COUNTIFS(Paste_Report_Here!$E$1:$E$2000,E1668, OFFSET(Paste_Report_Here!$A$1,0,$A1686,2000,1),F$75)</f>
        <v>0</v>
      </c>
      <c r="G1686" s="180">
        <f ca="1">COUNTIFS(Paste_Report_Here!$E$1:$E$2000,E1668, OFFSET(Paste_Report_Here!$A$1,0,$A1686,2000,1),G$75)</f>
        <v>4</v>
      </c>
      <c r="H1686" s="180">
        <f ca="1">COUNTIFS(Paste_Report_Here!$E$1:$E$2000,E1668, OFFSET(Paste_Report_Here!$A$1,0,$A1686,2000,1),H$75)</f>
        <v>18</v>
      </c>
      <c r="I1686" s="180">
        <f ca="1">COUNTIFS(Paste_Report_Here!$E$1:$E$2000,E1668, OFFSET(Paste_Report_Here!$A$1,0,$A1686,2000,1),I$75)</f>
        <v>3</v>
      </c>
      <c r="J1686" s="180">
        <f ca="1">COUNTIFS(Paste_Report_Here!$E$1:$E$2000,E1668, OFFSET(Paste_Report_Here!$A$1,0,$A1686,2000,1),J$75)</f>
        <v>0</v>
      </c>
      <c r="K1686" s="181">
        <f ca="1">COUNTIFS(Paste_Report_Here!$E$1:$E$2000,E1668, OFFSET(Paste_Report_Here!$A$1,0,$A1686,2000,1),K$75)</f>
        <v>0</v>
      </c>
      <c r="L1686" s="166">
        <f t="shared" ca="1" si="251"/>
        <v>25</v>
      </c>
      <c r="M1686" s="183">
        <f ca="1">SUMPRODUCT(F1686:K1686,F1672:K1672)/L:L</f>
        <v>0</v>
      </c>
      <c r="N1686" s="166">
        <f t="shared" ca="1" si="252"/>
        <v>1</v>
      </c>
      <c r="O1686" s="247">
        <f t="shared" ca="1" si="254"/>
        <v>1895.9579031230744</v>
      </c>
      <c r="P1686" s="247">
        <f t="shared" ca="1" si="253"/>
        <v>1895.9579031230744</v>
      </c>
    </row>
    <row r="1687" spans="1:16" s="247" customFormat="1" x14ac:dyDescent="0.3">
      <c r="A1687" s="247">
        <f>MATCH(Calcs!B1687,Paste_Report_Here!$1:$1,0) -1</f>
        <v>18</v>
      </c>
      <c r="B1687" s="247" t="s">
        <v>136</v>
      </c>
      <c r="C1687" s="166">
        <f ca="1">RANK(N1687,N1674:N1698)</f>
        <v>12</v>
      </c>
      <c r="D1687" s="166">
        <f ca="1">RANK(P1687,P1674:P1698)</f>
        <v>4</v>
      </c>
      <c r="E1687" s="189" t="s">
        <v>165</v>
      </c>
      <c r="F1687" s="179">
        <f ca="1">COUNTIFS(Paste_Report_Here!$E$1:$E$2000,E1668, OFFSET(Paste_Report_Here!$A$1,0,$A1687,2000,1),F$75)</f>
        <v>1</v>
      </c>
      <c r="G1687" s="180">
        <f ca="1">COUNTIFS(Paste_Report_Here!$E$1:$E$2000,E1668, OFFSET(Paste_Report_Here!$A$1,0,$A1687,2000,1),G$75)</f>
        <v>1</v>
      </c>
      <c r="H1687" s="180">
        <f ca="1">COUNTIFS(Paste_Report_Here!$E$1:$E$2000,E1668, OFFSET(Paste_Report_Here!$A$1,0,$A1687,2000,1),H$75)</f>
        <v>18</v>
      </c>
      <c r="I1687" s="180">
        <f ca="1">COUNTIFS(Paste_Report_Here!$E$1:$E$2000,E1668, OFFSET(Paste_Report_Here!$A$1,0,$A1687,2000,1),I$75)</f>
        <v>4</v>
      </c>
      <c r="J1687" s="180">
        <f ca="1">COUNTIFS(Paste_Report_Here!$E$1:$E$2000,E1668, OFFSET(Paste_Report_Here!$A$1,0,$A1687,2000,1),J$75)</f>
        <v>1</v>
      </c>
      <c r="K1687" s="181">
        <f ca="1">COUNTIFS(Paste_Report_Here!$E$1:$E$2000,E1668, OFFSET(Paste_Report_Here!$A$1,0,$A1687,2000,1),K$75)</f>
        <v>0</v>
      </c>
      <c r="L1687" s="166">
        <f t="shared" ca="1" si="251"/>
        <v>25</v>
      </c>
      <c r="M1687" s="183">
        <f ca="1">SUMPRODUCT(F1687:K1687,F1672:K1672)/L:L</f>
        <v>0</v>
      </c>
      <c r="N1687" s="166">
        <f t="shared" ca="1" si="252"/>
        <v>1</v>
      </c>
      <c r="O1687" s="247">
        <f t="shared" ca="1" si="254"/>
        <v>4242.7155018057902</v>
      </c>
      <c r="P1687" s="247">
        <f t="shared" ca="1" si="253"/>
        <v>4242.7155018057902</v>
      </c>
    </row>
    <row r="1688" spans="1:16" s="247" customFormat="1" x14ac:dyDescent="0.3">
      <c r="A1688" s="247">
        <f>MATCH(Calcs!B1688,Paste_Report_Here!$1:$1,0) -1</f>
        <v>19</v>
      </c>
      <c r="B1688" s="247" t="s">
        <v>137</v>
      </c>
      <c r="C1688" s="166">
        <f ca="1">RANK(N1688,N1674:N1698)</f>
        <v>19</v>
      </c>
      <c r="D1688" s="166">
        <f ca="1">RANK(P1688,P1674:P1698)</f>
        <v>15</v>
      </c>
      <c r="E1688" s="189" t="s">
        <v>166</v>
      </c>
      <c r="F1688" s="179">
        <f ca="1">COUNTIFS(Paste_Report_Here!$E$1:$E$2000,E1668, OFFSET(Paste_Report_Here!$A$1,0,$A1688,2000,1),F$75)</f>
        <v>1</v>
      </c>
      <c r="G1688" s="180">
        <f ca="1">COUNTIFS(Paste_Report_Here!$E$1:$E$2000,E1668, OFFSET(Paste_Report_Here!$A$1,0,$A1688,2000,1),G$75)</f>
        <v>1</v>
      </c>
      <c r="H1688" s="180">
        <f ca="1">COUNTIFS(Paste_Report_Here!$E$1:$E$2000,E1668, OFFSET(Paste_Report_Here!$A$1,0,$A1688,2000,1),H$75)</f>
        <v>18</v>
      </c>
      <c r="I1688" s="180">
        <f ca="1">COUNTIFS(Paste_Report_Here!$E$1:$E$2000,E1668, OFFSET(Paste_Report_Here!$A$1,0,$A1688,2000,1),I$75)</f>
        <v>5</v>
      </c>
      <c r="J1688" s="180">
        <f ca="1">COUNTIFS(Paste_Report_Here!$E$1:$E$2000,E1668, OFFSET(Paste_Report_Here!$A$1,0,$A1688,2000,1),J$75)</f>
        <v>0</v>
      </c>
      <c r="K1688" s="181">
        <f ca="1">COUNTIFS(Paste_Report_Here!$E$1:$E$2000,E1668, OFFSET(Paste_Report_Here!$A$1,0,$A1688,2000,1),K$75)</f>
        <v>0</v>
      </c>
      <c r="L1688" s="166">
        <f t="shared" ca="1" si="251"/>
        <v>25</v>
      </c>
      <c r="M1688" s="183">
        <f ca="1">SUMPRODUCT(F1688:K1688,F1672:K1672)/L:L</f>
        <v>-8.0000000000000002E-3</v>
      </c>
      <c r="N1688" s="166">
        <f t="shared" ca="1" si="252"/>
        <v>0.99203191483706066</v>
      </c>
      <c r="O1688" s="247">
        <f t="shared" ca="1" si="254"/>
        <v>2243.7739419386153</v>
      </c>
      <c r="P1688" s="247">
        <f t="shared" ca="1" si="253"/>
        <v>2225.8953600828645</v>
      </c>
    </row>
    <row r="1689" spans="1:16" s="247" customFormat="1" x14ac:dyDescent="0.3">
      <c r="A1689" s="247">
        <f>MATCH(Calcs!B1689,Paste_Report_Here!$1:$1,0) -1</f>
        <v>20</v>
      </c>
      <c r="B1689" s="247" t="s">
        <v>138</v>
      </c>
      <c r="C1689" s="166">
        <f ca="1">RANK(N1689,N1674:N1698)</f>
        <v>19</v>
      </c>
      <c r="D1689" s="166">
        <f ca="1">RANK(P1689,P1674:P1698)</f>
        <v>20</v>
      </c>
      <c r="E1689" s="189" t="s">
        <v>167</v>
      </c>
      <c r="F1689" s="179">
        <f ca="1">COUNTIFS(Paste_Report_Here!$E$1:$E$2000,E1668, OFFSET(Paste_Report_Here!$A$1,0,$A1689,2000,1),F$75)</f>
        <v>1</v>
      </c>
      <c r="G1689" s="180">
        <f ca="1">COUNTIFS(Paste_Report_Here!$E$1:$E$2000,E1668, OFFSET(Paste_Report_Here!$A$1,0,$A1689,2000,1),G$75)</f>
        <v>1</v>
      </c>
      <c r="H1689" s="180">
        <f ca="1">COUNTIFS(Paste_Report_Here!$E$1:$E$2000,E1668, OFFSET(Paste_Report_Here!$A$1,0,$A1689,2000,1),H$75)</f>
        <v>20</v>
      </c>
      <c r="I1689" s="180">
        <f ca="1">COUNTIFS(Paste_Report_Here!$E$1:$E$2000,E1668, OFFSET(Paste_Report_Here!$A$1,0,$A1689,2000,1),I$75)</f>
        <v>3</v>
      </c>
      <c r="J1689" s="180">
        <f ca="1">COUNTIFS(Paste_Report_Here!$E$1:$E$2000,E1668, OFFSET(Paste_Report_Here!$A$1,0,$A1689,2000,1),J$75)</f>
        <v>0</v>
      </c>
      <c r="K1689" s="181">
        <f ca="1">COUNTIFS(Paste_Report_Here!$E$1:$E$2000,E1668, OFFSET(Paste_Report_Here!$A$1,0,$A1689,2000,1),K$75)</f>
        <v>0</v>
      </c>
      <c r="L1689" s="166">
        <f t="shared" ca="1" si="251"/>
        <v>25</v>
      </c>
      <c r="M1689" s="183">
        <f ca="1">SUMPRODUCT(F1689:K1689,F1672:K1672)/L:L</f>
        <v>-8.0000000000000002E-3</v>
      </c>
      <c r="N1689" s="166">
        <f t="shared" ca="1" si="252"/>
        <v>0.99203191483706066</v>
      </c>
      <c r="O1689" s="247">
        <f t="shared" ca="1" si="254"/>
        <v>1848.9149900749132</v>
      </c>
      <c r="P1689" s="247">
        <f t="shared" ca="1" si="253"/>
        <v>1834.1826779749613</v>
      </c>
    </row>
    <row r="1690" spans="1:16" s="247" customFormat="1" x14ac:dyDescent="0.3">
      <c r="A1690" s="247">
        <f>MATCH(Calcs!B1690,Paste_Report_Here!$1:$1,0) -1</f>
        <v>21</v>
      </c>
      <c r="B1690" s="247" t="s">
        <v>139</v>
      </c>
      <c r="C1690" s="166">
        <f ca="1">RANK(N1690,N1674:N1698)</f>
        <v>12</v>
      </c>
      <c r="D1690" s="166">
        <f ca="1">RANK(P1690,P1674:P1698)</f>
        <v>18</v>
      </c>
      <c r="E1690" s="189" t="s">
        <v>168</v>
      </c>
      <c r="F1690" s="179">
        <f ca="1">COUNTIFS(Paste_Report_Here!$E$1:$E$2000,E1668, OFFSET(Paste_Report_Here!$A$1,0,$A1690,2000,1),F$75)</f>
        <v>1</v>
      </c>
      <c r="G1690" s="180">
        <f ca="1">COUNTIFS(Paste_Report_Here!$E$1:$E$2000,E1668, OFFSET(Paste_Report_Here!$A$1,0,$A1690,2000,1),G$75)</f>
        <v>1</v>
      </c>
      <c r="H1690" s="180">
        <f ca="1">COUNTIFS(Paste_Report_Here!$E$1:$E$2000,E1668, OFFSET(Paste_Report_Here!$A$1,0,$A1690,2000,1),H$75)</f>
        <v>19</v>
      </c>
      <c r="I1690" s="180">
        <f ca="1">COUNTIFS(Paste_Report_Here!$E$1:$E$2000,E1668, OFFSET(Paste_Report_Here!$A$1,0,$A1690,2000,1),I$75)</f>
        <v>3</v>
      </c>
      <c r="J1690" s="180">
        <f ca="1">COUNTIFS(Paste_Report_Here!$E$1:$E$2000,E1668, OFFSET(Paste_Report_Here!$A$1,0,$A1690,2000,1),J$75)</f>
        <v>1</v>
      </c>
      <c r="K1690" s="181">
        <f ca="1">COUNTIFS(Paste_Report_Here!$E$1:$E$2000,E1668, OFFSET(Paste_Report_Here!$A$1,0,$A1690,2000,1),K$75)</f>
        <v>0</v>
      </c>
      <c r="L1690" s="166">
        <f t="shared" ca="1" si="251"/>
        <v>25</v>
      </c>
      <c r="M1690" s="183">
        <f ca="1">SUMPRODUCT(F1690:K1690,F1672:K1672)/L:L</f>
        <v>0</v>
      </c>
      <c r="N1690" s="166">
        <f t="shared" ca="1" si="252"/>
        <v>1</v>
      </c>
      <c r="O1690" s="247">
        <f t="shared" ca="1" si="254"/>
        <v>1998.4813467368185</v>
      </c>
      <c r="P1690" s="247">
        <f t="shared" ca="1" si="253"/>
        <v>1998.4813467368185</v>
      </c>
    </row>
    <row r="1691" spans="1:16" s="247" customFormat="1" x14ac:dyDescent="0.3">
      <c r="A1691" s="247">
        <f>MATCH(Calcs!B1691,Paste_Report_Here!$1:$1,0) -1</f>
        <v>22</v>
      </c>
      <c r="B1691" s="247" t="s">
        <v>140</v>
      </c>
      <c r="C1691" s="166">
        <f ca="1">RANK(N1691,N1674:N1698)</f>
        <v>5</v>
      </c>
      <c r="D1691" s="166">
        <f ca="1">RANK(P1691,P1674:P1698)</f>
        <v>16</v>
      </c>
      <c r="E1691" s="189" t="s">
        <v>169</v>
      </c>
      <c r="F1691" s="179">
        <f ca="1">COUNTIFS(Paste_Report_Here!$E$1:$E$2000,E1668, OFFSET(Paste_Report_Here!$A$1,0,$A1691,2000,1),F$75)</f>
        <v>0</v>
      </c>
      <c r="G1691" s="180">
        <f ca="1">COUNTIFS(Paste_Report_Here!$E$1:$E$2000,E1668, OFFSET(Paste_Report_Here!$A$1,0,$A1691,2000,1),G$75)</f>
        <v>1</v>
      </c>
      <c r="H1691" s="180">
        <f ca="1">COUNTIFS(Paste_Report_Here!$E$1:$E$2000,E1668, OFFSET(Paste_Report_Here!$A$1,0,$A1691,2000,1),H$75)</f>
        <v>19</v>
      </c>
      <c r="I1691" s="180">
        <f ca="1">COUNTIFS(Paste_Report_Here!$E$1:$E$2000,E1668, OFFSET(Paste_Report_Here!$A$1,0,$A1691,2000,1),I$75)</f>
        <v>4</v>
      </c>
      <c r="J1691" s="180">
        <f ca="1">COUNTIFS(Paste_Report_Here!$E$1:$E$2000,E1668, OFFSET(Paste_Report_Here!$A$1,0,$A1691,2000,1),J$75)</f>
        <v>1</v>
      </c>
      <c r="K1691" s="181">
        <f ca="1">COUNTIFS(Paste_Report_Here!$E$1:$E$2000,E1668, OFFSET(Paste_Report_Here!$A$1,0,$A1691,2000,1),K$75)</f>
        <v>0</v>
      </c>
      <c r="L1691" s="166">
        <f t="shared" ca="1" si="251"/>
        <v>25</v>
      </c>
      <c r="M1691" s="183">
        <f ca="1">SUMPRODUCT(F1691:K1691,F1672:K1672)/L:L</f>
        <v>8.0000000000000002E-3</v>
      </c>
      <c r="N1691" s="166">
        <f t="shared" ca="1" si="252"/>
        <v>1.0080320855042735</v>
      </c>
      <c r="O1691" s="247">
        <f t="shared" ca="1" si="254"/>
        <v>2188.7311908777215</v>
      </c>
      <c r="P1691" s="247">
        <f t="shared" ca="1" si="253"/>
        <v>2206.3112669487218</v>
      </c>
    </row>
    <row r="1692" spans="1:16" s="247" customFormat="1" x14ac:dyDescent="0.3">
      <c r="A1692" s="247">
        <f>MATCH(Calcs!B1692,Paste_Report_Here!$1:$1,0) -1</f>
        <v>23</v>
      </c>
      <c r="B1692" s="247" t="s">
        <v>186</v>
      </c>
      <c r="C1692" s="166">
        <f ca="1">RANK(N1692,N1674:N1698)</f>
        <v>5</v>
      </c>
      <c r="D1692" s="166">
        <f ca="1">RANK(P1692,P1674:P1698)</f>
        <v>3</v>
      </c>
      <c r="E1692" s="189" t="s">
        <v>180</v>
      </c>
      <c r="F1692" s="179">
        <f ca="1">COUNTIFS(Paste_Report_Here!$E$1:$E$2000,E1668, OFFSET(Paste_Report_Here!$A$1,0,$A1692,2000,1),F$75)</f>
        <v>0</v>
      </c>
      <c r="G1692" s="180">
        <f ca="1">COUNTIFS(Paste_Report_Here!$E$1:$E$2000,E1668, OFFSET(Paste_Report_Here!$A$1,0,$A1692,2000,1),G$75)</f>
        <v>1</v>
      </c>
      <c r="H1692" s="180">
        <f ca="1">COUNTIFS(Paste_Report_Here!$E$1:$E$2000,E1668, OFFSET(Paste_Report_Here!$A$1,0,$A1692,2000,1),H$75)</f>
        <v>19</v>
      </c>
      <c r="I1692" s="180">
        <f ca="1">COUNTIFS(Paste_Report_Here!$E$1:$E$2000,E1668, OFFSET(Paste_Report_Here!$A$1,0,$A1692,2000,1),I$75)</f>
        <v>4</v>
      </c>
      <c r="J1692" s="180">
        <f ca="1">COUNTIFS(Paste_Report_Here!$E$1:$E$2000,E1668, OFFSET(Paste_Report_Here!$A$1,0,$A1692,2000,1),J$75)</f>
        <v>1</v>
      </c>
      <c r="K1692" s="181">
        <f ca="1">COUNTIFS(Paste_Report_Here!$E$1:$E$2000,E1668, OFFSET(Paste_Report_Here!$A$1,0,$A1692,2000,1),K$75)</f>
        <v>0</v>
      </c>
      <c r="L1692" s="166">
        <f t="shared" ca="1" si="251"/>
        <v>25</v>
      </c>
      <c r="M1692" s="183">
        <f ca="1">SUMPRODUCT(F1692:K1692,F1672:K1672)/L:L</f>
        <v>8.0000000000000002E-3</v>
      </c>
      <c r="N1692" s="166">
        <f t="shared" ca="1" si="252"/>
        <v>1.0080320855042735</v>
      </c>
      <c r="O1692" s="247">
        <f t="shared" ca="1" si="254"/>
        <v>4475.0981658087985</v>
      </c>
      <c r="P1692" s="247">
        <f t="shared" ca="1" si="253"/>
        <v>4511.0425369165923</v>
      </c>
    </row>
    <row r="1693" spans="1:16" s="247" customFormat="1" x14ac:dyDescent="0.3">
      <c r="A1693" s="247">
        <f>MATCH(Calcs!B1693,Paste_Report_Here!$1:$1,0) -1</f>
        <v>24</v>
      </c>
      <c r="B1693" s="247" t="s">
        <v>209</v>
      </c>
      <c r="C1693" s="166">
        <f ca="1">RANK(N1693,N1674:N1698)</f>
        <v>19</v>
      </c>
      <c r="D1693" s="166">
        <f ca="1">RANK(P1693,P1674:P1698)</f>
        <v>23</v>
      </c>
      <c r="E1693" s="202" t="s">
        <v>211</v>
      </c>
      <c r="F1693" s="179">
        <f ca="1">COUNTIFS(Paste_Report_Here!$E$1:$E$2000,E1668, OFFSET(Paste_Report_Here!$A$1,0,$A1693,2000,1),F$75)</f>
        <v>1</v>
      </c>
      <c r="G1693" s="180">
        <f ca="1">COUNTIFS(Paste_Report_Here!$E$1:$E$2000,E1668, OFFSET(Paste_Report_Here!$A$1,0,$A1693,2000,1),G$75)</f>
        <v>2</v>
      </c>
      <c r="H1693" s="180">
        <f ca="1">COUNTIFS(Paste_Report_Here!$E$1:$E$2000,E1668, OFFSET(Paste_Report_Here!$A$1,0,$A1693,2000,1),H$75)</f>
        <v>17</v>
      </c>
      <c r="I1693" s="180">
        <f ca="1">COUNTIFS(Paste_Report_Here!$E$1:$E$2000,E1668, OFFSET(Paste_Report_Here!$A$1,0,$A1693,2000,1),I$75)</f>
        <v>5</v>
      </c>
      <c r="J1693" s="180">
        <f ca="1">COUNTIFS(Paste_Report_Here!$E$1:$E$2000,E1668, OFFSET(Paste_Report_Here!$A$1,0,$A1693,2000,1),J$75)</f>
        <v>0</v>
      </c>
      <c r="K1693" s="181">
        <f ca="1">COUNTIFS(Paste_Report_Here!$E$1:$E$2000,E1668, OFFSET(Paste_Report_Here!$A$1,0,$A1693,2000,1),K$75)</f>
        <v>0</v>
      </c>
      <c r="L1693" s="166">
        <f t="shared" ca="1" si="251"/>
        <v>25</v>
      </c>
      <c r="M1693" s="183">
        <f ca="1">SUMPRODUCT(F1693:K1693,F1672:K1672)/L:L</f>
        <v>-8.0000000000000002E-3</v>
      </c>
      <c r="N1693" s="166">
        <f t="shared" ca="1" si="252"/>
        <v>0.99203191483706066</v>
      </c>
      <c r="O1693" s="247">
        <f t="shared" ca="1" si="254"/>
        <v>1252.2478137480582</v>
      </c>
      <c r="P1693" s="247">
        <f t="shared" ca="1" si="253"/>
        <v>1242.2697965230091</v>
      </c>
    </row>
    <row r="1694" spans="1:16" s="247" customFormat="1" x14ac:dyDescent="0.3">
      <c r="A1694" s="247">
        <f>MATCH(Calcs!B1694,Paste_Report_Here!$1:$1,0) -1</f>
        <v>25</v>
      </c>
      <c r="B1694" s="247" t="s">
        <v>141</v>
      </c>
      <c r="C1694" s="166">
        <f ca="1">RANK(N1694,N1674:N1698)</f>
        <v>19</v>
      </c>
      <c r="D1694" s="166">
        <f ca="1">RANK(P1694,P1674:P1698)</f>
        <v>22</v>
      </c>
      <c r="E1694" s="189" t="s">
        <v>170</v>
      </c>
      <c r="F1694" s="179">
        <f ca="1">COUNTIFS(Paste_Report_Here!$E$1:$E$2000,E1668, OFFSET(Paste_Report_Here!$A$1,0,$A1694,2000,1),F$75)</f>
        <v>1</v>
      </c>
      <c r="G1694" s="180">
        <f ca="1">COUNTIFS(Paste_Report_Here!$E$1:$E$2000,E1668, OFFSET(Paste_Report_Here!$A$1,0,$A1694,2000,1),G$75)</f>
        <v>3</v>
      </c>
      <c r="H1694" s="180">
        <f ca="1">COUNTIFS(Paste_Report_Here!$E$1:$E$2000,E1668, OFFSET(Paste_Report_Here!$A$1,0,$A1694,2000,1),H$75)</f>
        <v>18</v>
      </c>
      <c r="I1694" s="180">
        <f ca="1">COUNTIFS(Paste_Report_Here!$E$1:$E$2000,E1668, OFFSET(Paste_Report_Here!$A$1,0,$A1694,2000,1),I$75)</f>
        <v>3</v>
      </c>
      <c r="J1694" s="180">
        <f ca="1">COUNTIFS(Paste_Report_Here!$E$1:$E$2000,E1668, OFFSET(Paste_Report_Here!$A$1,0,$A1694,2000,1),J$75)</f>
        <v>0</v>
      </c>
      <c r="K1694" s="181">
        <f ca="1">COUNTIFS(Paste_Report_Here!$E$1:$E$2000,E1668, OFFSET(Paste_Report_Here!$A$1,0,$A1694,2000,1),K$75)</f>
        <v>0</v>
      </c>
      <c r="L1694" s="166">
        <f t="shared" ca="1" si="251"/>
        <v>25</v>
      </c>
      <c r="M1694" s="183">
        <f ca="1">SUMPRODUCT(F1694:K1694,F1672:K1672)/L:L</f>
        <v>-8.0000000000000002E-3</v>
      </c>
      <c r="N1694" s="166">
        <f t="shared" ca="1" si="252"/>
        <v>0.99203191483706066</v>
      </c>
      <c r="O1694" s="247">
        <f t="shared" ca="1" si="254"/>
        <v>1339.5562540040771</v>
      </c>
      <c r="P1694" s="247">
        <f t="shared" ca="1" si="253"/>
        <v>1328.8825556916247</v>
      </c>
    </row>
    <row r="1695" spans="1:16" s="247" customFormat="1" x14ac:dyDescent="0.3">
      <c r="A1695" s="247">
        <f>MATCH(Calcs!B1695,Paste_Report_Here!$1:$1,0) -1</f>
        <v>26</v>
      </c>
      <c r="B1695" s="247" t="s">
        <v>142</v>
      </c>
      <c r="C1695" s="166">
        <f ca="1">RANK(N1695,N1674:N1698)</f>
        <v>19</v>
      </c>
      <c r="D1695" s="166">
        <f ca="1">RANK(P1695,P1674:P1698)</f>
        <v>13</v>
      </c>
      <c r="E1695" s="189" t="s">
        <v>171</v>
      </c>
      <c r="F1695" s="179">
        <f ca="1">COUNTIFS(Paste_Report_Here!$E$1:$E$2000,E1668, OFFSET(Paste_Report_Here!$A$1,0,$A1695,2000,1),F$75)</f>
        <v>1</v>
      </c>
      <c r="G1695" s="180">
        <f ca="1">COUNTIFS(Paste_Report_Here!$E$1:$E$2000,E1668, OFFSET(Paste_Report_Here!$A$1,0,$A1695,2000,1),G$75)</f>
        <v>1</v>
      </c>
      <c r="H1695" s="180">
        <f ca="1">COUNTIFS(Paste_Report_Here!$E$1:$E$2000,E1668, OFFSET(Paste_Report_Here!$A$1,0,$A1695,2000,1),H$75)</f>
        <v>18</v>
      </c>
      <c r="I1695" s="180">
        <f ca="1">COUNTIFS(Paste_Report_Here!$E$1:$E$2000,E1668, OFFSET(Paste_Report_Here!$A$1,0,$A1695,2000,1),I$75)</f>
        <v>4</v>
      </c>
      <c r="J1695" s="180">
        <f ca="1">COUNTIFS(Paste_Report_Here!$E$1:$E$2000,E1668, OFFSET(Paste_Report_Here!$A$1,0,$A1695,2000,1),J$75)</f>
        <v>0</v>
      </c>
      <c r="K1695" s="181">
        <f ca="1">COUNTIFS(Paste_Report_Here!$E$1:$E$2000,E1668, OFFSET(Paste_Report_Here!$A$1,0,$A1695,2000,1),K$75)</f>
        <v>1</v>
      </c>
      <c r="L1695" s="166">
        <f t="shared" ca="1" si="251"/>
        <v>25</v>
      </c>
      <c r="M1695" s="183">
        <f ca="1">SUMPRODUCT(F1695:K1695,F1672:K1672)/L:L</f>
        <v>-8.0000000000000002E-3</v>
      </c>
      <c r="N1695" s="166">
        <f t="shared" ca="1" si="252"/>
        <v>0.99203191483706066</v>
      </c>
      <c r="O1695" s="247">
        <f t="shared" ca="1" si="254"/>
        <v>2285.5002104745931</v>
      </c>
      <c r="P1695" s="247">
        <f t="shared" ca="1" si="253"/>
        <v>2267.2891501576159</v>
      </c>
    </row>
    <row r="1696" spans="1:16" s="247" customFormat="1" x14ac:dyDescent="0.3">
      <c r="A1696" s="247">
        <f>MATCH(Calcs!B1696,Paste_Report_Here!$1:$1,0) -1</f>
        <v>27</v>
      </c>
      <c r="B1696" s="247" t="s">
        <v>210</v>
      </c>
      <c r="C1696" s="166">
        <f ca="1">RANK(N1696,N1674:N1698)</f>
        <v>5</v>
      </c>
      <c r="D1696" s="166">
        <f ca="1">RANK(P1696,P1674:P1698)</f>
        <v>24</v>
      </c>
      <c r="E1696" s="202" t="s">
        <v>212</v>
      </c>
      <c r="F1696" s="179">
        <f ca="1">COUNTIFS(Paste_Report_Here!$E$1:$E$2000,E1668, OFFSET(Paste_Report_Here!$A$1,0,$A1696,2000,1),F$75)</f>
        <v>0</v>
      </c>
      <c r="G1696" s="180">
        <f ca="1">COUNTIFS(Paste_Report_Here!$E$1:$E$2000,E1668, OFFSET(Paste_Report_Here!$A$1,0,$A1696,2000,1),G$75)</f>
        <v>0</v>
      </c>
      <c r="H1696" s="180">
        <f ca="1">COUNTIFS(Paste_Report_Here!$E$1:$E$2000,E1668, OFFSET(Paste_Report_Here!$A$1,0,$A1696,2000,1),H$75)</f>
        <v>17</v>
      </c>
      <c r="I1696" s="180">
        <f ca="1">COUNTIFS(Paste_Report_Here!$E$1:$E$2000,E1668, OFFSET(Paste_Report_Here!$A$1,0,$A1696,2000,1),I$75)</f>
        <v>6</v>
      </c>
      <c r="J1696" s="180">
        <f ca="1">COUNTIFS(Paste_Report_Here!$E$1:$E$2000,E1668, OFFSET(Paste_Report_Here!$A$1,0,$A1696,2000,1),J$75)</f>
        <v>1</v>
      </c>
      <c r="K1696" s="181">
        <f ca="1">COUNTIFS(Paste_Report_Here!$E$1:$E$2000,E1668, OFFSET(Paste_Report_Here!$A$1,0,$A1696,2000,1),K$75)</f>
        <v>1</v>
      </c>
      <c r="L1696" s="166">
        <f t="shared" ca="1" si="251"/>
        <v>25</v>
      </c>
      <c r="M1696" s="183">
        <f ca="1">SUMPRODUCT(F1696:K1696,F1672:K1672)/L:L</f>
        <v>8.0000000000000002E-3</v>
      </c>
      <c r="N1696" s="166">
        <f t="shared" ca="1" si="252"/>
        <v>1.0080320855042735</v>
      </c>
      <c r="O1696" s="247">
        <f t="shared" ca="1" si="254"/>
        <v>1143.6699917353874</v>
      </c>
      <c r="P1696" s="247">
        <f t="shared" ca="1" si="253"/>
        <v>1152.8560468976777</v>
      </c>
    </row>
    <row r="1697" spans="1:16" s="247" customFormat="1" x14ac:dyDescent="0.3">
      <c r="A1697" s="247">
        <f>MATCH(Calcs!B1697,Paste_Report_Here!$1:$1,0) -1</f>
        <v>28</v>
      </c>
      <c r="B1697" s="247" t="s">
        <v>143</v>
      </c>
      <c r="C1697" s="166">
        <f ca="1">RANK(N1697,N1674:N1698)</f>
        <v>2</v>
      </c>
      <c r="D1697" s="166">
        <f ca="1">RANK(P1697,P1674:P1698)</f>
        <v>1</v>
      </c>
      <c r="E1697" s="189" t="s">
        <v>172</v>
      </c>
      <c r="F1697" s="179">
        <f ca="1">COUNTIFS(Paste_Report_Here!$E$1:$E$2000,E1668, OFFSET(Paste_Report_Here!$A$1,0,$A1697,2000,1),F$75)</f>
        <v>0</v>
      </c>
      <c r="G1697" s="180">
        <f ca="1">COUNTIFS(Paste_Report_Here!$E$1:$E$2000,E1668, OFFSET(Paste_Report_Here!$A$1,0,$A1697,2000,1),G$75)</f>
        <v>0</v>
      </c>
      <c r="H1697" s="180">
        <f ca="1">COUNTIFS(Paste_Report_Here!$E$1:$E$2000,E1668, OFFSET(Paste_Report_Here!$A$1,0,$A1697,2000,1),H$75)</f>
        <v>17</v>
      </c>
      <c r="I1697" s="180">
        <f ca="1">COUNTIFS(Paste_Report_Here!$E$1:$E$2000,E1668, OFFSET(Paste_Report_Here!$A$1,0,$A1697,2000,1),I$75)</f>
        <v>6</v>
      </c>
      <c r="J1697" s="180">
        <f ca="1">COUNTIFS(Paste_Report_Here!$E$1:$E$2000,E1668, OFFSET(Paste_Report_Here!$A$1,0,$A1697,2000,1),J$75)</f>
        <v>2</v>
      </c>
      <c r="K1697" s="181">
        <f ca="1">COUNTIFS(Paste_Report_Here!$E$1:$E$2000,E1668, OFFSET(Paste_Report_Here!$A$1,0,$A1697,2000,1),K$75)</f>
        <v>0</v>
      </c>
      <c r="L1697" s="166">
        <f t="shared" ca="1" si="251"/>
        <v>25</v>
      </c>
      <c r="M1697" s="183">
        <f ca="1">SUMPRODUCT(F1697:K1697,F1672:K1672)/L:L</f>
        <v>1.6E-2</v>
      </c>
      <c r="N1697" s="166">
        <f t="shared" ca="1" si="252"/>
        <v>1.0161286854060949</v>
      </c>
      <c r="O1697" s="247">
        <f t="shared" ca="1" si="254"/>
        <v>10582.590222271459</v>
      </c>
      <c r="P1697" s="247">
        <f t="shared" ca="1" si="253"/>
        <v>10753.273490748092</v>
      </c>
    </row>
    <row r="1698" spans="1:16" s="247" customFormat="1" x14ac:dyDescent="0.3">
      <c r="A1698" s="247">
        <f>MATCH(Calcs!B1698,Paste_Report_Here!$1:$1,0) -1</f>
        <v>29</v>
      </c>
      <c r="B1698" s="187" t="s">
        <v>144</v>
      </c>
      <c r="C1698" s="147">
        <f ca="1">RANK(N1698,N1674:N1698)</f>
        <v>12</v>
      </c>
      <c r="D1698" s="147">
        <f ca="1">RANK(P1698,P1674:P1698)</f>
        <v>11</v>
      </c>
      <c r="E1698" s="145" t="s">
        <v>173</v>
      </c>
      <c r="F1698" s="146">
        <f ca="1">COUNTIFS(Paste_Report_Here!$E$1:$E$2000,E1668, OFFSET(Paste_Report_Here!$A$1,0,$A1698,2000,1),F$75)</f>
        <v>0</v>
      </c>
      <c r="G1698" s="147">
        <f ca="1">COUNTIFS(Paste_Report_Here!$E$1:$E$2000,E1668, OFFSET(Paste_Report_Here!$A$1,0,$A1698,2000,1),G$75)</f>
        <v>0</v>
      </c>
      <c r="H1698" s="147">
        <f ca="1">COUNTIFS(Paste_Report_Here!$E$1:$E$2000,E1668, OFFSET(Paste_Report_Here!$A$1,0,$A1698,2000,1),H$75)</f>
        <v>18</v>
      </c>
      <c r="I1698" s="147">
        <f ca="1">COUNTIFS(Paste_Report_Here!$E$1:$E$2000,E1668, OFFSET(Paste_Report_Here!$A$1,0,$A1698,2000,1),I$75)</f>
        <v>7</v>
      </c>
      <c r="J1698" s="147">
        <f ca="1">COUNTIFS(Paste_Report_Here!$E$1:$E$2000,E1668, OFFSET(Paste_Report_Here!$A$1,0,$A1698,2000,1),J$75)</f>
        <v>0</v>
      </c>
      <c r="K1698" s="148">
        <f ca="1">COUNTIFS(Paste_Report_Here!$E$1:$E$2000,E1668, OFFSET(Paste_Report_Here!$A$1,0,$A1698,2000,1),K$75)</f>
        <v>0</v>
      </c>
      <c r="L1698" s="147">
        <f t="shared" ca="1" si="251"/>
        <v>25</v>
      </c>
      <c r="M1698" s="149">
        <f ca="1">SUMPRODUCT(F1698:K1698,F1672:K1672)/L:L</f>
        <v>0</v>
      </c>
      <c r="N1698" s="147">
        <f t="shared" ca="1" si="252"/>
        <v>1</v>
      </c>
      <c r="O1698" s="187">
        <f t="shared" ca="1" si="254"/>
        <v>2392.2261011950159</v>
      </c>
      <c r="P1698" s="247">
        <f t="shared" ca="1" si="253"/>
        <v>2392.2261011950159</v>
      </c>
    </row>
    <row r="1699" spans="1:16" s="247" customFormat="1" x14ac:dyDescent="0.3">
      <c r="C1699" s="166"/>
      <c r="E1699" s="140" t="s">
        <v>293</v>
      </c>
      <c r="F1699" s="180">
        <f ca="1">SUM(F1674:F1698)</f>
        <v>9</v>
      </c>
      <c r="G1699" s="180">
        <f t="shared" ref="G1699:L1699" ca="1" si="255">SUM(G1674:G1698)</f>
        <v>41</v>
      </c>
      <c r="H1699" s="180">
        <f t="shared" ca="1" si="255"/>
        <v>439</v>
      </c>
      <c r="I1699" s="180">
        <f t="shared" ca="1" si="255"/>
        <v>114</v>
      </c>
      <c r="J1699" s="180">
        <f t="shared" ca="1" si="255"/>
        <v>19</v>
      </c>
      <c r="K1699" s="180">
        <f t="shared" ca="1" si="255"/>
        <v>3</v>
      </c>
      <c r="L1699" s="180">
        <f t="shared" ca="1" si="255"/>
        <v>625</v>
      </c>
      <c r="M1699" s="144">
        <f ca="1">SUMPRODUCT(F1699:K1699,F1672:K1672)/L1699</f>
        <v>3.2000000000000002E-3</v>
      </c>
      <c r="N1699" s="166">
        <f t="shared" ca="1" si="252"/>
        <v>1.0032051254657053</v>
      </c>
      <c r="O1699" s="247">
        <f t="shared" ca="1" si="254"/>
        <v>2774.277164013065</v>
      </c>
      <c r="P1699" s="247">
        <f t="shared" ca="1" si="253"/>
        <v>2783.1690704003677</v>
      </c>
    </row>
    <row r="1700" spans="1:16" s="247" customFormat="1" x14ac:dyDescent="0.3">
      <c r="A1700" s="194"/>
      <c r="B1700" s="194"/>
      <c r="C1700" s="153"/>
      <c r="D1700" s="194"/>
      <c r="E1700" s="164"/>
      <c r="F1700" s="151"/>
      <c r="G1700" s="151"/>
      <c r="H1700" s="151"/>
      <c r="I1700" s="151"/>
      <c r="J1700" s="151"/>
      <c r="K1700" s="151"/>
      <c r="L1700" s="151"/>
      <c r="M1700" s="162"/>
      <c r="N1700" s="153"/>
      <c r="O1700" s="194"/>
      <c r="P1700" s="194"/>
    </row>
    <row r="1701" spans="1:16" x14ac:dyDescent="0.3">
      <c r="A1701" s="247"/>
      <c r="B1701" s="247"/>
      <c r="C1701" s="247"/>
      <c r="D1701" s="247"/>
      <c r="E1701" s="173" t="s">
        <v>292</v>
      </c>
      <c r="F1701" s="247"/>
      <c r="G1701" s="247"/>
      <c r="H1701" s="247"/>
      <c r="I1701" s="247"/>
      <c r="J1701" s="247"/>
      <c r="K1701" s="247"/>
      <c r="L1701" s="247"/>
      <c r="M1701" s="247"/>
      <c r="N1701" s="247"/>
      <c r="O1701" s="247"/>
      <c r="P1701" s="247"/>
    </row>
    <row r="1702" spans="1:16" x14ac:dyDescent="0.3">
      <c r="A1702" s="247"/>
      <c r="B1702" s="247"/>
      <c r="C1702" s="247"/>
      <c r="D1702" s="247"/>
      <c r="E1702" s="141">
        <v>42062</v>
      </c>
      <c r="F1702" s="247"/>
      <c r="G1702" s="247"/>
      <c r="H1702" s="247"/>
      <c r="I1702" s="247"/>
      <c r="J1702" s="247"/>
      <c r="K1702" s="247"/>
      <c r="L1702" s="247"/>
      <c r="M1702" s="247"/>
      <c r="N1702" s="247"/>
      <c r="O1702" s="247"/>
      <c r="P1702" s="247"/>
    </row>
    <row r="1703" spans="1:16" ht="15" thickBot="1" x14ac:dyDescent="0.35">
      <c r="A1703" s="247"/>
      <c r="B1703" s="247"/>
      <c r="C1703" s="247"/>
      <c r="D1703" s="247"/>
      <c r="E1703" s="247"/>
      <c r="F1703" s="247"/>
      <c r="G1703" s="247"/>
      <c r="H1703" s="247"/>
      <c r="I1703" s="247"/>
      <c r="J1703" s="247"/>
      <c r="K1703" s="247"/>
      <c r="L1703" s="247"/>
      <c r="M1703" s="247"/>
      <c r="N1703" s="247"/>
      <c r="O1703" s="247"/>
      <c r="P1703" s="247"/>
    </row>
    <row r="1704" spans="1:16" ht="24.6" thickBot="1" x14ac:dyDescent="0.35">
      <c r="A1704" s="247"/>
      <c r="B1704" s="247"/>
      <c r="C1704" s="247"/>
      <c r="D1704" s="247"/>
      <c r="E1704" s="247"/>
      <c r="F1704" s="174" t="s">
        <v>23</v>
      </c>
      <c r="G1704" s="168" t="s">
        <v>18</v>
      </c>
      <c r="H1704" s="168" t="s">
        <v>16</v>
      </c>
      <c r="I1704" s="168" t="s">
        <v>17</v>
      </c>
      <c r="J1704" s="168" t="s">
        <v>19</v>
      </c>
      <c r="K1704" s="169" t="s">
        <v>114</v>
      </c>
      <c r="L1704" s="247"/>
      <c r="M1704" s="247"/>
      <c r="N1704" s="247"/>
      <c r="O1704" s="247"/>
      <c r="P1704" s="247"/>
    </row>
    <row r="1705" spans="1:16" x14ac:dyDescent="0.3">
      <c r="A1705" s="247"/>
      <c r="B1705" s="247"/>
      <c r="C1705" s="247"/>
      <c r="D1705" s="247"/>
      <c r="E1705" s="247"/>
      <c r="F1705" s="267" t="s">
        <v>201</v>
      </c>
      <c r="G1705" s="268"/>
      <c r="H1705" s="268"/>
      <c r="I1705" s="268"/>
      <c r="J1705" s="268"/>
      <c r="K1705" s="169"/>
      <c r="L1705" s="247"/>
      <c r="M1705" s="203">
        <f ca="1">(H1733+K1733)/L1733</f>
        <v>0.77714285714285714</v>
      </c>
      <c r="N1705" s="204" t="s">
        <v>501</v>
      </c>
      <c r="O1705" s="247"/>
      <c r="P1705" s="247"/>
    </row>
    <row r="1706" spans="1:16" ht="43.8" thickBot="1" x14ac:dyDescent="0.35">
      <c r="A1706" s="142" t="s">
        <v>294</v>
      </c>
      <c r="B1706" s="142" t="s">
        <v>295</v>
      </c>
      <c r="C1706" s="197" t="s">
        <v>440</v>
      </c>
      <c r="D1706" s="142" t="s">
        <v>441</v>
      </c>
      <c r="E1706" s="171" t="s">
        <v>30</v>
      </c>
      <c r="F1706" s="175">
        <f>Falling_fast</f>
        <v>-0.2</v>
      </c>
      <c r="G1706" s="176">
        <f>Falling</f>
        <v>0</v>
      </c>
      <c r="H1706" s="177">
        <f>Static</f>
        <v>0</v>
      </c>
      <c r="I1706" s="176">
        <f>Rising</f>
        <v>0</v>
      </c>
      <c r="J1706" s="178">
        <f>Rising_fast</f>
        <v>0.2</v>
      </c>
      <c r="K1706" s="182">
        <v>0</v>
      </c>
      <c r="L1706" s="171" t="s">
        <v>28</v>
      </c>
      <c r="M1706" s="172" t="s">
        <v>29</v>
      </c>
      <c r="N1706" s="143" t="s">
        <v>296</v>
      </c>
      <c r="O1706" s="142" t="s">
        <v>297</v>
      </c>
      <c r="P1706" s="142" t="s">
        <v>298</v>
      </c>
    </row>
    <row r="1707" spans="1:16" x14ac:dyDescent="0.3">
      <c r="A1707" s="247"/>
      <c r="B1707" s="247"/>
      <c r="C1707" s="166"/>
      <c r="D1707" s="247"/>
      <c r="E1707" s="192"/>
      <c r="F1707" s="198" t="s">
        <v>151</v>
      </c>
      <c r="G1707" s="199" t="s">
        <v>149</v>
      </c>
      <c r="H1707" s="199" t="s">
        <v>16</v>
      </c>
      <c r="I1707" s="199" t="s">
        <v>148</v>
      </c>
      <c r="J1707" s="199" t="s">
        <v>150</v>
      </c>
      <c r="K1707" s="200" t="s">
        <v>114</v>
      </c>
      <c r="L1707" s="166"/>
      <c r="M1707" s="170"/>
      <c r="N1707" s="166"/>
      <c r="O1707" s="247"/>
      <c r="P1707" s="247"/>
    </row>
    <row r="1708" spans="1:16" x14ac:dyDescent="0.3">
      <c r="A1708" s="247">
        <f>MATCH(Calcs!B1708,Paste_Report_Here!$1:$1,0) -1</f>
        <v>5</v>
      </c>
      <c r="B1708" s="247" t="s">
        <v>124</v>
      </c>
      <c r="C1708" s="166">
        <f ca="1">RANK(N1708,N1708:N1732)</f>
        <v>3</v>
      </c>
      <c r="D1708" s="166">
        <f ca="1">RANK(P1708,P1708:P1732)</f>
        <v>14</v>
      </c>
      <c r="E1708" s="189" t="s">
        <v>152</v>
      </c>
      <c r="F1708" s="179">
        <f ca="1">COUNTIFS(Paste_Report_Here!$E$1:$E$2000,E1702, OFFSET(Paste_Report_Here!$A$1,0,$A1708,2000,1),F$75)</f>
        <v>1</v>
      </c>
      <c r="G1708" s="180">
        <f ca="1">COUNTIFS(Paste_Report_Here!$E$1:$E$2000,E1702, OFFSET(Paste_Report_Here!$A$1,0,$A1708,2000,1),G$75)</f>
        <v>0</v>
      </c>
      <c r="H1708" s="180">
        <f ca="1">COUNTIFS(Paste_Report_Here!$E$1:$E$2000,E1702, OFFSET(Paste_Report_Here!$A$1,0,$A1708,2000,1),H$75)</f>
        <v>15</v>
      </c>
      <c r="I1708" s="180">
        <f ca="1">COUNTIFS(Paste_Report_Here!$E$1:$E$2000,E1702, OFFSET(Paste_Report_Here!$A$1,0,$A1708,2000,1),I$75)</f>
        <v>4</v>
      </c>
      <c r="J1708" s="180">
        <f ca="1">COUNTIFS(Paste_Report_Here!$E$1:$E$2000,E1702, OFFSET(Paste_Report_Here!$A$1,0,$A1708,2000,1),J$75)</f>
        <v>1</v>
      </c>
      <c r="K1708" s="181">
        <f ca="1">COUNTIFS(Paste_Report_Here!$E$1:$E$2000,E1702, OFFSET(Paste_Report_Here!$A$1,0,$A1708,2000,1),K$75)</f>
        <v>0</v>
      </c>
      <c r="L1708" s="166">
        <f t="shared" ref="L1708:L1732" ca="1" si="256">SUM(F1708:K1708)</f>
        <v>21</v>
      </c>
      <c r="M1708" s="183">
        <f ca="1">SUMPRODUCT(F1708:K1708,F1706:K1706)/L:L</f>
        <v>0</v>
      </c>
      <c r="N1708" s="166">
        <f t="shared" ref="N1708:N1733" ca="1" si="257">EXP(M1708)</f>
        <v>1</v>
      </c>
      <c r="O1708" s="247">
        <f ca="1">P1674</f>
        <v>2235.8286752349618</v>
      </c>
      <c r="P1708" s="247">
        <f t="shared" ref="P1708:P1733" ca="1" si="258">O1708*N1708</f>
        <v>2235.8286752349618</v>
      </c>
    </row>
    <row r="1709" spans="1:16" x14ac:dyDescent="0.3">
      <c r="A1709" s="247">
        <f>MATCH(Calcs!B1709,Paste_Report_Here!$1:$1,0) -1</f>
        <v>6</v>
      </c>
      <c r="B1709" s="247" t="s">
        <v>125</v>
      </c>
      <c r="C1709" s="166">
        <f ca="1">RANK(N1709,N1708:N1732)</f>
        <v>11</v>
      </c>
      <c r="D1709" s="166">
        <f ca="1">RANK(P1709,P1708:P1732)</f>
        <v>17</v>
      </c>
      <c r="E1709" s="189" t="s">
        <v>153</v>
      </c>
      <c r="F1709" s="179">
        <f ca="1">COUNTIFS(Paste_Report_Here!$E$1:$E$2000,E1702, OFFSET(Paste_Report_Here!$A$1,0,$A1709,2000,1),F$75)</f>
        <v>1</v>
      </c>
      <c r="G1709" s="180">
        <f ca="1">COUNTIFS(Paste_Report_Here!$E$1:$E$2000,E1702, OFFSET(Paste_Report_Here!$A$1,0,$A1709,2000,1),G$75)</f>
        <v>0</v>
      </c>
      <c r="H1709" s="180">
        <f ca="1">COUNTIFS(Paste_Report_Here!$E$1:$E$2000,E1702, OFFSET(Paste_Report_Here!$A$1,0,$A1709,2000,1),H$75)</f>
        <v>16</v>
      </c>
      <c r="I1709" s="180">
        <f ca="1">COUNTIFS(Paste_Report_Here!$E$1:$E$2000,E1702, OFFSET(Paste_Report_Here!$A$1,0,$A1709,2000,1),I$75)</f>
        <v>4</v>
      </c>
      <c r="J1709" s="180">
        <f ca="1">COUNTIFS(Paste_Report_Here!$E$1:$E$2000,E1702, OFFSET(Paste_Report_Here!$A$1,0,$A1709,2000,1),J$75)</f>
        <v>0</v>
      </c>
      <c r="K1709" s="181">
        <f ca="1">COUNTIFS(Paste_Report_Here!$E$1:$E$2000,E1702, OFFSET(Paste_Report_Here!$A$1,0,$A1709,2000,1),K$75)</f>
        <v>0</v>
      </c>
      <c r="L1709" s="166">
        <f t="shared" ca="1" si="256"/>
        <v>21</v>
      </c>
      <c r="M1709" s="183">
        <f ca="1">SUMPRODUCT(F1709:K1709,F1706:K1706)/L:L</f>
        <v>-9.5238095238095247E-3</v>
      </c>
      <c r="N1709" s="166">
        <f t="shared" ca="1" si="257"/>
        <v>0.99052139831932107</v>
      </c>
      <c r="O1709" s="247">
        <f t="shared" ref="O1709:O1733" ca="1" si="259">P1675</f>
        <v>2068.602413094678</v>
      </c>
      <c r="P1709" s="247">
        <f t="shared" ca="1" si="258"/>
        <v>2048.9949547852625</v>
      </c>
    </row>
    <row r="1710" spans="1:16" x14ac:dyDescent="0.3">
      <c r="A1710" s="247">
        <f>MATCH(Calcs!B1710,Paste_Report_Here!$1:$1,0) -1</f>
        <v>7</v>
      </c>
      <c r="B1710" s="247" t="s">
        <v>126</v>
      </c>
      <c r="C1710" s="166">
        <f ca="1">RANK(N1710,N1708:N1732)</f>
        <v>11</v>
      </c>
      <c r="D1710" s="166">
        <f ca="1">RANK(P1710,P1708:P1732)</f>
        <v>8</v>
      </c>
      <c r="E1710" s="189" t="s">
        <v>154</v>
      </c>
      <c r="F1710" s="179">
        <f ca="1">COUNTIFS(Paste_Report_Here!$E$1:$E$2000,E1702, OFFSET(Paste_Report_Here!$A$1,0,$A1710,2000,1),F$75)</f>
        <v>1</v>
      </c>
      <c r="G1710" s="180">
        <f ca="1">COUNTIFS(Paste_Report_Here!$E$1:$E$2000,E1702, OFFSET(Paste_Report_Here!$A$1,0,$A1710,2000,1),G$75)</f>
        <v>0</v>
      </c>
      <c r="H1710" s="180">
        <f ca="1">COUNTIFS(Paste_Report_Here!$E$1:$E$2000,E1702, OFFSET(Paste_Report_Here!$A$1,0,$A1710,2000,1),H$75)</f>
        <v>18</v>
      </c>
      <c r="I1710" s="180">
        <f ca="1">COUNTIFS(Paste_Report_Here!$E$1:$E$2000,E1702, OFFSET(Paste_Report_Here!$A$1,0,$A1710,2000,1),I$75)</f>
        <v>2</v>
      </c>
      <c r="J1710" s="180">
        <f ca="1">COUNTIFS(Paste_Report_Here!$E$1:$E$2000,E1702, OFFSET(Paste_Report_Here!$A$1,0,$A1710,2000,1),J$75)</f>
        <v>0</v>
      </c>
      <c r="K1710" s="181">
        <f ca="1">COUNTIFS(Paste_Report_Here!$E$1:$E$2000,E1702, OFFSET(Paste_Report_Here!$A$1,0,$A1710,2000,1),K$75)</f>
        <v>0</v>
      </c>
      <c r="L1710" s="166">
        <f t="shared" ca="1" si="256"/>
        <v>21</v>
      </c>
      <c r="M1710" s="183">
        <f ca="1">SUMPRODUCT(F1710:K1710,F1706:K1706)/L:L</f>
        <v>-9.5238095238095247E-3</v>
      </c>
      <c r="N1710" s="166">
        <f t="shared" ca="1" si="257"/>
        <v>0.99052139831932107</v>
      </c>
      <c r="O1710" s="247">
        <f t="shared" ca="1" si="259"/>
        <v>2629.7253592325196</v>
      </c>
      <c r="P1710" s="247">
        <f t="shared" ca="1" si="258"/>
        <v>2604.799240022774</v>
      </c>
    </row>
    <row r="1711" spans="1:16" x14ac:dyDescent="0.3">
      <c r="A1711" s="247">
        <f>MATCH(Calcs!B1711,Paste_Report_Here!$1:$1,0) -1</f>
        <v>8</v>
      </c>
      <c r="B1711" s="247" t="s">
        <v>127</v>
      </c>
      <c r="C1711" s="166">
        <f ca="1">RANK(N1711,N1708:N1732)</f>
        <v>11</v>
      </c>
      <c r="D1711" s="166">
        <f ca="1">RANK(P1711,P1708:P1732)</f>
        <v>7</v>
      </c>
      <c r="E1711" s="189" t="s">
        <v>155</v>
      </c>
      <c r="F1711" s="179">
        <f ca="1">COUNTIFS(Paste_Report_Here!$E$1:$E$2000,E1702, OFFSET(Paste_Report_Here!$A$1,0,$A1711,2000,1),F$75)</f>
        <v>1</v>
      </c>
      <c r="G1711" s="180">
        <f ca="1">COUNTIFS(Paste_Report_Here!$E$1:$E$2000,E1702, OFFSET(Paste_Report_Here!$A$1,0,$A1711,2000,1),G$75)</f>
        <v>0</v>
      </c>
      <c r="H1711" s="180">
        <f ca="1">COUNTIFS(Paste_Report_Here!$E$1:$E$2000,E1702, OFFSET(Paste_Report_Here!$A$1,0,$A1711,2000,1),H$75)</f>
        <v>17</v>
      </c>
      <c r="I1711" s="180">
        <f ca="1">COUNTIFS(Paste_Report_Here!$E$1:$E$2000,E1702, OFFSET(Paste_Report_Here!$A$1,0,$A1711,2000,1),I$75)</f>
        <v>3</v>
      </c>
      <c r="J1711" s="180">
        <f ca="1">COUNTIFS(Paste_Report_Here!$E$1:$E$2000,E1702, OFFSET(Paste_Report_Here!$A$1,0,$A1711,2000,1),J$75)</f>
        <v>0</v>
      </c>
      <c r="K1711" s="181">
        <f ca="1">COUNTIFS(Paste_Report_Here!$E$1:$E$2000,E1702, OFFSET(Paste_Report_Here!$A$1,0,$A1711,2000,1),K$75)</f>
        <v>0</v>
      </c>
      <c r="L1711" s="166">
        <f t="shared" ca="1" si="256"/>
        <v>21</v>
      </c>
      <c r="M1711" s="183">
        <f ca="1">SUMPRODUCT(F1711:K1711,F1706:K1706)/L:L</f>
        <v>-9.5238095238095247E-3</v>
      </c>
      <c r="N1711" s="166">
        <f t="shared" ca="1" si="257"/>
        <v>0.99052139831932107</v>
      </c>
      <c r="O1711" s="247">
        <f t="shared" ca="1" si="259"/>
        <v>3035.8709502272786</v>
      </c>
      <c r="P1711" s="247">
        <f t="shared" ca="1" si="258"/>
        <v>3007.0951387361301</v>
      </c>
    </row>
    <row r="1712" spans="1:16" x14ac:dyDescent="0.3">
      <c r="A1712" s="247">
        <f>MATCH(Calcs!B1712,Paste_Report_Here!$1:$1,0) -1</f>
        <v>9</v>
      </c>
      <c r="B1712" s="247" t="s">
        <v>214</v>
      </c>
      <c r="C1712" s="166">
        <f ca="1">RANK(N1712,N1708:N1732)</f>
        <v>3</v>
      </c>
      <c r="D1712" s="166">
        <f ca="1">RANK(P1712,P1708:P1732)</f>
        <v>5</v>
      </c>
      <c r="E1712" s="189" t="s">
        <v>156</v>
      </c>
      <c r="F1712" s="179">
        <f ca="1">COUNTIFS(Paste_Report_Here!$E$1:$E$2000,E1702, OFFSET(Paste_Report_Here!$A$1,0,$A1712,2000,1),F$75)</f>
        <v>0</v>
      </c>
      <c r="G1712" s="180">
        <f ca="1">COUNTIFS(Paste_Report_Here!$E$1:$E$2000,E1702, OFFSET(Paste_Report_Here!$A$1,0,$A1712,2000,1),G$75)</f>
        <v>2</v>
      </c>
      <c r="H1712" s="180">
        <f ca="1">COUNTIFS(Paste_Report_Here!$E$1:$E$2000,E1702, OFFSET(Paste_Report_Here!$A$1,0,$A1712,2000,1),H$75)</f>
        <v>14</v>
      </c>
      <c r="I1712" s="180">
        <f ca="1">COUNTIFS(Paste_Report_Here!$E$1:$E$2000,E1702, OFFSET(Paste_Report_Here!$A$1,0,$A1712,2000,1),I$75)</f>
        <v>5</v>
      </c>
      <c r="J1712" s="180">
        <f ca="1">COUNTIFS(Paste_Report_Here!$E$1:$E$2000,E1702, OFFSET(Paste_Report_Here!$A$1,0,$A1712,2000,1),J$75)</f>
        <v>0</v>
      </c>
      <c r="K1712" s="181">
        <f ca="1">COUNTIFS(Paste_Report_Here!$E$1:$E$2000,E1702, OFFSET(Paste_Report_Here!$A$1,0,$A1712,2000,1),K$75)</f>
        <v>0</v>
      </c>
      <c r="L1712" s="166">
        <f t="shared" ca="1" si="256"/>
        <v>21</v>
      </c>
      <c r="M1712" s="183">
        <f ca="1">SUMPRODUCT(F1712:K1712,F1706:K1706)/L:L</f>
        <v>0</v>
      </c>
      <c r="N1712" s="166">
        <f t="shared" ca="1" si="257"/>
        <v>1</v>
      </c>
      <c r="O1712" s="247">
        <f t="shared" ca="1" si="259"/>
        <v>4148.4650036311268</v>
      </c>
      <c r="P1712" s="247">
        <f t="shared" ca="1" si="258"/>
        <v>4148.4650036311268</v>
      </c>
    </row>
    <row r="1713" spans="1:16" x14ac:dyDescent="0.3">
      <c r="A1713" s="247">
        <f>MATCH(Calcs!B1713,Paste_Report_Here!$1:$1,0) -1</f>
        <v>10</v>
      </c>
      <c r="B1713" s="247" t="s">
        <v>128</v>
      </c>
      <c r="C1713" s="166">
        <f ca="1">RANK(N1713,N1708:N1732)</f>
        <v>11</v>
      </c>
      <c r="D1713" s="166">
        <f ca="1">RANK(P1713,P1708:P1732)</f>
        <v>21</v>
      </c>
      <c r="E1713" s="189" t="s">
        <v>157</v>
      </c>
      <c r="F1713" s="179">
        <f ca="1">COUNTIFS(Paste_Report_Here!$E$1:$E$2000,E1702, OFFSET(Paste_Report_Here!$A$1,0,$A1713,2000,1),F$75)</f>
        <v>1</v>
      </c>
      <c r="G1713" s="180">
        <f ca="1">COUNTIFS(Paste_Report_Here!$E$1:$E$2000,E1702, OFFSET(Paste_Report_Here!$A$1,0,$A1713,2000,1),G$75)</f>
        <v>1</v>
      </c>
      <c r="H1713" s="180">
        <f ca="1">COUNTIFS(Paste_Report_Here!$E$1:$E$2000,E1702, OFFSET(Paste_Report_Here!$A$1,0,$A1713,2000,1),H$75)</f>
        <v>19</v>
      </c>
      <c r="I1713" s="180">
        <f ca="1">COUNTIFS(Paste_Report_Here!$E$1:$E$2000,E1702, OFFSET(Paste_Report_Here!$A$1,0,$A1713,2000,1),I$75)</f>
        <v>0</v>
      </c>
      <c r="J1713" s="180">
        <f ca="1">COUNTIFS(Paste_Report_Here!$E$1:$E$2000,E1702, OFFSET(Paste_Report_Here!$A$1,0,$A1713,2000,1),J$75)</f>
        <v>0</v>
      </c>
      <c r="K1713" s="181">
        <f ca="1">COUNTIFS(Paste_Report_Here!$E$1:$E$2000,E1702, OFFSET(Paste_Report_Here!$A$1,0,$A1713,2000,1),K$75)</f>
        <v>0</v>
      </c>
      <c r="L1713" s="166">
        <f t="shared" ca="1" si="256"/>
        <v>21</v>
      </c>
      <c r="M1713" s="183">
        <f ca="1">SUMPRODUCT(F1713:K1713,F1706:K1706)/L:L</f>
        <v>-9.5238095238095247E-3</v>
      </c>
      <c r="N1713" s="166">
        <f t="shared" ca="1" si="257"/>
        <v>0.99052139831932107</v>
      </c>
      <c r="O1713" s="247">
        <f t="shared" ca="1" si="259"/>
        <v>1520.9699033802301</v>
      </c>
      <c r="P1713" s="247">
        <f t="shared" ca="1" si="258"/>
        <v>1506.5532354977881</v>
      </c>
    </row>
    <row r="1714" spans="1:16" x14ac:dyDescent="0.3">
      <c r="A1714" s="247">
        <f>MATCH(Calcs!B1714,Paste_Report_Here!$1:$1,0) -1</f>
        <v>11</v>
      </c>
      <c r="B1714" s="247" t="s">
        <v>129</v>
      </c>
      <c r="C1714" s="166">
        <f ca="1">RANK(N1714,N1708:N1732)</f>
        <v>11</v>
      </c>
      <c r="D1714" s="166">
        <f ca="1">RANK(P1714,P1708:P1732)</f>
        <v>9</v>
      </c>
      <c r="E1714" s="189" t="s">
        <v>158</v>
      </c>
      <c r="F1714" s="179">
        <f ca="1">COUNTIFS(Paste_Report_Here!$E$1:$E$2000,E1702, OFFSET(Paste_Report_Here!$A$1,0,$A1714,2000,1),F$75)</f>
        <v>1</v>
      </c>
      <c r="G1714" s="180">
        <f ca="1">COUNTIFS(Paste_Report_Here!$E$1:$E$2000,E1702, OFFSET(Paste_Report_Here!$A$1,0,$A1714,2000,1),G$75)</f>
        <v>2</v>
      </c>
      <c r="H1714" s="180">
        <f ca="1">COUNTIFS(Paste_Report_Here!$E$1:$E$2000,E1702, OFFSET(Paste_Report_Here!$A$1,0,$A1714,2000,1),H$75)</f>
        <v>16</v>
      </c>
      <c r="I1714" s="180">
        <f ca="1">COUNTIFS(Paste_Report_Here!$E$1:$E$2000,E1702, OFFSET(Paste_Report_Here!$A$1,0,$A1714,2000,1),I$75)</f>
        <v>2</v>
      </c>
      <c r="J1714" s="180">
        <f ca="1">COUNTIFS(Paste_Report_Here!$E$1:$E$2000,E1702, OFFSET(Paste_Report_Here!$A$1,0,$A1714,2000,1),J$75)</f>
        <v>0</v>
      </c>
      <c r="K1714" s="181">
        <f ca="1">COUNTIFS(Paste_Report_Here!$E$1:$E$2000,E1702, OFFSET(Paste_Report_Here!$A$1,0,$A1714,2000,1),K$75)</f>
        <v>0</v>
      </c>
      <c r="L1714" s="166">
        <f t="shared" ca="1" si="256"/>
        <v>21</v>
      </c>
      <c r="M1714" s="183">
        <f ca="1">SUMPRODUCT(F1714:K1714,F1706:K1706)/L:L</f>
        <v>-9.5238095238095247E-3</v>
      </c>
      <c r="N1714" s="166">
        <f t="shared" ca="1" si="257"/>
        <v>0.99052139831932107</v>
      </c>
      <c r="O1714" s="247">
        <f t="shared" ca="1" si="259"/>
        <v>2487.7865314807532</v>
      </c>
      <c r="P1714" s="247">
        <f t="shared" ca="1" si="258"/>
        <v>2464.2057938822895</v>
      </c>
    </row>
    <row r="1715" spans="1:16" x14ac:dyDescent="0.3">
      <c r="A1715" s="247">
        <f>MATCH(Calcs!B1715,Paste_Report_Here!$1:$1,0) -1</f>
        <v>12</v>
      </c>
      <c r="B1715" s="247" t="s">
        <v>130</v>
      </c>
      <c r="C1715" s="166">
        <f ca="1">RANK(N1715,N1708:N1732)</f>
        <v>11</v>
      </c>
      <c r="D1715" s="166">
        <f ca="1">RANK(P1715,P1708:P1732)</f>
        <v>10</v>
      </c>
      <c r="E1715" s="189" t="s">
        <v>159</v>
      </c>
      <c r="F1715" s="179">
        <f ca="1">COUNTIFS(Paste_Report_Here!$E$1:$E$2000,E1702, OFFSET(Paste_Report_Here!$A$1,0,$A1715,2000,1),F$75)</f>
        <v>1</v>
      </c>
      <c r="G1715" s="180">
        <f ca="1">COUNTIFS(Paste_Report_Here!$E$1:$E$2000,E1702, OFFSET(Paste_Report_Here!$A$1,0,$A1715,2000,1),G$75)</f>
        <v>0</v>
      </c>
      <c r="H1715" s="180">
        <f ca="1">COUNTIFS(Paste_Report_Here!$E$1:$E$2000,E1702, OFFSET(Paste_Report_Here!$A$1,0,$A1715,2000,1),H$75)</f>
        <v>16</v>
      </c>
      <c r="I1715" s="180">
        <f ca="1">COUNTIFS(Paste_Report_Here!$E$1:$E$2000,E1702, OFFSET(Paste_Report_Here!$A$1,0,$A1715,2000,1),I$75)</f>
        <v>4</v>
      </c>
      <c r="J1715" s="180">
        <f ca="1">COUNTIFS(Paste_Report_Here!$E$1:$E$2000,E1702, OFFSET(Paste_Report_Here!$A$1,0,$A1715,2000,1),J$75)</f>
        <v>0</v>
      </c>
      <c r="K1715" s="181">
        <f ca="1">COUNTIFS(Paste_Report_Here!$E$1:$E$2000,E1702, OFFSET(Paste_Report_Here!$A$1,0,$A1715,2000,1),K$75)</f>
        <v>0</v>
      </c>
      <c r="L1715" s="166">
        <f t="shared" ca="1" si="256"/>
        <v>21</v>
      </c>
      <c r="M1715" s="183">
        <f ca="1">SUMPRODUCT(F1715:K1715,F1706:K1706)/L:L</f>
        <v>-9.5238095238095247E-3</v>
      </c>
      <c r="N1715" s="166">
        <f t="shared" ca="1" si="257"/>
        <v>0.99052139831932107</v>
      </c>
      <c r="O1715" s="247">
        <f t="shared" ca="1" si="259"/>
        <v>2478.8781303557112</v>
      </c>
      <c r="P1715" s="247">
        <f t="shared" ca="1" si="258"/>
        <v>2455.3818319431234</v>
      </c>
    </row>
    <row r="1716" spans="1:16" x14ac:dyDescent="0.3">
      <c r="A1716" s="247">
        <f>MATCH(Calcs!B1716,Paste_Report_Here!$1:$1,0) -1</f>
        <v>13</v>
      </c>
      <c r="B1716" s="247" t="s">
        <v>131</v>
      </c>
      <c r="C1716" s="166">
        <f ca="1">RANK(N1716,N1708:N1732)</f>
        <v>1</v>
      </c>
      <c r="D1716" s="166">
        <f ca="1">RANK(P1716,P1708:P1732)</f>
        <v>2</v>
      </c>
      <c r="E1716" s="189" t="s">
        <v>160</v>
      </c>
      <c r="F1716" s="179">
        <f ca="1">COUNTIFS(Paste_Report_Here!$E$1:$E$2000,E1702, OFFSET(Paste_Report_Here!$A$1,0,$A1716,2000,1),F$75)</f>
        <v>0</v>
      </c>
      <c r="G1716" s="180">
        <f ca="1">COUNTIFS(Paste_Report_Here!$E$1:$E$2000,E1702, OFFSET(Paste_Report_Here!$A$1,0,$A1716,2000,1),G$75)</f>
        <v>0</v>
      </c>
      <c r="H1716" s="180">
        <f ca="1">COUNTIFS(Paste_Report_Here!$E$1:$E$2000,E1702, OFFSET(Paste_Report_Here!$A$1,0,$A1716,2000,1),H$75)</f>
        <v>15</v>
      </c>
      <c r="I1716" s="180">
        <f ca="1">COUNTIFS(Paste_Report_Here!$E$1:$E$2000,E1702, OFFSET(Paste_Report_Here!$A$1,0,$A1716,2000,1),I$75)</f>
        <v>5</v>
      </c>
      <c r="J1716" s="180">
        <f ca="1">COUNTIFS(Paste_Report_Here!$E$1:$E$2000,E1702, OFFSET(Paste_Report_Here!$A$1,0,$A1716,2000,1),J$75)</f>
        <v>1</v>
      </c>
      <c r="K1716" s="181">
        <f ca="1">COUNTIFS(Paste_Report_Here!$E$1:$E$2000,E1702, OFFSET(Paste_Report_Here!$A$1,0,$A1716,2000,1),K$75)</f>
        <v>0</v>
      </c>
      <c r="L1716" s="166">
        <f t="shared" ca="1" si="256"/>
        <v>21</v>
      </c>
      <c r="M1716" s="183">
        <f ca="1">SUMPRODUCT(F1716:K1716,F1706:K1706)/L:L</f>
        <v>9.5238095238095247E-3</v>
      </c>
      <c r="N1716" s="166">
        <f t="shared" ca="1" si="257"/>
        <v>1.0095693053141122</v>
      </c>
      <c r="O1716" s="247">
        <f t="shared" ca="1" si="259"/>
        <v>5402.0319386701522</v>
      </c>
      <c r="P1716" s="247">
        <f t="shared" ca="1" si="258"/>
        <v>5453.7256316078719</v>
      </c>
    </row>
    <row r="1717" spans="1:16" x14ac:dyDescent="0.3">
      <c r="A1717" s="247">
        <f>MATCH(Calcs!B1717,Paste_Report_Here!$1:$1,0) -1</f>
        <v>14</v>
      </c>
      <c r="B1717" s="247" t="s">
        <v>132</v>
      </c>
      <c r="C1717" s="166">
        <f ca="1">RANK(N1717,N1708:N1732)</f>
        <v>11</v>
      </c>
      <c r="D1717" s="166">
        <f ca="1">RANK(P1717,P1708:P1732)</f>
        <v>12</v>
      </c>
      <c r="E1717" s="189" t="s">
        <v>161</v>
      </c>
      <c r="F1717" s="179">
        <f ca="1">COUNTIFS(Paste_Report_Here!$E$1:$E$2000,E1702, OFFSET(Paste_Report_Here!$A$1,0,$A1717,2000,1),F$75)</f>
        <v>1</v>
      </c>
      <c r="G1717" s="180">
        <f ca="1">COUNTIFS(Paste_Report_Here!$E$1:$E$2000,E1702, OFFSET(Paste_Report_Here!$A$1,0,$A1717,2000,1),G$75)</f>
        <v>0</v>
      </c>
      <c r="H1717" s="180">
        <f ca="1">COUNTIFS(Paste_Report_Here!$E$1:$E$2000,E1702, OFFSET(Paste_Report_Here!$A$1,0,$A1717,2000,1),H$75)</f>
        <v>13</v>
      </c>
      <c r="I1717" s="180">
        <f ca="1">COUNTIFS(Paste_Report_Here!$E$1:$E$2000,E1702, OFFSET(Paste_Report_Here!$A$1,0,$A1717,2000,1),I$75)</f>
        <v>7</v>
      </c>
      <c r="J1717" s="180">
        <f ca="1">COUNTIFS(Paste_Report_Here!$E$1:$E$2000,E1702, OFFSET(Paste_Report_Here!$A$1,0,$A1717,2000,1),J$75)</f>
        <v>0</v>
      </c>
      <c r="K1717" s="181">
        <f ca="1">COUNTIFS(Paste_Report_Here!$E$1:$E$2000,E1702, OFFSET(Paste_Report_Here!$A$1,0,$A1717,2000,1),K$75)</f>
        <v>0</v>
      </c>
      <c r="L1717" s="166">
        <f t="shared" ca="1" si="256"/>
        <v>21</v>
      </c>
      <c r="M1717" s="183">
        <f ca="1">SUMPRODUCT(F1717:K1717,F1706:K1706)/L:L</f>
        <v>-9.5238095238095247E-3</v>
      </c>
      <c r="N1717" s="166">
        <f t="shared" ca="1" si="257"/>
        <v>0.99052139831932107</v>
      </c>
      <c r="O1717" s="247">
        <f t="shared" ca="1" si="259"/>
        <v>2313.60675884387</v>
      </c>
      <c r="P1717" s="247">
        <f t="shared" ca="1" si="258"/>
        <v>2291.6770019310625</v>
      </c>
    </row>
    <row r="1718" spans="1:16" x14ac:dyDescent="0.3">
      <c r="A1718" s="247">
        <f>MATCH(Calcs!B1718,Paste_Report_Here!$1:$1,0) -1</f>
        <v>15</v>
      </c>
      <c r="B1718" s="247" t="s">
        <v>133</v>
      </c>
      <c r="C1718" s="166">
        <f ca="1">RANK(N1718,N1708:N1732)</f>
        <v>3</v>
      </c>
      <c r="D1718" s="166">
        <f ca="1">RANK(P1718,P1708:P1732)</f>
        <v>6</v>
      </c>
      <c r="E1718" s="189" t="s">
        <v>162</v>
      </c>
      <c r="F1718" s="179">
        <f ca="1">COUNTIFS(Paste_Report_Here!$E$1:$E$2000,E1702, OFFSET(Paste_Report_Here!$A$1,0,$A1718,2000,1),F$75)</f>
        <v>0</v>
      </c>
      <c r="G1718" s="180">
        <f ca="1">COUNTIFS(Paste_Report_Here!$E$1:$E$2000,E1702, OFFSET(Paste_Report_Here!$A$1,0,$A1718,2000,1),G$75)</f>
        <v>0</v>
      </c>
      <c r="H1718" s="180">
        <f ca="1">COUNTIFS(Paste_Report_Here!$E$1:$E$2000,E1702, OFFSET(Paste_Report_Here!$A$1,0,$A1718,2000,1),H$75)</f>
        <v>14</v>
      </c>
      <c r="I1718" s="180">
        <f ca="1">COUNTIFS(Paste_Report_Here!$E$1:$E$2000,E1702, OFFSET(Paste_Report_Here!$A$1,0,$A1718,2000,1),I$75)</f>
        <v>7</v>
      </c>
      <c r="J1718" s="180">
        <f ca="1">COUNTIFS(Paste_Report_Here!$E$1:$E$2000,E1702, OFFSET(Paste_Report_Here!$A$1,0,$A1718,2000,1),J$75)</f>
        <v>0</v>
      </c>
      <c r="K1718" s="181">
        <f ca="1">COUNTIFS(Paste_Report_Here!$E$1:$E$2000,E1702, OFFSET(Paste_Report_Here!$A$1,0,$A1718,2000,1),K$75)</f>
        <v>0</v>
      </c>
      <c r="L1718" s="166">
        <f t="shared" ca="1" si="256"/>
        <v>21</v>
      </c>
      <c r="M1718" s="183">
        <f ca="1">SUMPRODUCT(F1718:K1718,F1706:K1706)/L:L</f>
        <v>0</v>
      </c>
      <c r="N1718" s="166">
        <f t="shared" ca="1" si="257"/>
        <v>1</v>
      </c>
      <c r="O1718" s="247">
        <f t="shared" ca="1" si="259"/>
        <v>3380.5571737477894</v>
      </c>
      <c r="P1718" s="247">
        <f t="shared" ca="1" si="258"/>
        <v>3380.5571737477894</v>
      </c>
    </row>
    <row r="1719" spans="1:16" x14ac:dyDescent="0.3">
      <c r="A1719" s="247">
        <f>MATCH(Calcs!B1719,Paste_Report_Here!$1:$1,0) -1</f>
        <v>16</v>
      </c>
      <c r="B1719" s="247" t="s">
        <v>134</v>
      </c>
      <c r="C1719" s="166">
        <f ca="1">RANK(N1719,N1708:N1732)</f>
        <v>3</v>
      </c>
      <c r="D1719" s="166">
        <f ca="1">RANK(P1719,P1708:P1732)</f>
        <v>25</v>
      </c>
      <c r="E1719" s="189" t="s">
        <v>163</v>
      </c>
      <c r="F1719" s="179">
        <f ca="1">COUNTIFS(Paste_Report_Here!$E$1:$E$2000,E1702, OFFSET(Paste_Report_Here!$A$1,0,$A1719,2000,1),F$75)</f>
        <v>0</v>
      </c>
      <c r="G1719" s="180">
        <f ca="1">COUNTIFS(Paste_Report_Here!$E$1:$E$2000,E1702, OFFSET(Paste_Report_Here!$A$1,0,$A1719,2000,1),G$75)</f>
        <v>0</v>
      </c>
      <c r="H1719" s="180">
        <f ca="1">COUNTIFS(Paste_Report_Here!$E$1:$E$2000,E1702, OFFSET(Paste_Report_Here!$A$1,0,$A1719,2000,1),H$75)</f>
        <v>17</v>
      </c>
      <c r="I1719" s="180">
        <f ca="1">COUNTIFS(Paste_Report_Here!$E$1:$E$2000,E1702, OFFSET(Paste_Report_Here!$A$1,0,$A1719,2000,1),I$75)</f>
        <v>4</v>
      </c>
      <c r="J1719" s="180">
        <f ca="1">COUNTIFS(Paste_Report_Here!$E$1:$E$2000,E1702, OFFSET(Paste_Report_Here!$A$1,0,$A1719,2000,1),J$75)</f>
        <v>0</v>
      </c>
      <c r="K1719" s="181">
        <f ca="1">COUNTIFS(Paste_Report_Here!$E$1:$E$2000,E1702, OFFSET(Paste_Report_Here!$A$1,0,$A1719,2000,1),K$75)</f>
        <v>0</v>
      </c>
      <c r="L1719" s="166">
        <f t="shared" ca="1" si="256"/>
        <v>21</v>
      </c>
      <c r="M1719" s="183">
        <f ca="1">SUMPRODUCT(F1719:K1719,F1706:K1706)/L:L</f>
        <v>0</v>
      </c>
      <c r="N1719" s="166">
        <f t="shared" ca="1" si="257"/>
        <v>1</v>
      </c>
      <c r="O1719" s="247">
        <f t="shared" ca="1" si="259"/>
        <v>1145.7546405911432</v>
      </c>
      <c r="P1719" s="247">
        <f t="shared" ca="1" si="258"/>
        <v>1145.7546405911432</v>
      </c>
    </row>
    <row r="1720" spans="1:16" x14ac:dyDescent="0.3">
      <c r="A1720" s="247">
        <f>MATCH(Calcs!B1720,Paste_Report_Here!$1:$1,0) -1</f>
        <v>17</v>
      </c>
      <c r="B1720" s="247" t="s">
        <v>135</v>
      </c>
      <c r="C1720" s="166">
        <f ca="1">RANK(N1720,N1708:N1732)</f>
        <v>11</v>
      </c>
      <c r="D1720" s="166">
        <f ca="1">RANK(P1720,P1708:P1732)</f>
        <v>19</v>
      </c>
      <c r="E1720" s="189" t="s">
        <v>164</v>
      </c>
      <c r="F1720" s="179">
        <f ca="1">COUNTIFS(Paste_Report_Here!$E$1:$E$2000,E1702, OFFSET(Paste_Report_Here!$A$1,0,$A1720,2000,1),F$75)</f>
        <v>1</v>
      </c>
      <c r="G1720" s="180">
        <f ca="1">COUNTIFS(Paste_Report_Here!$E$1:$E$2000,E1702, OFFSET(Paste_Report_Here!$A$1,0,$A1720,2000,1),G$75)</f>
        <v>1</v>
      </c>
      <c r="H1720" s="180">
        <f ca="1">COUNTIFS(Paste_Report_Here!$E$1:$E$2000,E1702, OFFSET(Paste_Report_Here!$A$1,0,$A1720,2000,1),H$75)</f>
        <v>15</v>
      </c>
      <c r="I1720" s="180">
        <f ca="1">COUNTIFS(Paste_Report_Here!$E$1:$E$2000,E1702, OFFSET(Paste_Report_Here!$A$1,0,$A1720,2000,1),I$75)</f>
        <v>4</v>
      </c>
      <c r="J1720" s="180">
        <f ca="1">COUNTIFS(Paste_Report_Here!$E$1:$E$2000,E1702, OFFSET(Paste_Report_Here!$A$1,0,$A1720,2000,1),J$75)</f>
        <v>0</v>
      </c>
      <c r="K1720" s="181">
        <f ca="1">COUNTIFS(Paste_Report_Here!$E$1:$E$2000,E1702, OFFSET(Paste_Report_Here!$A$1,0,$A1720,2000,1),K$75)</f>
        <v>0</v>
      </c>
      <c r="L1720" s="166">
        <f t="shared" ca="1" si="256"/>
        <v>21</v>
      </c>
      <c r="M1720" s="183">
        <f ca="1">SUMPRODUCT(F1720:K1720,F1706:K1706)/L:L</f>
        <v>-9.5238095238095247E-3</v>
      </c>
      <c r="N1720" s="166">
        <f t="shared" ca="1" si="257"/>
        <v>0.99052139831932107</v>
      </c>
      <c r="O1720" s="247">
        <f t="shared" ca="1" si="259"/>
        <v>1895.9579031230744</v>
      </c>
      <c r="P1720" s="247">
        <f t="shared" ca="1" si="258"/>
        <v>1877.9868733560356</v>
      </c>
    </row>
    <row r="1721" spans="1:16" x14ac:dyDescent="0.3">
      <c r="A1721" s="247">
        <f>MATCH(Calcs!B1721,Paste_Report_Here!$1:$1,0) -1</f>
        <v>18</v>
      </c>
      <c r="B1721" s="247" t="s">
        <v>136</v>
      </c>
      <c r="C1721" s="166">
        <f ca="1">RANK(N1721,N1708:N1732)</f>
        <v>3</v>
      </c>
      <c r="D1721" s="166">
        <f ca="1">RANK(P1721,P1708:P1732)</f>
        <v>4</v>
      </c>
      <c r="E1721" s="189" t="s">
        <v>165</v>
      </c>
      <c r="F1721" s="179">
        <f ca="1">COUNTIFS(Paste_Report_Here!$E$1:$E$2000,E1702, OFFSET(Paste_Report_Here!$A$1,0,$A1721,2000,1),F$75)</f>
        <v>1</v>
      </c>
      <c r="G1721" s="180">
        <f ca="1">COUNTIFS(Paste_Report_Here!$E$1:$E$2000,E1702, OFFSET(Paste_Report_Here!$A$1,0,$A1721,2000,1),G$75)</f>
        <v>1</v>
      </c>
      <c r="H1721" s="180">
        <f ca="1">COUNTIFS(Paste_Report_Here!$E$1:$E$2000,E1702, OFFSET(Paste_Report_Here!$A$1,0,$A1721,2000,1),H$75)</f>
        <v>15</v>
      </c>
      <c r="I1721" s="180">
        <f ca="1">COUNTIFS(Paste_Report_Here!$E$1:$E$2000,E1702, OFFSET(Paste_Report_Here!$A$1,0,$A1721,2000,1),I$75)</f>
        <v>3</v>
      </c>
      <c r="J1721" s="180">
        <f ca="1">COUNTIFS(Paste_Report_Here!$E$1:$E$2000,E1702, OFFSET(Paste_Report_Here!$A$1,0,$A1721,2000,1),J$75)</f>
        <v>1</v>
      </c>
      <c r="K1721" s="181">
        <f ca="1">COUNTIFS(Paste_Report_Here!$E$1:$E$2000,E1702, OFFSET(Paste_Report_Here!$A$1,0,$A1721,2000,1),K$75)</f>
        <v>0</v>
      </c>
      <c r="L1721" s="166">
        <f t="shared" ca="1" si="256"/>
        <v>21</v>
      </c>
      <c r="M1721" s="183">
        <f ca="1">SUMPRODUCT(F1721:K1721,F1706:K1706)/L:L</f>
        <v>0</v>
      </c>
      <c r="N1721" s="166">
        <f t="shared" ca="1" si="257"/>
        <v>1</v>
      </c>
      <c r="O1721" s="247">
        <f t="shared" ca="1" si="259"/>
        <v>4242.7155018057902</v>
      </c>
      <c r="P1721" s="247">
        <f t="shared" ca="1" si="258"/>
        <v>4242.7155018057902</v>
      </c>
    </row>
    <row r="1722" spans="1:16" x14ac:dyDescent="0.3">
      <c r="A1722" s="247">
        <f>MATCH(Calcs!B1722,Paste_Report_Here!$1:$1,0) -1</f>
        <v>19</v>
      </c>
      <c r="B1722" s="247" t="s">
        <v>137</v>
      </c>
      <c r="C1722" s="166">
        <f ca="1">RANK(N1722,N1708:N1732)</f>
        <v>11</v>
      </c>
      <c r="D1722" s="166">
        <f ca="1">RANK(P1722,P1708:P1732)</f>
        <v>16</v>
      </c>
      <c r="E1722" s="189" t="s">
        <v>166</v>
      </c>
      <c r="F1722" s="179">
        <f ca="1">COUNTIFS(Paste_Report_Here!$E$1:$E$2000,E1702, OFFSET(Paste_Report_Here!$A$1,0,$A1722,2000,1),F$75)</f>
        <v>1</v>
      </c>
      <c r="G1722" s="180">
        <f ca="1">COUNTIFS(Paste_Report_Here!$E$1:$E$2000,E1702, OFFSET(Paste_Report_Here!$A$1,0,$A1722,2000,1),G$75)</f>
        <v>0</v>
      </c>
      <c r="H1722" s="180">
        <f ca="1">COUNTIFS(Paste_Report_Here!$E$1:$E$2000,E1702, OFFSET(Paste_Report_Here!$A$1,0,$A1722,2000,1),H$75)</f>
        <v>18</v>
      </c>
      <c r="I1722" s="180">
        <f ca="1">COUNTIFS(Paste_Report_Here!$E$1:$E$2000,E1702, OFFSET(Paste_Report_Here!$A$1,0,$A1722,2000,1),I$75)</f>
        <v>2</v>
      </c>
      <c r="J1722" s="180">
        <f ca="1">COUNTIFS(Paste_Report_Here!$E$1:$E$2000,E1702, OFFSET(Paste_Report_Here!$A$1,0,$A1722,2000,1),J$75)</f>
        <v>0</v>
      </c>
      <c r="K1722" s="181">
        <f ca="1">COUNTIFS(Paste_Report_Here!$E$1:$E$2000,E1702, OFFSET(Paste_Report_Here!$A$1,0,$A1722,2000,1),K$75)</f>
        <v>0</v>
      </c>
      <c r="L1722" s="166">
        <f t="shared" ca="1" si="256"/>
        <v>21</v>
      </c>
      <c r="M1722" s="183">
        <f ca="1">SUMPRODUCT(F1722:K1722,F1706:K1706)/L:L</f>
        <v>-9.5238095238095247E-3</v>
      </c>
      <c r="N1722" s="166">
        <f t="shared" ca="1" si="257"/>
        <v>0.99052139831932107</v>
      </c>
      <c r="O1722" s="247">
        <f t="shared" ca="1" si="259"/>
        <v>2225.8953600828645</v>
      </c>
      <c r="P1722" s="247">
        <f t="shared" ca="1" si="258"/>
        <v>2204.7969845817674</v>
      </c>
    </row>
    <row r="1723" spans="1:16" x14ac:dyDescent="0.3">
      <c r="A1723" s="247">
        <f>MATCH(Calcs!B1723,Paste_Report_Here!$1:$1,0) -1</f>
        <v>20</v>
      </c>
      <c r="B1723" s="247" t="s">
        <v>138</v>
      </c>
      <c r="C1723" s="166">
        <f ca="1">RANK(N1723,N1708:N1732)</f>
        <v>11</v>
      </c>
      <c r="D1723" s="166">
        <f ca="1">RANK(P1723,P1708:P1732)</f>
        <v>20</v>
      </c>
      <c r="E1723" s="189" t="s">
        <v>167</v>
      </c>
      <c r="F1723" s="179">
        <f ca="1">COUNTIFS(Paste_Report_Here!$E$1:$E$2000,E1702, OFFSET(Paste_Report_Here!$A$1,0,$A1723,2000,1),F$75)</f>
        <v>1</v>
      </c>
      <c r="G1723" s="180">
        <f ca="1">COUNTIFS(Paste_Report_Here!$E$1:$E$2000,E1702, OFFSET(Paste_Report_Here!$A$1,0,$A1723,2000,1),G$75)</f>
        <v>2</v>
      </c>
      <c r="H1723" s="180">
        <f ca="1">COUNTIFS(Paste_Report_Here!$E$1:$E$2000,E1702, OFFSET(Paste_Report_Here!$A$1,0,$A1723,2000,1),H$75)</f>
        <v>17</v>
      </c>
      <c r="I1723" s="180">
        <f ca="1">COUNTIFS(Paste_Report_Here!$E$1:$E$2000,E1702, OFFSET(Paste_Report_Here!$A$1,0,$A1723,2000,1),I$75)</f>
        <v>1</v>
      </c>
      <c r="J1723" s="180">
        <f ca="1">COUNTIFS(Paste_Report_Here!$E$1:$E$2000,E1702, OFFSET(Paste_Report_Here!$A$1,0,$A1723,2000,1),J$75)</f>
        <v>0</v>
      </c>
      <c r="K1723" s="181">
        <f ca="1">COUNTIFS(Paste_Report_Here!$E$1:$E$2000,E1702, OFFSET(Paste_Report_Here!$A$1,0,$A1723,2000,1),K$75)</f>
        <v>0</v>
      </c>
      <c r="L1723" s="166">
        <f t="shared" ca="1" si="256"/>
        <v>21</v>
      </c>
      <c r="M1723" s="183">
        <f ca="1">SUMPRODUCT(F1723:K1723,F1706:K1706)/L:L</f>
        <v>-9.5238095238095247E-3</v>
      </c>
      <c r="N1723" s="166">
        <f t="shared" ca="1" si="257"/>
        <v>0.99052139831932107</v>
      </c>
      <c r="O1723" s="247">
        <f t="shared" ca="1" si="259"/>
        <v>1834.1826779749613</v>
      </c>
      <c r="P1723" s="247">
        <f t="shared" ca="1" si="258"/>
        <v>1816.7971909608357</v>
      </c>
    </row>
    <row r="1724" spans="1:16" x14ac:dyDescent="0.3">
      <c r="A1724" s="247">
        <f>MATCH(Calcs!B1724,Paste_Report_Here!$1:$1,0) -1</f>
        <v>21</v>
      </c>
      <c r="B1724" s="247" t="s">
        <v>139</v>
      </c>
      <c r="C1724" s="166">
        <f ca="1">RANK(N1724,N1708:N1732)</f>
        <v>11</v>
      </c>
      <c r="D1724" s="166">
        <f ca="1">RANK(P1724,P1708:P1732)</f>
        <v>18</v>
      </c>
      <c r="E1724" s="189" t="s">
        <v>168</v>
      </c>
      <c r="F1724" s="179">
        <f ca="1">COUNTIFS(Paste_Report_Here!$E$1:$E$2000,E1702, OFFSET(Paste_Report_Here!$A$1,0,$A1724,2000,1),F$75)</f>
        <v>1</v>
      </c>
      <c r="G1724" s="180">
        <f ca="1">COUNTIFS(Paste_Report_Here!$E$1:$E$2000,E1702, OFFSET(Paste_Report_Here!$A$1,0,$A1724,2000,1),G$75)</f>
        <v>1</v>
      </c>
      <c r="H1724" s="180">
        <f ca="1">COUNTIFS(Paste_Report_Here!$E$1:$E$2000,E1702, OFFSET(Paste_Report_Here!$A$1,0,$A1724,2000,1),H$75)</f>
        <v>18</v>
      </c>
      <c r="I1724" s="180">
        <f ca="1">COUNTIFS(Paste_Report_Here!$E$1:$E$2000,E1702, OFFSET(Paste_Report_Here!$A$1,0,$A1724,2000,1),I$75)</f>
        <v>1</v>
      </c>
      <c r="J1724" s="180">
        <f ca="1">COUNTIFS(Paste_Report_Here!$E$1:$E$2000,E1702, OFFSET(Paste_Report_Here!$A$1,0,$A1724,2000,1),J$75)</f>
        <v>0</v>
      </c>
      <c r="K1724" s="181">
        <f ca="1">COUNTIFS(Paste_Report_Here!$E$1:$E$2000,E1702, OFFSET(Paste_Report_Here!$A$1,0,$A1724,2000,1),K$75)</f>
        <v>0</v>
      </c>
      <c r="L1724" s="166">
        <f t="shared" ca="1" si="256"/>
        <v>21</v>
      </c>
      <c r="M1724" s="183">
        <f ca="1">SUMPRODUCT(F1724:K1724,F1706:K1706)/L:L</f>
        <v>-9.5238095238095247E-3</v>
      </c>
      <c r="N1724" s="166">
        <f t="shared" ca="1" si="257"/>
        <v>0.99052139831932107</v>
      </c>
      <c r="O1724" s="247">
        <f t="shared" ca="1" si="259"/>
        <v>1998.4813467368185</v>
      </c>
      <c r="P1724" s="247">
        <f t="shared" ca="1" si="258"/>
        <v>1979.5385380848334</v>
      </c>
    </row>
    <row r="1725" spans="1:16" x14ac:dyDescent="0.3">
      <c r="A1725" s="247">
        <f>MATCH(Calcs!B1725,Paste_Report_Here!$1:$1,0) -1</f>
        <v>22</v>
      </c>
      <c r="B1725" s="247" t="s">
        <v>140</v>
      </c>
      <c r="C1725" s="166">
        <f ca="1">RANK(N1725,N1708:N1732)</f>
        <v>3</v>
      </c>
      <c r="D1725" s="166">
        <f ca="1">RANK(P1725,P1708:P1732)</f>
        <v>15</v>
      </c>
      <c r="E1725" s="189" t="s">
        <v>169</v>
      </c>
      <c r="F1725" s="179">
        <f ca="1">COUNTIFS(Paste_Report_Here!$E$1:$E$2000,E1702, OFFSET(Paste_Report_Here!$A$1,0,$A1725,2000,1),F$75)</f>
        <v>1</v>
      </c>
      <c r="G1725" s="180">
        <f ca="1">COUNTIFS(Paste_Report_Here!$E$1:$E$2000,E1702, OFFSET(Paste_Report_Here!$A$1,0,$A1725,2000,1),G$75)</f>
        <v>1</v>
      </c>
      <c r="H1725" s="180">
        <f ca="1">COUNTIFS(Paste_Report_Here!$E$1:$E$2000,E1702, OFFSET(Paste_Report_Here!$A$1,0,$A1725,2000,1),H$75)</f>
        <v>16</v>
      </c>
      <c r="I1725" s="180">
        <f ca="1">COUNTIFS(Paste_Report_Here!$E$1:$E$2000,E1702, OFFSET(Paste_Report_Here!$A$1,0,$A1725,2000,1),I$75)</f>
        <v>2</v>
      </c>
      <c r="J1725" s="180">
        <f ca="1">COUNTIFS(Paste_Report_Here!$E$1:$E$2000,E1702, OFFSET(Paste_Report_Here!$A$1,0,$A1725,2000,1),J$75)</f>
        <v>1</v>
      </c>
      <c r="K1725" s="181">
        <f ca="1">COUNTIFS(Paste_Report_Here!$E$1:$E$2000,E1702, OFFSET(Paste_Report_Here!$A$1,0,$A1725,2000,1),K$75)</f>
        <v>0</v>
      </c>
      <c r="L1725" s="166">
        <f t="shared" ca="1" si="256"/>
        <v>21</v>
      </c>
      <c r="M1725" s="183">
        <f ca="1">SUMPRODUCT(F1725:K1725,F1706:K1706)/L:L</f>
        <v>0</v>
      </c>
      <c r="N1725" s="166">
        <f t="shared" ca="1" si="257"/>
        <v>1</v>
      </c>
      <c r="O1725" s="247">
        <f t="shared" ca="1" si="259"/>
        <v>2206.3112669487218</v>
      </c>
      <c r="P1725" s="247">
        <f t="shared" ca="1" si="258"/>
        <v>2206.3112669487218</v>
      </c>
    </row>
    <row r="1726" spans="1:16" x14ac:dyDescent="0.3">
      <c r="A1726" s="247">
        <f>MATCH(Calcs!B1726,Paste_Report_Here!$1:$1,0) -1</f>
        <v>23</v>
      </c>
      <c r="B1726" s="247" t="s">
        <v>186</v>
      </c>
      <c r="C1726" s="166">
        <f ca="1">RANK(N1726,N1708:N1732)</f>
        <v>11</v>
      </c>
      <c r="D1726" s="166">
        <f ca="1">RANK(P1726,P1708:P1732)</f>
        <v>3</v>
      </c>
      <c r="E1726" s="189" t="s">
        <v>180</v>
      </c>
      <c r="F1726" s="179">
        <f ca="1">COUNTIFS(Paste_Report_Here!$E$1:$E$2000,E1702, OFFSET(Paste_Report_Here!$A$1,0,$A1726,2000,1),F$75)</f>
        <v>1</v>
      </c>
      <c r="G1726" s="180">
        <f ca="1">COUNTIFS(Paste_Report_Here!$E$1:$E$2000,E1702, OFFSET(Paste_Report_Here!$A$1,0,$A1726,2000,1),G$75)</f>
        <v>0</v>
      </c>
      <c r="H1726" s="180">
        <f ca="1">COUNTIFS(Paste_Report_Here!$E$1:$E$2000,E1702, OFFSET(Paste_Report_Here!$A$1,0,$A1726,2000,1),H$75)</f>
        <v>15</v>
      </c>
      <c r="I1726" s="180">
        <f ca="1">COUNTIFS(Paste_Report_Here!$E$1:$E$2000,E1702, OFFSET(Paste_Report_Here!$A$1,0,$A1726,2000,1),I$75)</f>
        <v>5</v>
      </c>
      <c r="J1726" s="180">
        <f ca="1">COUNTIFS(Paste_Report_Here!$E$1:$E$2000,E1702, OFFSET(Paste_Report_Here!$A$1,0,$A1726,2000,1),J$75)</f>
        <v>0</v>
      </c>
      <c r="K1726" s="181">
        <f ca="1">COUNTIFS(Paste_Report_Here!$E$1:$E$2000,E1702, OFFSET(Paste_Report_Here!$A$1,0,$A1726,2000,1),K$75)</f>
        <v>0</v>
      </c>
      <c r="L1726" s="166">
        <f t="shared" ca="1" si="256"/>
        <v>21</v>
      </c>
      <c r="M1726" s="183">
        <f ca="1">SUMPRODUCT(F1726:K1726,F1706:K1706)/L:L</f>
        <v>-9.5238095238095247E-3</v>
      </c>
      <c r="N1726" s="166">
        <f t="shared" ca="1" si="257"/>
        <v>0.99052139831932107</v>
      </c>
      <c r="O1726" s="247">
        <f t="shared" ca="1" si="259"/>
        <v>4511.0425369165923</v>
      </c>
      <c r="P1726" s="247">
        <f t="shared" ca="1" si="258"/>
        <v>4468.2841615445604</v>
      </c>
    </row>
    <row r="1727" spans="1:16" x14ac:dyDescent="0.3">
      <c r="A1727" s="247">
        <f>MATCH(Calcs!B1727,Paste_Report_Here!$1:$1,0) -1</f>
        <v>24</v>
      </c>
      <c r="B1727" s="247" t="s">
        <v>209</v>
      </c>
      <c r="C1727" s="166">
        <f ca="1">RANK(N1727,N1708:N1732)</f>
        <v>11</v>
      </c>
      <c r="D1727" s="166">
        <f ca="1">RANK(P1727,P1708:P1732)</f>
        <v>23</v>
      </c>
      <c r="E1727" s="202" t="s">
        <v>211</v>
      </c>
      <c r="F1727" s="179">
        <f ca="1">COUNTIFS(Paste_Report_Here!$E$1:$E$2000,E1702, OFFSET(Paste_Report_Here!$A$1,0,$A1727,2000,1),F$75)</f>
        <v>1</v>
      </c>
      <c r="G1727" s="180">
        <f ca="1">COUNTIFS(Paste_Report_Here!$E$1:$E$2000,E1702, OFFSET(Paste_Report_Here!$A$1,0,$A1727,2000,1),G$75)</f>
        <v>0</v>
      </c>
      <c r="H1727" s="180">
        <f ca="1">COUNTIFS(Paste_Report_Here!$E$1:$E$2000,E1702, OFFSET(Paste_Report_Here!$A$1,0,$A1727,2000,1),H$75)</f>
        <v>17</v>
      </c>
      <c r="I1727" s="180">
        <f ca="1">COUNTIFS(Paste_Report_Here!$E$1:$E$2000,E1702, OFFSET(Paste_Report_Here!$A$1,0,$A1727,2000,1),I$75)</f>
        <v>3</v>
      </c>
      <c r="J1727" s="180">
        <f ca="1">COUNTIFS(Paste_Report_Here!$E$1:$E$2000,E1702, OFFSET(Paste_Report_Here!$A$1,0,$A1727,2000,1),J$75)</f>
        <v>0</v>
      </c>
      <c r="K1727" s="181">
        <f ca="1">COUNTIFS(Paste_Report_Here!$E$1:$E$2000,E1702, OFFSET(Paste_Report_Here!$A$1,0,$A1727,2000,1),K$75)</f>
        <v>0</v>
      </c>
      <c r="L1727" s="166">
        <f t="shared" ca="1" si="256"/>
        <v>21</v>
      </c>
      <c r="M1727" s="183">
        <f ca="1">SUMPRODUCT(F1727:K1727,F1706:K1706)/L:L</f>
        <v>-9.5238095238095247E-3</v>
      </c>
      <c r="N1727" s="166">
        <f t="shared" ca="1" si="257"/>
        <v>0.99052139831932107</v>
      </c>
      <c r="O1727" s="247">
        <f t="shared" ca="1" si="259"/>
        <v>1242.2697965230091</v>
      </c>
      <c r="P1727" s="247">
        <f t="shared" ca="1" si="258"/>
        <v>1230.4948159418293</v>
      </c>
    </row>
    <row r="1728" spans="1:16" x14ac:dyDescent="0.3">
      <c r="A1728" s="247">
        <f>MATCH(Calcs!B1728,Paste_Report_Here!$1:$1,0) -1</f>
        <v>25</v>
      </c>
      <c r="B1728" s="247" t="s">
        <v>141</v>
      </c>
      <c r="C1728" s="166">
        <f ca="1">RANK(N1728,N1708:N1732)</f>
        <v>11</v>
      </c>
      <c r="D1728" s="166">
        <f ca="1">RANK(P1728,P1708:P1732)</f>
        <v>22</v>
      </c>
      <c r="E1728" s="189" t="s">
        <v>170</v>
      </c>
      <c r="F1728" s="179">
        <f ca="1">COUNTIFS(Paste_Report_Here!$E$1:$E$2000,E1702, OFFSET(Paste_Report_Here!$A$1,0,$A1728,2000,1),F$75)</f>
        <v>1</v>
      </c>
      <c r="G1728" s="180">
        <f ca="1">COUNTIFS(Paste_Report_Here!$E$1:$E$2000,E1702, OFFSET(Paste_Report_Here!$A$1,0,$A1728,2000,1),G$75)</f>
        <v>1</v>
      </c>
      <c r="H1728" s="180">
        <f ca="1">COUNTIFS(Paste_Report_Here!$E$1:$E$2000,E1702, OFFSET(Paste_Report_Here!$A$1,0,$A1728,2000,1),H$75)</f>
        <v>17</v>
      </c>
      <c r="I1728" s="180">
        <f ca="1">COUNTIFS(Paste_Report_Here!$E$1:$E$2000,E1702, OFFSET(Paste_Report_Here!$A$1,0,$A1728,2000,1),I$75)</f>
        <v>2</v>
      </c>
      <c r="J1728" s="180">
        <f ca="1">COUNTIFS(Paste_Report_Here!$E$1:$E$2000,E1702, OFFSET(Paste_Report_Here!$A$1,0,$A1728,2000,1),J$75)</f>
        <v>0</v>
      </c>
      <c r="K1728" s="181">
        <f ca="1">COUNTIFS(Paste_Report_Here!$E$1:$E$2000,E1702, OFFSET(Paste_Report_Here!$A$1,0,$A1728,2000,1),K$75)</f>
        <v>0</v>
      </c>
      <c r="L1728" s="166">
        <f t="shared" ca="1" si="256"/>
        <v>21</v>
      </c>
      <c r="M1728" s="183">
        <f ca="1">SUMPRODUCT(F1728:K1728,F1706:K1706)/L:L</f>
        <v>-9.5238095238095247E-3</v>
      </c>
      <c r="N1728" s="166">
        <f t="shared" ca="1" si="257"/>
        <v>0.99052139831932107</v>
      </c>
      <c r="O1728" s="247">
        <f t="shared" ca="1" si="259"/>
        <v>1328.8825556916247</v>
      </c>
      <c r="P1728" s="247">
        <f t="shared" ca="1" si="258"/>
        <v>1316.2866072658212</v>
      </c>
    </row>
    <row r="1729" spans="1:16" x14ac:dyDescent="0.3">
      <c r="A1729" s="247">
        <f>MATCH(Calcs!B1729,Paste_Report_Here!$1:$1,0) -1</f>
        <v>26</v>
      </c>
      <c r="B1729" s="247" t="s">
        <v>142</v>
      </c>
      <c r="C1729" s="166">
        <f ca="1">RANK(N1729,N1708:N1732)</f>
        <v>11</v>
      </c>
      <c r="D1729" s="166">
        <f ca="1">RANK(P1729,P1708:P1732)</f>
        <v>13</v>
      </c>
      <c r="E1729" s="189" t="s">
        <v>171</v>
      </c>
      <c r="F1729" s="179">
        <f ca="1">COUNTIFS(Paste_Report_Here!$E$1:$E$2000,E1702, OFFSET(Paste_Report_Here!$A$1,0,$A1729,2000,1),F$75)</f>
        <v>1</v>
      </c>
      <c r="G1729" s="180">
        <f ca="1">COUNTIFS(Paste_Report_Here!$E$1:$E$2000,E1702, OFFSET(Paste_Report_Here!$A$1,0,$A1729,2000,1),G$75)</f>
        <v>0</v>
      </c>
      <c r="H1729" s="180">
        <f ca="1">COUNTIFS(Paste_Report_Here!$E$1:$E$2000,E1702, OFFSET(Paste_Report_Here!$A$1,0,$A1729,2000,1),H$75)</f>
        <v>17</v>
      </c>
      <c r="I1729" s="180">
        <f ca="1">COUNTIFS(Paste_Report_Here!$E$1:$E$2000,E1702, OFFSET(Paste_Report_Here!$A$1,0,$A1729,2000,1),I$75)</f>
        <v>3</v>
      </c>
      <c r="J1729" s="180">
        <f ca="1">COUNTIFS(Paste_Report_Here!$E$1:$E$2000,E1702, OFFSET(Paste_Report_Here!$A$1,0,$A1729,2000,1),J$75)</f>
        <v>0</v>
      </c>
      <c r="K1729" s="181">
        <f ca="1">COUNTIFS(Paste_Report_Here!$E$1:$E$2000,E1702, OFFSET(Paste_Report_Here!$A$1,0,$A1729,2000,1),K$75)</f>
        <v>0</v>
      </c>
      <c r="L1729" s="166">
        <f t="shared" ca="1" si="256"/>
        <v>21</v>
      </c>
      <c r="M1729" s="183">
        <f ca="1">SUMPRODUCT(F1729:K1729,F1706:K1706)/L:L</f>
        <v>-9.5238095238095247E-3</v>
      </c>
      <c r="N1729" s="166">
        <f t="shared" ca="1" si="257"/>
        <v>0.99052139831932107</v>
      </c>
      <c r="O1729" s="247">
        <f t="shared" ca="1" si="259"/>
        <v>2267.2891501576159</v>
      </c>
      <c r="P1729" s="247">
        <f t="shared" ca="1" si="258"/>
        <v>2245.7984194083469</v>
      </c>
    </row>
    <row r="1730" spans="1:16" x14ac:dyDescent="0.3">
      <c r="A1730" s="247">
        <f>MATCH(Calcs!B1730,Paste_Report_Here!$1:$1,0) -1</f>
        <v>27</v>
      </c>
      <c r="B1730" s="247" t="s">
        <v>210</v>
      </c>
      <c r="C1730" s="166">
        <f ca="1">RANK(N1730,N1708:N1732)</f>
        <v>3</v>
      </c>
      <c r="D1730" s="166">
        <f ca="1">RANK(P1730,P1708:P1732)</f>
        <v>24</v>
      </c>
      <c r="E1730" s="202" t="s">
        <v>212</v>
      </c>
      <c r="F1730" s="179">
        <f ca="1">COUNTIFS(Paste_Report_Here!$E$1:$E$2000,E1702, OFFSET(Paste_Report_Here!$A$1,0,$A1730,2000,1),F$75)</f>
        <v>0</v>
      </c>
      <c r="G1730" s="180">
        <f ca="1">COUNTIFS(Paste_Report_Here!$E$1:$E$2000,E1702, OFFSET(Paste_Report_Here!$A$1,0,$A1730,2000,1),G$75)</f>
        <v>0</v>
      </c>
      <c r="H1730" s="180">
        <f ca="1">COUNTIFS(Paste_Report_Here!$E$1:$E$2000,E1702, OFFSET(Paste_Report_Here!$A$1,0,$A1730,2000,1),H$75)</f>
        <v>19</v>
      </c>
      <c r="I1730" s="180">
        <f ca="1">COUNTIFS(Paste_Report_Here!$E$1:$E$2000,E1702, OFFSET(Paste_Report_Here!$A$1,0,$A1730,2000,1),I$75)</f>
        <v>2</v>
      </c>
      <c r="J1730" s="180">
        <f ca="1">COUNTIFS(Paste_Report_Here!$E$1:$E$2000,E1702, OFFSET(Paste_Report_Here!$A$1,0,$A1730,2000,1),J$75)</f>
        <v>0</v>
      </c>
      <c r="K1730" s="181">
        <f ca="1">COUNTIFS(Paste_Report_Here!$E$1:$E$2000,E1702, OFFSET(Paste_Report_Here!$A$1,0,$A1730,2000,1),K$75)</f>
        <v>0</v>
      </c>
      <c r="L1730" s="166">
        <f t="shared" ca="1" si="256"/>
        <v>21</v>
      </c>
      <c r="M1730" s="183">
        <f ca="1">SUMPRODUCT(F1730:K1730,F1706:K1706)/L:L</f>
        <v>0</v>
      </c>
      <c r="N1730" s="166">
        <f t="shared" ca="1" si="257"/>
        <v>1</v>
      </c>
      <c r="O1730" s="247">
        <f t="shared" ca="1" si="259"/>
        <v>1152.8560468976777</v>
      </c>
      <c r="P1730" s="247">
        <f t="shared" ca="1" si="258"/>
        <v>1152.8560468976777</v>
      </c>
    </row>
    <row r="1731" spans="1:16" x14ac:dyDescent="0.3">
      <c r="A1731" s="247">
        <f>MATCH(Calcs!B1731,Paste_Report_Here!$1:$1,0) -1</f>
        <v>28</v>
      </c>
      <c r="B1731" s="247" t="s">
        <v>143</v>
      </c>
      <c r="C1731" s="166">
        <f ca="1">RANK(N1731,N1708:N1732)</f>
        <v>1</v>
      </c>
      <c r="D1731" s="166">
        <f ca="1">RANK(P1731,P1708:P1732)</f>
        <v>1</v>
      </c>
      <c r="E1731" s="189" t="s">
        <v>172</v>
      </c>
      <c r="F1731" s="179">
        <f ca="1">COUNTIFS(Paste_Report_Here!$E$1:$E$2000,E1702, OFFSET(Paste_Report_Here!$A$1,0,$A1731,2000,1),F$75)</f>
        <v>0</v>
      </c>
      <c r="G1731" s="180">
        <f ca="1">COUNTIFS(Paste_Report_Here!$E$1:$E$2000,E1702, OFFSET(Paste_Report_Here!$A$1,0,$A1731,2000,1),G$75)</f>
        <v>1</v>
      </c>
      <c r="H1731" s="180">
        <f ca="1">COUNTIFS(Paste_Report_Here!$E$1:$E$2000,E1702, OFFSET(Paste_Report_Here!$A$1,0,$A1731,2000,1),H$75)</f>
        <v>17</v>
      </c>
      <c r="I1731" s="180">
        <f ca="1">COUNTIFS(Paste_Report_Here!$E$1:$E$2000,E1702, OFFSET(Paste_Report_Here!$A$1,0,$A1731,2000,1),I$75)</f>
        <v>2</v>
      </c>
      <c r="J1731" s="180">
        <f ca="1">COUNTIFS(Paste_Report_Here!$E$1:$E$2000,E1702, OFFSET(Paste_Report_Here!$A$1,0,$A1731,2000,1),J$75)</f>
        <v>1</v>
      </c>
      <c r="K1731" s="181">
        <f ca="1">COUNTIFS(Paste_Report_Here!$E$1:$E$2000,E1702, OFFSET(Paste_Report_Here!$A$1,0,$A1731,2000,1),K$75)</f>
        <v>0</v>
      </c>
      <c r="L1731" s="166">
        <f t="shared" ca="1" si="256"/>
        <v>21</v>
      </c>
      <c r="M1731" s="183">
        <f ca="1">SUMPRODUCT(F1731:K1731,F1706:K1706)/L:L</f>
        <v>9.5238095238095247E-3</v>
      </c>
      <c r="N1731" s="166">
        <f t="shared" ca="1" si="257"/>
        <v>1.0095693053141122</v>
      </c>
      <c r="O1731" s="247">
        <f t="shared" ca="1" si="259"/>
        <v>10753.273490748092</v>
      </c>
      <c r="P1731" s="247">
        <f t="shared" ca="1" si="258"/>
        <v>10856.174847907208</v>
      </c>
    </row>
    <row r="1732" spans="1:16" x14ac:dyDescent="0.3">
      <c r="A1732" s="247">
        <f>MATCH(Calcs!B1732,Paste_Report_Here!$1:$1,0) -1</f>
        <v>29</v>
      </c>
      <c r="B1732" s="187" t="s">
        <v>144</v>
      </c>
      <c r="C1732" s="147">
        <f ca="1">RANK(N1732,N1708:N1732)</f>
        <v>3</v>
      </c>
      <c r="D1732" s="147">
        <f ca="1">RANK(P1732,P1708:P1732)</f>
        <v>11</v>
      </c>
      <c r="E1732" s="145" t="s">
        <v>173</v>
      </c>
      <c r="F1732" s="146">
        <f ca="1">COUNTIFS(Paste_Report_Here!$E$1:$E$2000,E1702, OFFSET(Paste_Report_Here!$A$1,0,$A1732,2000,1),F$75)</f>
        <v>0</v>
      </c>
      <c r="G1732" s="147">
        <f ca="1">COUNTIFS(Paste_Report_Here!$E$1:$E$2000,E1702, OFFSET(Paste_Report_Here!$A$1,0,$A1732,2000,1),G$75)</f>
        <v>1</v>
      </c>
      <c r="H1732" s="147">
        <f ca="1">COUNTIFS(Paste_Report_Here!$E$1:$E$2000,E1702, OFFSET(Paste_Report_Here!$A$1,0,$A1732,2000,1),H$75)</f>
        <v>17</v>
      </c>
      <c r="I1732" s="147">
        <f ca="1">COUNTIFS(Paste_Report_Here!$E$1:$E$2000,E1702, OFFSET(Paste_Report_Here!$A$1,0,$A1732,2000,1),I$75)</f>
        <v>3</v>
      </c>
      <c r="J1732" s="147">
        <f ca="1">COUNTIFS(Paste_Report_Here!$E$1:$E$2000,E1702, OFFSET(Paste_Report_Here!$A$1,0,$A1732,2000,1),J$75)</f>
        <v>0</v>
      </c>
      <c r="K1732" s="148">
        <f ca="1">COUNTIFS(Paste_Report_Here!$E$1:$E$2000,E1702, OFFSET(Paste_Report_Here!$A$1,0,$A1732,2000,1),K$75)</f>
        <v>0</v>
      </c>
      <c r="L1732" s="147">
        <f t="shared" ca="1" si="256"/>
        <v>21</v>
      </c>
      <c r="M1732" s="149">
        <f ca="1">SUMPRODUCT(F1732:K1732,F1706:K1706)/L:L</f>
        <v>0</v>
      </c>
      <c r="N1732" s="147">
        <f t="shared" ca="1" si="257"/>
        <v>1</v>
      </c>
      <c r="O1732" s="187">
        <f t="shared" ca="1" si="259"/>
        <v>2392.2261011950159</v>
      </c>
      <c r="P1732" s="247">
        <f t="shared" ca="1" si="258"/>
        <v>2392.2261011950159</v>
      </c>
    </row>
    <row r="1733" spans="1:16" x14ac:dyDescent="0.3">
      <c r="A1733" s="247"/>
      <c r="B1733" s="247"/>
      <c r="C1733" s="166"/>
      <c r="D1733" s="247"/>
      <c r="E1733" s="140" t="s">
        <v>293</v>
      </c>
      <c r="F1733" s="180">
        <f ca="1">SUM(F1708:F1732)</f>
        <v>18</v>
      </c>
      <c r="G1733" s="180">
        <f t="shared" ref="G1733:L1733" ca="1" si="260">SUM(G1708:G1732)</f>
        <v>14</v>
      </c>
      <c r="H1733" s="180">
        <f t="shared" ca="1" si="260"/>
        <v>408</v>
      </c>
      <c r="I1733" s="180">
        <f t="shared" ca="1" si="260"/>
        <v>80</v>
      </c>
      <c r="J1733" s="180">
        <f t="shared" ca="1" si="260"/>
        <v>5</v>
      </c>
      <c r="K1733" s="180">
        <f t="shared" ca="1" si="260"/>
        <v>0</v>
      </c>
      <c r="L1733" s="180">
        <f t="shared" ca="1" si="260"/>
        <v>525</v>
      </c>
      <c r="M1733" s="144">
        <f ca="1">SUMPRODUCT(F1733:K1733,F1706:K1706)/L1733</f>
        <v>-4.9523809523809529E-3</v>
      </c>
      <c r="N1733" s="166">
        <f t="shared" ca="1" si="257"/>
        <v>0.99505986186746054</v>
      </c>
      <c r="O1733" s="247">
        <f t="shared" ca="1" si="259"/>
        <v>2783.1690704003677</v>
      </c>
      <c r="P1733" s="247">
        <f t="shared" ca="1" si="258"/>
        <v>2769.4198307463785</v>
      </c>
    </row>
    <row r="1734" spans="1:16" x14ac:dyDescent="0.3">
      <c r="A1734" s="194"/>
      <c r="B1734" s="194"/>
      <c r="C1734" s="153"/>
      <c r="D1734" s="194"/>
      <c r="E1734" s="164"/>
      <c r="F1734" s="151"/>
      <c r="G1734" s="151"/>
      <c r="H1734" s="151"/>
      <c r="I1734" s="151"/>
      <c r="J1734" s="151"/>
      <c r="K1734" s="151"/>
      <c r="L1734" s="151"/>
      <c r="M1734" s="162"/>
      <c r="N1734" s="153"/>
      <c r="O1734" s="194"/>
      <c r="P1734" s="194"/>
    </row>
    <row r="1735" spans="1:16" x14ac:dyDescent="0.3">
      <c r="A1735" s="247"/>
      <c r="B1735" s="247"/>
      <c r="C1735" s="247"/>
      <c r="D1735" s="247"/>
      <c r="E1735" s="173" t="s">
        <v>292</v>
      </c>
      <c r="F1735" s="247"/>
      <c r="G1735" s="247"/>
      <c r="H1735" s="247"/>
      <c r="I1735" s="247"/>
      <c r="J1735" s="247"/>
      <c r="K1735" s="247"/>
      <c r="L1735" s="247"/>
      <c r="M1735" s="247"/>
      <c r="N1735" s="247"/>
      <c r="O1735" s="247"/>
      <c r="P1735" s="247"/>
    </row>
    <row r="1736" spans="1:16" x14ac:dyDescent="0.3">
      <c r="A1736" s="247"/>
      <c r="B1736" s="247"/>
      <c r="C1736" s="247"/>
      <c r="D1736" s="247"/>
      <c r="E1736" s="141">
        <v>42093</v>
      </c>
      <c r="F1736" s="247"/>
      <c r="G1736" s="247"/>
      <c r="H1736" s="247"/>
      <c r="I1736" s="247"/>
      <c r="J1736" s="247"/>
      <c r="K1736" s="247"/>
      <c r="L1736" s="247"/>
      <c r="M1736" s="247"/>
      <c r="N1736" s="247"/>
      <c r="O1736" s="247"/>
      <c r="P1736" s="247"/>
    </row>
    <row r="1737" spans="1:16" ht="15" thickBot="1" x14ac:dyDescent="0.35">
      <c r="A1737" s="247"/>
      <c r="B1737" s="247"/>
      <c r="C1737" s="247"/>
      <c r="D1737" s="247"/>
      <c r="E1737" s="247"/>
      <c r="F1737" s="247"/>
      <c r="G1737" s="247"/>
      <c r="H1737" s="247"/>
      <c r="I1737" s="247"/>
      <c r="J1737" s="247"/>
      <c r="K1737" s="247"/>
      <c r="L1737" s="247"/>
      <c r="M1737" s="247"/>
      <c r="N1737" s="247"/>
      <c r="O1737" s="247"/>
      <c r="P1737" s="247"/>
    </row>
    <row r="1738" spans="1:16" ht="24.6" thickBot="1" x14ac:dyDescent="0.35">
      <c r="A1738" s="247"/>
      <c r="B1738" s="247"/>
      <c r="C1738" s="247"/>
      <c r="D1738" s="247"/>
      <c r="E1738" s="247"/>
      <c r="F1738" s="174" t="s">
        <v>23</v>
      </c>
      <c r="G1738" s="168" t="s">
        <v>18</v>
      </c>
      <c r="H1738" s="168" t="s">
        <v>16</v>
      </c>
      <c r="I1738" s="168" t="s">
        <v>17</v>
      </c>
      <c r="J1738" s="168" t="s">
        <v>19</v>
      </c>
      <c r="K1738" s="169" t="s">
        <v>114</v>
      </c>
      <c r="L1738" s="247"/>
      <c r="M1738" s="247"/>
      <c r="N1738" s="247"/>
      <c r="O1738" s="247"/>
      <c r="P1738" s="247"/>
    </row>
    <row r="1739" spans="1:16" x14ac:dyDescent="0.3">
      <c r="A1739" s="247"/>
      <c r="B1739" s="247"/>
      <c r="C1739" s="247"/>
      <c r="D1739" s="247"/>
      <c r="E1739" s="247"/>
      <c r="F1739" s="267" t="s">
        <v>201</v>
      </c>
      <c r="G1739" s="268"/>
      <c r="H1739" s="268"/>
      <c r="I1739" s="268"/>
      <c r="J1739" s="268"/>
      <c r="K1739" s="169"/>
      <c r="L1739" s="247"/>
      <c r="M1739" s="203">
        <f ca="1">(H1767+K1767)/L1767</f>
        <v>0.79428571428571426</v>
      </c>
      <c r="N1739" s="204" t="s">
        <v>501</v>
      </c>
      <c r="O1739" s="247"/>
      <c r="P1739" s="247"/>
    </row>
    <row r="1740" spans="1:16" ht="43.8" thickBot="1" x14ac:dyDescent="0.35">
      <c r="A1740" s="142" t="s">
        <v>294</v>
      </c>
      <c r="B1740" s="142" t="s">
        <v>295</v>
      </c>
      <c r="C1740" s="197" t="s">
        <v>440</v>
      </c>
      <c r="D1740" s="142" t="s">
        <v>441</v>
      </c>
      <c r="E1740" s="171" t="s">
        <v>30</v>
      </c>
      <c r="F1740" s="175">
        <f>Falling_fast</f>
        <v>-0.2</v>
      </c>
      <c r="G1740" s="176">
        <f>Falling</f>
        <v>0</v>
      </c>
      <c r="H1740" s="177">
        <f>Static</f>
        <v>0</v>
      </c>
      <c r="I1740" s="176">
        <f>Rising</f>
        <v>0</v>
      </c>
      <c r="J1740" s="178">
        <f>Rising_fast</f>
        <v>0.2</v>
      </c>
      <c r="K1740" s="182">
        <v>0</v>
      </c>
      <c r="L1740" s="171" t="s">
        <v>28</v>
      </c>
      <c r="M1740" s="172" t="s">
        <v>29</v>
      </c>
      <c r="N1740" s="143" t="s">
        <v>296</v>
      </c>
      <c r="O1740" s="142" t="s">
        <v>297</v>
      </c>
      <c r="P1740" s="142" t="s">
        <v>298</v>
      </c>
    </row>
    <row r="1741" spans="1:16" x14ac:dyDescent="0.3">
      <c r="A1741" s="247"/>
      <c r="B1741" s="247"/>
      <c r="C1741" s="166"/>
      <c r="D1741" s="247"/>
      <c r="E1741" s="192"/>
      <c r="F1741" s="198" t="s">
        <v>151</v>
      </c>
      <c r="G1741" s="199" t="s">
        <v>149</v>
      </c>
      <c r="H1741" s="199" t="s">
        <v>16</v>
      </c>
      <c r="I1741" s="199" t="s">
        <v>148</v>
      </c>
      <c r="J1741" s="199" t="s">
        <v>150</v>
      </c>
      <c r="K1741" s="200" t="s">
        <v>114</v>
      </c>
      <c r="L1741" s="166"/>
      <c r="M1741" s="170"/>
      <c r="N1741" s="166"/>
      <c r="O1741" s="247"/>
      <c r="P1741" s="247"/>
    </row>
    <row r="1742" spans="1:16" x14ac:dyDescent="0.3">
      <c r="A1742" s="247">
        <f>MATCH(Calcs!B1742,Paste_Report_Here!$1:$1,0) -1</f>
        <v>5</v>
      </c>
      <c r="B1742" s="247" t="s">
        <v>124</v>
      </c>
      <c r="C1742" s="166">
        <f ca="1">RANK(N1742,N1742:N1766)</f>
        <v>12</v>
      </c>
      <c r="D1742" s="166">
        <f ca="1">RANK(P1742,P1742:P1766)</f>
        <v>15</v>
      </c>
      <c r="E1742" s="189" t="s">
        <v>152</v>
      </c>
      <c r="F1742" s="179">
        <f ca="1">COUNTIFS(Paste_Report_Here!$E$1:$E$2000,E1736, OFFSET(Paste_Report_Here!$A$1,0,$A1742,2000,1),F$75)</f>
        <v>1</v>
      </c>
      <c r="G1742" s="180">
        <f ca="1">COUNTIFS(Paste_Report_Here!$E$1:$E$2000,E1736, OFFSET(Paste_Report_Here!$A$1,0,$A1742,2000,1),G$75)</f>
        <v>1</v>
      </c>
      <c r="H1742" s="180">
        <f ca="1">COUNTIFS(Paste_Report_Here!$E$1:$E$2000,E1736, OFFSET(Paste_Report_Here!$A$1,0,$A1742,2000,1),H$75)</f>
        <v>23</v>
      </c>
      <c r="I1742" s="180">
        <f ca="1">COUNTIFS(Paste_Report_Here!$E$1:$E$2000,E1736, OFFSET(Paste_Report_Here!$A$1,0,$A1742,2000,1),I$75)</f>
        <v>3</v>
      </c>
      <c r="J1742" s="180">
        <f ca="1">COUNTIFS(Paste_Report_Here!$E$1:$E$2000,E1736, OFFSET(Paste_Report_Here!$A$1,0,$A1742,2000,1),J$75)</f>
        <v>0</v>
      </c>
      <c r="K1742" s="181">
        <f ca="1">COUNTIFS(Paste_Report_Here!$E$1:$E$2000,E1736, OFFSET(Paste_Report_Here!$A$1,0,$A1742,2000,1),K$75)</f>
        <v>0</v>
      </c>
      <c r="L1742" s="166">
        <f t="shared" ref="L1742:L1766" ca="1" si="261">SUM(F1742:K1742)</f>
        <v>28</v>
      </c>
      <c r="M1742" s="183">
        <f ca="1">SUMPRODUCT(F1742:K1742,F1740:K1740)/L:L</f>
        <v>-7.1428571428571435E-3</v>
      </c>
      <c r="N1742" s="166">
        <f t="shared" ref="N1742:N1767" ca="1" si="262">EXP(M1742)</f>
        <v>0.99288259243095034</v>
      </c>
      <c r="O1742" s="247">
        <f ca="1">P1708</f>
        <v>2235.8286752349618</v>
      </c>
      <c r="P1742" s="247">
        <f t="shared" ref="P1742:P1767" ca="1" si="263">O1742*N1742</f>
        <v>2219.9153712987463</v>
      </c>
    </row>
    <row r="1743" spans="1:16" x14ac:dyDescent="0.3">
      <c r="A1743" s="247">
        <f>MATCH(Calcs!B1743,Paste_Report_Here!$1:$1,0) -1</f>
        <v>6</v>
      </c>
      <c r="B1743" s="247" t="s">
        <v>125</v>
      </c>
      <c r="C1743" s="166">
        <f ca="1">RANK(N1743,N1742:N1766)</f>
        <v>12</v>
      </c>
      <c r="D1743" s="166">
        <f ca="1">RANK(P1743,P1742:P1766)</f>
        <v>17</v>
      </c>
      <c r="E1743" s="189" t="s">
        <v>153</v>
      </c>
      <c r="F1743" s="179">
        <f ca="1">COUNTIFS(Paste_Report_Here!$E$1:$E$2000,E1736, OFFSET(Paste_Report_Here!$A$1,0,$A1743,2000,1),F$75)</f>
        <v>1</v>
      </c>
      <c r="G1743" s="180">
        <f ca="1">COUNTIFS(Paste_Report_Here!$E$1:$E$2000,E1736, OFFSET(Paste_Report_Here!$A$1,0,$A1743,2000,1),G$75)</f>
        <v>1</v>
      </c>
      <c r="H1743" s="180">
        <f ca="1">COUNTIFS(Paste_Report_Here!$E$1:$E$2000,E1736, OFFSET(Paste_Report_Here!$A$1,0,$A1743,2000,1),H$75)</f>
        <v>22</v>
      </c>
      <c r="I1743" s="180">
        <f ca="1">COUNTIFS(Paste_Report_Here!$E$1:$E$2000,E1736, OFFSET(Paste_Report_Here!$A$1,0,$A1743,2000,1),I$75)</f>
        <v>4</v>
      </c>
      <c r="J1743" s="180">
        <f ca="1">COUNTIFS(Paste_Report_Here!$E$1:$E$2000,E1736, OFFSET(Paste_Report_Here!$A$1,0,$A1743,2000,1),J$75)</f>
        <v>0</v>
      </c>
      <c r="K1743" s="181">
        <f ca="1">COUNTIFS(Paste_Report_Here!$E$1:$E$2000,E1736, OFFSET(Paste_Report_Here!$A$1,0,$A1743,2000,1),K$75)</f>
        <v>0</v>
      </c>
      <c r="L1743" s="166">
        <f t="shared" ca="1" si="261"/>
        <v>28</v>
      </c>
      <c r="M1743" s="183">
        <f ca="1">SUMPRODUCT(F1743:K1743,F1740:K1740)/L:L</f>
        <v>-7.1428571428571435E-3</v>
      </c>
      <c r="N1743" s="166">
        <f t="shared" ca="1" si="262"/>
        <v>0.99288259243095034</v>
      </c>
      <c r="O1743" s="247">
        <f t="shared" ref="O1743:O1767" ca="1" si="264">P1709</f>
        <v>2048.9949547852625</v>
      </c>
      <c r="P1743" s="247">
        <f t="shared" ca="1" si="263"/>
        <v>2034.4114225851292</v>
      </c>
    </row>
    <row r="1744" spans="1:16" x14ac:dyDescent="0.3">
      <c r="A1744" s="247">
        <f>MATCH(Calcs!B1744,Paste_Report_Here!$1:$1,0) -1</f>
        <v>7</v>
      </c>
      <c r="B1744" s="247" t="s">
        <v>126</v>
      </c>
      <c r="C1744" s="166">
        <f ca="1">RANK(N1744,N1742:N1766)</f>
        <v>12</v>
      </c>
      <c r="D1744" s="166">
        <f ca="1">RANK(P1744,P1742:P1766)</f>
        <v>8</v>
      </c>
      <c r="E1744" s="189" t="s">
        <v>154</v>
      </c>
      <c r="F1744" s="179">
        <f ca="1">COUNTIFS(Paste_Report_Here!$E$1:$E$2000,E1736, OFFSET(Paste_Report_Here!$A$1,0,$A1744,2000,1),F$75)</f>
        <v>1</v>
      </c>
      <c r="G1744" s="180">
        <f ca="1">COUNTIFS(Paste_Report_Here!$E$1:$E$2000,E1736, OFFSET(Paste_Report_Here!$A$1,0,$A1744,2000,1),G$75)</f>
        <v>1</v>
      </c>
      <c r="H1744" s="180">
        <f ca="1">COUNTIFS(Paste_Report_Here!$E$1:$E$2000,E1736, OFFSET(Paste_Report_Here!$A$1,0,$A1744,2000,1),H$75)</f>
        <v>25</v>
      </c>
      <c r="I1744" s="180">
        <f ca="1">COUNTIFS(Paste_Report_Here!$E$1:$E$2000,E1736, OFFSET(Paste_Report_Here!$A$1,0,$A1744,2000,1),I$75)</f>
        <v>1</v>
      </c>
      <c r="J1744" s="180">
        <f ca="1">COUNTIFS(Paste_Report_Here!$E$1:$E$2000,E1736, OFFSET(Paste_Report_Here!$A$1,0,$A1744,2000,1),J$75)</f>
        <v>0</v>
      </c>
      <c r="K1744" s="181">
        <f ca="1">COUNTIFS(Paste_Report_Here!$E$1:$E$2000,E1736, OFFSET(Paste_Report_Here!$A$1,0,$A1744,2000,1),K$75)</f>
        <v>0</v>
      </c>
      <c r="L1744" s="166">
        <f t="shared" ca="1" si="261"/>
        <v>28</v>
      </c>
      <c r="M1744" s="183">
        <f ca="1">SUMPRODUCT(F1744:K1744,F1740:K1740)/L:L</f>
        <v>-7.1428571428571435E-3</v>
      </c>
      <c r="N1744" s="166">
        <f t="shared" ca="1" si="262"/>
        <v>0.99288259243095034</v>
      </c>
      <c r="O1744" s="247">
        <f t="shared" ca="1" si="264"/>
        <v>2604.799240022774</v>
      </c>
      <c r="P1744" s="247">
        <f t="shared" ca="1" si="263"/>
        <v>2586.2598221959811</v>
      </c>
    </row>
    <row r="1745" spans="1:16" x14ac:dyDescent="0.3">
      <c r="A1745" s="247">
        <f>MATCH(Calcs!B1745,Paste_Report_Here!$1:$1,0) -1</f>
        <v>8</v>
      </c>
      <c r="B1745" s="247" t="s">
        <v>127</v>
      </c>
      <c r="C1745" s="166">
        <f ca="1">RANK(N1745,N1742:N1766)</f>
        <v>3</v>
      </c>
      <c r="D1745" s="166">
        <f ca="1">RANK(P1745,P1742:P1766)</f>
        <v>7</v>
      </c>
      <c r="E1745" s="189" t="s">
        <v>155</v>
      </c>
      <c r="F1745" s="179">
        <f ca="1">COUNTIFS(Paste_Report_Here!$E$1:$E$2000,E1736, OFFSET(Paste_Report_Here!$A$1,0,$A1745,2000,1),F$75)</f>
        <v>0</v>
      </c>
      <c r="G1745" s="180">
        <f ca="1">COUNTIFS(Paste_Report_Here!$E$1:$E$2000,E1736, OFFSET(Paste_Report_Here!$A$1,0,$A1745,2000,1),G$75)</f>
        <v>0</v>
      </c>
      <c r="H1745" s="180">
        <f ca="1">COUNTIFS(Paste_Report_Here!$E$1:$E$2000,E1736, OFFSET(Paste_Report_Here!$A$1,0,$A1745,2000,1),H$75)</f>
        <v>25</v>
      </c>
      <c r="I1745" s="180">
        <f ca="1">COUNTIFS(Paste_Report_Here!$E$1:$E$2000,E1736, OFFSET(Paste_Report_Here!$A$1,0,$A1745,2000,1),I$75)</f>
        <v>3</v>
      </c>
      <c r="J1745" s="180">
        <f ca="1">COUNTIFS(Paste_Report_Here!$E$1:$E$2000,E1736, OFFSET(Paste_Report_Here!$A$1,0,$A1745,2000,1),J$75)</f>
        <v>0</v>
      </c>
      <c r="K1745" s="181">
        <f ca="1">COUNTIFS(Paste_Report_Here!$E$1:$E$2000,E1736, OFFSET(Paste_Report_Here!$A$1,0,$A1745,2000,1),K$75)</f>
        <v>0</v>
      </c>
      <c r="L1745" s="166">
        <f t="shared" ca="1" si="261"/>
        <v>28</v>
      </c>
      <c r="M1745" s="183">
        <f ca="1">SUMPRODUCT(F1745:K1745,F1740:K1740)/L:L</f>
        <v>0</v>
      </c>
      <c r="N1745" s="166">
        <f t="shared" ca="1" si="262"/>
        <v>1</v>
      </c>
      <c r="O1745" s="247">
        <f t="shared" ca="1" si="264"/>
        <v>3007.0951387361301</v>
      </c>
      <c r="P1745" s="247">
        <f t="shared" ca="1" si="263"/>
        <v>3007.0951387361301</v>
      </c>
    </row>
    <row r="1746" spans="1:16" x14ac:dyDescent="0.3">
      <c r="A1746" s="247">
        <f>MATCH(Calcs!B1746,Paste_Report_Here!$1:$1,0) -1</f>
        <v>9</v>
      </c>
      <c r="B1746" s="247" t="s">
        <v>214</v>
      </c>
      <c r="C1746" s="166">
        <f ca="1">RANK(N1746,N1742:N1766)</f>
        <v>3</v>
      </c>
      <c r="D1746" s="166">
        <f ca="1">RANK(P1746,P1742:P1766)</f>
        <v>5</v>
      </c>
      <c r="E1746" s="189" t="s">
        <v>156</v>
      </c>
      <c r="F1746" s="179">
        <f ca="1">COUNTIFS(Paste_Report_Here!$E$1:$E$2000,E1736, OFFSET(Paste_Report_Here!$A$1,0,$A1746,2000,1),F$75)</f>
        <v>0</v>
      </c>
      <c r="G1746" s="180">
        <f ca="1">COUNTIFS(Paste_Report_Here!$E$1:$E$2000,E1736, OFFSET(Paste_Report_Here!$A$1,0,$A1746,2000,1),G$75)</f>
        <v>3</v>
      </c>
      <c r="H1746" s="180">
        <f ca="1">COUNTIFS(Paste_Report_Here!$E$1:$E$2000,E1736, OFFSET(Paste_Report_Here!$A$1,0,$A1746,2000,1),H$75)</f>
        <v>20</v>
      </c>
      <c r="I1746" s="180">
        <f ca="1">COUNTIFS(Paste_Report_Here!$E$1:$E$2000,E1736, OFFSET(Paste_Report_Here!$A$1,0,$A1746,2000,1),I$75)</f>
        <v>5</v>
      </c>
      <c r="J1746" s="180">
        <f ca="1">COUNTIFS(Paste_Report_Here!$E$1:$E$2000,E1736, OFFSET(Paste_Report_Here!$A$1,0,$A1746,2000,1),J$75)</f>
        <v>0</v>
      </c>
      <c r="K1746" s="181">
        <f ca="1">COUNTIFS(Paste_Report_Here!$E$1:$E$2000,E1736, OFFSET(Paste_Report_Here!$A$1,0,$A1746,2000,1),K$75)</f>
        <v>0</v>
      </c>
      <c r="L1746" s="166">
        <f t="shared" ca="1" si="261"/>
        <v>28</v>
      </c>
      <c r="M1746" s="183">
        <f ca="1">SUMPRODUCT(F1746:K1746,F1740:K1740)/L:L</f>
        <v>0</v>
      </c>
      <c r="N1746" s="166">
        <f t="shared" ca="1" si="262"/>
        <v>1</v>
      </c>
      <c r="O1746" s="247">
        <f t="shared" ca="1" si="264"/>
        <v>4148.4650036311268</v>
      </c>
      <c r="P1746" s="247">
        <f t="shared" ca="1" si="263"/>
        <v>4148.4650036311268</v>
      </c>
    </row>
    <row r="1747" spans="1:16" x14ac:dyDescent="0.3">
      <c r="A1747" s="247">
        <f>MATCH(Calcs!B1747,Paste_Report_Here!$1:$1,0) -1</f>
        <v>10</v>
      </c>
      <c r="B1747" s="247" t="s">
        <v>128</v>
      </c>
      <c r="C1747" s="166">
        <f ca="1">RANK(N1747,N1742:N1766)</f>
        <v>12</v>
      </c>
      <c r="D1747" s="166">
        <f ca="1">RANK(P1747,P1742:P1766)</f>
        <v>21</v>
      </c>
      <c r="E1747" s="189" t="s">
        <v>157</v>
      </c>
      <c r="F1747" s="179">
        <f ca="1">COUNTIFS(Paste_Report_Here!$E$1:$E$2000,E1736, OFFSET(Paste_Report_Here!$A$1,0,$A1747,2000,1),F$75)</f>
        <v>1</v>
      </c>
      <c r="G1747" s="180">
        <f ca="1">COUNTIFS(Paste_Report_Here!$E$1:$E$2000,E1736, OFFSET(Paste_Report_Here!$A$1,0,$A1747,2000,1),G$75)</f>
        <v>2</v>
      </c>
      <c r="H1747" s="180">
        <f ca="1">COUNTIFS(Paste_Report_Here!$E$1:$E$2000,E1736, OFFSET(Paste_Report_Here!$A$1,0,$A1747,2000,1),H$75)</f>
        <v>22</v>
      </c>
      <c r="I1747" s="180">
        <f ca="1">COUNTIFS(Paste_Report_Here!$E$1:$E$2000,E1736, OFFSET(Paste_Report_Here!$A$1,0,$A1747,2000,1),I$75)</f>
        <v>3</v>
      </c>
      <c r="J1747" s="180">
        <f ca="1">COUNTIFS(Paste_Report_Here!$E$1:$E$2000,E1736, OFFSET(Paste_Report_Here!$A$1,0,$A1747,2000,1),J$75)</f>
        <v>0</v>
      </c>
      <c r="K1747" s="181">
        <f ca="1">COUNTIFS(Paste_Report_Here!$E$1:$E$2000,E1736, OFFSET(Paste_Report_Here!$A$1,0,$A1747,2000,1),K$75)</f>
        <v>0</v>
      </c>
      <c r="L1747" s="166">
        <f t="shared" ca="1" si="261"/>
        <v>28</v>
      </c>
      <c r="M1747" s="183">
        <f ca="1">SUMPRODUCT(F1747:K1747,F1740:K1740)/L:L</f>
        <v>-7.1428571428571435E-3</v>
      </c>
      <c r="N1747" s="166">
        <f t="shared" ca="1" si="262"/>
        <v>0.99288259243095034</v>
      </c>
      <c r="O1747" s="247">
        <f t="shared" ca="1" si="264"/>
        <v>1506.5532354977881</v>
      </c>
      <c r="P1747" s="247">
        <f t="shared" ca="1" si="263"/>
        <v>1495.8304820962799</v>
      </c>
    </row>
    <row r="1748" spans="1:16" x14ac:dyDescent="0.3">
      <c r="A1748" s="247">
        <f>MATCH(Calcs!B1748,Paste_Report_Here!$1:$1,0) -1</f>
        <v>11</v>
      </c>
      <c r="B1748" s="247" t="s">
        <v>129</v>
      </c>
      <c r="C1748" s="166">
        <f ca="1">RANK(N1748,N1742:N1766)</f>
        <v>12</v>
      </c>
      <c r="D1748" s="166">
        <f ca="1">RANK(P1748,P1742:P1766)</f>
        <v>9</v>
      </c>
      <c r="E1748" s="189" t="s">
        <v>158</v>
      </c>
      <c r="F1748" s="179">
        <f ca="1">COUNTIFS(Paste_Report_Here!$E$1:$E$2000,E1736, OFFSET(Paste_Report_Here!$A$1,0,$A1748,2000,1),F$75)</f>
        <v>1</v>
      </c>
      <c r="G1748" s="180">
        <f ca="1">COUNTIFS(Paste_Report_Here!$E$1:$E$2000,E1736, OFFSET(Paste_Report_Here!$A$1,0,$A1748,2000,1),G$75)</f>
        <v>2</v>
      </c>
      <c r="H1748" s="180">
        <f ca="1">COUNTIFS(Paste_Report_Here!$E$1:$E$2000,E1736, OFFSET(Paste_Report_Here!$A$1,0,$A1748,2000,1),H$75)</f>
        <v>24</v>
      </c>
      <c r="I1748" s="180">
        <f ca="1">COUNTIFS(Paste_Report_Here!$E$1:$E$2000,E1736, OFFSET(Paste_Report_Here!$A$1,0,$A1748,2000,1),I$75)</f>
        <v>1</v>
      </c>
      <c r="J1748" s="180">
        <f ca="1">COUNTIFS(Paste_Report_Here!$E$1:$E$2000,E1736, OFFSET(Paste_Report_Here!$A$1,0,$A1748,2000,1),J$75)</f>
        <v>0</v>
      </c>
      <c r="K1748" s="181">
        <f ca="1">COUNTIFS(Paste_Report_Here!$E$1:$E$2000,E1736, OFFSET(Paste_Report_Here!$A$1,0,$A1748,2000,1),K$75)</f>
        <v>0</v>
      </c>
      <c r="L1748" s="166">
        <f t="shared" ca="1" si="261"/>
        <v>28</v>
      </c>
      <c r="M1748" s="183">
        <f ca="1">SUMPRODUCT(F1748:K1748,F1740:K1740)/L:L</f>
        <v>-7.1428571428571435E-3</v>
      </c>
      <c r="N1748" s="166">
        <f t="shared" ca="1" si="262"/>
        <v>0.99288259243095034</v>
      </c>
      <c r="O1748" s="247">
        <f t="shared" ca="1" si="264"/>
        <v>2464.2057938822895</v>
      </c>
      <c r="P1748" s="247">
        <f t="shared" ca="1" si="263"/>
        <v>2446.6670369132157</v>
      </c>
    </row>
    <row r="1749" spans="1:16" x14ac:dyDescent="0.3">
      <c r="A1749" s="247">
        <f>MATCH(Calcs!B1749,Paste_Report_Here!$1:$1,0) -1</f>
        <v>12</v>
      </c>
      <c r="B1749" s="247" t="s">
        <v>130</v>
      </c>
      <c r="C1749" s="166">
        <f ca="1">RANK(N1749,N1742:N1766)</f>
        <v>12</v>
      </c>
      <c r="D1749" s="166">
        <f ca="1">RANK(P1749,P1742:P1766)</f>
        <v>10</v>
      </c>
      <c r="E1749" s="189" t="s">
        <v>159</v>
      </c>
      <c r="F1749" s="179">
        <f ca="1">COUNTIFS(Paste_Report_Here!$E$1:$E$2000,E1736, OFFSET(Paste_Report_Here!$A$1,0,$A1749,2000,1),F$75)</f>
        <v>1</v>
      </c>
      <c r="G1749" s="180">
        <f ca="1">COUNTIFS(Paste_Report_Here!$E$1:$E$2000,E1736, OFFSET(Paste_Report_Here!$A$1,0,$A1749,2000,1),G$75)</f>
        <v>1</v>
      </c>
      <c r="H1749" s="180">
        <f ca="1">COUNTIFS(Paste_Report_Here!$E$1:$E$2000,E1736, OFFSET(Paste_Report_Here!$A$1,0,$A1749,2000,1),H$75)</f>
        <v>22</v>
      </c>
      <c r="I1749" s="180">
        <f ca="1">COUNTIFS(Paste_Report_Here!$E$1:$E$2000,E1736, OFFSET(Paste_Report_Here!$A$1,0,$A1749,2000,1),I$75)</f>
        <v>4</v>
      </c>
      <c r="J1749" s="180">
        <f ca="1">COUNTIFS(Paste_Report_Here!$E$1:$E$2000,E1736, OFFSET(Paste_Report_Here!$A$1,0,$A1749,2000,1),J$75)</f>
        <v>0</v>
      </c>
      <c r="K1749" s="181">
        <f ca="1">COUNTIFS(Paste_Report_Here!$E$1:$E$2000,E1736, OFFSET(Paste_Report_Here!$A$1,0,$A1749,2000,1),K$75)</f>
        <v>0</v>
      </c>
      <c r="L1749" s="166">
        <f t="shared" ca="1" si="261"/>
        <v>28</v>
      </c>
      <c r="M1749" s="183">
        <f ca="1">SUMPRODUCT(F1749:K1749,F1740:K1740)/L:L</f>
        <v>-7.1428571428571435E-3</v>
      </c>
      <c r="N1749" s="166">
        <f t="shared" ca="1" si="262"/>
        <v>0.99288259243095034</v>
      </c>
      <c r="O1749" s="247">
        <f t="shared" ca="1" si="264"/>
        <v>2455.3818319431234</v>
      </c>
      <c r="P1749" s="247">
        <f t="shared" ca="1" si="263"/>
        <v>2437.9058787075446</v>
      </c>
    </row>
    <row r="1750" spans="1:16" x14ac:dyDescent="0.3">
      <c r="A1750" s="247">
        <f>MATCH(Calcs!B1750,Paste_Report_Here!$1:$1,0) -1</f>
        <v>13</v>
      </c>
      <c r="B1750" s="247" t="s">
        <v>131</v>
      </c>
      <c r="C1750" s="166">
        <f ca="1">RANK(N1750,N1742:N1766)</f>
        <v>3</v>
      </c>
      <c r="D1750" s="166">
        <f ca="1">RANK(P1750,P1742:P1766)</f>
        <v>2</v>
      </c>
      <c r="E1750" s="189" t="s">
        <v>160</v>
      </c>
      <c r="F1750" s="179">
        <f ca="1">COUNTIFS(Paste_Report_Here!$E$1:$E$2000,E1736, OFFSET(Paste_Report_Here!$A$1,0,$A1750,2000,1),F$75)</f>
        <v>0</v>
      </c>
      <c r="G1750" s="180">
        <f ca="1">COUNTIFS(Paste_Report_Here!$E$1:$E$2000,E1736, OFFSET(Paste_Report_Here!$A$1,0,$A1750,2000,1),G$75)</f>
        <v>0</v>
      </c>
      <c r="H1750" s="180">
        <f ca="1">COUNTIFS(Paste_Report_Here!$E$1:$E$2000,E1736, OFFSET(Paste_Report_Here!$A$1,0,$A1750,2000,1),H$75)</f>
        <v>17</v>
      </c>
      <c r="I1750" s="180">
        <f ca="1">COUNTIFS(Paste_Report_Here!$E$1:$E$2000,E1736, OFFSET(Paste_Report_Here!$A$1,0,$A1750,2000,1),I$75)</f>
        <v>11</v>
      </c>
      <c r="J1750" s="180">
        <f ca="1">COUNTIFS(Paste_Report_Here!$E$1:$E$2000,E1736, OFFSET(Paste_Report_Here!$A$1,0,$A1750,2000,1),J$75)</f>
        <v>0</v>
      </c>
      <c r="K1750" s="181">
        <f ca="1">COUNTIFS(Paste_Report_Here!$E$1:$E$2000,E1736, OFFSET(Paste_Report_Here!$A$1,0,$A1750,2000,1),K$75)</f>
        <v>0</v>
      </c>
      <c r="L1750" s="166">
        <f t="shared" ca="1" si="261"/>
        <v>28</v>
      </c>
      <c r="M1750" s="183">
        <f ca="1">SUMPRODUCT(F1750:K1750,F1740:K1740)/L:L</f>
        <v>0</v>
      </c>
      <c r="N1750" s="166">
        <f t="shared" ca="1" si="262"/>
        <v>1</v>
      </c>
      <c r="O1750" s="247">
        <f t="shared" ca="1" si="264"/>
        <v>5453.7256316078719</v>
      </c>
      <c r="P1750" s="247">
        <f t="shared" ca="1" si="263"/>
        <v>5453.7256316078719</v>
      </c>
    </row>
    <row r="1751" spans="1:16" x14ac:dyDescent="0.3">
      <c r="A1751" s="247">
        <f>MATCH(Calcs!B1751,Paste_Report_Here!$1:$1,0) -1</f>
        <v>14</v>
      </c>
      <c r="B1751" s="247" t="s">
        <v>132</v>
      </c>
      <c r="C1751" s="166">
        <f ca="1">RANK(N1751,N1742:N1766)</f>
        <v>3</v>
      </c>
      <c r="D1751" s="166">
        <f ca="1">RANK(P1751,P1742:P1766)</f>
        <v>12</v>
      </c>
      <c r="E1751" s="189" t="s">
        <v>161</v>
      </c>
      <c r="F1751" s="179">
        <f ca="1">COUNTIFS(Paste_Report_Here!$E$1:$E$2000,E1736, OFFSET(Paste_Report_Here!$A$1,0,$A1751,2000,1),F$75)</f>
        <v>1</v>
      </c>
      <c r="G1751" s="180">
        <f ca="1">COUNTIFS(Paste_Report_Here!$E$1:$E$2000,E1736, OFFSET(Paste_Report_Here!$A$1,0,$A1751,2000,1),G$75)</f>
        <v>2</v>
      </c>
      <c r="H1751" s="180">
        <f ca="1">COUNTIFS(Paste_Report_Here!$E$1:$E$2000,E1736, OFFSET(Paste_Report_Here!$A$1,0,$A1751,2000,1),H$75)</f>
        <v>21</v>
      </c>
      <c r="I1751" s="180">
        <f ca="1">COUNTIFS(Paste_Report_Here!$E$1:$E$2000,E1736, OFFSET(Paste_Report_Here!$A$1,0,$A1751,2000,1),I$75)</f>
        <v>3</v>
      </c>
      <c r="J1751" s="180">
        <f ca="1">COUNTIFS(Paste_Report_Here!$E$1:$E$2000,E1736, OFFSET(Paste_Report_Here!$A$1,0,$A1751,2000,1),J$75)</f>
        <v>1</v>
      </c>
      <c r="K1751" s="181">
        <f ca="1">COUNTIFS(Paste_Report_Here!$E$1:$E$2000,E1736, OFFSET(Paste_Report_Here!$A$1,0,$A1751,2000,1),K$75)</f>
        <v>0</v>
      </c>
      <c r="L1751" s="166">
        <f t="shared" ca="1" si="261"/>
        <v>28</v>
      </c>
      <c r="M1751" s="183">
        <f ca="1">SUMPRODUCT(F1751:K1751,F1740:K1740)/L:L</f>
        <v>0</v>
      </c>
      <c r="N1751" s="166">
        <f t="shared" ca="1" si="262"/>
        <v>1</v>
      </c>
      <c r="O1751" s="247">
        <f t="shared" ca="1" si="264"/>
        <v>2291.6770019310625</v>
      </c>
      <c r="P1751" s="247">
        <f t="shared" ca="1" si="263"/>
        <v>2291.6770019310625</v>
      </c>
    </row>
    <row r="1752" spans="1:16" x14ac:dyDescent="0.3">
      <c r="A1752" s="247">
        <f>MATCH(Calcs!B1752,Paste_Report_Here!$1:$1,0) -1</f>
        <v>15</v>
      </c>
      <c r="B1752" s="247" t="s">
        <v>133</v>
      </c>
      <c r="C1752" s="166">
        <f ca="1">RANK(N1752,N1742:N1766)</f>
        <v>3</v>
      </c>
      <c r="D1752" s="166">
        <f ca="1">RANK(P1752,P1742:P1766)</f>
        <v>6</v>
      </c>
      <c r="E1752" s="189" t="s">
        <v>162</v>
      </c>
      <c r="F1752" s="179">
        <f ca="1">COUNTIFS(Paste_Report_Here!$E$1:$E$2000,E1736, OFFSET(Paste_Report_Here!$A$1,0,$A1752,2000,1),F$75)</f>
        <v>0</v>
      </c>
      <c r="G1752" s="180">
        <f ca="1">COUNTIFS(Paste_Report_Here!$E$1:$E$2000,E1736, OFFSET(Paste_Report_Here!$A$1,0,$A1752,2000,1),G$75)</f>
        <v>1</v>
      </c>
      <c r="H1752" s="180">
        <f ca="1">COUNTIFS(Paste_Report_Here!$E$1:$E$2000,E1736, OFFSET(Paste_Report_Here!$A$1,0,$A1752,2000,1),H$75)</f>
        <v>19</v>
      </c>
      <c r="I1752" s="180">
        <f ca="1">COUNTIFS(Paste_Report_Here!$E$1:$E$2000,E1736, OFFSET(Paste_Report_Here!$A$1,0,$A1752,2000,1),I$75)</f>
        <v>8</v>
      </c>
      <c r="J1752" s="180">
        <f ca="1">COUNTIFS(Paste_Report_Here!$E$1:$E$2000,E1736, OFFSET(Paste_Report_Here!$A$1,0,$A1752,2000,1),J$75)</f>
        <v>0</v>
      </c>
      <c r="K1752" s="181">
        <f ca="1">COUNTIFS(Paste_Report_Here!$E$1:$E$2000,E1736, OFFSET(Paste_Report_Here!$A$1,0,$A1752,2000,1),K$75)</f>
        <v>0</v>
      </c>
      <c r="L1752" s="166">
        <f t="shared" ca="1" si="261"/>
        <v>28</v>
      </c>
      <c r="M1752" s="183">
        <f ca="1">SUMPRODUCT(F1752:K1752,F1740:K1740)/L:L</f>
        <v>0</v>
      </c>
      <c r="N1752" s="166">
        <f t="shared" ca="1" si="262"/>
        <v>1</v>
      </c>
      <c r="O1752" s="247">
        <f t="shared" ca="1" si="264"/>
        <v>3380.5571737477894</v>
      </c>
      <c r="P1752" s="247">
        <f t="shared" ca="1" si="263"/>
        <v>3380.5571737477894</v>
      </c>
    </row>
    <row r="1753" spans="1:16" x14ac:dyDescent="0.3">
      <c r="A1753" s="247">
        <f>MATCH(Calcs!B1753,Paste_Report_Here!$1:$1,0) -1</f>
        <v>16</v>
      </c>
      <c r="B1753" s="247" t="s">
        <v>134</v>
      </c>
      <c r="C1753" s="166">
        <f ca="1">RANK(N1753,N1742:N1766)</f>
        <v>3</v>
      </c>
      <c r="D1753" s="166">
        <f ca="1">RANK(P1753,P1742:P1766)</f>
        <v>25</v>
      </c>
      <c r="E1753" s="189" t="s">
        <v>163</v>
      </c>
      <c r="F1753" s="179">
        <f ca="1">COUNTIFS(Paste_Report_Here!$E$1:$E$2000,E1736, OFFSET(Paste_Report_Here!$A$1,0,$A1753,2000,1),F$75)</f>
        <v>0</v>
      </c>
      <c r="G1753" s="180">
        <f ca="1">COUNTIFS(Paste_Report_Here!$E$1:$E$2000,E1736, OFFSET(Paste_Report_Here!$A$1,0,$A1753,2000,1),G$75)</f>
        <v>2</v>
      </c>
      <c r="H1753" s="180">
        <f ca="1">COUNTIFS(Paste_Report_Here!$E$1:$E$2000,E1736, OFFSET(Paste_Report_Here!$A$1,0,$A1753,2000,1),H$75)</f>
        <v>25</v>
      </c>
      <c r="I1753" s="180">
        <f ca="1">COUNTIFS(Paste_Report_Here!$E$1:$E$2000,E1736, OFFSET(Paste_Report_Here!$A$1,0,$A1753,2000,1),I$75)</f>
        <v>1</v>
      </c>
      <c r="J1753" s="180">
        <f ca="1">COUNTIFS(Paste_Report_Here!$E$1:$E$2000,E1736, OFFSET(Paste_Report_Here!$A$1,0,$A1753,2000,1),J$75)</f>
        <v>0</v>
      </c>
      <c r="K1753" s="181">
        <f ca="1">COUNTIFS(Paste_Report_Here!$E$1:$E$2000,E1736, OFFSET(Paste_Report_Here!$A$1,0,$A1753,2000,1),K$75)</f>
        <v>0</v>
      </c>
      <c r="L1753" s="166">
        <f t="shared" ca="1" si="261"/>
        <v>28</v>
      </c>
      <c r="M1753" s="183">
        <f ca="1">SUMPRODUCT(F1753:K1753,F1740:K1740)/L:L</f>
        <v>0</v>
      </c>
      <c r="N1753" s="166">
        <f t="shared" ca="1" si="262"/>
        <v>1</v>
      </c>
      <c r="O1753" s="247">
        <f t="shared" ca="1" si="264"/>
        <v>1145.7546405911432</v>
      </c>
      <c r="P1753" s="247">
        <f t="shared" ca="1" si="263"/>
        <v>1145.7546405911432</v>
      </c>
    </row>
    <row r="1754" spans="1:16" x14ac:dyDescent="0.3">
      <c r="A1754" s="247">
        <f>MATCH(Calcs!B1754,Paste_Report_Here!$1:$1,0) -1</f>
        <v>17</v>
      </c>
      <c r="B1754" s="247" t="s">
        <v>135</v>
      </c>
      <c r="C1754" s="166">
        <f ca="1">RANK(N1754,N1742:N1766)</f>
        <v>12</v>
      </c>
      <c r="D1754" s="166">
        <f ca="1">RANK(P1754,P1742:P1766)</f>
        <v>19</v>
      </c>
      <c r="E1754" s="189" t="s">
        <v>164</v>
      </c>
      <c r="F1754" s="179">
        <f ca="1">COUNTIFS(Paste_Report_Here!$E$1:$E$2000,E1736, OFFSET(Paste_Report_Here!$A$1,0,$A1754,2000,1),F$75)</f>
        <v>1</v>
      </c>
      <c r="G1754" s="180">
        <f ca="1">COUNTIFS(Paste_Report_Here!$E$1:$E$2000,E1736, OFFSET(Paste_Report_Here!$A$1,0,$A1754,2000,1),G$75)</f>
        <v>0</v>
      </c>
      <c r="H1754" s="180">
        <f ca="1">COUNTIFS(Paste_Report_Here!$E$1:$E$2000,E1736, OFFSET(Paste_Report_Here!$A$1,0,$A1754,2000,1),H$75)</f>
        <v>24</v>
      </c>
      <c r="I1754" s="180">
        <f ca="1">COUNTIFS(Paste_Report_Here!$E$1:$E$2000,E1736, OFFSET(Paste_Report_Here!$A$1,0,$A1754,2000,1),I$75)</f>
        <v>3</v>
      </c>
      <c r="J1754" s="180">
        <f ca="1">COUNTIFS(Paste_Report_Here!$E$1:$E$2000,E1736, OFFSET(Paste_Report_Here!$A$1,0,$A1754,2000,1),J$75)</f>
        <v>0</v>
      </c>
      <c r="K1754" s="181">
        <f ca="1">COUNTIFS(Paste_Report_Here!$E$1:$E$2000,E1736, OFFSET(Paste_Report_Here!$A$1,0,$A1754,2000,1),K$75)</f>
        <v>0</v>
      </c>
      <c r="L1754" s="166">
        <f t="shared" ca="1" si="261"/>
        <v>28</v>
      </c>
      <c r="M1754" s="183">
        <f ca="1">SUMPRODUCT(F1754:K1754,F1740:K1740)/L:L</f>
        <v>-7.1428571428571435E-3</v>
      </c>
      <c r="N1754" s="166">
        <f t="shared" ca="1" si="262"/>
        <v>0.99288259243095034</v>
      </c>
      <c r="O1754" s="247">
        <f t="shared" ca="1" si="264"/>
        <v>1877.9868733560356</v>
      </c>
      <c r="P1754" s="247">
        <f t="shared" ca="1" si="263"/>
        <v>1864.6204753690354</v>
      </c>
    </row>
    <row r="1755" spans="1:16" x14ac:dyDescent="0.3">
      <c r="A1755" s="247">
        <f>MATCH(Calcs!B1755,Paste_Report_Here!$1:$1,0) -1</f>
        <v>18</v>
      </c>
      <c r="B1755" s="247" t="s">
        <v>136</v>
      </c>
      <c r="C1755" s="166">
        <f ca="1">RANK(N1755,N1742:N1766)</f>
        <v>12</v>
      </c>
      <c r="D1755" s="166">
        <f ca="1">RANK(P1755,P1742:P1766)</f>
        <v>4</v>
      </c>
      <c r="E1755" s="189" t="s">
        <v>165</v>
      </c>
      <c r="F1755" s="179">
        <f ca="1">COUNTIFS(Paste_Report_Here!$E$1:$E$2000,E1736, OFFSET(Paste_Report_Here!$A$1,0,$A1755,2000,1),F$75)</f>
        <v>1</v>
      </c>
      <c r="G1755" s="180">
        <f ca="1">COUNTIFS(Paste_Report_Here!$E$1:$E$2000,E1736, OFFSET(Paste_Report_Here!$A$1,0,$A1755,2000,1),G$75)</f>
        <v>1</v>
      </c>
      <c r="H1755" s="180">
        <f ca="1">COUNTIFS(Paste_Report_Here!$E$1:$E$2000,E1736, OFFSET(Paste_Report_Here!$A$1,0,$A1755,2000,1),H$75)</f>
        <v>23</v>
      </c>
      <c r="I1755" s="180">
        <f ca="1">COUNTIFS(Paste_Report_Here!$E$1:$E$2000,E1736, OFFSET(Paste_Report_Here!$A$1,0,$A1755,2000,1),I$75)</f>
        <v>3</v>
      </c>
      <c r="J1755" s="180">
        <f ca="1">COUNTIFS(Paste_Report_Here!$E$1:$E$2000,E1736, OFFSET(Paste_Report_Here!$A$1,0,$A1755,2000,1),J$75)</f>
        <v>0</v>
      </c>
      <c r="K1755" s="181">
        <f ca="1">COUNTIFS(Paste_Report_Here!$E$1:$E$2000,E1736, OFFSET(Paste_Report_Here!$A$1,0,$A1755,2000,1),K$75)</f>
        <v>0</v>
      </c>
      <c r="L1755" s="166">
        <f t="shared" ca="1" si="261"/>
        <v>28</v>
      </c>
      <c r="M1755" s="183">
        <f ca="1">SUMPRODUCT(F1755:K1755,F1740:K1740)/L:L</f>
        <v>-7.1428571428571435E-3</v>
      </c>
      <c r="N1755" s="166">
        <f t="shared" ca="1" si="262"/>
        <v>0.99288259243095034</v>
      </c>
      <c r="O1755" s="247">
        <f t="shared" ca="1" si="264"/>
        <v>4242.7155018057902</v>
      </c>
      <c r="P1755" s="247">
        <f t="shared" ca="1" si="263"/>
        <v>4212.5183663799135</v>
      </c>
    </row>
    <row r="1756" spans="1:16" x14ac:dyDescent="0.3">
      <c r="A1756" s="247">
        <f>MATCH(Calcs!B1756,Paste_Report_Here!$1:$1,0) -1</f>
        <v>19</v>
      </c>
      <c r="B1756" s="247" t="s">
        <v>137</v>
      </c>
      <c r="C1756" s="166">
        <f ca="1">RANK(N1756,N1742:N1766)</f>
        <v>12</v>
      </c>
      <c r="D1756" s="166">
        <f ca="1">RANK(P1756,P1742:P1766)</f>
        <v>16</v>
      </c>
      <c r="E1756" s="189" t="s">
        <v>166</v>
      </c>
      <c r="F1756" s="179">
        <f ca="1">COUNTIFS(Paste_Report_Here!$E$1:$E$2000,E1736, OFFSET(Paste_Report_Here!$A$1,0,$A1756,2000,1),F$75)</f>
        <v>1</v>
      </c>
      <c r="G1756" s="180">
        <f ca="1">COUNTIFS(Paste_Report_Here!$E$1:$E$2000,E1736, OFFSET(Paste_Report_Here!$A$1,0,$A1756,2000,1),G$75)</f>
        <v>1</v>
      </c>
      <c r="H1756" s="180">
        <f ca="1">COUNTIFS(Paste_Report_Here!$E$1:$E$2000,E1736, OFFSET(Paste_Report_Here!$A$1,0,$A1756,2000,1),H$75)</f>
        <v>22</v>
      </c>
      <c r="I1756" s="180">
        <f ca="1">COUNTIFS(Paste_Report_Here!$E$1:$E$2000,E1736, OFFSET(Paste_Report_Here!$A$1,0,$A1756,2000,1),I$75)</f>
        <v>4</v>
      </c>
      <c r="J1756" s="180">
        <f ca="1">COUNTIFS(Paste_Report_Here!$E$1:$E$2000,E1736, OFFSET(Paste_Report_Here!$A$1,0,$A1756,2000,1),J$75)</f>
        <v>0</v>
      </c>
      <c r="K1756" s="181">
        <f ca="1">COUNTIFS(Paste_Report_Here!$E$1:$E$2000,E1736, OFFSET(Paste_Report_Here!$A$1,0,$A1756,2000,1),K$75)</f>
        <v>0</v>
      </c>
      <c r="L1756" s="166">
        <f t="shared" ca="1" si="261"/>
        <v>28</v>
      </c>
      <c r="M1756" s="183">
        <f ca="1">SUMPRODUCT(F1756:K1756,F1740:K1740)/L:L</f>
        <v>-7.1428571428571435E-3</v>
      </c>
      <c r="N1756" s="166">
        <f t="shared" ca="1" si="262"/>
        <v>0.99288259243095034</v>
      </c>
      <c r="O1756" s="247">
        <f t="shared" ca="1" si="264"/>
        <v>2204.7969845817674</v>
      </c>
      <c r="P1756" s="247">
        <f t="shared" ca="1" si="263"/>
        <v>2189.1045458354874</v>
      </c>
    </row>
    <row r="1757" spans="1:16" x14ac:dyDescent="0.3">
      <c r="A1757" s="247">
        <f>MATCH(Calcs!B1757,Paste_Report_Here!$1:$1,0) -1</f>
        <v>20</v>
      </c>
      <c r="B1757" s="247" t="s">
        <v>138</v>
      </c>
      <c r="C1757" s="166">
        <f ca="1">RANK(N1757,N1742:N1766)</f>
        <v>12</v>
      </c>
      <c r="D1757" s="166">
        <f ca="1">RANK(P1757,P1742:P1766)</f>
        <v>20</v>
      </c>
      <c r="E1757" s="189" t="s">
        <v>167</v>
      </c>
      <c r="F1757" s="179">
        <f ca="1">COUNTIFS(Paste_Report_Here!$E$1:$E$2000,E1736, OFFSET(Paste_Report_Here!$A$1,0,$A1757,2000,1),F$75)</f>
        <v>1</v>
      </c>
      <c r="G1757" s="180">
        <f ca="1">COUNTIFS(Paste_Report_Here!$E$1:$E$2000,E1736, OFFSET(Paste_Report_Here!$A$1,0,$A1757,2000,1),G$75)</f>
        <v>0</v>
      </c>
      <c r="H1757" s="180">
        <f ca="1">COUNTIFS(Paste_Report_Here!$E$1:$E$2000,E1736, OFFSET(Paste_Report_Here!$A$1,0,$A1757,2000,1),H$75)</f>
        <v>22</v>
      </c>
      <c r="I1757" s="180">
        <f ca="1">COUNTIFS(Paste_Report_Here!$E$1:$E$2000,E1736, OFFSET(Paste_Report_Here!$A$1,0,$A1757,2000,1),I$75)</f>
        <v>5</v>
      </c>
      <c r="J1757" s="180">
        <f ca="1">COUNTIFS(Paste_Report_Here!$E$1:$E$2000,E1736, OFFSET(Paste_Report_Here!$A$1,0,$A1757,2000,1),J$75)</f>
        <v>0</v>
      </c>
      <c r="K1757" s="181">
        <f ca="1">COUNTIFS(Paste_Report_Here!$E$1:$E$2000,E1736, OFFSET(Paste_Report_Here!$A$1,0,$A1757,2000,1),K$75)</f>
        <v>0</v>
      </c>
      <c r="L1757" s="166">
        <f t="shared" ca="1" si="261"/>
        <v>28</v>
      </c>
      <c r="M1757" s="183">
        <f ca="1">SUMPRODUCT(F1757:K1757,F1740:K1740)/L:L</f>
        <v>-7.1428571428571435E-3</v>
      </c>
      <c r="N1757" s="166">
        <f t="shared" ca="1" si="262"/>
        <v>0.99288259243095034</v>
      </c>
      <c r="O1757" s="247">
        <f t="shared" ca="1" si="264"/>
        <v>1816.7971909608357</v>
      </c>
      <c r="P1757" s="247">
        <f t="shared" ca="1" si="263"/>
        <v>1803.8663048824628</v>
      </c>
    </row>
    <row r="1758" spans="1:16" x14ac:dyDescent="0.3">
      <c r="A1758" s="247">
        <f>MATCH(Calcs!B1758,Paste_Report_Here!$1:$1,0) -1</f>
        <v>21</v>
      </c>
      <c r="B1758" s="247" t="s">
        <v>139</v>
      </c>
      <c r="C1758" s="166">
        <f ca="1">RANK(N1758,N1742:N1766)</f>
        <v>12</v>
      </c>
      <c r="D1758" s="166">
        <f ca="1">RANK(P1758,P1742:P1766)</f>
        <v>18</v>
      </c>
      <c r="E1758" s="189" t="s">
        <v>168</v>
      </c>
      <c r="F1758" s="179">
        <f ca="1">COUNTIFS(Paste_Report_Here!$E$1:$E$2000,E1736, OFFSET(Paste_Report_Here!$A$1,0,$A1758,2000,1),F$75)</f>
        <v>1</v>
      </c>
      <c r="G1758" s="180">
        <f ca="1">COUNTIFS(Paste_Report_Here!$E$1:$E$2000,E1736, OFFSET(Paste_Report_Here!$A$1,0,$A1758,2000,1),G$75)</f>
        <v>1</v>
      </c>
      <c r="H1758" s="180">
        <f ca="1">COUNTIFS(Paste_Report_Here!$E$1:$E$2000,E1736, OFFSET(Paste_Report_Here!$A$1,0,$A1758,2000,1),H$75)</f>
        <v>23</v>
      </c>
      <c r="I1758" s="180">
        <f ca="1">COUNTIFS(Paste_Report_Here!$E$1:$E$2000,E1736, OFFSET(Paste_Report_Here!$A$1,0,$A1758,2000,1),I$75)</f>
        <v>3</v>
      </c>
      <c r="J1758" s="180">
        <f ca="1">COUNTIFS(Paste_Report_Here!$E$1:$E$2000,E1736, OFFSET(Paste_Report_Here!$A$1,0,$A1758,2000,1),J$75)</f>
        <v>0</v>
      </c>
      <c r="K1758" s="181">
        <f ca="1">COUNTIFS(Paste_Report_Here!$E$1:$E$2000,E1736, OFFSET(Paste_Report_Here!$A$1,0,$A1758,2000,1),K$75)</f>
        <v>0</v>
      </c>
      <c r="L1758" s="166">
        <f t="shared" ca="1" si="261"/>
        <v>28</v>
      </c>
      <c r="M1758" s="183">
        <f ca="1">SUMPRODUCT(F1758:K1758,F1740:K1740)/L:L</f>
        <v>-7.1428571428571435E-3</v>
      </c>
      <c r="N1758" s="166">
        <f t="shared" ca="1" si="262"/>
        <v>0.99288259243095034</v>
      </c>
      <c r="O1758" s="247">
        <f t="shared" ca="1" si="264"/>
        <v>1979.5385380848334</v>
      </c>
      <c r="P1758" s="247">
        <f t="shared" ca="1" si="263"/>
        <v>1965.4493555106428</v>
      </c>
    </row>
    <row r="1759" spans="1:16" x14ac:dyDescent="0.3">
      <c r="A1759" s="247">
        <f>MATCH(Calcs!B1759,Paste_Report_Here!$1:$1,0) -1</f>
        <v>22</v>
      </c>
      <c r="B1759" s="247" t="s">
        <v>140</v>
      </c>
      <c r="C1759" s="166">
        <f ca="1">RANK(N1759,N1742:N1766)</f>
        <v>1</v>
      </c>
      <c r="D1759" s="166">
        <f ca="1">RANK(P1759,P1742:P1766)</f>
        <v>14</v>
      </c>
      <c r="E1759" s="189" t="s">
        <v>169</v>
      </c>
      <c r="F1759" s="179">
        <f ca="1">COUNTIFS(Paste_Report_Here!$E$1:$E$2000,E1736, OFFSET(Paste_Report_Here!$A$1,0,$A1759,2000,1),F$75)</f>
        <v>0</v>
      </c>
      <c r="G1759" s="180">
        <f ca="1">COUNTIFS(Paste_Report_Here!$E$1:$E$2000,E1736, OFFSET(Paste_Report_Here!$A$1,0,$A1759,2000,1),G$75)</f>
        <v>1</v>
      </c>
      <c r="H1759" s="180">
        <f ca="1">COUNTIFS(Paste_Report_Here!$E$1:$E$2000,E1736, OFFSET(Paste_Report_Here!$A$1,0,$A1759,2000,1),H$75)</f>
        <v>19</v>
      </c>
      <c r="I1759" s="180">
        <f ca="1">COUNTIFS(Paste_Report_Here!$E$1:$E$2000,E1736, OFFSET(Paste_Report_Here!$A$1,0,$A1759,2000,1),I$75)</f>
        <v>7</v>
      </c>
      <c r="J1759" s="180">
        <f ca="1">COUNTIFS(Paste_Report_Here!$E$1:$E$2000,E1736, OFFSET(Paste_Report_Here!$A$1,0,$A1759,2000,1),J$75)</f>
        <v>1</v>
      </c>
      <c r="K1759" s="181">
        <f ca="1">COUNTIFS(Paste_Report_Here!$E$1:$E$2000,E1736, OFFSET(Paste_Report_Here!$A$1,0,$A1759,2000,1),K$75)</f>
        <v>0</v>
      </c>
      <c r="L1759" s="166">
        <f t="shared" ca="1" si="261"/>
        <v>28</v>
      </c>
      <c r="M1759" s="183">
        <f ca="1">SUMPRODUCT(F1759:K1759,F1740:K1740)/L:L</f>
        <v>7.1428571428571435E-3</v>
      </c>
      <c r="N1759" s="166">
        <f t="shared" ca="1" si="262"/>
        <v>1.0071684281941369</v>
      </c>
      <c r="O1759" s="247">
        <f t="shared" ca="1" si="264"/>
        <v>2206.3112669487218</v>
      </c>
      <c r="P1759" s="247">
        <f t="shared" ca="1" si="263"/>
        <v>2222.1270508397588</v>
      </c>
    </row>
    <row r="1760" spans="1:16" x14ac:dyDescent="0.3">
      <c r="A1760" s="247">
        <f>MATCH(Calcs!B1760,Paste_Report_Here!$1:$1,0) -1</f>
        <v>23</v>
      </c>
      <c r="B1760" s="247" t="s">
        <v>186</v>
      </c>
      <c r="C1760" s="166">
        <f ca="1">RANK(N1760,N1742:N1766)</f>
        <v>3</v>
      </c>
      <c r="D1760" s="166">
        <f ca="1">RANK(P1760,P1742:P1766)</f>
        <v>3</v>
      </c>
      <c r="E1760" s="189" t="s">
        <v>180</v>
      </c>
      <c r="F1760" s="179">
        <f ca="1">COUNTIFS(Paste_Report_Here!$E$1:$E$2000,E1736, OFFSET(Paste_Report_Here!$A$1,0,$A1760,2000,1),F$75)</f>
        <v>0</v>
      </c>
      <c r="G1760" s="180">
        <f ca="1">COUNTIFS(Paste_Report_Here!$E$1:$E$2000,E1736, OFFSET(Paste_Report_Here!$A$1,0,$A1760,2000,1),G$75)</f>
        <v>1</v>
      </c>
      <c r="H1760" s="180">
        <f ca="1">COUNTIFS(Paste_Report_Here!$E$1:$E$2000,E1736, OFFSET(Paste_Report_Here!$A$1,0,$A1760,2000,1),H$75)</f>
        <v>19</v>
      </c>
      <c r="I1760" s="180">
        <f ca="1">COUNTIFS(Paste_Report_Here!$E$1:$E$2000,E1736, OFFSET(Paste_Report_Here!$A$1,0,$A1760,2000,1),I$75)</f>
        <v>8</v>
      </c>
      <c r="J1760" s="180">
        <f ca="1">COUNTIFS(Paste_Report_Here!$E$1:$E$2000,E1736, OFFSET(Paste_Report_Here!$A$1,0,$A1760,2000,1),J$75)</f>
        <v>0</v>
      </c>
      <c r="K1760" s="181">
        <f ca="1">COUNTIFS(Paste_Report_Here!$E$1:$E$2000,E1736, OFFSET(Paste_Report_Here!$A$1,0,$A1760,2000,1),K$75)</f>
        <v>0</v>
      </c>
      <c r="L1760" s="166">
        <f t="shared" ca="1" si="261"/>
        <v>28</v>
      </c>
      <c r="M1760" s="183">
        <f ca="1">SUMPRODUCT(F1760:K1760,F1740:K1740)/L:L</f>
        <v>0</v>
      </c>
      <c r="N1760" s="166">
        <f t="shared" ca="1" si="262"/>
        <v>1</v>
      </c>
      <c r="O1760" s="247">
        <f t="shared" ca="1" si="264"/>
        <v>4468.2841615445604</v>
      </c>
      <c r="P1760" s="247">
        <f t="shared" ca="1" si="263"/>
        <v>4468.2841615445604</v>
      </c>
    </row>
    <row r="1761" spans="1:16" x14ac:dyDescent="0.3">
      <c r="A1761" s="247">
        <f>MATCH(Calcs!B1761,Paste_Report_Here!$1:$1,0) -1</f>
        <v>24</v>
      </c>
      <c r="B1761" s="247" t="s">
        <v>209</v>
      </c>
      <c r="C1761" s="166">
        <f ca="1">RANK(N1761,N1742:N1766)</f>
        <v>12</v>
      </c>
      <c r="D1761" s="166">
        <f ca="1">RANK(P1761,P1742:P1766)</f>
        <v>23</v>
      </c>
      <c r="E1761" s="202" t="s">
        <v>211</v>
      </c>
      <c r="F1761" s="179">
        <f ca="1">COUNTIFS(Paste_Report_Here!$E$1:$E$2000,E1736, OFFSET(Paste_Report_Here!$A$1,0,$A1761,2000,1),F$75)</f>
        <v>1</v>
      </c>
      <c r="G1761" s="180">
        <f ca="1">COUNTIFS(Paste_Report_Here!$E$1:$E$2000,E1736, OFFSET(Paste_Report_Here!$A$1,0,$A1761,2000,1),G$75)</f>
        <v>1</v>
      </c>
      <c r="H1761" s="180">
        <f ca="1">COUNTIFS(Paste_Report_Here!$E$1:$E$2000,E1736, OFFSET(Paste_Report_Here!$A$1,0,$A1761,2000,1),H$75)</f>
        <v>25</v>
      </c>
      <c r="I1761" s="180">
        <f ca="1">COUNTIFS(Paste_Report_Here!$E$1:$E$2000,E1736, OFFSET(Paste_Report_Here!$A$1,0,$A1761,2000,1),I$75)</f>
        <v>1</v>
      </c>
      <c r="J1761" s="180">
        <f ca="1">COUNTIFS(Paste_Report_Here!$E$1:$E$2000,E1736, OFFSET(Paste_Report_Here!$A$1,0,$A1761,2000,1),J$75)</f>
        <v>0</v>
      </c>
      <c r="K1761" s="181">
        <f ca="1">COUNTIFS(Paste_Report_Here!$E$1:$E$2000,E1736, OFFSET(Paste_Report_Here!$A$1,0,$A1761,2000,1),K$75)</f>
        <v>0</v>
      </c>
      <c r="L1761" s="166">
        <f t="shared" ca="1" si="261"/>
        <v>28</v>
      </c>
      <c r="M1761" s="183">
        <f ca="1">SUMPRODUCT(F1761:K1761,F1740:K1740)/L:L</f>
        <v>-7.1428571428571435E-3</v>
      </c>
      <c r="N1761" s="166">
        <f t="shared" ca="1" si="262"/>
        <v>0.99288259243095034</v>
      </c>
      <c r="O1761" s="247">
        <f t="shared" ca="1" si="264"/>
        <v>1230.4948159418293</v>
      </c>
      <c r="P1761" s="247">
        <f t="shared" ca="1" si="263"/>
        <v>1221.7368828251685</v>
      </c>
    </row>
    <row r="1762" spans="1:16" x14ac:dyDescent="0.3">
      <c r="A1762" s="247">
        <f>MATCH(Calcs!B1762,Paste_Report_Here!$1:$1,0) -1</f>
        <v>25</v>
      </c>
      <c r="B1762" s="247" t="s">
        <v>141</v>
      </c>
      <c r="C1762" s="166">
        <f ca="1">RANK(N1762,N1742:N1766)</f>
        <v>12</v>
      </c>
      <c r="D1762" s="166">
        <f ca="1">RANK(P1762,P1742:P1766)</f>
        <v>22</v>
      </c>
      <c r="E1762" s="189" t="s">
        <v>170</v>
      </c>
      <c r="F1762" s="179">
        <f ca="1">COUNTIFS(Paste_Report_Here!$E$1:$E$2000,E1736, OFFSET(Paste_Report_Here!$A$1,0,$A1762,2000,1),F$75)</f>
        <v>1</v>
      </c>
      <c r="G1762" s="180">
        <f ca="1">COUNTIFS(Paste_Report_Here!$E$1:$E$2000,E1736, OFFSET(Paste_Report_Here!$A$1,0,$A1762,2000,1),G$75)</f>
        <v>1</v>
      </c>
      <c r="H1762" s="180">
        <f ca="1">COUNTIFS(Paste_Report_Here!$E$1:$E$2000,E1736, OFFSET(Paste_Report_Here!$A$1,0,$A1762,2000,1),H$75)</f>
        <v>23</v>
      </c>
      <c r="I1762" s="180">
        <f ca="1">COUNTIFS(Paste_Report_Here!$E$1:$E$2000,E1736, OFFSET(Paste_Report_Here!$A$1,0,$A1762,2000,1),I$75)</f>
        <v>3</v>
      </c>
      <c r="J1762" s="180">
        <f ca="1">COUNTIFS(Paste_Report_Here!$E$1:$E$2000,E1736, OFFSET(Paste_Report_Here!$A$1,0,$A1762,2000,1),J$75)</f>
        <v>0</v>
      </c>
      <c r="K1762" s="181">
        <f ca="1">COUNTIFS(Paste_Report_Here!$E$1:$E$2000,E1736, OFFSET(Paste_Report_Here!$A$1,0,$A1762,2000,1),K$75)</f>
        <v>0</v>
      </c>
      <c r="L1762" s="166">
        <f t="shared" ca="1" si="261"/>
        <v>28</v>
      </c>
      <c r="M1762" s="183">
        <f ca="1">SUMPRODUCT(F1762:K1762,F1740:K1740)/L:L</f>
        <v>-7.1428571428571435E-3</v>
      </c>
      <c r="N1762" s="166">
        <f t="shared" ca="1" si="262"/>
        <v>0.99288259243095034</v>
      </c>
      <c r="O1762" s="247">
        <f t="shared" ca="1" si="264"/>
        <v>1316.2866072658212</v>
      </c>
      <c r="P1762" s="247">
        <f t="shared" ca="1" si="263"/>
        <v>1306.9180590042288</v>
      </c>
    </row>
    <row r="1763" spans="1:16" x14ac:dyDescent="0.3">
      <c r="A1763" s="247">
        <f>MATCH(Calcs!B1763,Paste_Report_Here!$1:$1,0) -1</f>
        <v>26</v>
      </c>
      <c r="B1763" s="247" t="s">
        <v>142</v>
      </c>
      <c r="C1763" s="166">
        <f ca="1">RANK(N1763,N1742:N1766)</f>
        <v>12</v>
      </c>
      <c r="D1763" s="166">
        <f ca="1">RANK(P1763,P1742:P1766)</f>
        <v>13</v>
      </c>
      <c r="E1763" s="189" t="s">
        <v>171</v>
      </c>
      <c r="F1763" s="179">
        <f ca="1">COUNTIFS(Paste_Report_Here!$E$1:$E$2000,E1736, OFFSET(Paste_Report_Here!$A$1,0,$A1763,2000,1),F$75)</f>
        <v>1</v>
      </c>
      <c r="G1763" s="180">
        <f ca="1">COUNTIFS(Paste_Report_Here!$E$1:$E$2000,E1736, OFFSET(Paste_Report_Here!$A$1,0,$A1763,2000,1),G$75)</f>
        <v>1</v>
      </c>
      <c r="H1763" s="180">
        <f ca="1">COUNTIFS(Paste_Report_Here!$E$1:$E$2000,E1736, OFFSET(Paste_Report_Here!$A$1,0,$A1763,2000,1),H$75)</f>
        <v>24</v>
      </c>
      <c r="I1763" s="180">
        <f ca="1">COUNTIFS(Paste_Report_Here!$E$1:$E$2000,E1736, OFFSET(Paste_Report_Here!$A$1,0,$A1763,2000,1),I$75)</f>
        <v>2</v>
      </c>
      <c r="J1763" s="180">
        <f ca="1">COUNTIFS(Paste_Report_Here!$E$1:$E$2000,E1736, OFFSET(Paste_Report_Here!$A$1,0,$A1763,2000,1),J$75)</f>
        <v>0</v>
      </c>
      <c r="K1763" s="181">
        <f ca="1">COUNTIFS(Paste_Report_Here!$E$1:$E$2000,E1736, OFFSET(Paste_Report_Here!$A$1,0,$A1763,2000,1),K$75)</f>
        <v>0</v>
      </c>
      <c r="L1763" s="166">
        <f t="shared" ca="1" si="261"/>
        <v>28</v>
      </c>
      <c r="M1763" s="183">
        <f ca="1">SUMPRODUCT(F1763:K1763,F1740:K1740)/L:L</f>
        <v>-7.1428571428571435E-3</v>
      </c>
      <c r="N1763" s="166">
        <f t="shared" ca="1" si="262"/>
        <v>0.99288259243095034</v>
      </c>
      <c r="O1763" s="247">
        <f t="shared" ca="1" si="264"/>
        <v>2245.7984194083469</v>
      </c>
      <c r="P1763" s="247">
        <f t="shared" ca="1" si="263"/>
        <v>2229.81415673949</v>
      </c>
    </row>
    <row r="1764" spans="1:16" x14ac:dyDescent="0.3">
      <c r="A1764" s="247">
        <f>MATCH(Calcs!B1764,Paste_Report_Here!$1:$1,0) -1</f>
        <v>27</v>
      </c>
      <c r="B1764" s="247" t="s">
        <v>210</v>
      </c>
      <c r="C1764" s="166">
        <f ca="1">RANK(N1764,N1742:N1766)</f>
        <v>3</v>
      </c>
      <c r="D1764" s="166">
        <f ca="1">RANK(P1764,P1742:P1766)</f>
        <v>24</v>
      </c>
      <c r="E1764" s="202" t="s">
        <v>212</v>
      </c>
      <c r="F1764" s="179">
        <f ca="1">COUNTIFS(Paste_Report_Here!$E$1:$E$2000,E1736, OFFSET(Paste_Report_Here!$A$1,0,$A1764,2000,1),F$75)</f>
        <v>0</v>
      </c>
      <c r="G1764" s="180">
        <f ca="1">COUNTIFS(Paste_Report_Here!$E$1:$E$2000,E1736, OFFSET(Paste_Report_Here!$A$1,0,$A1764,2000,1),G$75)</f>
        <v>1</v>
      </c>
      <c r="H1764" s="180">
        <f ca="1">COUNTIFS(Paste_Report_Here!$E$1:$E$2000,E1736, OFFSET(Paste_Report_Here!$A$1,0,$A1764,2000,1),H$75)</f>
        <v>24</v>
      </c>
      <c r="I1764" s="180">
        <f ca="1">COUNTIFS(Paste_Report_Here!$E$1:$E$2000,E1736, OFFSET(Paste_Report_Here!$A$1,0,$A1764,2000,1),I$75)</f>
        <v>3</v>
      </c>
      <c r="J1764" s="180">
        <f ca="1">COUNTIFS(Paste_Report_Here!$E$1:$E$2000,E1736, OFFSET(Paste_Report_Here!$A$1,0,$A1764,2000,1),J$75)</f>
        <v>0</v>
      </c>
      <c r="K1764" s="181">
        <f ca="1">COUNTIFS(Paste_Report_Here!$E$1:$E$2000,E1736, OFFSET(Paste_Report_Here!$A$1,0,$A1764,2000,1),K$75)</f>
        <v>0</v>
      </c>
      <c r="L1764" s="166">
        <f t="shared" ca="1" si="261"/>
        <v>28</v>
      </c>
      <c r="M1764" s="183">
        <f ca="1">SUMPRODUCT(F1764:K1764,F1740:K1740)/L:L</f>
        <v>0</v>
      </c>
      <c r="N1764" s="166">
        <f t="shared" ca="1" si="262"/>
        <v>1</v>
      </c>
      <c r="O1764" s="247">
        <f t="shared" ca="1" si="264"/>
        <v>1152.8560468976777</v>
      </c>
      <c r="P1764" s="247">
        <f t="shared" ca="1" si="263"/>
        <v>1152.8560468976777</v>
      </c>
    </row>
    <row r="1765" spans="1:16" x14ac:dyDescent="0.3">
      <c r="A1765" s="247">
        <f>MATCH(Calcs!B1765,Paste_Report_Here!$1:$1,0) -1</f>
        <v>28</v>
      </c>
      <c r="B1765" s="247" t="s">
        <v>143</v>
      </c>
      <c r="C1765" s="166">
        <f ca="1">RANK(N1765,N1742:N1766)</f>
        <v>1</v>
      </c>
      <c r="D1765" s="166">
        <f ca="1">RANK(P1765,P1742:P1766)</f>
        <v>1</v>
      </c>
      <c r="E1765" s="189" t="s">
        <v>172</v>
      </c>
      <c r="F1765" s="179">
        <f ca="1">COUNTIFS(Paste_Report_Here!$E$1:$E$2000,E1736, OFFSET(Paste_Report_Here!$A$1,0,$A1765,2000,1),F$75)</f>
        <v>0</v>
      </c>
      <c r="G1765" s="180">
        <f ca="1">COUNTIFS(Paste_Report_Here!$E$1:$E$2000,E1736, OFFSET(Paste_Report_Here!$A$1,0,$A1765,2000,1),G$75)</f>
        <v>1</v>
      </c>
      <c r="H1765" s="180">
        <f ca="1">COUNTIFS(Paste_Report_Here!$E$1:$E$2000,E1736, OFFSET(Paste_Report_Here!$A$1,0,$A1765,2000,1),H$75)</f>
        <v>21</v>
      </c>
      <c r="I1765" s="180">
        <f ca="1">COUNTIFS(Paste_Report_Here!$E$1:$E$2000,E1736, OFFSET(Paste_Report_Here!$A$1,0,$A1765,2000,1),I$75)</f>
        <v>5</v>
      </c>
      <c r="J1765" s="180">
        <f ca="1">COUNTIFS(Paste_Report_Here!$E$1:$E$2000,E1736, OFFSET(Paste_Report_Here!$A$1,0,$A1765,2000,1),J$75)</f>
        <v>1</v>
      </c>
      <c r="K1765" s="181">
        <f ca="1">COUNTIFS(Paste_Report_Here!$E$1:$E$2000,E1736, OFFSET(Paste_Report_Here!$A$1,0,$A1765,2000,1),K$75)</f>
        <v>0</v>
      </c>
      <c r="L1765" s="166">
        <f t="shared" ca="1" si="261"/>
        <v>28</v>
      </c>
      <c r="M1765" s="183">
        <f ca="1">SUMPRODUCT(F1765:K1765,F1740:K1740)/L:L</f>
        <v>7.1428571428571435E-3</v>
      </c>
      <c r="N1765" s="166">
        <f t="shared" ca="1" si="262"/>
        <v>1.0071684281941369</v>
      </c>
      <c r="O1765" s="247">
        <f t="shared" ca="1" si="264"/>
        <v>10856.174847907208</v>
      </c>
      <c r="P1765" s="247">
        <f t="shared" ca="1" si="263"/>
        <v>10933.996557767427</v>
      </c>
    </row>
    <row r="1766" spans="1:16" x14ac:dyDescent="0.3">
      <c r="A1766" s="247">
        <f>MATCH(Calcs!B1766,Paste_Report_Here!$1:$1,0) -1</f>
        <v>29</v>
      </c>
      <c r="B1766" s="187" t="s">
        <v>144</v>
      </c>
      <c r="C1766" s="147">
        <f ca="1">RANK(N1766,N1742:N1766)</f>
        <v>3</v>
      </c>
      <c r="D1766" s="147">
        <f ca="1">RANK(P1766,P1742:P1766)</f>
        <v>11</v>
      </c>
      <c r="E1766" s="145" t="s">
        <v>173</v>
      </c>
      <c r="F1766" s="146">
        <f ca="1">COUNTIFS(Paste_Report_Here!$E$1:$E$2000,E1736, OFFSET(Paste_Report_Here!$A$1,0,$A1766,2000,1),F$75)</f>
        <v>0</v>
      </c>
      <c r="G1766" s="147">
        <f ca="1">COUNTIFS(Paste_Report_Here!$E$1:$E$2000,E1736, OFFSET(Paste_Report_Here!$A$1,0,$A1766,2000,1),G$75)</f>
        <v>2</v>
      </c>
      <c r="H1766" s="147">
        <f ca="1">COUNTIFS(Paste_Report_Here!$E$1:$E$2000,E1736, OFFSET(Paste_Report_Here!$A$1,0,$A1766,2000,1),H$75)</f>
        <v>22</v>
      </c>
      <c r="I1766" s="147">
        <f ca="1">COUNTIFS(Paste_Report_Here!$E$1:$E$2000,E1736, OFFSET(Paste_Report_Here!$A$1,0,$A1766,2000,1),I$75)</f>
        <v>4</v>
      </c>
      <c r="J1766" s="147">
        <f ca="1">COUNTIFS(Paste_Report_Here!$E$1:$E$2000,E1736, OFFSET(Paste_Report_Here!$A$1,0,$A1766,2000,1),J$75)</f>
        <v>0</v>
      </c>
      <c r="K1766" s="148">
        <f ca="1">COUNTIFS(Paste_Report_Here!$E$1:$E$2000,E1736, OFFSET(Paste_Report_Here!$A$1,0,$A1766,2000,1),K$75)</f>
        <v>0</v>
      </c>
      <c r="L1766" s="147">
        <f t="shared" ca="1" si="261"/>
        <v>28</v>
      </c>
      <c r="M1766" s="149">
        <f ca="1">SUMPRODUCT(F1766:K1766,F1740:K1740)/L:L</f>
        <v>0</v>
      </c>
      <c r="N1766" s="147">
        <f t="shared" ca="1" si="262"/>
        <v>1</v>
      </c>
      <c r="O1766" s="187">
        <f t="shared" ca="1" si="264"/>
        <v>2392.2261011950159</v>
      </c>
      <c r="P1766" s="247">
        <f t="shared" ca="1" si="263"/>
        <v>2392.2261011950159</v>
      </c>
    </row>
    <row r="1767" spans="1:16" x14ac:dyDescent="0.3">
      <c r="A1767" s="247"/>
      <c r="B1767" s="247"/>
      <c r="C1767" s="166"/>
      <c r="D1767" s="247"/>
      <c r="E1767" s="140" t="s">
        <v>293</v>
      </c>
      <c r="F1767" s="180">
        <f ca="1">SUM(F1742:F1766)</f>
        <v>15</v>
      </c>
      <c r="G1767" s="180">
        <f t="shared" ref="G1767:L1767" ca="1" si="265">SUM(G1742:G1766)</f>
        <v>28</v>
      </c>
      <c r="H1767" s="180">
        <f t="shared" ca="1" si="265"/>
        <v>556</v>
      </c>
      <c r="I1767" s="180">
        <f t="shared" ca="1" si="265"/>
        <v>98</v>
      </c>
      <c r="J1767" s="180">
        <f t="shared" ca="1" si="265"/>
        <v>3</v>
      </c>
      <c r="K1767" s="180">
        <f t="shared" ca="1" si="265"/>
        <v>0</v>
      </c>
      <c r="L1767" s="180">
        <f t="shared" ca="1" si="265"/>
        <v>700</v>
      </c>
      <c r="M1767" s="144">
        <f ca="1">SUMPRODUCT(F1767:K1767,F1740:K1740)/L1767</f>
        <v>-3.4285714285714284E-3</v>
      </c>
      <c r="N1767" s="166">
        <f t="shared" ca="1" si="262"/>
        <v>0.99657729941100148</v>
      </c>
      <c r="O1767" s="247">
        <f t="shared" ca="1" si="264"/>
        <v>2769.4198307463785</v>
      </c>
      <c r="P1767" s="247">
        <f t="shared" ca="1" si="263"/>
        <v>2759.9409358604985</v>
      </c>
    </row>
    <row r="1768" spans="1:16" x14ac:dyDescent="0.3">
      <c r="A1768" s="194"/>
      <c r="B1768" s="194"/>
      <c r="C1768" s="153"/>
      <c r="D1768" s="194"/>
      <c r="E1768" s="164"/>
      <c r="F1768" s="151"/>
      <c r="G1768" s="151"/>
      <c r="H1768" s="151"/>
      <c r="I1768" s="151"/>
      <c r="J1768" s="151"/>
      <c r="K1768" s="151"/>
      <c r="L1768" s="151"/>
      <c r="M1768" s="162"/>
      <c r="N1768" s="153"/>
      <c r="O1768" s="194"/>
      <c r="P1768" s="194"/>
    </row>
    <row r="1769" spans="1:16" s="247" customFormat="1" x14ac:dyDescent="0.3">
      <c r="E1769" s="173" t="s">
        <v>292</v>
      </c>
    </row>
    <row r="1770" spans="1:16" s="247" customFormat="1" x14ac:dyDescent="0.3">
      <c r="E1770" s="141">
        <v>42123</v>
      </c>
    </row>
    <row r="1771" spans="1:16" s="247" customFormat="1" ht="15" thickBot="1" x14ac:dyDescent="0.35"/>
    <row r="1772" spans="1:16" s="247" customFormat="1" ht="24.6" thickBot="1" x14ac:dyDescent="0.35">
      <c r="F1772" s="174" t="s">
        <v>23</v>
      </c>
      <c r="G1772" s="168" t="s">
        <v>18</v>
      </c>
      <c r="H1772" s="168" t="s">
        <v>16</v>
      </c>
      <c r="I1772" s="168" t="s">
        <v>17</v>
      </c>
      <c r="J1772" s="168" t="s">
        <v>19</v>
      </c>
      <c r="K1772" s="169" t="s">
        <v>114</v>
      </c>
    </row>
    <row r="1773" spans="1:16" s="247" customFormat="1" x14ac:dyDescent="0.3">
      <c r="F1773" s="267" t="s">
        <v>201</v>
      </c>
      <c r="G1773" s="268"/>
      <c r="H1773" s="268"/>
      <c r="I1773" s="268"/>
      <c r="J1773" s="268"/>
      <c r="K1773" s="169"/>
      <c r="M1773" s="203">
        <f ca="1">(H1801+K1801)/L1801</f>
        <v>0.76222222222222225</v>
      </c>
      <c r="N1773" s="204" t="s">
        <v>501</v>
      </c>
    </row>
    <row r="1774" spans="1:16" s="247" customFormat="1" ht="43.8" thickBot="1" x14ac:dyDescent="0.35">
      <c r="A1774" s="142" t="s">
        <v>294</v>
      </c>
      <c r="B1774" s="142" t="s">
        <v>295</v>
      </c>
      <c r="C1774" s="197" t="s">
        <v>440</v>
      </c>
      <c r="D1774" s="142" t="s">
        <v>441</v>
      </c>
      <c r="E1774" s="171" t="s">
        <v>30</v>
      </c>
      <c r="F1774" s="175">
        <f>Falling_fast</f>
        <v>-0.2</v>
      </c>
      <c r="G1774" s="176">
        <f>Falling</f>
        <v>0</v>
      </c>
      <c r="H1774" s="177">
        <f>Static</f>
        <v>0</v>
      </c>
      <c r="I1774" s="176">
        <f>Rising</f>
        <v>0</v>
      </c>
      <c r="J1774" s="178">
        <f>Rising_fast</f>
        <v>0.2</v>
      </c>
      <c r="K1774" s="182">
        <v>0</v>
      </c>
      <c r="L1774" s="171" t="s">
        <v>28</v>
      </c>
      <c r="M1774" s="172" t="s">
        <v>29</v>
      </c>
      <c r="N1774" s="143" t="s">
        <v>296</v>
      </c>
      <c r="O1774" s="142" t="s">
        <v>297</v>
      </c>
      <c r="P1774" s="142" t="s">
        <v>298</v>
      </c>
    </row>
    <row r="1775" spans="1:16" s="247" customFormat="1" x14ac:dyDescent="0.3">
      <c r="C1775" s="166"/>
      <c r="E1775" s="192"/>
      <c r="F1775" s="198" t="s">
        <v>151</v>
      </c>
      <c r="G1775" s="199" t="s">
        <v>149</v>
      </c>
      <c r="H1775" s="199" t="s">
        <v>16</v>
      </c>
      <c r="I1775" s="199" t="s">
        <v>148</v>
      </c>
      <c r="J1775" s="199" t="s">
        <v>150</v>
      </c>
      <c r="K1775" s="200" t="s">
        <v>114</v>
      </c>
      <c r="L1775" s="166"/>
      <c r="M1775" s="170"/>
      <c r="N1775" s="166"/>
    </row>
    <row r="1776" spans="1:16" s="247" customFormat="1" x14ac:dyDescent="0.3">
      <c r="A1776" s="247">
        <f>MATCH(Calcs!B1776,Paste_Report_Here!$1:$1,0) -1</f>
        <v>5</v>
      </c>
      <c r="B1776" s="247" t="s">
        <v>124</v>
      </c>
      <c r="C1776" s="166">
        <f ca="1">RANK(N1776,N1776:N1800)</f>
        <v>8</v>
      </c>
      <c r="D1776" s="166">
        <f ca="1">RANK(P1776,P1776:P1800)</f>
        <v>14</v>
      </c>
      <c r="E1776" s="189" t="s">
        <v>152</v>
      </c>
      <c r="F1776" s="179">
        <f ca="1">COUNTIFS(Paste_Report_Here!$E$1:$E$2000,E1770, OFFSET(Paste_Report_Here!$A$1,0,$A1776,2000,1),F$75)</f>
        <v>0</v>
      </c>
      <c r="G1776" s="180">
        <f ca="1">COUNTIFS(Paste_Report_Here!$E$1:$E$2000,E1770, OFFSET(Paste_Report_Here!$A$1,0,$A1776,2000,1),G$75)</f>
        <v>1</v>
      </c>
      <c r="H1776" s="180">
        <f ca="1">COUNTIFS(Paste_Report_Here!$E$1:$E$2000,E1770, OFFSET(Paste_Report_Here!$A$1,0,$A1776,2000,1),H$75)</f>
        <v>30</v>
      </c>
      <c r="I1776" s="180">
        <f ca="1">COUNTIFS(Paste_Report_Here!$E$1:$E$2000,E1770, OFFSET(Paste_Report_Here!$A$1,0,$A1776,2000,1),I$75)</f>
        <v>4</v>
      </c>
      <c r="J1776" s="180">
        <f ca="1">COUNTIFS(Paste_Report_Here!$E$1:$E$2000,E1770, OFFSET(Paste_Report_Here!$A$1,0,$A1776,2000,1),J$75)</f>
        <v>1</v>
      </c>
      <c r="K1776" s="181">
        <f ca="1">COUNTIFS(Paste_Report_Here!$E$1:$E$2000,E1770, OFFSET(Paste_Report_Here!$A$1,0,$A1776,2000,1),K$75)</f>
        <v>0</v>
      </c>
      <c r="L1776" s="166">
        <f t="shared" ref="L1776:L1800" ca="1" si="266">SUM(F1776:K1776)</f>
        <v>36</v>
      </c>
      <c r="M1776" s="183">
        <f ca="1">SUMPRODUCT(F1776:K1776,F1774:K1774)/L:L</f>
        <v>5.5555555555555558E-3</v>
      </c>
      <c r="N1776" s="166">
        <f t="shared" ref="N1776:N1801" ca="1" si="267">EXP(M1776)</f>
        <v>1.0055710162720175</v>
      </c>
      <c r="O1776" s="247">
        <f ca="1">P1742</f>
        <v>2219.9153712987463</v>
      </c>
      <c r="P1776" s="247">
        <f t="shared" ref="P1776:P1801" ca="1" si="268">O1776*N1776</f>
        <v>2232.2825559547532</v>
      </c>
    </row>
    <row r="1777" spans="1:16" s="247" customFormat="1" x14ac:dyDescent="0.3">
      <c r="A1777" s="247">
        <f>MATCH(Calcs!B1777,Paste_Report_Here!$1:$1,0) -1</f>
        <v>6</v>
      </c>
      <c r="B1777" s="247" t="s">
        <v>125</v>
      </c>
      <c r="C1777" s="166">
        <f ca="1">RANK(N1777,N1776:N1800)</f>
        <v>11</v>
      </c>
      <c r="D1777" s="166">
        <f ca="1">RANK(P1777,P1776:P1800)</f>
        <v>17</v>
      </c>
      <c r="E1777" s="189" t="s">
        <v>153</v>
      </c>
      <c r="F1777" s="179">
        <f ca="1">COUNTIFS(Paste_Report_Here!$E$1:$E$2000,E1770, OFFSET(Paste_Report_Here!$A$1,0,$A1777,2000,1),F$75)</f>
        <v>0</v>
      </c>
      <c r="G1777" s="180">
        <f ca="1">COUNTIFS(Paste_Report_Here!$E$1:$E$2000,E1770, OFFSET(Paste_Report_Here!$A$1,0,$A1777,2000,1),G$75)</f>
        <v>0</v>
      </c>
      <c r="H1777" s="180">
        <f ca="1">COUNTIFS(Paste_Report_Here!$E$1:$E$2000,E1770, OFFSET(Paste_Report_Here!$A$1,0,$A1777,2000,1),H$75)</f>
        <v>31</v>
      </c>
      <c r="I1777" s="180">
        <f ca="1">COUNTIFS(Paste_Report_Here!$E$1:$E$2000,E1770, OFFSET(Paste_Report_Here!$A$1,0,$A1777,2000,1),I$75)</f>
        <v>5</v>
      </c>
      <c r="J1777" s="180">
        <f ca="1">COUNTIFS(Paste_Report_Here!$E$1:$E$2000,E1770, OFFSET(Paste_Report_Here!$A$1,0,$A1777,2000,1),J$75)</f>
        <v>0</v>
      </c>
      <c r="K1777" s="181">
        <f ca="1">COUNTIFS(Paste_Report_Here!$E$1:$E$2000,E1770, OFFSET(Paste_Report_Here!$A$1,0,$A1777,2000,1),K$75)</f>
        <v>0</v>
      </c>
      <c r="L1777" s="166">
        <f t="shared" ca="1" si="266"/>
        <v>36</v>
      </c>
      <c r="M1777" s="183">
        <f ca="1">SUMPRODUCT(F1777:K1777,F1774:K1774)/L:L</f>
        <v>0</v>
      </c>
      <c r="N1777" s="166">
        <f t="shared" ca="1" si="267"/>
        <v>1</v>
      </c>
      <c r="O1777" s="247">
        <f t="shared" ref="O1777:O1801" ca="1" si="269">P1743</f>
        <v>2034.4114225851292</v>
      </c>
      <c r="P1777" s="247">
        <f t="shared" ca="1" si="268"/>
        <v>2034.4114225851292</v>
      </c>
    </row>
    <row r="1778" spans="1:16" s="247" customFormat="1" x14ac:dyDescent="0.3">
      <c r="A1778" s="247">
        <f>MATCH(Calcs!B1778,Paste_Report_Here!$1:$1,0) -1</f>
        <v>7</v>
      </c>
      <c r="B1778" s="247" t="s">
        <v>126</v>
      </c>
      <c r="C1778" s="166">
        <f ca="1">RANK(N1778,N1776:N1800)</f>
        <v>19</v>
      </c>
      <c r="D1778" s="166">
        <f ca="1">RANK(P1778,P1776:P1800)</f>
        <v>8</v>
      </c>
      <c r="E1778" s="189" t="s">
        <v>154</v>
      </c>
      <c r="F1778" s="179">
        <f ca="1">COUNTIFS(Paste_Report_Here!$E$1:$E$2000,E1770, OFFSET(Paste_Report_Here!$A$1,0,$A1778,2000,1),F$75)</f>
        <v>1</v>
      </c>
      <c r="G1778" s="180">
        <f ca="1">COUNTIFS(Paste_Report_Here!$E$1:$E$2000,E1770, OFFSET(Paste_Report_Here!$A$1,0,$A1778,2000,1),G$75)</f>
        <v>2</v>
      </c>
      <c r="H1778" s="180">
        <f ca="1">COUNTIFS(Paste_Report_Here!$E$1:$E$2000,E1770, OFFSET(Paste_Report_Here!$A$1,0,$A1778,2000,1),H$75)</f>
        <v>28</v>
      </c>
      <c r="I1778" s="180">
        <f ca="1">COUNTIFS(Paste_Report_Here!$E$1:$E$2000,E1770, OFFSET(Paste_Report_Here!$A$1,0,$A1778,2000,1),I$75)</f>
        <v>5</v>
      </c>
      <c r="J1778" s="180">
        <f ca="1">COUNTIFS(Paste_Report_Here!$E$1:$E$2000,E1770, OFFSET(Paste_Report_Here!$A$1,0,$A1778,2000,1),J$75)</f>
        <v>0</v>
      </c>
      <c r="K1778" s="181">
        <f ca="1">COUNTIFS(Paste_Report_Here!$E$1:$E$2000,E1770, OFFSET(Paste_Report_Here!$A$1,0,$A1778,2000,1),K$75)</f>
        <v>0</v>
      </c>
      <c r="L1778" s="166">
        <f t="shared" ca="1" si="266"/>
        <v>36</v>
      </c>
      <c r="M1778" s="183">
        <f ca="1">SUMPRODUCT(F1778:K1778,F1774:K1774)/L:L</f>
        <v>-5.5555555555555558E-3</v>
      </c>
      <c r="N1778" s="166">
        <f t="shared" ca="1" si="267"/>
        <v>0.99445984800489673</v>
      </c>
      <c r="O1778" s="247">
        <f t="shared" ca="1" si="269"/>
        <v>2586.2598221959811</v>
      </c>
      <c r="P1778" s="247">
        <f t="shared" ca="1" si="268"/>
        <v>2571.9315496821864</v>
      </c>
    </row>
    <row r="1779" spans="1:16" s="247" customFormat="1" x14ac:dyDescent="0.3">
      <c r="A1779" s="247">
        <f>MATCH(Calcs!B1779,Paste_Report_Here!$1:$1,0) -1</f>
        <v>8</v>
      </c>
      <c r="B1779" s="247" t="s">
        <v>127</v>
      </c>
      <c r="C1779" s="166">
        <f ca="1">RANK(N1779,N1776:N1800)</f>
        <v>11</v>
      </c>
      <c r="D1779" s="166">
        <f ca="1">RANK(P1779,P1776:P1800)</f>
        <v>7</v>
      </c>
      <c r="E1779" s="189" t="s">
        <v>155</v>
      </c>
      <c r="F1779" s="179">
        <f ca="1">COUNTIFS(Paste_Report_Here!$E$1:$E$2000,E1770, OFFSET(Paste_Report_Here!$A$1,0,$A1779,2000,1),F$75)</f>
        <v>0</v>
      </c>
      <c r="G1779" s="180">
        <f ca="1">COUNTIFS(Paste_Report_Here!$E$1:$E$2000,E1770, OFFSET(Paste_Report_Here!$A$1,0,$A1779,2000,1),G$75)</f>
        <v>2</v>
      </c>
      <c r="H1779" s="180">
        <f ca="1">COUNTIFS(Paste_Report_Here!$E$1:$E$2000,E1770, OFFSET(Paste_Report_Here!$A$1,0,$A1779,2000,1),H$75)</f>
        <v>24</v>
      </c>
      <c r="I1779" s="180">
        <f ca="1">COUNTIFS(Paste_Report_Here!$E$1:$E$2000,E1770, OFFSET(Paste_Report_Here!$A$1,0,$A1779,2000,1),I$75)</f>
        <v>10</v>
      </c>
      <c r="J1779" s="180">
        <f ca="1">COUNTIFS(Paste_Report_Here!$E$1:$E$2000,E1770, OFFSET(Paste_Report_Here!$A$1,0,$A1779,2000,1),J$75)</f>
        <v>0</v>
      </c>
      <c r="K1779" s="181">
        <f ca="1">COUNTIFS(Paste_Report_Here!$E$1:$E$2000,E1770, OFFSET(Paste_Report_Here!$A$1,0,$A1779,2000,1),K$75)</f>
        <v>0</v>
      </c>
      <c r="L1779" s="166">
        <f t="shared" ca="1" si="266"/>
        <v>36</v>
      </c>
      <c r="M1779" s="183">
        <f ca="1">SUMPRODUCT(F1779:K1779,F1774:K1774)/L:L</f>
        <v>0</v>
      </c>
      <c r="N1779" s="166">
        <f t="shared" ca="1" si="267"/>
        <v>1</v>
      </c>
      <c r="O1779" s="247">
        <f t="shared" ca="1" si="269"/>
        <v>3007.0951387361301</v>
      </c>
      <c r="P1779" s="247">
        <f t="shared" ca="1" si="268"/>
        <v>3007.0951387361301</v>
      </c>
    </row>
    <row r="1780" spans="1:16" s="247" customFormat="1" x14ac:dyDescent="0.3">
      <c r="A1780" s="247">
        <f>MATCH(Calcs!B1780,Paste_Report_Here!$1:$1,0) -1</f>
        <v>9</v>
      </c>
      <c r="B1780" s="247" t="s">
        <v>214</v>
      </c>
      <c r="C1780" s="166">
        <f ca="1">RANK(N1780,N1776:N1800)</f>
        <v>4</v>
      </c>
      <c r="D1780" s="166">
        <f ca="1">RANK(P1780,P1776:P1800)</f>
        <v>5</v>
      </c>
      <c r="E1780" s="189" t="s">
        <v>156</v>
      </c>
      <c r="F1780" s="179">
        <f ca="1">COUNTIFS(Paste_Report_Here!$E$1:$E$2000,E1770, OFFSET(Paste_Report_Here!$A$1,0,$A1780,2000,1),F$75)</f>
        <v>0</v>
      </c>
      <c r="G1780" s="180">
        <f ca="1">COUNTIFS(Paste_Report_Here!$E$1:$E$2000,E1770, OFFSET(Paste_Report_Here!$A$1,0,$A1780,2000,1),G$75)</f>
        <v>2</v>
      </c>
      <c r="H1780" s="180">
        <f ca="1">COUNTIFS(Paste_Report_Here!$E$1:$E$2000,E1770, OFFSET(Paste_Report_Here!$A$1,0,$A1780,2000,1),H$75)</f>
        <v>27</v>
      </c>
      <c r="I1780" s="180">
        <f ca="1">COUNTIFS(Paste_Report_Here!$E$1:$E$2000,E1770, OFFSET(Paste_Report_Here!$A$1,0,$A1780,2000,1),I$75)</f>
        <v>5</v>
      </c>
      <c r="J1780" s="180">
        <f ca="1">COUNTIFS(Paste_Report_Here!$E$1:$E$2000,E1770, OFFSET(Paste_Report_Here!$A$1,0,$A1780,2000,1),J$75)</f>
        <v>2</v>
      </c>
      <c r="K1780" s="181">
        <f ca="1">COUNTIFS(Paste_Report_Here!$E$1:$E$2000,E1770, OFFSET(Paste_Report_Here!$A$1,0,$A1780,2000,1),K$75)</f>
        <v>0</v>
      </c>
      <c r="L1780" s="166">
        <f t="shared" ca="1" si="266"/>
        <v>36</v>
      </c>
      <c r="M1780" s="183">
        <f ca="1">SUMPRODUCT(F1780:K1780,F1774:K1774)/L:L</f>
        <v>1.1111111111111112E-2</v>
      </c>
      <c r="N1780" s="166">
        <f t="shared" ca="1" si="267"/>
        <v>1.0111730687663378</v>
      </c>
      <c r="O1780" s="247">
        <f t="shared" ca="1" si="269"/>
        <v>4148.4650036311268</v>
      </c>
      <c r="P1780" s="247">
        <f t="shared" ca="1" si="268"/>
        <v>4194.8160883914434</v>
      </c>
    </row>
    <row r="1781" spans="1:16" s="247" customFormat="1" x14ac:dyDescent="0.3">
      <c r="A1781" s="247">
        <f>MATCH(Calcs!B1781,Paste_Report_Here!$1:$1,0) -1</f>
        <v>10</v>
      </c>
      <c r="B1781" s="247" t="s">
        <v>128</v>
      </c>
      <c r="C1781" s="166">
        <f ca="1">RANK(N1781,N1776:N1800)</f>
        <v>24</v>
      </c>
      <c r="D1781" s="166">
        <f ca="1">RANK(P1781,P1776:P1800)</f>
        <v>21</v>
      </c>
      <c r="E1781" s="189" t="s">
        <v>157</v>
      </c>
      <c r="F1781" s="179">
        <f ca="1">COUNTIFS(Paste_Report_Here!$E$1:$E$2000,E1770, OFFSET(Paste_Report_Here!$A$1,0,$A1781,2000,1),F$75)</f>
        <v>2</v>
      </c>
      <c r="G1781" s="180">
        <f ca="1">COUNTIFS(Paste_Report_Here!$E$1:$E$2000,E1770, OFFSET(Paste_Report_Here!$A$1,0,$A1781,2000,1),G$75)</f>
        <v>2</v>
      </c>
      <c r="H1781" s="180">
        <f ca="1">COUNTIFS(Paste_Report_Here!$E$1:$E$2000,E1770, OFFSET(Paste_Report_Here!$A$1,0,$A1781,2000,1),H$75)</f>
        <v>28</v>
      </c>
      <c r="I1781" s="180">
        <f ca="1">COUNTIFS(Paste_Report_Here!$E$1:$E$2000,E1770, OFFSET(Paste_Report_Here!$A$1,0,$A1781,2000,1),I$75)</f>
        <v>4</v>
      </c>
      <c r="J1781" s="180">
        <f ca="1">COUNTIFS(Paste_Report_Here!$E$1:$E$2000,E1770, OFFSET(Paste_Report_Here!$A$1,0,$A1781,2000,1),J$75)</f>
        <v>0</v>
      </c>
      <c r="K1781" s="181">
        <f ca="1">COUNTIFS(Paste_Report_Here!$E$1:$E$2000,E1770, OFFSET(Paste_Report_Here!$A$1,0,$A1781,2000,1),K$75)</f>
        <v>0</v>
      </c>
      <c r="L1781" s="166">
        <f t="shared" ca="1" si="266"/>
        <v>36</v>
      </c>
      <c r="M1781" s="183">
        <f ca="1">SUMPRODUCT(F1781:K1781,F1774:K1774)/L:L</f>
        <v>-1.1111111111111112E-2</v>
      </c>
      <c r="N1781" s="166">
        <f t="shared" ca="1" si="267"/>
        <v>0.98895038929392232</v>
      </c>
      <c r="O1781" s="247">
        <f t="shared" ca="1" si="269"/>
        <v>1495.8304820962799</v>
      </c>
      <c r="P1781" s="247">
        <f t="shared" ca="1" si="268"/>
        <v>1479.3021375868316</v>
      </c>
    </row>
    <row r="1782" spans="1:16" s="247" customFormat="1" x14ac:dyDescent="0.3">
      <c r="A1782" s="247">
        <f>MATCH(Calcs!B1782,Paste_Report_Here!$1:$1,0) -1</f>
        <v>11</v>
      </c>
      <c r="B1782" s="247" t="s">
        <v>129</v>
      </c>
      <c r="C1782" s="166">
        <f ca="1">RANK(N1782,N1776:N1800)</f>
        <v>24</v>
      </c>
      <c r="D1782" s="166">
        <f ca="1">RANK(P1782,P1776:P1800)</f>
        <v>10</v>
      </c>
      <c r="E1782" s="189" t="s">
        <v>158</v>
      </c>
      <c r="F1782" s="179">
        <f ca="1">COUNTIFS(Paste_Report_Here!$E$1:$E$2000,E1770, OFFSET(Paste_Report_Here!$A$1,0,$A1782,2000,1),F$75)</f>
        <v>2</v>
      </c>
      <c r="G1782" s="180">
        <f ca="1">COUNTIFS(Paste_Report_Here!$E$1:$E$2000,E1770, OFFSET(Paste_Report_Here!$A$1,0,$A1782,2000,1),G$75)</f>
        <v>1</v>
      </c>
      <c r="H1782" s="180">
        <f ca="1">COUNTIFS(Paste_Report_Here!$E$1:$E$2000,E1770, OFFSET(Paste_Report_Here!$A$1,0,$A1782,2000,1),H$75)</f>
        <v>27</v>
      </c>
      <c r="I1782" s="180">
        <f ca="1">COUNTIFS(Paste_Report_Here!$E$1:$E$2000,E1770, OFFSET(Paste_Report_Here!$A$1,0,$A1782,2000,1),I$75)</f>
        <v>6</v>
      </c>
      <c r="J1782" s="180">
        <f ca="1">COUNTIFS(Paste_Report_Here!$E$1:$E$2000,E1770, OFFSET(Paste_Report_Here!$A$1,0,$A1782,2000,1),J$75)</f>
        <v>0</v>
      </c>
      <c r="K1782" s="181">
        <f ca="1">COUNTIFS(Paste_Report_Here!$E$1:$E$2000,E1770, OFFSET(Paste_Report_Here!$A$1,0,$A1782,2000,1),K$75)</f>
        <v>0</v>
      </c>
      <c r="L1782" s="166">
        <f t="shared" ca="1" si="266"/>
        <v>36</v>
      </c>
      <c r="M1782" s="183">
        <f ca="1">SUMPRODUCT(F1782:K1782,F1774:K1774)/L:L</f>
        <v>-1.1111111111111112E-2</v>
      </c>
      <c r="N1782" s="166">
        <f t="shared" ca="1" si="267"/>
        <v>0.98895038929392232</v>
      </c>
      <c r="O1782" s="247">
        <f t="shared" ca="1" si="269"/>
        <v>2446.6670369132157</v>
      </c>
      <c r="P1782" s="247">
        <f t="shared" ca="1" si="268"/>
        <v>2419.6323186279319</v>
      </c>
    </row>
    <row r="1783" spans="1:16" s="247" customFormat="1" x14ac:dyDescent="0.3">
      <c r="A1783" s="247">
        <f>MATCH(Calcs!B1783,Paste_Report_Here!$1:$1,0) -1</f>
        <v>12</v>
      </c>
      <c r="B1783" s="247" t="s">
        <v>130</v>
      </c>
      <c r="C1783" s="166">
        <f ca="1">RANK(N1783,N1776:N1800)</f>
        <v>11</v>
      </c>
      <c r="D1783" s="166">
        <f ca="1">RANK(P1783,P1776:P1800)</f>
        <v>9</v>
      </c>
      <c r="E1783" s="189" t="s">
        <v>159</v>
      </c>
      <c r="F1783" s="179">
        <f ca="1">COUNTIFS(Paste_Report_Here!$E$1:$E$2000,E1770, OFFSET(Paste_Report_Here!$A$1,0,$A1783,2000,1),F$75)</f>
        <v>1</v>
      </c>
      <c r="G1783" s="180">
        <f ca="1">COUNTIFS(Paste_Report_Here!$E$1:$E$2000,E1770, OFFSET(Paste_Report_Here!$A$1,0,$A1783,2000,1),G$75)</f>
        <v>1</v>
      </c>
      <c r="H1783" s="180">
        <f ca="1">COUNTIFS(Paste_Report_Here!$E$1:$E$2000,E1770, OFFSET(Paste_Report_Here!$A$1,0,$A1783,2000,1),H$75)</f>
        <v>25</v>
      </c>
      <c r="I1783" s="180">
        <f ca="1">COUNTIFS(Paste_Report_Here!$E$1:$E$2000,E1770, OFFSET(Paste_Report_Here!$A$1,0,$A1783,2000,1),I$75)</f>
        <v>8</v>
      </c>
      <c r="J1783" s="180">
        <f ca="1">COUNTIFS(Paste_Report_Here!$E$1:$E$2000,E1770, OFFSET(Paste_Report_Here!$A$1,0,$A1783,2000,1),J$75)</f>
        <v>1</v>
      </c>
      <c r="K1783" s="181">
        <f ca="1">COUNTIFS(Paste_Report_Here!$E$1:$E$2000,E1770, OFFSET(Paste_Report_Here!$A$1,0,$A1783,2000,1),K$75)</f>
        <v>0</v>
      </c>
      <c r="L1783" s="166">
        <f t="shared" ca="1" si="266"/>
        <v>36</v>
      </c>
      <c r="M1783" s="183">
        <f ca="1">SUMPRODUCT(F1783:K1783,F1774:K1774)/L:L</f>
        <v>0</v>
      </c>
      <c r="N1783" s="166">
        <f t="shared" ca="1" si="267"/>
        <v>1</v>
      </c>
      <c r="O1783" s="247">
        <f t="shared" ca="1" si="269"/>
        <v>2437.9058787075446</v>
      </c>
      <c r="P1783" s="247">
        <f t="shared" ca="1" si="268"/>
        <v>2437.9058787075446</v>
      </c>
    </row>
    <row r="1784" spans="1:16" s="247" customFormat="1" x14ac:dyDescent="0.3">
      <c r="A1784" s="247">
        <f>MATCH(Calcs!B1784,Paste_Report_Here!$1:$1,0) -1</f>
        <v>13</v>
      </c>
      <c r="B1784" s="247" t="s">
        <v>131</v>
      </c>
      <c r="C1784" s="166">
        <f ca="1">RANK(N1784,N1776:N1800)</f>
        <v>2</v>
      </c>
      <c r="D1784" s="166">
        <f ca="1">RANK(P1784,P1776:P1800)</f>
        <v>2</v>
      </c>
      <c r="E1784" s="189" t="s">
        <v>160</v>
      </c>
      <c r="F1784" s="179">
        <f ca="1">COUNTIFS(Paste_Report_Here!$E$1:$E$2000,E1770, OFFSET(Paste_Report_Here!$A$1,0,$A1784,2000,1),F$75)</f>
        <v>0</v>
      </c>
      <c r="G1784" s="180">
        <f ca="1">COUNTIFS(Paste_Report_Here!$E$1:$E$2000,E1770, OFFSET(Paste_Report_Here!$A$1,0,$A1784,2000,1),G$75)</f>
        <v>0</v>
      </c>
      <c r="H1784" s="180">
        <f ca="1">COUNTIFS(Paste_Report_Here!$E$1:$E$2000,E1770, OFFSET(Paste_Report_Here!$A$1,0,$A1784,2000,1),H$75)</f>
        <v>24</v>
      </c>
      <c r="I1784" s="180">
        <f ca="1">COUNTIFS(Paste_Report_Here!$E$1:$E$2000,E1770, OFFSET(Paste_Report_Here!$A$1,0,$A1784,2000,1),I$75)</f>
        <v>9</v>
      </c>
      <c r="J1784" s="180">
        <f ca="1">COUNTIFS(Paste_Report_Here!$E$1:$E$2000,E1770, OFFSET(Paste_Report_Here!$A$1,0,$A1784,2000,1),J$75)</f>
        <v>3</v>
      </c>
      <c r="K1784" s="181">
        <f ca="1">COUNTIFS(Paste_Report_Here!$E$1:$E$2000,E1770, OFFSET(Paste_Report_Here!$A$1,0,$A1784,2000,1),K$75)</f>
        <v>0</v>
      </c>
      <c r="L1784" s="166">
        <f t="shared" ca="1" si="266"/>
        <v>36</v>
      </c>
      <c r="M1784" s="183">
        <f ca="1">SUMPRODUCT(F1784:K1784,F1774:K1774)/L:L</f>
        <v>1.666666666666667E-2</v>
      </c>
      <c r="N1784" s="166">
        <f t="shared" ca="1" si="267"/>
        <v>1.0168063303862609</v>
      </c>
      <c r="O1784" s="247">
        <f t="shared" ca="1" si="269"/>
        <v>5453.7256316078719</v>
      </c>
      <c r="P1784" s="247">
        <f t="shared" ca="1" si="268"/>
        <v>5545.3827464086935</v>
      </c>
    </row>
    <row r="1785" spans="1:16" s="247" customFormat="1" x14ac:dyDescent="0.3">
      <c r="A1785" s="247">
        <f>MATCH(Calcs!B1785,Paste_Report_Here!$1:$1,0) -1</f>
        <v>14</v>
      </c>
      <c r="B1785" s="247" t="s">
        <v>132</v>
      </c>
      <c r="C1785" s="166">
        <f ca="1">RANK(N1785,N1776:N1800)</f>
        <v>2</v>
      </c>
      <c r="D1785" s="166">
        <f ca="1">RANK(P1785,P1776:P1800)</f>
        <v>12</v>
      </c>
      <c r="E1785" s="189" t="s">
        <v>161</v>
      </c>
      <c r="F1785" s="179">
        <f ca="1">COUNTIFS(Paste_Report_Here!$E$1:$E$2000,E1770, OFFSET(Paste_Report_Here!$A$1,0,$A1785,2000,1),F$75)</f>
        <v>0</v>
      </c>
      <c r="G1785" s="180">
        <f ca="1">COUNTIFS(Paste_Report_Here!$E$1:$E$2000,E1770, OFFSET(Paste_Report_Here!$A$1,0,$A1785,2000,1),G$75)</f>
        <v>0</v>
      </c>
      <c r="H1785" s="180">
        <f ca="1">COUNTIFS(Paste_Report_Here!$E$1:$E$2000,E1770, OFFSET(Paste_Report_Here!$A$1,0,$A1785,2000,1),H$75)</f>
        <v>28</v>
      </c>
      <c r="I1785" s="180">
        <f ca="1">COUNTIFS(Paste_Report_Here!$E$1:$E$2000,E1770, OFFSET(Paste_Report_Here!$A$1,0,$A1785,2000,1),I$75)</f>
        <v>5</v>
      </c>
      <c r="J1785" s="180">
        <f ca="1">COUNTIFS(Paste_Report_Here!$E$1:$E$2000,E1770, OFFSET(Paste_Report_Here!$A$1,0,$A1785,2000,1),J$75)</f>
        <v>3</v>
      </c>
      <c r="K1785" s="181">
        <f ca="1">COUNTIFS(Paste_Report_Here!$E$1:$E$2000,E1770, OFFSET(Paste_Report_Here!$A$1,0,$A1785,2000,1),K$75)</f>
        <v>0</v>
      </c>
      <c r="L1785" s="166">
        <f t="shared" ca="1" si="266"/>
        <v>36</v>
      </c>
      <c r="M1785" s="183">
        <f ca="1">SUMPRODUCT(F1785:K1785,F1774:K1774)/L:L</f>
        <v>1.666666666666667E-2</v>
      </c>
      <c r="N1785" s="166">
        <f t="shared" ca="1" si="267"/>
        <v>1.0168063303862609</v>
      </c>
      <c r="O1785" s="247">
        <f t="shared" ca="1" si="269"/>
        <v>2291.6770019310625</v>
      </c>
      <c r="P1785" s="247">
        <f t="shared" ca="1" si="268"/>
        <v>2330.1916827641116</v>
      </c>
    </row>
    <row r="1786" spans="1:16" s="247" customFormat="1" x14ac:dyDescent="0.3">
      <c r="A1786" s="247">
        <f>MATCH(Calcs!B1786,Paste_Report_Here!$1:$1,0) -1</f>
        <v>15</v>
      </c>
      <c r="B1786" s="247" t="s">
        <v>133</v>
      </c>
      <c r="C1786" s="166">
        <f ca="1">RANK(N1786,N1776:N1800)</f>
        <v>4</v>
      </c>
      <c r="D1786" s="166">
        <f ca="1">RANK(P1786,P1776:P1800)</f>
        <v>6</v>
      </c>
      <c r="E1786" s="189" t="s">
        <v>162</v>
      </c>
      <c r="F1786" s="179">
        <f ca="1">COUNTIFS(Paste_Report_Here!$E$1:$E$2000,E1770, OFFSET(Paste_Report_Here!$A$1,0,$A1786,2000,1),F$75)</f>
        <v>0</v>
      </c>
      <c r="G1786" s="180">
        <f ca="1">COUNTIFS(Paste_Report_Here!$E$1:$E$2000,E1770, OFFSET(Paste_Report_Here!$A$1,0,$A1786,2000,1),G$75)</f>
        <v>0</v>
      </c>
      <c r="H1786" s="180">
        <f ca="1">COUNTIFS(Paste_Report_Here!$E$1:$E$2000,E1770, OFFSET(Paste_Report_Here!$A$1,0,$A1786,2000,1),H$75)</f>
        <v>26</v>
      </c>
      <c r="I1786" s="180">
        <f ca="1">COUNTIFS(Paste_Report_Here!$E$1:$E$2000,E1770, OFFSET(Paste_Report_Here!$A$1,0,$A1786,2000,1),I$75)</f>
        <v>8</v>
      </c>
      <c r="J1786" s="180">
        <f ca="1">COUNTIFS(Paste_Report_Here!$E$1:$E$2000,E1770, OFFSET(Paste_Report_Here!$A$1,0,$A1786,2000,1),J$75)</f>
        <v>2</v>
      </c>
      <c r="K1786" s="181">
        <f ca="1">COUNTIFS(Paste_Report_Here!$E$1:$E$2000,E1770, OFFSET(Paste_Report_Here!$A$1,0,$A1786,2000,1),K$75)</f>
        <v>0</v>
      </c>
      <c r="L1786" s="166">
        <f t="shared" ca="1" si="266"/>
        <v>36</v>
      </c>
      <c r="M1786" s="183">
        <f ca="1">SUMPRODUCT(F1786:K1786,F1774:K1774)/L:L</f>
        <v>1.1111111111111112E-2</v>
      </c>
      <c r="N1786" s="166">
        <f t="shared" ca="1" si="267"/>
        <v>1.0111730687663378</v>
      </c>
      <c r="O1786" s="247">
        <f t="shared" ca="1" si="269"/>
        <v>3380.5571737477894</v>
      </c>
      <c r="P1786" s="247">
        <f t="shared" ca="1" si="268"/>
        <v>3418.3283715186103</v>
      </c>
    </row>
    <row r="1787" spans="1:16" s="247" customFormat="1" x14ac:dyDescent="0.3">
      <c r="A1787" s="247">
        <f>MATCH(Calcs!B1787,Paste_Report_Here!$1:$1,0) -1</f>
        <v>16</v>
      </c>
      <c r="B1787" s="247" t="s">
        <v>134</v>
      </c>
      <c r="C1787" s="166">
        <f ca="1">RANK(N1787,N1776:N1800)</f>
        <v>11</v>
      </c>
      <c r="D1787" s="166">
        <f ca="1">RANK(P1787,P1776:P1800)</f>
        <v>25</v>
      </c>
      <c r="E1787" s="189" t="s">
        <v>163</v>
      </c>
      <c r="F1787" s="179">
        <f ca="1">COUNTIFS(Paste_Report_Here!$E$1:$E$2000,E1770, OFFSET(Paste_Report_Here!$A$1,0,$A1787,2000,1),F$75)</f>
        <v>0</v>
      </c>
      <c r="G1787" s="180">
        <f ca="1">COUNTIFS(Paste_Report_Here!$E$1:$E$2000,E1770, OFFSET(Paste_Report_Here!$A$1,0,$A1787,2000,1),G$75)</f>
        <v>2</v>
      </c>
      <c r="H1787" s="180">
        <f ca="1">COUNTIFS(Paste_Report_Here!$E$1:$E$2000,E1770, OFFSET(Paste_Report_Here!$A$1,0,$A1787,2000,1),H$75)</f>
        <v>29</v>
      </c>
      <c r="I1787" s="180">
        <f ca="1">COUNTIFS(Paste_Report_Here!$E$1:$E$2000,E1770, OFFSET(Paste_Report_Here!$A$1,0,$A1787,2000,1),I$75)</f>
        <v>5</v>
      </c>
      <c r="J1787" s="180">
        <f ca="1">COUNTIFS(Paste_Report_Here!$E$1:$E$2000,E1770, OFFSET(Paste_Report_Here!$A$1,0,$A1787,2000,1),J$75)</f>
        <v>0</v>
      </c>
      <c r="K1787" s="181">
        <f ca="1">COUNTIFS(Paste_Report_Here!$E$1:$E$2000,E1770, OFFSET(Paste_Report_Here!$A$1,0,$A1787,2000,1),K$75)</f>
        <v>0</v>
      </c>
      <c r="L1787" s="166">
        <f t="shared" ca="1" si="266"/>
        <v>36</v>
      </c>
      <c r="M1787" s="183">
        <f ca="1">SUMPRODUCT(F1787:K1787,F1774:K1774)/L:L</f>
        <v>0</v>
      </c>
      <c r="N1787" s="166">
        <f t="shared" ca="1" si="267"/>
        <v>1</v>
      </c>
      <c r="O1787" s="247">
        <f t="shared" ca="1" si="269"/>
        <v>1145.7546405911432</v>
      </c>
      <c r="P1787" s="247">
        <f t="shared" ca="1" si="268"/>
        <v>1145.7546405911432</v>
      </c>
    </row>
    <row r="1788" spans="1:16" s="247" customFormat="1" x14ac:dyDescent="0.3">
      <c r="A1788" s="247">
        <f>MATCH(Calcs!B1788,Paste_Report_Here!$1:$1,0) -1</f>
        <v>17</v>
      </c>
      <c r="B1788" s="247" t="s">
        <v>135</v>
      </c>
      <c r="C1788" s="166">
        <f ca="1">RANK(N1788,N1776:N1800)</f>
        <v>19</v>
      </c>
      <c r="D1788" s="166">
        <f ca="1">RANK(P1788,P1776:P1800)</f>
        <v>19</v>
      </c>
      <c r="E1788" s="189" t="s">
        <v>164</v>
      </c>
      <c r="F1788" s="179">
        <f ca="1">COUNTIFS(Paste_Report_Here!$E$1:$E$2000,E1770, OFFSET(Paste_Report_Here!$A$1,0,$A1788,2000,1),F$75)</f>
        <v>1</v>
      </c>
      <c r="G1788" s="180">
        <f ca="1">COUNTIFS(Paste_Report_Here!$E$1:$E$2000,E1770, OFFSET(Paste_Report_Here!$A$1,0,$A1788,2000,1),G$75)</f>
        <v>1</v>
      </c>
      <c r="H1788" s="180">
        <f ca="1">COUNTIFS(Paste_Report_Here!$E$1:$E$2000,E1770, OFFSET(Paste_Report_Here!$A$1,0,$A1788,2000,1),H$75)</f>
        <v>28</v>
      </c>
      <c r="I1788" s="180">
        <f ca="1">COUNTIFS(Paste_Report_Here!$E$1:$E$2000,E1770, OFFSET(Paste_Report_Here!$A$1,0,$A1788,2000,1),I$75)</f>
        <v>6</v>
      </c>
      <c r="J1788" s="180">
        <f ca="1">COUNTIFS(Paste_Report_Here!$E$1:$E$2000,E1770, OFFSET(Paste_Report_Here!$A$1,0,$A1788,2000,1),J$75)</f>
        <v>0</v>
      </c>
      <c r="K1788" s="181">
        <f ca="1">COUNTIFS(Paste_Report_Here!$E$1:$E$2000,E1770, OFFSET(Paste_Report_Here!$A$1,0,$A1788,2000,1),K$75)</f>
        <v>0</v>
      </c>
      <c r="L1788" s="166">
        <f t="shared" ca="1" si="266"/>
        <v>36</v>
      </c>
      <c r="M1788" s="183">
        <f ca="1">SUMPRODUCT(F1788:K1788,F1774:K1774)/L:L</f>
        <v>-5.5555555555555558E-3</v>
      </c>
      <c r="N1788" s="166">
        <f t="shared" ca="1" si="267"/>
        <v>0.99445984800489673</v>
      </c>
      <c r="O1788" s="247">
        <f t="shared" ca="1" si="269"/>
        <v>1864.6204753690354</v>
      </c>
      <c r="P1788" s="247">
        <f t="shared" ca="1" si="268"/>
        <v>1854.2901945223091</v>
      </c>
    </row>
    <row r="1789" spans="1:16" s="247" customFormat="1" x14ac:dyDescent="0.3">
      <c r="A1789" s="247">
        <f>MATCH(Calcs!B1789,Paste_Report_Here!$1:$1,0) -1</f>
        <v>18</v>
      </c>
      <c r="B1789" s="247" t="s">
        <v>136</v>
      </c>
      <c r="C1789" s="166">
        <f ca="1">RANK(N1789,N1776:N1800)</f>
        <v>8</v>
      </c>
      <c r="D1789" s="166">
        <f ca="1">RANK(P1789,P1776:P1800)</f>
        <v>4</v>
      </c>
      <c r="E1789" s="189" t="s">
        <v>165</v>
      </c>
      <c r="F1789" s="179">
        <f ca="1">COUNTIFS(Paste_Report_Here!$E$1:$E$2000,E1770, OFFSET(Paste_Report_Here!$A$1,0,$A1789,2000,1),F$75)</f>
        <v>0</v>
      </c>
      <c r="G1789" s="180">
        <f ca="1">COUNTIFS(Paste_Report_Here!$E$1:$E$2000,E1770, OFFSET(Paste_Report_Here!$A$1,0,$A1789,2000,1),G$75)</f>
        <v>1</v>
      </c>
      <c r="H1789" s="180">
        <f ca="1">COUNTIFS(Paste_Report_Here!$E$1:$E$2000,E1770, OFFSET(Paste_Report_Here!$A$1,0,$A1789,2000,1),H$75)</f>
        <v>28</v>
      </c>
      <c r="I1789" s="180">
        <f ca="1">COUNTIFS(Paste_Report_Here!$E$1:$E$2000,E1770, OFFSET(Paste_Report_Here!$A$1,0,$A1789,2000,1),I$75)</f>
        <v>6</v>
      </c>
      <c r="J1789" s="180">
        <f ca="1">COUNTIFS(Paste_Report_Here!$E$1:$E$2000,E1770, OFFSET(Paste_Report_Here!$A$1,0,$A1789,2000,1),J$75)</f>
        <v>1</v>
      </c>
      <c r="K1789" s="181">
        <f ca="1">COUNTIFS(Paste_Report_Here!$E$1:$E$2000,E1770, OFFSET(Paste_Report_Here!$A$1,0,$A1789,2000,1),K$75)</f>
        <v>0</v>
      </c>
      <c r="L1789" s="166">
        <f t="shared" ca="1" si="266"/>
        <v>36</v>
      </c>
      <c r="M1789" s="183">
        <f ca="1">SUMPRODUCT(F1789:K1789,F1774:K1774)/L:L</f>
        <v>5.5555555555555558E-3</v>
      </c>
      <c r="N1789" s="166">
        <f t="shared" ca="1" si="267"/>
        <v>1.0055710162720175</v>
      </c>
      <c r="O1789" s="247">
        <f t="shared" ca="1" si="269"/>
        <v>4212.5183663799135</v>
      </c>
      <c r="P1789" s="247">
        <f t="shared" ca="1" si="268"/>
        <v>4235.9863747451882</v>
      </c>
    </row>
    <row r="1790" spans="1:16" s="247" customFormat="1" x14ac:dyDescent="0.3">
      <c r="A1790" s="247">
        <f>MATCH(Calcs!B1790,Paste_Report_Here!$1:$1,0) -1</f>
        <v>19</v>
      </c>
      <c r="B1790" s="247" t="s">
        <v>137</v>
      </c>
      <c r="C1790" s="166">
        <f ca="1">RANK(N1790,N1776:N1800)</f>
        <v>11</v>
      </c>
      <c r="D1790" s="166">
        <f ca="1">RANK(P1790,P1776:P1800)</f>
        <v>16</v>
      </c>
      <c r="E1790" s="189" t="s">
        <v>166</v>
      </c>
      <c r="F1790" s="179">
        <f ca="1">COUNTIFS(Paste_Report_Here!$E$1:$E$2000,E1770, OFFSET(Paste_Report_Here!$A$1,0,$A1790,2000,1),F$75)</f>
        <v>0</v>
      </c>
      <c r="G1790" s="180">
        <f ca="1">COUNTIFS(Paste_Report_Here!$E$1:$E$2000,E1770, OFFSET(Paste_Report_Here!$A$1,0,$A1790,2000,1),G$75)</f>
        <v>4</v>
      </c>
      <c r="H1790" s="180">
        <f ca="1">COUNTIFS(Paste_Report_Here!$E$1:$E$2000,E1770, OFFSET(Paste_Report_Here!$A$1,0,$A1790,2000,1),H$75)</f>
        <v>28</v>
      </c>
      <c r="I1790" s="180">
        <f ca="1">COUNTIFS(Paste_Report_Here!$E$1:$E$2000,E1770, OFFSET(Paste_Report_Here!$A$1,0,$A1790,2000,1),I$75)</f>
        <v>4</v>
      </c>
      <c r="J1790" s="180">
        <f ca="1">COUNTIFS(Paste_Report_Here!$E$1:$E$2000,E1770, OFFSET(Paste_Report_Here!$A$1,0,$A1790,2000,1),J$75)</f>
        <v>0</v>
      </c>
      <c r="K1790" s="181">
        <f ca="1">COUNTIFS(Paste_Report_Here!$E$1:$E$2000,E1770, OFFSET(Paste_Report_Here!$A$1,0,$A1790,2000,1),K$75)</f>
        <v>0</v>
      </c>
      <c r="L1790" s="166">
        <f t="shared" ca="1" si="266"/>
        <v>36</v>
      </c>
      <c r="M1790" s="183">
        <f ca="1">SUMPRODUCT(F1790:K1790,F1774:K1774)/L:L</f>
        <v>0</v>
      </c>
      <c r="N1790" s="166">
        <f t="shared" ca="1" si="267"/>
        <v>1</v>
      </c>
      <c r="O1790" s="247">
        <f t="shared" ca="1" si="269"/>
        <v>2189.1045458354874</v>
      </c>
      <c r="P1790" s="247">
        <f t="shared" ca="1" si="268"/>
        <v>2189.1045458354874</v>
      </c>
    </row>
    <row r="1791" spans="1:16" s="247" customFormat="1" x14ac:dyDescent="0.3">
      <c r="A1791" s="247">
        <f>MATCH(Calcs!B1791,Paste_Report_Here!$1:$1,0) -1</f>
        <v>20</v>
      </c>
      <c r="B1791" s="247" t="s">
        <v>138</v>
      </c>
      <c r="C1791" s="166">
        <f ca="1">RANK(N1791,N1776:N1800)</f>
        <v>19</v>
      </c>
      <c r="D1791" s="166">
        <f ca="1">RANK(P1791,P1776:P1800)</f>
        <v>20</v>
      </c>
      <c r="E1791" s="189" t="s">
        <v>167</v>
      </c>
      <c r="F1791" s="179">
        <f ca="1">COUNTIFS(Paste_Report_Here!$E$1:$E$2000,E1770, OFFSET(Paste_Report_Here!$A$1,0,$A1791,2000,1),F$75)</f>
        <v>1</v>
      </c>
      <c r="G1791" s="180">
        <f ca="1">COUNTIFS(Paste_Report_Here!$E$1:$E$2000,E1770, OFFSET(Paste_Report_Here!$A$1,0,$A1791,2000,1),G$75)</f>
        <v>1</v>
      </c>
      <c r="H1791" s="180">
        <f ca="1">COUNTIFS(Paste_Report_Here!$E$1:$E$2000,E1770, OFFSET(Paste_Report_Here!$A$1,0,$A1791,2000,1),H$75)</f>
        <v>25</v>
      </c>
      <c r="I1791" s="180">
        <f ca="1">COUNTIFS(Paste_Report_Here!$E$1:$E$2000,E1770, OFFSET(Paste_Report_Here!$A$1,0,$A1791,2000,1),I$75)</f>
        <v>9</v>
      </c>
      <c r="J1791" s="180">
        <f ca="1">COUNTIFS(Paste_Report_Here!$E$1:$E$2000,E1770, OFFSET(Paste_Report_Here!$A$1,0,$A1791,2000,1),J$75)</f>
        <v>0</v>
      </c>
      <c r="K1791" s="181">
        <f ca="1">COUNTIFS(Paste_Report_Here!$E$1:$E$2000,E1770, OFFSET(Paste_Report_Here!$A$1,0,$A1791,2000,1),K$75)</f>
        <v>0</v>
      </c>
      <c r="L1791" s="166">
        <f t="shared" ca="1" si="266"/>
        <v>36</v>
      </c>
      <c r="M1791" s="183">
        <f ca="1">SUMPRODUCT(F1791:K1791,F1774:K1774)/L:L</f>
        <v>-5.5555555555555558E-3</v>
      </c>
      <c r="N1791" s="166">
        <f t="shared" ca="1" si="267"/>
        <v>0.99445984800489673</v>
      </c>
      <c r="O1791" s="247">
        <f t="shared" ca="1" si="269"/>
        <v>1803.8663048824628</v>
      </c>
      <c r="P1791" s="247">
        <f t="shared" ca="1" si="268"/>
        <v>1793.8726113745686</v>
      </c>
    </row>
    <row r="1792" spans="1:16" s="247" customFormat="1" x14ac:dyDescent="0.3">
      <c r="A1792" s="247">
        <f>MATCH(Calcs!B1792,Paste_Report_Here!$1:$1,0) -1</f>
        <v>21</v>
      </c>
      <c r="B1792" s="247" t="s">
        <v>139</v>
      </c>
      <c r="C1792" s="166">
        <f ca="1">RANK(N1792,N1776:N1800)</f>
        <v>19</v>
      </c>
      <c r="D1792" s="166">
        <f ca="1">RANK(P1792,P1776:P1800)</f>
        <v>18</v>
      </c>
      <c r="E1792" s="189" t="s">
        <v>168</v>
      </c>
      <c r="F1792" s="179">
        <f ca="1">COUNTIFS(Paste_Report_Here!$E$1:$E$2000,E1770, OFFSET(Paste_Report_Here!$A$1,0,$A1792,2000,1),F$75)</f>
        <v>1</v>
      </c>
      <c r="G1792" s="180">
        <f ca="1">COUNTIFS(Paste_Report_Here!$E$1:$E$2000,E1770, OFFSET(Paste_Report_Here!$A$1,0,$A1792,2000,1),G$75)</f>
        <v>3</v>
      </c>
      <c r="H1792" s="180">
        <f ca="1">COUNTIFS(Paste_Report_Here!$E$1:$E$2000,E1770, OFFSET(Paste_Report_Here!$A$1,0,$A1792,2000,1),H$75)</f>
        <v>26</v>
      </c>
      <c r="I1792" s="180">
        <f ca="1">COUNTIFS(Paste_Report_Here!$E$1:$E$2000,E1770, OFFSET(Paste_Report_Here!$A$1,0,$A1792,2000,1),I$75)</f>
        <v>6</v>
      </c>
      <c r="J1792" s="180">
        <f ca="1">COUNTIFS(Paste_Report_Here!$E$1:$E$2000,E1770, OFFSET(Paste_Report_Here!$A$1,0,$A1792,2000,1),J$75)</f>
        <v>0</v>
      </c>
      <c r="K1792" s="181">
        <f ca="1">COUNTIFS(Paste_Report_Here!$E$1:$E$2000,E1770, OFFSET(Paste_Report_Here!$A$1,0,$A1792,2000,1),K$75)</f>
        <v>0</v>
      </c>
      <c r="L1792" s="166">
        <f t="shared" ca="1" si="266"/>
        <v>36</v>
      </c>
      <c r="M1792" s="183">
        <f ca="1">SUMPRODUCT(F1792:K1792,F1774:K1774)/L:L</f>
        <v>-5.5555555555555558E-3</v>
      </c>
      <c r="N1792" s="166">
        <f t="shared" ca="1" si="267"/>
        <v>0.99445984800489673</v>
      </c>
      <c r="O1792" s="247">
        <f t="shared" ca="1" si="269"/>
        <v>1965.4493555106428</v>
      </c>
      <c r="P1792" s="247">
        <f t="shared" ca="1" si="268"/>
        <v>1954.5604673424361</v>
      </c>
    </row>
    <row r="1793" spans="1:16" s="247" customFormat="1" x14ac:dyDescent="0.3">
      <c r="A1793" s="247">
        <f>MATCH(Calcs!B1793,Paste_Report_Here!$1:$1,0) -1</f>
        <v>22</v>
      </c>
      <c r="B1793" s="247" t="s">
        <v>140</v>
      </c>
      <c r="C1793" s="166">
        <f ca="1">RANK(N1793,N1776:N1800)</f>
        <v>4</v>
      </c>
      <c r="D1793" s="166">
        <f ca="1">RANK(P1793,P1776:P1800)</f>
        <v>13</v>
      </c>
      <c r="E1793" s="189" t="s">
        <v>169</v>
      </c>
      <c r="F1793" s="179">
        <f ca="1">COUNTIFS(Paste_Report_Here!$E$1:$E$2000,E1770, OFFSET(Paste_Report_Here!$A$1,0,$A1793,2000,1),F$75)</f>
        <v>0</v>
      </c>
      <c r="G1793" s="180">
        <f ca="1">COUNTIFS(Paste_Report_Here!$E$1:$E$2000,E1770, OFFSET(Paste_Report_Here!$A$1,0,$A1793,2000,1),G$75)</f>
        <v>2</v>
      </c>
      <c r="H1793" s="180">
        <f ca="1">COUNTIFS(Paste_Report_Here!$E$1:$E$2000,E1770, OFFSET(Paste_Report_Here!$A$1,0,$A1793,2000,1),H$75)</f>
        <v>25</v>
      </c>
      <c r="I1793" s="180">
        <f ca="1">COUNTIFS(Paste_Report_Here!$E$1:$E$2000,E1770, OFFSET(Paste_Report_Here!$A$1,0,$A1793,2000,1),I$75)</f>
        <v>7</v>
      </c>
      <c r="J1793" s="180">
        <f ca="1">COUNTIFS(Paste_Report_Here!$E$1:$E$2000,E1770, OFFSET(Paste_Report_Here!$A$1,0,$A1793,2000,1),J$75)</f>
        <v>2</v>
      </c>
      <c r="K1793" s="181">
        <f ca="1">COUNTIFS(Paste_Report_Here!$E$1:$E$2000,E1770, OFFSET(Paste_Report_Here!$A$1,0,$A1793,2000,1),K$75)</f>
        <v>0</v>
      </c>
      <c r="L1793" s="166">
        <f t="shared" ca="1" si="266"/>
        <v>36</v>
      </c>
      <c r="M1793" s="183">
        <f ca="1">SUMPRODUCT(F1793:K1793,F1774:K1774)/L:L</f>
        <v>1.1111111111111112E-2</v>
      </c>
      <c r="N1793" s="166">
        <f t="shared" ca="1" si="267"/>
        <v>1.0111730687663378</v>
      </c>
      <c r="O1793" s="247">
        <f t="shared" ca="1" si="269"/>
        <v>2222.1270508397588</v>
      </c>
      <c r="P1793" s="247">
        <f t="shared" ca="1" si="268"/>
        <v>2246.9550291863311</v>
      </c>
    </row>
    <row r="1794" spans="1:16" s="247" customFormat="1" x14ac:dyDescent="0.3">
      <c r="A1794" s="247">
        <f>MATCH(Calcs!B1794,Paste_Report_Here!$1:$1,0) -1</f>
        <v>23</v>
      </c>
      <c r="B1794" s="247" t="s">
        <v>186</v>
      </c>
      <c r="C1794" s="166">
        <f ca="1">RANK(N1794,N1776:N1800)</f>
        <v>1</v>
      </c>
      <c r="D1794" s="166">
        <f ca="1">RANK(P1794,P1776:P1800)</f>
        <v>3</v>
      </c>
      <c r="E1794" s="189" t="s">
        <v>180</v>
      </c>
      <c r="F1794" s="179">
        <f ca="1">COUNTIFS(Paste_Report_Here!$E$1:$E$2000,E1770, OFFSET(Paste_Report_Here!$A$1,0,$A1794,2000,1),F$75)</f>
        <v>0</v>
      </c>
      <c r="G1794" s="180">
        <f ca="1">COUNTIFS(Paste_Report_Here!$E$1:$E$2000,E1770, OFFSET(Paste_Report_Here!$A$1,0,$A1794,2000,1),G$75)</f>
        <v>0</v>
      </c>
      <c r="H1794" s="180">
        <f ca="1">COUNTIFS(Paste_Report_Here!$E$1:$E$2000,E1770, OFFSET(Paste_Report_Here!$A$1,0,$A1794,2000,1),H$75)</f>
        <v>26</v>
      </c>
      <c r="I1794" s="180">
        <f ca="1">COUNTIFS(Paste_Report_Here!$E$1:$E$2000,E1770, OFFSET(Paste_Report_Here!$A$1,0,$A1794,2000,1),I$75)</f>
        <v>6</v>
      </c>
      <c r="J1794" s="180">
        <f ca="1">COUNTIFS(Paste_Report_Here!$E$1:$E$2000,E1770, OFFSET(Paste_Report_Here!$A$1,0,$A1794,2000,1),J$75)</f>
        <v>4</v>
      </c>
      <c r="K1794" s="181">
        <f ca="1">COUNTIFS(Paste_Report_Here!$E$1:$E$2000,E1770, OFFSET(Paste_Report_Here!$A$1,0,$A1794,2000,1),K$75)</f>
        <v>0</v>
      </c>
      <c r="L1794" s="166">
        <f t="shared" ca="1" si="266"/>
        <v>36</v>
      </c>
      <c r="M1794" s="183">
        <f ca="1">SUMPRODUCT(F1794:K1794,F1774:K1774)/L:L</f>
        <v>2.2222222222222223E-2</v>
      </c>
      <c r="N1794" s="166">
        <f t="shared" ca="1" si="267"/>
        <v>1.0224709749983332</v>
      </c>
      <c r="O1794" s="247">
        <f t="shared" ca="1" si="269"/>
        <v>4468.2841615445604</v>
      </c>
      <c r="P1794" s="247">
        <f t="shared" ca="1" si="268"/>
        <v>4568.6908632240766</v>
      </c>
    </row>
    <row r="1795" spans="1:16" s="247" customFormat="1" x14ac:dyDescent="0.3">
      <c r="A1795" s="247">
        <f>MATCH(Calcs!B1795,Paste_Report_Here!$1:$1,0) -1</f>
        <v>24</v>
      </c>
      <c r="B1795" s="247" t="s">
        <v>209</v>
      </c>
      <c r="C1795" s="166">
        <f ca="1">RANK(N1795,N1776:N1800)</f>
        <v>8</v>
      </c>
      <c r="D1795" s="166">
        <f ca="1">RANK(P1795,P1776:P1800)</f>
        <v>23</v>
      </c>
      <c r="E1795" s="202" t="s">
        <v>211</v>
      </c>
      <c r="F1795" s="179">
        <f ca="1">COUNTIFS(Paste_Report_Here!$E$1:$E$2000,E1770, OFFSET(Paste_Report_Here!$A$1,0,$A1795,2000,1),F$75)</f>
        <v>0</v>
      </c>
      <c r="G1795" s="180">
        <f ca="1">COUNTIFS(Paste_Report_Here!$E$1:$E$2000,E1770, OFFSET(Paste_Report_Here!$A$1,0,$A1795,2000,1),G$75)</f>
        <v>4</v>
      </c>
      <c r="H1795" s="180">
        <f ca="1">COUNTIFS(Paste_Report_Here!$E$1:$E$2000,E1770, OFFSET(Paste_Report_Here!$A$1,0,$A1795,2000,1),H$75)</f>
        <v>28</v>
      </c>
      <c r="I1795" s="180">
        <f ca="1">COUNTIFS(Paste_Report_Here!$E$1:$E$2000,E1770, OFFSET(Paste_Report_Here!$A$1,0,$A1795,2000,1),I$75)</f>
        <v>3</v>
      </c>
      <c r="J1795" s="180">
        <f ca="1">COUNTIFS(Paste_Report_Here!$E$1:$E$2000,E1770, OFFSET(Paste_Report_Here!$A$1,0,$A1795,2000,1),J$75)</f>
        <v>1</v>
      </c>
      <c r="K1795" s="181">
        <f ca="1">COUNTIFS(Paste_Report_Here!$E$1:$E$2000,E1770, OFFSET(Paste_Report_Here!$A$1,0,$A1795,2000,1),K$75)</f>
        <v>0</v>
      </c>
      <c r="L1795" s="166">
        <f t="shared" ca="1" si="266"/>
        <v>36</v>
      </c>
      <c r="M1795" s="183">
        <f ca="1">SUMPRODUCT(F1795:K1795,F1774:K1774)/L:L</f>
        <v>5.5555555555555558E-3</v>
      </c>
      <c r="N1795" s="166">
        <f t="shared" ca="1" si="267"/>
        <v>1.0055710162720175</v>
      </c>
      <c r="O1795" s="247">
        <f t="shared" ca="1" si="269"/>
        <v>1221.7368828251685</v>
      </c>
      <c r="P1795" s="247">
        <f t="shared" ca="1" si="268"/>
        <v>1228.5431988795115</v>
      </c>
    </row>
    <row r="1796" spans="1:16" s="247" customFormat="1" x14ac:dyDescent="0.3">
      <c r="A1796" s="247">
        <f>MATCH(Calcs!B1796,Paste_Report_Here!$1:$1,0) -1</f>
        <v>25</v>
      </c>
      <c r="B1796" s="247" t="s">
        <v>141</v>
      </c>
      <c r="C1796" s="166">
        <f ca="1">RANK(N1796,N1776:N1800)</f>
        <v>19</v>
      </c>
      <c r="D1796" s="166">
        <f ca="1">RANK(P1796,P1776:P1800)</f>
        <v>22</v>
      </c>
      <c r="E1796" s="189" t="s">
        <v>170</v>
      </c>
      <c r="F1796" s="179">
        <f ca="1">COUNTIFS(Paste_Report_Here!$E$1:$E$2000,E1770, OFFSET(Paste_Report_Here!$A$1,0,$A1796,2000,1),F$75)</f>
        <v>1</v>
      </c>
      <c r="G1796" s="180">
        <f ca="1">COUNTIFS(Paste_Report_Here!$E$1:$E$2000,E1770, OFFSET(Paste_Report_Here!$A$1,0,$A1796,2000,1),G$75)</f>
        <v>3</v>
      </c>
      <c r="H1796" s="180">
        <f ca="1">COUNTIFS(Paste_Report_Here!$E$1:$E$2000,E1770, OFFSET(Paste_Report_Here!$A$1,0,$A1796,2000,1),H$75)</f>
        <v>27</v>
      </c>
      <c r="I1796" s="180">
        <f ca="1">COUNTIFS(Paste_Report_Here!$E$1:$E$2000,E1770, OFFSET(Paste_Report_Here!$A$1,0,$A1796,2000,1),I$75)</f>
        <v>5</v>
      </c>
      <c r="J1796" s="180">
        <f ca="1">COUNTIFS(Paste_Report_Here!$E$1:$E$2000,E1770, OFFSET(Paste_Report_Here!$A$1,0,$A1796,2000,1),J$75)</f>
        <v>0</v>
      </c>
      <c r="K1796" s="181">
        <f ca="1">COUNTIFS(Paste_Report_Here!$E$1:$E$2000,E1770, OFFSET(Paste_Report_Here!$A$1,0,$A1796,2000,1),K$75)</f>
        <v>0</v>
      </c>
      <c r="L1796" s="166">
        <f t="shared" ca="1" si="266"/>
        <v>36</v>
      </c>
      <c r="M1796" s="183">
        <f ca="1">SUMPRODUCT(F1796:K1796,F1774:K1774)/L:L</f>
        <v>-5.5555555555555558E-3</v>
      </c>
      <c r="N1796" s="166">
        <f t="shared" ca="1" si="267"/>
        <v>0.99445984800489673</v>
      </c>
      <c r="O1796" s="247">
        <f t="shared" ca="1" si="269"/>
        <v>1306.9180590042288</v>
      </c>
      <c r="P1796" s="247">
        <f t="shared" ca="1" si="268"/>
        <v>1299.6775343121999</v>
      </c>
    </row>
    <row r="1797" spans="1:16" s="247" customFormat="1" x14ac:dyDescent="0.3">
      <c r="A1797" s="247">
        <f>MATCH(Calcs!B1797,Paste_Report_Here!$1:$1,0) -1</f>
        <v>26</v>
      </c>
      <c r="B1797" s="247" t="s">
        <v>142</v>
      </c>
      <c r="C1797" s="166">
        <f ca="1">RANK(N1797,N1776:N1800)</f>
        <v>11</v>
      </c>
      <c r="D1797" s="166">
        <f ca="1">RANK(P1797,P1776:P1800)</f>
        <v>15</v>
      </c>
      <c r="E1797" s="189" t="s">
        <v>171</v>
      </c>
      <c r="F1797" s="179">
        <f ca="1">COUNTIFS(Paste_Report_Here!$E$1:$E$2000,E1770, OFFSET(Paste_Report_Here!$A$1,0,$A1797,2000,1),F$75)</f>
        <v>0</v>
      </c>
      <c r="G1797" s="180">
        <f ca="1">COUNTIFS(Paste_Report_Here!$E$1:$E$2000,E1770, OFFSET(Paste_Report_Here!$A$1,0,$A1797,2000,1),G$75)</f>
        <v>3</v>
      </c>
      <c r="H1797" s="180">
        <f ca="1">COUNTIFS(Paste_Report_Here!$E$1:$E$2000,E1770, OFFSET(Paste_Report_Here!$A$1,0,$A1797,2000,1),H$75)</f>
        <v>27</v>
      </c>
      <c r="I1797" s="180">
        <f ca="1">COUNTIFS(Paste_Report_Here!$E$1:$E$2000,E1770, OFFSET(Paste_Report_Here!$A$1,0,$A1797,2000,1),I$75)</f>
        <v>6</v>
      </c>
      <c r="J1797" s="180">
        <f ca="1">COUNTIFS(Paste_Report_Here!$E$1:$E$2000,E1770, OFFSET(Paste_Report_Here!$A$1,0,$A1797,2000,1),J$75)</f>
        <v>0</v>
      </c>
      <c r="K1797" s="181">
        <f ca="1">COUNTIFS(Paste_Report_Here!$E$1:$E$2000,E1770, OFFSET(Paste_Report_Here!$A$1,0,$A1797,2000,1),K$75)</f>
        <v>0</v>
      </c>
      <c r="L1797" s="166">
        <f t="shared" ca="1" si="266"/>
        <v>36</v>
      </c>
      <c r="M1797" s="183">
        <f ca="1">SUMPRODUCT(F1797:K1797,F1774:K1774)/L:L</f>
        <v>0</v>
      </c>
      <c r="N1797" s="166">
        <f t="shared" ca="1" si="267"/>
        <v>1</v>
      </c>
      <c r="O1797" s="247">
        <f t="shared" ca="1" si="269"/>
        <v>2229.81415673949</v>
      </c>
      <c r="P1797" s="247">
        <f t="shared" ca="1" si="268"/>
        <v>2229.81415673949</v>
      </c>
    </row>
    <row r="1798" spans="1:16" s="247" customFormat="1" x14ac:dyDescent="0.3">
      <c r="A1798" s="247">
        <f>MATCH(Calcs!B1798,Paste_Report_Here!$1:$1,0) -1</f>
        <v>27</v>
      </c>
      <c r="B1798" s="247" t="s">
        <v>210</v>
      </c>
      <c r="C1798" s="166">
        <f ca="1">RANK(N1798,N1776:N1800)</f>
        <v>11</v>
      </c>
      <c r="D1798" s="166">
        <f ca="1">RANK(P1798,P1776:P1800)</f>
        <v>24</v>
      </c>
      <c r="E1798" s="202" t="s">
        <v>212</v>
      </c>
      <c r="F1798" s="179">
        <f ca="1">COUNTIFS(Paste_Report_Here!$E$1:$E$2000,E1770, OFFSET(Paste_Report_Here!$A$1,0,$A1798,2000,1),F$75)</f>
        <v>0</v>
      </c>
      <c r="G1798" s="180">
        <f ca="1">COUNTIFS(Paste_Report_Here!$E$1:$E$2000,E1770, OFFSET(Paste_Report_Here!$A$1,0,$A1798,2000,1),G$75)</f>
        <v>0</v>
      </c>
      <c r="H1798" s="180">
        <f ca="1">COUNTIFS(Paste_Report_Here!$E$1:$E$2000,E1770, OFFSET(Paste_Report_Here!$A$1,0,$A1798,2000,1),H$75)</f>
        <v>29</v>
      </c>
      <c r="I1798" s="180">
        <f ca="1">COUNTIFS(Paste_Report_Here!$E$1:$E$2000,E1770, OFFSET(Paste_Report_Here!$A$1,0,$A1798,2000,1),I$75)</f>
        <v>7</v>
      </c>
      <c r="J1798" s="180">
        <f ca="1">COUNTIFS(Paste_Report_Here!$E$1:$E$2000,E1770, OFFSET(Paste_Report_Here!$A$1,0,$A1798,2000,1),J$75)</f>
        <v>0</v>
      </c>
      <c r="K1798" s="181">
        <f ca="1">COUNTIFS(Paste_Report_Here!$E$1:$E$2000,E1770, OFFSET(Paste_Report_Here!$A$1,0,$A1798,2000,1),K$75)</f>
        <v>0</v>
      </c>
      <c r="L1798" s="166">
        <f t="shared" ca="1" si="266"/>
        <v>36</v>
      </c>
      <c r="M1798" s="183">
        <f ca="1">SUMPRODUCT(F1798:K1798,F1774:K1774)/L:L</f>
        <v>0</v>
      </c>
      <c r="N1798" s="166">
        <f t="shared" ca="1" si="267"/>
        <v>1</v>
      </c>
      <c r="O1798" s="247">
        <f t="shared" ca="1" si="269"/>
        <v>1152.8560468976777</v>
      </c>
      <c r="P1798" s="247">
        <f t="shared" ca="1" si="268"/>
        <v>1152.8560468976777</v>
      </c>
    </row>
    <row r="1799" spans="1:16" s="247" customFormat="1" x14ac:dyDescent="0.3">
      <c r="A1799" s="247">
        <f>MATCH(Calcs!B1799,Paste_Report_Here!$1:$1,0) -1</f>
        <v>28</v>
      </c>
      <c r="B1799" s="247" t="s">
        <v>143</v>
      </c>
      <c r="C1799" s="166">
        <f ca="1">RANK(N1799,N1776:N1800)</f>
        <v>4</v>
      </c>
      <c r="D1799" s="166">
        <f ca="1">RANK(P1799,P1776:P1800)</f>
        <v>1</v>
      </c>
      <c r="E1799" s="189" t="s">
        <v>172</v>
      </c>
      <c r="F1799" s="179">
        <f ca="1">COUNTIFS(Paste_Report_Here!$E$1:$E$2000,E1770, OFFSET(Paste_Report_Here!$A$1,0,$A1799,2000,1),F$75)</f>
        <v>0</v>
      </c>
      <c r="G1799" s="180">
        <f ca="1">COUNTIFS(Paste_Report_Here!$E$1:$E$2000,E1770, OFFSET(Paste_Report_Here!$A$1,0,$A1799,2000,1),G$75)</f>
        <v>1</v>
      </c>
      <c r="H1799" s="180">
        <f ca="1">COUNTIFS(Paste_Report_Here!$E$1:$E$2000,E1770, OFFSET(Paste_Report_Here!$A$1,0,$A1799,2000,1),H$75)</f>
        <v>30</v>
      </c>
      <c r="I1799" s="180">
        <f ca="1">COUNTIFS(Paste_Report_Here!$E$1:$E$2000,E1770, OFFSET(Paste_Report_Here!$A$1,0,$A1799,2000,1),I$75)</f>
        <v>3</v>
      </c>
      <c r="J1799" s="180">
        <f ca="1">COUNTIFS(Paste_Report_Here!$E$1:$E$2000,E1770, OFFSET(Paste_Report_Here!$A$1,0,$A1799,2000,1),J$75)</f>
        <v>2</v>
      </c>
      <c r="K1799" s="181">
        <f ca="1">COUNTIFS(Paste_Report_Here!$E$1:$E$2000,E1770, OFFSET(Paste_Report_Here!$A$1,0,$A1799,2000,1),K$75)</f>
        <v>0</v>
      </c>
      <c r="L1799" s="166">
        <f t="shared" ca="1" si="266"/>
        <v>36</v>
      </c>
      <c r="M1799" s="183">
        <f ca="1">SUMPRODUCT(F1799:K1799,F1774:K1774)/L:L</f>
        <v>1.1111111111111112E-2</v>
      </c>
      <c r="N1799" s="166">
        <f t="shared" ca="1" si="267"/>
        <v>1.0111730687663378</v>
      </c>
      <c r="O1799" s="247">
        <f t="shared" ca="1" si="269"/>
        <v>10933.996557767427</v>
      </c>
      <c r="P1799" s="247">
        <f t="shared" ca="1" si="268"/>
        <v>11056.162853198262</v>
      </c>
    </row>
    <row r="1800" spans="1:16" s="247" customFormat="1" x14ac:dyDescent="0.3">
      <c r="A1800" s="247">
        <f>MATCH(Calcs!B1800,Paste_Report_Here!$1:$1,0) -1</f>
        <v>29</v>
      </c>
      <c r="B1800" s="187" t="s">
        <v>144</v>
      </c>
      <c r="C1800" s="147">
        <f ca="1">RANK(N1800,N1776:N1800)</f>
        <v>11</v>
      </c>
      <c r="D1800" s="147">
        <f ca="1">RANK(P1800,P1776:P1800)</f>
        <v>11</v>
      </c>
      <c r="E1800" s="145" t="s">
        <v>173</v>
      </c>
      <c r="F1800" s="146">
        <f ca="1">COUNTIFS(Paste_Report_Here!$E$1:$E$2000,E1770, OFFSET(Paste_Report_Here!$A$1,0,$A1800,2000,1),F$75)</f>
        <v>0</v>
      </c>
      <c r="G1800" s="147">
        <f ca="1">COUNTIFS(Paste_Report_Here!$E$1:$E$2000,E1770, OFFSET(Paste_Report_Here!$A$1,0,$A1800,2000,1),G$75)</f>
        <v>0</v>
      </c>
      <c r="H1800" s="147">
        <f ca="1">COUNTIFS(Paste_Report_Here!$E$1:$E$2000,E1770, OFFSET(Paste_Report_Here!$A$1,0,$A1800,2000,1),H$75)</f>
        <v>32</v>
      </c>
      <c r="I1800" s="147">
        <f ca="1">COUNTIFS(Paste_Report_Here!$E$1:$E$2000,E1770, OFFSET(Paste_Report_Here!$A$1,0,$A1800,2000,1),I$75)</f>
        <v>4</v>
      </c>
      <c r="J1800" s="147">
        <f ca="1">COUNTIFS(Paste_Report_Here!$E$1:$E$2000,E1770, OFFSET(Paste_Report_Here!$A$1,0,$A1800,2000,1),J$75)</f>
        <v>0</v>
      </c>
      <c r="K1800" s="148">
        <f ca="1">COUNTIFS(Paste_Report_Here!$E$1:$E$2000,E1770, OFFSET(Paste_Report_Here!$A$1,0,$A1800,2000,1),K$75)</f>
        <v>0</v>
      </c>
      <c r="L1800" s="147">
        <f t="shared" ca="1" si="266"/>
        <v>36</v>
      </c>
      <c r="M1800" s="149">
        <f ca="1">SUMPRODUCT(F1800:K1800,F1774:K1774)/L:L</f>
        <v>0</v>
      </c>
      <c r="N1800" s="147">
        <f t="shared" ca="1" si="267"/>
        <v>1</v>
      </c>
      <c r="O1800" s="187">
        <f t="shared" ca="1" si="269"/>
        <v>2392.2261011950159</v>
      </c>
      <c r="P1800" s="247">
        <f t="shared" ca="1" si="268"/>
        <v>2392.2261011950159</v>
      </c>
    </row>
    <row r="1801" spans="1:16" s="247" customFormat="1" x14ac:dyDescent="0.3">
      <c r="C1801" s="166"/>
      <c r="E1801" s="140" t="s">
        <v>293</v>
      </c>
      <c r="F1801" s="180">
        <f ca="1">SUM(F1776:F1800)</f>
        <v>10</v>
      </c>
      <c r="G1801" s="180">
        <f t="shared" ref="G1801:L1801" ca="1" si="270">SUM(G1776:G1800)</f>
        <v>36</v>
      </c>
      <c r="H1801" s="180">
        <f t="shared" ca="1" si="270"/>
        <v>686</v>
      </c>
      <c r="I1801" s="180">
        <f t="shared" ca="1" si="270"/>
        <v>146</v>
      </c>
      <c r="J1801" s="180">
        <f t="shared" ca="1" si="270"/>
        <v>22</v>
      </c>
      <c r="K1801" s="180">
        <f t="shared" ca="1" si="270"/>
        <v>0</v>
      </c>
      <c r="L1801" s="180">
        <f t="shared" ca="1" si="270"/>
        <v>900</v>
      </c>
      <c r="M1801" s="144">
        <f ca="1">SUMPRODUCT(F1801:K1801,F1774:K1774)/L1801</f>
        <v>2.666666666666667E-3</v>
      </c>
      <c r="N1801" s="166">
        <f t="shared" ca="1" si="267"/>
        <v>1.0026702253848241</v>
      </c>
      <c r="O1801" s="247">
        <f t="shared" ca="1" si="269"/>
        <v>2759.9409358604985</v>
      </c>
      <c r="P1801" s="247">
        <f t="shared" ca="1" si="268"/>
        <v>2767.3106002080485</v>
      </c>
    </row>
    <row r="1802" spans="1:16" s="247" customFormat="1" x14ac:dyDescent="0.3">
      <c r="A1802" s="194"/>
      <c r="B1802" s="194"/>
      <c r="C1802" s="153"/>
      <c r="D1802" s="194"/>
      <c r="E1802" s="164"/>
      <c r="F1802" s="151"/>
      <c r="G1802" s="151"/>
      <c r="H1802" s="151"/>
      <c r="I1802" s="151"/>
      <c r="J1802" s="151"/>
      <c r="K1802" s="151"/>
      <c r="L1802" s="151"/>
      <c r="M1802" s="162"/>
      <c r="N1802" s="153"/>
      <c r="O1802" s="194"/>
      <c r="P1802" s="194"/>
    </row>
    <row r="1803" spans="1:16" s="247" customFormat="1" x14ac:dyDescent="0.3">
      <c r="E1803" s="173" t="s">
        <v>292</v>
      </c>
    </row>
    <row r="1804" spans="1:16" s="247" customFormat="1" x14ac:dyDescent="0.3">
      <c r="E1804" s="141">
        <v>42154</v>
      </c>
    </row>
    <row r="1805" spans="1:16" s="247" customFormat="1" ht="15" thickBot="1" x14ac:dyDescent="0.35"/>
    <row r="1806" spans="1:16" s="247" customFormat="1" ht="24.6" thickBot="1" x14ac:dyDescent="0.35">
      <c r="F1806" s="174" t="s">
        <v>23</v>
      </c>
      <c r="G1806" s="168" t="s">
        <v>18</v>
      </c>
      <c r="H1806" s="168" t="s">
        <v>16</v>
      </c>
      <c r="I1806" s="168" t="s">
        <v>17</v>
      </c>
      <c r="J1806" s="168" t="s">
        <v>19</v>
      </c>
      <c r="K1806" s="169" t="s">
        <v>114</v>
      </c>
    </row>
    <row r="1807" spans="1:16" s="247" customFormat="1" x14ac:dyDescent="0.3">
      <c r="F1807" s="267" t="s">
        <v>201</v>
      </c>
      <c r="G1807" s="268"/>
      <c r="H1807" s="268"/>
      <c r="I1807" s="268"/>
      <c r="J1807" s="268"/>
      <c r="K1807" s="169"/>
      <c r="M1807" s="203">
        <f ca="1">(H1835+K1835)/L1835</f>
        <v>0.79076923076923078</v>
      </c>
      <c r="N1807" s="204" t="s">
        <v>501</v>
      </c>
    </row>
    <row r="1808" spans="1:16" s="247" customFormat="1" ht="43.8" thickBot="1" x14ac:dyDescent="0.35">
      <c r="A1808" s="142" t="s">
        <v>294</v>
      </c>
      <c r="B1808" s="142" t="s">
        <v>295</v>
      </c>
      <c r="C1808" s="197" t="s">
        <v>440</v>
      </c>
      <c r="D1808" s="142" t="s">
        <v>441</v>
      </c>
      <c r="E1808" s="171" t="s">
        <v>30</v>
      </c>
      <c r="F1808" s="175">
        <f>Falling_fast</f>
        <v>-0.2</v>
      </c>
      <c r="G1808" s="176">
        <f>Falling</f>
        <v>0</v>
      </c>
      <c r="H1808" s="177">
        <f>Static</f>
        <v>0</v>
      </c>
      <c r="I1808" s="176">
        <f>Rising</f>
        <v>0</v>
      </c>
      <c r="J1808" s="178">
        <f>Rising_fast</f>
        <v>0.2</v>
      </c>
      <c r="K1808" s="182">
        <v>0</v>
      </c>
      <c r="L1808" s="171" t="s">
        <v>28</v>
      </c>
      <c r="M1808" s="172" t="s">
        <v>29</v>
      </c>
      <c r="N1808" s="143" t="s">
        <v>296</v>
      </c>
      <c r="O1808" s="142" t="s">
        <v>297</v>
      </c>
      <c r="P1808" s="142" t="s">
        <v>298</v>
      </c>
    </row>
    <row r="1809" spans="1:16" s="247" customFormat="1" x14ac:dyDescent="0.3">
      <c r="C1809" s="166"/>
      <c r="E1809" s="192"/>
      <c r="F1809" s="198" t="s">
        <v>151</v>
      </c>
      <c r="G1809" s="199" t="s">
        <v>149</v>
      </c>
      <c r="H1809" s="199" t="s">
        <v>16</v>
      </c>
      <c r="I1809" s="199" t="s">
        <v>148</v>
      </c>
      <c r="J1809" s="199" t="s">
        <v>150</v>
      </c>
      <c r="K1809" s="200" t="s">
        <v>114</v>
      </c>
      <c r="L1809" s="166"/>
      <c r="M1809" s="170"/>
      <c r="N1809" s="166"/>
    </row>
    <row r="1810" spans="1:16" s="247" customFormat="1" x14ac:dyDescent="0.3">
      <c r="A1810" s="247">
        <f>MATCH(Calcs!B1810,Paste_Report_Here!$1:$1,0) -1</f>
        <v>5</v>
      </c>
      <c r="B1810" s="247" t="s">
        <v>124</v>
      </c>
      <c r="C1810" s="166">
        <f ca="1">RANK(N1810,N1810:N1834)</f>
        <v>1</v>
      </c>
      <c r="D1810" s="166">
        <f ca="1">RANK(P1810,P1810:P1834)</f>
        <v>13</v>
      </c>
      <c r="E1810" s="189" t="s">
        <v>152</v>
      </c>
      <c r="F1810" s="179">
        <f ca="1">COUNTIFS(Paste_Report_Here!$E$1:$E$2000,E1804, OFFSET(Paste_Report_Here!$A$1,0,$A1810,2000,1),F$75)</f>
        <v>0</v>
      </c>
      <c r="G1810" s="180">
        <f ca="1">COUNTIFS(Paste_Report_Here!$E$1:$E$2000,E1804, OFFSET(Paste_Report_Here!$A$1,0,$A1810,2000,1),G$75)</f>
        <v>0</v>
      </c>
      <c r="H1810" s="180">
        <f ca="1">COUNTIFS(Paste_Report_Here!$E$1:$E$2000,E1804, OFFSET(Paste_Report_Here!$A$1,0,$A1810,2000,1),H$75)</f>
        <v>23</v>
      </c>
      <c r="I1810" s="180">
        <f ca="1">COUNTIFS(Paste_Report_Here!$E$1:$E$2000,E1804, OFFSET(Paste_Report_Here!$A$1,0,$A1810,2000,1),I$75)</f>
        <v>2</v>
      </c>
      <c r="J1810" s="180">
        <f ca="1">COUNTIFS(Paste_Report_Here!$E$1:$E$2000,E1804, OFFSET(Paste_Report_Here!$A$1,0,$A1810,2000,1),J$75)</f>
        <v>1</v>
      </c>
      <c r="K1810" s="181">
        <f ca="1">COUNTIFS(Paste_Report_Here!$E$1:$E$2000,E1804, OFFSET(Paste_Report_Here!$A$1,0,$A1810,2000,1),K$75)</f>
        <v>0</v>
      </c>
      <c r="L1810" s="166">
        <f t="shared" ref="L1810:L1834" ca="1" si="271">SUM(F1810:K1810)</f>
        <v>26</v>
      </c>
      <c r="M1810" s="183">
        <f ca="1">SUMPRODUCT(F1810:K1810,F1808:K1808)/L:L</f>
        <v>7.6923076923076927E-3</v>
      </c>
      <c r="N1810" s="166">
        <f t="shared" ref="N1810:N1835" ca="1" si="272">EXP(M1810)</f>
        <v>1.0077219694982582</v>
      </c>
      <c r="O1810" s="247">
        <f ca="1">P1776</f>
        <v>2232.2825559547532</v>
      </c>
      <c r="P1810" s="247">
        <f t="shared" ref="P1810:P1835" ca="1" si="273">O1810*N1810</f>
        <v>2249.5201737633297</v>
      </c>
    </row>
    <row r="1811" spans="1:16" s="247" customFormat="1" x14ac:dyDescent="0.3">
      <c r="A1811" s="247">
        <f>MATCH(Calcs!B1811,Paste_Report_Here!$1:$1,0) -1</f>
        <v>6</v>
      </c>
      <c r="B1811" s="247" t="s">
        <v>125</v>
      </c>
      <c r="C1811" s="166">
        <f ca="1">RANK(N1811,N1810:N1834)</f>
        <v>17</v>
      </c>
      <c r="D1811" s="166">
        <f ca="1">RANK(P1811,P1810:P1834)</f>
        <v>17</v>
      </c>
      <c r="E1811" s="189" t="s">
        <v>153</v>
      </c>
      <c r="F1811" s="179">
        <f ca="1">COUNTIFS(Paste_Report_Here!$E$1:$E$2000,E1804, OFFSET(Paste_Report_Here!$A$1,0,$A1811,2000,1),F$75)</f>
        <v>1</v>
      </c>
      <c r="G1811" s="180">
        <f ca="1">COUNTIFS(Paste_Report_Here!$E$1:$E$2000,E1804, OFFSET(Paste_Report_Here!$A$1,0,$A1811,2000,1),G$75)</f>
        <v>1</v>
      </c>
      <c r="H1811" s="180">
        <f ca="1">COUNTIFS(Paste_Report_Here!$E$1:$E$2000,E1804, OFFSET(Paste_Report_Here!$A$1,0,$A1811,2000,1),H$75)</f>
        <v>22</v>
      </c>
      <c r="I1811" s="180">
        <f ca="1">COUNTIFS(Paste_Report_Here!$E$1:$E$2000,E1804, OFFSET(Paste_Report_Here!$A$1,0,$A1811,2000,1),I$75)</f>
        <v>2</v>
      </c>
      <c r="J1811" s="180">
        <f ca="1">COUNTIFS(Paste_Report_Here!$E$1:$E$2000,E1804, OFFSET(Paste_Report_Here!$A$1,0,$A1811,2000,1),J$75)</f>
        <v>0</v>
      </c>
      <c r="K1811" s="181">
        <f ca="1">COUNTIFS(Paste_Report_Here!$E$1:$E$2000,E1804, OFFSET(Paste_Report_Here!$A$1,0,$A1811,2000,1),K$75)</f>
        <v>0</v>
      </c>
      <c r="L1811" s="166">
        <f t="shared" ca="1" si="271"/>
        <v>26</v>
      </c>
      <c r="M1811" s="183">
        <f ca="1">SUMPRODUCT(F1811:K1811,F1808:K1808)/L:L</f>
        <v>-7.6923076923076927E-3</v>
      </c>
      <c r="N1811" s="166">
        <f t="shared" ca="1" si="272"/>
        <v>0.99233720239114864</v>
      </c>
      <c r="O1811" s="247">
        <f t="shared" ref="O1811:O1835" ca="1" si="274">P1777</f>
        <v>2034.4114225851292</v>
      </c>
      <c r="P1811" s="247">
        <f t="shared" ca="1" si="273"/>
        <v>2018.8221396007241</v>
      </c>
    </row>
    <row r="1812" spans="1:16" s="247" customFormat="1" x14ac:dyDescent="0.3">
      <c r="A1812" s="247">
        <f>MATCH(Calcs!B1812,Paste_Report_Here!$1:$1,0) -1</f>
        <v>7</v>
      </c>
      <c r="B1812" s="247" t="s">
        <v>126</v>
      </c>
      <c r="C1812" s="166">
        <f ca="1">RANK(N1812,N1810:N1834)</f>
        <v>17</v>
      </c>
      <c r="D1812" s="166">
        <f ca="1">RANK(P1812,P1810:P1834)</f>
        <v>8</v>
      </c>
      <c r="E1812" s="189" t="s">
        <v>154</v>
      </c>
      <c r="F1812" s="179">
        <f ca="1">COUNTIFS(Paste_Report_Here!$E$1:$E$2000,E1804, OFFSET(Paste_Report_Here!$A$1,0,$A1812,2000,1),F$75)</f>
        <v>1</v>
      </c>
      <c r="G1812" s="180">
        <f ca="1">COUNTIFS(Paste_Report_Here!$E$1:$E$2000,E1804, OFFSET(Paste_Report_Here!$A$1,0,$A1812,2000,1),G$75)</f>
        <v>1</v>
      </c>
      <c r="H1812" s="180">
        <f ca="1">COUNTIFS(Paste_Report_Here!$E$1:$E$2000,E1804, OFFSET(Paste_Report_Here!$A$1,0,$A1812,2000,1),H$75)</f>
        <v>19</v>
      </c>
      <c r="I1812" s="180">
        <f ca="1">COUNTIFS(Paste_Report_Here!$E$1:$E$2000,E1804, OFFSET(Paste_Report_Here!$A$1,0,$A1812,2000,1),I$75)</f>
        <v>5</v>
      </c>
      <c r="J1812" s="180">
        <f ca="1">COUNTIFS(Paste_Report_Here!$E$1:$E$2000,E1804, OFFSET(Paste_Report_Here!$A$1,0,$A1812,2000,1),J$75)</f>
        <v>0</v>
      </c>
      <c r="K1812" s="181">
        <f ca="1">COUNTIFS(Paste_Report_Here!$E$1:$E$2000,E1804, OFFSET(Paste_Report_Here!$A$1,0,$A1812,2000,1),K$75)</f>
        <v>0</v>
      </c>
      <c r="L1812" s="166">
        <f t="shared" ca="1" si="271"/>
        <v>26</v>
      </c>
      <c r="M1812" s="183">
        <f ca="1">SUMPRODUCT(F1812:K1812,F1808:K1808)/L:L</f>
        <v>-7.6923076923076927E-3</v>
      </c>
      <c r="N1812" s="166">
        <f t="shared" ca="1" si="272"/>
        <v>0.99233720239114864</v>
      </c>
      <c r="O1812" s="247">
        <f t="shared" ca="1" si="274"/>
        <v>2571.9315496821864</v>
      </c>
      <c r="P1812" s="247">
        <f t="shared" ca="1" si="273"/>
        <v>2552.2233587531523</v>
      </c>
    </row>
    <row r="1813" spans="1:16" s="247" customFormat="1" x14ac:dyDescent="0.3">
      <c r="A1813" s="247">
        <f>MATCH(Calcs!B1813,Paste_Report_Here!$1:$1,0) -1</f>
        <v>8</v>
      </c>
      <c r="B1813" s="247" t="s">
        <v>127</v>
      </c>
      <c r="C1813" s="166">
        <f ca="1">RANK(N1813,N1810:N1834)</f>
        <v>6</v>
      </c>
      <c r="D1813" s="166">
        <f ca="1">RANK(P1813,P1810:P1834)</f>
        <v>7</v>
      </c>
      <c r="E1813" s="189" t="s">
        <v>155</v>
      </c>
      <c r="F1813" s="179">
        <f ca="1">COUNTIFS(Paste_Report_Here!$E$1:$E$2000,E1804, OFFSET(Paste_Report_Here!$A$1,0,$A1813,2000,1),F$75)</f>
        <v>0</v>
      </c>
      <c r="G1813" s="180">
        <f ca="1">COUNTIFS(Paste_Report_Here!$E$1:$E$2000,E1804, OFFSET(Paste_Report_Here!$A$1,0,$A1813,2000,1),G$75)</f>
        <v>1</v>
      </c>
      <c r="H1813" s="180">
        <f ca="1">COUNTIFS(Paste_Report_Here!$E$1:$E$2000,E1804, OFFSET(Paste_Report_Here!$A$1,0,$A1813,2000,1),H$75)</f>
        <v>16</v>
      </c>
      <c r="I1813" s="180">
        <f ca="1">COUNTIFS(Paste_Report_Here!$E$1:$E$2000,E1804, OFFSET(Paste_Report_Here!$A$1,0,$A1813,2000,1),I$75)</f>
        <v>9</v>
      </c>
      <c r="J1813" s="180">
        <f ca="1">COUNTIFS(Paste_Report_Here!$E$1:$E$2000,E1804, OFFSET(Paste_Report_Here!$A$1,0,$A1813,2000,1),J$75)</f>
        <v>0</v>
      </c>
      <c r="K1813" s="181">
        <f ca="1">COUNTIFS(Paste_Report_Here!$E$1:$E$2000,E1804, OFFSET(Paste_Report_Here!$A$1,0,$A1813,2000,1),K$75)</f>
        <v>0</v>
      </c>
      <c r="L1813" s="166">
        <f t="shared" ca="1" si="271"/>
        <v>26</v>
      </c>
      <c r="M1813" s="183">
        <f ca="1">SUMPRODUCT(F1813:K1813,F1808:K1808)/L:L</f>
        <v>0</v>
      </c>
      <c r="N1813" s="166">
        <f t="shared" ca="1" si="272"/>
        <v>1</v>
      </c>
      <c r="O1813" s="247">
        <f t="shared" ca="1" si="274"/>
        <v>3007.0951387361301</v>
      </c>
      <c r="P1813" s="247">
        <f t="shared" ca="1" si="273"/>
        <v>3007.0951387361301</v>
      </c>
    </row>
    <row r="1814" spans="1:16" s="247" customFormat="1" x14ac:dyDescent="0.3">
      <c r="A1814" s="247">
        <f>MATCH(Calcs!B1814,Paste_Report_Here!$1:$1,0) -1</f>
        <v>9</v>
      </c>
      <c r="B1814" s="247" t="s">
        <v>214</v>
      </c>
      <c r="C1814" s="166">
        <f ca="1">RANK(N1814,N1810:N1834)</f>
        <v>6</v>
      </c>
      <c r="D1814" s="166">
        <f ca="1">RANK(P1814,P1810:P1834)</f>
        <v>5</v>
      </c>
      <c r="E1814" s="189" t="s">
        <v>156</v>
      </c>
      <c r="F1814" s="179">
        <f ca="1">COUNTIFS(Paste_Report_Here!$E$1:$E$2000,E1804, OFFSET(Paste_Report_Here!$A$1,0,$A1814,2000,1),F$75)</f>
        <v>0</v>
      </c>
      <c r="G1814" s="180">
        <f ca="1">COUNTIFS(Paste_Report_Here!$E$1:$E$2000,E1804, OFFSET(Paste_Report_Here!$A$1,0,$A1814,2000,1),G$75)</f>
        <v>1</v>
      </c>
      <c r="H1814" s="180">
        <f ca="1">COUNTIFS(Paste_Report_Here!$E$1:$E$2000,E1804, OFFSET(Paste_Report_Here!$A$1,0,$A1814,2000,1),H$75)</f>
        <v>20</v>
      </c>
      <c r="I1814" s="180">
        <f ca="1">COUNTIFS(Paste_Report_Here!$E$1:$E$2000,E1804, OFFSET(Paste_Report_Here!$A$1,0,$A1814,2000,1),I$75)</f>
        <v>5</v>
      </c>
      <c r="J1814" s="180">
        <f ca="1">COUNTIFS(Paste_Report_Here!$E$1:$E$2000,E1804, OFFSET(Paste_Report_Here!$A$1,0,$A1814,2000,1),J$75)</f>
        <v>0</v>
      </c>
      <c r="K1814" s="181">
        <f ca="1">COUNTIFS(Paste_Report_Here!$E$1:$E$2000,E1804, OFFSET(Paste_Report_Here!$A$1,0,$A1814,2000,1),K$75)</f>
        <v>0</v>
      </c>
      <c r="L1814" s="166">
        <f t="shared" ca="1" si="271"/>
        <v>26</v>
      </c>
      <c r="M1814" s="183">
        <f ca="1">SUMPRODUCT(F1814:K1814,F1808:K1808)/L:L</f>
        <v>0</v>
      </c>
      <c r="N1814" s="166">
        <f t="shared" ca="1" si="272"/>
        <v>1</v>
      </c>
      <c r="O1814" s="247">
        <f t="shared" ca="1" si="274"/>
        <v>4194.8160883914434</v>
      </c>
      <c r="P1814" s="247">
        <f t="shared" ca="1" si="273"/>
        <v>4194.8160883914434</v>
      </c>
    </row>
    <row r="1815" spans="1:16" s="247" customFormat="1" x14ac:dyDescent="0.3">
      <c r="A1815" s="247">
        <f>MATCH(Calcs!B1815,Paste_Report_Here!$1:$1,0) -1</f>
        <v>10</v>
      </c>
      <c r="B1815" s="247" t="s">
        <v>128</v>
      </c>
      <c r="C1815" s="166">
        <f ca="1">RANK(N1815,N1810:N1834)</f>
        <v>17</v>
      </c>
      <c r="D1815" s="166">
        <f ca="1">RANK(P1815,P1810:P1834)</f>
        <v>21</v>
      </c>
      <c r="E1815" s="189" t="s">
        <v>157</v>
      </c>
      <c r="F1815" s="179">
        <f ca="1">COUNTIFS(Paste_Report_Here!$E$1:$E$2000,E1804, OFFSET(Paste_Report_Here!$A$1,0,$A1815,2000,1),F$75)</f>
        <v>1</v>
      </c>
      <c r="G1815" s="180">
        <f ca="1">COUNTIFS(Paste_Report_Here!$E$1:$E$2000,E1804, OFFSET(Paste_Report_Here!$A$1,0,$A1815,2000,1),G$75)</f>
        <v>3</v>
      </c>
      <c r="H1815" s="180">
        <f ca="1">COUNTIFS(Paste_Report_Here!$E$1:$E$2000,E1804, OFFSET(Paste_Report_Here!$A$1,0,$A1815,2000,1),H$75)</f>
        <v>19</v>
      </c>
      <c r="I1815" s="180">
        <f ca="1">COUNTIFS(Paste_Report_Here!$E$1:$E$2000,E1804, OFFSET(Paste_Report_Here!$A$1,0,$A1815,2000,1),I$75)</f>
        <v>3</v>
      </c>
      <c r="J1815" s="180">
        <f ca="1">COUNTIFS(Paste_Report_Here!$E$1:$E$2000,E1804, OFFSET(Paste_Report_Here!$A$1,0,$A1815,2000,1),J$75)</f>
        <v>0</v>
      </c>
      <c r="K1815" s="181">
        <f ca="1">COUNTIFS(Paste_Report_Here!$E$1:$E$2000,E1804, OFFSET(Paste_Report_Here!$A$1,0,$A1815,2000,1),K$75)</f>
        <v>0</v>
      </c>
      <c r="L1815" s="166">
        <f t="shared" ca="1" si="271"/>
        <v>26</v>
      </c>
      <c r="M1815" s="183">
        <f ca="1">SUMPRODUCT(F1815:K1815,F1808:K1808)/L:L</f>
        <v>-7.6923076923076927E-3</v>
      </c>
      <c r="N1815" s="166">
        <f t="shared" ca="1" si="272"/>
        <v>0.99233720239114864</v>
      </c>
      <c r="O1815" s="247">
        <f t="shared" ca="1" si="274"/>
        <v>1479.3021375868316</v>
      </c>
      <c r="P1815" s="247">
        <f t="shared" ca="1" si="273"/>
        <v>1467.9665447041625</v>
      </c>
    </row>
    <row r="1816" spans="1:16" s="247" customFormat="1" x14ac:dyDescent="0.3">
      <c r="A1816" s="247">
        <f>MATCH(Calcs!B1816,Paste_Report_Here!$1:$1,0) -1</f>
        <v>11</v>
      </c>
      <c r="B1816" s="247" t="s">
        <v>129</v>
      </c>
      <c r="C1816" s="166">
        <f ca="1">RANK(N1816,N1810:N1834)</f>
        <v>17</v>
      </c>
      <c r="D1816" s="166">
        <f ca="1">RANK(P1816,P1810:P1834)</f>
        <v>10</v>
      </c>
      <c r="E1816" s="189" t="s">
        <v>158</v>
      </c>
      <c r="F1816" s="179">
        <f ca="1">COUNTIFS(Paste_Report_Here!$E$1:$E$2000,E1804, OFFSET(Paste_Report_Here!$A$1,0,$A1816,2000,1),F$75)</f>
        <v>1</v>
      </c>
      <c r="G1816" s="180">
        <f ca="1">COUNTIFS(Paste_Report_Here!$E$1:$E$2000,E1804, OFFSET(Paste_Report_Here!$A$1,0,$A1816,2000,1),G$75)</f>
        <v>3</v>
      </c>
      <c r="H1816" s="180">
        <f ca="1">COUNTIFS(Paste_Report_Here!$E$1:$E$2000,E1804, OFFSET(Paste_Report_Here!$A$1,0,$A1816,2000,1),H$75)</f>
        <v>22</v>
      </c>
      <c r="I1816" s="180">
        <f ca="1">COUNTIFS(Paste_Report_Here!$E$1:$E$2000,E1804, OFFSET(Paste_Report_Here!$A$1,0,$A1816,2000,1),I$75)</f>
        <v>0</v>
      </c>
      <c r="J1816" s="180">
        <f ca="1">COUNTIFS(Paste_Report_Here!$E$1:$E$2000,E1804, OFFSET(Paste_Report_Here!$A$1,0,$A1816,2000,1),J$75)</f>
        <v>0</v>
      </c>
      <c r="K1816" s="181">
        <f ca="1">COUNTIFS(Paste_Report_Here!$E$1:$E$2000,E1804, OFFSET(Paste_Report_Here!$A$1,0,$A1816,2000,1),K$75)</f>
        <v>0</v>
      </c>
      <c r="L1816" s="166">
        <f t="shared" ca="1" si="271"/>
        <v>26</v>
      </c>
      <c r="M1816" s="183">
        <f ca="1">SUMPRODUCT(F1816:K1816,F1808:K1808)/L:L</f>
        <v>-7.6923076923076927E-3</v>
      </c>
      <c r="N1816" s="166">
        <f t="shared" ca="1" si="272"/>
        <v>0.99233720239114864</v>
      </c>
      <c r="O1816" s="247">
        <f t="shared" ca="1" si="274"/>
        <v>2419.6323186279319</v>
      </c>
      <c r="P1816" s="247">
        <f t="shared" ca="1" si="273"/>
        <v>2401.0911658824502</v>
      </c>
    </row>
    <row r="1817" spans="1:16" s="247" customFormat="1" x14ac:dyDescent="0.3">
      <c r="A1817" s="247">
        <f>MATCH(Calcs!B1817,Paste_Report_Here!$1:$1,0) -1</f>
        <v>12</v>
      </c>
      <c r="B1817" s="247" t="s">
        <v>130</v>
      </c>
      <c r="C1817" s="166">
        <f ca="1">RANK(N1817,N1810:N1834)</f>
        <v>1</v>
      </c>
      <c r="D1817" s="166">
        <f ca="1">RANK(P1817,P1810:P1834)</f>
        <v>9</v>
      </c>
      <c r="E1817" s="189" t="s">
        <v>159</v>
      </c>
      <c r="F1817" s="179">
        <f ca="1">COUNTIFS(Paste_Report_Here!$E$1:$E$2000,E1804, OFFSET(Paste_Report_Here!$A$1,0,$A1817,2000,1),F$75)</f>
        <v>1</v>
      </c>
      <c r="G1817" s="180">
        <f ca="1">COUNTIFS(Paste_Report_Here!$E$1:$E$2000,E1804, OFFSET(Paste_Report_Here!$A$1,0,$A1817,2000,1),G$75)</f>
        <v>0</v>
      </c>
      <c r="H1817" s="180">
        <f ca="1">COUNTIFS(Paste_Report_Here!$E$1:$E$2000,E1804, OFFSET(Paste_Report_Here!$A$1,0,$A1817,2000,1),H$75)</f>
        <v>18</v>
      </c>
      <c r="I1817" s="180">
        <f ca="1">COUNTIFS(Paste_Report_Here!$E$1:$E$2000,E1804, OFFSET(Paste_Report_Here!$A$1,0,$A1817,2000,1),I$75)</f>
        <v>5</v>
      </c>
      <c r="J1817" s="180">
        <f ca="1">COUNTIFS(Paste_Report_Here!$E$1:$E$2000,E1804, OFFSET(Paste_Report_Here!$A$1,0,$A1817,2000,1),J$75)</f>
        <v>2</v>
      </c>
      <c r="K1817" s="181">
        <f ca="1">COUNTIFS(Paste_Report_Here!$E$1:$E$2000,E1804, OFFSET(Paste_Report_Here!$A$1,0,$A1817,2000,1),K$75)</f>
        <v>0</v>
      </c>
      <c r="L1817" s="166">
        <f t="shared" ca="1" si="271"/>
        <v>26</v>
      </c>
      <c r="M1817" s="183">
        <f ca="1">SUMPRODUCT(F1817:K1817,F1808:K1808)/L:L</f>
        <v>7.6923076923076927E-3</v>
      </c>
      <c r="N1817" s="166">
        <f t="shared" ca="1" si="272"/>
        <v>1.0077219694982582</v>
      </c>
      <c r="O1817" s="247">
        <f t="shared" ca="1" si="274"/>
        <v>2437.9058787075446</v>
      </c>
      <c r="P1817" s="247">
        <f t="shared" ca="1" si="273"/>
        <v>2456.7313135425488</v>
      </c>
    </row>
    <row r="1818" spans="1:16" s="247" customFormat="1" x14ac:dyDescent="0.3">
      <c r="A1818" s="247">
        <f>MATCH(Calcs!B1818,Paste_Report_Here!$1:$1,0) -1</f>
        <v>13</v>
      </c>
      <c r="B1818" s="247" t="s">
        <v>131</v>
      </c>
      <c r="C1818" s="166">
        <f ca="1">RANK(N1818,N1810:N1834)</f>
        <v>6</v>
      </c>
      <c r="D1818" s="166">
        <f ca="1">RANK(P1818,P1810:P1834)</f>
        <v>2</v>
      </c>
      <c r="E1818" s="189" t="s">
        <v>160</v>
      </c>
      <c r="F1818" s="179">
        <f ca="1">COUNTIFS(Paste_Report_Here!$E$1:$E$2000,E1804, OFFSET(Paste_Report_Here!$A$1,0,$A1818,2000,1),F$75)</f>
        <v>0</v>
      </c>
      <c r="G1818" s="180">
        <f ca="1">COUNTIFS(Paste_Report_Here!$E$1:$E$2000,E1804, OFFSET(Paste_Report_Here!$A$1,0,$A1818,2000,1),G$75)</f>
        <v>1</v>
      </c>
      <c r="H1818" s="180">
        <f ca="1">COUNTIFS(Paste_Report_Here!$E$1:$E$2000,E1804, OFFSET(Paste_Report_Here!$A$1,0,$A1818,2000,1),H$75)</f>
        <v>20</v>
      </c>
      <c r="I1818" s="180">
        <f ca="1">COUNTIFS(Paste_Report_Here!$E$1:$E$2000,E1804, OFFSET(Paste_Report_Here!$A$1,0,$A1818,2000,1),I$75)</f>
        <v>5</v>
      </c>
      <c r="J1818" s="180">
        <f ca="1">COUNTIFS(Paste_Report_Here!$E$1:$E$2000,E1804, OFFSET(Paste_Report_Here!$A$1,0,$A1818,2000,1),J$75)</f>
        <v>0</v>
      </c>
      <c r="K1818" s="181">
        <f ca="1">COUNTIFS(Paste_Report_Here!$E$1:$E$2000,E1804, OFFSET(Paste_Report_Here!$A$1,0,$A1818,2000,1),K$75)</f>
        <v>0</v>
      </c>
      <c r="L1818" s="166">
        <f t="shared" ca="1" si="271"/>
        <v>26</v>
      </c>
      <c r="M1818" s="183">
        <f ca="1">SUMPRODUCT(F1818:K1818,F1808:K1808)/L:L</f>
        <v>0</v>
      </c>
      <c r="N1818" s="166">
        <f t="shared" ca="1" si="272"/>
        <v>1</v>
      </c>
      <c r="O1818" s="247">
        <f t="shared" ca="1" si="274"/>
        <v>5545.3827464086935</v>
      </c>
      <c r="P1818" s="247">
        <f t="shared" ca="1" si="273"/>
        <v>5545.3827464086935</v>
      </c>
    </row>
    <row r="1819" spans="1:16" s="247" customFormat="1" x14ac:dyDescent="0.3">
      <c r="A1819" s="247">
        <f>MATCH(Calcs!B1819,Paste_Report_Here!$1:$1,0) -1</f>
        <v>14</v>
      </c>
      <c r="B1819" s="247" t="s">
        <v>132</v>
      </c>
      <c r="C1819" s="166">
        <f ca="1">RANK(N1819,N1810:N1834)</f>
        <v>6</v>
      </c>
      <c r="D1819" s="166">
        <f ca="1">RANK(P1819,P1810:P1834)</f>
        <v>12</v>
      </c>
      <c r="E1819" s="189" t="s">
        <v>161</v>
      </c>
      <c r="F1819" s="179">
        <f ca="1">COUNTIFS(Paste_Report_Here!$E$1:$E$2000,E1804, OFFSET(Paste_Report_Here!$A$1,0,$A1819,2000,1),F$75)</f>
        <v>0</v>
      </c>
      <c r="G1819" s="180">
        <f ca="1">COUNTIFS(Paste_Report_Here!$E$1:$E$2000,E1804, OFFSET(Paste_Report_Here!$A$1,0,$A1819,2000,1),G$75)</f>
        <v>0</v>
      </c>
      <c r="H1819" s="180">
        <f ca="1">COUNTIFS(Paste_Report_Here!$E$1:$E$2000,E1804, OFFSET(Paste_Report_Here!$A$1,0,$A1819,2000,1),H$75)</f>
        <v>21</v>
      </c>
      <c r="I1819" s="180">
        <f ca="1">COUNTIFS(Paste_Report_Here!$E$1:$E$2000,E1804, OFFSET(Paste_Report_Here!$A$1,0,$A1819,2000,1),I$75)</f>
        <v>5</v>
      </c>
      <c r="J1819" s="180">
        <f ca="1">COUNTIFS(Paste_Report_Here!$E$1:$E$2000,E1804, OFFSET(Paste_Report_Here!$A$1,0,$A1819,2000,1),J$75)</f>
        <v>0</v>
      </c>
      <c r="K1819" s="181">
        <f ca="1">COUNTIFS(Paste_Report_Here!$E$1:$E$2000,E1804, OFFSET(Paste_Report_Here!$A$1,0,$A1819,2000,1),K$75)</f>
        <v>0</v>
      </c>
      <c r="L1819" s="166">
        <f t="shared" ca="1" si="271"/>
        <v>26</v>
      </c>
      <c r="M1819" s="183">
        <f ca="1">SUMPRODUCT(F1819:K1819,F1808:K1808)/L:L</f>
        <v>0</v>
      </c>
      <c r="N1819" s="166">
        <f t="shared" ca="1" si="272"/>
        <v>1</v>
      </c>
      <c r="O1819" s="247">
        <f t="shared" ca="1" si="274"/>
        <v>2330.1916827641116</v>
      </c>
      <c r="P1819" s="247">
        <f t="shared" ca="1" si="273"/>
        <v>2330.1916827641116</v>
      </c>
    </row>
    <row r="1820" spans="1:16" s="247" customFormat="1" x14ac:dyDescent="0.3">
      <c r="A1820" s="247">
        <f>MATCH(Calcs!B1820,Paste_Report_Here!$1:$1,0) -1</f>
        <v>15</v>
      </c>
      <c r="B1820" s="247" t="s">
        <v>133</v>
      </c>
      <c r="C1820" s="166">
        <f ca="1">RANK(N1820,N1810:N1834)</f>
        <v>1</v>
      </c>
      <c r="D1820" s="166">
        <f ca="1">RANK(P1820,P1810:P1834)</f>
        <v>6</v>
      </c>
      <c r="E1820" s="189" t="s">
        <v>162</v>
      </c>
      <c r="F1820" s="179">
        <f ca="1">COUNTIFS(Paste_Report_Here!$E$1:$E$2000,E1804, OFFSET(Paste_Report_Here!$A$1,0,$A1820,2000,1),F$75)</f>
        <v>0</v>
      </c>
      <c r="G1820" s="180">
        <f ca="1">COUNTIFS(Paste_Report_Here!$E$1:$E$2000,E1804, OFFSET(Paste_Report_Here!$A$1,0,$A1820,2000,1),G$75)</f>
        <v>1</v>
      </c>
      <c r="H1820" s="180">
        <f ca="1">COUNTIFS(Paste_Report_Here!$E$1:$E$2000,E1804, OFFSET(Paste_Report_Here!$A$1,0,$A1820,2000,1),H$75)</f>
        <v>18</v>
      </c>
      <c r="I1820" s="180">
        <f ca="1">COUNTIFS(Paste_Report_Here!$E$1:$E$2000,E1804, OFFSET(Paste_Report_Here!$A$1,0,$A1820,2000,1),I$75)</f>
        <v>6</v>
      </c>
      <c r="J1820" s="180">
        <f ca="1">COUNTIFS(Paste_Report_Here!$E$1:$E$2000,E1804, OFFSET(Paste_Report_Here!$A$1,0,$A1820,2000,1),J$75)</f>
        <v>1</v>
      </c>
      <c r="K1820" s="181">
        <f ca="1">COUNTIFS(Paste_Report_Here!$E$1:$E$2000,E1804, OFFSET(Paste_Report_Here!$A$1,0,$A1820,2000,1),K$75)</f>
        <v>0</v>
      </c>
      <c r="L1820" s="166">
        <f t="shared" ca="1" si="271"/>
        <v>26</v>
      </c>
      <c r="M1820" s="183">
        <f ca="1">SUMPRODUCT(F1820:K1820,F1808:K1808)/L:L</f>
        <v>7.6923076923076927E-3</v>
      </c>
      <c r="N1820" s="166">
        <f t="shared" ca="1" si="272"/>
        <v>1.0077219694982582</v>
      </c>
      <c r="O1820" s="247">
        <f t="shared" ca="1" si="274"/>
        <v>3418.3283715186103</v>
      </c>
      <c r="P1820" s="247">
        <f t="shared" ca="1" si="273"/>
        <v>3444.7245989385078</v>
      </c>
    </row>
    <row r="1821" spans="1:16" s="247" customFormat="1" x14ac:dyDescent="0.3">
      <c r="A1821" s="247">
        <f>MATCH(Calcs!B1821,Paste_Report_Here!$1:$1,0) -1</f>
        <v>16</v>
      </c>
      <c r="B1821" s="247" t="s">
        <v>134</v>
      </c>
      <c r="C1821" s="166">
        <f ca="1">RANK(N1821,N1810:N1834)</f>
        <v>6</v>
      </c>
      <c r="D1821" s="166">
        <f ca="1">RANK(P1821,P1810:P1834)</f>
        <v>25</v>
      </c>
      <c r="E1821" s="189" t="s">
        <v>163</v>
      </c>
      <c r="F1821" s="179">
        <f ca="1">COUNTIFS(Paste_Report_Here!$E$1:$E$2000,E1804, OFFSET(Paste_Report_Here!$A$1,0,$A1821,2000,1),F$75)</f>
        <v>0</v>
      </c>
      <c r="G1821" s="180">
        <f ca="1">COUNTIFS(Paste_Report_Here!$E$1:$E$2000,E1804, OFFSET(Paste_Report_Here!$A$1,0,$A1821,2000,1),G$75)</f>
        <v>1</v>
      </c>
      <c r="H1821" s="180">
        <f ca="1">COUNTIFS(Paste_Report_Here!$E$1:$E$2000,E1804, OFFSET(Paste_Report_Here!$A$1,0,$A1821,2000,1),H$75)</f>
        <v>22</v>
      </c>
      <c r="I1821" s="180">
        <f ca="1">COUNTIFS(Paste_Report_Here!$E$1:$E$2000,E1804, OFFSET(Paste_Report_Here!$A$1,0,$A1821,2000,1),I$75)</f>
        <v>3</v>
      </c>
      <c r="J1821" s="180">
        <f ca="1">COUNTIFS(Paste_Report_Here!$E$1:$E$2000,E1804, OFFSET(Paste_Report_Here!$A$1,0,$A1821,2000,1),J$75)</f>
        <v>0</v>
      </c>
      <c r="K1821" s="181">
        <f ca="1">COUNTIFS(Paste_Report_Here!$E$1:$E$2000,E1804, OFFSET(Paste_Report_Here!$A$1,0,$A1821,2000,1),K$75)</f>
        <v>0</v>
      </c>
      <c r="L1821" s="166">
        <f t="shared" ca="1" si="271"/>
        <v>26</v>
      </c>
      <c r="M1821" s="183">
        <f ca="1">SUMPRODUCT(F1821:K1821,F1808:K1808)/L:L</f>
        <v>0</v>
      </c>
      <c r="N1821" s="166">
        <f t="shared" ca="1" si="272"/>
        <v>1</v>
      </c>
      <c r="O1821" s="247">
        <f t="shared" ca="1" si="274"/>
        <v>1145.7546405911432</v>
      </c>
      <c r="P1821" s="247">
        <f t="shared" ca="1" si="273"/>
        <v>1145.7546405911432</v>
      </c>
    </row>
    <row r="1822" spans="1:16" s="247" customFormat="1" x14ac:dyDescent="0.3">
      <c r="A1822" s="247">
        <f>MATCH(Calcs!B1822,Paste_Report_Here!$1:$1,0) -1</f>
        <v>17</v>
      </c>
      <c r="B1822" s="247" t="s">
        <v>135</v>
      </c>
      <c r="C1822" s="166">
        <f ca="1">RANK(N1822,N1810:N1834)</f>
        <v>25</v>
      </c>
      <c r="D1822" s="166">
        <f ca="1">RANK(P1822,P1810:P1834)</f>
        <v>19</v>
      </c>
      <c r="E1822" s="189" t="s">
        <v>164</v>
      </c>
      <c r="F1822" s="179">
        <f ca="1">COUNTIFS(Paste_Report_Here!$E$1:$E$2000,E1804, OFFSET(Paste_Report_Here!$A$1,0,$A1822,2000,1),F$75)</f>
        <v>2</v>
      </c>
      <c r="G1822" s="180">
        <f ca="1">COUNTIFS(Paste_Report_Here!$E$1:$E$2000,E1804, OFFSET(Paste_Report_Here!$A$1,0,$A1822,2000,1),G$75)</f>
        <v>1</v>
      </c>
      <c r="H1822" s="180">
        <f ca="1">COUNTIFS(Paste_Report_Here!$E$1:$E$2000,E1804, OFFSET(Paste_Report_Here!$A$1,0,$A1822,2000,1),H$75)</f>
        <v>19</v>
      </c>
      <c r="I1822" s="180">
        <f ca="1">COUNTIFS(Paste_Report_Here!$E$1:$E$2000,E1804, OFFSET(Paste_Report_Here!$A$1,0,$A1822,2000,1),I$75)</f>
        <v>4</v>
      </c>
      <c r="J1822" s="180">
        <f ca="1">COUNTIFS(Paste_Report_Here!$E$1:$E$2000,E1804, OFFSET(Paste_Report_Here!$A$1,0,$A1822,2000,1),J$75)</f>
        <v>0</v>
      </c>
      <c r="K1822" s="181">
        <f ca="1">COUNTIFS(Paste_Report_Here!$E$1:$E$2000,E1804, OFFSET(Paste_Report_Here!$A$1,0,$A1822,2000,1),K$75)</f>
        <v>0</v>
      </c>
      <c r="L1822" s="166">
        <f t="shared" ca="1" si="271"/>
        <v>26</v>
      </c>
      <c r="M1822" s="183">
        <f ca="1">SUMPRODUCT(F1822:K1822,F1808:K1808)/L:L</f>
        <v>-1.5384615384615385E-2</v>
      </c>
      <c r="N1822" s="166">
        <f t="shared" ca="1" si="272"/>
        <v>0.98473312324949158</v>
      </c>
      <c r="O1822" s="247">
        <f t="shared" ca="1" si="274"/>
        <v>1854.2901945223091</v>
      </c>
      <c r="P1822" s="247">
        <f t="shared" ca="1" si="273"/>
        <v>1825.9809746628607</v>
      </c>
    </row>
    <row r="1823" spans="1:16" s="247" customFormat="1" x14ac:dyDescent="0.3">
      <c r="A1823" s="247">
        <f>MATCH(Calcs!B1823,Paste_Report_Here!$1:$1,0) -1</f>
        <v>18</v>
      </c>
      <c r="B1823" s="247" t="s">
        <v>136</v>
      </c>
      <c r="C1823" s="166">
        <f ca="1">RANK(N1823,N1810:N1834)</f>
        <v>6</v>
      </c>
      <c r="D1823" s="166">
        <f ca="1">RANK(P1823,P1810:P1834)</f>
        <v>4</v>
      </c>
      <c r="E1823" s="189" t="s">
        <v>165</v>
      </c>
      <c r="F1823" s="179">
        <f ca="1">COUNTIFS(Paste_Report_Here!$E$1:$E$2000,E1804, OFFSET(Paste_Report_Here!$A$1,0,$A1823,2000,1),F$75)</f>
        <v>0</v>
      </c>
      <c r="G1823" s="180">
        <f ca="1">COUNTIFS(Paste_Report_Here!$E$1:$E$2000,E1804, OFFSET(Paste_Report_Here!$A$1,0,$A1823,2000,1),G$75)</f>
        <v>1</v>
      </c>
      <c r="H1823" s="180">
        <f ca="1">COUNTIFS(Paste_Report_Here!$E$1:$E$2000,E1804, OFFSET(Paste_Report_Here!$A$1,0,$A1823,2000,1),H$75)</f>
        <v>21</v>
      </c>
      <c r="I1823" s="180">
        <f ca="1">COUNTIFS(Paste_Report_Here!$E$1:$E$2000,E1804, OFFSET(Paste_Report_Here!$A$1,0,$A1823,2000,1),I$75)</f>
        <v>4</v>
      </c>
      <c r="J1823" s="180">
        <f ca="1">COUNTIFS(Paste_Report_Here!$E$1:$E$2000,E1804, OFFSET(Paste_Report_Here!$A$1,0,$A1823,2000,1),J$75)</f>
        <v>0</v>
      </c>
      <c r="K1823" s="181">
        <f ca="1">COUNTIFS(Paste_Report_Here!$E$1:$E$2000,E1804, OFFSET(Paste_Report_Here!$A$1,0,$A1823,2000,1),K$75)</f>
        <v>0</v>
      </c>
      <c r="L1823" s="166">
        <f t="shared" ca="1" si="271"/>
        <v>26</v>
      </c>
      <c r="M1823" s="183">
        <f ca="1">SUMPRODUCT(F1823:K1823,F1808:K1808)/L:L</f>
        <v>0</v>
      </c>
      <c r="N1823" s="166">
        <f t="shared" ca="1" si="272"/>
        <v>1</v>
      </c>
      <c r="O1823" s="247">
        <f t="shared" ca="1" si="274"/>
        <v>4235.9863747451882</v>
      </c>
      <c r="P1823" s="247">
        <f t="shared" ca="1" si="273"/>
        <v>4235.9863747451882</v>
      </c>
    </row>
    <row r="1824" spans="1:16" s="247" customFormat="1" x14ac:dyDescent="0.3">
      <c r="A1824" s="247">
        <f>MATCH(Calcs!B1824,Paste_Report_Here!$1:$1,0) -1</f>
        <v>19</v>
      </c>
      <c r="B1824" s="247" t="s">
        <v>137</v>
      </c>
      <c r="C1824" s="166">
        <f ca="1">RANK(N1824,N1810:N1834)</f>
        <v>17</v>
      </c>
      <c r="D1824" s="166">
        <f ca="1">RANK(P1824,P1810:P1834)</f>
        <v>16</v>
      </c>
      <c r="E1824" s="189" t="s">
        <v>166</v>
      </c>
      <c r="F1824" s="179">
        <f ca="1">COUNTIFS(Paste_Report_Here!$E$1:$E$2000,E1804, OFFSET(Paste_Report_Here!$A$1,0,$A1824,2000,1),F$75)</f>
        <v>1</v>
      </c>
      <c r="G1824" s="180">
        <f ca="1">COUNTIFS(Paste_Report_Here!$E$1:$E$2000,E1804, OFFSET(Paste_Report_Here!$A$1,0,$A1824,2000,1),G$75)</f>
        <v>0</v>
      </c>
      <c r="H1824" s="180">
        <f ca="1">COUNTIFS(Paste_Report_Here!$E$1:$E$2000,E1804, OFFSET(Paste_Report_Here!$A$1,0,$A1824,2000,1),H$75)</f>
        <v>22</v>
      </c>
      <c r="I1824" s="180">
        <f ca="1">COUNTIFS(Paste_Report_Here!$E$1:$E$2000,E1804, OFFSET(Paste_Report_Here!$A$1,0,$A1824,2000,1),I$75)</f>
        <v>3</v>
      </c>
      <c r="J1824" s="180">
        <f ca="1">COUNTIFS(Paste_Report_Here!$E$1:$E$2000,E1804, OFFSET(Paste_Report_Here!$A$1,0,$A1824,2000,1),J$75)</f>
        <v>0</v>
      </c>
      <c r="K1824" s="181">
        <f ca="1">COUNTIFS(Paste_Report_Here!$E$1:$E$2000,E1804, OFFSET(Paste_Report_Here!$A$1,0,$A1824,2000,1),K$75)</f>
        <v>0</v>
      </c>
      <c r="L1824" s="166">
        <f t="shared" ca="1" si="271"/>
        <v>26</v>
      </c>
      <c r="M1824" s="183">
        <f ca="1">SUMPRODUCT(F1824:K1824,F1808:K1808)/L:L</f>
        <v>-7.6923076923076927E-3</v>
      </c>
      <c r="N1824" s="166">
        <f t="shared" ca="1" si="272"/>
        <v>0.99233720239114864</v>
      </c>
      <c r="O1824" s="247">
        <f t="shared" ca="1" si="274"/>
        <v>2189.1045458354874</v>
      </c>
      <c r="P1824" s="247">
        <f t="shared" ca="1" si="273"/>
        <v>2172.3298807561337</v>
      </c>
    </row>
    <row r="1825" spans="1:16" s="247" customFormat="1" x14ac:dyDescent="0.3">
      <c r="A1825" s="247">
        <f>MATCH(Calcs!B1825,Paste_Report_Here!$1:$1,0) -1</f>
        <v>20</v>
      </c>
      <c r="B1825" s="247" t="s">
        <v>138</v>
      </c>
      <c r="C1825" s="166">
        <f ca="1">RANK(N1825,N1810:N1834)</f>
        <v>17</v>
      </c>
      <c r="D1825" s="166">
        <f ca="1">RANK(P1825,P1810:P1834)</f>
        <v>20</v>
      </c>
      <c r="E1825" s="189" t="s">
        <v>167</v>
      </c>
      <c r="F1825" s="179">
        <f ca="1">COUNTIFS(Paste_Report_Here!$E$1:$E$2000,E1804, OFFSET(Paste_Report_Here!$A$1,0,$A1825,2000,1),F$75)</f>
        <v>1</v>
      </c>
      <c r="G1825" s="180">
        <f ca="1">COUNTIFS(Paste_Report_Here!$E$1:$E$2000,E1804, OFFSET(Paste_Report_Here!$A$1,0,$A1825,2000,1),G$75)</f>
        <v>0</v>
      </c>
      <c r="H1825" s="180">
        <f ca="1">COUNTIFS(Paste_Report_Here!$E$1:$E$2000,E1804, OFFSET(Paste_Report_Here!$A$1,0,$A1825,2000,1),H$75)</f>
        <v>22</v>
      </c>
      <c r="I1825" s="180">
        <f ca="1">COUNTIFS(Paste_Report_Here!$E$1:$E$2000,E1804, OFFSET(Paste_Report_Here!$A$1,0,$A1825,2000,1),I$75)</f>
        <v>3</v>
      </c>
      <c r="J1825" s="180">
        <f ca="1">COUNTIFS(Paste_Report_Here!$E$1:$E$2000,E1804, OFFSET(Paste_Report_Here!$A$1,0,$A1825,2000,1),J$75)</f>
        <v>0</v>
      </c>
      <c r="K1825" s="181">
        <f ca="1">COUNTIFS(Paste_Report_Here!$E$1:$E$2000,E1804, OFFSET(Paste_Report_Here!$A$1,0,$A1825,2000,1),K$75)</f>
        <v>0</v>
      </c>
      <c r="L1825" s="166">
        <f t="shared" ca="1" si="271"/>
        <v>26</v>
      </c>
      <c r="M1825" s="183">
        <f ca="1">SUMPRODUCT(F1825:K1825,F1808:K1808)/L:L</f>
        <v>-7.6923076923076927E-3</v>
      </c>
      <c r="N1825" s="166">
        <f t="shared" ca="1" si="272"/>
        <v>0.99233720239114864</v>
      </c>
      <c r="O1825" s="247">
        <f t="shared" ca="1" si="274"/>
        <v>1793.8726113745686</v>
      </c>
      <c r="P1825" s="247">
        <f t="shared" ca="1" si="273"/>
        <v>1780.1265286175435</v>
      </c>
    </row>
    <row r="1826" spans="1:16" s="247" customFormat="1" x14ac:dyDescent="0.3">
      <c r="A1826" s="247">
        <f>MATCH(Calcs!B1826,Paste_Report_Here!$1:$1,0) -1</f>
        <v>21</v>
      </c>
      <c r="B1826" s="247" t="s">
        <v>139</v>
      </c>
      <c r="C1826" s="166">
        <f ca="1">RANK(N1826,N1810:N1834)</f>
        <v>6</v>
      </c>
      <c r="D1826" s="166">
        <f ca="1">RANK(P1826,P1810:P1834)</f>
        <v>18</v>
      </c>
      <c r="E1826" s="189" t="s">
        <v>168</v>
      </c>
      <c r="F1826" s="179">
        <f ca="1">COUNTIFS(Paste_Report_Here!$E$1:$E$2000,E1804, OFFSET(Paste_Report_Here!$A$1,0,$A1826,2000,1),F$75)</f>
        <v>0</v>
      </c>
      <c r="G1826" s="180">
        <f ca="1">COUNTIFS(Paste_Report_Here!$E$1:$E$2000,E1804, OFFSET(Paste_Report_Here!$A$1,0,$A1826,2000,1),G$75)</f>
        <v>2</v>
      </c>
      <c r="H1826" s="180">
        <f ca="1">COUNTIFS(Paste_Report_Here!$E$1:$E$2000,E1804, OFFSET(Paste_Report_Here!$A$1,0,$A1826,2000,1),H$75)</f>
        <v>22</v>
      </c>
      <c r="I1826" s="180">
        <f ca="1">COUNTIFS(Paste_Report_Here!$E$1:$E$2000,E1804, OFFSET(Paste_Report_Here!$A$1,0,$A1826,2000,1),I$75)</f>
        <v>2</v>
      </c>
      <c r="J1826" s="180">
        <f ca="1">COUNTIFS(Paste_Report_Here!$E$1:$E$2000,E1804, OFFSET(Paste_Report_Here!$A$1,0,$A1826,2000,1),J$75)</f>
        <v>0</v>
      </c>
      <c r="K1826" s="181">
        <f ca="1">COUNTIFS(Paste_Report_Here!$E$1:$E$2000,E1804, OFFSET(Paste_Report_Here!$A$1,0,$A1826,2000,1),K$75)</f>
        <v>0</v>
      </c>
      <c r="L1826" s="166">
        <f t="shared" ca="1" si="271"/>
        <v>26</v>
      </c>
      <c r="M1826" s="183">
        <f ca="1">SUMPRODUCT(F1826:K1826,F1808:K1808)/L:L</f>
        <v>0</v>
      </c>
      <c r="N1826" s="166">
        <f t="shared" ca="1" si="272"/>
        <v>1</v>
      </c>
      <c r="O1826" s="247">
        <f t="shared" ca="1" si="274"/>
        <v>1954.5604673424361</v>
      </c>
      <c r="P1826" s="247">
        <f t="shared" ca="1" si="273"/>
        <v>1954.5604673424361</v>
      </c>
    </row>
    <row r="1827" spans="1:16" s="247" customFormat="1" x14ac:dyDescent="0.3">
      <c r="A1827" s="247">
        <f>MATCH(Calcs!B1827,Paste_Report_Here!$1:$1,0) -1</f>
        <v>22</v>
      </c>
      <c r="B1827" s="247" t="s">
        <v>140</v>
      </c>
      <c r="C1827" s="166">
        <f ca="1">RANK(N1827,N1810:N1834)</f>
        <v>6</v>
      </c>
      <c r="D1827" s="166">
        <f ca="1">RANK(P1827,P1810:P1834)</f>
        <v>14</v>
      </c>
      <c r="E1827" s="189" t="s">
        <v>169</v>
      </c>
      <c r="F1827" s="179">
        <f ca="1">COUNTIFS(Paste_Report_Here!$E$1:$E$2000,E1804, OFFSET(Paste_Report_Here!$A$1,0,$A1827,2000,1),F$75)</f>
        <v>0</v>
      </c>
      <c r="G1827" s="180">
        <f ca="1">COUNTIFS(Paste_Report_Here!$E$1:$E$2000,E1804, OFFSET(Paste_Report_Here!$A$1,0,$A1827,2000,1),G$75)</f>
        <v>2</v>
      </c>
      <c r="H1827" s="180">
        <f ca="1">COUNTIFS(Paste_Report_Here!$E$1:$E$2000,E1804, OFFSET(Paste_Report_Here!$A$1,0,$A1827,2000,1),H$75)</f>
        <v>18</v>
      </c>
      <c r="I1827" s="180">
        <f ca="1">COUNTIFS(Paste_Report_Here!$E$1:$E$2000,E1804, OFFSET(Paste_Report_Here!$A$1,0,$A1827,2000,1),I$75)</f>
        <v>6</v>
      </c>
      <c r="J1827" s="180">
        <f ca="1">COUNTIFS(Paste_Report_Here!$E$1:$E$2000,E1804, OFFSET(Paste_Report_Here!$A$1,0,$A1827,2000,1),J$75)</f>
        <v>0</v>
      </c>
      <c r="K1827" s="181">
        <f ca="1">COUNTIFS(Paste_Report_Here!$E$1:$E$2000,E1804, OFFSET(Paste_Report_Here!$A$1,0,$A1827,2000,1),K$75)</f>
        <v>0</v>
      </c>
      <c r="L1827" s="166">
        <f t="shared" ca="1" si="271"/>
        <v>26</v>
      </c>
      <c r="M1827" s="183">
        <f ca="1">SUMPRODUCT(F1827:K1827,F1808:K1808)/L:L</f>
        <v>0</v>
      </c>
      <c r="N1827" s="166">
        <f t="shared" ca="1" si="272"/>
        <v>1</v>
      </c>
      <c r="O1827" s="247">
        <f t="shared" ca="1" si="274"/>
        <v>2246.9550291863311</v>
      </c>
      <c r="P1827" s="247">
        <f t="shared" ca="1" si="273"/>
        <v>2246.9550291863311</v>
      </c>
    </row>
    <row r="1828" spans="1:16" s="247" customFormat="1" x14ac:dyDescent="0.3">
      <c r="A1828" s="247">
        <f>MATCH(Calcs!B1828,Paste_Report_Here!$1:$1,0) -1</f>
        <v>23</v>
      </c>
      <c r="B1828" s="247" t="s">
        <v>186</v>
      </c>
      <c r="C1828" s="166">
        <f ca="1">RANK(N1828,N1810:N1834)</f>
        <v>1</v>
      </c>
      <c r="D1828" s="166">
        <f ca="1">RANK(P1828,P1810:P1834)</f>
        <v>3</v>
      </c>
      <c r="E1828" s="189" t="s">
        <v>180</v>
      </c>
      <c r="F1828" s="179">
        <f ca="1">COUNTIFS(Paste_Report_Here!$E$1:$E$2000,E1804, OFFSET(Paste_Report_Here!$A$1,0,$A1828,2000,1),F$75)</f>
        <v>0</v>
      </c>
      <c r="G1828" s="180">
        <f ca="1">COUNTIFS(Paste_Report_Here!$E$1:$E$2000,E1804, OFFSET(Paste_Report_Here!$A$1,0,$A1828,2000,1),G$75)</f>
        <v>2</v>
      </c>
      <c r="H1828" s="180">
        <f ca="1">COUNTIFS(Paste_Report_Here!$E$1:$E$2000,E1804, OFFSET(Paste_Report_Here!$A$1,0,$A1828,2000,1),H$75)</f>
        <v>21</v>
      </c>
      <c r="I1828" s="180">
        <f ca="1">COUNTIFS(Paste_Report_Here!$E$1:$E$2000,E1804, OFFSET(Paste_Report_Here!$A$1,0,$A1828,2000,1),I$75)</f>
        <v>2</v>
      </c>
      <c r="J1828" s="180">
        <f ca="1">COUNTIFS(Paste_Report_Here!$E$1:$E$2000,E1804, OFFSET(Paste_Report_Here!$A$1,0,$A1828,2000,1),J$75)</f>
        <v>1</v>
      </c>
      <c r="K1828" s="181">
        <f ca="1">COUNTIFS(Paste_Report_Here!$E$1:$E$2000,E1804, OFFSET(Paste_Report_Here!$A$1,0,$A1828,2000,1),K$75)</f>
        <v>0</v>
      </c>
      <c r="L1828" s="166">
        <f t="shared" ca="1" si="271"/>
        <v>26</v>
      </c>
      <c r="M1828" s="183">
        <f ca="1">SUMPRODUCT(F1828:K1828,F1808:K1808)/L:L</f>
        <v>7.6923076923076927E-3</v>
      </c>
      <c r="N1828" s="166">
        <f t="shared" ca="1" si="272"/>
        <v>1.0077219694982582</v>
      </c>
      <c r="O1828" s="247">
        <f t="shared" ca="1" si="274"/>
        <v>4568.6908632240766</v>
      </c>
      <c r="P1828" s="247">
        <f t="shared" ca="1" si="273"/>
        <v>4603.9701547168643</v>
      </c>
    </row>
    <row r="1829" spans="1:16" s="247" customFormat="1" x14ac:dyDescent="0.3">
      <c r="A1829" s="247">
        <f>MATCH(Calcs!B1829,Paste_Report_Here!$1:$1,0) -1</f>
        <v>24</v>
      </c>
      <c r="B1829" s="247" t="s">
        <v>209</v>
      </c>
      <c r="C1829" s="166">
        <f ca="1">RANK(N1829,N1810:N1834)</f>
        <v>6</v>
      </c>
      <c r="D1829" s="166">
        <f ca="1">RANK(P1829,P1810:P1834)</f>
        <v>23</v>
      </c>
      <c r="E1829" s="202" t="s">
        <v>211</v>
      </c>
      <c r="F1829" s="179">
        <f ca="1">COUNTIFS(Paste_Report_Here!$E$1:$E$2000,E1804, OFFSET(Paste_Report_Here!$A$1,0,$A1829,2000,1),F$75)</f>
        <v>0</v>
      </c>
      <c r="G1829" s="180">
        <f ca="1">COUNTIFS(Paste_Report_Here!$E$1:$E$2000,E1804, OFFSET(Paste_Report_Here!$A$1,0,$A1829,2000,1),G$75)</f>
        <v>3</v>
      </c>
      <c r="H1829" s="180">
        <f ca="1">COUNTIFS(Paste_Report_Here!$E$1:$E$2000,E1804, OFFSET(Paste_Report_Here!$A$1,0,$A1829,2000,1),H$75)</f>
        <v>21</v>
      </c>
      <c r="I1829" s="180">
        <f ca="1">COUNTIFS(Paste_Report_Here!$E$1:$E$2000,E1804, OFFSET(Paste_Report_Here!$A$1,0,$A1829,2000,1),I$75)</f>
        <v>2</v>
      </c>
      <c r="J1829" s="180">
        <f ca="1">COUNTIFS(Paste_Report_Here!$E$1:$E$2000,E1804, OFFSET(Paste_Report_Here!$A$1,0,$A1829,2000,1),J$75)</f>
        <v>0</v>
      </c>
      <c r="K1829" s="181">
        <f ca="1">COUNTIFS(Paste_Report_Here!$E$1:$E$2000,E1804, OFFSET(Paste_Report_Here!$A$1,0,$A1829,2000,1),K$75)</f>
        <v>0</v>
      </c>
      <c r="L1829" s="166">
        <f t="shared" ca="1" si="271"/>
        <v>26</v>
      </c>
      <c r="M1829" s="183">
        <f ca="1">SUMPRODUCT(F1829:K1829,F1808:K1808)/L:L</f>
        <v>0</v>
      </c>
      <c r="N1829" s="166">
        <f t="shared" ca="1" si="272"/>
        <v>1</v>
      </c>
      <c r="O1829" s="247">
        <f t="shared" ca="1" si="274"/>
        <v>1228.5431988795115</v>
      </c>
      <c r="P1829" s="247">
        <f t="shared" ca="1" si="273"/>
        <v>1228.5431988795115</v>
      </c>
    </row>
    <row r="1830" spans="1:16" s="247" customFormat="1" x14ac:dyDescent="0.3">
      <c r="A1830" s="247">
        <f>MATCH(Calcs!B1830,Paste_Report_Here!$1:$1,0) -1</f>
        <v>25</v>
      </c>
      <c r="B1830" s="247" t="s">
        <v>141</v>
      </c>
      <c r="C1830" s="166">
        <f ca="1">RANK(N1830,N1810:N1834)</f>
        <v>17</v>
      </c>
      <c r="D1830" s="166">
        <f ca="1">RANK(P1830,P1810:P1834)</f>
        <v>22</v>
      </c>
      <c r="E1830" s="189" t="s">
        <v>170</v>
      </c>
      <c r="F1830" s="179">
        <f ca="1">COUNTIFS(Paste_Report_Here!$E$1:$E$2000,E1804, OFFSET(Paste_Report_Here!$A$1,0,$A1830,2000,1),F$75)</f>
        <v>1</v>
      </c>
      <c r="G1830" s="180">
        <f ca="1">COUNTIFS(Paste_Report_Here!$E$1:$E$2000,E1804, OFFSET(Paste_Report_Here!$A$1,0,$A1830,2000,1),G$75)</f>
        <v>1</v>
      </c>
      <c r="H1830" s="180">
        <f ca="1">COUNTIFS(Paste_Report_Here!$E$1:$E$2000,E1804, OFFSET(Paste_Report_Here!$A$1,0,$A1830,2000,1),H$75)</f>
        <v>22</v>
      </c>
      <c r="I1830" s="180">
        <f ca="1">COUNTIFS(Paste_Report_Here!$E$1:$E$2000,E1804, OFFSET(Paste_Report_Here!$A$1,0,$A1830,2000,1),I$75)</f>
        <v>2</v>
      </c>
      <c r="J1830" s="180">
        <f ca="1">COUNTIFS(Paste_Report_Here!$E$1:$E$2000,E1804, OFFSET(Paste_Report_Here!$A$1,0,$A1830,2000,1),J$75)</f>
        <v>0</v>
      </c>
      <c r="K1830" s="181">
        <f ca="1">COUNTIFS(Paste_Report_Here!$E$1:$E$2000,E1804, OFFSET(Paste_Report_Here!$A$1,0,$A1830,2000,1),K$75)</f>
        <v>0</v>
      </c>
      <c r="L1830" s="166">
        <f t="shared" ca="1" si="271"/>
        <v>26</v>
      </c>
      <c r="M1830" s="183">
        <f ca="1">SUMPRODUCT(F1830:K1830,F1808:K1808)/L:L</f>
        <v>-7.6923076923076927E-3</v>
      </c>
      <c r="N1830" s="166">
        <f t="shared" ca="1" si="272"/>
        <v>0.99233720239114864</v>
      </c>
      <c r="O1830" s="247">
        <f t="shared" ca="1" si="274"/>
        <v>1299.6775343121999</v>
      </c>
      <c r="P1830" s="247">
        <f t="shared" ca="1" si="273"/>
        <v>1289.7183684099946</v>
      </c>
    </row>
    <row r="1831" spans="1:16" s="247" customFormat="1" x14ac:dyDescent="0.3">
      <c r="A1831" s="247">
        <f>MATCH(Calcs!B1831,Paste_Report_Here!$1:$1,0) -1</f>
        <v>26</v>
      </c>
      <c r="B1831" s="247" t="s">
        <v>142</v>
      </c>
      <c r="C1831" s="166">
        <f ca="1">RANK(N1831,N1810:N1834)</f>
        <v>17</v>
      </c>
      <c r="D1831" s="166">
        <f ca="1">RANK(P1831,P1810:P1834)</f>
        <v>15</v>
      </c>
      <c r="E1831" s="189" t="s">
        <v>171</v>
      </c>
      <c r="F1831" s="179">
        <f ca="1">COUNTIFS(Paste_Report_Here!$E$1:$E$2000,E1804, OFFSET(Paste_Report_Here!$A$1,0,$A1831,2000,1),F$75)</f>
        <v>1</v>
      </c>
      <c r="G1831" s="180">
        <f ca="1">COUNTIFS(Paste_Report_Here!$E$1:$E$2000,E1804, OFFSET(Paste_Report_Here!$A$1,0,$A1831,2000,1),G$75)</f>
        <v>0</v>
      </c>
      <c r="H1831" s="180">
        <f ca="1">COUNTIFS(Paste_Report_Here!$E$1:$E$2000,E1804, OFFSET(Paste_Report_Here!$A$1,0,$A1831,2000,1),H$75)</f>
        <v>23</v>
      </c>
      <c r="I1831" s="180">
        <f ca="1">COUNTIFS(Paste_Report_Here!$E$1:$E$2000,E1804, OFFSET(Paste_Report_Here!$A$1,0,$A1831,2000,1),I$75)</f>
        <v>2</v>
      </c>
      <c r="J1831" s="180">
        <f ca="1">COUNTIFS(Paste_Report_Here!$E$1:$E$2000,E1804, OFFSET(Paste_Report_Here!$A$1,0,$A1831,2000,1),J$75)</f>
        <v>0</v>
      </c>
      <c r="K1831" s="181">
        <f ca="1">COUNTIFS(Paste_Report_Here!$E$1:$E$2000,E1804, OFFSET(Paste_Report_Here!$A$1,0,$A1831,2000,1),K$75)</f>
        <v>0</v>
      </c>
      <c r="L1831" s="166">
        <f t="shared" ca="1" si="271"/>
        <v>26</v>
      </c>
      <c r="M1831" s="183">
        <f ca="1">SUMPRODUCT(F1831:K1831,F1808:K1808)/L:L</f>
        <v>-7.6923076923076927E-3</v>
      </c>
      <c r="N1831" s="166">
        <f t="shared" ca="1" si="272"/>
        <v>0.99233720239114864</v>
      </c>
      <c r="O1831" s="247">
        <f t="shared" ca="1" si="274"/>
        <v>2229.81415673949</v>
      </c>
      <c r="P1831" s="247">
        <f t="shared" ca="1" si="273"/>
        <v>2212.727542151044</v>
      </c>
    </row>
    <row r="1832" spans="1:16" s="247" customFormat="1" x14ac:dyDescent="0.3">
      <c r="A1832" s="247">
        <f>MATCH(Calcs!B1832,Paste_Report_Here!$1:$1,0) -1</f>
        <v>27</v>
      </c>
      <c r="B1832" s="247" t="s">
        <v>210</v>
      </c>
      <c r="C1832" s="166">
        <f ca="1">RANK(N1832,N1810:N1834)</f>
        <v>6</v>
      </c>
      <c r="D1832" s="166">
        <f ca="1">RANK(P1832,P1810:P1834)</f>
        <v>24</v>
      </c>
      <c r="E1832" s="202" t="s">
        <v>212</v>
      </c>
      <c r="F1832" s="179">
        <f ca="1">COUNTIFS(Paste_Report_Here!$E$1:$E$2000,E1804, OFFSET(Paste_Report_Here!$A$1,0,$A1832,2000,1),F$75)</f>
        <v>0</v>
      </c>
      <c r="G1832" s="180">
        <f ca="1">COUNTIFS(Paste_Report_Here!$E$1:$E$2000,E1804, OFFSET(Paste_Report_Here!$A$1,0,$A1832,2000,1),G$75)</f>
        <v>0</v>
      </c>
      <c r="H1832" s="180">
        <f ca="1">COUNTIFS(Paste_Report_Here!$E$1:$E$2000,E1804, OFFSET(Paste_Report_Here!$A$1,0,$A1832,2000,1),H$75)</f>
        <v>24</v>
      </c>
      <c r="I1832" s="180">
        <f ca="1">COUNTIFS(Paste_Report_Here!$E$1:$E$2000,E1804, OFFSET(Paste_Report_Here!$A$1,0,$A1832,2000,1),I$75)</f>
        <v>2</v>
      </c>
      <c r="J1832" s="180">
        <f ca="1">COUNTIFS(Paste_Report_Here!$E$1:$E$2000,E1804, OFFSET(Paste_Report_Here!$A$1,0,$A1832,2000,1),J$75)</f>
        <v>0</v>
      </c>
      <c r="K1832" s="181">
        <f ca="1">COUNTIFS(Paste_Report_Here!$E$1:$E$2000,E1804, OFFSET(Paste_Report_Here!$A$1,0,$A1832,2000,1),K$75)</f>
        <v>0</v>
      </c>
      <c r="L1832" s="166">
        <f t="shared" ca="1" si="271"/>
        <v>26</v>
      </c>
      <c r="M1832" s="183">
        <f ca="1">SUMPRODUCT(F1832:K1832,F1808:K1808)/L:L</f>
        <v>0</v>
      </c>
      <c r="N1832" s="166">
        <f t="shared" ca="1" si="272"/>
        <v>1</v>
      </c>
      <c r="O1832" s="247">
        <f t="shared" ca="1" si="274"/>
        <v>1152.8560468976777</v>
      </c>
      <c r="P1832" s="247">
        <f t="shared" ca="1" si="273"/>
        <v>1152.8560468976777</v>
      </c>
    </row>
    <row r="1833" spans="1:16" s="247" customFormat="1" x14ac:dyDescent="0.3">
      <c r="A1833" s="247">
        <f>MATCH(Calcs!B1833,Paste_Report_Here!$1:$1,0) -1</f>
        <v>28</v>
      </c>
      <c r="B1833" s="247" t="s">
        <v>143</v>
      </c>
      <c r="C1833" s="166">
        <f ca="1">RANK(N1833,N1810:N1834)</f>
        <v>1</v>
      </c>
      <c r="D1833" s="166">
        <f ca="1">RANK(P1833,P1810:P1834)</f>
        <v>1</v>
      </c>
      <c r="E1833" s="189" t="s">
        <v>172</v>
      </c>
      <c r="F1833" s="179">
        <f ca="1">COUNTIFS(Paste_Report_Here!$E$1:$E$2000,E1804, OFFSET(Paste_Report_Here!$A$1,0,$A1833,2000,1),F$75)</f>
        <v>0</v>
      </c>
      <c r="G1833" s="180">
        <f ca="1">COUNTIFS(Paste_Report_Here!$E$1:$E$2000,E1804, OFFSET(Paste_Report_Here!$A$1,0,$A1833,2000,1),G$75)</f>
        <v>2</v>
      </c>
      <c r="H1833" s="180">
        <f ca="1">COUNTIFS(Paste_Report_Here!$E$1:$E$2000,E1804, OFFSET(Paste_Report_Here!$A$1,0,$A1833,2000,1),H$75)</f>
        <v>18</v>
      </c>
      <c r="I1833" s="180">
        <f ca="1">COUNTIFS(Paste_Report_Here!$E$1:$E$2000,E1804, OFFSET(Paste_Report_Here!$A$1,0,$A1833,2000,1),I$75)</f>
        <v>5</v>
      </c>
      <c r="J1833" s="180">
        <f ca="1">COUNTIFS(Paste_Report_Here!$E$1:$E$2000,E1804, OFFSET(Paste_Report_Here!$A$1,0,$A1833,2000,1),J$75)</f>
        <v>1</v>
      </c>
      <c r="K1833" s="181">
        <f ca="1">COUNTIFS(Paste_Report_Here!$E$1:$E$2000,E1804, OFFSET(Paste_Report_Here!$A$1,0,$A1833,2000,1),K$75)</f>
        <v>0</v>
      </c>
      <c r="L1833" s="166">
        <f t="shared" ca="1" si="271"/>
        <v>26</v>
      </c>
      <c r="M1833" s="183">
        <f ca="1">SUMPRODUCT(F1833:K1833,F1808:K1808)/L:L</f>
        <v>7.6923076923076927E-3</v>
      </c>
      <c r="N1833" s="166">
        <f t="shared" ca="1" si="272"/>
        <v>1.0077219694982582</v>
      </c>
      <c r="O1833" s="247">
        <f t="shared" ca="1" si="274"/>
        <v>11056.162853198262</v>
      </c>
      <c r="P1833" s="247">
        <f t="shared" ca="1" si="273"/>
        <v>11141.538205518435</v>
      </c>
    </row>
    <row r="1834" spans="1:16" s="247" customFormat="1" x14ac:dyDescent="0.3">
      <c r="A1834" s="247">
        <f>MATCH(Calcs!B1834,Paste_Report_Here!$1:$1,0) -1</f>
        <v>29</v>
      </c>
      <c r="B1834" s="187" t="s">
        <v>144</v>
      </c>
      <c r="C1834" s="147">
        <f ca="1">RANK(N1834,N1810:N1834)</f>
        <v>6</v>
      </c>
      <c r="D1834" s="147">
        <f ca="1">RANK(P1834,P1810:P1834)</f>
        <v>11</v>
      </c>
      <c r="E1834" s="145" t="s">
        <v>173</v>
      </c>
      <c r="F1834" s="146">
        <f ca="1">COUNTIFS(Paste_Report_Here!$E$1:$E$2000,E1804, OFFSET(Paste_Report_Here!$A$1,0,$A1834,2000,1),F$75)</f>
        <v>0</v>
      </c>
      <c r="G1834" s="147">
        <f ca="1">COUNTIFS(Paste_Report_Here!$E$1:$E$2000,E1804, OFFSET(Paste_Report_Here!$A$1,0,$A1834,2000,1),G$75)</f>
        <v>2</v>
      </c>
      <c r="H1834" s="147">
        <f ca="1">COUNTIFS(Paste_Report_Here!$E$1:$E$2000,E1804, OFFSET(Paste_Report_Here!$A$1,0,$A1834,2000,1),H$75)</f>
        <v>21</v>
      </c>
      <c r="I1834" s="147">
        <f ca="1">COUNTIFS(Paste_Report_Here!$E$1:$E$2000,E1804, OFFSET(Paste_Report_Here!$A$1,0,$A1834,2000,1),I$75)</f>
        <v>3</v>
      </c>
      <c r="J1834" s="147">
        <f ca="1">COUNTIFS(Paste_Report_Here!$E$1:$E$2000,E1804, OFFSET(Paste_Report_Here!$A$1,0,$A1834,2000,1),J$75)</f>
        <v>0</v>
      </c>
      <c r="K1834" s="148">
        <f ca="1">COUNTIFS(Paste_Report_Here!$E$1:$E$2000,E1804, OFFSET(Paste_Report_Here!$A$1,0,$A1834,2000,1),K$75)</f>
        <v>0</v>
      </c>
      <c r="L1834" s="147">
        <f t="shared" ca="1" si="271"/>
        <v>26</v>
      </c>
      <c r="M1834" s="149">
        <f ca="1">SUMPRODUCT(F1834:K1834,F1808:K1808)/L:L</f>
        <v>0</v>
      </c>
      <c r="N1834" s="147">
        <f t="shared" ca="1" si="272"/>
        <v>1</v>
      </c>
      <c r="O1834" s="187">
        <f t="shared" ca="1" si="274"/>
        <v>2392.2261011950159</v>
      </c>
      <c r="P1834" s="247">
        <f t="shared" ca="1" si="273"/>
        <v>2392.2261011950159</v>
      </c>
    </row>
    <row r="1835" spans="1:16" s="247" customFormat="1" x14ac:dyDescent="0.3">
      <c r="C1835" s="166"/>
      <c r="E1835" s="140" t="s">
        <v>293</v>
      </c>
      <c r="F1835" s="180">
        <f ca="1">SUM(F1810:F1834)</f>
        <v>11</v>
      </c>
      <c r="G1835" s="180">
        <f t="shared" ref="G1835:L1835" ca="1" si="275">SUM(G1810:G1834)</f>
        <v>29</v>
      </c>
      <c r="H1835" s="180">
        <f t="shared" ca="1" si="275"/>
        <v>514</v>
      </c>
      <c r="I1835" s="180">
        <f t="shared" ca="1" si="275"/>
        <v>90</v>
      </c>
      <c r="J1835" s="180">
        <f t="shared" ca="1" si="275"/>
        <v>6</v>
      </c>
      <c r="K1835" s="180">
        <f t="shared" ca="1" si="275"/>
        <v>0</v>
      </c>
      <c r="L1835" s="180">
        <f t="shared" ca="1" si="275"/>
        <v>650</v>
      </c>
      <c r="M1835" s="144">
        <f ca="1">SUMPRODUCT(F1835:K1835,F1808:K1808)/L1835</f>
        <v>-1.5384615384615385E-3</v>
      </c>
      <c r="N1835" s="166">
        <f t="shared" ca="1" si="272"/>
        <v>0.99846272128683633</v>
      </c>
      <c r="O1835" s="247">
        <f t="shared" ca="1" si="274"/>
        <v>2767.3106002080485</v>
      </c>
      <c r="P1835" s="247">
        <f t="shared" ca="1" si="273"/>
        <v>2763.0564725296367</v>
      </c>
    </row>
    <row r="1836" spans="1:16" s="247" customFormat="1" x14ac:dyDescent="0.3">
      <c r="A1836" s="194"/>
      <c r="B1836" s="194"/>
      <c r="C1836" s="153"/>
      <c r="D1836" s="194"/>
      <c r="E1836" s="164"/>
      <c r="F1836" s="151"/>
      <c r="G1836" s="151"/>
      <c r="H1836" s="151"/>
      <c r="I1836" s="151"/>
      <c r="J1836" s="151"/>
      <c r="K1836" s="151"/>
      <c r="L1836" s="151"/>
      <c r="M1836" s="162"/>
      <c r="N1836" s="153"/>
      <c r="O1836" s="194"/>
      <c r="P1836" s="194"/>
    </row>
    <row r="1837" spans="1:16" s="247" customFormat="1" x14ac:dyDescent="0.3">
      <c r="E1837" s="173" t="s">
        <v>292</v>
      </c>
    </row>
    <row r="1838" spans="1:16" s="247" customFormat="1" x14ac:dyDescent="0.3">
      <c r="E1838" s="141">
        <v>42184</v>
      </c>
    </row>
    <row r="1839" spans="1:16" s="247" customFormat="1" ht="15" thickBot="1" x14ac:dyDescent="0.35"/>
    <row r="1840" spans="1:16" s="247" customFormat="1" ht="24.6" thickBot="1" x14ac:dyDescent="0.35">
      <c r="F1840" s="174" t="s">
        <v>23</v>
      </c>
      <c r="G1840" s="168" t="s">
        <v>18</v>
      </c>
      <c r="H1840" s="168" t="s">
        <v>16</v>
      </c>
      <c r="I1840" s="168" t="s">
        <v>17</v>
      </c>
      <c r="J1840" s="168" t="s">
        <v>19</v>
      </c>
      <c r="K1840" s="169" t="s">
        <v>114</v>
      </c>
    </row>
    <row r="1841" spans="1:16" s="247" customFormat="1" x14ac:dyDescent="0.3">
      <c r="F1841" s="267" t="s">
        <v>201</v>
      </c>
      <c r="G1841" s="268"/>
      <c r="H1841" s="268"/>
      <c r="I1841" s="268"/>
      <c r="J1841" s="268"/>
      <c r="K1841" s="169"/>
      <c r="M1841" s="203">
        <f ca="1">(H1869+K1869)/L1869</f>
        <v>0.76121212121212123</v>
      </c>
      <c r="N1841" s="204" t="s">
        <v>501</v>
      </c>
    </row>
    <row r="1842" spans="1:16" s="247" customFormat="1" ht="43.8" thickBot="1" x14ac:dyDescent="0.35">
      <c r="A1842" s="142" t="s">
        <v>294</v>
      </c>
      <c r="B1842" s="142" t="s">
        <v>295</v>
      </c>
      <c r="C1842" s="197" t="s">
        <v>440</v>
      </c>
      <c r="D1842" s="142" t="s">
        <v>441</v>
      </c>
      <c r="E1842" s="171" t="s">
        <v>30</v>
      </c>
      <c r="F1842" s="175">
        <f>Falling_fast</f>
        <v>-0.2</v>
      </c>
      <c r="G1842" s="176">
        <f>Falling</f>
        <v>0</v>
      </c>
      <c r="H1842" s="177">
        <f>Static</f>
        <v>0</v>
      </c>
      <c r="I1842" s="176">
        <f>Rising</f>
        <v>0</v>
      </c>
      <c r="J1842" s="178">
        <f>Rising_fast</f>
        <v>0.2</v>
      </c>
      <c r="K1842" s="182">
        <v>0</v>
      </c>
      <c r="L1842" s="171" t="s">
        <v>28</v>
      </c>
      <c r="M1842" s="172" t="s">
        <v>29</v>
      </c>
      <c r="N1842" s="143" t="s">
        <v>296</v>
      </c>
      <c r="O1842" s="142" t="s">
        <v>297</v>
      </c>
      <c r="P1842" s="142" t="s">
        <v>298</v>
      </c>
    </row>
    <row r="1843" spans="1:16" s="247" customFormat="1" x14ac:dyDescent="0.3">
      <c r="C1843" s="166"/>
      <c r="E1843" s="192"/>
      <c r="F1843" s="198" t="s">
        <v>151</v>
      </c>
      <c r="G1843" s="199" t="s">
        <v>149</v>
      </c>
      <c r="H1843" s="199" t="s">
        <v>16</v>
      </c>
      <c r="I1843" s="199" t="s">
        <v>148</v>
      </c>
      <c r="J1843" s="199" t="s">
        <v>150</v>
      </c>
      <c r="K1843" s="200" t="s">
        <v>114</v>
      </c>
      <c r="L1843" s="166"/>
      <c r="M1843" s="170"/>
      <c r="N1843" s="166"/>
    </row>
    <row r="1844" spans="1:16" s="247" customFormat="1" x14ac:dyDescent="0.3">
      <c r="A1844" s="247">
        <f>MATCH(Calcs!B1844,Paste_Report_Here!$1:$1,0) -1</f>
        <v>5</v>
      </c>
      <c r="B1844" s="247" t="s">
        <v>124</v>
      </c>
      <c r="C1844" s="166">
        <f ca="1">RANK(N1844,N1844:N1868)</f>
        <v>2</v>
      </c>
      <c r="D1844" s="166">
        <f ca="1">RANK(P1844,P1844:P1868)</f>
        <v>13</v>
      </c>
      <c r="E1844" s="189" t="s">
        <v>152</v>
      </c>
      <c r="F1844" s="179">
        <f ca="1">COUNTIFS(Paste_Report_Here!$E$1:$E$2000,E1838, OFFSET(Paste_Report_Here!$A$1,0,$A1844,2000,1),F$75)</f>
        <v>0</v>
      </c>
      <c r="G1844" s="180">
        <f ca="1">COUNTIFS(Paste_Report_Here!$E$1:$E$2000,E1838, OFFSET(Paste_Report_Here!$A$1,0,$A1844,2000,1),G$75)</f>
        <v>1</v>
      </c>
      <c r="H1844" s="180">
        <f ca="1">COUNTIFS(Paste_Report_Here!$E$1:$E$2000,E1838, OFFSET(Paste_Report_Here!$A$1,0,$A1844,2000,1),H$75)</f>
        <v>24</v>
      </c>
      <c r="I1844" s="180">
        <f ca="1">COUNTIFS(Paste_Report_Here!$E$1:$E$2000,E1838, OFFSET(Paste_Report_Here!$A$1,0,$A1844,2000,1),I$75)</f>
        <v>7</v>
      </c>
      <c r="J1844" s="180">
        <f ca="1">COUNTIFS(Paste_Report_Here!$E$1:$E$2000,E1838, OFFSET(Paste_Report_Here!$A$1,0,$A1844,2000,1),J$75)</f>
        <v>1</v>
      </c>
      <c r="K1844" s="181">
        <f ca="1">COUNTIFS(Paste_Report_Here!$E$1:$E$2000,E1838, OFFSET(Paste_Report_Here!$A$1,0,$A1844,2000,1),K$75)</f>
        <v>0</v>
      </c>
      <c r="L1844" s="166">
        <f t="shared" ref="L1844:L1868" ca="1" si="276">SUM(F1844:K1844)</f>
        <v>33</v>
      </c>
      <c r="M1844" s="183">
        <f ca="1">SUMPRODUCT(F1844:K1844,F1842:K1842)/L:L</f>
        <v>6.0606060606060606E-3</v>
      </c>
      <c r="N1844" s="166">
        <f t="shared" ref="N1844:N1869" ca="1" si="277">EXP(M1844)</f>
        <v>1.0060790086917657</v>
      </c>
      <c r="O1844" s="247">
        <f ca="1">P1810</f>
        <v>2249.5201737633297</v>
      </c>
      <c r="P1844" s="247">
        <f t="shared" ref="P1844:P1869" ca="1" si="278">O1844*N1844</f>
        <v>2263.1950264519392</v>
      </c>
    </row>
    <row r="1845" spans="1:16" s="247" customFormat="1" x14ac:dyDescent="0.3">
      <c r="A1845" s="247">
        <f>MATCH(Calcs!B1845,Paste_Report_Here!$1:$1,0) -1</f>
        <v>6</v>
      </c>
      <c r="B1845" s="247" t="s">
        <v>125</v>
      </c>
      <c r="C1845" s="166">
        <f ca="1">RANK(N1845,N1844:N1868)</f>
        <v>23</v>
      </c>
      <c r="D1845" s="166">
        <f ca="1">RANK(P1845,P1844:P1868)</f>
        <v>17</v>
      </c>
      <c r="E1845" s="189" t="s">
        <v>153</v>
      </c>
      <c r="F1845" s="179">
        <f ca="1">COUNTIFS(Paste_Report_Here!$E$1:$E$2000,E1838, OFFSET(Paste_Report_Here!$A$1,0,$A1845,2000,1),F$75)</f>
        <v>1</v>
      </c>
      <c r="G1845" s="180">
        <f ca="1">COUNTIFS(Paste_Report_Here!$E$1:$E$2000,E1838, OFFSET(Paste_Report_Here!$A$1,0,$A1845,2000,1),G$75)</f>
        <v>2</v>
      </c>
      <c r="H1845" s="180">
        <f ca="1">COUNTIFS(Paste_Report_Here!$E$1:$E$2000,E1838, OFFSET(Paste_Report_Here!$A$1,0,$A1845,2000,1),H$75)</f>
        <v>28</v>
      </c>
      <c r="I1845" s="180">
        <f ca="1">COUNTIFS(Paste_Report_Here!$E$1:$E$2000,E1838, OFFSET(Paste_Report_Here!$A$1,0,$A1845,2000,1),I$75)</f>
        <v>2</v>
      </c>
      <c r="J1845" s="180">
        <f ca="1">COUNTIFS(Paste_Report_Here!$E$1:$E$2000,E1838, OFFSET(Paste_Report_Here!$A$1,0,$A1845,2000,1),J$75)</f>
        <v>0</v>
      </c>
      <c r="K1845" s="181">
        <f ca="1">COUNTIFS(Paste_Report_Here!$E$1:$E$2000,E1838, OFFSET(Paste_Report_Here!$A$1,0,$A1845,2000,1),K$75)</f>
        <v>0</v>
      </c>
      <c r="L1845" s="166">
        <f t="shared" ca="1" si="276"/>
        <v>33</v>
      </c>
      <c r="M1845" s="183">
        <f ca="1">SUMPRODUCT(F1845:K1845,F1842:K1842)/L:L</f>
        <v>-6.0606060606060606E-3</v>
      </c>
      <c r="N1845" s="166">
        <f t="shared" ca="1" si="277"/>
        <v>0.99395772236648638</v>
      </c>
      <c r="O1845" s="247">
        <f t="shared" ref="O1845:O1869" ca="1" si="279">P1811</f>
        <v>2018.8221396007241</v>
      </c>
      <c r="P1845" s="247">
        <f t="shared" ca="1" si="278"/>
        <v>2006.6238557405725</v>
      </c>
    </row>
    <row r="1846" spans="1:16" s="247" customFormat="1" x14ac:dyDescent="0.3">
      <c r="A1846" s="247">
        <f>MATCH(Calcs!B1846,Paste_Report_Here!$1:$1,0) -1</f>
        <v>7</v>
      </c>
      <c r="B1846" s="247" t="s">
        <v>126</v>
      </c>
      <c r="C1846" s="166">
        <f ca="1">RANK(N1846,N1844:N1868)</f>
        <v>23</v>
      </c>
      <c r="D1846" s="166">
        <f ca="1">RANK(P1846,P1844:P1868)</f>
        <v>8</v>
      </c>
      <c r="E1846" s="189" t="s">
        <v>154</v>
      </c>
      <c r="F1846" s="179">
        <f ca="1">COUNTIFS(Paste_Report_Here!$E$1:$E$2000,E1838, OFFSET(Paste_Report_Here!$A$1,0,$A1846,2000,1),F$75)</f>
        <v>1</v>
      </c>
      <c r="G1846" s="180">
        <f ca="1">COUNTIFS(Paste_Report_Here!$E$1:$E$2000,E1838, OFFSET(Paste_Report_Here!$A$1,0,$A1846,2000,1),G$75)</f>
        <v>3</v>
      </c>
      <c r="H1846" s="180">
        <f ca="1">COUNTIFS(Paste_Report_Here!$E$1:$E$2000,E1838, OFFSET(Paste_Report_Here!$A$1,0,$A1846,2000,1),H$75)</f>
        <v>26</v>
      </c>
      <c r="I1846" s="180">
        <f ca="1">COUNTIFS(Paste_Report_Here!$E$1:$E$2000,E1838, OFFSET(Paste_Report_Here!$A$1,0,$A1846,2000,1),I$75)</f>
        <v>3</v>
      </c>
      <c r="J1846" s="180">
        <f ca="1">COUNTIFS(Paste_Report_Here!$E$1:$E$2000,E1838, OFFSET(Paste_Report_Here!$A$1,0,$A1846,2000,1),J$75)</f>
        <v>0</v>
      </c>
      <c r="K1846" s="181">
        <f ca="1">COUNTIFS(Paste_Report_Here!$E$1:$E$2000,E1838, OFFSET(Paste_Report_Here!$A$1,0,$A1846,2000,1),K$75)</f>
        <v>0</v>
      </c>
      <c r="L1846" s="166">
        <f t="shared" ca="1" si="276"/>
        <v>33</v>
      </c>
      <c r="M1846" s="183">
        <f ca="1">SUMPRODUCT(F1846:K1846,F1842:K1842)/L:L</f>
        <v>-6.0606060606060606E-3</v>
      </c>
      <c r="N1846" s="166">
        <f t="shared" ca="1" si="277"/>
        <v>0.99395772236648638</v>
      </c>
      <c r="O1846" s="247">
        <f t="shared" ca="1" si="279"/>
        <v>2552.2233587531523</v>
      </c>
      <c r="P1846" s="247">
        <f t="shared" ca="1" si="278"/>
        <v>2536.8021166368271</v>
      </c>
    </row>
    <row r="1847" spans="1:16" s="247" customFormat="1" x14ac:dyDescent="0.3">
      <c r="A1847" s="247">
        <f>MATCH(Calcs!B1847,Paste_Report_Here!$1:$1,0) -1</f>
        <v>8</v>
      </c>
      <c r="B1847" s="247" t="s">
        <v>127</v>
      </c>
      <c r="C1847" s="166">
        <f ca="1">RANK(N1847,N1844:N1868)</f>
        <v>23</v>
      </c>
      <c r="D1847" s="166">
        <f ca="1">RANK(P1847,P1844:P1868)</f>
        <v>7</v>
      </c>
      <c r="E1847" s="189" t="s">
        <v>155</v>
      </c>
      <c r="F1847" s="179">
        <f ca="1">COUNTIFS(Paste_Report_Here!$E$1:$E$2000,E1838, OFFSET(Paste_Report_Here!$A$1,0,$A1847,2000,1),F$75)</f>
        <v>1</v>
      </c>
      <c r="G1847" s="180">
        <f ca="1">COUNTIFS(Paste_Report_Here!$E$1:$E$2000,E1838, OFFSET(Paste_Report_Here!$A$1,0,$A1847,2000,1),G$75)</f>
        <v>0</v>
      </c>
      <c r="H1847" s="180">
        <f ca="1">COUNTIFS(Paste_Report_Here!$E$1:$E$2000,E1838, OFFSET(Paste_Report_Here!$A$1,0,$A1847,2000,1),H$75)</f>
        <v>25</v>
      </c>
      <c r="I1847" s="180">
        <f ca="1">COUNTIFS(Paste_Report_Here!$E$1:$E$2000,E1838, OFFSET(Paste_Report_Here!$A$1,0,$A1847,2000,1),I$75)</f>
        <v>7</v>
      </c>
      <c r="J1847" s="180">
        <f ca="1">COUNTIFS(Paste_Report_Here!$E$1:$E$2000,E1838, OFFSET(Paste_Report_Here!$A$1,0,$A1847,2000,1),J$75)</f>
        <v>0</v>
      </c>
      <c r="K1847" s="181">
        <f ca="1">COUNTIFS(Paste_Report_Here!$E$1:$E$2000,E1838, OFFSET(Paste_Report_Here!$A$1,0,$A1847,2000,1),K$75)</f>
        <v>0</v>
      </c>
      <c r="L1847" s="166">
        <f t="shared" ca="1" si="276"/>
        <v>33</v>
      </c>
      <c r="M1847" s="183">
        <f ca="1">SUMPRODUCT(F1847:K1847,F1842:K1842)/L:L</f>
        <v>-6.0606060606060606E-3</v>
      </c>
      <c r="N1847" s="166">
        <f t="shared" ca="1" si="277"/>
        <v>0.99395772236648638</v>
      </c>
      <c r="O1847" s="247">
        <f t="shared" ca="1" si="279"/>
        <v>3007.0951387361301</v>
      </c>
      <c r="P1847" s="247">
        <f t="shared" ca="1" si="278"/>
        <v>2988.9254350374972</v>
      </c>
    </row>
    <row r="1848" spans="1:16" s="247" customFormat="1" x14ac:dyDescent="0.3">
      <c r="A1848" s="247">
        <f>MATCH(Calcs!B1848,Paste_Report_Here!$1:$1,0) -1</f>
        <v>9</v>
      </c>
      <c r="B1848" s="247" t="s">
        <v>214</v>
      </c>
      <c r="C1848" s="166">
        <f ca="1">RANK(N1848,N1844:N1868)</f>
        <v>2</v>
      </c>
      <c r="D1848" s="166">
        <f ca="1">RANK(P1848,P1844:P1868)</f>
        <v>5</v>
      </c>
      <c r="E1848" s="189" t="s">
        <v>156</v>
      </c>
      <c r="F1848" s="179">
        <f ca="1">COUNTIFS(Paste_Report_Here!$E$1:$E$2000,E1838, OFFSET(Paste_Report_Here!$A$1,0,$A1848,2000,1),F$75)</f>
        <v>0</v>
      </c>
      <c r="G1848" s="180">
        <f ca="1">COUNTIFS(Paste_Report_Here!$E$1:$E$2000,E1838, OFFSET(Paste_Report_Here!$A$1,0,$A1848,2000,1),G$75)</f>
        <v>1</v>
      </c>
      <c r="H1848" s="180">
        <f ca="1">COUNTIFS(Paste_Report_Here!$E$1:$E$2000,E1838, OFFSET(Paste_Report_Here!$A$1,0,$A1848,2000,1),H$75)</f>
        <v>24</v>
      </c>
      <c r="I1848" s="180">
        <f ca="1">COUNTIFS(Paste_Report_Here!$E$1:$E$2000,E1838, OFFSET(Paste_Report_Here!$A$1,0,$A1848,2000,1),I$75)</f>
        <v>7</v>
      </c>
      <c r="J1848" s="180">
        <f ca="1">COUNTIFS(Paste_Report_Here!$E$1:$E$2000,E1838, OFFSET(Paste_Report_Here!$A$1,0,$A1848,2000,1),J$75)</f>
        <v>1</v>
      </c>
      <c r="K1848" s="181">
        <f ca="1">COUNTIFS(Paste_Report_Here!$E$1:$E$2000,E1838, OFFSET(Paste_Report_Here!$A$1,0,$A1848,2000,1),K$75)</f>
        <v>0</v>
      </c>
      <c r="L1848" s="166">
        <f t="shared" ca="1" si="276"/>
        <v>33</v>
      </c>
      <c r="M1848" s="183">
        <f ca="1">SUMPRODUCT(F1848:K1848,F1842:K1842)/L:L</f>
        <v>6.0606060606060606E-3</v>
      </c>
      <c r="N1848" s="166">
        <f t="shared" ca="1" si="277"/>
        <v>1.0060790086917657</v>
      </c>
      <c r="O1848" s="247">
        <f t="shared" ca="1" si="279"/>
        <v>4194.8160883914434</v>
      </c>
      <c r="P1848" s="247">
        <f t="shared" ca="1" si="278"/>
        <v>4220.3164118531331</v>
      </c>
    </row>
    <row r="1849" spans="1:16" s="247" customFormat="1" x14ac:dyDescent="0.3">
      <c r="A1849" s="247">
        <f>MATCH(Calcs!B1849,Paste_Report_Here!$1:$1,0) -1</f>
        <v>10</v>
      </c>
      <c r="B1849" s="247" t="s">
        <v>128</v>
      </c>
      <c r="C1849" s="166">
        <f ca="1">RANK(N1849,N1844:N1868)</f>
        <v>7</v>
      </c>
      <c r="D1849" s="166">
        <f ca="1">RANK(P1849,P1844:P1868)</f>
        <v>21</v>
      </c>
      <c r="E1849" s="189" t="s">
        <v>157</v>
      </c>
      <c r="F1849" s="179">
        <f ca="1">COUNTIFS(Paste_Report_Here!$E$1:$E$2000,E1838, OFFSET(Paste_Report_Here!$A$1,0,$A1849,2000,1),F$75)</f>
        <v>0</v>
      </c>
      <c r="G1849" s="180">
        <f ca="1">COUNTIFS(Paste_Report_Here!$E$1:$E$2000,E1838, OFFSET(Paste_Report_Here!$A$1,0,$A1849,2000,1),G$75)</f>
        <v>1</v>
      </c>
      <c r="H1849" s="180">
        <f ca="1">COUNTIFS(Paste_Report_Here!$E$1:$E$2000,E1838, OFFSET(Paste_Report_Here!$A$1,0,$A1849,2000,1),H$75)</f>
        <v>26</v>
      </c>
      <c r="I1849" s="180">
        <f ca="1">COUNTIFS(Paste_Report_Here!$E$1:$E$2000,E1838, OFFSET(Paste_Report_Here!$A$1,0,$A1849,2000,1),I$75)</f>
        <v>6</v>
      </c>
      <c r="J1849" s="180">
        <f ca="1">COUNTIFS(Paste_Report_Here!$E$1:$E$2000,E1838, OFFSET(Paste_Report_Here!$A$1,0,$A1849,2000,1),J$75)</f>
        <v>0</v>
      </c>
      <c r="K1849" s="181">
        <f ca="1">COUNTIFS(Paste_Report_Here!$E$1:$E$2000,E1838, OFFSET(Paste_Report_Here!$A$1,0,$A1849,2000,1),K$75)</f>
        <v>0</v>
      </c>
      <c r="L1849" s="166">
        <f t="shared" ca="1" si="276"/>
        <v>33</v>
      </c>
      <c r="M1849" s="183">
        <f ca="1">SUMPRODUCT(F1849:K1849,F1842:K1842)/L:L</f>
        <v>0</v>
      </c>
      <c r="N1849" s="166">
        <f t="shared" ca="1" si="277"/>
        <v>1</v>
      </c>
      <c r="O1849" s="247">
        <f t="shared" ca="1" si="279"/>
        <v>1467.9665447041625</v>
      </c>
      <c r="P1849" s="247">
        <f t="shared" ca="1" si="278"/>
        <v>1467.9665447041625</v>
      </c>
    </row>
    <row r="1850" spans="1:16" s="247" customFormat="1" x14ac:dyDescent="0.3">
      <c r="A1850" s="247">
        <f>MATCH(Calcs!B1850,Paste_Report_Here!$1:$1,0) -1</f>
        <v>11</v>
      </c>
      <c r="B1850" s="247" t="s">
        <v>129</v>
      </c>
      <c r="C1850" s="166">
        <f ca="1">RANK(N1850,N1844:N1868)</f>
        <v>7</v>
      </c>
      <c r="D1850" s="166">
        <f ca="1">RANK(P1850,P1844:P1868)</f>
        <v>10</v>
      </c>
      <c r="E1850" s="189" t="s">
        <v>158</v>
      </c>
      <c r="F1850" s="179">
        <f ca="1">COUNTIFS(Paste_Report_Here!$E$1:$E$2000,E1838, OFFSET(Paste_Report_Here!$A$1,0,$A1850,2000,1),F$75)</f>
        <v>0</v>
      </c>
      <c r="G1850" s="180">
        <f ca="1">COUNTIFS(Paste_Report_Here!$E$1:$E$2000,E1838, OFFSET(Paste_Report_Here!$A$1,0,$A1850,2000,1),G$75)</f>
        <v>2</v>
      </c>
      <c r="H1850" s="180">
        <f ca="1">COUNTIFS(Paste_Report_Here!$E$1:$E$2000,E1838, OFFSET(Paste_Report_Here!$A$1,0,$A1850,2000,1),H$75)</f>
        <v>27</v>
      </c>
      <c r="I1850" s="180">
        <f ca="1">COUNTIFS(Paste_Report_Here!$E$1:$E$2000,E1838, OFFSET(Paste_Report_Here!$A$1,0,$A1850,2000,1),I$75)</f>
        <v>4</v>
      </c>
      <c r="J1850" s="180">
        <f ca="1">COUNTIFS(Paste_Report_Here!$E$1:$E$2000,E1838, OFFSET(Paste_Report_Here!$A$1,0,$A1850,2000,1),J$75)</f>
        <v>0</v>
      </c>
      <c r="K1850" s="181">
        <f ca="1">COUNTIFS(Paste_Report_Here!$E$1:$E$2000,E1838, OFFSET(Paste_Report_Here!$A$1,0,$A1850,2000,1),K$75)</f>
        <v>0</v>
      </c>
      <c r="L1850" s="166">
        <f t="shared" ca="1" si="276"/>
        <v>33</v>
      </c>
      <c r="M1850" s="183">
        <f ca="1">SUMPRODUCT(F1850:K1850,F1842:K1842)/L:L</f>
        <v>0</v>
      </c>
      <c r="N1850" s="166">
        <f t="shared" ca="1" si="277"/>
        <v>1</v>
      </c>
      <c r="O1850" s="247">
        <f t="shared" ca="1" si="279"/>
        <v>2401.0911658824502</v>
      </c>
      <c r="P1850" s="247">
        <f t="shared" ca="1" si="278"/>
        <v>2401.0911658824502</v>
      </c>
    </row>
    <row r="1851" spans="1:16" s="247" customFormat="1" x14ac:dyDescent="0.3">
      <c r="A1851" s="247">
        <f>MATCH(Calcs!B1851,Paste_Report_Here!$1:$1,0) -1</f>
        <v>12</v>
      </c>
      <c r="B1851" s="247" t="s">
        <v>130</v>
      </c>
      <c r="C1851" s="166">
        <f ca="1">RANK(N1851,N1844:N1868)</f>
        <v>7</v>
      </c>
      <c r="D1851" s="166">
        <f ca="1">RANK(P1851,P1844:P1868)</f>
        <v>9</v>
      </c>
      <c r="E1851" s="189" t="s">
        <v>159</v>
      </c>
      <c r="F1851" s="179">
        <f ca="1">COUNTIFS(Paste_Report_Here!$E$1:$E$2000,E1838, OFFSET(Paste_Report_Here!$A$1,0,$A1851,2000,1),F$75)</f>
        <v>0</v>
      </c>
      <c r="G1851" s="180">
        <f ca="1">COUNTIFS(Paste_Report_Here!$E$1:$E$2000,E1838, OFFSET(Paste_Report_Here!$A$1,0,$A1851,2000,1),G$75)</f>
        <v>1</v>
      </c>
      <c r="H1851" s="180">
        <f ca="1">COUNTIFS(Paste_Report_Here!$E$1:$E$2000,E1838, OFFSET(Paste_Report_Here!$A$1,0,$A1851,2000,1),H$75)</f>
        <v>24</v>
      </c>
      <c r="I1851" s="180">
        <f ca="1">COUNTIFS(Paste_Report_Here!$E$1:$E$2000,E1838, OFFSET(Paste_Report_Here!$A$1,0,$A1851,2000,1),I$75)</f>
        <v>8</v>
      </c>
      <c r="J1851" s="180">
        <f ca="1">COUNTIFS(Paste_Report_Here!$E$1:$E$2000,E1838, OFFSET(Paste_Report_Here!$A$1,0,$A1851,2000,1),J$75)</f>
        <v>0</v>
      </c>
      <c r="K1851" s="181">
        <f ca="1">COUNTIFS(Paste_Report_Here!$E$1:$E$2000,E1838, OFFSET(Paste_Report_Here!$A$1,0,$A1851,2000,1),K$75)</f>
        <v>0</v>
      </c>
      <c r="L1851" s="166">
        <f t="shared" ca="1" si="276"/>
        <v>33</v>
      </c>
      <c r="M1851" s="183">
        <f ca="1">SUMPRODUCT(F1851:K1851,F1842:K1842)/L:L</f>
        <v>0</v>
      </c>
      <c r="N1851" s="166">
        <f t="shared" ca="1" si="277"/>
        <v>1</v>
      </c>
      <c r="O1851" s="247">
        <f t="shared" ca="1" si="279"/>
        <v>2456.7313135425488</v>
      </c>
      <c r="P1851" s="247">
        <f t="shared" ca="1" si="278"/>
        <v>2456.7313135425488</v>
      </c>
    </row>
    <row r="1852" spans="1:16" s="247" customFormat="1" x14ac:dyDescent="0.3">
      <c r="A1852" s="247">
        <f>MATCH(Calcs!B1852,Paste_Report_Here!$1:$1,0) -1</f>
        <v>13</v>
      </c>
      <c r="B1852" s="247" t="s">
        <v>131</v>
      </c>
      <c r="C1852" s="166">
        <f ca="1">RANK(N1852,N1844:N1868)</f>
        <v>1</v>
      </c>
      <c r="D1852" s="166">
        <f ca="1">RANK(P1852,P1844:P1868)</f>
        <v>2</v>
      </c>
      <c r="E1852" s="189" t="s">
        <v>160</v>
      </c>
      <c r="F1852" s="179">
        <f ca="1">COUNTIFS(Paste_Report_Here!$E$1:$E$2000,E1838, OFFSET(Paste_Report_Here!$A$1,0,$A1852,2000,1),F$75)</f>
        <v>0</v>
      </c>
      <c r="G1852" s="180">
        <f ca="1">COUNTIFS(Paste_Report_Here!$E$1:$E$2000,E1838, OFFSET(Paste_Report_Here!$A$1,0,$A1852,2000,1),G$75)</f>
        <v>2</v>
      </c>
      <c r="H1852" s="180">
        <f ca="1">COUNTIFS(Paste_Report_Here!$E$1:$E$2000,E1838, OFFSET(Paste_Report_Here!$A$1,0,$A1852,2000,1),H$75)</f>
        <v>21</v>
      </c>
      <c r="I1852" s="180">
        <f ca="1">COUNTIFS(Paste_Report_Here!$E$1:$E$2000,E1838, OFFSET(Paste_Report_Here!$A$1,0,$A1852,2000,1),I$75)</f>
        <v>7</v>
      </c>
      <c r="J1852" s="180">
        <f ca="1">COUNTIFS(Paste_Report_Here!$E$1:$E$2000,E1838, OFFSET(Paste_Report_Here!$A$1,0,$A1852,2000,1),J$75)</f>
        <v>3</v>
      </c>
      <c r="K1852" s="181">
        <f ca="1">COUNTIFS(Paste_Report_Here!$E$1:$E$2000,E1838, OFFSET(Paste_Report_Here!$A$1,0,$A1852,2000,1),K$75)</f>
        <v>0</v>
      </c>
      <c r="L1852" s="166">
        <f t="shared" ca="1" si="276"/>
        <v>33</v>
      </c>
      <c r="M1852" s="183">
        <f ca="1">SUMPRODUCT(F1852:K1852,F1842:K1842)/L:L</f>
        <v>1.8181818181818184E-2</v>
      </c>
      <c r="N1852" s="166">
        <f t="shared" ca="1" si="277"/>
        <v>1.0183481137611157</v>
      </c>
      <c r="O1852" s="247">
        <f t="shared" ca="1" si="279"/>
        <v>5545.3827464086935</v>
      </c>
      <c r="P1852" s="247">
        <f t="shared" ca="1" si="278"/>
        <v>5647.1300598887283</v>
      </c>
    </row>
    <row r="1853" spans="1:16" s="247" customFormat="1" x14ac:dyDescent="0.3">
      <c r="A1853" s="247">
        <f>MATCH(Calcs!B1853,Paste_Report_Here!$1:$1,0) -1</f>
        <v>14</v>
      </c>
      <c r="B1853" s="247" t="s">
        <v>132</v>
      </c>
      <c r="C1853" s="166">
        <f ca="1">RANK(N1853,N1844:N1868)</f>
        <v>2</v>
      </c>
      <c r="D1853" s="166">
        <f ca="1">RANK(P1853,P1844:P1868)</f>
        <v>12</v>
      </c>
      <c r="E1853" s="189" t="s">
        <v>161</v>
      </c>
      <c r="F1853" s="179">
        <f ca="1">COUNTIFS(Paste_Report_Here!$E$1:$E$2000,E1838, OFFSET(Paste_Report_Here!$A$1,0,$A1853,2000,1),F$75)</f>
        <v>0</v>
      </c>
      <c r="G1853" s="180">
        <f ca="1">COUNTIFS(Paste_Report_Here!$E$1:$E$2000,E1838, OFFSET(Paste_Report_Here!$A$1,0,$A1853,2000,1),G$75)</f>
        <v>1</v>
      </c>
      <c r="H1853" s="180">
        <f ca="1">COUNTIFS(Paste_Report_Here!$E$1:$E$2000,E1838, OFFSET(Paste_Report_Here!$A$1,0,$A1853,2000,1),H$75)</f>
        <v>26</v>
      </c>
      <c r="I1853" s="180">
        <f ca="1">COUNTIFS(Paste_Report_Here!$E$1:$E$2000,E1838, OFFSET(Paste_Report_Here!$A$1,0,$A1853,2000,1),I$75)</f>
        <v>5</v>
      </c>
      <c r="J1853" s="180">
        <f ca="1">COUNTIFS(Paste_Report_Here!$E$1:$E$2000,E1838, OFFSET(Paste_Report_Here!$A$1,0,$A1853,2000,1),J$75)</f>
        <v>1</v>
      </c>
      <c r="K1853" s="181">
        <f ca="1">COUNTIFS(Paste_Report_Here!$E$1:$E$2000,E1838, OFFSET(Paste_Report_Here!$A$1,0,$A1853,2000,1),K$75)</f>
        <v>0</v>
      </c>
      <c r="L1853" s="166">
        <f t="shared" ca="1" si="276"/>
        <v>33</v>
      </c>
      <c r="M1853" s="183">
        <f ca="1">SUMPRODUCT(F1853:K1853,F1842:K1842)/L:L</f>
        <v>6.0606060606060606E-3</v>
      </c>
      <c r="N1853" s="166">
        <f t="shared" ca="1" si="277"/>
        <v>1.0060790086917657</v>
      </c>
      <c r="O1853" s="247">
        <f t="shared" ca="1" si="279"/>
        <v>2330.1916827641116</v>
      </c>
      <c r="P1853" s="247">
        <f t="shared" ca="1" si="278"/>
        <v>2344.356938257115</v>
      </c>
    </row>
    <row r="1854" spans="1:16" s="247" customFormat="1" x14ac:dyDescent="0.3">
      <c r="A1854" s="247">
        <f>MATCH(Calcs!B1854,Paste_Report_Here!$1:$1,0) -1</f>
        <v>15</v>
      </c>
      <c r="B1854" s="247" t="s">
        <v>133</v>
      </c>
      <c r="C1854" s="166">
        <f ca="1">RANK(N1854,N1844:N1868)</f>
        <v>7</v>
      </c>
      <c r="D1854" s="166">
        <f ca="1">RANK(P1854,P1844:P1868)</f>
        <v>6</v>
      </c>
      <c r="E1854" s="189" t="s">
        <v>162</v>
      </c>
      <c r="F1854" s="179">
        <f ca="1">COUNTIFS(Paste_Report_Here!$E$1:$E$2000,E1838, OFFSET(Paste_Report_Here!$A$1,0,$A1854,2000,1),F$75)</f>
        <v>0</v>
      </c>
      <c r="G1854" s="180">
        <f ca="1">COUNTIFS(Paste_Report_Here!$E$1:$E$2000,E1838, OFFSET(Paste_Report_Here!$A$1,0,$A1854,2000,1),G$75)</f>
        <v>1</v>
      </c>
      <c r="H1854" s="180">
        <f ca="1">COUNTIFS(Paste_Report_Here!$E$1:$E$2000,E1838, OFFSET(Paste_Report_Here!$A$1,0,$A1854,2000,1),H$75)</f>
        <v>22</v>
      </c>
      <c r="I1854" s="180">
        <f ca="1">COUNTIFS(Paste_Report_Here!$E$1:$E$2000,E1838, OFFSET(Paste_Report_Here!$A$1,0,$A1854,2000,1),I$75)</f>
        <v>10</v>
      </c>
      <c r="J1854" s="180">
        <f ca="1">COUNTIFS(Paste_Report_Here!$E$1:$E$2000,E1838, OFFSET(Paste_Report_Here!$A$1,0,$A1854,2000,1),J$75)</f>
        <v>0</v>
      </c>
      <c r="K1854" s="181">
        <f ca="1">COUNTIFS(Paste_Report_Here!$E$1:$E$2000,E1838, OFFSET(Paste_Report_Here!$A$1,0,$A1854,2000,1),K$75)</f>
        <v>0</v>
      </c>
      <c r="L1854" s="166">
        <f t="shared" ca="1" si="276"/>
        <v>33</v>
      </c>
      <c r="M1854" s="183">
        <f ca="1">SUMPRODUCT(F1854:K1854,F1842:K1842)/L:L</f>
        <v>0</v>
      </c>
      <c r="N1854" s="166">
        <f t="shared" ca="1" si="277"/>
        <v>1</v>
      </c>
      <c r="O1854" s="247">
        <f t="shared" ca="1" si="279"/>
        <v>3444.7245989385078</v>
      </c>
      <c r="P1854" s="247">
        <f t="shared" ca="1" si="278"/>
        <v>3444.7245989385078</v>
      </c>
    </row>
    <row r="1855" spans="1:16" s="247" customFormat="1" x14ac:dyDescent="0.3">
      <c r="A1855" s="247">
        <f>MATCH(Calcs!B1855,Paste_Report_Here!$1:$1,0) -1</f>
        <v>16</v>
      </c>
      <c r="B1855" s="247" t="s">
        <v>134</v>
      </c>
      <c r="C1855" s="166">
        <f ca="1">RANK(N1855,N1844:N1868)</f>
        <v>7</v>
      </c>
      <c r="D1855" s="166">
        <f ca="1">RANK(P1855,P1844:P1868)</f>
        <v>25</v>
      </c>
      <c r="E1855" s="189" t="s">
        <v>163</v>
      </c>
      <c r="F1855" s="179">
        <f ca="1">COUNTIFS(Paste_Report_Here!$E$1:$E$2000,E1838, OFFSET(Paste_Report_Here!$A$1,0,$A1855,2000,1),F$75)</f>
        <v>0</v>
      </c>
      <c r="G1855" s="180">
        <f ca="1">COUNTIFS(Paste_Report_Here!$E$1:$E$2000,E1838, OFFSET(Paste_Report_Here!$A$1,0,$A1855,2000,1),G$75)</f>
        <v>2</v>
      </c>
      <c r="H1855" s="180">
        <f ca="1">COUNTIFS(Paste_Report_Here!$E$1:$E$2000,E1838, OFFSET(Paste_Report_Here!$A$1,0,$A1855,2000,1),H$75)</f>
        <v>27</v>
      </c>
      <c r="I1855" s="180">
        <f ca="1">COUNTIFS(Paste_Report_Here!$E$1:$E$2000,E1838, OFFSET(Paste_Report_Here!$A$1,0,$A1855,2000,1),I$75)</f>
        <v>4</v>
      </c>
      <c r="J1855" s="180">
        <f ca="1">COUNTIFS(Paste_Report_Here!$E$1:$E$2000,E1838, OFFSET(Paste_Report_Here!$A$1,0,$A1855,2000,1),J$75)</f>
        <v>0</v>
      </c>
      <c r="K1855" s="181">
        <f ca="1">COUNTIFS(Paste_Report_Here!$E$1:$E$2000,E1838, OFFSET(Paste_Report_Here!$A$1,0,$A1855,2000,1),K$75)</f>
        <v>0</v>
      </c>
      <c r="L1855" s="166">
        <f t="shared" ca="1" si="276"/>
        <v>33</v>
      </c>
      <c r="M1855" s="183">
        <f ca="1">SUMPRODUCT(F1855:K1855,F1842:K1842)/L:L</f>
        <v>0</v>
      </c>
      <c r="N1855" s="166">
        <f t="shared" ca="1" si="277"/>
        <v>1</v>
      </c>
      <c r="O1855" s="247">
        <f t="shared" ca="1" si="279"/>
        <v>1145.7546405911432</v>
      </c>
      <c r="P1855" s="247">
        <f t="shared" ca="1" si="278"/>
        <v>1145.7546405911432</v>
      </c>
    </row>
    <row r="1856" spans="1:16" s="247" customFormat="1" x14ac:dyDescent="0.3">
      <c r="A1856" s="247">
        <f>MATCH(Calcs!B1856,Paste_Report_Here!$1:$1,0) -1</f>
        <v>17</v>
      </c>
      <c r="B1856" s="247" t="s">
        <v>135</v>
      </c>
      <c r="C1856" s="166">
        <f ca="1">RANK(N1856,N1844:N1868)</f>
        <v>7</v>
      </c>
      <c r="D1856" s="166">
        <f ca="1">RANK(P1856,P1844:P1868)</f>
        <v>19</v>
      </c>
      <c r="E1856" s="189" t="s">
        <v>164</v>
      </c>
      <c r="F1856" s="179">
        <f ca="1">COUNTIFS(Paste_Report_Here!$E$1:$E$2000,E1838, OFFSET(Paste_Report_Here!$A$1,0,$A1856,2000,1),F$75)</f>
        <v>0</v>
      </c>
      <c r="G1856" s="180">
        <f ca="1">COUNTIFS(Paste_Report_Here!$E$1:$E$2000,E1838, OFFSET(Paste_Report_Here!$A$1,0,$A1856,2000,1),G$75)</f>
        <v>2</v>
      </c>
      <c r="H1856" s="180">
        <f ca="1">COUNTIFS(Paste_Report_Here!$E$1:$E$2000,E1838, OFFSET(Paste_Report_Here!$A$1,0,$A1856,2000,1),H$75)</f>
        <v>23</v>
      </c>
      <c r="I1856" s="180">
        <f ca="1">COUNTIFS(Paste_Report_Here!$E$1:$E$2000,E1838, OFFSET(Paste_Report_Here!$A$1,0,$A1856,2000,1),I$75)</f>
        <v>8</v>
      </c>
      <c r="J1856" s="180">
        <f ca="1">COUNTIFS(Paste_Report_Here!$E$1:$E$2000,E1838, OFFSET(Paste_Report_Here!$A$1,0,$A1856,2000,1),J$75)</f>
        <v>0</v>
      </c>
      <c r="K1856" s="181">
        <f ca="1">COUNTIFS(Paste_Report_Here!$E$1:$E$2000,E1838, OFFSET(Paste_Report_Here!$A$1,0,$A1856,2000,1),K$75)</f>
        <v>0</v>
      </c>
      <c r="L1856" s="166">
        <f t="shared" ca="1" si="276"/>
        <v>33</v>
      </c>
      <c r="M1856" s="183">
        <f ca="1">SUMPRODUCT(F1856:K1856,F1842:K1842)/L:L</f>
        <v>0</v>
      </c>
      <c r="N1856" s="166">
        <f t="shared" ca="1" si="277"/>
        <v>1</v>
      </c>
      <c r="O1856" s="247">
        <f t="shared" ca="1" si="279"/>
        <v>1825.9809746628607</v>
      </c>
      <c r="P1856" s="247">
        <f t="shared" ca="1" si="278"/>
        <v>1825.9809746628607</v>
      </c>
    </row>
    <row r="1857" spans="1:16" s="247" customFormat="1" x14ac:dyDescent="0.3">
      <c r="A1857" s="247">
        <f>MATCH(Calcs!B1857,Paste_Report_Here!$1:$1,0) -1</f>
        <v>18</v>
      </c>
      <c r="B1857" s="247" t="s">
        <v>136</v>
      </c>
      <c r="C1857" s="166">
        <f ca="1">RANK(N1857,N1844:N1868)</f>
        <v>7</v>
      </c>
      <c r="D1857" s="166">
        <f ca="1">RANK(P1857,P1844:P1868)</f>
        <v>4</v>
      </c>
      <c r="E1857" s="189" t="s">
        <v>165</v>
      </c>
      <c r="F1857" s="179">
        <f ca="1">COUNTIFS(Paste_Report_Here!$E$1:$E$2000,E1838, OFFSET(Paste_Report_Here!$A$1,0,$A1857,2000,1),F$75)</f>
        <v>0</v>
      </c>
      <c r="G1857" s="180">
        <f ca="1">COUNTIFS(Paste_Report_Here!$E$1:$E$2000,E1838, OFFSET(Paste_Report_Here!$A$1,0,$A1857,2000,1),G$75)</f>
        <v>1</v>
      </c>
      <c r="H1857" s="180">
        <f ca="1">COUNTIFS(Paste_Report_Here!$E$1:$E$2000,E1838, OFFSET(Paste_Report_Here!$A$1,0,$A1857,2000,1),H$75)</f>
        <v>23</v>
      </c>
      <c r="I1857" s="180">
        <f ca="1">COUNTIFS(Paste_Report_Here!$E$1:$E$2000,E1838, OFFSET(Paste_Report_Here!$A$1,0,$A1857,2000,1),I$75)</f>
        <v>9</v>
      </c>
      <c r="J1857" s="180">
        <f ca="1">COUNTIFS(Paste_Report_Here!$E$1:$E$2000,E1838, OFFSET(Paste_Report_Here!$A$1,0,$A1857,2000,1),J$75)</f>
        <v>0</v>
      </c>
      <c r="K1857" s="181">
        <f ca="1">COUNTIFS(Paste_Report_Here!$E$1:$E$2000,E1838, OFFSET(Paste_Report_Here!$A$1,0,$A1857,2000,1),K$75)</f>
        <v>0</v>
      </c>
      <c r="L1857" s="166">
        <f t="shared" ca="1" si="276"/>
        <v>33</v>
      </c>
      <c r="M1857" s="183">
        <f ca="1">SUMPRODUCT(F1857:K1857,F1842:K1842)/L:L</f>
        <v>0</v>
      </c>
      <c r="N1857" s="166">
        <f t="shared" ca="1" si="277"/>
        <v>1</v>
      </c>
      <c r="O1857" s="247">
        <f t="shared" ca="1" si="279"/>
        <v>4235.9863747451882</v>
      </c>
      <c r="P1857" s="247">
        <f t="shared" ca="1" si="278"/>
        <v>4235.9863747451882</v>
      </c>
    </row>
    <row r="1858" spans="1:16" s="247" customFormat="1" x14ac:dyDescent="0.3">
      <c r="A1858" s="247">
        <f>MATCH(Calcs!B1858,Paste_Report_Here!$1:$1,0) -1</f>
        <v>19</v>
      </c>
      <c r="B1858" s="247" t="s">
        <v>137</v>
      </c>
      <c r="C1858" s="166">
        <f ca="1">RANK(N1858,N1844:N1868)</f>
        <v>7</v>
      </c>
      <c r="D1858" s="166">
        <f ca="1">RANK(P1858,P1844:P1868)</f>
        <v>16</v>
      </c>
      <c r="E1858" s="189" t="s">
        <v>166</v>
      </c>
      <c r="F1858" s="179">
        <f ca="1">COUNTIFS(Paste_Report_Here!$E$1:$E$2000,E1838, OFFSET(Paste_Report_Here!$A$1,0,$A1858,2000,1),F$75)</f>
        <v>0</v>
      </c>
      <c r="G1858" s="180">
        <f ca="1">COUNTIFS(Paste_Report_Here!$E$1:$E$2000,E1838, OFFSET(Paste_Report_Here!$A$1,0,$A1858,2000,1),G$75)</f>
        <v>1</v>
      </c>
      <c r="H1858" s="180">
        <f ca="1">COUNTIFS(Paste_Report_Here!$E$1:$E$2000,E1838, OFFSET(Paste_Report_Here!$A$1,0,$A1858,2000,1),H$75)</f>
        <v>26</v>
      </c>
      <c r="I1858" s="180">
        <f ca="1">COUNTIFS(Paste_Report_Here!$E$1:$E$2000,E1838, OFFSET(Paste_Report_Here!$A$1,0,$A1858,2000,1),I$75)</f>
        <v>6</v>
      </c>
      <c r="J1858" s="180">
        <f ca="1">COUNTIFS(Paste_Report_Here!$E$1:$E$2000,E1838, OFFSET(Paste_Report_Here!$A$1,0,$A1858,2000,1),J$75)</f>
        <v>0</v>
      </c>
      <c r="K1858" s="181">
        <f ca="1">COUNTIFS(Paste_Report_Here!$E$1:$E$2000,E1838, OFFSET(Paste_Report_Here!$A$1,0,$A1858,2000,1),K$75)</f>
        <v>0</v>
      </c>
      <c r="L1858" s="166">
        <f t="shared" ca="1" si="276"/>
        <v>33</v>
      </c>
      <c r="M1858" s="183">
        <f ca="1">SUMPRODUCT(F1858:K1858,F1842:K1842)/L:L</f>
        <v>0</v>
      </c>
      <c r="N1858" s="166">
        <f t="shared" ca="1" si="277"/>
        <v>1</v>
      </c>
      <c r="O1858" s="247">
        <f t="shared" ca="1" si="279"/>
        <v>2172.3298807561337</v>
      </c>
      <c r="P1858" s="247">
        <f t="shared" ca="1" si="278"/>
        <v>2172.3298807561337</v>
      </c>
    </row>
    <row r="1859" spans="1:16" s="247" customFormat="1" x14ac:dyDescent="0.3">
      <c r="A1859" s="247">
        <f>MATCH(Calcs!B1859,Paste_Report_Here!$1:$1,0) -1</f>
        <v>20</v>
      </c>
      <c r="B1859" s="247" t="s">
        <v>138</v>
      </c>
      <c r="C1859" s="166">
        <f ca="1">RANK(N1859,N1844:N1868)</f>
        <v>7</v>
      </c>
      <c r="D1859" s="166">
        <f ca="1">RANK(P1859,P1844:P1868)</f>
        <v>20</v>
      </c>
      <c r="E1859" s="189" t="s">
        <v>167</v>
      </c>
      <c r="F1859" s="179">
        <f ca="1">COUNTIFS(Paste_Report_Here!$E$1:$E$2000,E1838, OFFSET(Paste_Report_Here!$A$1,0,$A1859,2000,1),F$75)</f>
        <v>0</v>
      </c>
      <c r="G1859" s="180">
        <f ca="1">COUNTIFS(Paste_Report_Here!$E$1:$E$2000,E1838, OFFSET(Paste_Report_Here!$A$1,0,$A1859,2000,1),G$75)</f>
        <v>2</v>
      </c>
      <c r="H1859" s="180">
        <f ca="1">COUNTIFS(Paste_Report_Here!$E$1:$E$2000,E1838, OFFSET(Paste_Report_Here!$A$1,0,$A1859,2000,1),H$75)</f>
        <v>26</v>
      </c>
      <c r="I1859" s="180">
        <f ca="1">COUNTIFS(Paste_Report_Here!$E$1:$E$2000,E1838, OFFSET(Paste_Report_Here!$A$1,0,$A1859,2000,1),I$75)</f>
        <v>5</v>
      </c>
      <c r="J1859" s="180">
        <f ca="1">COUNTIFS(Paste_Report_Here!$E$1:$E$2000,E1838, OFFSET(Paste_Report_Here!$A$1,0,$A1859,2000,1),J$75)</f>
        <v>0</v>
      </c>
      <c r="K1859" s="181">
        <f ca="1">COUNTIFS(Paste_Report_Here!$E$1:$E$2000,E1838, OFFSET(Paste_Report_Here!$A$1,0,$A1859,2000,1),K$75)</f>
        <v>0</v>
      </c>
      <c r="L1859" s="166">
        <f t="shared" ca="1" si="276"/>
        <v>33</v>
      </c>
      <c r="M1859" s="183">
        <f ca="1">SUMPRODUCT(F1859:K1859,F1842:K1842)/L:L</f>
        <v>0</v>
      </c>
      <c r="N1859" s="166">
        <f t="shared" ca="1" si="277"/>
        <v>1</v>
      </c>
      <c r="O1859" s="247">
        <f t="shared" ca="1" si="279"/>
        <v>1780.1265286175435</v>
      </c>
      <c r="P1859" s="247">
        <f t="shared" ca="1" si="278"/>
        <v>1780.1265286175435</v>
      </c>
    </row>
    <row r="1860" spans="1:16" s="247" customFormat="1" x14ac:dyDescent="0.3">
      <c r="A1860" s="247">
        <f>MATCH(Calcs!B1860,Paste_Report_Here!$1:$1,0) -1</f>
        <v>21</v>
      </c>
      <c r="B1860" s="247" t="s">
        <v>139</v>
      </c>
      <c r="C1860" s="166">
        <f ca="1">RANK(N1860,N1844:N1868)</f>
        <v>7</v>
      </c>
      <c r="D1860" s="166">
        <f ca="1">RANK(P1860,P1844:P1868)</f>
        <v>18</v>
      </c>
      <c r="E1860" s="189" t="s">
        <v>168</v>
      </c>
      <c r="F1860" s="179">
        <f ca="1">COUNTIFS(Paste_Report_Here!$E$1:$E$2000,E1838, OFFSET(Paste_Report_Here!$A$1,0,$A1860,2000,1),F$75)</f>
        <v>0</v>
      </c>
      <c r="G1860" s="180">
        <f ca="1">COUNTIFS(Paste_Report_Here!$E$1:$E$2000,E1838, OFFSET(Paste_Report_Here!$A$1,0,$A1860,2000,1),G$75)</f>
        <v>3</v>
      </c>
      <c r="H1860" s="180">
        <f ca="1">COUNTIFS(Paste_Report_Here!$E$1:$E$2000,E1838, OFFSET(Paste_Report_Here!$A$1,0,$A1860,2000,1),H$75)</f>
        <v>26</v>
      </c>
      <c r="I1860" s="180">
        <f ca="1">COUNTIFS(Paste_Report_Here!$E$1:$E$2000,E1838, OFFSET(Paste_Report_Here!$A$1,0,$A1860,2000,1),I$75)</f>
        <v>4</v>
      </c>
      <c r="J1860" s="180">
        <f ca="1">COUNTIFS(Paste_Report_Here!$E$1:$E$2000,E1838, OFFSET(Paste_Report_Here!$A$1,0,$A1860,2000,1),J$75)</f>
        <v>0</v>
      </c>
      <c r="K1860" s="181">
        <f ca="1">COUNTIFS(Paste_Report_Here!$E$1:$E$2000,E1838, OFFSET(Paste_Report_Here!$A$1,0,$A1860,2000,1),K$75)</f>
        <v>0</v>
      </c>
      <c r="L1860" s="166">
        <f t="shared" ca="1" si="276"/>
        <v>33</v>
      </c>
      <c r="M1860" s="183">
        <f ca="1">SUMPRODUCT(F1860:K1860,F1842:K1842)/L:L</f>
        <v>0</v>
      </c>
      <c r="N1860" s="166">
        <f t="shared" ca="1" si="277"/>
        <v>1</v>
      </c>
      <c r="O1860" s="247">
        <f t="shared" ca="1" si="279"/>
        <v>1954.5604673424361</v>
      </c>
      <c r="P1860" s="247">
        <f t="shared" ca="1" si="278"/>
        <v>1954.5604673424361</v>
      </c>
    </row>
    <row r="1861" spans="1:16" s="247" customFormat="1" x14ac:dyDescent="0.3">
      <c r="A1861" s="247">
        <f>MATCH(Calcs!B1861,Paste_Report_Here!$1:$1,0) -1</f>
        <v>22</v>
      </c>
      <c r="B1861" s="247" t="s">
        <v>140</v>
      </c>
      <c r="C1861" s="166">
        <f ca="1">RANK(N1861,N1844:N1868)</f>
        <v>2</v>
      </c>
      <c r="D1861" s="166">
        <f ca="1">RANK(P1861,P1844:P1868)</f>
        <v>14</v>
      </c>
      <c r="E1861" s="189" t="s">
        <v>169</v>
      </c>
      <c r="F1861" s="179">
        <f ca="1">COUNTIFS(Paste_Report_Here!$E$1:$E$2000,E1838, OFFSET(Paste_Report_Here!$A$1,0,$A1861,2000,1),F$75)</f>
        <v>0</v>
      </c>
      <c r="G1861" s="180">
        <f ca="1">COUNTIFS(Paste_Report_Here!$E$1:$E$2000,E1838, OFFSET(Paste_Report_Here!$A$1,0,$A1861,2000,1),G$75)</f>
        <v>1</v>
      </c>
      <c r="H1861" s="180">
        <f ca="1">COUNTIFS(Paste_Report_Here!$E$1:$E$2000,E1838, OFFSET(Paste_Report_Here!$A$1,0,$A1861,2000,1),H$75)</f>
        <v>25</v>
      </c>
      <c r="I1861" s="180">
        <f ca="1">COUNTIFS(Paste_Report_Here!$E$1:$E$2000,E1838, OFFSET(Paste_Report_Here!$A$1,0,$A1861,2000,1),I$75)</f>
        <v>6</v>
      </c>
      <c r="J1861" s="180">
        <f ca="1">COUNTIFS(Paste_Report_Here!$E$1:$E$2000,E1838, OFFSET(Paste_Report_Here!$A$1,0,$A1861,2000,1),J$75)</f>
        <v>1</v>
      </c>
      <c r="K1861" s="181">
        <f ca="1">COUNTIFS(Paste_Report_Here!$E$1:$E$2000,E1838, OFFSET(Paste_Report_Here!$A$1,0,$A1861,2000,1),K$75)</f>
        <v>0</v>
      </c>
      <c r="L1861" s="166">
        <f t="shared" ca="1" si="276"/>
        <v>33</v>
      </c>
      <c r="M1861" s="183">
        <f ca="1">SUMPRODUCT(F1861:K1861,F1842:K1842)/L:L</f>
        <v>6.0606060606060606E-3</v>
      </c>
      <c r="N1861" s="166">
        <f t="shared" ca="1" si="277"/>
        <v>1.0060790086917657</v>
      </c>
      <c r="O1861" s="247">
        <f t="shared" ca="1" si="279"/>
        <v>2246.9550291863311</v>
      </c>
      <c r="P1861" s="247">
        <f t="shared" ca="1" si="278"/>
        <v>2260.6142883387615</v>
      </c>
    </row>
    <row r="1862" spans="1:16" s="247" customFormat="1" x14ac:dyDescent="0.3">
      <c r="A1862" s="247">
        <f>MATCH(Calcs!B1862,Paste_Report_Here!$1:$1,0) -1</f>
        <v>23</v>
      </c>
      <c r="B1862" s="247" t="s">
        <v>186</v>
      </c>
      <c r="C1862" s="166">
        <f ca="1">RANK(N1862,N1844:N1868)</f>
        <v>7</v>
      </c>
      <c r="D1862" s="166">
        <f ca="1">RANK(P1862,P1844:P1868)</f>
        <v>3</v>
      </c>
      <c r="E1862" s="189" t="s">
        <v>180</v>
      </c>
      <c r="F1862" s="179">
        <f ca="1">COUNTIFS(Paste_Report_Here!$E$1:$E$2000,E1838, OFFSET(Paste_Report_Here!$A$1,0,$A1862,2000,1),F$75)</f>
        <v>0</v>
      </c>
      <c r="G1862" s="180">
        <f ca="1">COUNTIFS(Paste_Report_Here!$E$1:$E$2000,E1838, OFFSET(Paste_Report_Here!$A$1,0,$A1862,2000,1),G$75)</f>
        <v>1</v>
      </c>
      <c r="H1862" s="180">
        <f ca="1">COUNTIFS(Paste_Report_Here!$E$1:$E$2000,E1838, OFFSET(Paste_Report_Here!$A$1,0,$A1862,2000,1),H$75)</f>
        <v>24</v>
      </c>
      <c r="I1862" s="180">
        <f ca="1">COUNTIFS(Paste_Report_Here!$E$1:$E$2000,E1838, OFFSET(Paste_Report_Here!$A$1,0,$A1862,2000,1),I$75)</f>
        <v>8</v>
      </c>
      <c r="J1862" s="180">
        <f ca="1">COUNTIFS(Paste_Report_Here!$E$1:$E$2000,E1838, OFFSET(Paste_Report_Here!$A$1,0,$A1862,2000,1),J$75)</f>
        <v>0</v>
      </c>
      <c r="K1862" s="181">
        <f ca="1">COUNTIFS(Paste_Report_Here!$E$1:$E$2000,E1838, OFFSET(Paste_Report_Here!$A$1,0,$A1862,2000,1),K$75)</f>
        <v>0</v>
      </c>
      <c r="L1862" s="166">
        <f t="shared" ca="1" si="276"/>
        <v>33</v>
      </c>
      <c r="M1862" s="183">
        <f ca="1">SUMPRODUCT(F1862:K1862,F1842:K1842)/L:L</f>
        <v>0</v>
      </c>
      <c r="N1862" s="166">
        <f t="shared" ca="1" si="277"/>
        <v>1</v>
      </c>
      <c r="O1862" s="247">
        <f t="shared" ca="1" si="279"/>
        <v>4603.9701547168643</v>
      </c>
      <c r="P1862" s="247">
        <f t="shared" ca="1" si="278"/>
        <v>4603.9701547168643</v>
      </c>
    </row>
    <row r="1863" spans="1:16" s="247" customFormat="1" x14ac:dyDescent="0.3">
      <c r="A1863" s="247">
        <f>MATCH(Calcs!B1863,Paste_Report_Here!$1:$1,0) -1</f>
        <v>24</v>
      </c>
      <c r="B1863" s="247" t="s">
        <v>209</v>
      </c>
      <c r="C1863" s="166">
        <f ca="1">RANK(N1863,N1844:N1868)</f>
        <v>7</v>
      </c>
      <c r="D1863" s="166">
        <f ca="1">RANK(P1863,P1844:P1868)</f>
        <v>23</v>
      </c>
      <c r="E1863" s="202" t="s">
        <v>211</v>
      </c>
      <c r="F1863" s="179">
        <f ca="1">COUNTIFS(Paste_Report_Here!$E$1:$E$2000,E1838, OFFSET(Paste_Report_Here!$A$1,0,$A1863,2000,1),F$75)</f>
        <v>0</v>
      </c>
      <c r="G1863" s="180">
        <f ca="1">COUNTIFS(Paste_Report_Here!$E$1:$E$2000,E1838, OFFSET(Paste_Report_Here!$A$1,0,$A1863,2000,1),G$75)</f>
        <v>1</v>
      </c>
      <c r="H1863" s="180">
        <f ca="1">COUNTIFS(Paste_Report_Here!$E$1:$E$2000,E1838, OFFSET(Paste_Report_Here!$A$1,0,$A1863,2000,1),H$75)</f>
        <v>27</v>
      </c>
      <c r="I1863" s="180">
        <f ca="1">COUNTIFS(Paste_Report_Here!$E$1:$E$2000,E1838, OFFSET(Paste_Report_Here!$A$1,0,$A1863,2000,1),I$75)</f>
        <v>5</v>
      </c>
      <c r="J1863" s="180">
        <f ca="1">COUNTIFS(Paste_Report_Here!$E$1:$E$2000,E1838, OFFSET(Paste_Report_Here!$A$1,0,$A1863,2000,1),J$75)</f>
        <v>0</v>
      </c>
      <c r="K1863" s="181">
        <f ca="1">COUNTIFS(Paste_Report_Here!$E$1:$E$2000,E1838, OFFSET(Paste_Report_Here!$A$1,0,$A1863,2000,1),K$75)</f>
        <v>0</v>
      </c>
      <c r="L1863" s="166">
        <f t="shared" ca="1" si="276"/>
        <v>33</v>
      </c>
      <c r="M1863" s="183">
        <f ca="1">SUMPRODUCT(F1863:K1863,F1842:K1842)/L:L</f>
        <v>0</v>
      </c>
      <c r="N1863" s="166">
        <f t="shared" ca="1" si="277"/>
        <v>1</v>
      </c>
      <c r="O1863" s="247">
        <f t="shared" ca="1" si="279"/>
        <v>1228.5431988795115</v>
      </c>
      <c r="P1863" s="247">
        <f t="shared" ca="1" si="278"/>
        <v>1228.5431988795115</v>
      </c>
    </row>
    <row r="1864" spans="1:16" s="247" customFormat="1" x14ac:dyDescent="0.3">
      <c r="A1864" s="247">
        <f>MATCH(Calcs!B1864,Paste_Report_Here!$1:$1,0) -1</f>
        <v>25</v>
      </c>
      <c r="B1864" s="247" t="s">
        <v>141</v>
      </c>
      <c r="C1864" s="166">
        <f ca="1">RANK(N1864,N1844:N1868)</f>
        <v>7</v>
      </c>
      <c r="D1864" s="166">
        <f ca="1">RANK(P1864,P1844:P1868)</f>
        <v>22</v>
      </c>
      <c r="E1864" s="189" t="s">
        <v>170</v>
      </c>
      <c r="F1864" s="179">
        <f ca="1">COUNTIFS(Paste_Report_Here!$E$1:$E$2000,E1838, OFFSET(Paste_Report_Here!$A$1,0,$A1864,2000,1),F$75)</f>
        <v>0</v>
      </c>
      <c r="G1864" s="180">
        <f ca="1">COUNTIFS(Paste_Report_Here!$E$1:$E$2000,E1838, OFFSET(Paste_Report_Here!$A$1,0,$A1864,2000,1),G$75)</f>
        <v>3</v>
      </c>
      <c r="H1864" s="180">
        <f ca="1">COUNTIFS(Paste_Report_Here!$E$1:$E$2000,E1838, OFFSET(Paste_Report_Here!$A$1,0,$A1864,2000,1),H$75)</f>
        <v>23</v>
      </c>
      <c r="I1864" s="180">
        <f ca="1">COUNTIFS(Paste_Report_Here!$E$1:$E$2000,E1838, OFFSET(Paste_Report_Here!$A$1,0,$A1864,2000,1),I$75)</f>
        <v>7</v>
      </c>
      <c r="J1864" s="180">
        <f ca="1">COUNTIFS(Paste_Report_Here!$E$1:$E$2000,E1838, OFFSET(Paste_Report_Here!$A$1,0,$A1864,2000,1),J$75)</f>
        <v>0</v>
      </c>
      <c r="K1864" s="181">
        <f ca="1">COUNTIFS(Paste_Report_Here!$E$1:$E$2000,E1838, OFFSET(Paste_Report_Here!$A$1,0,$A1864,2000,1),K$75)</f>
        <v>0</v>
      </c>
      <c r="L1864" s="166">
        <f t="shared" ca="1" si="276"/>
        <v>33</v>
      </c>
      <c r="M1864" s="183">
        <f ca="1">SUMPRODUCT(F1864:K1864,F1842:K1842)/L:L</f>
        <v>0</v>
      </c>
      <c r="N1864" s="166">
        <f t="shared" ca="1" si="277"/>
        <v>1</v>
      </c>
      <c r="O1864" s="247">
        <f t="shared" ca="1" si="279"/>
        <v>1289.7183684099946</v>
      </c>
      <c r="P1864" s="247">
        <f t="shared" ca="1" si="278"/>
        <v>1289.7183684099946</v>
      </c>
    </row>
    <row r="1865" spans="1:16" s="247" customFormat="1" x14ac:dyDescent="0.3">
      <c r="A1865" s="247">
        <f>MATCH(Calcs!B1865,Paste_Report_Here!$1:$1,0) -1</f>
        <v>26</v>
      </c>
      <c r="B1865" s="247" t="s">
        <v>142</v>
      </c>
      <c r="C1865" s="166">
        <f ca="1">RANK(N1865,N1844:N1868)</f>
        <v>7</v>
      </c>
      <c r="D1865" s="166">
        <f ca="1">RANK(P1865,P1844:P1868)</f>
        <v>15</v>
      </c>
      <c r="E1865" s="189" t="s">
        <v>171</v>
      </c>
      <c r="F1865" s="179">
        <f ca="1">COUNTIFS(Paste_Report_Here!$E$1:$E$2000,E1838, OFFSET(Paste_Report_Here!$A$1,0,$A1865,2000,1),F$75)</f>
        <v>0</v>
      </c>
      <c r="G1865" s="180">
        <f ca="1">COUNTIFS(Paste_Report_Here!$E$1:$E$2000,E1838, OFFSET(Paste_Report_Here!$A$1,0,$A1865,2000,1),G$75)</f>
        <v>1</v>
      </c>
      <c r="H1865" s="180">
        <f ca="1">COUNTIFS(Paste_Report_Here!$E$1:$E$2000,E1838, OFFSET(Paste_Report_Here!$A$1,0,$A1865,2000,1),H$75)</f>
        <v>23</v>
      </c>
      <c r="I1865" s="180">
        <f ca="1">COUNTIFS(Paste_Report_Here!$E$1:$E$2000,E1838, OFFSET(Paste_Report_Here!$A$1,0,$A1865,2000,1),I$75)</f>
        <v>9</v>
      </c>
      <c r="J1865" s="180">
        <f ca="1">COUNTIFS(Paste_Report_Here!$E$1:$E$2000,E1838, OFFSET(Paste_Report_Here!$A$1,0,$A1865,2000,1),J$75)</f>
        <v>0</v>
      </c>
      <c r="K1865" s="181">
        <f ca="1">COUNTIFS(Paste_Report_Here!$E$1:$E$2000,E1838, OFFSET(Paste_Report_Here!$A$1,0,$A1865,2000,1),K$75)</f>
        <v>0</v>
      </c>
      <c r="L1865" s="166">
        <f t="shared" ca="1" si="276"/>
        <v>33</v>
      </c>
      <c r="M1865" s="183">
        <f ca="1">SUMPRODUCT(F1865:K1865,F1842:K1842)/L:L</f>
        <v>0</v>
      </c>
      <c r="N1865" s="166">
        <f t="shared" ca="1" si="277"/>
        <v>1</v>
      </c>
      <c r="O1865" s="247">
        <f t="shared" ca="1" si="279"/>
        <v>2212.727542151044</v>
      </c>
      <c r="P1865" s="247">
        <f t="shared" ca="1" si="278"/>
        <v>2212.727542151044</v>
      </c>
    </row>
    <row r="1866" spans="1:16" s="247" customFormat="1" x14ac:dyDescent="0.3">
      <c r="A1866" s="247">
        <f>MATCH(Calcs!B1866,Paste_Report_Here!$1:$1,0) -1</f>
        <v>27</v>
      </c>
      <c r="B1866" s="247" t="s">
        <v>210</v>
      </c>
      <c r="C1866" s="166">
        <f ca="1">RANK(N1866,N1844:N1868)</f>
        <v>7</v>
      </c>
      <c r="D1866" s="166">
        <f ca="1">RANK(P1866,P1844:P1868)</f>
        <v>24</v>
      </c>
      <c r="E1866" s="202" t="s">
        <v>212</v>
      </c>
      <c r="F1866" s="179">
        <f ca="1">COUNTIFS(Paste_Report_Here!$E$1:$E$2000,E1838, OFFSET(Paste_Report_Here!$A$1,0,$A1866,2000,1),F$75)</f>
        <v>0</v>
      </c>
      <c r="G1866" s="180">
        <f ca="1">COUNTIFS(Paste_Report_Here!$E$1:$E$2000,E1838, OFFSET(Paste_Report_Here!$A$1,0,$A1866,2000,1),G$75)</f>
        <v>0</v>
      </c>
      <c r="H1866" s="180">
        <f ca="1">COUNTIFS(Paste_Report_Here!$E$1:$E$2000,E1838, OFFSET(Paste_Report_Here!$A$1,0,$A1866,2000,1),H$75)</f>
        <v>29</v>
      </c>
      <c r="I1866" s="180">
        <f ca="1">COUNTIFS(Paste_Report_Here!$E$1:$E$2000,E1838, OFFSET(Paste_Report_Here!$A$1,0,$A1866,2000,1),I$75)</f>
        <v>4</v>
      </c>
      <c r="J1866" s="180">
        <f ca="1">COUNTIFS(Paste_Report_Here!$E$1:$E$2000,E1838, OFFSET(Paste_Report_Here!$A$1,0,$A1866,2000,1),J$75)</f>
        <v>0</v>
      </c>
      <c r="K1866" s="181">
        <f ca="1">COUNTIFS(Paste_Report_Here!$E$1:$E$2000,E1838, OFFSET(Paste_Report_Here!$A$1,0,$A1866,2000,1),K$75)</f>
        <v>0</v>
      </c>
      <c r="L1866" s="166">
        <f t="shared" ca="1" si="276"/>
        <v>33</v>
      </c>
      <c r="M1866" s="183">
        <f ca="1">SUMPRODUCT(F1866:K1866,F1842:K1842)/L:L</f>
        <v>0</v>
      </c>
      <c r="N1866" s="166">
        <f t="shared" ca="1" si="277"/>
        <v>1</v>
      </c>
      <c r="O1866" s="247">
        <f t="shared" ca="1" si="279"/>
        <v>1152.8560468976777</v>
      </c>
      <c r="P1866" s="247">
        <f t="shared" ca="1" si="278"/>
        <v>1152.8560468976777</v>
      </c>
    </row>
    <row r="1867" spans="1:16" s="247" customFormat="1" x14ac:dyDescent="0.3">
      <c r="A1867" s="247">
        <f>MATCH(Calcs!B1867,Paste_Report_Here!$1:$1,0) -1</f>
        <v>28</v>
      </c>
      <c r="B1867" s="247" t="s">
        <v>143</v>
      </c>
      <c r="C1867" s="166">
        <f ca="1">RANK(N1867,N1844:N1868)</f>
        <v>2</v>
      </c>
      <c r="D1867" s="166">
        <f ca="1">RANK(P1867,P1844:P1868)</f>
        <v>1</v>
      </c>
      <c r="E1867" s="189" t="s">
        <v>172</v>
      </c>
      <c r="F1867" s="179">
        <f ca="1">COUNTIFS(Paste_Report_Here!$E$1:$E$2000,E1838, OFFSET(Paste_Report_Here!$A$1,0,$A1867,2000,1),F$75)</f>
        <v>0</v>
      </c>
      <c r="G1867" s="180">
        <f ca="1">COUNTIFS(Paste_Report_Here!$E$1:$E$2000,E1838, OFFSET(Paste_Report_Here!$A$1,0,$A1867,2000,1),G$75)</f>
        <v>0</v>
      </c>
      <c r="H1867" s="180">
        <f ca="1">COUNTIFS(Paste_Report_Here!$E$1:$E$2000,E1838, OFFSET(Paste_Report_Here!$A$1,0,$A1867,2000,1),H$75)</f>
        <v>25</v>
      </c>
      <c r="I1867" s="180">
        <f ca="1">COUNTIFS(Paste_Report_Here!$E$1:$E$2000,E1838, OFFSET(Paste_Report_Here!$A$1,0,$A1867,2000,1),I$75)</f>
        <v>7</v>
      </c>
      <c r="J1867" s="180">
        <f ca="1">COUNTIFS(Paste_Report_Here!$E$1:$E$2000,E1838, OFFSET(Paste_Report_Here!$A$1,0,$A1867,2000,1),J$75)</f>
        <v>1</v>
      </c>
      <c r="K1867" s="181">
        <f ca="1">COUNTIFS(Paste_Report_Here!$E$1:$E$2000,E1838, OFFSET(Paste_Report_Here!$A$1,0,$A1867,2000,1),K$75)</f>
        <v>0</v>
      </c>
      <c r="L1867" s="166">
        <f t="shared" ca="1" si="276"/>
        <v>33</v>
      </c>
      <c r="M1867" s="183">
        <f ca="1">SUMPRODUCT(F1867:K1867,F1842:K1842)/L:L</f>
        <v>6.0606060606060606E-3</v>
      </c>
      <c r="N1867" s="166">
        <f t="shared" ca="1" si="277"/>
        <v>1.0060790086917657</v>
      </c>
      <c r="O1867" s="247">
        <f t="shared" ca="1" si="279"/>
        <v>11141.538205518435</v>
      </c>
      <c r="P1867" s="247">
        <f t="shared" ca="1" si="278"/>
        <v>11209.267713109421</v>
      </c>
    </row>
    <row r="1868" spans="1:16" s="247" customFormat="1" x14ac:dyDescent="0.3">
      <c r="A1868" s="247">
        <f>MATCH(Calcs!B1868,Paste_Report_Here!$1:$1,0) -1</f>
        <v>29</v>
      </c>
      <c r="B1868" s="187" t="s">
        <v>144</v>
      </c>
      <c r="C1868" s="147">
        <f ca="1">RANK(N1868,N1844:N1868)</f>
        <v>7</v>
      </c>
      <c r="D1868" s="147">
        <f ca="1">RANK(P1868,P1844:P1868)</f>
        <v>11</v>
      </c>
      <c r="E1868" s="145" t="s">
        <v>173</v>
      </c>
      <c r="F1868" s="146">
        <f ca="1">COUNTIFS(Paste_Report_Here!$E$1:$E$2000,E1838, OFFSET(Paste_Report_Here!$A$1,0,$A1868,2000,1),F$75)</f>
        <v>0</v>
      </c>
      <c r="G1868" s="147">
        <f ca="1">COUNTIFS(Paste_Report_Here!$E$1:$E$2000,E1838, OFFSET(Paste_Report_Here!$A$1,0,$A1868,2000,1),G$75)</f>
        <v>1</v>
      </c>
      <c r="H1868" s="147">
        <f ca="1">COUNTIFS(Paste_Report_Here!$E$1:$E$2000,E1838, OFFSET(Paste_Report_Here!$A$1,0,$A1868,2000,1),H$75)</f>
        <v>28</v>
      </c>
      <c r="I1868" s="147">
        <f ca="1">COUNTIFS(Paste_Report_Here!$E$1:$E$2000,E1838, OFFSET(Paste_Report_Here!$A$1,0,$A1868,2000,1),I$75)</f>
        <v>4</v>
      </c>
      <c r="J1868" s="147">
        <f ca="1">COUNTIFS(Paste_Report_Here!$E$1:$E$2000,E1838, OFFSET(Paste_Report_Here!$A$1,0,$A1868,2000,1),J$75)</f>
        <v>0</v>
      </c>
      <c r="K1868" s="148">
        <f ca="1">COUNTIFS(Paste_Report_Here!$E$1:$E$2000,E1838, OFFSET(Paste_Report_Here!$A$1,0,$A1868,2000,1),K$75)</f>
        <v>0</v>
      </c>
      <c r="L1868" s="147">
        <f t="shared" ca="1" si="276"/>
        <v>33</v>
      </c>
      <c r="M1868" s="149">
        <f ca="1">SUMPRODUCT(F1868:K1868,F1842:K1842)/L:L</f>
        <v>0</v>
      </c>
      <c r="N1868" s="147">
        <f t="shared" ca="1" si="277"/>
        <v>1</v>
      </c>
      <c r="O1868" s="187">
        <f t="shared" ca="1" si="279"/>
        <v>2392.2261011950159</v>
      </c>
      <c r="P1868" s="247">
        <f t="shared" ca="1" si="278"/>
        <v>2392.2261011950159</v>
      </c>
    </row>
    <row r="1869" spans="1:16" s="247" customFormat="1" x14ac:dyDescent="0.3">
      <c r="C1869" s="166"/>
      <c r="E1869" s="140" t="s">
        <v>293</v>
      </c>
      <c r="F1869" s="180">
        <f ca="1">SUM(F1844:F1868)</f>
        <v>3</v>
      </c>
      <c r="G1869" s="180">
        <f t="shared" ref="G1869:L1869" ca="1" si="280">SUM(G1844:G1868)</f>
        <v>34</v>
      </c>
      <c r="H1869" s="180">
        <f t="shared" ca="1" si="280"/>
        <v>628</v>
      </c>
      <c r="I1869" s="180">
        <f t="shared" ca="1" si="280"/>
        <v>152</v>
      </c>
      <c r="J1869" s="180">
        <f t="shared" ca="1" si="280"/>
        <v>8</v>
      </c>
      <c r="K1869" s="180">
        <f t="shared" ca="1" si="280"/>
        <v>0</v>
      </c>
      <c r="L1869" s="180">
        <f t="shared" ca="1" si="280"/>
        <v>825</v>
      </c>
      <c r="M1869" s="144">
        <f ca="1">SUMPRODUCT(F1869:K1869,F1842:K1842)/L1869</f>
        <v>1.2121212121212121E-3</v>
      </c>
      <c r="N1869" s="166">
        <f t="shared" ca="1" si="277"/>
        <v>1.0012128561279434</v>
      </c>
      <c r="O1869" s="247">
        <f t="shared" ca="1" si="279"/>
        <v>2763.0564725296367</v>
      </c>
      <c r="P1869" s="247">
        <f t="shared" ca="1" si="278"/>
        <v>2766.407662504198</v>
      </c>
    </row>
    <row r="1870" spans="1:16" s="247" customFormat="1" x14ac:dyDescent="0.3">
      <c r="A1870" s="194"/>
      <c r="B1870" s="194"/>
      <c r="C1870" s="153"/>
      <c r="D1870" s="194"/>
      <c r="E1870" s="164"/>
      <c r="F1870" s="151"/>
      <c r="G1870" s="151"/>
      <c r="H1870" s="151"/>
      <c r="I1870" s="151"/>
      <c r="J1870" s="151"/>
      <c r="K1870" s="151"/>
      <c r="L1870" s="151"/>
      <c r="M1870" s="162"/>
      <c r="N1870" s="153"/>
      <c r="O1870" s="194"/>
      <c r="P1870" s="194"/>
    </row>
    <row r="1871" spans="1:16" s="247" customFormat="1" x14ac:dyDescent="0.3">
      <c r="E1871" s="173" t="s">
        <v>292</v>
      </c>
    </row>
    <row r="1872" spans="1:16" s="247" customFormat="1" x14ac:dyDescent="0.3">
      <c r="E1872" s="141">
        <v>42215</v>
      </c>
    </row>
    <row r="1873" spans="1:16" s="247" customFormat="1" ht="15" thickBot="1" x14ac:dyDescent="0.35"/>
    <row r="1874" spans="1:16" s="247" customFormat="1" ht="24.6" thickBot="1" x14ac:dyDescent="0.35">
      <c r="F1874" s="174" t="s">
        <v>23</v>
      </c>
      <c r="G1874" s="168" t="s">
        <v>18</v>
      </c>
      <c r="H1874" s="168" t="s">
        <v>16</v>
      </c>
      <c r="I1874" s="168" t="s">
        <v>17</v>
      </c>
      <c r="J1874" s="168" t="s">
        <v>19</v>
      </c>
      <c r="K1874" s="169" t="s">
        <v>114</v>
      </c>
    </row>
    <row r="1875" spans="1:16" s="247" customFormat="1" x14ac:dyDescent="0.3">
      <c r="F1875" s="267" t="s">
        <v>201</v>
      </c>
      <c r="G1875" s="268"/>
      <c r="H1875" s="268"/>
      <c r="I1875" s="268"/>
      <c r="J1875" s="268"/>
      <c r="K1875" s="169"/>
      <c r="M1875" s="203">
        <f ca="1">(H1903+K1903)/L1903</f>
        <v>0.74142857142857144</v>
      </c>
      <c r="N1875" s="204" t="s">
        <v>501</v>
      </c>
    </row>
    <row r="1876" spans="1:16" s="247" customFormat="1" ht="43.8" thickBot="1" x14ac:dyDescent="0.35">
      <c r="A1876" s="142" t="s">
        <v>294</v>
      </c>
      <c r="B1876" s="142" t="s">
        <v>295</v>
      </c>
      <c r="C1876" s="197" t="s">
        <v>440</v>
      </c>
      <c r="D1876" s="142" t="s">
        <v>441</v>
      </c>
      <c r="E1876" s="171" t="s">
        <v>30</v>
      </c>
      <c r="F1876" s="175">
        <f>Falling_fast</f>
        <v>-0.2</v>
      </c>
      <c r="G1876" s="176">
        <f>Falling</f>
        <v>0</v>
      </c>
      <c r="H1876" s="177">
        <f>Static</f>
        <v>0</v>
      </c>
      <c r="I1876" s="176">
        <f>Rising</f>
        <v>0</v>
      </c>
      <c r="J1876" s="178">
        <f>Rising_fast</f>
        <v>0.2</v>
      </c>
      <c r="K1876" s="182">
        <v>0</v>
      </c>
      <c r="L1876" s="171" t="s">
        <v>28</v>
      </c>
      <c r="M1876" s="172" t="s">
        <v>29</v>
      </c>
      <c r="N1876" s="143" t="s">
        <v>296</v>
      </c>
      <c r="O1876" s="142" t="s">
        <v>297</v>
      </c>
      <c r="P1876" s="142" t="s">
        <v>298</v>
      </c>
    </row>
    <row r="1877" spans="1:16" s="247" customFormat="1" x14ac:dyDescent="0.3">
      <c r="C1877" s="166"/>
      <c r="E1877" s="192"/>
      <c r="F1877" s="198" t="s">
        <v>151</v>
      </c>
      <c r="G1877" s="199" t="s">
        <v>149</v>
      </c>
      <c r="H1877" s="199" t="s">
        <v>16</v>
      </c>
      <c r="I1877" s="199" t="s">
        <v>148</v>
      </c>
      <c r="J1877" s="199" t="s">
        <v>150</v>
      </c>
      <c r="K1877" s="200" t="s">
        <v>114</v>
      </c>
      <c r="L1877" s="166"/>
      <c r="M1877" s="170"/>
      <c r="N1877" s="166"/>
    </row>
    <row r="1878" spans="1:16" s="247" customFormat="1" x14ac:dyDescent="0.3">
      <c r="A1878" s="247">
        <f>MATCH(Calcs!B1878,Paste_Report_Here!$1:$1,0) -1</f>
        <v>5</v>
      </c>
      <c r="B1878" s="247" t="s">
        <v>124</v>
      </c>
      <c r="C1878" s="166">
        <f ca="1">RANK(N1878,N1878:N1902)</f>
        <v>1</v>
      </c>
      <c r="D1878" s="166">
        <f ca="1">RANK(P1878,P1878:P1902)</f>
        <v>13</v>
      </c>
      <c r="E1878" s="189" t="s">
        <v>152</v>
      </c>
      <c r="F1878" s="179">
        <f ca="1">COUNTIFS(Paste_Report_Here!$E$1:$E$2000,E1872, OFFSET(Paste_Report_Here!$A$1,0,$A1878,2000,1),F$75)</f>
        <v>0</v>
      </c>
      <c r="G1878" s="180">
        <f ca="1">COUNTIFS(Paste_Report_Here!$E$1:$E$2000,E1872, OFFSET(Paste_Report_Here!$A$1,0,$A1878,2000,1),G$75)</f>
        <v>2</v>
      </c>
      <c r="H1878" s="180">
        <f ca="1">COUNTIFS(Paste_Report_Here!$E$1:$E$2000,E1872, OFFSET(Paste_Report_Here!$A$1,0,$A1878,2000,1),H$75)</f>
        <v>20</v>
      </c>
      <c r="I1878" s="180">
        <f ca="1">COUNTIFS(Paste_Report_Here!$E$1:$E$2000,E1872, OFFSET(Paste_Report_Here!$A$1,0,$A1878,2000,1),I$75)</f>
        <v>5</v>
      </c>
      <c r="J1878" s="180">
        <f ca="1">COUNTIFS(Paste_Report_Here!$E$1:$E$2000,E1872, OFFSET(Paste_Report_Here!$A$1,0,$A1878,2000,1),J$75)</f>
        <v>1</v>
      </c>
      <c r="K1878" s="181">
        <f ca="1">COUNTIFS(Paste_Report_Here!$E$1:$E$2000,E1872, OFFSET(Paste_Report_Here!$A$1,0,$A1878,2000,1),K$75)</f>
        <v>0</v>
      </c>
      <c r="L1878" s="166">
        <f t="shared" ref="L1878:L1902" ca="1" si="281">SUM(F1878:K1878)</f>
        <v>28</v>
      </c>
      <c r="M1878" s="183">
        <f ca="1">SUMPRODUCT(F1878:K1878,F1876:K1876)/L:L</f>
        <v>7.1428571428571435E-3</v>
      </c>
      <c r="N1878" s="166">
        <f t="shared" ref="N1878:N1903" ca="1" si="282">EXP(M1878)</f>
        <v>1.0071684281941369</v>
      </c>
      <c r="O1878" s="247">
        <f ca="1">P1844</f>
        <v>2263.1950264519392</v>
      </c>
      <c r="P1878" s="247">
        <f t="shared" ref="P1878:P1903" ca="1" si="283">O1878*N1878</f>
        <v>2279.4185774883877</v>
      </c>
    </row>
    <row r="1879" spans="1:16" s="247" customFormat="1" x14ac:dyDescent="0.3">
      <c r="A1879" s="247">
        <f>MATCH(Calcs!B1879,Paste_Report_Here!$1:$1,0) -1</f>
        <v>6</v>
      </c>
      <c r="B1879" s="247" t="s">
        <v>125</v>
      </c>
      <c r="C1879" s="166">
        <f ca="1">RANK(N1879,N1878:N1902)</f>
        <v>11</v>
      </c>
      <c r="D1879" s="166">
        <f ca="1">RANK(P1879,P1878:P1902)</f>
        <v>17</v>
      </c>
      <c r="E1879" s="189" t="s">
        <v>153</v>
      </c>
      <c r="F1879" s="179">
        <f ca="1">COUNTIFS(Paste_Report_Here!$E$1:$E$2000,E1872, OFFSET(Paste_Report_Here!$A$1,0,$A1879,2000,1),F$75)</f>
        <v>1</v>
      </c>
      <c r="G1879" s="180">
        <f ca="1">COUNTIFS(Paste_Report_Here!$E$1:$E$2000,E1872, OFFSET(Paste_Report_Here!$A$1,0,$A1879,2000,1),G$75)</f>
        <v>3</v>
      </c>
      <c r="H1879" s="180">
        <f ca="1">COUNTIFS(Paste_Report_Here!$E$1:$E$2000,E1872, OFFSET(Paste_Report_Here!$A$1,0,$A1879,2000,1),H$75)</f>
        <v>22</v>
      </c>
      <c r="I1879" s="180">
        <f ca="1">COUNTIFS(Paste_Report_Here!$E$1:$E$2000,E1872, OFFSET(Paste_Report_Here!$A$1,0,$A1879,2000,1),I$75)</f>
        <v>2</v>
      </c>
      <c r="J1879" s="180">
        <f ca="1">COUNTIFS(Paste_Report_Here!$E$1:$E$2000,E1872, OFFSET(Paste_Report_Here!$A$1,0,$A1879,2000,1),J$75)</f>
        <v>0</v>
      </c>
      <c r="K1879" s="181">
        <f ca="1">COUNTIFS(Paste_Report_Here!$E$1:$E$2000,E1872, OFFSET(Paste_Report_Here!$A$1,0,$A1879,2000,1),K$75)</f>
        <v>0</v>
      </c>
      <c r="L1879" s="166">
        <f t="shared" ca="1" si="281"/>
        <v>28</v>
      </c>
      <c r="M1879" s="183">
        <f ca="1">SUMPRODUCT(F1879:K1879,F1876:K1876)/L:L</f>
        <v>-7.1428571428571435E-3</v>
      </c>
      <c r="N1879" s="166">
        <f t="shared" ca="1" si="282"/>
        <v>0.99288259243095034</v>
      </c>
      <c r="O1879" s="247">
        <f t="shared" ref="O1879:O1903" ca="1" si="284">P1845</f>
        <v>2006.6238557405725</v>
      </c>
      <c r="P1879" s="247">
        <f t="shared" ca="1" si="283"/>
        <v>1992.3418959214889</v>
      </c>
    </row>
    <row r="1880" spans="1:16" s="247" customFormat="1" x14ac:dyDescent="0.3">
      <c r="A1880" s="247">
        <f>MATCH(Calcs!B1880,Paste_Report_Here!$1:$1,0) -1</f>
        <v>7</v>
      </c>
      <c r="B1880" s="247" t="s">
        <v>126</v>
      </c>
      <c r="C1880" s="166">
        <f ca="1">RANK(N1880,N1878:N1902)</f>
        <v>11</v>
      </c>
      <c r="D1880" s="166">
        <f ca="1">RANK(P1880,P1878:P1902)</f>
        <v>8</v>
      </c>
      <c r="E1880" s="189" t="s">
        <v>154</v>
      </c>
      <c r="F1880" s="179">
        <f ca="1">COUNTIFS(Paste_Report_Here!$E$1:$E$2000,E1872, OFFSET(Paste_Report_Here!$A$1,0,$A1880,2000,1),F$75)</f>
        <v>1</v>
      </c>
      <c r="G1880" s="180">
        <f ca="1">COUNTIFS(Paste_Report_Here!$E$1:$E$2000,E1872, OFFSET(Paste_Report_Here!$A$1,0,$A1880,2000,1),G$75)</f>
        <v>2</v>
      </c>
      <c r="H1880" s="180">
        <f ca="1">COUNTIFS(Paste_Report_Here!$E$1:$E$2000,E1872, OFFSET(Paste_Report_Here!$A$1,0,$A1880,2000,1),H$75)</f>
        <v>23</v>
      </c>
      <c r="I1880" s="180">
        <f ca="1">COUNTIFS(Paste_Report_Here!$E$1:$E$2000,E1872, OFFSET(Paste_Report_Here!$A$1,0,$A1880,2000,1),I$75)</f>
        <v>2</v>
      </c>
      <c r="J1880" s="180">
        <f ca="1">COUNTIFS(Paste_Report_Here!$E$1:$E$2000,E1872, OFFSET(Paste_Report_Here!$A$1,0,$A1880,2000,1),J$75)</f>
        <v>0</v>
      </c>
      <c r="K1880" s="181">
        <f ca="1">COUNTIFS(Paste_Report_Here!$E$1:$E$2000,E1872, OFFSET(Paste_Report_Here!$A$1,0,$A1880,2000,1),K$75)</f>
        <v>0</v>
      </c>
      <c r="L1880" s="166">
        <f t="shared" ca="1" si="281"/>
        <v>28</v>
      </c>
      <c r="M1880" s="183">
        <f ca="1">SUMPRODUCT(F1880:K1880,F1876:K1876)/L:L</f>
        <v>-7.1428571428571435E-3</v>
      </c>
      <c r="N1880" s="166">
        <f t="shared" ca="1" si="282"/>
        <v>0.99288259243095034</v>
      </c>
      <c r="O1880" s="247">
        <f t="shared" ca="1" si="284"/>
        <v>2536.8021166368271</v>
      </c>
      <c r="P1880" s="247">
        <f t="shared" ca="1" si="283"/>
        <v>2518.7466620506948</v>
      </c>
    </row>
    <row r="1881" spans="1:16" s="247" customFormat="1" x14ac:dyDescent="0.3">
      <c r="A1881" s="247">
        <f>MATCH(Calcs!B1881,Paste_Report_Here!$1:$1,0) -1</f>
        <v>8</v>
      </c>
      <c r="B1881" s="247" t="s">
        <v>127</v>
      </c>
      <c r="C1881" s="166">
        <f ca="1">RANK(N1881,N1878:N1902)</f>
        <v>11</v>
      </c>
      <c r="D1881" s="166">
        <f ca="1">RANK(P1881,P1878:P1902)</f>
        <v>7</v>
      </c>
      <c r="E1881" s="189" t="s">
        <v>155</v>
      </c>
      <c r="F1881" s="179">
        <f ca="1">COUNTIFS(Paste_Report_Here!$E$1:$E$2000,E1872, OFFSET(Paste_Report_Here!$A$1,0,$A1881,2000,1),F$75)</f>
        <v>1</v>
      </c>
      <c r="G1881" s="180">
        <f ca="1">COUNTIFS(Paste_Report_Here!$E$1:$E$2000,E1872, OFFSET(Paste_Report_Here!$A$1,0,$A1881,2000,1),G$75)</f>
        <v>3</v>
      </c>
      <c r="H1881" s="180">
        <f ca="1">COUNTIFS(Paste_Report_Here!$E$1:$E$2000,E1872, OFFSET(Paste_Report_Here!$A$1,0,$A1881,2000,1),H$75)</f>
        <v>19</v>
      </c>
      <c r="I1881" s="180">
        <f ca="1">COUNTIFS(Paste_Report_Here!$E$1:$E$2000,E1872, OFFSET(Paste_Report_Here!$A$1,0,$A1881,2000,1),I$75)</f>
        <v>5</v>
      </c>
      <c r="J1881" s="180">
        <f ca="1">COUNTIFS(Paste_Report_Here!$E$1:$E$2000,E1872, OFFSET(Paste_Report_Here!$A$1,0,$A1881,2000,1),J$75)</f>
        <v>0</v>
      </c>
      <c r="K1881" s="181">
        <f ca="1">COUNTIFS(Paste_Report_Here!$E$1:$E$2000,E1872, OFFSET(Paste_Report_Here!$A$1,0,$A1881,2000,1),K$75)</f>
        <v>0</v>
      </c>
      <c r="L1881" s="166">
        <f t="shared" ca="1" si="281"/>
        <v>28</v>
      </c>
      <c r="M1881" s="183">
        <f ca="1">SUMPRODUCT(F1881:K1881,F1876:K1876)/L:L</f>
        <v>-7.1428571428571435E-3</v>
      </c>
      <c r="N1881" s="166">
        <f t="shared" ca="1" si="282"/>
        <v>0.99288259243095034</v>
      </c>
      <c r="O1881" s="247">
        <f t="shared" ca="1" si="284"/>
        <v>2988.9254350374972</v>
      </c>
      <c r="P1881" s="247">
        <f t="shared" ca="1" si="283"/>
        <v>2967.6520345228364</v>
      </c>
    </row>
    <row r="1882" spans="1:16" s="247" customFormat="1" x14ac:dyDescent="0.3">
      <c r="A1882" s="247">
        <f>MATCH(Calcs!B1882,Paste_Report_Here!$1:$1,0) -1</f>
        <v>9</v>
      </c>
      <c r="B1882" s="247" t="s">
        <v>214</v>
      </c>
      <c r="C1882" s="166">
        <f ca="1">RANK(N1882,N1878:N1902)</f>
        <v>11</v>
      </c>
      <c r="D1882" s="166">
        <f ca="1">RANK(P1882,P1878:P1902)</f>
        <v>5</v>
      </c>
      <c r="E1882" s="189" t="s">
        <v>156</v>
      </c>
      <c r="F1882" s="179">
        <f ca="1">COUNTIFS(Paste_Report_Here!$E$1:$E$2000,E1872, OFFSET(Paste_Report_Here!$A$1,0,$A1882,2000,1),F$75)</f>
        <v>1</v>
      </c>
      <c r="G1882" s="180">
        <f ca="1">COUNTIFS(Paste_Report_Here!$E$1:$E$2000,E1872, OFFSET(Paste_Report_Here!$A$1,0,$A1882,2000,1),G$75)</f>
        <v>2</v>
      </c>
      <c r="H1882" s="180">
        <f ca="1">COUNTIFS(Paste_Report_Here!$E$1:$E$2000,E1872, OFFSET(Paste_Report_Here!$A$1,0,$A1882,2000,1),H$75)</f>
        <v>18</v>
      </c>
      <c r="I1882" s="180">
        <f ca="1">COUNTIFS(Paste_Report_Here!$E$1:$E$2000,E1872, OFFSET(Paste_Report_Here!$A$1,0,$A1882,2000,1),I$75)</f>
        <v>7</v>
      </c>
      <c r="J1882" s="180">
        <f ca="1">COUNTIFS(Paste_Report_Here!$E$1:$E$2000,E1872, OFFSET(Paste_Report_Here!$A$1,0,$A1882,2000,1),J$75)</f>
        <v>0</v>
      </c>
      <c r="K1882" s="181">
        <f ca="1">COUNTIFS(Paste_Report_Here!$E$1:$E$2000,E1872, OFFSET(Paste_Report_Here!$A$1,0,$A1882,2000,1),K$75)</f>
        <v>0</v>
      </c>
      <c r="L1882" s="166">
        <f t="shared" ca="1" si="281"/>
        <v>28</v>
      </c>
      <c r="M1882" s="183">
        <f ca="1">SUMPRODUCT(F1882:K1882,F1876:K1876)/L:L</f>
        <v>-7.1428571428571435E-3</v>
      </c>
      <c r="N1882" s="166">
        <f t="shared" ca="1" si="282"/>
        <v>0.99288259243095034</v>
      </c>
      <c r="O1882" s="247">
        <f t="shared" ca="1" si="284"/>
        <v>4220.3164118531331</v>
      </c>
      <c r="P1882" s="247">
        <f t="shared" ca="1" si="283"/>
        <v>4190.2786998796255</v>
      </c>
    </row>
    <row r="1883" spans="1:16" s="247" customFormat="1" x14ac:dyDescent="0.3">
      <c r="A1883" s="247">
        <f>MATCH(Calcs!B1883,Paste_Report_Here!$1:$1,0) -1</f>
        <v>10</v>
      </c>
      <c r="B1883" s="247" t="s">
        <v>128</v>
      </c>
      <c r="C1883" s="166">
        <f ca="1">RANK(N1883,N1878:N1902)</f>
        <v>11</v>
      </c>
      <c r="D1883" s="166">
        <f ca="1">RANK(P1883,P1878:P1902)</f>
        <v>21</v>
      </c>
      <c r="E1883" s="189" t="s">
        <v>157</v>
      </c>
      <c r="F1883" s="179">
        <f ca="1">COUNTIFS(Paste_Report_Here!$E$1:$E$2000,E1872, OFFSET(Paste_Report_Here!$A$1,0,$A1883,2000,1),F$75)</f>
        <v>1</v>
      </c>
      <c r="G1883" s="180">
        <f ca="1">COUNTIFS(Paste_Report_Here!$E$1:$E$2000,E1872, OFFSET(Paste_Report_Here!$A$1,0,$A1883,2000,1),G$75)</f>
        <v>2</v>
      </c>
      <c r="H1883" s="180">
        <f ca="1">COUNTIFS(Paste_Report_Here!$E$1:$E$2000,E1872, OFFSET(Paste_Report_Here!$A$1,0,$A1883,2000,1),H$75)</f>
        <v>23</v>
      </c>
      <c r="I1883" s="180">
        <f ca="1">COUNTIFS(Paste_Report_Here!$E$1:$E$2000,E1872, OFFSET(Paste_Report_Here!$A$1,0,$A1883,2000,1),I$75)</f>
        <v>2</v>
      </c>
      <c r="J1883" s="180">
        <f ca="1">COUNTIFS(Paste_Report_Here!$E$1:$E$2000,E1872, OFFSET(Paste_Report_Here!$A$1,0,$A1883,2000,1),J$75)</f>
        <v>0</v>
      </c>
      <c r="K1883" s="181">
        <f ca="1">COUNTIFS(Paste_Report_Here!$E$1:$E$2000,E1872, OFFSET(Paste_Report_Here!$A$1,0,$A1883,2000,1),K$75)</f>
        <v>0</v>
      </c>
      <c r="L1883" s="166">
        <f t="shared" ca="1" si="281"/>
        <v>28</v>
      </c>
      <c r="M1883" s="183">
        <f ca="1">SUMPRODUCT(F1883:K1883,F1876:K1876)/L:L</f>
        <v>-7.1428571428571435E-3</v>
      </c>
      <c r="N1883" s="166">
        <f t="shared" ca="1" si="282"/>
        <v>0.99288259243095034</v>
      </c>
      <c r="O1883" s="247">
        <f t="shared" ca="1" si="284"/>
        <v>1467.9665447041625</v>
      </c>
      <c r="P1883" s="247">
        <f t="shared" ca="1" si="283"/>
        <v>1457.5184285077735</v>
      </c>
    </row>
    <row r="1884" spans="1:16" s="247" customFormat="1" x14ac:dyDescent="0.3">
      <c r="A1884" s="247">
        <f>MATCH(Calcs!B1884,Paste_Report_Here!$1:$1,0) -1</f>
        <v>11</v>
      </c>
      <c r="B1884" s="247" t="s">
        <v>129</v>
      </c>
      <c r="C1884" s="166">
        <f ca="1">RANK(N1884,N1878:N1902)</f>
        <v>11</v>
      </c>
      <c r="D1884" s="166">
        <f ca="1">RANK(P1884,P1878:P1902)</f>
        <v>11</v>
      </c>
      <c r="E1884" s="189" t="s">
        <v>158</v>
      </c>
      <c r="F1884" s="179">
        <f ca="1">COUNTIFS(Paste_Report_Here!$E$1:$E$2000,E1872, OFFSET(Paste_Report_Here!$A$1,0,$A1884,2000,1),F$75)</f>
        <v>1</v>
      </c>
      <c r="G1884" s="180">
        <f ca="1">COUNTIFS(Paste_Report_Here!$E$1:$E$2000,E1872, OFFSET(Paste_Report_Here!$A$1,0,$A1884,2000,1),G$75)</f>
        <v>2</v>
      </c>
      <c r="H1884" s="180">
        <f ca="1">COUNTIFS(Paste_Report_Here!$E$1:$E$2000,E1872, OFFSET(Paste_Report_Here!$A$1,0,$A1884,2000,1),H$75)</f>
        <v>24</v>
      </c>
      <c r="I1884" s="180">
        <f ca="1">COUNTIFS(Paste_Report_Here!$E$1:$E$2000,E1872, OFFSET(Paste_Report_Here!$A$1,0,$A1884,2000,1),I$75)</f>
        <v>1</v>
      </c>
      <c r="J1884" s="180">
        <f ca="1">COUNTIFS(Paste_Report_Here!$E$1:$E$2000,E1872, OFFSET(Paste_Report_Here!$A$1,0,$A1884,2000,1),J$75)</f>
        <v>0</v>
      </c>
      <c r="K1884" s="181">
        <f ca="1">COUNTIFS(Paste_Report_Here!$E$1:$E$2000,E1872, OFFSET(Paste_Report_Here!$A$1,0,$A1884,2000,1),K$75)</f>
        <v>0</v>
      </c>
      <c r="L1884" s="166">
        <f t="shared" ca="1" si="281"/>
        <v>28</v>
      </c>
      <c r="M1884" s="183">
        <f ca="1">SUMPRODUCT(F1884:K1884,F1876:K1876)/L:L</f>
        <v>-7.1428571428571435E-3</v>
      </c>
      <c r="N1884" s="166">
        <f t="shared" ca="1" si="282"/>
        <v>0.99288259243095034</v>
      </c>
      <c r="O1884" s="247">
        <f t="shared" ca="1" si="284"/>
        <v>2401.0911658824502</v>
      </c>
      <c r="P1884" s="247">
        <f t="shared" ca="1" si="283"/>
        <v>2384.0016214444204</v>
      </c>
    </row>
    <row r="1885" spans="1:16" s="247" customFormat="1" x14ac:dyDescent="0.3">
      <c r="A1885" s="247">
        <f>MATCH(Calcs!B1885,Paste_Report_Here!$1:$1,0) -1</f>
        <v>12</v>
      </c>
      <c r="B1885" s="247" t="s">
        <v>130</v>
      </c>
      <c r="C1885" s="166">
        <f ca="1">RANK(N1885,N1878:N1902)</f>
        <v>11</v>
      </c>
      <c r="D1885" s="166">
        <f ca="1">RANK(P1885,P1878:P1902)</f>
        <v>9</v>
      </c>
      <c r="E1885" s="189" t="s">
        <v>159</v>
      </c>
      <c r="F1885" s="179">
        <f ca="1">COUNTIFS(Paste_Report_Here!$E$1:$E$2000,E1872, OFFSET(Paste_Report_Here!$A$1,0,$A1885,2000,1),F$75)</f>
        <v>1</v>
      </c>
      <c r="G1885" s="180">
        <f ca="1">COUNTIFS(Paste_Report_Here!$E$1:$E$2000,E1872, OFFSET(Paste_Report_Here!$A$1,0,$A1885,2000,1),G$75)</f>
        <v>0</v>
      </c>
      <c r="H1885" s="180">
        <f ca="1">COUNTIFS(Paste_Report_Here!$E$1:$E$2000,E1872, OFFSET(Paste_Report_Here!$A$1,0,$A1885,2000,1),H$75)</f>
        <v>20</v>
      </c>
      <c r="I1885" s="180">
        <f ca="1">COUNTIFS(Paste_Report_Here!$E$1:$E$2000,E1872, OFFSET(Paste_Report_Here!$A$1,0,$A1885,2000,1),I$75)</f>
        <v>7</v>
      </c>
      <c r="J1885" s="180">
        <f ca="1">COUNTIFS(Paste_Report_Here!$E$1:$E$2000,E1872, OFFSET(Paste_Report_Here!$A$1,0,$A1885,2000,1),J$75)</f>
        <v>0</v>
      </c>
      <c r="K1885" s="181">
        <f ca="1">COUNTIFS(Paste_Report_Here!$E$1:$E$2000,E1872, OFFSET(Paste_Report_Here!$A$1,0,$A1885,2000,1),K$75)</f>
        <v>0</v>
      </c>
      <c r="L1885" s="166">
        <f t="shared" ca="1" si="281"/>
        <v>28</v>
      </c>
      <c r="M1885" s="183">
        <f ca="1">SUMPRODUCT(F1885:K1885,F1876:K1876)/L:L</f>
        <v>-7.1428571428571435E-3</v>
      </c>
      <c r="N1885" s="166">
        <f t="shared" ca="1" si="282"/>
        <v>0.99288259243095034</v>
      </c>
      <c r="O1885" s="247">
        <f t="shared" ca="1" si="284"/>
        <v>2456.7313135425488</v>
      </c>
      <c r="P1885" s="247">
        <f t="shared" ca="1" si="283"/>
        <v>2439.2457554964199</v>
      </c>
    </row>
    <row r="1886" spans="1:16" s="247" customFormat="1" x14ac:dyDescent="0.3">
      <c r="A1886" s="247">
        <f>MATCH(Calcs!B1886,Paste_Report_Here!$1:$1,0) -1</f>
        <v>13</v>
      </c>
      <c r="B1886" s="247" t="s">
        <v>131</v>
      </c>
      <c r="C1886" s="166">
        <f ca="1">RANK(N1886,N1878:N1902)</f>
        <v>5</v>
      </c>
      <c r="D1886" s="166">
        <f ca="1">RANK(P1886,P1878:P1902)</f>
        <v>2</v>
      </c>
      <c r="E1886" s="189" t="s">
        <v>160</v>
      </c>
      <c r="F1886" s="179">
        <f ca="1">COUNTIFS(Paste_Report_Here!$E$1:$E$2000,E1872, OFFSET(Paste_Report_Here!$A$1,0,$A1886,2000,1),F$75)</f>
        <v>1</v>
      </c>
      <c r="G1886" s="180">
        <f ca="1">COUNTIFS(Paste_Report_Here!$E$1:$E$2000,E1872, OFFSET(Paste_Report_Here!$A$1,0,$A1886,2000,1),G$75)</f>
        <v>2</v>
      </c>
      <c r="H1886" s="180">
        <f ca="1">COUNTIFS(Paste_Report_Here!$E$1:$E$2000,E1872, OFFSET(Paste_Report_Here!$A$1,0,$A1886,2000,1),H$75)</f>
        <v>13</v>
      </c>
      <c r="I1886" s="180">
        <f ca="1">COUNTIFS(Paste_Report_Here!$E$1:$E$2000,E1872, OFFSET(Paste_Report_Here!$A$1,0,$A1886,2000,1),I$75)</f>
        <v>11</v>
      </c>
      <c r="J1886" s="180">
        <f ca="1">COUNTIFS(Paste_Report_Here!$E$1:$E$2000,E1872, OFFSET(Paste_Report_Here!$A$1,0,$A1886,2000,1),J$75)</f>
        <v>1</v>
      </c>
      <c r="K1886" s="181">
        <f ca="1">COUNTIFS(Paste_Report_Here!$E$1:$E$2000,E1872, OFFSET(Paste_Report_Here!$A$1,0,$A1886,2000,1),K$75)</f>
        <v>0</v>
      </c>
      <c r="L1886" s="166">
        <f t="shared" ca="1" si="281"/>
        <v>28</v>
      </c>
      <c r="M1886" s="183">
        <f ca="1">SUMPRODUCT(F1886:K1886,F1876:K1876)/L:L</f>
        <v>0</v>
      </c>
      <c r="N1886" s="166">
        <f t="shared" ca="1" si="282"/>
        <v>1</v>
      </c>
      <c r="O1886" s="247">
        <f t="shared" ca="1" si="284"/>
        <v>5647.1300598887283</v>
      </c>
      <c r="P1886" s="247">
        <f t="shared" ca="1" si="283"/>
        <v>5647.1300598887283</v>
      </c>
    </row>
    <row r="1887" spans="1:16" s="247" customFormat="1" x14ac:dyDescent="0.3">
      <c r="A1887" s="247">
        <f>MATCH(Calcs!B1887,Paste_Report_Here!$1:$1,0) -1</f>
        <v>14</v>
      </c>
      <c r="B1887" s="247" t="s">
        <v>132</v>
      </c>
      <c r="C1887" s="166">
        <f ca="1">RANK(N1887,N1878:N1902)</f>
        <v>5</v>
      </c>
      <c r="D1887" s="166">
        <f ca="1">RANK(P1887,P1878:P1902)</f>
        <v>12</v>
      </c>
      <c r="E1887" s="189" t="s">
        <v>161</v>
      </c>
      <c r="F1887" s="179">
        <f ca="1">COUNTIFS(Paste_Report_Here!$E$1:$E$2000,E1872, OFFSET(Paste_Report_Here!$A$1,0,$A1887,2000,1),F$75)</f>
        <v>1</v>
      </c>
      <c r="G1887" s="180">
        <f ca="1">COUNTIFS(Paste_Report_Here!$E$1:$E$2000,E1872, OFFSET(Paste_Report_Here!$A$1,0,$A1887,2000,1),G$75)</f>
        <v>1</v>
      </c>
      <c r="H1887" s="180">
        <f ca="1">COUNTIFS(Paste_Report_Here!$E$1:$E$2000,E1872, OFFSET(Paste_Report_Here!$A$1,0,$A1887,2000,1),H$75)</f>
        <v>22</v>
      </c>
      <c r="I1887" s="180">
        <f ca="1">COUNTIFS(Paste_Report_Here!$E$1:$E$2000,E1872, OFFSET(Paste_Report_Here!$A$1,0,$A1887,2000,1),I$75)</f>
        <v>3</v>
      </c>
      <c r="J1887" s="180">
        <f ca="1">COUNTIFS(Paste_Report_Here!$E$1:$E$2000,E1872, OFFSET(Paste_Report_Here!$A$1,0,$A1887,2000,1),J$75)</f>
        <v>1</v>
      </c>
      <c r="K1887" s="181">
        <f ca="1">COUNTIFS(Paste_Report_Here!$E$1:$E$2000,E1872, OFFSET(Paste_Report_Here!$A$1,0,$A1887,2000,1),K$75)</f>
        <v>0</v>
      </c>
      <c r="L1887" s="166">
        <f t="shared" ca="1" si="281"/>
        <v>28</v>
      </c>
      <c r="M1887" s="183">
        <f ca="1">SUMPRODUCT(F1887:K1887,F1876:K1876)/L:L</f>
        <v>0</v>
      </c>
      <c r="N1887" s="166">
        <f t="shared" ca="1" si="282"/>
        <v>1</v>
      </c>
      <c r="O1887" s="247">
        <f t="shared" ca="1" si="284"/>
        <v>2344.356938257115</v>
      </c>
      <c r="P1887" s="247">
        <f t="shared" ca="1" si="283"/>
        <v>2344.356938257115</v>
      </c>
    </row>
    <row r="1888" spans="1:16" s="247" customFormat="1" x14ac:dyDescent="0.3">
      <c r="A1888" s="247">
        <f>MATCH(Calcs!B1888,Paste_Report_Here!$1:$1,0) -1</f>
        <v>15</v>
      </c>
      <c r="B1888" s="247" t="s">
        <v>133</v>
      </c>
      <c r="C1888" s="166">
        <f ca="1">RANK(N1888,N1878:N1902)</f>
        <v>1</v>
      </c>
      <c r="D1888" s="166">
        <f ca="1">RANK(P1888,P1878:P1902)</f>
        <v>6</v>
      </c>
      <c r="E1888" s="189" t="s">
        <v>162</v>
      </c>
      <c r="F1888" s="179">
        <f ca="1">COUNTIFS(Paste_Report_Here!$E$1:$E$2000,E1872, OFFSET(Paste_Report_Here!$A$1,0,$A1888,2000,1),F$75)</f>
        <v>0</v>
      </c>
      <c r="G1888" s="180">
        <f ca="1">COUNTIFS(Paste_Report_Here!$E$1:$E$2000,E1872, OFFSET(Paste_Report_Here!$A$1,0,$A1888,2000,1),G$75)</f>
        <v>0</v>
      </c>
      <c r="H1888" s="180">
        <f ca="1">COUNTIFS(Paste_Report_Here!$E$1:$E$2000,E1872, OFFSET(Paste_Report_Here!$A$1,0,$A1888,2000,1),H$75)</f>
        <v>18</v>
      </c>
      <c r="I1888" s="180">
        <f ca="1">COUNTIFS(Paste_Report_Here!$E$1:$E$2000,E1872, OFFSET(Paste_Report_Here!$A$1,0,$A1888,2000,1),I$75)</f>
        <v>9</v>
      </c>
      <c r="J1888" s="180">
        <f ca="1">COUNTIFS(Paste_Report_Here!$E$1:$E$2000,E1872, OFFSET(Paste_Report_Here!$A$1,0,$A1888,2000,1),J$75)</f>
        <v>1</v>
      </c>
      <c r="K1888" s="181">
        <f ca="1">COUNTIFS(Paste_Report_Here!$E$1:$E$2000,E1872, OFFSET(Paste_Report_Here!$A$1,0,$A1888,2000,1),K$75)</f>
        <v>0</v>
      </c>
      <c r="L1888" s="166">
        <f t="shared" ca="1" si="281"/>
        <v>28</v>
      </c>
      <c r="M1888" s="183">
        <f ca="1">SUMPRODUCT(F1888:K1888,F1876:K1876)/L:L</f>
        <v>7.1428571428571435E-3</v>
      </c>
      <c r="N1888" s="166">
        <f t="shared" ca="1" si="282"/>
        <v>1.0071684281941369</v>
      </c>
      <c r="O1888" s="247">
        <f t="shared" ca="1" si="284"/>
        <v>3444.7245989385078</v>
      </c>
      <c r="P1888" s="247">
        <f t="shared" ca="1" si="283"/>
        <v>3469.4178598745757</v>
      </c>
    </row>
    <row r="1889" spans="1:16" s="247" customFormat="1" x14ac:dyDescent="0.3">
      <c r="A1889" s="247">
        <f>MATCH(Calcs!B1889,Paste_Report_Here!$1:$1,0) -1</f>
        <v>16</v>
      </c>
      <c r="B1889" s="247" t="s">
        <v>134</v>
      </c>
      <c r="C1889" s="166">
        <f ca="1">RANK(N1889,N1878:N1902)</f>
        <v>5</v>
      </c>
      <c r="D1889" s="166">
        <f ca="1">RANK(P1889,P1878:P1902)</f>
        <v>25</v>
      </c>
      <c r="E1889" s="189" t="s">
        <v>163</v>
      </c>
      <c r="F1889" s="179">
        <f ca="1">COUNTIFS(Paste_Report_Here!$E$1:$E$2000,E1872, OFFSET(Paste_Report_Here!$A$1,0,$A1889,2000,1),F$75)</f>
        <v>1</v>
      </c>
      <c r="G1889" s="180">
        <f ca="1">COUNTIFS(Paste_Report_Here!$E$1:$E$2000,E1872, OFFSET(Paste_Report_Here!$A$1,0,$A1889,2000,1),G$75)</f>
        <v>1</v>
      </c>
      <c r="H1889" s="180">
        <f ca="1">COUNTIFS(Paste_Report_Here!$E$1:$E$2000,E1872, OFFSET(Paste_Report_Here!$A$1,0,$A1889,2000,1),H$75)</f>
        <v>24</v>
      </c>
      <c r="I1889" s="180">
        <f ca="1">COUNTIFS(Paste_Report_Here!$E$1:$E$2000,E1872, OFFSET(Paste_Report_Here!$A$1,0,$A1889,2000,1),I$75)</f>
        <v>1</v>
      </c>
      <c r="J1889" s="180">
        <f ca="1">COUNTIFS(Paste_Report_Here!$E$1:$E$2000,E1872, OFFSET(Paste_Report_Here!$A$1,0,$A1889,2000,1),J$75)</f>
        <v>1</v>
      </c>
      <c r="K1889" s="181">
        <f ca="1">COUNTIFS(Paste_Report_Here!$E$1:$E$2000,E1872, OFFSET(Paste_Report_Here!$A$1,0,$A1889,2000,1),K$75)</f>
        <v>0</v>
      </c>
      <c r="L1889" s="166">
        <f t="shared" ca="1" si="281"/>
        <v>28</v>
      </c>
      <c r="M1889" s="183">
        <f ca="1">SUMPRODUCT(F1889:K1889,F1876:K1876)/L:L</f>
        <v>0</v>
      </c>
      <c r="N1889" s="166">
        <f t="shared" ca="1" si="282"/>
        <v>1</v>
      </c>
      <c r="O1889" s="247">
        <f t="shared" ca="1" si="284"/>
        <v>1145.7546405911432</v>
      </c>
      <c r="P1889" s="247">
        <f t="shared" ca="1" si="283"/>
        <v>1145.7546405911432</v>
      </c>
    </row>
    <row r="1890" spans="1:16" s="247" customFormat="1" x14ac:dyDescent="0.3">
      <c r="A1890" s="247">
        <f>MATCH(Calcs!B1890,Paste_Report_Here!$1:$1,0) -1</f>
        <v>17</v>
      </c>
      <c r="B1890" s="247" t="s">
        <v>135</v>
      </c>
      <c r="C1890" s="166">
        <f ca="1">RANK(N1890,N1878:N1902)</f>
        <v>11</v>
      </c>
      <c r="D1890" s="166">
        <f ca="1">RANK(P1890,P1878:P1902)</f>
        <v>19</v>
      </c>
      <c r="E1890" s="189" t="s">
        <v>164</v>
      </c>
      <c r="F1890" s="179">
        <f ca="1">COUNTIFS(Paste_Report_Here!$E$1:$E$2000,E1872, OFFSET(Paste_Report_Here!$A$1,0,$A1890,2000,1),F$75)</f>
        <v>1</v>
      </c>
      <c r="G1890" s="180">
        <f ca="1">COUNTIFS(Paste_Report_Here!$E$1:$E$2000,E1872, OFFSET(Paste_Report_Here!$A$1,0,$A1890,2000,1),G$75)</f>
        <v>1</v>
      </c>
      <c r="H1890" s="180">
        <f ca="1">COUNTIFS(Paste_Report_Here!$E$1:$E$2000,E1872, OFFSET(Paste_Report_Here!$A$1,0,$A1890,2000,1),H$75)</f>
        <v>23</v>
      </c>
      <c r="I1890" s="180">
        <f ca="1">COUNTIFS(Paste_Report_Here!$E$1:$E$2000,E1872, OFFSET(Paste_Report_Here!$A$1,0,$A1890,2000,1),I$75)</f>
        <v>3</v>
      </c>
      <c r="J1890" s="180">
        <f ca="1">COUNTIFS(Paste_Report_Here!$E$1:$E$2000,E1872, OFFSET(Paste_Report_Here!$A$1,0,$A1890,2000,1),J$75)</f>
        <v>0</v>
      </c>
      <c r="K1890" s="181">
        <f ca="1">COUNTIFS(Paste_Report_Here!$E$1:$E$2000,E1872, OFFSET(Paste_Report_Here!$A$1,0,$A1890,2000,1),K$75)</f>
        <v>0</v>
      </c>
      <c r="L1890" s="166">
        <f t="shared" ca="1" si="281"/>
        <v>28</v>
      </c>
      <c r="M1890" s="183">
        <f ca="1">SUMPRODUCT(F1890:K1890,F1876:K1876)/L:L</f>
        <v>-7.1428571428571435E-3</v>
      </c>
      <c r="N1890" s="166">
        <f t="shared" ca="1" si="282"/>
        <v>0.99288259243095034</v>
      </c>
      <c r="O1890" s="247">
        <f t="shared" ca="1" si="284"/>
        <v>1825.9809746628607</v>
      </c>
      <c r="P1890" s="247">
        <f t="shared" ca="1" si="283"/>
        <v>1812.9847238528546</v>
      </c>
    </row>
    <row r="1891" spans="1:16" s="247" customFormat="1" x14ac:dyDescent="0.3">
      <c r="A1891" s="247">
        <f>MATCH(Calcs!B1891,Paste_Report_Here!$1:$1,0) -1</f>
        <v>18</v>
      </c>
      <c r="B1891" s="247" t="s">
        <v>136</v>
      </c>
      <c r="C1891" s="166">
        <f ca="1">RANK(N1891,N1878:N1902)</f>
        <v>11</v>
      </c>
      <c r="D1891" s="166">
        <f ca="1">RANK(P1891,P1878:P1902)</f>
        <v>4</v>
      </c>
      <c r="E1891" s="189" t="s">
        <v>165</v>
      </c>
      <c r="F1891" s="179">
        <f ca="1">COUNTIFS(Paste_Report_Here!$E$1:$E$2000,E1872, OFFSET(Paste_Report_Here!$A$1,0,$A1891,2000,1),F$75)</f>
        <v>1</v>
      </c>
      <c r="G1891" s="180">
        <f ca="1">COUNTIFS(Paste_Report_Here!$E$1:$E$2000,E1872, OFFSET(Paste_Report_Here!$A$1,0,$A1891,2000,1),G$75)</f>
        <v>2</v>
      </c>
      <c r="H1891" s="180">
        <f ca="1">COUNTIFS(Paste_Report_Here!$E$1:$E$2000,E1872, OFFSET(Paste_Report_Here!$A$1,0,$A1891,2000,1),H$75)</f>
        <v>18</v>
      </c>
      <c r="I1891" s="180">
        <f ca="1">COUNTIFS(Paste_Report_Here!$E$1:$E$2000,E1872, OFFSET(Paste_Report_Here!$A$1,0,$A1891,2000,1),I$75)</f>
        <v>7</v>
      </c>
      <c r="J1891" s="180">
        <f ca="1">COUNTIFS(Paste_Report_Here!$E$1:$E$2000,E1872, OFFSET(Paste_Report_Here!$A$1,0,$A1891,2000,1),J$75)</f>
        <v>0</v>
      </c>
      <c r="K1891" s="181">
        <f ca="1">COUNTIFS(Paste_Report_Here!$E$1:$E$2000,E1872, OFFSET(Paste_Report_Here!$A$1,0,$A1891,2000,1),K$75)</f>
        <v>0</v>
      </c>
      <c r="L1891" s="166">
        <f t="shared" ca="1" si="281"/>
        <v>28</v>
      </c>
      <c r="M1891" s="183">
        <f ca="1">SUMPRODUCT(F1891:K1891,F1876:K1876)/L:L</f>
        <v>-7.1428571428571435E-3</v>
      </c>
      <c r="N1891" s="166">
        <f t="shared" ca="1" si="282"/>
        <v>0.99288259243095034</v>
      </c>
      <c r="O1891" s="247">
        <f t="shared" ca="1" si="284"/>
        <v>4235.9863747451882</v>
      </c>
      <c r="P1891" s="247">
        <f t="shared" ca="1" si="283"/>
        <v>4205.837133259186</v>
      </c>
    </row>
    <row r="1892" spans="1:16" s="247" customFormat="1" x14ac:dyDescent="0.3">
      <c r="A1892" s="247">
        <f>MATCH(Calcs!B1892,Paste_Report_Here!$1:$1,0) -1</f>
        <v>19</v>
      </c>
      <c r="B1892" s="247" t="s">
        <v>137</v>
      </c>
      <c r="C1892" s="166">
        <f ca="1">RANK(N1892,N1878:N1902)</f>
        <v>11</v>
      </c>
      <c r="D1892" s="166">
        <f ca="1">RANK(P1892,P1878:P1902)</f>
        <v>16</v>
      </c>
      <c r="E1892" s="189" t="s">
        <v>166</v>
      </c>
      <c r="F1892" s="179">
        <f ca="1">COUNTIFS(Paste_Report_Here!$E$1:$E$2000,E1872, OFFSET(Paste_Report_Here!$A$1,0,$A1892,2000,1),F$75)</f>
        <v>1</v>
      </c>
      <c r="G1892" s="180">
        <f ca="1">COUNTIFS(Paste_Report_Here!$E$1:$E$2000,E1872, OFFSET(Paste_Report_Here!$A$1,0,$A1892,2000,1),G$75)</f>
        <v>3</v>
      </c>
      <c r="H1892" s="180">
        <f ca="1">COUNTIFS(Paste_Report_Here!$E$1:$E$2000,E1872, OFFSET(Paste_Report_Here!$A$1,0,$A1892,2000,1),H$75)</f>
        <v>19</v>
      </c>
      <c r="I1892" s="180">
        <f ca="1">COUNTIFS(Paste_Report_Here!$E$1:$E$2000,E1872, OFFSET(Paste_Report_Here!$A$1,0,$A1892,2000,1),I$75)</f>
        <v>5</v>
      </c>
      <c r="J1892" s="180">
        <f ca="1">COUNTIFS(Paste_Report_Here!$E$1:$E$2000,E1872, OFFSET(Paste_Report_Here!$A$1,0,$A1892,2000,1),J$75)</f>
        <v>0</v>
      </c>
      <c r="K1892" s="181">
        <f ca="1">COUNTIFS(Paste_Report_Here!$E$1:$E$2000,E1872, OFFSET(Paste_Report_Here!$A$1,0,$A1892,2000,1),K$75)</f>
        <v>0</v>
      </c>
      <c r="L1892" s="166">
        <f t="shared" ca="1" si="281"/>
        <v>28</v>
      </c>
      <c r="M1892" s="183">
        <f ca="1">SUMPRODUCT(F1892:K1892,F1876:K1876)/L:L</f>
        <v>-7.1428571428571435E-3</v>
      </c>
      <c r="N1892" s="166">
        <f t="shared" ca="1" si="282"/>
        <v>0.99288259243095034</v>
      </c>
      <c r="O1892" s="247">
        <f t="shared" ca="1" si="284"/>
        <v>2172.3298807561337</v>
      </c>
      <c r="P1892" s="247">
        <f t="shared" ca="1" si="283"/>
        <v>2156.8685236203673</v>
      </c>
    </row>
    <row r="1893" spans="1:16" s="247" customFormat="1" x14ac:dyDescent="0.3">
      <c r="A1893" s="247">
        <f>MATCH(Calcs!B1893,Paste_Report_Here!$1:$1,0) -1</f>
        <v>20</v>
      </c>
      <c r="B1893" s="247" t="s">
        <v>138</v>
      </c>
      <c r="C1893" s="166">
        <f ca="1">RANK(N1893,N1878:N1902)</f>
        <v>11</v>
      </c>
      <c r="D1893" s="166">
        <f ca="1">RANK(P1893,P1878:P1902)</f>
        <v>20</v>
      </c>
      <c r="E1893" s="189" t="s">
        <v>167</v>
      </c>
      <c r="F1893" s="179">
        <f ca="1">COUNTIFS(Paste_Report_Here!$E$1:$E$2000,E1872, OFFSET(Paste_Report_Here!$A$1,0,$A1893,2000,1),F$75)</f>
        <v>1</v>
      </c>
      <c r="G1893" s="180">
        <f ca="1">COUNTIFS(Paste_Report_Here!$E$1:$E$2000,E1872, OFFSET(Paste_Report_Here!$A$1,0,$A1893,2000,1),G$75)</f>
        <v>1</v>
      </c>
      <c r="H1893" s="180">
        <f ca="1">COUNTIFS(Paste_Report_Here!$E$1:$E$2000,E1872, OFFSET(Paste_Report_Here!$A$1,0,$A1893,2000,1),H$75)</f>
        <v>22</v>
      </c>
      <c r="I1893" s="180">
        <f ca="1">COUNTIFS(Paste_Report_Here!$E$1:$E$2000,E1872, OFFSET(Paste_Report_Here!$A$1,0,$A1893,2000,1),I$75)</f>
        <v>4</v>
      </c>
      <c r="J1893" s="180">
        <f ca="1">COUNTIFS(Paste_Report_Here!$E$1:$E$2000,E1872, OFFSET(Paste_Report_Here!$A$1,0,$A1893,2000,1),J$75)</f>
        <v>0</v>
      </c>
      <c r="K1893" s="181">
        <f ca="1">COUNTIFS(Paste_Report_Here!$E$1:$E$2000,E1872, OFFSET(Paste_Report_Here!$A$1,0,$A1893,2000,1),K$75)</f>
        <v>0</v>
      </c>
      <c r="L1893" s="166">
        <f t="shared" ca="1" si="281"/>
        <v>28</v>
      </c>
      <c r="M1893" s="183">
        <f ca="1">SUMPRODUCT(F1893:K1893,F1876:K1876)/L:L</f>
        <v>-7.1428571428571435E-3</v>
      </c>
      <c r="N1893" s="166">
        <f t="shared" ca="1" si="282"/>
        <v>0.99288259243095034</v>
      </c>
      <c r="O1893" s="247">
        <f t="shared" ca="1" si="284"/>
        <v>1780.1265286175435</v>
      </c>
      <c r="P1893" s="247">
        <f t="shared" ca="1" si="283"/>
        <v>1767.456642588895</v>
      </c>
    </row>
    <row r="1894" spans="1:16" s="247" customFormat="1" x14ac:dyDescent="0.3">
      <c r="A1894" s="247">
        <f>MATCH(Calcs!B1894,Paste_Report_Here!$1:$1,0) -1</f>
        <v>21</v>
      </c>
      <c r="B1894" s="247" t="s">
        <v>139</v>
      </c>
      <c r="C1894" s="166">
        <f ca="1">RANK(N1894,N1878:N1902)</f>
        <v>11</v>
      </c>
      <c r="D1894" s="166">
        <f ca="1">RANK(P1894,P1878:P1902)</f>
        <v>18</v>
      </c>
      <c r="E1894" s="189" t="s">
        <v>168</v>
      </c>
      <c r="F1894" s="179">
        <f ca="1">COUNTIFS(Paste_Report_Here!$E$1:$E$2000,E1872, OFFSET(Paste_Report_Here!$A$1,0,$A1894,2000,1),F$75)</f>
        <v>1</v>
      </c>
      <c r="G1894" s="180">
        <f ca="1">COUNTIFS(Paste_Report_Here!$E$1:$E$2000,E1872, OFFSET(Paste_Report_Here!$A$1,0,$A1894,2000,1),G$75)</f>
        <v>2</v>
      </c>
      <c r="H1894" s="180">
        <f ca="1">COUNTIFS(Paste_Report_Here!$E$1:$E$2000,E1872, OFFSET(Paste_Report_Here!$A$1,0,$A1894,2000,1),H$75)</f>
        <v>22</v>
      </c>
      <c r="I1894" s="180">
        <f ca="1">COUNTIFS(Paste_Report_Here!$E$1:$E$2000,E1872, OFFSET(Paste_Report_Here!$A$1,0,$A1894,2000,1),I$75)</f>
        <v>3</v>
      </c>
      <c r="J1894" s="180">
        <f ca="1">COUNTIFS(Paste_Report_Here!$E$1:$E$2000,E1872, OFFSET(Paste_Report_Here!$A$1,0,$A1894,2000,1),J$75)</f>
        <v>0</v>
      </c>
      <c r="K1894" s="181">
        <f ca="1">COUNTIFS(Paste_Report_Here!$E$1:$E$2000,E1872, OFFSET(Paste_Report_Here!$A$1,0,$A1894,2000,1),K$75)</f>
        <v>0</v>
      </c>
      <c r="L1894" s="166">
        <f t="shared" ca="1" si="281"/>
        <v>28</v>
      </c>
      <c r="M1894" s="183">
        <f ca="1">SUMPRODUCT(F1894:K1894,F1876:K1876)/L:L</f>
        <v>-7.1428571428571435E-3</v>
      </c>
      <c r="N1894" s="166">
        <f t="shared" ca="1" si="282"/>
        <v>0.99288259243095034</v>
      </c>
      <c r="O1894" s="247">
        <f t="shared" ca="1" si="284"/>
        <v>1954.5604673424361</v>
      </c>
      <c r="P1894" s="247">
        <f t="shared" ca="1" si="283"/>
        <v>1940.6490638780078</v>
      </c>
    </row>
    <row r="1895" spans="1:16" s="247" customFormat="1" x14ac:dyDescent="0.3">
      <c r="A1895" s="247">
        <f>MATCH(Calcs!B1895,Paste_Report_Here!$1:$1,0) -1</f>
        <v>22</v>
      </c>
      <c r="B1895" s="247" t="s">
        <v>140</v>
      </c>
      <c r="C1895" s="166">
        <f ca="1">RANK(N1895,N1878:N1902)</f>
        <v>1</v>
      </c>
      <c r="D1895" s="166">
        <f ca="1">RANK(P1895,P1878:P1902)</f>
        <v>14</v>
      </c>
      <c r="E1895" s="189" t="s">
        <v>169</v>
      </c>
      <c r="F1895" s="179">
        <f ca="1">COUNTIFS(Paste_Report_Here!$E$1:$E$2000,E1872, OFFSET(Paste_Report_Here!$A$1,0,$A1895,2000,1),F$75)</f>
        <v>0</v>
      </c>
      <c r="G1895" s="180">
        <f ca="1">COUNTIFS(Paste_Report_Here!$E$1:$E$2000,E1872, OFFSET(Paste_Report_Here!$A$1,0,$A1895,2000,1),G$75)</f>
        <v>0</v>
      </c>
      <c r="H1895" s="180">
        <f ca="1">COUNTIFS(Paste_Report_Here!$E$1:$E$2000,E1872, OFFSET(Paste_Report_Here!$A$1,0,$A1895,2000,1),H$75)</f>
        <v>22</v>
      </c>
      <c r="I1895" s="180">
        <f ca="1">COUNTIFS(Paste_Report_Here!$E$1:$E$2000,E1872, OFFSET(Paste_Report_Here!$A$1,0,$A1895,2000,1),I$75)</f>
        <v>5</v>
      </c>
      <c r="J1895" s="180">
        <f ca="1">COUNTIFS(Paste_Report_Here!$E$1:$E$2000,E1872, OFFSET(Paste_Report_Here!$A$1,0,$A1895,2000,1),J$75)</f>
        <v>1</v>
      </c>
      <c r="K1895" s="181">
        <f ca="1">COUNTIFS(Paste_Report_Here!$E$1:$E$2000,E1872, OFFSET(Paste_Report_Here!$A$1,0,$A1895,2000,1),K$75)</f>
        <v>0</v>
      </c>
      <c r="L1895" s="166">
        <f t="shared" ca="1" si="281"/>
        <v>28</v>
      </c>
      <c r="M1895" s="183">
        <f ca="1">SUMPRODUCT(F1895:K1895,F1876:K1876)/L:L</f>
        <v>7.1428571428571435E-3</v>
      </c>
      <c r="N1895" s="166">
        <f t="shared" ca="1" si="282"/>
        <v>1.0071684281941369</v>
      </c>
      <c r="O1895" s="247">
        <f t="shared" ca="1" si="284"/>
        <v>2260.6142883387615</v>
      </c>
      <c r="P1895" s="247">
        <f t="shared" ca="1" si="283"/>
        <v>2276.8193395393578</v>
      </c>
    </row>
    <row r="1896" spans="1:16" s="247" customFormat="1" x14ac:dyDescent="0.3">
      <c r="A1896" s="247">
        <f>MATCH(Calcs!B1896,Paste_Report_Here!$1:$1,0) -1</f>
        <v>23</v>
      </c>
      <c r="B1896" s="247" t="s">
        <v>186</v>
      </c>
      <c r="C1896" s="166">
        <f ca="1">RANK(N1896,N1878:N1902)</f>
        <v>5</v>
      </c>
      <c r="D1896" s="166">
        <f ca="1">RANK(P1896,P1878:P1902)</f>
        <v>3</v>
      </c>
      <c r="E1896" s="189" t="s">
        <v>180</v>
      </c>
      <c r="F1896" s="179">
        <f ca="1">COUNTIFS(Paste_Report_Here!$E$1:$E$2000,E1872, OFFSET(Paste_Report_Here!$A$1,0,$A1896,2000,1),F$75)</f>
        <v>1</v>
      </c>
      <c r="G1896" s="180">
        <f ca="1">COUNTIFS(Paste_Report_Here!$E$1:$E$2000,E1872, OFFSET(Paste_Report_Here!$A$1,0,$A1896,2000,1),G$75)</f>
        <v>0</v>
      </c>
      <c r="H1896" s="180">
        <f ca="1">COUNTIFS(Paste_Report_Here!$E$1:$E$2000,E1872, OFFSET(Paste_Report_Here!$A$1,0,$A1896,2000,1),H$75)</f>
        <v>20</v>
      </c>
      <c r="I1896" s="180">
        <f ca="1">COUNTIFS(Paste_Report_Here!$E$1:$E$2000,E1872, OFFSET(Paste_Report_Here!$A$1,0,$A1896,2000,1),I$75)</f>
        <v>6</v>
      </c>
      <c r="J1896" s="180">
        <f ca="1">COUNTIFS(Paste_Report_Here!$E$1:$E$2000,E1872, OFFSET(Paste_Report_Here!$A$1,0,$A1896,2000,1),J$75)</f>
        <v>1</v>
      </c>
      <c r="K1896" s="181">
        <f ca="1">COUNTIFS(Paste_Report_Here!$E$1:$E$2000,E1872, OFFSET(Paste_Report_Here!$A$1,0,$A1896,2000,1),K$75)</f>
        <v>0</v>
      </c>
      <c r="L1896" s="166">
        <f t="shared" ca="1" si="281"/>
        <v>28</v>
      </c>
      <c r="M1896" s="183">
        <f ca="1">SUMPRODUCT(F1896:K1896,F1876:K1876)/L:L</f>
        <v>0</v>
      </c>
      <c r="N1896" s="166">
        <f t="shared" ca="1" si="282"/>
        <v>1</v>
      </c>
      <c r="O1896" s="247">
        <f t="shared" ca="1" si="284"/>
        <v>4603.9701547168643</v>
      </c>
      <c r="P1896" s="247">
        <f t="shared" ca="1" si="283"/>
        <v>4603.9701547168643</v>
      </c>
    </row>
    <row r="1897" spans="1:16" s="247" customFormat="1" x14ac:dyDescent="0.3">
      <c r="A1897" s="247">
        <f>MATCH(Calcs!B1897,Paste_Report_Here!$1:$1,0) -1</f>
        <v>24</v>
      </c>
      <c r="B1897" s="247" t="s">
        <v>209</v>
      </c>
      <c r="C1897" s="166">
        <f ca="1">RANK(N1897,N1878:N1902)</f>
        <v>11</v>
      </c>
      <c r="D1897" s="166">
        <f ca="1">RANK(P1897,P1878:P1902)</f>
        <v>23</v>
      </c>
      <c r="E1897" s="202" t="s">
        <v>211</v>
      </c>
      <c r="F1897" s="179">
        <f ca="1">COUNTIFS(Paste_Report_Here!$E$1:$E$2000,E1872, OFFSET(Paste_Report_Here!$A$1,0,$A1897,2000,1),F$75)</f>
        <v>1</v>
      </c>
      <c r="G1897" s="180">
        <f ca="1">COUNTIFS(Paste_Report_Here!$E$1:$E$2000,E1872, OFFSET(Paste_Report_Here!$A$1,0,$A1897,2000,1),G$75)</f>
        <v>3</v>
      </c>
      <c r="H1897" s="180">
        <f ca="1">COUNTIFS(Paste_Report_Here!$E$1:$E$2000,E1872, OFFSET(Paste_Report_Here!$A$1,0,$A1897,2000,1),H$75)</f>
        <v>22</v>
      </c>
      <c r="I1897" s="180">
        <f ca="1">COUNTIFS(Paste_Report_Here!$E$1:$E$2000,E1872, OFFSET(Paste_Report_Here!$A$1,0,$A1897,2000,1),I$75)</f>
        <v>2</v>
      </c>
      <c r="J1897" s="180">
        <f ca="1">COUNTIFS(Paste_Report_Here!$E$1:$E$2000,E1872, OFFSET(Paste_Report_Here!$A$1,0,$A1897,2000,1),J$75)</f>
        <v>0</v>
      </c>
      <c r="K1897" s="181">
        <f ca="1">COUNTIFS(Paste_Report_Here!$E$1:$E$2000,E1872, OFFSET(Paste_Report_Here!$A$1,0,$A1897,2000,1),K$75)</f>
        <v>0</v>
      </c>
      <c r="L1897" s="166">
        <f t="shared" ca="1" si="281"/>
        <v>28</v>
      </c>
      <c r="M1897" s="183">
        <f ca="1">SUMPRODUCT(F1897:K1897,F1876:K1876)/L:L</f>
        <v>-7.1428571428571435E-3</v>
      </c>
      <c r="N1897" s="166">
        <f t="shared" ca="1" si="282"/>
        <v>0.99288259243095034</v>
      </c>
      <c r="O1897" s="247">
        <f t="shared" ca="1" si="284"/>
        <v>1228.5431988795115</v>
      </c>
      <c r="P1897" s="247">
        <f t="shared" ca="1" si="283"/>
        <v>1219.799156216902</v>
      </c>
    </row>
    <row r="1898" spans="1:16" s="247" customFormat="1" x14ac:dyDescent="0.3">
      <c r="A1898" s="247">
        <f>MATCH(Calcs!B1898,Paste_Report_Here!$1:$1,0) -1</f>
        <v>25</v>
      </c>
      <c r="B1898" s="247" t="s">
        <v>141</v>
      </c>
      <c r="C1898" s="166">
        <f ca="1">RANK(N1898,N1878:N1902)</f>
        <v>11</v>
      </c>
      <c r="D1898" s="166">
        <f ca="1">RANK(P1898,P1878:P1902)</f>
        <v>22</v>
      </c>
      <c r="E1898" s="189" t="s">
        <v>170</v>
      </c>
      <c r="F1898" s="179">
        <f ca="1">COUNTIFS(Paste_Report_Here!$E$1:$E$2000,E1872, OFFSET(Paste_Report_Here!$A$1,0,$A1898,2000,1),F$75)</f>
        <v>1</v>
      </c>
      <c r="G1898" s="180">
        <f ca="1">COUNTIFS(Paste_Report_Here!$E$1:$E$2000,E1872, OFFSET(Paste_Report_Here!$A$1,0,$A1898,2000,1),G$75)</f>
        <v>1</v>
      </c>
      <c r="H1898" s="180">
        <f ca="1">COUNTIFS(Paste_Report_Here!$E$1:$E$2000,E1872, OFFSET(Paste_Report_Here!$A$1,0,$A1898,2000,1),H$75)</f>
        <v>23</v>
      </c>
      <c r="I1898" s="180">
        <f ca="1">COUNTIFS(Paste_Report_Here!$E$1:$E$2000,E1872, OFFSET(Paste_Report_Here!$A$1,0,$A1898,2000,1),I$75)</f>
        <v>3</v>
      </c>
      <c r="J1898" s="180">
        <f ca="1">COUNTIFS(Paste_Report_Here!$E$1:$E$2000,E1872, OFFSET(Paste_Report_Here!$A$1,0,$A1898,2000,1),J$75)</f>
        <v>0</v>
      </c>
      <c r="K1898" s="181">
        <f ca="1">COUNTIFS(Paste_Report_Here!$E$1:$E$2000,E1872, OFFSET(Paste_Report_Here!$A$1,0,$A1898,2000,1),K$75)</f>
        <v>0</v>
      </c>
      <c r="L1898" s="166">
        <f t="shared" ca="1" si="281"/>
        <v>28</v>
      </c>
      <c r="M1898" s="183">
        <f ca="1">SUMPRODUCT(F1898:K1898,F1876:K1876)/L:L</f>
        <v>-7.1428571428571435E-3</v>
      </c>
      <c r="N1898" s="166">
        <f t="shared" ca="1" si="282"/>
        <v>0.99288259243095034</v>
      </c>
      <c r="O1898" s="247">
        <f t="shared" ca="1" si="284"/>
        <v>1289.7183684099946</v>
      </c>
      <c r="P1898" s="247">
        <f t="shared" ca="1" si="283"/>
        <v>1280.5389171327308</v>
      </c>
    </row>
    <row r="1899" spans="1:16" s="247" customFormat="1" x14ac:dyDescent="0.3">
      <c r="A1899" s="247">
        <f>MATCH(Calcs!B1899,Paste_Report_Here!$1:$1,0) -1</f>
        <v>26</v>
      </c>
      <c r="B1899" s="247" t="s">
        <v>142</v>
      </c>
      <c r="C1899" s="166">
        <f ca="1">RANK(N1899,N1878:N1902)</f>
        <v>11</v>
      </c>
      <c r="D1899" s="166">
        <f ca="1">RANK(P1899,P1878:P1902)</f>
        <v>15</v>
      </c>
      <c r="E1899" s="189" t="s">
        <v>171</v>
      </c>
      <c r="F1899" s="179">
        <f ca="1">COUNTIFS(Paste_Report_Here!$E$1:$E$2000,E1872, OFFSET(Paste_Report_Here!$A$1,0,$A1899,2000,1),F$75)</f>
        <v>1</v>
      </c>
      <c r="G1899" s="180">
        <f ca="1">COUNTIFS(Paste_Report_Here!$E$1:$E$2000,E1872, OFFSET(Paste_Report_Here!$A$1,0,$A1899,2000,1),G$75)</f>
        <v>0</v>
      </c>
      <c r="H1899" s="180">
        <f ca="1">COUNTIFS(Paste_Report_Here!$E$1:$E$2000,E1872, OFFSET(Paste_Report_Here!$A$1,0,$A1899,2000,1),H$75)</f>
        <v>21</v>
      </c>
      <c r="I1899" s="180">
        <f ca="1">COUNTIFS(Paste_Report_Here!$E$1:$E$2000,E1872, OFFSET(Paste_Report_Here!$A$1,0,$A1899,2000,1),I$75)</f>
        <v>6</v>
      </c>
      <c r="J1899" s="180">
        <f ca="1">COUNTIFS(Paste_Report_Here!$E$1:$E$2000,E1872, OFFSET(Paste_Report_Here!$A$1,0,$A1899,2000,1),J$75)</f>
        <v>0</v>
      </c>
      <c r="K1899" s="181">
        <f ca="1">COUNTIFS(Paste_Report_Here!$E$1:$E$2000,E1872, OFFSET(Paste_Report_Here!$A$1,0,$A1899,2000,1),K$75)</f>
        <v>0</v>
      </c>
      <c r="L1899" s="166">
        <f t="shared" ca="1" si="281"/>
        <v>28</v>
      </c>
      <c r="M1899" s="183">
        <f ca="1">SUMPRODUCT(F1899:K1899,F1876:K1876)/L:L</f>
        <v>-7.1428571428571435E-3</v>
      </c>
      <c r="N1899" s="166">
        <f t="shared" ca="1" si="282"/>
        <v>0.99288259243095034</v>
      </c>
      <c r="O1899" s="247">
        <f t="shared" ca="1" si="284"/>
        <v>2212.727542151044</v>
      </c>
      <c r="P1899" s="247">
        <f t="shared" ca="1" si="283"/>
        <v>2196.9786583942937</v>
      </c>
    </row>
    <row r="1900" spans="1:16" s="247" customFormat="1" x14ac:dyDescent="0.3">
      <c r="A1900" s="247">
        <f>MATCH(Calcs!B1900,Paste_Report_Here!$1:$1,0) -1</f>
        <v>27</v>
      </c>
      <c r="B1900" s="247" t="s">
        <v>210</v>
      </c>
      <c r="C1900" s="166">
        <f ca="1">RANK(N1900,N1878:N1902)</f>
        <v>5</v>
      </c>
      <c r="D1900" s="166">
        <f ca="1">RANK(P1900,P1878:P1902)</f>
        <v>24</v>
      </c>
      <c r="E1900" s="202" t="s">
        <v>212</v>
      </c>
      <c r="F1900" s="179">
        <f ca="1">COUNTIFS(Paste_Report_Here!$E$1:$E$2000,E1872, OFFSET(Paste_Report_Here!$A$1,0,$A1900,2000,1),F$75)</f>
        <v>0</v>
      </c>
      <c r="G1900" s="180">
        <f ca="1">COUNTIFS(Paste_Report_Here!$E$1:$E$2000,E1872, OFFSET(Paste_Report_Here!$A$1,0,$A1900,2000,1),G$75)</f>
        <v>1</v>
      </c>
      <c r="H1900" s="180">
        <f ca="1">COUNTIFS(Paste_Report_Here!$E$1:$E$2000,E1872, OFFSET(Paste_Report_Here!$A$1,0,$A1900,2000,1),H$75)</f>
        <v>20</v>
      </c>
      <c r="I1900" s="180">
        <f ca="1">COUNTIFS(Paste_Report_Here!$E$1:$E$2000,E1872, OFFSET(Paste_Report_Here!$A$1,0,$A1900,2000,1),I$75)</f>
        <v>7</v>
      </c>
      <c r="J1900" s="180">
        <f ca="1">COUNTIFS(Paste_Report_Here!$E$1:$E$2000,E1872, OFFSET(Paste_Report_Here!$A$1,0,$A1900,2000,1),J$75)</f>
        <v>0</v>
      </c>
      <c r="K1900" s="181">
        <f ca="1">COUNTIFS(Paste_Report_Here!$E$1:$E$2000,E1872, OFFSET(Paste_Report_Here!$A$1,0,$A1900,2000,1),K$75)</f>
        <v>0</v>
      </c>
      <c r="L1900" s="166">
        <f t="shared" ca="1" si="281"/>
        <v>28</v>
      </c>
      <c r="M1900" s="183">
        <f ca="1">SUMPRODUCT(F1900:K1900,F1876:K1876)/L:L</f>
        <v>0</v>
      </c>
      <c r="N1900" s="166">
        <f t="shared" ca="1" si="282"/>
        <v>1</v>
      </c>
      <c r="O1900" s="247">
        <f t="shared" ca="1" si="284"/>
        <v>1152.8560468976777</v>
      </c>
      <c r="P1900" s="247">
        <f t="shared" ca="1" si="283"/>
        <v>1152.8560468976777</v>
      </c>
    </row>
    <row r="1901" spans="1:16" s="247" customFormat="1" x14ac:dyDescent="0.3">
      <c r="A1901" s="247">
        <f>MATCH(Calcs!B1901,Paste_Report_Here!$1:$1,0) -1</f>
        <v>28</v>
      </c>
      <c r="B1901" s="247" t="s">
        <v>143</v>
      </c>
      <c r="C1901" s="166">
        <f ca="1">RANK(N1901,N1878:N1902)</f>
        <v>1</v>
      </c>
      <c r="D1901" s="166">
        <f ca="1">RANK(P1901,P1878:P1902)</f>
        <v>1</v>
      </c>
      <c r="E1901" s="189" t="s">
        <v>172</v>
      </c>
      <c r="F1901" s="179">
        <f ca="1">COUNTIFS(Paste_Report_Here!$E$1:$E$2000,E1872, OFFSET(Paste_Report_Here!$A$1,0,$A1901,2000,1),F$75)</f>
        <v>0</v>
      </c>
      <c r="G1901" s="180">
        <f ca="1">COUNTIFS(Paste_Report_Here!$E$1:$E$2000,E1872, OFFSET(Paste_Report_Here!$A$1,0,$A1901,2000,1),G$75)</f>
        <v>0</v>
      </c>
      <c r="H1901" s="180">
        <f ca="1">COUNTIFS(Paste_Report_Here!$E$1:$E$2000,E1872, OFFSET(Paste_Report_Here!$A$1,0,$A1901,2000,1),H$75)</f>
        <v>22</v>
      </c>
      <c r="I1901" s="180">
        <f ca="1">COUNTIFS(Paste_Report_Here!$E$1:$E$2000,E1872, OFFSET(Paste_Report_Here!$A$1,0,$A1901,2000,1),I$75)</f>
        <v>5</v>
      </c>
      <c r="J1901" s="180">
        <f ca="1">COUNTIFS(Paste_Report_Here!$E$1:$E$2000,E1872, OFFSET(Paste_Report_Here!$A$1,0,$A1901,2000,1),J$75)</f>
        <v>1</v>
      </c>
      <c r="K1901" s="181">
        <f ca="1">COUNTIFS(Paste_Report_Here!$E$1:$E$2000,E1872, OFFSET(Paste_Report_Here!$A$1,0,$A1901,2000,1),K$75)</f>
        <v>0</v>
      </c>
      <c r="L1901" s="166">
        <f t="shared" ca="1" si="281"/>
        <v>28</v>
      </c>
      <c r="M1901" s="183">
        <f ca="1">SUMPRODUCT(F1901:K1901,F1876:K1876)/L:L</f>
        <v>7.1428571428571435E-3</v>
      </c>
      <c r="N1901" s="166">
        <f t="shared" ca="1" si="282"/>
        <v>1.0071684281941369</v>
      </c>
      <c r="O1901" s="247">
        <f t="shared" ca="1" si="284"/>
        <v>11209.267713109421</v>
      </c>
      <c r="P1901" s="247">
        <f t="shared" ca="1" si="283"/>
        <v>11289.620543819703</v>
      </c>
    </row>
    <row r="1902" spans="1:16" s="247" customFormat="1" x14ac:dyDescent="0.3">
      <c r="A1902" s="247">
        <f>MATCH(Calcs!B1902,Paste_Report_Here!$1:$1,0) -1</f>
        <v>29</v>
      </c>
      <c r="B1902" s="187" t="s">
        <v>144</v>
      </c>
      <c r="C1902" s="147">
        <f ca="1">RANK(N1902,N1878:N1902)</f>
        <v>5</v>
      </c>
      <c r="D1902" s="147">
        <f ca="1">RANK(P1902,P1878:P1902)</f>
        <v>10</v>
      </c>
      <c r="E1902" s="145" t="s">
        <v>173</v>
      </c>
      <c r="F1902" s="146">
        <f ca="1">COUNTIFS(Paste_Report_Here!$E$1:$E$2000,E1872, OFFSET(Paste_Report_Here!$A$1,0,$A1902,2000,1),F$75)</f>
        <v>0</v>
      </c>
      <c r="G1902" s="147">
        <f ca="1">COUNTIFS(Paste_Report_Here!$E$1:$E$2000,E1872, OFFSET(Paste_Report_Here!$A$1,0,$A1902,2000,1),G$75)</f>
        <v>5</v>
      </c>
      <c r="H1902" s="147">
        <f ca="1">COUNTIFS(Paste_Report_Here!$E$1:$E$2000,E1872, OFFSET(Paste_Report_Here!$A$1,0,$A1902,2000,1),H$75)</f>
        <v>19</v>
      </c>
      <c r="I1902" s="147">
        <f ca="1">COUNTIFS(Paste_Report_Here!$E$1:$E$2000,E1872, OFFSET(Paste_Report_Here!$A$1,0,$A1902,2000,1),I$75)</f>
        <v>4</v>
      </c>
      <c r="J1902" s="147">
        <f ca="1">COUNTIFS(Paste_Report_Here!$E$1:$E$2000,E1872, OFFSET(Paste_Report_Here!$A$1,0,$A1902,2000,1),J$75)</f>
        <v>0</v>
      </c>
      <c r="K1902" s="148">
        <f ca="1">COUNTIFS(Paste_Report_Here!$E$1:$E$2000,E1872, OFFSET(Paste_Report_Here!$A$1,0,$A1902,2000,1),K$75)</f>
        <v>0</v>
      </c>
      <c r="L1902" s="147">
        <f t="shared" ca="1" si="281"/>
        <v>28</v>
      </c>
      <c r="M1902" s="149">
        <f ca="1">SUMPRODUCT(F1902:K1902,F1876:K1876)/L:L</f>
        <v>0</v>
      </c>
      <c r="N1902" s="147">
        <f t="shared" ca="1" si="282"/>
        <v>1</v>
      </c>
      <c r="O1902" s="187">
        <f t="shared" ca="1" si="284"/>
        <v>2392.2261011950159</v>
      </c>
      <c r="P1902" s="247">
        <f t="shared" ca="1" si="283"/>
        <v>2392.2261011950159</v>
      </c>
    </row>
    <row r="1903" spans="1:16" s="247" customFormat="1" x14ac:dyDescent="0.3">
      <c r="C1903" s="166"/>
      <c r="E1903" s="140" t="s">
        <v>293</v>
      </c>
      <c r="F1903" s="180">
        <f ca="1">SUM(F1878:F1902)</f>
        <v>19</v>
      </c>
      <c r="G1903" s="180">
        <f t="shared" ref="G1903:L1903" ca="1" si="285">SUM(G1878:G1902)</f>
        <v>39</v>
      </c>
      <c r="H1903" s="180">
        <f t="shared" ca="1" si="285"/>
        <v>519</v>
      </c>
      <c r="I1903" s="180">
        <f t="shared" ca="1" si="285"/>
        <v>115</v>
      </c>
      <c r="J1903" s="180">
        <f t="shared" ca="1" si="285"/>
        <v>8</v>
      </c>
      <c r="K1903" s="180">
        <f t="shared" ca="1" si="285"/>
        <v>0</v>
      </c>
      <c r="L1903" s="180">
        <f t="shared" ca="1" si="285"/>
        <v>700</v>
      </c>
      <c r="M1903" s="144">
        <f ca="1">SUMPRODUCT(F1903:K1903,F1876:K1876)/L1903</f>
        <v>-3.142857142857143E-3</v>
      </c>
      <c r="N1903" s="166">
        <f t="shared" ca="1" si="282"/>
        <v>0.99686207646276048</v>
      </c>
      <c r="O1903" s="247">
        <f t="shared" ca="1" si="284"/>
        <v>2766.407662504198</v>
      </c>
      <c r="P1903" s="247">
        <f t="shared" ca="1" si="283"/>
        <v>2757.7268867864263</v>
      </c>
    </row>
    <row r="1904" spans="1:16" s="247" customFormat="1" x14ac:dyDescent="0.3">
      <c r="A1904" s="194"/>
      <c r="B1904" s="194"/>
      <c r="C1904" s="153"/>
      <c r="D1904" s="194"/>
      <c r="E1904" s="164"/>
      <c r="F1904" s="151"/>
      <c r="G1904" s="151"/>
      <c r="H1904" s="151"/>
      <c r="I1904" s="151"/>
      <c r="J1904" s="151"/>
      <c r="K1904" s="151"/>
      <c r="L1904" s="151"/>
      <c r="M1904" s="162"/>
      <c r="N1904" s="153"/>
      <c r="O1904" s="194"/>
      <c r="P1904" s="194"/>
    </row>
    <row r="1905" spans="1:16" s="247" customFormat="1" x14ac:dyDescent="0.3">
      <c r="E1905" s="173" t="s">
        <v>292</v>
      </c>
    </row>
    <row r="1906" spans="1:16" s="247" customFormat="1" x14ac:dyDescent="0.3">
      <c r="E1906" s="141">
        <v>42246</v>
      </c>
    </row>
    <row r="1907" spans="1:16" s="247" customFormat="1" ht="15" thickBot="1" x14ac:dyDescent="0.35"/>
    <row r="1908" spans="1:16" s="247" customFormat="1" ht="24.6" thickBot="1" x14ac:dyDescent="0.35">
      <c r="F1908" s="174" t="s">
        <v>23</v>
      </c>
      <c r="G1908" s="168" t="s">
        <v>18</v>
      </c>
      <c r="H1908" s="168" t="s">
        <v>16</v>
      </c>
      <c r="I1908" s="168" t="s">
        <v>17</v>
      </c>
      <c r="J1908" s="168" t="s">
        <v>19</v>
      </c>
      <c r="K1908" s="169" t="s">
        <v>114</v>
      </c>
    </row>
    <row r="1909" spans="1:16" s="247" customFormat="1" x14ac:dyDescent="0.3">
      <c r="F1909" s="267" t="s">
        <v>201</v>
      </c>
      <c r="G1909" s="268"/>
      <c r="H1909" s="268"/>
      <c r="I1909" s="268"/>
      <c r="J1909" s="268"/>
      <c r="K1909" s="169"/>
      <c r="M1909" s="203">
        <f ca="1">(H1937+K1937)/L1937</f>
        <v>0.748</v>
      </c>
      <c r="N1909" s="204" t="s">
        <v>501</v>
      </c>
    </row>
    <row r="1910" spans="1:16" s="247" customFormat="1" ht="43.8" thickBot="1" x14ac:dyDescent="0.35">
      <c r="A1910" s="142" t="s">
        <v>294</v>
      </c>
      <c r="B1910" s="142" t="s">
        <v>295</v>
      </c>
      <c r="C1910" s="197" t="s">
        <v>440</v>
      </c>
      <c r="D1910" s="142" t="s">
        <v>441</v>
      </c>
      <c r="E1910" s="171" t="s">
        <v>30</v>
      </c>
      <c r="F1910" s="175">
        <f>Falling_fast</f>
        <v>-0.2</v>
      </c>
      <c r="G1910" s="176">
        <f>Falling</f>
        <v>0</v>
      </c>
      <c r="H1910" s="177">
        <f>Static</f>
        <v>0</v>
      </c>
      <c r="I1910" s="176">
        <f>Rising</f>
        <v>0</v>
      </c>
      <c r="J1910" s="178">
        <f>Rising_fast</f>
        <v>0.2</v>
      </c>
      <c r="K1910" s="182">
        <v>0</v>
      </c>
      <c r="L1910" s="171" t="s">
        <v>28</v>
      </c>
      <c r="M1910" s="172" t="s">
        <v>29</v>
      </c>
      <c r="N1910" s="143" t="s">
        <v>296</v>
      </c>
      <c r="O1910" s="142" t="s">
        <v>297</v>
      </c>
      <c r="P1910" s="142" t="s">
        <v>298</v>
      </c>
    </row>
    <row r="1911" spans="1:16" s="247" customFormat="1" x14ac:dyDescent="0.3">
      <c r="C1911" s="166"/>
      <c r="E1911" s="192"/>
      <c r="F1911" s="198" t="s">
        <v>151</v>
      </c>
      <c r="G1911" s="199" t="s">
        <v>149</v>
      </c>
      <c r="H1911" s="199" t="s">
        <v>16</v>
      </c>
      <c r="I1911" s="199" t="s">
        <v>148</v>
      </c>
      <c r="J1911" s="199" t="s">
        <v>150</v>
      </c>
      <c r="K1911" s="200" t="s">
        <v>114</v>
      </c>
      <c r="L1911" s="166"/>
      <c r="M1911" s="170"/>
      <c r="N1911" s="166"/>
    </row>
    <row r="1912" spans="1:16" s="247" customFormat="1" x14ac:dyDescent="0.3">
      <c r="A1912" s="247">
        <f>MATCH(Calcs!B1912,Paste_Report_Here!$1:$1,0) -1</f>
        <v>5</v>
      </c>
      <c r="B1912" s="247" t="s">
        <v>124</v>
      </c>
      <c r="C1912" s="166">
        <f ca="1">RANK(N1912,N1912:N1936)</f>
        <v>1</v>
      </c>
      <c r="D1912" s="166">
        <f ca="1">RANK(P1912,P1912:P1936)</f>
        <v>13</v>
      </c>
      <c r="E1912" s="189" t="s">
        <v>152</v>
      </c>
      <c r="F1912" s="179">
        <f ca="1">COUNTIFS(Paste_Report_Here!$E$1:$E$2000,E1906, OFFSET(Paste_Report_Here!$A$1,0,$A1912,2000,1),F$75)</f>
        <v>0</v>
      </c>
      <c r="G1912" s="180">
        <f ca="1">COUNTIFS(Paste_Report_Here!$E$1:$E$2000,E1906, OFFSET(Paste_Report_Here!$A$1,0,$A1912,2000,1),G$75)</f>
        <v>1</v>
      </c>
      <c r="H1912" s="180">
        <f ca="1">COUNTIFS(Paste_Report_Here!$E$1:$E$2000,E1906, OFFSET(Paste_Report_Here!$A$1,0,$A1912,2000,1),H$75)</f>
        <v>23</v>
      </c>
      <c r="I1912" s="180">
        <f ca="1">COUNTIFS(Paste_Report_Here!$E$1:$E$2000,E1906, OFFSET(Paste_Report_Here!$A$1,0,$A1912,2000,1),I$75)</f>
        <v>4</v>
      </c>
      <c r="J1912" s="180">
        <f ca="1">COUNTIFS(Paste_Report_Here!$E$1:$E$2000,E1906, OFFSET(Paste_Report_Here!$A$1,0,$A1912,2000,1),J$75)</f>
        <v>2</v>
      </c>
      <c r="K1912" s="181">
        <f ca="1">COUNTIFS(Paste_Report_Here!$E$1:$E$2000,E1906, OFFSET(Paste_Report_Here!$A$1,0,$A1912,2000,1),K$75)</f>
        <v>0</v>
      </c>
      <c r="L1912" s="166">
        <f t="shared" ref="L1912:L1936" ca="1" si="286">SUM(F1912:K1912)</f>
        <v>30</v>
      </c>
      <c r="M1912" s="183">
        <f ca="1">SUMPRODUCT(F1912:K1912,F1910:K1910)/L:L</f>
        <v>1.3333333333333334E-2</v>
      </c>
      <c r="N1912" s="166">
        <f t="shared" ref="N1912:N1937" ca="1" si="287">EXP(M1912)</f>
        <v>1.0134226186043425</v>
      </c>
      <c r="O1912" s="247">
        <f ca="1">P1878</f>
        <v>2279.4185774883877</v>
      </c>
      <c r="P1912" s="247">
        <f t="shared" ref="P1912:P1937" ca="1" si="288">O1912*N1912</f>
        <v>2310.0143436936673</v>
      </c>
    </row>
    <row r="1913" spans="1:16" s="247" customFormat="1" x14ac:dyDescent="0.3">
      <c r="A1913" s="247">
        <f>MATCH(Calcs!B1913,Paste_Report_Here!$1:$1,0) -1</f>
        <v>6</v>
      </c>
      <c r="B1913" s="247" t="s">
        <v>125</v>
      </c>
      <c r="C1913" s="166">
        <f ca="1">RANK(N1913,N1912:N1936)</f>
        <v>18</v>
      </c>
      <c r="D1913" s="166">
        <f ca="1">RANK(P1913,P1912:P1936)</f>
        <v>17</v>
      </c>
      <c r="E1913" s="189" t="s">
        <v>153</v>
      </c>
      <c r="F1913" s="179">
        <f ca="1">COUNTIFS(Paste_Report_Here!$E$1:$E$2000,E1906, OFFSET(Paste_Report_Here!$A$1,0,$A1913,2000,1),F$75)</f>
        <v>1</v>
      </c>
      <c r="G1913" s="180">
        <f ca="1">COUNTIFS(Paste_Report_Here!$E$1:$E$2000,E1906, OFFSET(Paste_Report_Here!$A$1,0,$A1913,2000,1),G$75)</f>
        <v>2</v>
      </c>
      <c r="H1913" s="180">
        <f ca="1">COUNTIFS(Paste_Report_Here!$E$1:$E$2000,E1906, OFFSET(Paste_Report_Here!$A$1,0,$A1913,2000,1),H$75)</f>
        <v>25</v>
      </c>
      <c r="I1913" s="180">
        <f ca="1">COUNTIFS(Paste_Report_Here!$E$1:$E$2000,E1906, OFFSET(Paste_Report_Here!$A$1,0,$A1913,2000,1),I$75)</f>
        <v>2</v>
      </c>
      <c r="J1913" s="180">
        <f ca="1">COUNTIFS(Paste_Report_Here!$E$1:$E$2000,E1906, OFFSET(Paste_Report_Here!$A$1,0,$A1913,2000,1),J$75)</f>
        <v>0</v>
      </c>
      <c r="K1913" s="181">
        <f ca="1">COUNTIFS(Paste_Report_Here!$E$1:$E$2000,E1906, OFFSET(Paste_Report_Here!$A$1,0,$A1913,2000,1),K$75)</f>
        <v>0</v>
      </c>
      <c r="L1913" s="166">
        <f t="shared" ca="1" si="286"/>
        <v>30</v>
      </c>
      <c r="M1913" s="183">
        <f ca="1">SUMPRODUCT(F1913:K1913,F1910:K1910)/L:L</f>
        <v>-6.6666666666666671E-3</v>
      </c>
      <c r="N1913" s="166">
        <f t="shared" ca="1" si="287"/>
        <v>0.99335550625503444</v>
      </c>
      <c r="O1913" s="247">
        <f t="shared" ref="O1913:O1937" ca="1" si="289">P1879</f>
        <v>1992.3418959214889</v>
      </c>
      <c r="P1913" s="247">
        <f t="shared" ca="1" si="288"/>
        <v>1979.1037926562058</v>
      </c>
    </row>
    <row r="1914" spans="1:16" s="247" customFormat="1" x14ac:dyDescent="0.3">
      <c r="A1914" s="247">
        <f>MATCH(Calcs!B1914,Paste_Report_Here!$1:$1,0) -1</f>
        <v>7</v>
      </c>
      <c r="B1914" s="247" t="s">
        <v>126</v>
      </c>
      <c r="C1914" s="166">
        <f ca="1">RANK(N1914,N1912:N1936)</f>
        <v>18</v>
      </c>
      <c r="D1914" s="166">
        <f ca="1">RANK(P1914,P1912:P1936)</f>
        <v>8</v>
      </c>
      <c r="E1914" s="189" t="s">
        <v>154</v>
      </c>
      <c r="F1914" s="179">
        <f ca="1">COUNTIFS(Paste_Report_Here!$E$1:$E$2000,E1906, OFFSET(Paste_Report_Here!$A$1,0,$A1914,2000,1),F$75)</f>
        <v>1</v>
      </c>
      <c r="G1914" s="180">
        <f ca="1">COUNTIFS(Paste_Report_Here!$E$1:$E$2000,E1906, OFFSET(Paste_Report_Here!$A$1,0,$A1914,2000,1),G$75)</f>
        <v>2</v>
      </c>
      <c r="H1914" s="180">
        <f ca="1">COUNTIFS(Paste_Report_Here!$E$1:$E$2000,E1906, OFFSET(Paste_Report_Here!$A$1,0,$A1914,2000,1),H$75)</f>
        <v>21</v>
      </c>
      <c r="I1914" s="180">
        <f ca="1">COUNTIFS(Paste_Report_Here!$E$1:$E$2000,E1906, OFFSET(Paste_Report_Here!$A$1,0,$A1914,2000,1),I$75)</f>
        <v>6</v>
      </c>
      <c r="J1914" s="180">
        <f ca="1">COUNTIFS(Paste_Report_Here!$E$1:$E$2000,E1906, OFFSET(Paste_Report_Here!$A$1,0,$A1914,2000,1),J$75)</f>
        <v>0</v>
      </c>
      <c r="K1914" s="181">
        <f ca="1">COUNTIFS(Paste_Report_Here!$E$1:$E$2000,E1906, OFFSET(Paste_Report_Here!$A$1,0,$A1914,2000,1),K$75)</f>
        <v>0</v>
      </c>
      <c r="L1914" s="166">
        <f t="shared" ca="1" si="286"/>
        <v>30</v>
      </c>
      <c r="M1914" s="183">
        <f ca="1">SUMPRODUCT(F1914:K1914,F1910:K1910)/L:L</f>
        <v>-6.6666666666666671E-3</v>
      </c>
      <c r="N1914" s="166">
        <f t="shared" ca="1" si="287"/>
        <v>0.99335550625503444</v>
      </c>
      <c r="O1914" s="247">
        <f t="shared" ca="1" si="289"/>
        <v>2518.7466620506948</v>
      </c>
      <c r="P1914" s="247">
        <f t="shared" ca="1" si="288"/>
        <v>2502.0108656095463</v>
      </c>
    </row>
    <row r="1915" spans="1:16" s="247" customFormat="1" x14ac:dyDescent="0.3">
      <c r="A1915" s="247">
        <f>MATCH(Calcs!B1915,Paste_Report_Here!$1:$1,0) -1</f>
        <v>8</v>
      </c>
      <c r="B1915" s="247" t="s">
        <v>127</v>
      </c>
      <c r="C1915" s="166">
        <f ca="1">RANK(N1915,N1912:N1936)</f>
        <v>3</v>
      </c>
      <c r="D1915" s="166">
        <f ca="1">RANK(P1915,P1912:P1936)</f>
        <v>7</v>
      </c>
      <c r="E1915" s="189" t="s">
        <v>155</v>
      </c>
      <c r="F1915" s="179">
        <f ca="1">COUNTIFS(Paste_Report_Here!$E$1:$E$2000,E1906, OFFSET(Paste_Report_Here!$A$1,0,$A1915,2000,1),F$75)</f>
        <v>0</v>
      </c>
      <c r="G1915" s="180">
        <f ca="1">COUNTIFS(Paste_Report_Here!$E$1:$E$2000,E1906, OFFSET(Paste_Report_Here!$A$1,0,$A1915,2000,1),G$75)</f>
        <v>1</v>
      </c>
      <c r="H1915" s="180">
        <f ca="1">COUNTIFS(Paste_Report_Here!$E$1:$E$2000,E1906, OFFSET(Paste_Report_Here!$A$1,0,$A1915,2000,1),H$75)</f>
        <v>23</v>
      </c>
      <c r="I1915" s="180">
        <f ca="1">COUNTIFS(Paste_Report_Here!$E$1:$E$2000,E1906, OFFSET(Paste_Report_Here!$A$1,0,$A1915,2000,1),I$75)</f>
        <v>5</v>
      </c>
      <c r="J1915" s="180">
        <f ca="1">COUNTIFS(Paste_Report_Here!$E$1:$E$2000,E1906, OFFSET(Paste_Report_Here!$A$1,0,$A1915,2000,1),J$75)</f>
        <v>1</v>
      </c>
      <c r="K1915" s="181">
        <f ca="1">COUNTIFS(Paste_Report_Here!$E$1:$E$2000,E1906, OFFSET(Paste_Report_Here!$A$1,0,$A1915,2000,1),K$75)</f>
        <v>0</v>
      </c>
      <c r="L1915" s="166">
        <f t="shared" ca="1" si="286"/>
        <v>30</v>
      </c>
      <c r="M1915" s="183">
        <f ca="1">SUMPRODUCT(F1915:K1915,F1910:K1910)/L:L</f>
        <v>6.6666666666666671E-3</v>
      </c>
      <c r="N1915" s="166">
        <f t="shared" ca="1" si="287"/>
        <v>1.0066889383540194</v>
      </c>
      <c r="O1915" s="247">
        <f t="shared" ca="1" si="289"/>
        <v>2967.6520345228364</v>
      </c>
      <c r="P1915" s="247">
        <f t="shared" ca="1" si="288"/>
        <v>2987.5024760379401</v>
      </c>
    </row>
    <row r="1916" spans="1:16" s="247" customFormat="1" x14ac:dyDescent="0.3">
      <c r="A1916" s="247">
        <f>MATCH(Calcs!B1916,Paste_Report_Here!$1:$1,0) -1</f>
        <v>9</v>
      </c>
      <c r="B1916" s="247" t="s">
        <v>214</v>
      </c>
      <c r="C1916" s="166">
        <f ca="1">RANK(N1916,N1912:N1936)</f>
        <v>3</v>
      </c>
      <c r="D1916" s="166">
        <f ca="1">RANK(P1916,P1912:P1936)</f>
        <v>4</v>
      </c>
      <c r="E1916" s="189" t="s">
        <v>156</v>
      </c>
      <c r="F1916" s="179">
        <f ca="1">COUNTIFS(Paste_Report_Here!$E$1:$E$2000,E1906, OFFSET(Paste_Report_Here!$A$1,0,$A1916,2000,1),F$75)</f>
        <v>0</v>
      </c>
      <c r="G1916" s="180">
        <f ca="1">COUNTIFS(Paste_Report_Here!$E$1:$E$2000,E1906, OFFSET(Paste_Report_Here!$A$1,0,$A1916,2000,1),G$75)</f>
        <v>2</v>
      </c>
      <c r="H1916" s="180">
        <f ca="1">COUNTIFS(Paste_Report_Here!$E$1:$E$2000,E1906, OFFSET(Paste_Report_Here!$A$1,0,$A1916,2000,1),H$75)</f>
        <v>21</v>
      </c>
      <c r="I1916" s="180">
        <f ca="1">COUNTIFS(Paste_Report_Here!$E$1:$E$2000,E1906, OFFSET(Paste_Report_Here!$A$1,0,$A1916,2000,1),I$75)</f>
        <v>6</v>
      </c>
      <c r="J1916" s="180">
        <f ca="1">COUNTIFS(Paste_Report_Here!$E$1:$E$2000,E1906, OFFSET(Paste_Report_Here!$A$1,0,$A1916,2000,1),J$75)</f>
        <v>1</v>
      </c>
      <c r="K1916" s="181">
        <f ca="1">COUNTIFS(Paste_Report_Here!$E$1:$E$2000,E1906, OFFSET(Paste_Report_Here!$A$1,0,$A1916,2000,1),K$75)</f>
        <v>0</v>
      </c>
      <c r="L1916" s="166">
        <f t="shared" ca="1" si="286"/>
        <v>30</v>
      </c>
      <c r="M1916" s="183">
        <f ca="1">SUMPRODUCT(F1916:K1916,F1910:K1910)/L:L</f>
        <v>6.6666666666666671E-3</v>
      </c>
      <c r="N1916" s="166">
        <f t="shared" ca="1" si="287"/>
        <v>1.0066889383540194</v>
      </c>
      <c r="O1916" s="247">
        <f t="shared" ca="1" si="289"/>
        <v>4190.2786998796255</v>
      </c>
      <c r="P1916" s="247">
        <f t="shared" ca="1" si="288"/>
        <v>4218.3072157892811</v>
      </c>
    </row>
    <row r="1917" spans="1:16" s="247" customFormat="1" x14ac:dyDescent="0.3">
      <c r="A1917" s="247">
        <f>MATCH(Calcs!B1917,Paste_Report_Here!$1:$1,0) -1</f>
        <v>10</v>
      </c>
      <c r="B1917" s="247" t="s">
        <v>128</v>
      </c>
      <c r="C1917" s="166">
        <f ca="1">RANK(N1917,N1912:N1936)</f>
        <v>24</v>
      </c>
      <c r="D1917" s="166">
        <f ca="1">RANK(P1917,P1912:P1936)</f>
        <v>21</v>
      </c>
      <c r="E1917" s="189" t="s">
        <v>157</v>
      </c>
      <c r="F1917" s="179">
        <f ca="1">COUNTIFS(Paste_Report_Here!$E$1:$E$2000,E1906, OFFSET(Paste_Report_Here!$A$1,0,$A1917,2000,1),F$75)</f>
        <v>2</v>
      </c>
      <c r="G1917" s="180">
        <f ca="1">COUNTIFS(Paste_Report_Here!$E$1:$E$2000,E1906, OFFSET(Paste_Report_Here!$A$1,0,$A1917,2000,1),G$75)</f>
        <v>4</v>
      </c>
      <c r="H1917" s="180">
        <f ca="1">COUNTIFS(Paste_Report_Here!$E$1:$E$2000,E1906, OFFSET(Paste_Report_Here!$A$1,0,$A1917,2000,1),H$75)</f>
        <v>22</v>
      </c>
      <c r="I1917" s="180">
        <f ca="1">COUNTIFS(Paste_Report_Here!$E$1:$E$2000,E1906, OFFSET(Paste_Report_Here!$A$1,0,$A1917,2000,1),I$75)</f>
        <v>2</v>
      </c>
      <c r="J1917" s="180">
        <f ca="1">COUNTIFS(Paste_Report_Here!$E$1:$E$2000,E1906, OFFSET(Paste_Report_Here!$A$1,0,$A1917,2000,1),J$75)</f>
        <v>0</v>
      </c>
      <c r="K1917" s="181">
        <f ca="1">COUNTIFS(Paste_Report_Here!$E$1:$E$2000,E1906, OFFSET(Paste_Report_Here!$A$1,0,$A1917,2000,1),K$75)</f>
        <v>0</v>
      </c>
      <c r="L1917" s="166">
        <f t="shared" ca="1" si="286"/>
        <v>30</v>
      </c>
      <c r="M1917" s="183">
        <f ca="1">SUMPRODUCT(F1917:K1917,F1910:K1910)/L:L</f>
        <v>-1.3333333333333334E-2</v>
      </c>
      <c r="N1917" s="166">
        <f t="shared" ca="1" si="287"/>
        <v>0.98675516180719569</v>
      </c>
      <c r="O1917" s="247">
        <f t="shared" ca="1" si="289"/>
        <v>1457.5184285077735</v>
      </c>
      <c r="P1917" s="247">
        <f t="shared" ca="1" si="288"/>
        <v>1438.2138327591576</v>
      </c>
    </row>
    <row r="1918" spans="1:16" s="247" customFormat="1" x14ac:dyDescent="0.3">
      <c r="A1918" s="247">
        <f>MATCH(Calcs!B1918,Paste_Report_Here!$1:$1,0) -1</f>
        <v>11</v>
      </c>
      <c r="B1918" s="247" t="s">
        <v>129</v>
      </c>
      <c r="C1918" s="166">
        <f ca="1">RANK(N1918,N1912:N1936)</f>
        <v>24</v>
      </c>
      <c r="D1918" s="166">
        <f ca="1">RANK(P1918,P1912:P1936)</f>
        <v>11</v>
      </c>
      <c r="E1918" s="189" t="s">
        <v>158</v>
      </c>
      <c r="F1918" s="179">
        <f ca="1">COUNTIFS(Paste_Report_Here!$E$1:$E$2000,E1906, OFFSET(Paste_Report_Here!$A$1,0,$A1918,2000,1),F$75)</f>
        <v>2</v>
      </c>
      <c r="G1918" s="180">
        <f ca="1">COUNTIFS(Paste_Report_Here!$E$1:$E$2000,E1906, OFFSET(Paste_Report_Here!$A$1,0,$A1918,2000,1),G$75)</f>
        <v>3</v>
      </c>
      <c r="H1918" s="180">
        <f ca="1">COUNTIFS(Paste_Report_Here!$E$1:$E$2000,E1906, OFFSET(Paste_Report_Here!$A$1,0,$A1918,2000,1),H$75)</f>
        <v>22</v>
      </c>
      <c r="I1918" s="180">
        <f ca="1">COUNTIFS(Paste_Report_Here!$E$1:$E$2000,E1906, OFFSET(Paste_Report_Here!$A$1,0,$A1918,2000,1),I$75)</f>
        <v>3</v>
      </c>
      <c r="J1918" s="180">
        <f ca="1">COUNTIFS(Paste_Report_Here!$E$1:$E$2000,E1906, OFFSET(Paste_Report_Here!$A$1,0,$A1918,2000,1),J$75)</f>
        <v>0</v>
      </c>
      <c r="K1918" s="181">
        <f ca="1">COUNTIFS(Paste_Report_Here!$E$1:$E$2000,E1906, OFFSET(Paste_Report_Here!$A$1,0,$A1918,2000,1),K$75)</f>
        <v>0</v>
      </c>
      <c r="L1918" s="166">
        <f t="shared" ca="1" si="286"/>
        <v>30</v>
      </c>
      <c r="M1918" s="183">
        <f ca="1">SUMPRODUCT(F1918:K1918,F1910:K1910)/L:L</f>
        <v>-1.3333333333333334E-2</v>
      </c>
      <c r="N1918" s="166">
        <f t="shared" ca="1" si="287"/>
        <v>0.98675516180719569</v>
      </c>
      <c r="O1918" s="247">
        <f t="shared" ca="1" si="289"/>
        <v>2384.0016214444204</v>
      </c>
      <c r="P1918" s="247">
        <f t="shared" ca="1" si="288"/>
        <v>2352.4259057170061</v>
      </c>
    </row>
    <row r="1919" spans="1:16" s="247" customFormat="1" x14ac:dyDescent="0.3">
      <c r="A1919" s="247">
        <f>MATCH(Calcs!B1919,Paste_Report_Here!$1:$1,0) -1</f>
        <v>12</v>
      </c>
      <c r="B1919" s="247" t="s">
        <v>130</v>
      </c>
      <c r="C1919" s="166">
        <f ca="1">RANK(N1919,N1912:N1936)</f>
        <v>5</v>
      </c>
      <c r="D1919" s="166">
        <f ca="1">RANK(P1919,P1912:P1936)</f>
        <v>9</v>
      </c>
      <c r="E1919" s="189" t="s">
        <v>159</v>
      </c>
      <c r="F1919" s="179">
        <f ca="1">COUNTIFS(Paste_Report_Here!$E$1:$E$2000,E1906, OFFSET(Paste_Report_Here!$A$1,0,$A1919,2000,1),F$75)</f>
        <v>1</v>
      </c>
      <c r="G1919" s="180">
        <f ca="1">COUNTIFS(Paste_Report_Here!$E$1:$E$2000,E1906, OFFSET(Paste_Report_Here!$A$1,0,$A1919,2000,1),G$75)</f>
        <v>0</v>
      </c>
      <c r="H1919" s="180">
        <f ca="1">COUNTIFS(Paste_Report_Here!$E$1:$E$2000,E1906, OFFSET(Paste_Report_Here!$A$1,0,$A1919,2000,1),H$75)</f>
        <v>22</v>
      </c>
      <c r="I1919" s="180">
        <f ca="1">COUNTIFS(Paste_Report_Here!$E$1:$E$2000,E1906, OFFSET(Paste_Report_Here!$A$1,0,$A1919,2000,1),I$75)</f>
        <v>6</v>
      </c>
      <c r="J1919" s="180">
        <f ca="1">COUNTIFS(Paste_Report_Here!$E$1:$E$2000,E1906, OFFSET(Paste_Report_Here!$A$1,0,$A1919,2000,1),J$75)</f>
        <v>1</v>
      </c>
      <c r="K1919" s="181">
        <f ca="1">COUNTIFS(Paste_Report_Here!$E$1:$E$2000,E1906, OFFSET(Paste_Report_Here!$A$1,0,$A1919,2000,1),K$75)</f>
        <v>0</v>
      </c>
      <c r="L1919" s="166">
        <f t="shared" ca="1" si="286"/>
        <v>30</v>
      </c>
      <c r="M1919" s="183">
        <f ca="1">SUMPRODUCT(F1919:K1919,F1910:K1910)/L:L</f>
        <v>0</v>
      </c>
      <c r="N1919" s="166">
        <f t="shared" ca="1" si="287"/>
        <v>1</v>
      </c>
      <c r="O1919" s="247">
        <f t="shared" ca="1" si="289"/>
        <v>2439.2457554964199</v>
      </c>
      <c r="P1919" s="247">
        <f t="shared" ca="1" si="288"/>
        <v>2439.2457554964199</v>
      </c>
    </row>
    <row r="1920" spans="1:16" s="247" customFormat="1" x14ac:dyDescent="0.3">
      <c r="A1920" s="247">
        <f>MATCH(Calcs!B1920,Paste_Report_Here!$1:$1,0) -1</f>
        <v>13</v>
      </c>
      <c r="B1920" s="247" t="s">
        <v>131</v>
      </c>
      <c r="C1920" s="166">
        <f ca="1">RANK(N1920,N1912:N1936)</f>
        <v>1</v>
      </c>
      <c r="D1920" s="166">
        <f ca="1">RANK(P1920,P1912:P1936)</f>
        <v>2</v>
      </c>
      <c r="E1920" s="189" t="s">
        <v>160</v>
      </c>
      <c r="F1920" s="179">
        <f ca="1">COUNTIFS(Paste_Report_Here!$E$1:$E$2000,E1906, OFFSET(Paste_Report_Here!$A$1,0,$A1920,2000,1),F$75)</f>
        <v>0</v>
      </c>
      <c r="G1920" s="180">
        <f ca="1">COUNTIFS(Paste_Report_Here!$E$1:$E$2000,E1906, OFFSET(Paste_Report_Here!$A$1,0,$A1920,2000,1),G$75)</f>
        <v>1</v>
      </c>
      <c r="H1920" s="180">
        <f ca="1">COUNTIFS(Paste_Report_Here!$E$1:$E$2000,E1906, OFFSET(Paste_Report_Here!$A$1,0,$A1920,2000,1),H$75)</f>
        <v>17</v>
      </c>
      <c r="I1920" s="180">
        <f ca="1">COUNTIFS(Paste_Report_Here!$E$1:$E$2000,E1906, OFFSET(Paste_Report_Here!$A$1,0,$A1920,2000,1),I$75)</f>
        <v>10</v>
      </c>
      <c r="J1920" s="180">
        <f ca="1">COUNTIFS(Paste_Report_Here!$E$1:$E$2000,E1906, OFFSET(Paste_Report_Here!$A$1,0,$A1920,2000,1),J$75)</f>
        <v>2</v>
      </c>
      <c r="K1920" s="181">
        <f ca="1">COUNTIFS(Paste_Report_Here!$E$1:$E$2000,E1906, OFFSET(Paste_Report_Here!$A$1,0,$A1920,2000,1),K$75)</f>
        <v>0</v>
      </c>
      <c r="L1920" s="166">
        <f t="shared" ca="1" si="286"/>
        <v>30</v>
      </c>
      <c r="M1920" s="183">
        <f ca="1">SUMPRODUCT(F1920:K1920,F1910:K1910)/L:L</f>
        <v>1.3333333333333334E-2</v>
      </c>
      <c r="N1920" s="166">
        <f t="shared" ca="1" si="287"/>
        <v>1.0134226186043425</v>
      </c>
      <c r="O1920" s="247">
        <f t="shared" ca="1" si="289"/>
        <v>5647.1300598887283</v>
      </c>
      <c r="P1920" s="247">
        <f t="shared" ca="1" si="288"/>
        <v>5722.929332891732</v>
      </c>
    </row>
    <row r="1921" spans="1:16" s="247" customFormat="1" x14ac:dyDescent="0.3">
      <c r="A1921" s="247">
        <f>MATCH(Calcs!B1921,Paste_Report_Here!$1:$1,0) -1</f>
        <v>14</v>
      </c>
      <c r="B1921" s="247" t="s">
        <v>132</v>
      </c>
      <c r="C1921" s="166">
        <f ca="1">RANK(N1921,N1912:N1936)</f>
        <v>5</v>
      </c>
      <c r="D1921" s="166">
        <f ca="1">RANK(P1921,P1912:P1936)</f>
        <v>12</v>
      </c>
      <c r="E1921" s="189" t="s">
        <v>161</v>
      </c>
      <c r="F1921" s="179">
        <f ca="1">COUNTIFS(Paste_Report_Here!$E$1:$E$2000,E1906, OFFSET(Paste_Report_Here!$A$1,0,$A1921,2000,1),F$75)</f>
        <v>1</v>
      </c>
      <c r="G1921" s="180">
        <f ca="1">COUNTIFS(Paste_Report_Here!$E$1:$E$2000,E1906, OFFSET(Paste_Report_Here!$A$1,0,$A1921,2000,1),G$75)</f>
        <v>1</v>
      </c>
      <c r="H1921" s="180">
        <f ca="1">COUNTIFS(Paste_Report_Here!$E$1:$E$2000,E1906, OFFSET(Paste_Report_Here!$A$1,0,$A1921,2000,1),H$75)</f>
        <v>20</v>
      </c>
      <c r="I1921" s="180">
        <f ca="1">COUNTIFS(Paste_Report_Here!$E$1:$E$2000,E1906, OFFSET(Paste_Report_Here!$A$1,0,$A1921,2000,1),I$75)</f>
        <v>7</v>
      </c>
      <c r="J1921" s="180">
        <f ca="1">COUNTIFS(Paste_Report_Here!$E$1:$E$2000,E1906, OFFSET(Paste_Report_Here!$A$1,0,$A1921,2000,1),J$75)</f>
        <v>1</v>
      </c>
      <c r="K1921" s="181">
        <f ca="1">COUNTIFS(Paste_Report_Here!$E$1:$E$2000,E1906, OFFSET(Paste_Report_Here!$A$1,0,$A1921,2000,1),K$75)</f>
        <v>0</v>
      </c>
      <c r="L1921" s="166">
        <f t="shared" ca="1" si="286"/>
        <v>30</v>
      </c>
      <c r="M1921" s="183">
        <f ca="1">SUMPRODUCT(F1921:K1921,F1910:K1910)/L:L</f>
        <v>0</v>
      </c>
      <c r="N1921" s="166">
        <f t="shared" ca="1" si="287"/>
        <v>1</v>
      </c>
      <c r="O1921" s="247">
        <f t="shared" ca="1" si="289"/>
        <v>2344.356938257115</v>
      </c>
      <c r="P1921" s="247">
        <f t="shared" ca="1" si="288"/>
        <v>2344.356938257115</v>
      </c>
    </row>
    <row r="1922" spans="1:16" s="247" customFormat="1" x14ac:dyDescent="0.3">
      <c r="A1922" s="247">
        <f>MATCH(Calcs!B1922,Paste_Report_Here!$1:$1,0) -1</f>
        <v>15</v>
      </c>
      <c r="B1922" s="247" t="s">
        <v>133</v>
      </c>
      <c r="C1922" s="166">
        <f ca="1">RANK(N1922,N1912:N1936)</f>
        <v>5</v>
      </c>
      <c r="D1922" s="166">
        <f ca="1">RANK(P1922,P1912:P1936)</f>
        <v>6</v>
      </c>
      <c r="E1922" s="189" t="s">
        <v>162</v>
      </c>
      <c r="F1922" s="179">
        <f ca="1">COUNTIFS(Paste_Report_Here!$E$1:$E$2000,E1906, OFFSET(Paste_Report_Here!$A$1,0,$A1922,2000,1),F$75)</f>
        <v>0</v>
      </c>
      <c r="G1922" s="180">
        <f ca="1">COUNTIFS(Paste_Report_Here!$E$1:$E$2000,E1906, OFFSET(Paste_Report_Here!$A$1,0,$A1922,2000,1),G$75)</f>
        <v>0</v>
      </c>
      <c r="H1922" s="180">
        <f ca="1">COUNTIFS(Paste_Report_Here!$E$1:$E$2000,E1906, OFFSET(Paste_Report_Here!$A$1,0,$A1922,2000,1),H$75)</f>
        <v>16</v>
      </c>
      <c r="I1922" s="180">
        <f ca="1">COUNTIFS(Paste_Report_Here!$E$1:$E$2000,E1906, OFFSET(Paste_Report_Here!$A$1,0,$A1922,2000,1),I$75)</f>
        <v>14</v>
      </c>
      <c r="J1922" s="180">
        <f ca="1">COUNTIFS(Paste_Report_Here!$E$1:$E$2000,E1906, OFFSET(Paste_Report_Here!$A$1,0,$A1922,2000,1),J$75)</f>
        <v>0</v>
      </c>
      <c r="K1922" s="181">
        <f ca="1">COUNTIFS(Paste_Report_Here!$E$1:$E$2000,E1906, OFFSET(Paste_Report_Here!$A$1,0,$A1922,2000,1),K$75)</f>
        <v>0</v>
      </c>
      <c r="L1922" s="166">
        <f t="shared" ca="1" si="286"/>
        <v>30</v>
      </c>
      <c r="M1922" s="183">
        <f ca="1">SUMPRODUCT(F1922:K1922,F1910:K1910)/L:L</f>
        <v>0</v>
      </c>
      <c r="N1922" s="166">
        <f t="shared" ca="1" si="287"/>
        <v>1</v>
      </c>
      <c r="O1922" s="247">
        <f t="shared" ca="1" si="289"/>
        <v>3469.4178598745757</v>
      </c>
      <c r="P1922" s="247">
        <f t="shared" ca="1" si="288"/>
        <v>3469.4178598745757</v>
      </c>
    </row>
    <row r="1923" spans="1:16" s="247" customFormat="1" x14ac:dyDescent="0.3">
      <c r="A1923" s="247">
        <f>MATCH(Calcs!B1923,Paste_Report_Here!$1:$1,0) -1</f>
        <v>16</v>
      </c>
      <c r="B1923" s="247" t="s">
        <v>134</v>
      </c>
      <c r="C1923" s="166">
        <f ca="1">RANK(N1923,N1912:N1936)</f>
        <v>18</v>
      </c>
      <c r="D1923" s="166">
        <f ca="1">RANK(P1923,P1912:P1936)</f>
        <v>25</v>
      </c>
      <c r="E1923" s="189" t="s">
        <v>163</v>
      </c>
      <c r="F1923" s="179">
        <f ca="1">COUNTIFS(Paste_Report_Here!$E$1:$E$2000,E1906, OFFSET(Paste_Report_Here!$A$1,0,$A1923,2000,1),F$75)</f>
        <v>1</v>
      </c>
      <c r="G1923" s="180">
        <f ca="1">COUNTIFS(Paste_Report_Here!$E$1:$E$2000,E1906, OFFSET(Paste_Report_Here!$A$1,0,$A1923,2000,1),G$75)</f>
        <v>1</v>
      </c>
      <c r="H1923" s="180">
        <f ca="1">COUNTIFS(Paste_Report_Here!$E$1:$E$2000,E1906, OFFSET(Paste_Report_Here!$A$1,0,$A1923,2000,1),H$75)</f>
        <v>25</v>
      </c>
      <c r="I1923" s="180">
        <f ca="1">COUNTIFS(Paste_Report_Here!$E$1:$E$2000,E1906, OFFSET(Paste_Report_Here!$A$1,0,$A1923,2000,1),I$75)</f>
        <v>3</v>
      </c>
      <c r="J1923" s="180">
        <f ca="1">COUNTIFS(Paste_Report_Here!$E$1:$E$2000,E1906, OFFSET(Paste_Report_Here!$A$1,0,$A1923,2000,1),J$75)</f>
        <v>0</v>
      </c>
      <c r="K1923" s="181">
        <f ca="1">COUNTIFS(Paste_Report_Here!$E$1:$E$2000,E1906, OFFSET(Paste_Report_Here!$A$1,0,$A1923,2000,1),K$75)</f>
        <v>0</v>
      </c>
      <c r="L1923" s="166">
        <f t="shared" ca="1" si="286"/>
        <v>30</v>
      </c>
      <c r="M1923" s="183">
        <f ca="1">SUMPRODUCT(F1923:K1923,F1910:K1910)/L:L</f>
        <v>-6.6666666666666671E-3</v>
      </c>
      <c r="N1923" s="166">
        <f t="shared" ca="1" si="287"/>
        <v>0.99335550625503444</v>
      </c>
      <c r="O1923" s="247">
        <f t="shared" ca="1" si="289"/>
        <v>1145.7546405911432</v>
      </c>
      <c r="P1923" s="247">
        <f t="shared" ca="1" si="288"/>
        <v>1138.1416810484702</v>
      </c>
    </row>
    <row r="1924" spans="1:16" s="247" customFormat="1" x14ac:dyDescent="0.3">
      <c r="A1924" s="247">
        <f>MATCH(Calcs!B1924,Paste_Report_Here!$1:$1,0) -1</f>
        <v>17</v>
      </c>
      <c r="B1924" s="247" t="s">
        <v>135</v>
      </c>
      <c r="C1924" s="166">
        <f ca="1">RANK(N1924,N1912:N1936)</f>
        <v>18</v>
      </c>
      <c r="D1924" s="166">
        <f ca="1">RANK(P1924,P1912:P1936)</f>
        <v>19</v>
      </c>
      <c r="E1924" s="189" t="s">
        <v>164</v>
      </c>
      <c r="F1924" s="179">
        <f ca="1">COUNTIFS(Paste_Report_Here!$E$1:$E$2000,E1906, OFFSET(Paste_Report_Here!$A$1,0,$A1924,2000,1),F$75)</f>
        <v>1</v>
      </c>
      <c r="G1924" s="180">
        <f ca="1">COUNTIFS(Paste_Report_Here!$E$1:$E$2000,E1906, OFFSET(Paste_Report_Here!$A$1,0,$A1924,2000,1),G$75)</f>
        <v>2</v>
      </c>
      <c r="H1924" s="180">
        <f ca="1">COUNTIFS(Paste_Report_Here!$E$1:$E$2000,E1906, OFFSET(Paste_Report_Here!$A$1,0,$A1924,2000,1),H$75)</f>
        <v>23</v>
      </c>
      <c r="I1924" s="180">
        <f ca="1">COUNTIFS(Paste_Report_Here!$E$1:$E$2000,E1906, OFFSET(Paste_Report_Here!$A$1,0,$A1924,2000,1),I$75)</f>
        <v>4</v>
      </c>
      <c r="J1924" s="180">
        <f ca="1">COUNTIFS(Paste_Report_Here!$E$1:$E$2000,E1906, OFFSET(Paste_Report_Here!$A$1,0,$A1924,2000,1),J$75)</f>
        <v>0</v>
      </c>
      <c r="K1924" s="181">
        <f ca="1">COUNTIFS(Paste_Report_Here!$E$1:$E$2000,E1906, OFFSET(Paste_Report_Here!$A$1,0,$A1924,2000,1),K$75)</f>
        <v>0</v>
      </c>
      <c r="L1924" s="166">
        <f t="shared" ca="1" si="286"/>
        <v>30</v>
      </c>
      <c r="M1924" s="183">
        <f ca="1">SUMPRODUCT(F1924:K1924,F1910:K1910)/L:L</f>
        <v>-6.6666666666666671E-3</v>
      </c>
      <c r="N1924" s="166">
        <f t="shared" ca="1" si="287"/>
        <v>0.99335550625503444</v>
      </c>
      <c r="O1924" s="247">
        <f t="shared" ca="1" si="289"/>
        <v>1812.9847238528546</v>
      </c>
      <c r="P1924" s="247">
        <f t="shared" ca="1" si="288"/>
        <v>1800.9383581954962</v>
      </c>
    </row>
    <row r="1925" spans="1:16" s="247" customFormat="1" x14ac:dyDescent="0.3">
      <c r="A1925" s="247">
        <f>MATCH(Calcs!B1925,Paste_Report_Here!$1:$1,0) -1</f>
        <v>18</v>
      </c>
      <c r="B1925" s="247" t="s">
        <v>136</v>
      </c>
      <c r="C1925" s="166">
        <f ca="1">RANK(N1925,N1912:N1936)</f>
        <v>5</v>
      </c>
      <c r="D1925" s="166">
        <f ca="1">RANK(P1925,P1912:P1936)</f>
        <v>5</v>
      </c>
      <c r="E1925" s="189" t="s">
        <v>165</v>
      </c>
      <c r="F1925" s="179">
        <f ca="1">COUNTIFS(Paste_Report_Here!$E$1:$E$2000,E1906, OFFSET(Paste_Report_Here!$A$1,0,$A1925,2000,1),F$75)</f>
        <v>0</v>
      </c>
      <c r="G1925" s="180">
        <f ca="1">COUNTIFS(Paste_Report_Here!$E$1:$E$2000,E1906, OFFSET(Paste_Report_Here!$A$1,0,$A1925,2000,1),G$75)</f>
        <v>1</v>
      </c>
      <c r="H1925" s="180">
        <f ca="1">COUNTIFS(Paste_Report_Here!$E$1:$E$2000,E1906, OFFSET(Paste_Report_Here!$A$1,0,$A1925,2000,1),H$75)</f>
        <v>22</v>
      </c>
      <c r="I1925" s="180">
        <f ca="1">COUNTIFS(Paste_Report_Here!$E$1:$E$2000,E1906, OFFSET(Paste_Report_Here!$A$1,0,$A1925,2000,1),I$75)</f>
        <v>7</v>
      </c>
      <c r="J1925" s="180">
        <f ca="1">COUNTIFS(Paste_Report_Here!$E$1:$E$2000,E1906, OFFSET(Paste_Report_Here!$A$1,0,$A1925,2000,1),J$75)</f>
        <v>0</v>
      </c>
      <c r="K1925" s="181">
        <f ca="1">COUNTIFS(Paste_Report_Here!$E$1:$E$2000,E1906, OFFSET(Paste_Report_Here!$A$1,0,$A1925,2000,1),K$75)</f>
        <v>0</v>
      </c>
      <c r="L1925" s="166">
        <f t="shared" ca="1" si="286"/>
        <v>30</v>
      </c>
      <c r="M1925" s="183">
        <f ca="1">SUMPRODUCT(F1925:K1925,F1910:K1910)/L:L</f>
        <v>0</v>
      </c>
      <c r="N1925" s="166">
        <f t="shared" ca="1" si="287"/>
        <v>1</v>
      </c>
      <c r="O1925" s="247">
        <f t="shared" ca="1" si="289"/>
        <v>4205.837133259186</v>
      </c>
      <c r="P1925" s="247">
        <f t="shared" ca="1" si="288"/>
        <v>4205.837133259186</v>
      </c>
    </row>
    <row r="1926" spans="1:16" s="247" customFormat="1" x14ac:dyDescent="0.3">
      <c r="A1926" s="247">
        <f>MATCH(Calcs!B1926,Paste_Report_Here!$1:$1,0) -1</f>
        <v>19</v>
      </c>
      <c r="B1926" s="247" t="s">
        <v>137</v>
      </c>
      <c r="C1926" s="166">
        <f ca="1">RANK(N1926,N1912:N1936)</f>
        <v>5</v>
      </c>
      <c r="D1926" s="166">
        <f ca="1">RANK(P1926,P1912:P1936)</f>
        <v>16</v>
      </c>
      <c r="E1926" s="189" t="s">
        <v>166</v>
      </c>
      <c r="F1926" s="179">
        <f ca="1">COUNTIFS(Paste_Report_Here!$E$1:$E$2000,E1906, OFFSET(Paste_Report_Here!$A$1,0,$A1926,2000,1),F$75)</f>
        <v>0</v>
      </c>
      <c r="G1926" s="180">
        <f ca="1">COUNTIFS(Paste_Report_Here!$E$1:$E$2000,E1906, OFFSET(Paste_Report_Here!$A$1,0,$A1926,2000,1),G$75)</f>
        <v>3</v>
      </c>
      <c r="H1926" s="180">
        <f ca="1">COUNTIFS(Paste_Report_Here!$E$1:$E$2000,E1906, OFFSET(Paste_Report_Here!$A$1,0,$A1926,2000,1),H$75)</f>
        <v>24</v>
      </c>
      <c r="I1926" s="180">
        <f ca="1">COUNTIFS(Paste_Report_Here!$E$1:$E$2000,E1906, OFFSET(Paste_Report_Here!$A$1,0,$A1926,2000,1),I$75)</f>
        <v>3</v>
      </c>
      <c r="J1926" s="180">
        <f ca="1">COUNTIFS(Paste_Report_Here!$E$1:$E$2000,E1906, OFFSET(Paste_Report_Here!$A$1,0,$A1926,2000,1),J$75)</f>
        <v>0</v>
      </c>
      <c r="K1926" s="181">
        <f ca="1">COUNTIFS(Paste_Report_Here!$E$1:$E$2000,E1906, OFFSET(Paste_Report_Here!$A$1,0,$A1926,2000,1),K$75)</f>
        <v>0</v>
      </c>
      <c r="L1926" s="166">
        <f t="shared" ca="1" si="286"/>
        <v>30</v>
      </c>
      <c r="M1926" s="183">
        <f ca="1">SUMPRODUCT(F1926:K1926,F1910:K1910)/L:L</f>
        <v>0</v>
      </c>
      <c r="N1926" s="166">
        <f t="shared" ca="1" si="287"/>
        <v>1</v>
      </c>
      <c r="O1926" s="247">
        <f t="shared" ca="1" si="289"/>
        <v>2156.8685236203673</v>
      </c>
      <c r="P1926" s="247">
        <f t="shared" ca="1" si="288"/>
        <v>2156.8685236203673</v>
      </c>
    </row>
    <row r="1927" spans="1:16" s="247" customFormat="1" x14ac:dyDescent="0.3">
      <c r="A1927" s="247">
        <f>MATCH(Calcs!B1927,Paste_Report_Here!$1:$1,0) -1</f>
        <v>20</v>
      </c>
      <c r="B1927" s="247" t="s">
        <v>138</v>
      </c>
      <c r="C1927" s="166">
        <f ca="1">RANK(N1927,N1912:N1936)</f>
        <v>18</v>
      </c>
      <c r="D1927" s="166">
        <f ca="1">RANK(P1927,P1912:P1936)</f>
        <v>20</v>
      </c>
      <c r="E1927" s="189" t="s">
        <v>167</v>
      </c>
      <c r="F1927" s="179">
        <f ca="1">COUNTIFS(Paste_Report_Here!$E$1:$E$2000,E1906, OFFSET(Paste_Report_Here!$A$1,0,$A1927,2000,1),F$75)</f>
        <v>1</v>
      </c>
      <c r="G1927" s="180">
        <f ca="1">COUNTIFS(Paste_Report_Here!$E$1:$E$2000,E1906, OFFSET(Paste_Report_Here!$A$1,0,$A1927,2000,1),G$75)</f>
        <v>3</v>
      </c>
      <c r="H1927" s="180">
        <f ca="1">COUNTIFS(Paste_Report_Here!$E$1:$E$2000,E1906, OFFSET(Paste_Report_Here!$A$1,0,$A1927,2000,1),H$75)</f>
        <v>24</v>
      </c>
      <c r="I1927" s="180">
        <f ca="1">COUNTIFS(Paste_Report_Here!$E$1:$E$2000,E1906, OFFSET(Paste_Report_Here!$A$1,0,$A1927,2000,1),I$75)</f>
        <v>2</v>
      </c>
      <c r="J1927" s="180">
        <f ca="1">COUNTIFS(Paste_Report_Here!$E$1:$E$2000,E1906, OFFSET(Paste_Report_Here!$A$1,0,$A1927,2000,1),J$75)</f>
        <v>0</v>
      </c>
      <c r="K1927" s="181">
        <f ca="1">COUNTIFS(Paste_Report_Here!$E$1:$E$2000,E1906, OFFSET(Paste_Report_Here!$A$1,0,$A1927,2000,1),K$75)</f>
        <v>0</v>
      </c>
      <c r="L1927" s="166">
        <f t="shared" ca="1" si="286"/>
        <v>30</v>
      </c>
      <c r="M1927" s="183">
        <f ca="1">SUMPRODUCT(F1927:K1927,F1910:K1910)/L:L</f>
        <v>-6.6666666666666671E-3</v>
      </c>
      <c r="N1927" s="166">
        <f t="shared" ca="1" si="287"/>
        <v>0.99335550625503444</v>
      </c>
      <c r="O1927" s="247">
        <f t="shared" ca="1" si="289"/>
        <v>1767.456642588895</v>
      </c>
      <c r="P1927" s="247">
        <f t="shared" ca="1" si="288"/>
        <v>1755.7127879827153</v>
      </c>
    </row>
    <row r="1928" spans="1:16" s="247" customFormat="1" x14ac:dyDescent="0.3">
      <c r="A1928" s="247">
        <f>MATCH(Calcs!B1928,Paste_Report_Here!$1:$1,0) -1</f>
        <v>21</v>
      </c>
      <c r="B1928" s="247" t="s">
        <v>139</v>
      </c>
      <c r="C1928" s="166">
        <f ca="1">RANK(N1928,N1912:N1936)</f>
        <v>18</v>
      </c>
      <c r="D1928" s="166">
        <f ca="1">RANK(P1928,P1912:P1936)</f>
        <v>18</v>
      </c>
      <c r="E1928" s="189" t="s">
        <v>168</v>
      </c>
      <c r="F1928" s="179">
        <f ca="1">COUNTIFS(Paste_Report_Here!$E$1:$E$2000,E1906, OFFSET(Paste_Report_Here!$A$1,0,$A1928,2000,1),F$75)</f>
        <v>1</v>
      </c>
      <c r="G1928" s="180">
        <f ca="1">COUNTIFS(Paste_Report_Here!$E$1:$E$2000,E1906, OFFSET(Paste_Report_Here!$A$1,0,$A1928,2000,1),G$75)</f>
        <v>3</v>
      </c>
      <c r="H1928" s="180">
        <f ca="1">COUNTIFS(Paste_Report_Here!$E$1:$E$2000,E1906, OFFSET(Paste_Report_Here!$A$1,0,$A1928,2000,1),H$75)</f>
        <v>22</v>
      </c>
      <c r="I1928" s="180">
        <f ca="1">COUNTIFS(Paste_Report_Here!$E$1:$E$2000,E1906, OFFSET(Paste_Report_Here!$A$1,0,$A1928,2000,1),I$75)</f>
        <v>4</v>
      </c>
      <c r="J1928" s="180">
        <f ca="1">COUNTIFS(Paste_Report_Here!$E$1:$E$2000,E1906, OFFSET(Paste_Report_Here!$A$1,0,$A1928,2000,1),J$75)</f>
        <v>0</v>
      </c>
      <c r="K1928" s="181">
        <f ca="1">COUNTIFS(Paste_Report_Here!$E$1:$E$2000,E1906, OFFSET(Paste_Report_Here!$A$1,0,$A1928,2000,1),K$75)</f>
        <v>0</v>
      </c>
      <c r="L1928" s="166">
        <f t="shared" ca="1" si="286"/>
        <v>30</v>
      </c>
      <c r="M1928" s="183">
        <f ca="1">SUMPRODUCT(F1928:K1928,F1910:K1910)/L:L</f>
        <v>-6.6666666666666671E-3</v>
      </c>
      <c r="N1928" s="166">
        <f t="shared" ca="1" si="287"/>
        <v>0.99335550625503444</v>
      </c>
      <c r="O1928" s="247">
        <f t="shared" ca="1" si="289"/>
        <v>1940.6490638780078</v>
      </c>
      <c r="P1928" s="247">
        <f t="shared" ca="1" si="288"/>
        <v>1927.7544333118972</v>
      </c>
    </row>
    <row r="1929" spans="1:16" s="247" customFormat="1" x14ac:dyDescent="0.3">
      <c r="A1929" s="247">
        <f>MATCH(Calcs!B1929,Paste_Report_Here!$1:$1,0) -1</f>
        <v>22</v>
      </c>
      <c r="B1929" s="247" t="s">
        <v>140</v>
      </c>
      <c r="C1929" s="166">
        <f ca="1">RANK(N1929,N1912:N1936)</f>
        <v>5</v>
      </c>
      <c r="D1929" s="166">
        <f ca="1">RANK(P1929,P1912:P1936)</f>
        <v>14</v>
      </c>
      <c r="E1929" s="189" t="s">
        <v>169</v>
      </c>
      <c r="F1929" s="179">
        <f ca="1">COUNTIFS(Paste_Report_Here!$E$1:$E$2000,E1906, OFFSET(Paste_Report_Here!$A$1,0,$A1929,2000,1),F$75)</f>
        <v>0</v>
      </c>
      <c r="G1929" s="180">
        <f ca="1">COUNTIFS(Paste_Report_Here!$E$1:$E$2000,E1906, OFFSET(Paste_Report_Here!$A$1,0,$A1929,2000,1),G$75)</f>
        <v>0</v>
      </c>
      <c r="H1929" s="180">
        <f ca="1">COUNTIFS(Paste_Report_Here!$E$1:$E$2000,E1906, OFFSET(Paste_Report_Here!$A$1,0,$A1929,2000,1),H$75)</f>
        <v>24</v>
      </c>
      <c r="I1929" s="180">
        <f ca="1">COUNTIFS(Paste_Report_Here!$E$1:$E$2000,E1906, OFFSET(Paste_Report_Here!$A$1,0,$A1929,2000,1),I$75)</f>
        <v>6</v>
      </c>
      <c r="J1929" s="180">
        <f ca="1">COUNTIFS(Paste_Report_Here!$E$1:$E$2000,E1906, OFFSET(Paste_Report_Here!$A$1,0,$A1929,2000,1),J$75)</f>
        <v>0</v>
      </c>
      <c r="K1929" s="181">
        <f ca="1">COUNTIFS(Paste_Report_Here!$E$1:$E$2000,E1906, OFFSET(Paste_Report_Here!$A$1,0,$A1929,2000,1),K$75)</f>
        <v>0</v>
      </c>
      <c r="L1929" s="166">
        <f t="shared" ca="1" si="286"/>
        <v>30</v>
      </c>
      <c r="M1929" s="183">
        <f ca="1">SUMPRODUCT(F1929:K1929,F1910:K1910)/L:L</f>
        <v>0</v>
      </c>
      <c r="N1929" s="166">
        <f t="shared" ca="1" si="287"/>
        <v>1</v>
      </c>
      <c r="O1929" s="247">
        <f t="shared" ca="1" si="289"/>
        <v>2276.8193395393578</v>
      </c>
      <c r="P1929" s="247">
        <f t="shared" ca="1" si="288"/>
        <v>2276.8193395393578</v>
      </c>
    </row>
    <row r="1930" spans="1:16" s="247" customFormat="1" x14ac:dyDescent="0.3">
      <c r="A1930" s="247">
        <f>MATCH(Calcs!B1930,Paste_Report_Here!$1:$1,0) -1</f>
        <v>23</v>
      </c>
      <c r="B1930" s="247" t="s">
        <v>186</v>
      </c>
      <c r="C1930" s="166">
        <f ca="1">RANK(N1930,N1912:N1936)</f>
        <v>5</v>
      </c>
      <c r="D1930" s="166">
        <f ca="1">RANK(P1930,P1912:P1936)</f>
        <v>3</v>
      </c>
      <c r="E1930" s="189" t="s">
        <v>180</v>
      </c>
      <c r="F1930" s="179">
        <f ca="1">COUNTIFS(Paste_Report_Here!$E$1:$E$2000,E1906, OFFSET(Paste_Report_Here!$A$1,0,$A1930,2000,1),F$75)</f>
        <v>0</v>
      </c>
      <c r="G1930" s="180">
        <f ca="1">COUNTIFS(Paste_Report_Here!$E$1:$E$2000,E1906, OFFSET(Paste_Report_Here!$A$1,0,$A1930,2000,1),G$75)</f>
        <v>0</v>
      </c>
      <c r="H1930" s="180">
        <f ca="1">COUNTIFS(Paste_Report_Here!$E$1:$E$2000,E1906, OFFSET(Paste_Report_Here!$A$1,0,$A1930,2000,1),H$75)</f>
        <v>22</v>
      </c>
      <c r="I1930" s="180">
        <f ca="1">COUNTIFS(Paste_Report_Here!$E$1:$E$2000,E1906, OFFSET(Paste_Report_Here!$A$1,0,$A1930,2000,1),I$75)</f>
        <v>8</v>
      </c>
      <c r="J1930" s="180">
        <f ca="1">COUNTIFS(Paste_Report_Here!$E$1:$E$2000,E1906, OFFSET(Paste_Report_Here!$A$1,0,$A1930,2000,1),J$75)</f>
        <v>0</v>
      </c>
      <c r="K1930" s="181">
        <f ca="1">COUNTIFS(Paste_Report_Here!$E$1:$E$2000,E1906, OFFSET(Paste_Report_Here!$A$1,0,$A1930,2000,1),K$75)</f>
        <v>0</v>
      </c>
      <c r="L1930" s="166">
        <f t="shared" ca="1" si="286"/>
        <v>30</v>
      </c>
      <c r="M1930" s="183">
        <f ca="1">SUMPRODUCT(F1930:K1930,F1910:K1910)/L:L</f>
        <v>0</v>
      </c>
      <c r="N1930" s="166">
        <f t="shared" ca="1" si="287"/>
        <v>1</v>
      </c>
      <c r="O1930" s="247">
        <f t="shared" ca="1" si="289"/>
        <v>4603.9701547168643</v>
      </c>
      <c r="P1930" s="247">
        <f t="shared" ca="1" si="288"/>
        <v>4603.9701547168643</v>
      </c>
    </row>
    <row r="1931" spans="1:16" s="247" customFormat="1" x14ac:dyDescent="0.3">
      <c r="A1931" s="247">
        <f>MATCH(Calcs!B1931,Paste_Report_Here!$1:$1,0) -1</f>
        <v>24</v>
      </c>
      <c r="B1931" s="247" t="s">
        <v>209</v>
      </c>
      <c r="C1931" s="166">
        <f ca="1">RANK(N1931,N1912:N1936)</f>
        <v>5</v>
      </c>
      <c r="D1931" s="166">
        <f ca="1">RANK(P1931,P1912:P1936)</f>
        <v>23</v>
      </c>
      <c r="E1931" s="202" t="s">
        <v>211</v>
      </c>
      <c r="F1931" s="179">
        <f ca="1">COUNTIFS(Paste_Report_Here!$E$1:$E$2000,E1906, OFFSET(Paste_Report_Here!$A$1,0,$A1931,2000,1),F$75)</f>
        <v>0</v>
      </c>
      <c r="G1931" s="180">
        <f ca="1">COUNTIFS(Paste_Report_Here!$E$1:$E$2000,E1906, OFFSET(Paste_Report_Here!$A$1,0,$A1931,2000,1),G$75)</f>
        <v>2</v>
      </c>
      <c r="H1931" s="180">
        <f ca="1">COUNTIFS(Paste_Report_Here!$E$1:$E$2000,E1906, OFFSET(Paste_Report_Here!$A$1,0,$A1931,2000,1),H$75)</f>
        <v>25</v>
      </c>
      <c r="I1931" s="180">
        <f ca="1">COUNTIFS(Paste_Report_Here!$E$1:$E$2000,E1906, OFFSET(Paste_Report_Here!$A$1,0,$A1931,2000,1),I$75)</f>
        <v>3</v>
      </c>
      <c r="J1931" s="180">
        <f ca="1">COUNTIFS(Paste_Report_Here!$E$1:$E$2000,E1906, OFFSET(Paste_Report_Here!$A$1,0,$A1931,2000,1),J$75)</f>
        <v>0</v>
      </c>
      <c r="K1931" s="181">
        <f ca="1">COUNTIFS(Paste_Report_Here!$E$1:$E$2000,E1906, OFFSET(Paste_Report_Here!$A$1,0,$A1931,2000,1),K$75)</f>
        <v>0</v>
      </c>
      <c r="L1931" s="166">
        <f t="shared" ca="1" si="286"/>
        <v>30</v>
      </c>
      <c r="M1931" s="183">
        <f ca="1">SUMPRODUCT(F1931:K1931,F1910:K1910)/L:L</f>
        <v>0</v>
      </c>
      <c r="N1931" s="166">
        <f t="shared" ca="1" si="287"/>
        <v>1</v>
      </c>
      <c r="O1931" s="247">
        <f t="shared" ca="1" si="289"/>
        <v>1219.799156216902</v>
      </c>
      <c r="P1931" s="247">
        <f t="shared" ca="1" si="288"/>
        <v>1219.799156216902</v>
      </c>
    </row>
    <row r="1932" spans="1:16" s="247" customFormat="1" x14ac:dyDescent="0.3">
      <c r="A1932" s="247">
        <f>MATCH(Calcs!B1932,Paste_Report_Here!$1:$1,0) -1</f>
        <v>25</v>
      </c>
      <c r="B1932" s="247" t="s">
        <v>141</v>
      </c>
      <c r="C1932" s="166">
        <f ca="1">RANK(N1932,N1912:N1936)</f>
        <v>5</v>
      </c>
      <c r="D1932" s="166">
        <f ca="1">RANK(P1932,P1912:P1936)</f>
        <v>22</v>
      </c>
      <c r="E1932" s="189" t="s">
        <v>170</v>
      </c>
      <c r="F1932" s="179">
        <f ca="1">COUNTIFS(Paste_Report_Here!$E$1:$E$2000,E1906, OFFSET(Paste_Report_Here!$A$1,0,$A1932,2000,1),F$75)</f>
        <v>0</v>
      </c>
      <c r="G1932" s="180">
        <f ca="1">COUNTIFS(Paste_Report_Here!$E$1:$E$2000,E1906, OFFSET(Paste_Report_Here!$A$1,0,$A1932,2000,1),G$75)</f>
        <v>4</v>
      </c>
      <c r="H1932" s="180">
        <f ca="1">COUNTIFS(Paste_Report_Here!$E$1:$E$2000,E1906, OFFSET(Paste_Report_Here!$A$1,0,$A1932,2000,1),H$75)</f>
        <v>23</v>
      </c>
      <c r="I1932" s="180">
        <f ca="1">COUNTIFS(Paste_Report_Here!$E$1:$E$2000,E1906, OFFSET(Paste_Report_Here!$A$1,0,$A1932,2000,1),I$75)</f>
        <v>3</v>
      </c>
      <c r="J1932" s="180">
        <f ca="1">COUNTIFS(Paste_Report_Here!$E$1:$E$2000,E1906, OFFSET(Paste_Report_Here!$A$1,0,$A1932,2000,1),J$75)</f>
        <v>0</v>
      </c>
      <c r="K1932" s="181">
        <f ca="1">COUNTIFS(Paste_Report_Here!$E$1:$E$2000,E1906, OFFSET(Paste_Report_Here!$A$1,0,$A1932,2000,1),K$75)</f>
        <v>0</v>
      </c>
      <c r="L1932" s="166">
        <f t="shared" ca="1" si="286"/>
        <v>30</v>
      </c>
      <c r="M1932" s="183">
        <f ca="1">SUMPRODUCT(F1932:K1932,F1910:K1910)/L:L</f>
        <v>0</v>
      </c>
      <c r="N1932" s="166">
        <f t="shared" ca="1" si="287"/>
        <v>1</v>
      </c>
      <c r="O1932" s="247">
        <f t="shared" ca="1" si="289"/>
        <v>1280.5389171327308</v>
      </c>
      <c r="P1932" s="247">
        <f t="shared" ca="1" si="288"/>
        <v>1280.5389171327308</v>
      </c>
    </row>
    <row r="1933" spans="1:16" s="247" customFormat="1" x14ac:dyDescent="0.3">
      <c r="A1933" s="247">
        <f>MATCH(Calcs!B1933,Paste_Report_Here!$1:$1,0) -1</f>
        <v>26</v>
      </c>
      <c r="B1933" s="247" t="s">
        <v>142</v>
      </c>
      <c r="C1933" s="166">
        <f ca="1">RANK(N1933,N1912:N1936)</f>
        <v>5</v>
      </c>
      <c r="D1933" s="166">
        <f ca="1">RANK(P1933,P1912:P1936)</f>
        <v>15</v>
      </c>
      <c r="E1933" s="189" t="s">
        <v>171</v>
      </c>
      <c r="F1933" s="179">
        <f ca="1">COUNTIFS(Paste_Report_Here!$E$1:$E$2000,E1906, OFFSET(Paste_Report_Here!$A$1,0,$A1933,2000,1),F$75)</f>
        <v>0</v>
      </c>
      <c r="G1933" s="180">
        <f ca="1">COUNTIFS(Paste_Report_Here!$E$1:$E$2000,E1906, OFFSET(Paste_Report_Here!$A$1,0,$A1933,2000,1),G$75)</f>
        <v>2</v>
      </c>
      <c r="H1933" s="180">
        <f ca="1">COUNTIFS(Paste_Report_Here!$E$1:$E$2000,E1906, OFFSET(Paste_Report_Here!$A$1,0,$A1933,2000,1),H$75)</f>
        <v>26</v>
      </c>
      <c r="I1933" s="180">
        <f ca="1">COUNTIFS(Paste_Report_Here!$E$1:$E$2000,E1906, OFFSET(Paste_Report_Here!$A$1,0,$A1933,2000,1),I$75)</f>
        <v>2</v>
      </c>
      <c r="J1933" s="180">
        <f ca="1">COUNTIFS(Paste_Report_Here!$E$1:$E$2000,E1906, OFFSET(Paste_Report_Here!$A$1,0,$A1933,2000,1),J$75)</f>
        <v>0</v>
      </c>
      <c r="K1933" s="181">
        <f ca="1">COUNTIFS(Paste_Report_Here!$E$1:$E$2000,E1906, OFFSET(Paste_Report_Here!$A$1,0,$A1933,2000,1),K$75)</f>
        <v>0</v>
      </c>
      <c r="L1933" s="166">
        <f t="shared" ca="1" si="286"/>
        <v>30</v>
      </c>
      <c r="M1933" s="183">
        <f ca="1">SUMPRODUCT(F1933:K1933,F1910:K1910)/L:L</f>
        <v>0</v>
      </c>
      <c r="N1933" s="166">
        <f t="shared" ca="1" si="287"/>
        <v>1</v>
      </c>
      <c r="O1933" s="247">
        <f t="shared" ca="1" si="289"/>
        <v>2196.9786583942937</v>
      </c>
      <c r="P1933" s="247">
        <f t="shared" ca="1" si="288"/>
        <v>2196.9786583942937</v>
      </c>
    </row>
    <row r="1934" spans="1:16" s="247" customFormat="1" x14ac:dyDescent="0.3">
      <c r="A1934" s="247">
        <f>MATCH(Calcs!B1934,Paste_Report_Here!$1:$1,0) -1</f>
        <v>27</v>
      </c>
      <c r="B1934" s="247" t="s">
        <v>210</v>
      </c>
      <c r="C1934" s="166">
        <f ca="1">RANK(N1934,N1912:N1936)</f>
        <v>5</v>
      </c>
      <c r="D1934" s="166">
        <f ca="1">RANK(P1934,P1912:P1936)</f>
        <v>24</v>
      </c>
      <c r="E1934" s="202" t="s">
        <v>212</v>
      </c>
      <c r="F1934" s="179">
        <f ca="1">COUNTIFS(Paste_Report_Here!$E$1:$E$2000,E1906, OFFSET(Paste_Report_Here!$A$1,0,$A1934,2000,1),F$75)</f>
        <v>0</v>
      </c>
      <c r="G1934" s="180">
        <f ca="1">COUNTIFS(Paste_Report_Here!$E$1:$E$2000,E1906, OFFSET(Paste_Report_Here!$A$1,0,$A1934,2000,1),G$75)</f>
        <v>2</v>
      </c>
      <c r="H1934" s="180">
        <f ca="1">COUNTIFS(Paste_Report_Here!$E$1:$E$2000,E1906, OFFSET(Paste_Report_Here!$A$1,0,$A1934,2000,1),H$75)</f>
        <v>21</v>
      </c>
      <c r="I1934" s="180">
        <f ca="1">COUNTIFS(Paste_Report_Here!$E$1:$E$2000,E1906, OFFSET(Paste_Report_Here!$A$1,0,$A1934,2000,1),I$75)</f>
        <v>7</v>
      </c>
      <c r="J1934" s="180">
        <f ca="1">COUNTIFS(Paste_Report_Here!$E$1:$E$2000,E1906, OFFSET(Paste_Report_Here!$A$1,0,$A1934,2000,1),J$75)</f>
        <v>0</v>
      </c>
      <c r="K1934" s="181">
        <f ca="1">COUNTIFS(Paste_Report_Here!$E$1:$E$2000,E1906, OFFSET(Paste_Report_Here!$A$1,0,$A1934,2000,1),K$75)</f>
        <v>0</v>
      </c>
      <c r="L1934" s="166">
        <f t="shared" ca="1" si="286"/>
        <v>30</v>
      </c>
      <c r="M1934" s="183">
        <f ca="1">SUMPRODUCT(F1934:K1934,F1910:K1910)/L:L</f>
        <v>0</v>
      </c>
      <c r="N1934" s="166">
        <f t="shared" ca="1" si="287"/>
        <v>1</v>
      </c>
      <c r="O1934" s="247">
        <f t="shared" ca="1" si="289"/>
        <v>1152.8560468976777</v>
      </c>
      <c r="P1934" s="247">
        <f t="shared" ca="1" si="288"/>
        <v>1152.8560468976777</v>
      </c>
    </row>
    <row r="1935" spans="1:16" s="247" customFormat="1" x14ac:dyDescent="0.3">
      <c r="A1935" s="247">
        <f>MATCH(Calcs!B1935,Paste_Report_Here!$1:$1,0) -1</f>
        <v>28</v>
      </c>
      <c r="B1935" s="247" t="s">
        <v>143</v>
      </c>
      <c r="C1935" s="166">
        <f ca="1">RANK(N1935,N1912:N1936)</f>
        <v>5</v>
      </c>
      <c r="D1935" s="166">
        <f ca="1">RANK(P1935,P1912:P1936)</f>
        <v>1</v>
      </c>
      <c r="E1935" s="189" t="s">
        <v>172</v>
      </c>
      <c r="F1935" s="179">
        <f ca="1">COUNTIFS(Paste_Report_Here!$E$1:$E$2000,E1906, OFFSET(Paste_Report_Here!$A$1,0,$A1935,2000,1),F$75)</f>
        <v>0</v>
      </c>
      <c r="G1935" s="180">
        <f ca="1">COUNTIFS(Paste_Report_Here!$E$1:$E$2000,E1906, OFFSET(Paste_Report_Here!$A$1,0,$A1935,2000,1),G$75)</f>
        <v>0</v>
      </c>
      <c r="H1935" s="180">
        <f ca="1">COUNTIFS(Paste_Report_Here!$E$1:$E$2000,E1906, OFFSET(Paste_Report_Here!$A$1,0,$A1935,2000,1),H$75)</f>
        <v>25</v>
      </c>
      <c r="I1935" s="180">
        <f ca="1">COUNTIFS(Paste_Report_Here!$E$1:$E$2000,E1906, OFFSET(Paste_Report_Here!$A$1,0,$A1935,2000,1),I$75)</f>
        <v>5</v>
      </c>
      <c r="J1935" s="180">
        <f ca="1">COUNTIFS(Paste_Report_Here!$E$1:$E$2000,E1906, OFFSET(Paste_Report_Here!$A$1,0,$A1935,2000,1),J$75)</f>
        <v>0</v>
      </c>
      <c r="K1935" s="181">
        <f ca="1">COUNTIFS(Paste_Report_Here!$E$1:$E$2000,E1906, OFFSET(Paste_Report_Here!$A$1,0,$A1935,2000,1),K$75)</f>
        <v>0</v>
      </c>
      <c r="L1935" s="166">
        <f t="shared" ca="1" si="286"/>
        <v>30</v>
      </c>
      <c r="M1935" s="183">
        <f ca="1">SUMPRODUCT(F1935:K1935,F1910:K1910)/L:L</f>
        <v>0</v>
      </c>
      <c r="N1935" s="166">
        <f t="shared" ca="1" si="287"/>
        <v>1</v>
      </c>
      <c r="O1935" s="247">
        <f t="shared" ca="1" si="289"/>
        <v>11289.620543819703</v>
      </c>
      <c r="P1935" s="247">
        <f t="shared" ca="1" si="288"/>
        <v>11289.620543819703</v>
      </c>
    </row>
    <row r="1936" spans="1:16" s="247" customFormat="1" x14ac:dyDescent="0.3">
      <c r="A1936" s="247">
        <f>MATCH(Calcs!B1936,Paste_Report_Here!$1:$1,0) -1</f>
        <v>29</v>
      </c>
      <c r="B1936" s="187" t="s">
        <v>144</v>
      </c>
      <c r="C1936" s="147">
        <f ca="1">RANK(N1936,N1912:N1936)</f>
        <v>5</v>
      </c>
      <c r="D1936" s="147">
        <f ca="1">RANK(P1936,P1912:P1936)</f>
        <v>10</v>
      </c>
      <c r="E1936" s="145" t="s">
        <v>173</v>
      </c>
      <c r="F1936" s="146">
        <f ca="1">COUNTIFS(Paste_Report_Here!$E$1:$E$2000,E1906, OFFSET(Paste_Report_Here!$A$1,0,$A1936,2000,1),F$75)</f>
        <v>0</v>
      </c>
      <c r="G1936" s="147">
        <f ca="1">COUNTIFS(Paste_Report_Here!$E$1:$E$2000,E1906, OFFSET(Paste_Report_Here!$A$1,0,$A1936,2000,1),G$75)</f>
        <v>4</v>
      </c>
      <c r="H1936" s="147">
        <f ca="1">COUNTIFS(Paste_Report_Here!$E$1:$E$2000,E1906, OFFSET(Paste_Report_Here!$A$1,0,$A1936,2000,1),H$75)</f>
        <v>23</v>
      </c>
      <c r="I1936" s="147">
        <f ca="1">COUNTIFS(Paste_Report_Here!$E$1:$E$2000,E1906, OFFSET(Paste_Report_Here!$A$1,0,$A1936,2000,1),I$75)</f>
        <v>3</v>
      </c>
      <c r="J1936" s="147">
        <f ca="1">COUNTIFS(Paste_Report_Here!$E$1:$E$2000,E1906, OFFSET(Paste_Report_Here!$A$1,0,$A1936,2000,1),J$75)</f>
        <v>0</v>
      </c>
      <c r="K1936" s="148">
        <f ca="1">COUNTIFS(Paste_Report_Here!$E$1:$E$2000,E1906, OFFSET(Paste_Report_Here!$A$1,0,$A1936,2000,1),K$75)</f>
        <v>0</v>
      </c>
      <c r="L1936" s="147">
        <f t="shared" ca="1" si="286"/>
        <v>30</v>
      </c>
      <c r="M1936" s="149">
        <f ca="1">SUMPRODUCT(F1936:K1936,F1910:K1910)/L:L</f>
        <v>0</v>
      </c>
      <c r="N1936" s="147">
        <f t="shared" ca="1" si="287"/>
        <v>1</v>
      </c>
      <c r="O1936" s="187">
        <f t="shared" ca="1" si="289"/>
        <v>2392.2261011950159</v>
      </c>
      <c r="P1936" s="247">
        <f t="shared" ca="1" si="288"/>
        <v>2392.2261011950159</v>
      </c>
    </row>
    <row r="1937" spans="1:16" s="247" customFormat="1" x14ac:dyDescent="0.3">
      <c r="C1937" s="166"/>
      <c r="E1937" s="140" t="s">
        <v>293</v>
      </c>
      <c r="F1937" s="180">
        <f ca="1">SUM(F1912:F1936)</f>
        <v>12</v>
      </c>
      <c r="G1937" s="180">
        <f t="shared" ref="G1937:L1937" ca="1" si="290">SUM(G1912:G1936)</f>
        <v>44</v>
      </c>
      <c r="H1937" s="180">
        <f t="shared" ca="1" si="290"/>
        <v>561</v>
      </c>
      <c r="I1937" s="180">
        <f t="shared" ca="1" si="290"/>
        <v>125</v>
      </c>
      <c r="J1937" s="180">
        <f t="shared" ca="1" si="290"/>
        <v>8</v>
      </c>
      <c r="K1937" s="180">
        <f t="shared" ca="1" si="290"/>
        <v>0</v>
      </c>
      <c r="L1937" s="180">
        <f t="shared" ca="1" si="290"/>
        <v>750</v>
      </c>
      <c r="M1937" s="144">
        <f ca="1">SUMPRODUCT(F1937:K1937,F1910:K1910)/L1937</f>
        <v>-1.0666666666666669E-3</v>
      </c>
      <c r="N1937" s="166">
        <f t="shared" ca="1" si="287"/>
        <v>0.99893390202000454</v>
      </c>
      <c r="O1937" s="247">
        <f t="shared" ca="1" si="289"/>
        <v>2757.7268867864263</v>
      </c>
      <c r="P1937" s="247">
        <f t="shared" ca="1" si="288"/>
        <v>2754.786879723044</v>
      </c>
    </row>
    <row r="1938" spans="1:16" s="247" customFormat="1" x14ac:dyDescent="0.3">
      <c r="A1938" s="194"/>
      <c r="B1938" s="194"/>
      <c r="C1938" s="153"/>
      <c r="D1938" s="194"/>
      <c r="E1938" s="164"/>
      <c r="F1938" s="151"/>
      <c r="G1938" s="151"/>
      <c r="H1938" s="151"/>
      <c r="I1938" s="151"/>
      <c r="J1938" s="151"/>
      <c r="K1938" s="151"/>
      <c r="L1938" s="151"/>
      <c r="M1938" s="162"/>
      <c r="N1938" s="153"/>
      <c r="O1938" s="194"/>
      <c r="P1938" s="194"/>
    </row>
    <row r="1945" spans="1:16" ht="15" thickBot="1" x14ac:dyDescent="0.35"/>
    <row r="1946" spans="1:16" s="247" customFormat="1" ht="24" x14ac:dyDescent="0.3">
      <c r="F1946" s="174" t="s">
        <v>23</v>
      </c>
      <c r="G1946" s="168" t="s">
        <v>18</v>
      </c>
      <c r="H1946" s="168" t="s">
        <v>16</v>
      </c>
      <c r="I1946" s="168" t="s">
        <v>17</v>
      </c>
      <c r="J1946" s="168" t="s">
        <v>19</v>
      </c>
      <c r="K1946" s="169" t="s">
        <v>114</v>
      </c>
    </row>
    <row r="1947" spans="1:16" s="247" customFormat="1" x14ac:dyDescent="0.3">
      <c r="F1947" s="265">
        <v>-0.2</v>
      </c>
      <c r="G1947" s="266">
        <v>0</v>
      </c>
      <c r="H1947" s="166">
        <v>0</v>
      </c>
      <c r="I1947" s="266">
        <v>0</v>
      </c>
      <c r="J1947" s="265">
        <v>0.2</v>
      </c>
    </row>
    <row r="1948" spans="1:16" s="247" customFormat="1" x14ac:dyDescent="0.3"/>
  </sheetData>
  <mergeCells count="57">
    <mergeCell ref="F1909:J1909"/>
    <mergeCell ref="F1841:J1841"/>
    <mergeCell ref="F1807:J1807"/>
    <mergeCell ref="F821:J821"/>
    <mergeCell ref="F685:J685"/>
    <mergeCell ref="F1603:J1603"/>
    <mergeCell ref="F1773:J1773"/>
    <mergeCell ref="F1705:J1705"/>
    <mergeCell ref="F1671:J1671"/>
    <mergeCell ref="F1025:J1025"/>
    <mergeCell ref="F957:J957"/>
    <mergeCell ref="F923:J923"/>
    <mergeCell ref="F889:J889"/>
    <mergeCell ref="F991:J991"/>
    <mergeCell ref="F1331:J1331"/>
    <mergeCell ref="F1297:J1297"/>
    <mergeCell ref="F515:J515"/>
    <mergeCell ref="F1229:J1229"/>
    <mergeCell ref="F1195:J1195"/>
    <mergeCell ref="F1535:J1535"/>
    <mergeCell ref="F1399:J1399"/>
    <mergeCell ref="F1501:J1501"/>
    <mergeCell ref="F1467:J1467"/>
    <mergeCell ref="F1433:J1433"/>
    <mergeCell ref="F549:J549"/>
    <mergeCell ref="F1365:J1365"/>
    <mergeCell ref="F1263:J1263"/>
    <mergeCell ref="F1161:J1161"/>
    <mergeCell ref="F855:J855"/>
    <mergeCell ref="F1127:J1127"/>
    <mergeCell ref="F1093:J1093"/>
    <mergeCell ref="F1059:J1059"/>
    <mergeCell ref="F5:J5"/>
    <mergeCell ref="F39:J39"/>
    <mergeCell ref="F107:J107"/>
    <mergeCell ref="F141:J141"/>
    <mergeCell ref="F277:J277"/>
    <mergeCell ref="F243:J243"/>
    <mergeCell ref="F209:J209"/>
    <mergeCell ref="F175:J175"/>
    <mergeCell ref="F73:J73"/>
    <mergeCell ref="F1637:J1637"/>
    <mergeCell ref="F1569:J1569"/>
    <mergeCell ref="F1739:J1739"/>
    <mergeCell ref="F1875:J1875"/>
    <mergeCell ref="F311:J311"/>
    <mergeCell ref="F379:J379"/>
    <mergeCell ref="F447:J447"/>
    <mergeCell ref="F413:J413"/>
    <mergeCell ref="F787:J787"/>
    <mergeCell ref="F753:J753"/>
    <mergeCell ref="F617:J617"/>
    <mergeCell ref="F583:J583"/>
    <mergeCell ref="F345:J345"/>
    <mergeCell ref="F719:J719"/>
    <mergeCell ref="F651:J651"/>
    <mergeCell ref="F481:J481"/>
  </mergeCells>
  <conditionalFormatting sqref="D8:D32">
    <cfRule type="cellIs" dxfId="536" priority="514" operator="equal">
      <formula>3</formula>
    </cfRule>
    <cfRule type="cellIs" dxfId="535" priority="515" operator="equal">
      <formula>2</formula>
    </cfRule>
    <cfRule type="cellIs" dxfId="534" priority="516" operator="equal">
      <formula>1</formula>
    </cfRule>
  </conditionalFormatting>
  <conditionalFormatting sqref="C41">
    <cfRule type="cellIs" dxfId="533" priority="511" operator="equal">
      <formula>3</formula>
    </cfRule>
    <cfRule type="cellIs" dxfId="532" priority="512" operator="equal">
      <formula>2</formula>
    </cfRule>
    <cfRule type="cellIs" dxfId="531" priority="513" operator="equal">
      <formula>1</formula>
    </cfRule>
  </conditionalFormatting>
  <conditionalFormatting sqref="C7">
    <cfRule type="cellIs" dxfId="530" priority="526" operator="equal">
      <formula>3</formula>
    </cfRule>
    <cfRule type="cellIs" dxfId="529" priority="527" operator="equal">
      <formula>2</formula>
    </cfRule>
    <cfRule type="cellIs" dxfId="528" priority="528" operator="equal">
      <formula>1</formula>
    </cfRule>
  </conditionalFormatting>
  <conditionalFormatting sqref="C8:C34">
    <cfRule type="cellIs" dxfId="527" priority="523" operator="equal">
      <formula>3</formula>
    </cfRule>
    <cfRule type="cellIs" dxfId="526" priority="524" operator="equal">
      <formula>2</formula>
    </cfRule>
    <cfRule type="cellIs" dxfId="525" priority="525" operator="equal">
      <formula>1</formula>
    </cfRule>
  </conditionalFormatting>
  <conditionalFormatting sqref="C75">
    <cfRule type="cellIs" dxfId="524" priority="493" operator="equal">
      <formula>3</formula>
    </cfRule>
    <cfRule type="cellIs" dxfId="523" priority="494" operator="equal">
      <formula>2</formula>
    </cfRule>
    <cfRule type="cellIs" dxfId="522" priority="495" operator="equal">
      <formula>1</formula>
    </cfRule>
  </conditionalFormatting>
  <conditionalFormatting sqref="C76:C102">
    <cfRule type="cellIs" dxfId="521" priority="490" operator="equal">
      <formula>3</formula>
    </cfRule>
    <cfRule type="cellIs" dxfId="520" priority="491" operator="equal">
      <formula>2</formula>
    </cfRule>
    <cfRule type="cellIs" dxfId="519" priority="492" operator="equal">
      <formula>1</formula>
    </cfRule>
  </conditionalFormatting>
  <conditionalFormatting sqref="C42:C68">
    <cfRule type="cellIs" dxfId="518" priority="508" operator="equal">
      <formula>3</formula>
    </cfRule>
    <cfRule type="cellIs" dxfId="517" priority="509" operator="equal">
      <formula>2</formula>
    </cfRule>
    <cfRule type="cellIs" dxfId="516" priority="510" operator="equal">
      <formula>1</formula>
    </cfRule>
  </conditionalFormatting>
  <conditionalFormatting sqref="D42:D66">
    <cfRule type="cellIs" dxfId="515" priority="505" operator="equal">
      <formula>3</formula>
    </cfRule>
    <cfRule type="cellIs" dxfId="514" priority="506" operator="equal">
      <formula>2</formula>
    </cfRule>
    <cfRule type="cellIs" dxfId="513" priority="507" operator="equal">
      <formula>1</formula>
    </cfRule>
  </conditionalFormatting>
  <conditionalFormatting sqref="D76:D100">
    <cfRule type="cellIs" dxfId="512" priority="487" operator="equal">
      <formula>3</formula>
    </cfRule>
    <cfRule type="cellIs" dxfId="511" priority="488" operator="equal">
      <formula>2</formula>
    </cfRule>
    <cfRule type="cellIs" dxfId="510" priority="489" operator="equal">
      <formula>1</formula>
    </cfRule>
  </conditionalFormatting>
  <conditionalFormatting sqref="C109">
    <cfRule type="cellIs" dxfId="509" priority="484" operator="equal">
      <formula>3</formula>
    </cfRule>
    <cfRule type="cellIs" dxfId="508" priority="485" operator="equal">
      <formula>2</formula>
    </cfRule>
    <cfRule type="cellIs" dxfId="507" priority="486" operator="equal">
      <formula>1</formula>
    </cfRule>
  </conditionalFormatting>
  <conditionalFormatting sqref="C110:C136">
    <cfRule type="cellIs" dxfId="506" priority="481" operator="equal">
      <formula>3</formula>
    </cfRule>
    <cfRule type="cellIs" dxfId="505" priority="482" operator="equal">
      <formula>2</formula>
    </cfRule>
    <cfRule type="cellIs" dxfId="504" priority="483" operator="equal">
      <formula>1</formula>
    </cfRule>
  </conditionalFormatting>
  <conditionalFormatting sqref="D110:D134">
    <cfRule type="cellIs" dxfId="503" priority="478" operator="equal">
      <formula>3</formula>
    </cfRule>
    <cfRule type="cellIs" dxfId="502" priority="479" operator="equal">
      <formula>2</formula>
    </cfRule>
    <cfRule type="cellIs" dxfId="501" priority="480" operator="equal">
      <formula>1</formula>
    </cfRule>
  </conditionalFormatting>
  <conditionalFormatting sqref="C143">
    <cfRule type="cellIs" dxfId="500" priority="475" operator="equal">
      <formula>3</formula>
    </cfRule>
    <cfRule type="cellIs" dxfId="499" priority="476" operator="equal">
      <formula>2</formula>
    </cfRule>
    <cfRule type="cellIs" dxfId="498" priority="477" operator="equal">
      <formula>1</formula>
    </cfRule>
  </conditionalFormatting>
  <conditionalFormatting sqref="C144:C170">
    <cfRule type="cellIs" dxfId="497" priority="472" operator="equal">
      <formula>3</formula>
    </cfRule>
    <cfRule type="cellIs" dxfId="496" priority="473" operator="equal">
      <formula>2</formula>
    </cfRule>
    <cfRule type="cellIs" dxfId="495" priority="474" operator="equal">
      <formula>1</formula>
    </cfRule>
  </conditionalFormatting>
  <conditionalFormatting sqref="D144:D168">
    <cfRule type="cellIs" dxfId="494" priority="469" operator="equal">
      <formula>3</formula>
    </cfRule>
    <cfRule type="cellIs" dxfId="493" priority="470" operator="equal">
      <formula>2</formula>
    </cfRule>
    <cfRule type="cellIs" dxfId="492" priority="471" operator="equal">
      <formula>1</formula>
    </cfRule>
  </conditionalFormatting>
  <conditionalFormatting sqref="C177">
    <cfRule type="cellIs" dxfId="491" priority="466" operator="equal">
      <formula>3</formula>
    </cfRule>
    <cfRule type="cellIs" dxfId="490" priority="467" operator="equal">
      <formula>2</formula>
    </cfRule>
    <cfRule type="cellIs" dxfId="489" priority="468" operator="equal">
      <formula>1</formula>
    </cfRule>
  </conditionalFormatting>
  <conditionalFormatting sqref="C178:C204">
    <cfRule type="cellIs" dxfId="488" priority="463" operator="equal">
      <formula>3</formula>
    </cfRule>
    <cfRule type="cellIs" dxfId="487" priority="464" operator="equal">
      <formula>2</formula>
    </cfRule>
    <cfRule type="cellIs" dxfId="486" priority="465" operator="equal">
      <formula>1</formula>
    </cfRule>
  </conditionalFormatting>
  <conditionalFormatting sqref="D178:D202">
    <cfRule type="cellIs" dxfId="485" priority="460" operator="equal">
      <formula>3</formula>
    </cfRule>
    <cfRule type="cellIs" dxfId="484" priority="461" operator="equal">
      <formula>2</formula>
    </cfRule>
    <cfRule type="cellIs" dxfId="483" priority="462" operator="equal">
      <formula>1</formula>
    </cfRule>
  </conditionalFormatting>
  <conditionalFormatting sqref="C211">
    <cfRule type="cellIs" dxfId="482" priority="457" operator="equal">
      <formula>3</formula>
    </cfRule>
    <cfRule type="cellIs" dxfId="481" priority="458" operator="equal">
      <formula>2</formula>
    </cfRule>
    <cfRule type="cellIs" dxfId="480" priority="459" operator="equal">
      <formula>1</formula>
    </cfRule>
  </conditionalFormatting>
  <conditionalFormatting sqref="C212:C238">
    <cfRule type="cellIs" dxfId="479" priority="454" operator="equal">
      <formula>3</formula>
    </cfRule>
    <cfRule type="cellIs" dxfId="478" priority="455" operator="equal">
      <formula>2</formula>
    </cfRule>
    <cfRule type="cellIs" dxfId="477" priority="456" operator="equal">
      <formula>1</formula>
    </cfRule>
  </conditionalFormatting>
  <conditionalFormatting sqref="D212:D236">
    <cfRule type="cellIs" dxfId="476" priority="451" operator="equal">
      <formula>3</formula>
    </cfRule>
    <cfRule type="cellIs" dxfId="475" priority="452" operator="equal">
      <formula>2</formula>
    </cfRule>
    <cfRule type="cellIs" dxfId="474" priority="453" operator="equal">
      <formula>1</formula>
    </cfRule>
  </conditionalFormatting>
  <conditionalFormatting sqref="C245">
    <cfRule type="cellIs" dxfId="473" priority="448" operator="equal">
      <formula>3</formula>
    </cfRule>
    <cfRule type="cellIs" dxfId="472" priority="449" operator="equal">
      <formula>2</formula>
    </cfRule>
    <cfRule type="cellIs" dxfId="471" priority="450" operator="equal">
      <formula>1</formula>
    </cfRule>
  </conditionalFormatting>
  <conditionalFormatting sqref="C246:C272">
    <cfRule type="cellIs" dxfId="470" priority="445" operator="equal">
      <formula>3</formula>
    </cfRule>
    <cfRule type="cellIs" dxfId="469" priority="446" operator="equal">
      <formula>2</formula>
    </cfRule>
    <cfRule type="cellIs" dxfId="468" priority="447" operator="equal">
      <formula>1</formula>
    </cfRule>
  </conditionalFormatting>
  <conditionalFormatting sqref="D246:D270">
    <cfRule type="cellIs" dxfId="467" priority="442" operator="equal">
      <formula>3</formula>
    </cfRule>
    <cfRule type="cellIs" dxfId="466" priority="443" operator="equal">
      <formula>2</formula>
    </cfRule>
    <cfRule type="cellIs" dxfId="465" priority="444" operator="equal">
      <formula>1</formula>
    </cfRule>
  </conditionalFormatting>
  <conditionalFormatting sqref="C279">
    <cfRule type="cellIs" dxfId="464" priority="439" operator="equal">
      <formula>3</formula>
    </cfRule>
    <cfRule type="cellIs" dxfId="463" priority="440" operator="equal">
      <formula>2</formula>
    </cfRule>
    <cfRule type="cellIs" dxfId="462" priority="441" operator="equal">
      <formula>1</formula>
    </cfRule>
  </conditionalFormatting>
  <conditionalFormatting sqref="C280:C306">
    <cfRule type="cellIs" dxfId="461" priority="436" operator="equal">
      <formula>3</formula>
    </cfRule>
    <cfRule type="cellIs" dxfId="460" priority="437" operator="equal">
      <formula>2</formula>
    </cfRule>
    <cfRule type="cellIs" dxfId="459" priority="438" operator="equal">
      <formula>1</formula>
    </cfRule>
  </conditionalFormatting>
  <conditionalFormatting sqref="D280:D304">
    <cfRule type="cellIs" dxfId="458" priority="433" operator="equal">
      <formula>3</formula>
    </cfRule>
    <cfRule type="cellIs" dxfId="457" priority="434" operator="equal">
      <formula>2</formula>
    </cfRule>
    <cfRule type="cellIs" dxfId="456" priority="435" operator="equal">
      <formula>1</formula>
    </cfRule>
  </conditionalFormatting>
  <conditionalFormatting sqref="C313">
    <cfRule type="cellIs" dxfId="455" priority="430" operator="equal">
      <formula>3</formula>
    </cfRule>
    <cfRule type="cellIs" dxfId="454" priority="431" operator="equal">
      <formula>2</formula>
    </cfRule>
    <cfRule type="cellIs" dxfId="453" priority="432" operator="equal">
      <formula>1</formula>
    </cfRule>
  </conditionalFormatting>
  <conditionalFormatting sqref="C314:C340">
    <cfRule type="cellIs" dxfId="452" priority="427" operator="equal">
      <formula>3</formula>
    </cfRule>
    <cfRule type="cellIs" dxfId="451" priority="428" operator="equal">
      <formula>2</formula>
    </cfRule>
    <cfRule type="cellIs" dxfId="450" priority="429" operator="equal">
      <formula>1</formula>
    </cfRule>
  </conditionalFormatting>
  <conditionalFormatting sqref="D314:D338">
    <cfRule type="cellIs" dxfId="449" priority="424" operator="equal">
      <formula>3</formula>
    </cfRule>
    <cfRule type="cellIs" dxfId="448" priority="425" operator="equal">
      <formula>2</formula>
    </cfRule>
    <cfRule type="cellIs" dxfId="447" priority="426" operator="equal">
      <formula>1</formula>
    </cfRule>
  </conditionalFormatting>
  <conditionalFormatting sqref="C347">
    <cfRule type="cellIs" dxfId="446" priority="421" operator="equal">
      <formula>3</formula>
    </cfRule>
    <cfRule type="cellIs" dxfId="445" priority="422" operator="equal">
      <formula>2</formula>
    </cfRule>
    <cfRule type="cellIs" dxfId="444" priority="423" operator="equal">
      <formula>1</formula>
    </cfRule>
  </conditionalFormatting>
  <conditionalFormatting sqref="C348:C374">
    <cfRule type="cellIs" dxfId="443" priority="418" operator="equal">
      <formula>3</formula>
    </cfRule>
    <cfRule type="cellIs" dxfId="442" priority="419" operator="equal">
      <formula>2</formula>
    </cfRule>
    <cfRule type="cellIs" dxfId="441" priority="420" operator="equal">
      <formula>1</formula>
    </cfRule>
  </conditionalFormatting>
  <conditionalFormatting sqref="D348:D372">
    <cfRule type="cellIs" dxfId="440" priority="415" operator="equal">
      <formula>3</formula>
    </cfRule>
    <cfRule type="cellIs" dxfId="439" priority="416" operator="equal">
      <formula>2</formula>
    </cfRule>
    <cfRule type="cellIs" dxfId="438" priority="417" operator="equal">
      <formula>1</formula>
    </cfRule>
  </conditionalFormatting>
  <conditionalFormatting sqref="C381">
    <cfRule type="cellIs" dxfId="437" priority="412" operator="equal">
      <formula>3</formula>
    </cfRule>
    <cfRule type="cellIs" dxfId="436" priority="413" operator="equal">
      <formula>2</formula>
    </cfRule>
    <cfRule type="cellIs" dxfId="435" priority="414" operator="equal">
      <formula>1</formula>
    </cfRule>
  </conditionalFormatting>
  <conditionalFormatting sqref="C382:C408">
    <cfRule type="cellIs" dxfId="434" priority="409" operator="equal">
      <formula>3</formula>
    </cfRule>
    <cfRule type="cellIs" dxfId="433" priority="410" operator="equal">
      <formula>2</formula>
    </cfRule>
    <cfRule type="cellIs" dxfId="432" priority="411" operator="equal">
      <formula>1</formula>
    </cfRule>
  </conditionalFormatting>
  <conditionalFormatting sqref="D382:D406">
    <cfRule type="cellIs" dxfId="431" priority="406" operator="equal">
      <formula>3</formula>
    </cfRule>
    <cfRule type="cellIs" dxfId="430" priority="407" operator="equal">
      <formula>2</formula>
    </cfRule>
    <cfRule type="cellIs" dxfId="429" priority="408" operator="equal">
      <formula>1</formula>
    </cfRule>
  </conditionalFormatting>
  <conditionalFormatting sqref="C415">
    <cfRule type="cellIs" dxfId="428" priority="403" operator="equal">
      <formula>3</formula>
    </cfRule>
    <cfRule type="cellIs" dxfId="427" priority="404" operator="equal">
      <formula>2</formula>
    </cfRule>
    <cfRule type="cellIs" dxfId="426" priority="405" operator="equal">
      <formula>1</formula>
    </cfRule>
  </conditionalFormatting>
  <conditionalFormatting sqref="C416:C442">
    <cfRule type="cellIs" dxfId="425" priority="400" operator="equal">
      <formula>3</formula>
    </cfRule>
    <cfRule type="cellIs" dxfId="424" priority="401" operator="equal">
      <formula>2</formula>
    </cfRule>
    <cfRule type="cellIs" dxfId="423" priority="402" operator="equal">
      <formula>1</formula>
    </cfRule>
  </conditionalFormatting>
  <conditionalFormatting sqref="D416:D440">
    <cfRule type="cellIs" dxfId="422" priority="397" operator="equal">
      <formula>3</formula>
    </cfRule>
    <cfRule type="cellIs" dxfId="421" priority="398" operator="equal">
      <formula>2</formula>
    </cfRule>
    <cfRule type="cellIs" dxfId="420" priority="399" operator="equal">
      <formula>1</formula>
    </cfRule>
  </conditionalFormatting>
  <conditionalFormatting sqref="C449">
    <cfRule type="cellIs" dxfId="419" priority="394" operator="equal">
      <formula>3</formula>
    </cfRule>
    <cfRule type="cellIs" dxfId="418" priority="395" operator="equal">
      <formula>2</formula>
    </cfRule>
    <cfRule type="cellIs" dxfId="417" priority="396" operator="equal">
      <formula>1</formula>
    </cfRule>
  </conditionalFormatting>
  <conditionalFormatting sqref="C450:C476">
    <cfRule type="cellIs" dxfId="416" priority="391" operator="equal">
      <formula>3</formula>
    </cfRule>
    <cfRule type="cellIs" dxfId="415" priority="392" operator="equal">
      <formula>2</formula>
    </cfRule>
    <cfRule type="cellIs" dxfId="414" priority="393" operator="equal">
      <formula>1</formula>
    </cfRule>
  </conditionalFormatting>
  <conditionalFormatting sqref="D450:D474">
    <cfRule type="cellIs" dxfId="413" priority="388" operator="equal">
      <formula>3</formula>
    </cfRule>
    <cfRule type="cellIs" dxfId="412" priority="389" operator="equal">
      <formula>2</formula>
    </cfRule>
    <cfRule type="cellIs" dxfId="411" priority="390" operator="equal">
      <formula>1</formula>
    </cfRule>
  </conditionalFormatting>
  <conditionalFormatting sqref="C483">
    <cfRule type="cellIs" dxfId="410" priority="385" operator="equal">
      <formula>3</formula>
    </cfRule>
    <cfRule type="cellIs" dxfId="409" priority="386" operator="equal">
      <formula>2</formula>
    </cfRule>
    <cfRule type="cellIs" dxfId="408" priority="387" operator="equal">
      <formula>1</formula>
    </cfRule>
  </conditionalFormatting>
  <conditionalFormatting sqref="C484:C510">
    <cfRule type="cellIs" dxfId="407" priority="382" operator="equal">
      <formula>3</formula>
    </cfRule>
    <cfRule type="cellIs" dxfId="406" priority="383" operator="equal">
      <formula>2</formula>
    </cfRule>
    <cfRule type="cellIs" dxfId="405" priority="384" operator="equal">
      <formula>1</formula>
    </cfRule>
  </conditionalFormatting>
  <conditionalFormatting sqref="D484:D508">
    <cfRule type="cellIs" dxfId="404" priority="379" operator="equal">
      <formula>3</formula>
    </cfRule>
    <cfRule type="cellIs" dxfId="403" priority="380" operator="equal">
      <formula>2</formula>
    </cfRule>
    <cfRule type="cellIs" dxfId="402" priority="381" operator="equal">
      <formula>1</formula>
    </cfRule>
  </conditionalFormatting>
  <conditionalFormatting sqref="C517">
    <cfRule type="cellIs" dxfId="401" priority="376" operator="equal">
      <formula>3</formula>
    </cfRule>
    <cfRule type="cellIs" dxfId="400" priority="377" operator="equal">
      <formula>2</formula>
    </cfRule>
    <cfRule type="cellIs" dxfId="399" priority="378" operator="equal">
      <formula>1</formula>
    </cfRule>
  </conditionalFormatting>
  <conditionalFormatting sqref="C518:C544">
    <cfRule type="cellIs" dxfId="398" priority="373" operator="equal">
      <formula>3</formula>
    </cfRule>
    <cfRule type="cellIs" dxfId="397" priority="374" operator="equal">
      <formula>2</formula>
    </cfRule>
    <cfRule type="cellIs" dxfId="396" priority="375" operator="equal">
      <formula>1</formula>
    </cfRule>
  </conditionalFormatting>
  <conditionalFormatting sqref="D518:D542">
    <cfRule type="cellIs" dxfId="395" priority="370" operator="equal">
      <formula>3</formula>
    </cfRule>
    <cfRule type="cellIs" dxfId="394" priority="371" operator="equal">
      <formula>2</formula>
    </cfRule>
    <cfRule type="cellIs" dxfId="393" priority="372" operator="equal">
      <formula>1</formula>
    </cfRule>
  </conditionalFormatting>
  <conditionalFormatting sqref="C551">
    <cfRule type="cellIs" dxfId="392" priority="367" operator="equal">
      <formula>3</formula>
    </cfRule>
    <cfRule type="cellIs" dxfId="391" priority="368" operator="equal">
      <formula>2</formula>
    </cfRule>
    <cfRule type="cellIs" dxfId="390" priority="369" operator="equal">
      <formula>1</formula>
    </cfRule>
  </conditionalFormatting>
  <conditionalFormatting sqref="C552:C578">
    <cfRule type="cellIs" dxfId="389" priority="364" operator="equal">
      <formula>3</formula>
    </cfRule>
    <cfRule type="cellIs" dxfId="388" priority="365" operator="equal">
      <formula>2</formula>
    </cfRule>
    <cfRule type="cellIs" dxfId="387" priority="366" operator="equal">
      <formula>1</formula>
    </cfRule>
  </conditionalFormatting>
  <conditionalFormatting sqref="D552:D576">
    <cfRule type="cellIs" dxfId="386" priority="361" operator="equal">
      <formula>3</formula>
    </cfRule>
    <cfRule type="cellIs" dxfId="385" priority="362" operator="equal">
      <formula>2</formula>
    </cfRule>
    <cfRule type="cellIs" dxfId="384" priority="363" operator="equal">
      <formula>1</formula>
    </cfRule>
  </conditionalFormatting>
  <conditionalFormatting sqref="C585">
    <cfRule type="cellIs" dxfId="383" priority="358" operator="equal">
      <formula>3</formula>
    </cfRule>
    <cfRule type="cellIs" dxfId="382" priority="359" operator="equal">
      <formula>2</formula>
    </cfRule>
    <cfRule type="cellIs" dxfId="381" priority="360" operator="equal">
      <formula>1</formula>
    </cfRule>
  </conditionalFormatting>
  <conditionalFormatting sqref="C586:C612">
    <cfRule type="cellIs" dxfId="380" priority="355" operator="equal">
      <formula>3</formula>
    </cfRule>
    <cfRule type="cellIs" dxfId="379" priority="356" operator="equal">
      <formula>2</formula>
    </cfRule>
    <cfRule type="cellIs" dxfId="378" priority="357" operator="equal">
      <formula>1</formula>
    </cfRule>
  </conditionalFormatting>
  <conditionalFormatting sqref="D586:D610">
    <cfRule type="cellIs" dxfId="377" priority="352" operator="equal">
      <formula>3</formula>
    </cfRule>
    <cfRule type="cellIs" dxfId="376" priority="353" operator="equal">
      <formula>2</formula>
    </cfRule>
    <cfRule type="cellIs" dxfId="375" priority="354" operator="equal">
      <formula>1</formula>
    </cfRule>
  </conditionalFormatting>
  <conditionalFormatting sqref="C619">
    <cfRule type="cellIs" dxfId="374" priority="349" operator="equal">
      <formula>3</formula>
    </cfRule>
    <cfRule type="cellIs" dxfId="373" priority="350" operator="equal">
      <formula>2</formula>
    </cfRule>
    <cfRule type="cellIs" dxfId="372" priority="351" operator="equal">
      <formula>1</formula>
    </cfRule>
  </conditionalFormatting>
  <conditionalFormatting sqref="C620:C646">
    <cfRule type="cellIs" dxfId="371" priority="346" operator="equal">
      <formula>3</formula>
    </cfRule>
    <cfRule type="cellIs" dxfId="370" priority="347" operator="equal">
      <formula>2</formula>
    </cfRule>
    <cfRule type="cellIs" dxfId="369" priority="348" operator="equal">
      <formula>1</formula>
    </cfRule>
  </conditionalFormatting>
  <conditionalFormatting sqref="D620:D644">
    <cfRule type="cellIs" dxfId="368" priority="343" operator="equal">
      <formula>3</formula>
    </cfRule>
    <cfRule type="cellIs" dxfId="367" priority="344" operator="equal">
      <formula>2</formula>
    </cfRule>
    <cfRule type="cellIs" dxfId="366" priority="345" operator="equal">
      <formula>1</formula>
    </cfRule>
  </conditionalFormatting>
  <conditionalFormatting sqref="C653">
    <cfRule type="cellIs" dxfId="365" priority="340" operator="equal">
      <formula>3</formula>
    </cfRule>
    <cfRule type="cellIs" dxfId="364" priority="341" operator="equal">
      <formula>2</formula>
    </cfRule>
    <cfRule type="cellIs" dxfId="363" priority="342" operator="equal">
      <formula>1</formula>
    </cfRule>
  </conditionalFormatting>
  <conditionalFormatting sqref="C654:C680">
    <cfRule type="cellIs" dxfId="362" priority="337" operator="equal">
      <formula>3</formula>
    </cfRule>
    <cfRule type="cellIs" dxfId="361" priority="338" operator="equal">
      <formula>2</formula>
    </cfRule>
    <cfRule type="cellIs" dxfId="360" priority="339" operator="equal">
      <formula>1</formula>
    </cfRule>
  </conditionalFormatting>
  <conditionalFormatting sqref="D654:D678">
    <cfRule type="cellIs" dxfId="359" priority="334" operator="equal">
      <formula>3</formula>
    </cfRule>
    <cfRule type="cellIs" dxfId="358" priority="335" operator="equal">
      <formula>2</formula>
    </cfRule>
    <cfRule type="cellIs" dxfId="357" priority="336" operator="equal">
      <formula>1</formula>
    </cfRule>
  </conditionalFormatting>
  <conditionalFormatting sqref="C687">
    <cfRule type="cellIs" dxfId="356" priority="331" operator="equal">
      <formula>3</formula>
    </cfRule>
    <cfRule type="cellIs" dxfId="355" priority="332" operator="equal">
      <formula>2</formula>
    </cfRule>
    <cfRule type="cellIs" dxfId="354" priority="333" operator="equal">
      <formula>1</formula>
    </cfRule>
  </conditionalFormatting>
  <conditionalFormatting sqref="C688:C714">
    <cfRule type="cellIs" dxfId="353" priority="328" operator="equal">
      <formula>3</formula>
    </cfRule>
    <cfRule type="cellIs" dxfId="352" priority="329" operator="equal">
      <formula>2</formula>
    </cfRule>
    <cfRule type="cellIs" dxfId="351" priority="330" operator="equal">
      <formula>1</formula>
    </cfRule>
  </conditionalFormatting>
  <conditionalFormatting sqref="D688:D712">
    <cfRule type="cellIs" dxfId="350" priority="325" operator="equal">
      <formula>3</formula>
    </cfRule>
    <cfRule type="cellIs" dxfId="349" priority="326" operator="equal">
      <formula>2</formula>
    </cfRule>
    <cfRule type="cellIs" dxfId="348" priority="327" operator="equal">
      <formula>1</formula>
    </cfRule>
  </conditionalFormatting>
  <conditionalFormatting sqref="C721">
    <cfRule type="cellIs" dxfId="347" priority="322" operator="equal">
      <formula>3</formula>
    </cfRule>
    <cfRule type="cellIs" dxfId="346" priority="323" operator="equal">
      <formula>2</formula>
    </cfRule>
    <cfRule type="cellIs" dxfId="345" priority="324" operator="equal">
      <formula>1</formula>
    </cfRule>
  </conditionalFormatting>
  <conditionalFormatting sqref="C722:C748">
    <cfRule type="cellIs" dxfId="344" priority="319" operator="equal">
      <formula>3</formula>
    </cfRule>
    <cfRule type="cellIs" dxfId="343" priority="320" operator="equal">
      <formula>2</formula>
    </cfRule>
    <cfRule type="cellIs" dxfId="342" priority="321" operator="equal">
      <formula>1</formula>
    </cfRule>
  </conditionalFormatting>
  <conditionalFormatting sqref="D722:D746">
    <cfRule type="cellIs" dxfId="341" priority="316" operator="equal">
      <formula>3</formula>
    </cfRule>
    <cfRule type="cellIs" dxfId="340" priority="317" operator="equal">
      <formula>2</formula>
    </cfRule>
    <cfRule type="cellIs" dxfId="339" priority="318" operator="equal">
      <formula>1</formula>
    </cfRule>
  </conditionalFormatting>
  <conditionalFormatting sqref="C755">
    <cfRule type="cellIs" dxfId="338" priority="313" operator="equal">
      <formula>3</formula>
    </cfRule>
    <cfRule type="cellIs" dxfId="337" priority="314" operator="equal">
      <formula>2</formula>
    </cfRule>
    <cfRule type="cellIs" dxfId="336" priority="315" operator="equal">
      <formula>1</formula>
    </cfRule>
  </conditionalFormatting>
  <conditionalFormatting sqref="C756:C782">
    <cfRule type="cellIs" dxfId="335" priority="310" operator="equal">
      <formula>3</formula>
    </cfRule>
    <cfRule type="cellIs" dxfId="334" priority="311" operator="equal">
      <formula>2</formula>
    </cfRule>
    <cfRule type="cellIs" dxfId="333" priority="312" operator="equal">
      <formula>1</formula>
    </cfRule>
  </conditionalFormatting>
  <conditionalFormatting sqref="D756:D780">
    <cfRule type="cellIs" dxfId="332" priority="307" operator="equal">
      <formula>3</formula>
    </cfRule>
    <cfRule type="cellIs" dxfId="331" priority="308" operator="equal">
      <formula>2</formula>
    </cfRule>
    <cfRule type="cellIs" dxfId="330" priority="309" operator="equal">
      <formula>1</formula>
    </cfRule>
  </conditionalFormatting>
  <conditionalFormatting sqref="C789">
    <cfRule type="cellIs" dxfId="329" priority="304" operator="equal">
      <formula>3</formula>
    </cfRule>
    <cfRule type="cellIs" dxfId="328" priority="305" operator="equal">
      <formula>2</formula>
    </cfRule>
    <cfRule type="cellIs" dxfId="327" priority="306" operator="equal">
      <formula>1</formula>
    </cfRule>
  </conditionalFormatting>
  <conditionalFormatting sqref="C790:C816">
    <cfRule type="cellIs" dxfId="326" priority="301" operator="equal">
      <formula>3</formula>
    </cfRule>
    <cfRule type="cellIs" dxfId="325" priority="302" operator="equal">
      <formula>2</formula>
    </cfRule>
    <cfRule type="cellIs" dxfId="324" priority="303" operator="equal">
      <formula>1</formula>
    </cfRule>
  </conditionalFormatting>
  <conditionalFormatting sqref="D790:D814">
    <cfRule type="cellIs" dxfId="323" priority="298" operator="equal">
      <formula>3</formula>
    </cfRule>
    <cfRule type="cellIs" dxfId="322" priority="299" operator="equal">
      <formula>2</formula>
    </cfRule>
    <cfRule type="cellIs" dxfId="321" priority="300" operator="equal">
      <formula>1</formula>
    </cfRule>
  </conditionalFormatting>
  <conditionalFormatting sqref="C823">
    <cfRule type="cellIs" dxfId="320" priority="295" operator="equal">
      <formula>3</formula>
    </cfRule>
    <cfRule type="cellIs" dxfId="319" priority="296" operator="equal">
      <formula>2</formula>
    </cfRule>
    <cfRule type="cellIs" dxfId="318" priority="297" operator="equal">
      <formula>1</formula>
    </cfRule>
  </conditionalFormatting>
  <conditionalFormatting sqref="C824:C850">
    <cfRule type="cellIs" dxfId="317" priority="292" operator="equal">
      <formula>3</formula>
    </cfRule>
    <cfRule type="cellIs" dxfId="316" priority="293" operator="equal">
      <formula>2</formula>
    </cfRule>
    <cfRule type="cellIs" dxfId="315" priority="294" operator="equal">
      <formula>1</formula>
    </cfRule>
  </conditionalFormatting>
  <conditionalFormatting sqref="D824:D848">
    <cfRule type="cellIs" dxfId="314" priority="289" operator="equal">
      <formula>3</formula>
    </cfRule>
    <cfRule type="cellIs" dxfId="313" priority="290" operator="equal">
      <formula>2</formula>
    </cfRule>
    <cfRule type="cellIs" dxfId="312" priority="291" operator="equal">
      <formula>1</formula>
    </cfRule>
  </conditionalFormatting>
  <conditionalFormatting sqref="C857">
    <cfRule type="cellIs" dxfId="311" priority="286" operator="equal">
      <formula>3</formula>
    </cfRule>
    <cfRule type="cellIs" dxfId="310" priority="287" operator="equal">
      <formula>2</formula>
    </cfRule>
    <cfRule type="cellIs" dxfId="309" priority="288" operator="equal">
      <formula>1</formula>
    </cfRule>
  </conditionalFormatting>
  <conditionalFormatting sqref="C858:C884">
    <cfRule type="cellIs" dxfId="308" priority="283" operator="equal">
      <formula>3</formula>
    </cfRule>
    <cfRule type="cellIs" dxfId="307" priority="284" operator="equal">
      <formula>2</formula>
    </cfRule>
    <cfRule type="cellIs" dxfId="306" priority="285" operator="equal">
      <formula>1</formula>
    </cfRule>
  </conditionalFormatting>
  <conditionalFormatting sqref="D858:D882">
    <cfRule type="cellIs" dxfId="305" priority="280" operator="equal">
      <formula>3</formula>
    </cfRule>
    <cfRule type="cellIs" dxfId="304" priority="281" operator="equal">
      <formula>2</formula>
    </cfRule>
    <cfRule type="cellIs" dxfId="303" priority="282" operator="equal">
      <formula>1</formula>
    </cfRule>
  </conditionalFormatting>
  <conditionalFormatting sqref="C891">
    <cfRule type="cellIs" dxfId="302" priority="277" operator="equal">
      <formula>3</formula>
    </cfRule>
    <cfRule type="cellIs" dxfId="301" priority="278" operator="equal">
      <formula>2</formula>
    </cfRule>
    <cfRule type="cellIs" dxfId="300" priority="279" operator="equal">
      <formula>1</formula>
    </cfRule>
  </conditionalFormatting>
  <conditionalFormatting sqref="C892:C918">
    <cfRule type="cellIs" dxfId="299" priority="274" operator="equal">
      <formula>3</formula>
    </cfRule>
    <cfRule type="cellIs" dxfId="298" priority="275" operator="equal">
      <formula>2</formula>
    </cfRule>
    <cfRule type="cellIs" dxfId="297" priority="276" operator="equal">
      <formula>1</formula>
    </cfRule>
  </conditionalFormatting>
  <conditionalFormatting sqref="D892:D916">
    <cfRule type="cellIs" dxfId="296" priority="271" operator="equal">
      <formula>3</formula>
    </cfRule>
    <cfRule type="cellIs" dxfId="295" priority="272" operator="equal">
      <formula>2</formula>
    </cfRule>
    <cfRule type="cellIs" dxfId="294" priority="273" operator="equal">
      <formula>1</formula>
    </cfRule>
  </conditionalFormatting>
  <conditionalFormatting sqref="C925">
    <cfRule type="cellIs" dxfId="293" priority="268" operator="equal">
      <formula>3</formula>
    </cfRule>
    <cfRule type="cellIs" dxfId="292" priority="269" operator="equal">
      <formula>2</formula>
    </cfRule>
    <cfRule type="cellIs" dxfId="291" priority="270" operator="equal">
      <formula>1</formula>
    </cfRule>
  </conditionalFormatting>
  <conditionalFormatting sqref="C926:C952">
    <cfRule type="cellIs" dxfId="290" priority="265" operator="equal">
      <formula>3</formula>
    </cfRule>
    <cfRule type="cellIs" dxfId="289" priority="266" operator="equal">
      <formula>2</formula>
    </cfRule>
    <cfRule type="cellIs" dxfId="288" priority="267" operator="equal">
      <formula>1</formula>
    </cfRule>
  </conditionalFormatting>
  <conditionalFormatting sqref="D926:D950">
    <cfRule type="cellIs" dxfId="287" priority="262" operator="equal">
      <formula>3</formula>
    </cfRule>
    <cfRule type="cellIs" dxfId="286" priority="263" operator="equal">
      <formula>2</formula>
    </cfRule>
    <cfRule type="cellIs" dxfId="285" priority="264" operator="equal">
      <formula>1</formula>
    </cfRule>
  </conditionalFormatting>
  <conditionalFormatting sqref="C959">
    <cfRule type="cellIs" dxfId="284" priority="259" operator="equal">
      <formula>3</formula>
    </cfRule>
    <cfRule type="cellIs" dxfId="283" priority="260" operator="equal">
      <formula>2</formula>
    </cfRule>
    <cfRule type="cellIs" dxfId="282" priority="261" operator="equal">
      <formula>1</formula>
    </cfRule>
  </conditionalFormatting>
  <conditionalFormatting sqref="C960:C986">
    <cfRule type="cellIs" dxfId="281" priority="256" operator="equal">
      <formula>3</formula>
    </cfRule>
    <cfRule type="cellIs" dxfId="280" priority="257" operator="equal">
      <formula>2</formula>
    </cfRule>
    <cfRule type="cellIs" dxfId="279" priority="258" operator="equal">
      <formula>1</formula>
    </cfRule>
  </conditionalFormatting>
  <conditionalFormatting sqref="D960:D984">
    <cfRule type="cellIs" dxfId="278" priority="253" operator="equal">
      <formula>3</formula>
    </cfRule>
    <cfRule type="cellIs" dxfId="277" priority="254" operator="equal">
      <formula>2</formula>
    </cfRule>
    <cfRule type="cellIs" dxfId="276" priority="255" operator="equal">
      <formula>1</formula>
    </cfRule>
  </conditionalFormatting>
  <conditionalFormatting sqref="D994:D1018">
    <cfRule type="cellIs" dxfId="275" priority="244" operator="equal">
      <formula>3</formula>
    </cfRule>
    <cfRule type="cellIs" dxfId="274" priority="245" operator="equal">
      <formula>2</formula>
    </cfRule>
    <cfRule type="cellIs" dxfId="273" priority="246" operator="equal">
      <formula>1</formula>
    </cfRule>
  </conditionalFormatting>
  <conditionalFormatting sqref="C993">
    <cfRule type="cellIs" dxfId="272" priority="250" operator="equal">
      <formula>3</formula>
    </cfRule>
    <cfRule type="cellIs" dxfId="271" priority="251" operator="equal">
      <formula>2</formula>
    </cfRule>
    <cfRule type="cellIs" dxfId="270" priority="252" operator="equal">
      <formula>1</formula>
    </cfRule>
  </conditionalFormatting>
  <conditionalFormatting sqref="C994:C1020">
    <cfRule type="cellIs" dxfId="269" priority="247" operator="equal">
      <formula>3</formula>
    </cfRule>
    <cfRule type="cellIs" dxfId="268" priority="248" operator="equal">
      <formula>2</formula>
    </cfRule>
    <cfRule type="cellIs" dxfId="267" priority="249" operator="equal">
      <formula>1</formula>
    </cfRule>
  </conditionalFormatting>
  <conditionalFormatting sqref="D1028:D1052">
    <cfRule type="cellIs" dxfId="266" priority="235" operator="equal">
      <formula>3</formula>
    </cfRule>
    <cfRule type="cellIs" dxfId="265" priority="236" operator="equal">
      <formula>2</formula>
    </cfRule>
    <cfRule type="cellIs" dxfId="264" priority="237" operator="equal">
      <formula>1</formula>
    </cfRule>
  </conditionalFormatting>
  <conditionalFormatting sqref="C1027">
    <cfRule type="cellIs" dxfId="263" priority="241" operator="equal">
      <formula>3</formula>
    </cfRule>
    <cfRule type="cellIs" dxfId="262" priority="242" operator="equal">
      <formula>2</formula>
    </cfRule>
    <cfRule type="cellIs" dxfId="261" priority="243" operator="equal">
      <formula>1</formula>
    </cfRule>
  </conditionalFormatting>
  <conditionalFormatting sqref="C1028:C1054">
    <cfRule type="cellIs" dxfId="260" priority="238" operator="equal">
      <formula>3</formula>
    </cfRule>
    <cfRule type="cellIs" dxfId="259" priority="239" operator="equal">
      <formula>2</formula>
    </cfRule>
    <cfRule type="cellIs" dxfId="258" priority="240" operator="equal">
      <formula>1</formula>
    </cfRule>
  </conditionalFormatting>
  <conditionalFormatting sqref="D1062:D1086">
    <cfRule type="cellIs" dxfId="257" priority="226" operator="equal">
      <formula>3</formula>
    </cfRule>
    <cfRule type="cellIs" dxfId="256" priority="227" operator="equal">
      <formula>2</formula>
    </cfRule>
    <cfRule type="cellIs" dxfId="255" priority="228" operator="equal">
      <formula>1</formula>
    </cfRule>
  </conditionalFormatting>
  <conditionalFormatting sqref="C1061">
    <cfRule type="cellIs" dxfId="254" priority="232" operator="equal">
      <formula>3</formula>
    </cfRule>
    <cfRule type="cellIs" dxfId="253" priority="233" operator="equal">
      <formula>2</formula>
    </cfRule>
    <cfRule type="cellIs" dxfId="252" priority="234" operator="equal">
      <formula>1</formula>
    </cfRule>
  </conditionalFormatting>
  <conditionalFormatting sqref="C1062:C1088">
    <cfRule type="cellIs" dxfId="251" priority="229" operator="equal">
      <formula>3</formula>
    </cfRule>
    <cfRule type="cellIs" dxfId="250" priority="230" operator="equal">
      <formula>2</formula>
    </cfRule>
    <cfRule type="cellIs" dxfId="249" priority="231" operator="equal">
      <formula>1</formula>
    </cfRule>
  </conditionalFormatting>
  <conditionalFormatting sqref="D1096:D1120">
    <cfRule type="cellIs" dxfId="248" priority="217" operator="equal">
      <formula>3</formula>
    </cfRule>
    <cfRule type="cellIs" dxfId="247" priority="218" operator="equal">
      <formula>2</formula>
    </cfRule>
    <cfRule type="cellIs" dxfId="246" priority="219" operator="equal">
      <formula>1</formula>
    </cfRule>
  </conditionalFormatting>
  <conditionalFormatting sqref="C1095">
    <cfRule type="cellIs" dxfId="245" priority="223" operator="equal">
      <formula>3</formula>
    </cfRule>
    <cfRule type="cellIs" dxfId="244" priority="224" operator="equal">
      <formula>2</formula>
    </cfRule>
    <cfRule type="cellIs" dxfId="243" priority="225" operator="equal">
      <formula>1</formula>
    </cfRule>
  </conditionalFormatting>
  <conditionalFormatting sqref="C1096:C1122">
    <cfRule type="cellIs" dxfId="242" priority="220" operator="equal">
      <formula>3</formula>
    </cfRule>
    <cfRule type="cellIs" dxfId="241" priority="221" operator="equal">
      <formula>2</formula>
    </cfRule>
    <cfRule type="cellIs" dxfId="240" priority="222" operator="equal">
      <formula>1</formula>
    </cfRule>
  </conditionalFormatting>
  <conditionalFormatting sqref="D1130:D1154">
    <cfRule type="cellIs" dxfId="239" priority="208" operator="equal">
      <formula>3</formula>
    </cfRule>
    <cfRule type="cellIs" dxfId="238" priority="209" operator="equal">
      <formula>2</formula>
    </cfRule>
    <cfRule type="cellIs" dxfId="237" priority="210" operator="equal">
      <formula>1</formula>
    </cfRule>
  </conditionalFormatting>
  <conditionalFormatting sqref="C1129">
    <cfRule type="cellIs" dxfId="236" priority="214" operator="equal">
      <formula>3</formula>
    </cfRule>
    <cfRule type="cellIs" dxfId="235" priority="215" operator="equal">
      <formula>2</formula>
    </cfRule>
    <cfRule type="cellIs" dxfId="234" priority="216" operator="equal">
      <formula>1</formula>
    </cfRule>
  </conditionalFormatting>
  <conditionalFormatting sqref="C1130:C1156">
    <cfRule type="cellIs" dxfId="233" priority="211" operator="equal">
      <formula>3</formula>
    </cfRule>
    <cfRule type="cellIs" dxfId="232" priority="212" operator="equal">
      <formula>2</formula>
    </cfRule>
    <cfRule type="cellIs" dxfId="231" priority="213" operator="equal">
      <formula>1</formula>
    </cfRule>
  </conditionalFormatting>
  <conditionalFormatting sqref="D1164:D1188">
    <cfRule type="cellIs" dxfId="230" priority="199" operator="equal">
      <formula>3</formula>
    </cfRule>
    <cfRule type="cellIs" dxfId="229" priority="200" operator="equal">
      <formula>2</formula>
    </cfRule>
    <cfRule type="cellIs" dxfId="228" priority="201" operator="equal">
      <formula>1</formula>
    </cfRule>
  </conditionalFormatting>
  <conditionalFormatting sqref="C1163">
    <cfRule type="cellIs" dxfId="227" priority="205" operator="equal">
      <formula>3</formula>
    </cfRule>
    <cfRule type="cellIs" dxfId="226" priority="206" operator="equal">
      <formula>2</formula>
    </cfRule>
    <cfRule type="cellIs" dxfId="225" priority="207" operator="equal">
      <formula>1</formula>
    </cfRule>
  </conditionalFormatting>
  <conditionalFormatting sqref="C1164:C1190">
    <cfRule type="cellIs" dxfId="224" priority="202" operator="equal">
      <formula>3</formula>
    </cfRule>
    <cfRule type="cellIs" dxfId="223" priority="203" operator="equal">
      <formula>2</formula>
    </cfRule>
    <cfRule type="cellIs" dxfId="222" priority="204" operator="equal">
      <formula>1</formula>
    </cfRule>
  </conditionalFormatting>
  <conditionalFormatting sqref="D1198:D1222">
    <cfRule type="cellIs" dxfId="221" priority="190" operator="equal">
      <formula>3</formula>
    </cfRule>
    <cfRule type="cellIs" dxfId="220" priority="191" operator="equal">
      <formula>2</formula>
    </cfRule>
    <cfRule type="cellIs" dxfId="219" priority="192" operator="equal">
      <formula>1</formula>
    </cfRule>
  </conditionalFormatting>
  <conditionalFormatting sqref="C1197">
    <cfRule type="cellIs" dxfId="218" priority="196" operator="equal">
      <formula>3</formula>
    </cfRule>
    <cfRule type="cellIs" dxfId="217" priority="197" operator="equal">
      <formula>2</formula>
    </cfRule>
    <cfRule type="cellIs" dxfId="216" priority="198" operator="equal">
      <formula>1</formula>
    </cfRule>
  </conditionalFormatting>
  <conditionalFormatting sqref="C1198:C1224">
    <cfRule type="cellIs" dxfId="215" priority="193" operator="equal">
      <formula>3</formula>
    </cfRule>
    <cfRule type="cellIs" dxfId="214" priority="194" operator="equal">
      <formula>2</formula>
    </cfRule>
    <cfRule type="cellIs" dxfId="213" priority="195" operator="equal">
      <formula>1</formula>
    </cfRule>
  </conditionalFormatting>
  <conditionalFormatting sqref="D1232:D1256">
    <cfRule type="cellIs" dxfId="212" priority="181" operator="equal">
      <formula>3</formula>
    </cfRule>
    <cfRule type="cellIs" dxfId="211" priority="182" operator="equal">
      <formula>2</formula>
    </cfRule>
    <cfRule type="cellIs" dxfId="210" priority="183" operator="equal">
      <formula>1</formula>
    </cfRule>
  </conditionalFormatting>
  <conditionalFormatting sqref="C1231">
    <cfRule type="cellIs" dxfId="209" priority="187" operator="equal">
      <formula>3</formula>
    </cfRule>
    <cfRule type="cellIs" dxfId="208" priority="188" operator="equal">
      <formula>2</formula>
    </cfRule>
    <cfRule type="cellIs" dxfId="207" priority="189" operator="equal">
      <formula>1</formula>
    </cfRule>
  </conditionalFormatting>
  <conditionalFormatting sqref="C1232:C1258">
    <cfRule type="cellIs" dxfId="206" priority="184" operator="equal">
      <formula>3</formula>
    </cfRule>
    <cfRule type="cellIs" dxfId="205" priority="185" operator="equal">
      <formula>2</formula>
    </cfRule>
    <cfRule type="cellIs" dxfId="204" priority="186" operator="equal">
      <formula>1</formula>
    </cfRule>
  </conditionalFormatting>
  <conditionalFormatting sqref="D1266:D1290">
    <cfRule type="cellIs" dxfId="203" priority="172" operator="equal">
      <formula>3</formula>
    </cfRule>
    <cfRule type="cellIs" dxfId="202" priority="173" operator="equal">
      <formula>2</formula>
    </cfRule>
    <cfRule type="cellIs" dxfId="201" priority="174" operator="equal">
      <formula>1</formula>
    </cfRule>
  </conditionalFormatting>
  <conditionalFormatting sqref="C1265">
    <cfRule type="cellIs" dxfId="200" priority="178" operator="equal">
      <formula>3</formula>
    </cfRule>
    <cfRule type="cellIs" dxfId="199" priority="179" operator="equal">
      <formula>2</formula>
    </cfRule>
    <cfRule type="cellIs" dxfId="198" priority="180" operator="equal">
      <formula>1</formula>
    </cfRule>
  </conditionalFormatting>
  <conditionalFormatting sqref="C1266:C1292">
    <cfRule type="cellIs" dxfId="197" priority="175" operator="equal">
      <formula>3</formula>
    </cfRule>
    <cfRule type="cellIs" dxfId="196" priority="176" operator="equal">
      <formula>2</formula>
    </cfRule>
    <cfRule type="cellIs" dxfId="195" priority="177" operator="equal">
      <formula>1</formula>
    </cfRule>
  </conditionalFormatting>
  <conditionalFormatting sqref="D1300:D1324">
    <cfRule type="cellIs" dxfId="194" priority="163" operator="equal">
      <formula>3</formula>
    </cfRule>
    <cfRule type="cellIs" dxfId="193" priority="164" operator="equal">
      <formula>2</formula>
    </cfRule>
    <cfRule type="cellIs" dxfId="192" priority="165" operator="equal">
      <formula>1</formula>
    </cfRule>
  </conditionalFormatting>
  <conditionalFormatting sqref="C1299">
    <cfRule type="cellIs" dxfId="191" priority="169" operator="equal">
      <formula>3</formula>
    </cfRule>
    <cfRule type="cellIs" dxfId="190" priority="170" operator="equal">
      <formula>2</formula>
    </cfRule>
    <cfRule type="cellIs" dxfId="189" priority="171" operator="equal">
      <formula>1</formula>
    </cfRule>
  </conditionalFormatting>
  <conditionalFormatting sqref="C1300:C1326">
    <cfRule type="cellIs" dxfId="188" priority="166" operator="equal">
      <formula>3</formula>
    </cfRule>
    <cfRule type="cellIs" dxfId="187" priority="167" operator="equal">
      <formula>2</formula>
    </cfRule>
    <cfRule type="cellIs" dxfId="186" priority="168" operator="equal">
      <formula>1</formula>
    </cfRule>
  </conditionalFormatting>
  <conditionalFormatting sqref="D1334:D1358">
    <cfRule type="cellIs" dxfId="185" priority="154" operator="equal">
      <formula>3</formula>
    </cfRule>
    <cfRule type="cellIs" dxfId="184" priority="155" operator="equal">
      <formula>2</formula>
    </cfRule>
    <cfRule type="cellIs" dxfId="183" priority="156" operator="equal">
      <formula>1</formula>
    </cfRule>
  </conditionalFormatting>
  <conditionalFormatting sqref="C1333">
    <cfRule type="cellIs" dxfId="182" priority="160" operator="equal">
      <formula>3</formula>
    </cfRule>
    <cfRule type="cellIs" dxfId="181" priority="161" operator="equal">
      <formula>2</formula>
    </cfRule>
    <cfRule type="cellIs" dxfId="180" priority="162" operator="equal">
      <formula>1</formula>
    </cfRule>
  </conditionalFormatting>
  <conditionalFormatting sqref="C1334:C1360">
    <cfRule type="cellIs" dxfId="179" priority="157" operator="equal">
      <formula>3</formula>
    </cfRule>
    <cfRule type="cellIs" dxfId="178" priority="158" operator="equal">
      <formula>2</formula>
    </cfRule>
    <cfRule type="cellIs" dxfId="177" priority="159" operator="equal">
      <formula>1</formula>
    </cfRule>
  </conditionalFormatting>
  <conditionalFormatting sqref="D1368:D1392">
    <cfRule type="cellIs" dxfId="176" priority="145" operator="equal">
      <formula>3</formula>
    </cfRule>
    <cfRule type="cellIs" dxfId="175" priority="146" operator="equal">
      <formula>2</formula>
    </cfRule>
    <cfRule type="cellIs" dxfId="174" priority="147" operator="equal">
      <formula>1</formula>
    </cfRule>
  </conditionalFormatting>
  <conditionalFormatting sqref="C1367">
    <cfRule type="cellIs" dxfId="173" priority="151" operator="equal">
      <formula>3</formula>
    </cfRule>
    <cfRule type="cellIs" dxfId="172" priority="152" operator="equal">
      <formula>2</formula>
    </cfRule>
    <cfRule type="cellIs" dxfId="171" priority="153" operator="equal">
      <formula>1</formula>
    </cfRule>
  </conditionalFormatting>
  <conditionalFormatting sqref="C1368:C1394">
    <cfRule type="cellIs" dxfId="170" priority="148" operator="equal">
      <formula>3</formula>
    </cfRule>
    <cfRule type="cellIs" dxfId="169" priority="149" operator="equal">
      <formula>2</formula>
    </cfRule>
    <cfRule type="cellIs" dxfId="168" priority="150" operator="equal">
      <formula>1</formula>
    </cfRule>
  </conditionalFormatting>
  <conditionalFormatting sqref="D1402:D1426">
    <cfRule type="cellIs" dxfId="167" priority="136" operator="equal">
      <formula>3</formula>
    </cfRule>
    <cfRule type="cellIs" dxfId="166" priority="137" operator="equal">
      <formula>2</formula>
    </cfRule>
    <cfRule type="cellIs" dxfId="165" priority="138" operator="equal">
      <formula>1</formula>
    </cfRule>
  </conditionalFormatting>
  <conditionalFormatting sqref="C1401">
    <cfRule type="cellIs" dxfId="164" priority="142" operator="equal">
      <formula>3</formula>
    </cfRule>
    <cfRule type="cellIs" dxfId="163" priority="143" operator="equal">
      <formula>2</formula>
    </cfRule>
    <cfRule type="cellIs" dxfId="162" priority="144" operator="equal">
      <formula>1</formula>
    </cfRule>
  </conditionalFormatting>
  <conditionalFormatting sqref="C1402:C1428">
    <cfRule type="cellIs" dxfId="161" priority="139" operator="equal">
      <formula>3</formula>
    </cfRule>
    <cfRule type="cellIs" dxfId="160" priority="140" operator="equal">
      <formula>2</formula>
    </cfRule>
    <cfRule type="cellIs" dxfId="159" priority="141" operator="equal">
      <formula>1</formula>
    </cfRule>
  </conditionalFormatting>
  <conditionalFormatting sqref="D1436:D1460">
    <cfRule type="cellIs" dxfId="158" priority="127" operator="equal">
      <formula>3</formula>
    </cfRule>
    <cfRule type="cellIs" dxfId="157" priority="128" operator="equal">
      <formula>2</formula>
    </cfRule>
    <cfRule type="cellIs" dxfId="156" priority="129" operator="equal">
      <formula>1</formula>
    </cfRule>
  </conditionalFormatting>
  <conditionalFormatting sqref="C1435">
    <cfRule type="cellIs" dxfId="155" priority="133" operator="equal">
      <formula>3</formula>
    </cfRule>
    <cfRule type="cellIs" dxfId="154" priority="134" operator="equal">
      <formula>2</formula>
    </cfRule>
    <cfRule type="cellIs" dxfId="153" priority="135" operator="equal">
      <formula>1</formula>
    </cfRule>
  </conditionalFormatting>
  <conditionalFormatting sqref="C1436:C1462">
    <cfRule type="cellIs" dxfId="152" priority="130" operator="equal">
      <formula>3</formula>
    </cfRule>
    <cfRule type="cellIs" dxfId="151" priority="131" operator="equal">
      <formula>2</formula>
    </cfRule>
    <cfRule type="cellIs" dxfId="150" priority="132" operator="equal">
      <formula>1</formula>
    </cfRule>
  </conditionalFormatting>
  <conditionalFormatting sqref="D1470:D1494">
    <cfRule type="cellIs" dxfId="149" priority="118" operator="equal">
      <formula>3</formula>
    </cfRule>
    <cfRule type="cellIs" dxfId="148" priority="119" operator="equal">
      <formula>2</formula>
    </cfRule>
    <cfRule type="cellIs" dxfId="147" priority="120" operator="equal">
      <formula>1</formula>
    </cfRule>
  </conditionalFormatting>
  <conditionalFormatting sqref="C1469">
    <cfRule type="cellIs" dxfId="146" priority="124" operator="equal">
      <formula>3</formula>
    </cfRule>
    <cfRule type="cellIs" dxfId="145" priority="125" operator="equal">
      <formula>2</formula>
    </cfRule>
    <cfRule type="cellIs" dxfId="144" priority="126" operator="equal">
      <formula>1</formula>
    </cfRule>
  </conditionalFormatting>
  <conditionalFormatting sqref="C1470:C1496">
    <cfRule type="cellIs" dxfId="143" priority="121" operator="equal">
      <formula>3</formula>
    </cfRule>
    <cfRule type="cellIs" dxfId="142" priority="122" operator="equal">
      <formula>2</formula>
    </cfRule>
    <cfRule type="cellIs" dxfId="141" priority="123" operator="equal">
      <formula>1</formula>
    </cfRule>
  </conditionalFormatting>
  <conditionalFormatting sqref="D1504:D1528">
    <cfRule type="cellIs" dxfId="140" priority="109" operator="equal">
      <formula>3</formula>
    </cfRule>
    <cfRule type="cellIs" dxfId="139" priority="110" operator="equal">
      <formula>2</formula>
    </cfRule>
    <cfRule type="cellIs" dxfId="138" priority="111" operator="equal">
      <formula>1</formula>
    </cfRule>
  </conditionalFormatting>
  <conditionalFormatting sqref="C1503">
    <cfRule type="cellIs" dxfId="137" priority="115" operator="equal">
      <formula>3</formula>
    </cfRule>
    <cfRule type="cellIs" dxfId="136" priority="116" operator="equal">
      <formula>2</formula>
    </cfRule>
    <cfRule type="cellIs" dxfId="135" priority="117" operator="equal">
      <formula>1</formula>
    </cfRule>
  </conditionalFormatting>
  <conditionalFormatting sqref="C1504:C1530">
    <cfRule type="cellIs" dxfId="134" priority="112" operator="equal">
      <formula>3</formula>
    </cfRule>
    <cfRule type="cellIs" dxfId="133" priority="113" operator="equal">
      <formula>2</formula>
    </cfRule>
    <cfRule type="cellIs" dxfId="132" priority="114" operator="equal">
      <formula>1</formula>
    </cfRule>
  </conditionalFormatting>
  <conditionalFormatting sqref="D1538:D1562">
    <cfRule type="cellIs" dxfId="131" priority="100" operator="equal">
      <formula>3</formula>
    </cfRule>
    <cfRule type="cellIs" dxfId="130" priority="101" operator="equal">
      <formula>2</formula>
    </cfRule>
    <cfRule type="cellIs" dxfId="129" priority="102" operator="equal">
      <formula>1</formula>
    </cfRule>
  </conditionalFormatting>
  <conditionalFormatting sqref="C1537">
    <cfRule type="cellIs" dxfId="128" priority="106" operator="equal">
      <formula>3</formula>
    </cfRule>
    <cfRule type="cellIs" dxfId="127" priority="107" operator="equal">
      <formula>2</formula>
    </cfRule>
    <cfRule type="cellIs" dxfId="126" priority="108" operator="equal">
      <formula>1</formula>
    </cfRule>
  </conditionalFormatting>
  <conditionalFormatting sqref="C1538:C1564">
    <cfRule type="cellIs" dxfId="125" priority="103" operator="equal">
      <formula>3</formula>
    </cfRule>
    <cfRule type="cellIs" dxfId="124" priority="104" operator="equal">
      <formula>2</formula>
    </cfRule>
    <cfRule type="cellIs" dxfId="123" priority="105" operator="equal">
      <formula>1</formula>
    </cfRule>
  </conditionalFormatting>
  <conditionalFormatting sqref="D1572:D1596">
    <cfRule type="cellIs" dxfId="122" priority="91" operator="equal">
      <formula>3</formula>
    </cfRule>
    <cfRule type="cellIs" dxfId="121" priority="92" operator="equal">
      <formula>2</formula>
    </cfRule>
    <cfRule type="cellIs" dxfId="120" priority="93" operator="equal">
      <formula>1</formula>
    </cfRule>
  </conditionalFormatting>
  <conditionalFormatting sqref="C1571">
    <cfRule type="cellIs" dxfId="119" priority="97" operator="equal">
      <formula>3</formula>
    </cfRule>
    <cfRule type="cellIs" dxfId="118" priority="98" operator="equal">
      <formula>2</formula>
    </cfRule>
    <cfRule type="cellIs" dxfId="117" priority="99" operator="equal">
      <formula>1</formula>
    </cfRule>
  </conditionalFormatting>
  <conditionalFormatting sqref="C1572:C1598">
    <cfRule type="cellIs" dxfId="116" priority="94" operator="equal">
      <formula>3</formula>
    </cfRule>
    <cfRule type="cellIs" dxfId="115" priority="95" operator="equal">
      <formula>2</formula>
    </cfRule>
    <cfRule type="cellIs" dxfId="114" priority="96" operator="equal">
      <formula>1</formula>
    </cfRule>
  </conditionalFormatting>
  <conditionalFormatting sqref="D1606:D1630">
    <cfRule type="cellIs" dxfId="113" priority="82" operator="equal">
      <formula>3</formula>
    </cfRule>
    <cfRule type="cellIs" dxfId="112" priority="83" operator="equal">
      <formula>2</formula>
    </cfRule>
    <cfRule type="cellIs" dxfId="111" priority="84" operator="equal">
      <formula>1</formula>
    </cfRule>
  </conditionalFormatting>
  <conditionalFormatting sqref="C1605">
    <cfRule type="cellIs" dxfId="110" priority="88" operator="equal">
      <formula>3</formula>
    </cfRule>
    <cfRule type="cellIs" dxfId="109" priority="89" operator="equal">
      <formula>2</formula>
    </cfRule>
    <cfRule type="cellIs" dxfId="108" priority="90" operator="equal">
      <formula>1</formula>
    </cfRule>
  </conditionalFormatting>
  <conditionalFormatting sqref="C1606:C1632">
    <cfRule type="cellIs" dxfId="107" priority="85" operator="equal">
      <formula>3</formula>
    </cfRule>
    <cfRule type="cellIs" dxfId="106" priority="86" operator="equal">
      <formula>2</formula>
    </cfRule>
    <cfRule type="cellIs" dxfId="105" priority="87" operator="equal">
      <formula>1</formula>
    </cfRule>
  </conditionalFormatting>
  <conditionalFormatting sqref="D1640:D1664">
    <cfRule type="cellIs" dxfId="104" priority="73" operator="equal">
      <formula>3</formula>
    </cfRule>
    <cfRule type="cellIs" dxfId="103" priority="74" operator="equal">
      <formula>2</formula>
    </cfRule>
    <cfRule type="cellIs" dxfId="102" priority="75" operator="equal">
      <formula>1</formula>
    </cfRule>
  </conditionalFormatting>
  <conditionalFormatting sqref="C1639">
    <cfRule type="cellIs" dxfId="101" priority="79" operator="equal">
      <formula>3</formula>
    </cfRule>
    <cfRule type="cellIs" dxfId="100" priority="80" operator="equal">
      <formula>2</formula>
    </cfRule>
    <cfRule type="cellIs" dxfId="99" priority="81" operator="equal">
      <formula>1</formula>
    </cfRule>
  </conditionalFormatting>
  <conditionalFormatting sqref="C1640:C1666">
    <cfRule type="cellIs" dxfId="98" priority="76" operator="equal">
      <formula>3</formula>
    </cfRule>
    <cfRule type="cellIs" dxfId="97" priority="77" operator="equal">
      <formula>2</formula>
    </cfRule>
    <cfRule type="cellIs" dxfId="96" priority="78" operator="equal">
      <formula>1</formula>
    </cfRule>
  </conditionalFormatting>
  <conditionalFormatting sqref="D1674:D1698">
    <cfRule type="cellIs" dxfId="95" priority="64" operator="equal">
      <formula>3</formula>
    </cfRule>
    <cfRule type="cellIs" dxfId="94" priority="65" operator="equal">
      <formula>2</formula>
    </cfRule>
    <cfRule type="cellIs" dxfId="93" priority="66" operator="equal">
      <formula>1</formula>
    </cfRule>
  </conditionalFormatting>
  <conditionalFormatting sqref="C1673">
    <cfRule type="cellIs" dxfId="92" priority="70" operator="equal">
      <formula>3</formula>
    </cfRule>
    <cfRule type="cellIs" dxfId="91" priority="71" operator="equal">
      <formula>2</formula>
    </cfRule>
    <cfRule type="cellIs" dxfId="90" priority="72" operator="equal">
      <formula>1</formula>
    </cfRule>
  </conditionalFormatting>
  <conditionalFormatting sqref="C1674:C1700">
    <cfRule type="cellIs" dxfId="89" priority="67" operator="equal">
      <formula>3</formula>
    </cfRule>
    <cfRule type="cellIs" dxfId="88" priority="68" operator="equal">
      <formula>2</formula>
    </cfRule>
    <cfRule type="cellIs" dxfId="87" priority="69" operator="equal">
      <formula>1</formula>
    </cfRule>
  </conditionalFormatting>
  <conditionalFormatting sqref="D1708:D1732">
    <cfRule type="cellIs" dxfId="86" priority="55" operator="equal">
      <formula>3</formula>
    </cfRule>
    <cfRule type="cellIs" dxfId="85" priority="56" operator="equal">
      <formula>2</formula>
    </cfRule>
    <cfRule type="cellIs" dxfId="84" priority="57" operator="equal">
      <formula>1</formula>
    </cfRule>
  </conditionalFormatting>
  <conditionalFormatting sqref="C1707">
    <cfRule type="cellIs" dxfId="83" priority="61" operator="equal">
      <formula>3</formula>
    </cfRule>
    <cfRule type="cellIs" dxfId="82" priority="62" operator="equal">
      <formula>2</formula>
    </cfRule>
    <cfRule type="cellIs" dxfId="81" priority="63" operator="equal">
      <formula>1</formula>
    </cfRule>
  </conditionalFormatting>
  <conditionalFormatting sqref="C1708:C1734">
    <cfRule type="cellIs" dxfId="80" priority="58" operator="equal">
      <formula>3</formula>
    </cfRule>
    <cfRule type="cellIs" dxfId="79" priority="59" operator="equal">
      <formula>2</formula>
    </cfRule>
    <cfRule type="cellIs" dxfId="78" priority="60" operator="equal">
      <formula>1</formula>
    </cfRule>
  </conditionalFormatting>
  <conditionalFormatting sqref="D1742:D1766">
    <cfRule type="cellIs" dxfId="77" priority="46" operator="equal">
      <formula>3</formula>
    </cfRule>
    <cfRule type="cellIs" dxfId="76" priority="47" operator="equal">
      <formula>2</formula>
    </cfRule>
    <cfRule type="cellIs" dxfId="75" priority="48" operator="equal">
      <formula>1</formula>
    </cfRule>
  </conditionalFormatting>
  <conditionalFormatting sqref="C1741">
    <cfRule type="cellIs" dxfId="74" priority="52" operator="equal">
      <formula>3</formula>
    </cfRule>
    <cfRule type="cellIs" dxfId="73" priority="53" operator="equal">
      <formula>2</formula>
    </cfRule>
    <cfRule type="cellIs" dxfId="72" priority="54" operator="equal">
      <formula>1</formula>
    </cfRule>
  </conditionalFormatting>
  <conditionalFormatting sqref="C1742:C1768">
    <cfRule type="cellIs" dxfId="71" priority="49" operator="equal">
      <formula>3</formula>
    </cfRule>
    <cfRule type="cellIs" dxfId="70" priority="50" operator="equal">
      <formula>2</formula>
    </cfRule>
    <cfRule type="cellIs" dxfId="69" priority="51" operator="equal">
      <formula>1</formula>
    </cfRule>
  </conditionalFormatting>
  <conditionalFormatting sqref="D1776:D1800">
    <cfRule type="cellIs" dxfId="68" priority="37" operator="equal">
      <formula>3</formula>
    </cfRule>
    <cfRule type="cellIs" dxfId="67" priority="38" operator="equal">
      <formula>2</formula>
    </cfRule>
    <cfRule type="cellIs" dxfId="66" priority="39" operator="equal">
      <formula>1</formula>
    </cfRule>
  </conditionalFormatting>
  <conditionalFormatting sqref="C1775">
    <cfRule type="cellIs" dxfId="65" priority="43" operator="equal">
      <formula>3</formula>
    </cfRule>
    <cfRule type="cellIs" dxfId="64" priority="44" operator="equal">
      <formula>2</formula>
    </cfRule>
    <cfRule type="cellIs" dxfId="63" priority="45" operator="equal">
      <formula>1</formula>
    </cfRule>
  </conditionalFormatting>
  <conditionalFormatting sqref="C1776:C1802">
    <cfRule type="cellIs" dxfId="62" priority="40" operator="equal">
      <formula>3</formula>
    </cfRule>
    <cfRule type="cellIs" dxfId="61" priority="41" operator="equal">
      <formula>2</formula>
    </cfRule>
    <cfRule type="cellIs" dxfId="60" priority="42" operator="equal">
      <formula>1</formula>
    </cfRule>
  </conditionalFormatting>
  <conditionalFormatting sqref="D1810:D1834">
    <cfRule type="cellIs" dxfId="59" priority="28" operator="equal">
      <formula>3</formula>
    </cfRule>
    <cfRule type="cellIs" dxfId="58" priority="29" operator="equal">
      <formula>2</formula>
    </cfRule>
    <cfRule type="cellIs" dxfId="57" priority="30" operator="equal">
      <formula>1</formula>
    </cfRule>
  </conditionalFormatting>
  <conditionalFormatting sqref="C1809">
    <cfRule type="cellIs" dxfId="56" priority="34" operator="equal">
      <formula>3</formula>
    </cfRule>
    <cfRule type="cellIs" dxfId="55" priority="35" operator="equal">
      <formula>2</formula>
    </cfRule>
    <cfRule type="cellIs" dxfId="54" priority="36" operator="equal">
      <formula>1</formula>
    </cfRule>
  </conditionalFormatting>
  <conditionalFormatting sqref="C1810:C1836">
    <cfRule type="cellIs" dxfId="53" priority="31" operator="equal">
      <formula>3</formula>
    </cfRule>
    <cfRule type="cellIs" dxfId="52" priority="32" operator="equal">
      <formula>2</formula>
    </cfRule>
    <cfRule type="cellIs" dxfId="51" priority="33" operator="equal">
      <formula>1</formula>
    </cfRule>
  </conditionalFormatting>
  <conditionalFormatting sqref="D1844:D1868">
    <cfRule type="cellIs" dxfId="50" priority="19" operator="equal">
      <formula>3</formula>
    </cfRule>
    <cfRule type="cellIs" dxfId="49" priority="20" operator="equal">
      <formula>2</formula>
    </cfRule>
    <cfRule type="cellIs" dxfId="48" priority="21" operator="equal">
      <formula>1</formula>
    </cfRule>
  </conditionalFormatting>
  <conditionalFormatting sqref="C1843">
    <cfRule type="cellIs" dxfId="47" priority="25" operator="equal">
      <formula>3</formula>
    </cfRule>
    <cfRule type="cellIs" dxfId="46" priority="26" operator="equal">
      <formula>2</formula>
    </cfRule>
    <cfRule type="cellIs" dxfId="45" priority="27" operator="equal">
      <formula>1</formula>
    </cfRule>
  </conditionalFormatting>
  <conditionalFormatting sqref="C1844:C1870">
    <cfRule type="cellIs" dxfId="44" priority="22" operator="equal">
      <formula>3</formula>
    </cfRule>
    <cfRule type="cellIs" dxfId="43" priority="23" operator="equal">
      <formula>2</formula>
    </cfRule>
    <cfRule type="cellIs" dxfId="42" priority="24" operator="equal">
      <formula>1</formula>
    </cfRule>
  </conditionalFormatting>
  <conditionalFormatting sqref="D1878:D1902">
    <cfRule type="cellIs" dxfId="41" priority="10" operator="equal">
      <formula>3</formula>
    </cfRule>
    <cfRule type="cellIs" dxfId="40" priority="11" operator="equal">
      <formula>2</formula>
    </cfRule>
    <cfRule type="cellIs" dxfId="39" priority="12" operator="equal">
      <formula>1</formula>
    </cfRule>
  </conditionalFormatting>
  <conditionalFormatting sqref="C1877">
    <cfRule type="cellIs" dxfId="38" priority="16" operator="equal">
      <formula>3</formula>
    </cfRule>
    <cfRule type="cellIs" dxfId="37" priority="17" operator="equal">
      <formula>2</formula>
    </cfRule>
    <cfRule type="cellIs" dxfId="36" priority="18" operator="equal">
      <formula>1</formula>
    </cfRule>
  </conditionalFormatting>
  <conditionalFormatting sqref="C1878:C1904">
    <cfRule type="cellIs" dxfId="35" priority="13" operator="equal">
      <formula>3</formula>
    </cfRule>
    <cfRule type="cellIs" dxfId="34" priority="14" operator="equal">
      <formula>2</formula>
    </cfRule>
    <cfRule type="cellIs" dxfId="33" priority="15" operator="equal">
      <formula>1</formula>
    </cfRule>
  </conditionalFormatting>
  <conditionalFormatting sqref="D1912:D1936">
    <cfRule type="cellIs" dxfId="32" priority="1" operator="equal">
      <formula>3</formula>
    </cfRule>
    <cfRule type="cellIs" dxfId="31" priority="2" operator="equal">
      <formula>2</formula>
    </cfRule>
    <cfRule type="cellIs" dxfId="30" priority="3" operator="equal">
      <formula>1</formula>
    </cfRule>
  </conditionalFormatting>
  <conditionalFormatting sqref="C1911">
    <cfRule type="cellIs" dxfId="29" priority="7" operator="equal">
      <formula>3</formula>
    </cfRule>
    <cfRule type="cellIs" dxfId="28" priority="8" operator="equal">
      <formula>2</formula>
    </cfRule>
    <cfRule type="cellIs" dxfId="27" priority="9" operator="equal">
      <formula>1</formula>
    </cfRule>
  </conditionalFormatting>
  <conditionalFormatting sqref="C1912:C1938">
    <cfRule type="cellIs" dxfId="26" priority="4" operator="equal">
      <formula>3</formula>
    </cfRule>
    <cfRule type="cellIs" dxfId="25" priority="5" operator="equal">
      <formula>2</formula>
    </cfRule>
    <cfRule type="cellIs" dxfId="24" priority="6" operator="equal">
      <formula>1</formula>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2">
    <pageSetUpPr fitToPage="1"/>
  </sheetPr>
  <dimension ref="A3:DT98"/>
  <sheetViews>
    <sheetView topLeftCell="A11" zoomScale="70" zoomScaleNormal="70" workbookViewId="0">
      <selection activeCell="Q29" sqref="Q29"/>
    </sheetView>
  </sheetViews>
  <sheetFormatPr defaultColWidth="8.77734375" defaultRowHeight="14.4" x14ac:dyDescent="0.3"/>
  <cols>
    <col min="1" max="1" width="9" customWidth="1"/>
    <col min="2" max="2" width="41.77734375" customWidth="1"/>
    <col min="3" max="4" width="13.44140625" customWidth="1"/>
    <col min="5" max="5" width="12.109375" customWidth="1"/>
    <col min="6" max="10" width="11.109375" customWidth="1"/>
    <col min="11" max="11" width="15.44140625" customWidth="1"/>
    <col min="12" max="12" width="5.44140625" bestFit="1" customWidth="1"/>
    <col min="13" max="13" width="5.44140625" customWidth="1"/>
    <col min="14" max="14" width="10.88671875" customWidth="1"/>
    <col min="15" max="15" width="6.6640625" customWidth="1"/>
    <col min="16" max="16" width="13" customWidth="1"/>
    <col min="17" max="17" width="17" customWidth="1"/>
    <col min="18" max="45" width="13.6640625" customWidth="1"/>
    <col min="46" max="49" width="13.6640625" style="132" customWidth="1"/>
    <col min="50" max="50" width="13.6640625" customWidth="1"/>
    <col min="51" max="62" width="13.6640625" style="132" customWidth="1"/>
    <col min="63" max="63" width="15.6640625" style="132" customWidth="1"/>
    <col min="64" max="76" width="13.6640625" style="132" customWidth="1"/>
    <col min="77" max="79" width="13.6640625" style="165" customWidth="1"/>
    <col min="80" max="80" width="13.44140625" style="165" customWidth="1"/>
    <col min="81" max="90" width="13.6640625" style="165" customWidth="1"/>
    <col min="91" max="91" width="13.33203125" style="165" customWidth="1"/>
    <col min="92" max="92" width="14.33203125" style="165" customWidth="1"/>
    <col min="93" max="93" width="13.33203125" style="165" customWidth="1"/>
    <col min="94" max="94" width="15.6640625" style="165" customWidth="1"/>
    <col min="95" max="95" width="15.44140625" style="165" customWidth="1"/>
    <col min="96" max="96" width="11.109375" style="165" customWidth="1"/>
    <col min="97" max="97" width="13" style="165" customWidth="1"/>
    <col min="98" max="107" width="14.44140625" style="165" customWidth="1"/>
    <col min="108" max="108" width="13.6640625" style="132" customWidth="1"/>
    <col min="109" max="118" width="13.6640625" style="247" customWidth="1"/>
    <col min="119" max="119" width="46.88671875" bestFit="1" customWidth="1"/>
    <col min="120" max="121" width="9" customWidth="1"/>
    <col min="122" max="122" width="20.44140625" bestFit="1" customWidth="1"/>
    <col min="123" max="123" width="20" bestFit="1" customWidth="1"/>
    <col min="124" max="124" width="23.6640625" bestFit="1" customWidth="1"/>
    <col min="125" max="125" width="10.44140625" bestFit="1" customWidth="1"/>
  </cols>
  <sheetData>
    <row r="3" spans="1:124" x14ac:dyDescent="0.3">
      <c r="J3" s="4"/>
    </row>
    <row r="4" spans="1:124" x14ac:dyDescent="0.3">
      <c r="B4" s="8" t="s">
        <v>31</v>
      </c>
    </row>
    <row r="5" spans="1:124" x14ac:dyDescent="0.3">
      <c r="B5" s="23" t="s">
        <v>32</v>
      </c>
    </row>
    <row r="6" spans="1:124" x14ac:dyDescent="0.3">
      <c r="B6" s="23" t="s">
        <v>33</v>
      </c>
    </row>
    <row r="7" spans="1:124" x14ac:dyDescent="0.3">
      <c r="B7" s="23" t="s">
        <v>34</v>
      </c>
    </row>
    <row r="8" spans="1:124" x14ac:dyDescent="0.3">
      <c r="B8" s="23" t="s">
        <v>66</v>
      </c>
    </row>
    <row r="9" spans="1:124" x14ac:dyDescent="0.3">
      <c r="B9" s="23" t="s">
        <v>65</v>
      </c>
    </row>
    <row r="10" spans="1:124" x14ac:dyDescent="0.3">
      <c r="B10" s="23" t="s">
        <v>36</v>
      </c>
    </row>
    <row r="11" spans="1:124" x14ac:dyDescent="0.3">
      <c r="C11" s="165"/>
      <c r="D11" s="165"/>
      <c r="E11" s="165"/>
      <c r="F11" s="165"/>
      <c r="G11" s="1"/>
      <c r="H11" s="165"/>
      <c r="I11" s="165"/>
      <c r="J11" s="25"/>
      <c r="K11" s="165"/>
      <c r="L11" s="165"/>
      <c r="M11" s="165"/>
      <c r="N11" s="165"/>
      <c r="O11" s="165"/>
    </row>
    <row r="12" spans="1:124" x14ac:dyDescent="0.3">
      <c r="C12" s="165"/>
      <c r="D12" s="165"/>
      <c r="E12" s="165"/>
      <c r="F12" s="165"/>
      <c r="G12" s="1"/>
      <c r="H12" s="165"/>
      <c r="I12" s="165"/>
      <c r="J12" s="25"/>
      <c r="K12" s="165"/>
      <c r="L12" s="165"/>
      <c r="M12" s="165"/>
      <c r="N12" s="165"/>
      <c r="O12" s="165"/>
    </row>
    <row r="13" spans="1:124" ht="34.5" customHeight="1" x14ac:dyDescent="0.3">
      <c r="C13" s="165"/>
      <c r="D13" s="165"/>
      <c r="E13" s="165"/>
      <c r="F13" s="219"/>
      <c r="G13" s="1"/>
      <c r="H13" s="165"/>
      <c r="I13" s="165"/>
      <c r="J13" s="25"/>
      <c r="K13" s="165"/>
      <c r="L13" s="165"/>
      <c r="M13" s="165"/>
      <c r="N13" s="165"/>
      <c r="O13" s="165"/>
      <c r="Q13" s="28"/>
      <c r="R13" s="28"/>
      <c r="S13" s="32"/>
      <c r="T13" s="32"/>
      <c r="U13" s="32"/>
      <c r="V13" s="32"/>
      <c r="W13" s="32"/>
      <c r="X13" s="32"/>
      <c r="Y13" s="32"/>
      <c r="Z13" s="32"/>
      <c r="AA13" s="32"/>
      <c r="AB13" s="32"/>
      <c r="AC13" s="32"/>
      <c r="AD13" s="32"/>
      <c r="AE13" s="32"/>
      <c r="AF13" s="32"/>
      <c r="AG13" s="32"/>
      <c r="AH13" s="32"/>
      <c r="AI13" s="32"/>
      <c r="AJ13" s="32"/>
      <c r="AK13" s="32"/>
      <c r="AL13" s="32"/>
      <c r="AM13" s="32"/>
      <c r="AN13" s="32"/>
      <c r="AO13" s="32"/>
      <c r="AP13" s="32"/>
      <c r="AQ13" s="32"/>
      <c r="AR13" s="32"/>
      <c r="AS13" s="32"/>
      <c r="AT13" s="32"/>
      <c r="AU13" s="32"/>
      <c r="AV13" s="32"/>
      <c r="AW13" s="32"/>
      <c r="AX13" s="110"/>
      <c r="AY13" s="110"/>
      <c r="AZ13" s="110"/>
      <c r="BA13" s="110"/>
      <c r="BB13" s="110"/>
      <c r="BC13" s="110"/>
      <c r="BD13" s="110"/>
      <c r="BE13" s="110"/>
      <c r="BF13" s="110"/>
      <c r="BG13" s="110"/>
      <c r="BH13" s="110"/>
      <c r="BI13" s="110"/>
      <c r="BJ13" s="110"/>
      <c r="BK13" s="110">
        <f>COUNTIF(Paste_Report_Here!$E:$E,Index_CALCULATION!BK15)</f>
        <v>38</v>
      </c>
      <c r="BL13" s="110">
        <f>COUNTIF(Paste_Report_Here!$E:$E,Index_CALCULATION!BL15)</f>
        <v>40</v>
      </c>
      <c r="BM13" s="110">
        <f>COUNTIF(Paste_Report_Here!$E:$E,Index_CALCULATION!BM15)</f>
        <v>38</v>
      </c>
      <c r="BN13" s="110">
        <f>COUNTIF(Paste_Report_Here!$E:$E,Index_CALCULATION!BN15)</f>
        <v>41</v>
      </c>
      <c r="BO13" s="110">
        <f>COUNTIF(Paste_Report_Here!$E:$E,Index_CALCULATION!BO15)</f>
        <v>41</v>
      </c>
      <c r="BP13" s="110">
        <f>COUNTIF(Paste_Report_Here!$E:$E,Index_CALCULATION!BP15)</f>
        <v>37</v>
      </c>
      <c r="BQ13" s="110">
        <f>COUNTIF(Paste_Report_Here!$E:$E,Index_CALCULATION!BQ15)</f>
        <v>34</v>
      </c>
      <c r="BR13" s="110">
        <f>COUNTIF(Paste_Report_Here!$E:$E,Index_CALCULATION!BR15)</f>
        <v>36</v>
      </c>
      <c r="BS13" s="110">
        <f>COUNTIF(Paste_Report_Here!$E:$E,Index_CALCULATION!BS15)</f>
        <v>38</v>
      </c>
      <c r="BT13" s="110">
        <f>COUNTIF(Paste_Report_Here!$E:$E,Index_CALCULATION!BT15)</f>
        <v>27</v>
      </c>
      <c r="BU13" s="110">
        <f>COUNTIF(Paste_Report_Here!$E:$E,Index_CALCULATION!BU15)</f>
        <v>30</v>
      </c>
      <c r="BV13" s="110">
        <f>COUNTIF(Paste_Report_Here!$E:$E,Index_CALCULATION!BV15)</f>
        <v>34</v>
      </c>
      <c r="BW13" s="110">
        <f>COUNTIF(Paste_Report_Here!$E:$E,Index_CALCULATION!BW15)</f>
        <v>37</v>
      </c>
      <c r="BX13" s="110">
        <f>COUNTIF(Paste_Report_Here!$E:$E,Index_CALCULATION!BX15)</f>
        <v>33</v>
      </c>
      <c r="BY13" s="110">
        <f>COUNTIF(Paste_Report_Here!$E:$E,Index_CALCULATION!BY15)</f>
        <v>35</v>
      </c>
      <c r="BZ13" s="110">
        <f>COUNTIF(Paste_Report_Here!$E:$E,Index_CALCULATION!BZ15)</f>
        <v>31</v>
      </c>
      <c r="CA13" s="110">
        <f>COUNTIF(Paste_Report_Here!$E:$E,Index_CALCULATION!CA15)</f>
        <v>29</v>
      </c>
      <c r="CB13" s="110">
        <f>COUNTIF(Paste_Report_Here!$E:$E,Index_CALCULATION!CB15)</f>
        <v>29</v>
      </c>
      <c r="CC13" s="110">
        <f>COUNTIF(Paste_Report_Here!$E:$E,Index_CALCULATION!CC15)</f>
        <v>33</v>
      </c>
      <c r="CD13" s="110">
        <f>COUNTIF(Paste_Report_Here!$E:$E,Index_CALCULATION!CD15)</f>
        <v>33</v>
      </c>
      <c r="CE13" s="110">
        <f>COUNTIF(Paste_Report_Here!$E:$E,Index_CALCULATION!CE15)</f>
        <v>32</v>
      </c>
      <c r="CF13" s="110">
        <f>COUNTIF(Paste_Report_Here!$E:$E,Index_CALCULATION!CF15)</f>
        <v>34</v>
      </c>
      <c r="CG13" s="110">
        <f>COUNTIF(Paste_Report_Here!$E:$E,Index_CALCULATION!CG15)</f>
        <v>30</v>
      </c>
      <c r="CH13" s="110">
        <f>COUNTIF(Paste_Report_Here!$E:$E,Index_CALCULATION!CH15)</f>
        <v>31</v>
      </c>
      <c r="CI13" s="110">
        <f>COUNTIF(Paste_Report_Here!$E:$E,Index_CALCULATION!CI15)</f>
        <v>31</v>
      </c>
      <c r="CJ13" s="110">
        <f>COUNTIF(Paste_Report_Here!$E:$E,Index_CALCULATION!CJ15)</f>
        <v>30</v>
      </c>
      <c r="CK13" s="110">
        <f>COUNTIF(Paste_Report_Here!$E:$E,Index_CALCULATION!CK15)</f>
        <v>31</v>
      </c>
      <c r="CL13" s="110">
        <f>COUNTIF(Paste_Report_Here!$E:$E,Index_CALCULATION!CL15)</f>
        <v>31</v>
      </c>
      <c r="CM13" s="110">
        <f>COUNTIF(Paste_Report_Here!$E:$E,Index_CALCULATION!CM15)</f>
        <v>30</v>
      </c>
      <c r="CN13" s="110">
        <f>COUNTIF(Paste_Report_Here!$E:$E,Index_CALCULATION!CN15)</f>
        <v>26</v>
      </c>
      <c r="CO13" s="110">
        <f>COUNTIF(Paste_Report_Here!$E:$E,Index_CALCULATION!CO15)</f>
        <v>34</v>
      </c>
      <c r="CP13" s="110">
        <f>COUNTIF(Paste_Report_Here!$E:$E,Index_CALCULATION!CP15)</f>
        <v>18</v>
      </c>
      <c r="CQ13" s="110">
        <f>COUNTIF(Paste_Report_Here!$E:$E,Index_CALCULATION!CQ15)</f>
        <v>28</v>
      </c>
      <c r="CR13" s="110">
        <f>COUNTIF(Paste_Report_Here!$E:$E,Index_CALCULATION!CR15)</f>
        <v>29</v>
      </c>
      <c r="CS13" s="110">
        <f>COUNTIF(Paste_Report_Here!$E:$E,Index_CALCULATION!CS15)</f>
        <v>26</v>
      </c>
      <c r="CT13" s="110">
        <f>COUNTIF(Paste_Report_Here!$E:$E,Index_CALCULATION!CT15)</f>
        <v>28</v>
      </c>
      <c r="CU13" s="110">
        <f>COUNTIF(Paste_Report_Here!$E:$E,Index_CALCULATION!CU15)</f>
        <v>25</v>
      </c>
      <c r="CV13" s="110">
        <f>COUNTIF(Paste_Report_Here!$E:$E,Index_CALCULATION!CV15)</f>
        <v>27</v>
      </c>
      <c r="CW13" s="110">
        <f>COUNTIF(Paste_Report_Here!$E:$E,Index_CALCULATION!CW15)</f>
        <v>22</v>
      </c>
      <c r="CX13" s="110">
        <f>COUNTIF(Paste_Report_Here!$E:$E,Index_CALCULATION!CX15)</f>
        <v>29</v>
      </c>
      <c r="CY13" s="110">
        <f>COUNTIF(Paste_Report_Here!$E:$E,Index_CALCULATION!CY15)</f>
        <v>24</v>
      </c>
      <c r="CZ13" s="110">
        <f>COUNTIF(Paste_Report_Here!$E:$E,Index_CALCULATION!CZ15)</f>
        <v>25</v>
      </c>
      <c r="DA13" s="110">
        <f>COUNTIF(Paste_Report_Here!$E:$E,Index_CALCULATION!DA15)</f>
        <v>26</v>
      </c>
      <c r="DB13" s="110">
        <f>COUNTIF(Paste_Report_Here!$E:$E,Index_CALCULATION!DB15)</f>
        <v>23</v>
      </c>
      <c r="DC13" s="110">
        <f>COUNTIF(Paste_Report_Here!$E:$E,Index_CALCULATION!DC15)</f>
        <v>18</v>
      </c>
      <c r="DD13" s="110">
        <f>COUNTIF(Paste_Report_Here!$E:$E,Index_CALCULATION!DD15)</f>
        <v>24</v>
      </c>
      <c r="DE13" s="110">
        <f>COUNTIF(Paste_Report_Here!$E:$E,Index_CALCULATION!DE15)</f>
        <v>23</v>
      </c>
      <c r="DF13" s="110">
        <f>COUNTIF(Paste_Report_Here!$E:$E,Index_CALCULATION!DF15)</f>
        <v>25</v>
      </c>
      <c r="DG13" s="110">
        <f>COUNTIF(Paste_Report_Here!$E:$E,Index_CALCULATION!DG15)</f>
        <v>21</v>
      </c>
      <c r="DH13" s="110">
        <f>COUNTIF(Paste_Report_Here!$E:$E,Index_CALCULATION!DH15)</f>
        <v>28</v>
      </c>
      <c r="DI13" s="110">
        <f>COUNTIF(Paste_Report_Here!$E:$E,Index_CALCULATION!DI15)</f>
        <v>36</v>
      </c>
      <c r="DJ13" s="110">
        <f>COUNTIF(Paste_Report_Here!$E:$E,Index_CALCULATION!DJ15)</f>
        <v>26</v>
      </c>
      <c r="DK13" s="110">
        <f>COUNTIF(Paste_Report_Here!$E:$E,Index_CALCULATION!DK15)</f>
        <v>33</v>
      </c>
      <c r="DL13" s="110">
        <f>COUNTIF(Paste_Report_Here!$E:$E,Index_CALCULATION!DL15)</f>
        <v>28</v>
      </c>
      <c r="DM13" s="110">
        <f>COUNTIF(Paste_Report_Here!$E:$E,Index_CALCULATION!DM15)</f>
        <v>30</v>
      </c>
      <c r="DN13" s="110"/>
      <c r="DO13" s="28"/>
      <c r="DP13" s="26"/>
      <c r="DQ13" s="27"/>
      <c r="DR13" t="s">
        <v>64</v>
      </c>
    </row>
    <row r="14" spans="1:124" ht="29.25" customHeight="1" x14ac:dyDescent="0.3">
      <c r="B14" s="8" t="s">
        <v>30</v>
      </c>
      <c r="C14" s="165"/>
      <c r="D14" s="165"/>
      <c r="E14" s="165"/>
      <c r="F14" s="165"/>
      <c r="G14" s="1"/>
      <c r="H14" s="165"/>
      <c r="I14" s="165"/>
      <c r="J14" s="25"/>
      <c r="K14" s="165"/>
      <c r="L14" s="165"/>
      <c r="M14" s="165"/>
      <c r="N14" s="165"/>
      <c r="O14" s="165"/>
      <c r="P14" s="102" t="s">
        <v>202</v>
      </c>
      <c r="Q14" s="2" t="s">
        <v>35</v>
      </c>
      <c r="R14" s="2" t="s">
        <v>35</v>
      </c>
      <c r="S14" s="2" t="s">
        <v>35</v>
      </c>
      <c r="T14" s="2" t="s">
        <v>35</v>
      </c>
      <c r="U14" s="2" t="s">
        <v>35</v>
      </c>
      <c r="V14" s="2" t="s">
        <v>35</v>
      </c>
      <c r="W14" s="2" t="s">
        <v>35</v>
      </c>
      <c r="X14" s="2" t="s">
        <v>35</v>
      </c>
      <c r="Y14" s="2" t="s">
        <v>35</v>
      </c>
      <c r="Z14" s="2" t="s">
        <v>35</v>
      </c>
      <c r="AA14" s="2" t="s">
        <v>35</v>
      </c>
      <c r="AB14" s="2" t="s">
        <v>35</v>
      </c>
      <c r="AC14" s="2" t="s">
        <v>35</v>
      </c>
      <c r="AD14" s="2" t="s">
        <v>35</v>
      </c>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c r="BF14" s="2"/>
      <c r="BG14" s="2"/>
      <c r="BH14" s="2"/>
      <c r="BI14" s="166">
        <f>MATCH(BI15,Calcs!$E:$E,0)</f>
        <v>2</v>
      </c>
      <c r="BJ14" s="166">
        <f>MATCH(BJ15,Calcs!$E:$E,0)</f>
        <v>36</v>
      </c>
      <c r="BK14" s="2">
        <f>MATCH(BK15,Calcs!$E:$E,0)</f>
        <v>70</v>
      </c>
      <c r="BL14" s="166">
        <f>MATCH(BL15,Calcs!$E:$E,0)</f>
        <v>104</v>
      </c>
      <c r="BM14" s="166">
        <f>MATCH(BM15,Calcs!$E:$E,0)</f>
        <v>138</v>
      </c>
      <c r="BN14" s="166">
        <f>MATCH(BN15,Calcs!$E:$E,0)</f>
        <v>172</v>
      </c>
      <c r="BO14" s="166">
        <f>MATCH(BO15,Calcs!$E:$E,0)</f>
        <v>206</v>
      </c>
      <c r="BP14" s="166">
        <f>MATCH(BP15,Calcs!$E:$E,0)</f>
        <v>240</v>
      </c>
      <c r="BQ14" s="166">
        <f>MATCH(BQ15,Calcs!$E:$E,0)</f>
        <v>274</v>
      </c>
      <c r="BR14" s="166">
        <f>MATCH(BR15,Calcs!$E:$E,0)</f>
        <v>308</v>
      </c>
      <c r="BS14" s="166">
        <f>MATCH(BS15,Calcs!$E:$E,0)</f>
        <v>342</v>
      </c>
      <c r="BT14" s="166">
        <f>MATCH(BT15,Calcs!$E:$E,0)</f>
        <v>376</v>
      </c>
      <c r="BU14" s="166">
        <f>MATCH(BU15,Calcs!$E:$E,0)</f>
        <v>410</v>
      </c>
      <c r="BV14" s="166">
        <f>MATCH(BV15,Calcs!$E:$E,0)</f>
        <v>444</v>
      </c>
      <c r="BW14" s="166">
        <f>MATCH(BW15,Calcs!$E:$E,0)</f>
        <v>478</v>
      </c>
      <c r="BX14" s="166">
        <f>MATCH(BX15,Calcs!$E:$E,0)</f>
        <v>512</v>
      </c>
      <c r="BY14" s="166">
        <f>MATCH(BY15,Calcs!$E:$E,0)</f>
        <v>546</v>
      </c>
      <c r="BZ14" s="166">
        <f>MATCH(BZ15,Calcs!$E:$E,0)</f>
        <v>580</v>
      </c>
      <c r="CA14" s="166">
        <f>MATCH(CA15,Calcs!$E:$E,0)</f>
        <v>614</v>
      </c>
      <c r="CB14" s="166">
        <f>MATCH(CB15,Calcs!$E:$E,0)</f>
        <v>648</v>
      </c>
      <c r="CC14" s="166">
        <f>MATCH(CC15,Calcs!$E:$E,0)</f>
        <v>682</v>
      </c>
      <c r="CD14" s="166">
        <f>MATCH(CD15,Calcs!$E:$E,0)</f>
        <v>716</v>
      </c>
      <c r="CE14" s="166">
        <f>MATCH(CE15,Calcs!$E:$E,0)</f>
        <v>750</v>
      </c>
      <c r="CF14" s="166">
        <f>MATCH(CF15,Calcs!$E:$E,0)</f>
        <v>784</v>
      </c>
      <c r="CG14" s="166">
        <f>MATCH(CG15,Calcs!$E:$E,0)</f>
        <v>818</v>
      </c>
      <c r="CH14" s="166">
        <f>MATCH(CH15,Calcs!$E:$E,0)</f>
        <v>852</v>
      </c>
      <c r="CI14" s="166">
        <f>MATCH(CI15,Calcs!$E:$E,0)</f>
        <v>886</v>
      </c>
      <c r="CJ14" s="166">
        <f>MATCH(CJ15,Calcs!$E:$E,0)</f>
        <v>920</v>
      </c>
      <c r="CK14" s="166">
        <f>MATCH(CK15,Calcs!$E:$E,0)</f>
        <v>954</v>
      </c>
      <c r="CL14" s="166">
        <f>MATCH(CL15,Calcs!$E:$E,0)</f>
        <v>988</v>
      </c>
      <c r="CM14" s="166">
        <f>MATCH(CM15,Calcs!$E:$E,0)</f>
        <v>1022</v>
      </c>
      <c r="CN14" s="166">
        <f>MATCH(CN15,Calcs!$E:$E,0)</f>
        <v>1056</v>
      </c>
      <c r="CO14" s="166">
        <f>MATCH(CO15,Calcs!$E:$E,0)</f>
        <v>1090</v>
      </c>
      <c r="CP14" s="166">
        <f>MATCH(CP15,Calcs!$E:$E,0)</f>
        <v>1124</v>
      </c>
      <c r="CQ14" s="166">
        <f>MATCH(CQ15,Calcs!$E:$E,0)</f>
        <v>1158</v>
      </c>
      <c r="CR14" s="166">
        <f>MATCH(CR15,Calcs!$E:$E,0)</f>
        <v>1192</v>
      </c>
      <c r="CS14" s="166">
        <f>MATCH(CS15,Calcs!$E:$E,0)</f>
        <v>1226</v>
      </c>
      <c r="CT14" s="166">
        <f>MATCH(CT15,Calcs!$E:$E,0)</f>
        <v>1260</v>
      </c>
      <c r="CU14" s="166">
        <f>MATCH(CU15,Calcs!$E:$E,0)</f>
        <v>1294</v>
      </c>
      <c r="CV14" s="166">
        <f>MATCH(CV15,Calcs!$E:$E,0)</f>
        <v>1328</v>
      </c>
      <c r="CW14" s="166">
        <f>MATCH(CW15,Calcs!$E:$E,0)</f>
        <v>1362</v>
      </c>
      <c r="CX14" s="166">
        <f>MATCH(CX15,Calcs!$E:$E,0)</f>
        <v>1396</v>
      </c>
      <c r="CY14" s="166">
        <f>MATCH(CY15,Calcs!$E:$E,0)</f>
        <v>1430</v>
      </c>
      <c r="CZ14" s="166">
        <f>MATCH(CZ15,Calcs!$E:$E,0)</f>
        <v>1464</v>
      </c>
      <c r="DA14" s="166">
        <f>MATCH(DA15,Calcs!$E:$E,0)</f>
        <v>1498</v>
      </c>
      <c r="DB14" s="166">
        <f>MATCH(DB15,Calcs!$E:$E,0)</f>
        <v>1532</v>
      </c>
      <c r="DC14" s="166">
        <f>MATCH(DC15,Calcs!$E:$E,0)</f>
        <v>1566</v>
      </c>
      <c r="DD14" s="166">
        <f>MATCH(DD15,Calcs!$E:$E,0)</f>
        <v>1600</v>
      </c>
      <c r="DE14" s="166">
        <f>MATCH(DE15,Calcs!$E:$E,0)</f>
        <v>1634</v>
      </c>
      <c r="DF14" s="166">
        <f>MATCH(DF15,Calcs!$E:$E,0)</f>
        <v>1668</v>
      </c>
      <c r="DG14" s="166">
        <f>MATCH(DG15,Calcs!$E:$E,0)</f>
        <v>1702</v>
      </c>
      <c r="DH14" s="166">
        <f>MATCH(DH15,Calcs!$E:$E,0)</f>
        <v>1736</v>
      </c>
      <c r="DI14" s="166">
        <f>MATCH(DI15,Calcs!$E:$E,0)</f>
        <v>1770</v>
      </c>
      <c r="DJ14" s="166">
        <f>MATCH(DJ15,Calcs!$E:$E,0)</f>
        <v>1804</v>
      </c>
      <c r="DK14" s="166">
        <f>MATCH(DK15,Calcs!$E:$E,0)</f>
        <v>1838</v>
      </c>
      <c r="DL14" s="166">
        <f>MATCH(DL15,Calcs!$E:$E,0)</f>
        <v>1872</v>
      </c>
      <c r="DM14" s="166">
        <f>MATCH(DM15,Calcs!$E:$E,0)</f>
        <v>1906</v>
      </c>
      <c r="DN14" s="166"/>
      <c r="DO14" s="2"/>
      <c r="DP14" s="26"/>
      <c r="DQ14" s="27"/>
    </row>
    <row r="15" spans="1:124" x14ac:dyDescent="0.3">
      <c r="A15" s="81" t="s">
        <v>181</v>
      </c>
      <c r="B15" s="82" t="s">
        <v>182</v>
      </c>
      <c r="C15" s="165"/>
      <c r="D15" s="165"/>
      <c r="E15" s="165"/>
      <c r="F15" s="165"/>
      <c r="G15" s="1"/>
      <c r="H15" s="165"/>
      <c r="I15" s="165"/>
      <c r="J15" s="25"/>
      <c r="K15" s="165"/>
      <c r="L15" s="165"/>
      <c r="M15" s="165"/>
      <c r="N15" s="165"/>
      <c r="O15" s="165"/>
      <c r="P15" s="2"/>
      <c r="Q15" s="106">
        <v>39172</v>
      </c>
      <c r="R15" s="106">
        <v>39202</v>
      </c>
      <c r="S15" s="107" t="s">
        <v>70</v>
      </c>
      <c r="T15" s="107" t="s">
        <v>75</v>
      </c>
      <c r="U15" s="107" t="s">
        <v>77</v>
      </c>
      <c r="V15" s="107" t="s">
        <v>84</v>
      </c>
      <c r="W15" s="107" t="s">
        <v>86</v>
      </c>
      <c r="X15" s="107" t="s">
        <v>88</v>
      </c>
      <c r="Y15" s="107" t="s">
        <v>92</v>
      </c>
      <c r="Z15" s="107">
        <v>39458</v>
      </c>
      <c r="AA15" s="107" t="s">
        <v>96</v>
      </c>
      <c r="AB15" s="107" t="s">
        <v>98</v>
      </c>
      <c r="AC15" s="107" t="s">
        <v>115</v>
      </c>
      <c r="AD15" s="20" t="s">
        <v>119</v>
      </c>
      <c r="AE15" s="20" t="s">
        <v>187</v>
      </c>
      <c r="AF15" s="20" t="s">
        <v>189</v>
      </c>
      <c r="AG15" s="20" t="s">
        <v>191</v>
      </c>
      <c r="AH15" s="20" t="s">
        <v>192</v>
      </c>
      <c r="AI15" s="108" t="s">
        <v>193</v>
      </c>
      <c r="AJ15" s="108" t="s">
        <v>194</v>
      </c>
      <c r="AK15" s="108" t="s">
        <v>195</v>
      </c>
      <c r="AL15" s="108" t="s">
        <v>196</v>
      </c>
      <c r="AM15" s="109" t="s">
        <v>197</v>
      </c>
      <c r="AN15" s="109" t="s">
        <v>198</v>
      </c>
      <c r="AO15" s="109" t="s">
        <v>200</v>
      </c>
      <c r="AP15" s="109" t="s">
        <v>205</v>
      </c>
      <c r="AQ15" s="109" t="s">
        <v>208</v>
      </c>
      <c r="AR15" s="109" t="s">
        <v>213</v>
      </c>
      <c r="AS15" s="109" t="s">
        <v>215</v>
      </c>
      <c r="AT15" s="109" t="s">
        <v>216</v>
      </c>
      <c r="AU15" s="109" t="s">
        <v>217</v>
      </c>
      <c r="AV15" s="109" t="s">
        <v>218</v>
      </c>
      <c r="AW15" s="109" t="s">
        <v>226</v>
      </c>
      <c r="AX15" s="109" t="s">
        <v>227</v>
      </c>
      <c r="AY15" s="109" t="s">
        <v>228</v>
      </c>
      <c r="AZ15" s="109" t="s">
        <v>229</v>
      </c>
      <c r="BA15" s="109" t="s">
        <v>230</v>
      </c>
      <c r="BB15" s="109" t="s">
        <v>231</v>
      </c>
      <c r="BC15" s="109" t="s">
        <v>232</v>
      </c>
      <c r="BD15" s="109" t="s">
        <v>233</v>
      </c>
      <c r="BE15" s="109" t="s">
        <v>234</v>
      </c>
      <c r="BF15" s="109" t="s">
        <v>235</v>
      </c>
      <c r="BG15" s="109" t="s">
        <v>236</v>
      </c>
      <c r="BH15" s="109" t="s">
        <v>237</v>
      </c>
      <c r="BI15" s="155">
        <v>40542</v>
      </c>
      <c r="BJ15" s="155">
        <v>40573</v>
      </c>
      <c r="BK15" s="155">
        <v>40601</v>
      </c>
      <c r="BL15" s="155">
        <f t="shared" ref="BL15:DM15" si="0">EOMONTH(BK15,1)</f>
        <v>40632</v>
      </c>
      <c r="BM15" s="155">
        <f t="shared" si="0"/>
        <v>40662</v>
      </c>
      <c r="BN15" s="155">
        <f t="shared" si="0"/>
        <v>40693</v>
      </c>
      <c r="BO15" s="155">
        <f t="shared" si="0"/>
        <v>40723</v>
      </c>
      <c r="BP15" s="155">
        <f t="shared" si="0"/>
        <v>40754</v>
      </c>
      <c r="BQ15" s="155">
        <f t="shared" si="0"/>
        <v>40785</v>
      </c>
      <c r="BR15" s="155">
        <f t="shared" si="0"/>
        <v>40815</v>
      </c>
      <c r="BS15" s="155">
        <f t="shared" si="0"/>
        <v>40846</v>
      </c>
      <c r="BT15" s="155">
        <f t="shared" si="0"/>
        <v>40876</v>
      </c>
      <c r="BU15" s="155">
        <f t="shared" si="0"/>
        <v>40907</v>
      </c>
      <c r="BV15" s="155">
        <f t="shared" si="0"/>
        <v>40938</v>
      </c>
      <c r="BW15" s="155">
        <f t="shared" si="0"/>
        <v>40967</v>
      </c>
      <c r="BX15" s="155">
        <f t="shared" si="0"/>
        <v>40998</v>
      </c>
      <c r="BY15" s="155">
        <f t="shared" si="0"/>
        <v>41028</v>
      </c>
      <c r="BZ15" s="155">
        <f t="shared" si="0"/>
        <v>41059</v>
      </c>
      <c r="CA15" s="155">
        <f t="shared" si="0"/>
        <v>41089</v>
      </c>
      <c r="CB15" s="155">
        <f t="shared" si="0"/>
        <v>41120</v>
      </c>
      <c r="CC15" s="155">
        <f t="shared" si="0"/>
        <v>41151</v>
      </c>
      <c r="CD15" s="155">
        <f t="shared" si="0"/>
        <v>41181</v>
      </c>
      <c r="CE15" s="155">
        <f t="shared" si="0"/>
        <v>41212</v>
      </c>
      <c r="CF15" s="155">
        <f t="shared" si="0"/>
        <v>41242</v>
      </c>
      <c r="CG15" s="155">
        <f t="shared" si="0"/>
        <v>41273</v>
      </c>
      <c r="CH15" s="155">
        <f t="shared" si="0"/>
        <v>41304</v>
      </c>
      <c r="CI15" s="155">
        <f t="shared" si="0"/>
        <v>41332</v>
      </c>
      <c r="CJ15" s="155">
        <f t="shared" si="0"/>
        <v>41363</v>
      </c>
      <c r="CK15" s="155">
        <f t="shared" si="0"/>
        <v>41393</v>
      </c>
      <c r="CL15" s="155">
        <f t="shared" si="0"/>
        <v>41424</v>
      </c>
      <c r="CM15" s="155">
        <f t="shared" si="0"/>
        <v>41454</v>
      </c>
      <c r="CN15" s="155">
        <f t="shared" si="0"/>
        <v>41485</v>
      </c>
      <c r="CO15" s="155">
        <f t="shared" si="0"/>
        <v>41516</v>
      </c>
      <c r="CP15" s="155">
        <f t="shared" si="0"/>
        <v>41546</v>
      </c>
      <c r="CQ15" s="155">
        <f t="shared" si="0"/>
        <v>41577</v>
      </c>
      <c r="CR15" s="155">
        <f t="shared" si="0"/>
        <v>41607</v>
      </c>
      <c r="CS15" s="155">
        <f t="shared" si="0"/>
        <v>41638</v>
      </c>
      <c r="CT15" s="155">
        <f t="shared" si="0"/>
        <v>41669</v>
      </c>
      <c r="CU15" s="155">
        <f t="shared" si="0"/>
        <v>41697</v>
      </c>
      <c r="CV15" s="155">
        <f t="shared" si="0"/>
        <v>41728</v>
      </c>
      <c r="CW15" s="155">
        <f t="shared" si="0"/>
        <v>41758</v>
      </c>
      <c r="CX15" s="155">
        <f t="shared" si="0"/>
        <v>41789</v>
      </c>
      <c r="CY15" s="155">
        <f t="shared" si="0"/>
        <v>41819</v>
      </c>
      <c r="CZ15" s="155">
        <f t="shared" si="0"/>
        <v>41850</v>
      </c>
      <c r="DA15" s="155">
        <f t="shared" si="0"/>
        <v>41881</v>
      </c>
      <c r="DB15" s="155">
        <f t="shared" si="0"/>
        <v>41911</v>
      </c>
      <c r="DC15" s="155">
        <f t="shared" si="0"/>
        <v>41942</v>
      </c>
      <c r="DD15" s="155">
        <f t="shared" si="0"/>
        <v>41972</v>
      </c>
      <c r="DE15" s="155">
        <f t="shared" si="0"/>
        <v>42003</v>
      </c>
      <c r="DF15" s="155">
        <f t="shared" si="0"/>
        <v>42034</v>
      </c>
      <c r="DG15" s="155">
        <f t="shared" si="0"/>
        <v>42062</v>
      </c>
      <c r="DH15" s="155">
        <f t="shared" si="0"/>
        <v>42093</v>
      </c>
      <c r="DI15" s="155">
        <f t="shared" si="0"/>
        <v>42123</v>
      </c>
      <c r="DJ15" s="155">
        <f t="shared" si="0"/>
        <v>42154</v>
      </c>
      <c r="DK15" s="155">
        <f t="shared" si="0"/>
        <v>42184</v>
      </c>
      <c r="DL15" s="155">
        <f t="shared" si="0"/>
        <v>42215</v>
      </c>
      <c r="DM15" s="155">
        <f t="shared" si="0"/>
        <v>42246</v>
      </c>
      <c r="DN15" s="109"/>
      <c r="DP15" s="17" t="s">
        <v>183</v>
      </c>
      <c r="DQ15" s="17"/>
    </row>
    <row r="16" spans="1:124" x14ac:dyDescent="0.3">
      <c r="A16" s="74" t="s">
        <v>41</v>
      </c>
      <c r="B16" s="77" t="s">
        <v>152</v>
      </c>
      <c r="C16" s="165"/>
      <c r="D16" s="165"/>
      <c r="E16" s="165"/>
      <c r="F16" s="165"/>
      <c r="G16" s="1"/>
      <c r="H16" s="165"/>
      <c r="I16" s="165"/>
      <c r="J16" s="25"/>
      <c r="K16" s="165"/>
      <c r="L16" s="165"/>
      <c r="M16" s="165"/>
      <c r="N16" s="165"/>
      <c r="O16" s="165"/>
      <c r="P16">
        <f t="shared" ref="P16:P40" ca="1" si="1">RANK(curr_mnth,curr_mnth,0)</f>
        <v>13</v>
      </c>
      <c r="Q16" s="78">
        <v>1012.4001963784259</v>
      </c>
      <c r="R16" s="78">
        <v>1038.7709436846849</v>
      </c>
      <c r="S16" s="78">
        <v>1052.6342218415105</v>
      </c>
      <c r="T16" s="78">
        <v>1085.243384892394</v>
      </c>
      <c r="U16" s="78">
        <v>1114.0853873638068</v>
      </c>
      <c r="V16" s="78">
        <v>1136.5914050927829</v>
      </c>
      <c r="W16" s="78">
        <v>1153.2522871934073</v>
      </c>
      <c r="X16" s="78">
        <v>1171.4133681390579</v>
      </c>
      <c r="Y16" s="78">
        <v>1191.2914250136018</v>
      </c>
      <c r="Z16" s="78">
        <v>1224.4563703399263</v>
      </c>
      <c r="AA16" s="78">
        <v>1246.8251177222246</v>
      </c>
      <c r="AB16" s="78">
        <v>1267.3955551287481</v>
      </c>
      <c r="AC16" s="78">
        <v>1294.0765916386404</v>
      </c>
      <c r="AD16">
        <v>1297.4276728715008</v>
      </c>
      <c r="AE16">
        <v>1320.6519636716441</v>
      </c>
      <c r="AF16">
        <v>1344.5374557526609</v>
      </c>
      <c r="AG16">
        <v>1363.4147010543693</v>
      </c>
      <c r="AH16">
        <v>1394.1361431374614</v>
      </c>
      <c r="AI16">
        <v>1436.8932312205573</v>
      </c>
      <c r="AJ16">
        <v>1473.2683565496418</v>
      </c>
      <c r="AK16">
        <v>1500.9937253901428</v>
      </c>
      <c r="AL16">
        <v>1533.8010393480292</v>
      </c>
      <c r="AM16">
        <v>1567.8915462419136</v>
      </c>
      <c r="AN16">
        <v>1573.2457523608466</v>
      </c>
      <c r="AO16">
        <v>1587.1068591448627</v>
      </c>
      <c r="AP16">
        <v>1605.8407756998938</v>
      </c>
      <c r="AQ16">
        <v>1624.7958239496616</v>
      </c>
      <c r="AR16">
        <v>1645.8209277225351</v>
      </c>
      <c r="AS16">
        <v>1666.129805021068</v>
      </c>
      <c r="AT16" s="132">
        <v>1687.6279577561918</v>
      </c>
      <c r="AU16" s="132">
        <v>1721.5446271874346</v>
      </c>
      <c r="AV16" s="132">
        <v>1754.3717502809986</v>
      </c>
      <c r="AW16" s="132">
        <v>1780.4291050863878</v>
      </c>
      <c r="AX16">
        <v>1824.5503483136558</v>
      </c>
      <c r="AY16" s="132">
        <v>1852.3402715039199</v>
      </c>
      <c r="AZ16" s="132">
        <v>1865.9436887137954</v>
      </c>
      <c r="BA16" s="132">
        <v>1885.5735415801728</v>
      </c>
      <c r="BB16" s="132">
        <v>1895.2403742772603</v>
      </c>
      <c r="BC16" s="132">
        <v>1922.0072205257909</v>
      </c>
      <c r="BD16" s="132">
        <v>1926.1302233522663</v>
      </c>
      <c r="BE16" s="132">
        <v>1934.1725090762443</v>
      </c>
      <c r="BF16" s="132">
        <v>1963.1700585507006</v>
      </c>
      <c r="BG16" s="132">
        <v>2001.0623020367548</v>
      </c>
      <c r="BH16" s="132">
        <v>2020.9073861566831</v>
      </c>
      <c r="BI16" s="165">
        <f ca="1">OFFSET(Calcs!$A$1,Index_CALCULATION!BI$14+5,15)</f>
        <v>2031.5717803983346</v>
      </c>
      <c r="BJ16" s="165">
        <f ca="1">OFFSET(Calcs!$A$1,Index_CALCULATION!BJ$14+5,15)</f>
        <v>2022.3583187636318</v>
      </c>
      <c r="BK16" s="132">
        <f ca="1">OFFSET(Calcs!$A$1,Index_CALCULATION!BK$14+5,15)</f>
        <v>2022.3583187636318</v>
      </c>
      <c r="BL16" s="165">
        <f ca="1">OFFSET(Calcs!$A$1,Index_CALCULATION!BL$14+5,15)</f>
        <v>2022.3583187636318</v>
      </c>
      <c r="BM16" s="165">
        <f ca="1">OFFSET(Calcs!$A$1,Index_CALCULATION!BM$14+5,15)</f>
        <v>2022.3583187636318</v>
      </c>
      <c r="BN16" s="165">
        <f ca="1">OFFSET(Calcs!$A$1,Index_CALCULATION!BN$14+5,15)</f>
        <v>2022.3583187636318</v>
      </c>
      <c r="BO16" s="165">
        <f ca="1">OFFSET(Calcs!$A$1,Index_CALCULATION!BO$14+5,15)</f>
        <v>2022.3583187636318</v>
      </c>
      <c r="BP16" s="165">
        <f ca="1">OFFSET(Calcs!$A$1,Index_CALCULATION!BP$14+5,15)</f>
        <v>2022.3583187636318</v>
      </c>
      <c r="BQ16" s="165">
        <f ca="1">OFFSET(Calcs!$A$1,Index_CALCULATION!BQ$14+5,15)</f>
        <v>2034.2896017730648</v>
      </c>
      <c r="BR16" s="165">
        <f ca="1">OFFSET(Calcs!$A$1,Index_CALCULATION!BR$14+5,15)</f>
        <v>2034.2896017730648</v>
      </c>
      <c r="BS16" s="165">
        <f ca="1">OFFSET(Calcs!$A$1,Index_CALCULATION!BS$14+5,15)</f>
        <v>2034.2896017730648</v>
      </c>
      <c r="BT16" s="165">
        <f ca="1">OFFSET(Calcs!$A$1,Index_CALCULATION!BT$14+5,15)</f>
        <v>2049.4143621114276</v>
      </c>
      <c r="BU16" s="165">
        <f ca="1">OFFSET(Calcs!$A$1,Index_CALCULATION!BU$14+5,15)</f>
        <v>2063.122768441433</v>
      </c>
      <c r="BV16" s="165">
        <f ca="1">OFFSET(Calcs!$A$1,Index_CALCULATION!BV$14+5,15)</f>
        <v>2075.294548983532</v>
      </c>
      <c r="BW16" s="165">
        <f ca="1">OFFSET(Calcs!$A$1,Index_CALCULATION!BW$14+5,15)</f>
        <v>2075.294548983532</v>
      </c>
      <c r="BX16" s="165">
        <f ca="1">OFFSET(Calcs!$A$1,Index_CALCULATION!BX$14+5,15)</f>
        <v>2087.9102825847767</v>
      </c>
      <c r="BY16" s="165">
        <f ca="1">OFFSET(Calcs!$A$1,Index_CALCULATION!BY$14+5,15)</f>
        <v>2087.9102825847767</v>
      </c>
      <c r="BZ16" s="165">
        <f ca="1">OFFSET(Calcs!$A$1,Index_CALCULATION!BZ$14+5,15)</f>
        <v>2101.4242179701046</v>
      </c>
      <c r="CA16" s="165">
        <f ca="1">OFFSET(Calcs!$A$1,Index_CALCULATION!CA$14+5,15)</f>
        <v>2086.9814968872024</v>
      </c>
      <c r="CB16" s="165">
        <f ca="1">OFFSET(Calcs!$A$1,Index_CALCULATION!CB$14+5,15)</f>
        <v>2086.9814968872024</v>
      </c>
      <c r="CC16" s="165">
        <f ca="1">OFFSET(Calcs!$A$1,Index_CALCULATION!CC$14+5,15)</f>
        <v>2099.6682755463339</v>
      </c>
      <c r="CD16" s="165">
        <f ca="1">OFFSET(Calcs!$A$1,Index_CALCULATION!CD$14+5,15)</f>
        <v>2099.6682755463339</v>
      </c>
      <c r="CE16" s="165">
        <f ca="1">OFFSET(Calcs!$A$1,Index_CALCULATION!CE$14+5,15)</f>
        <v>2139.4084556449857</v>
      </c>
      <c r="CF16" s="165">
        <f ca="1">OFFSET(Calcs!$A$1,Index_CALCULATION!CF$14+5,15)</f>
        <v>2177.4978166331675</v>
      </c>
      <c r="CG16" s="165">
        <f ca="1">OFFSET(Calcs!$A$1,Index_CALCULATION!CG$14+5,15)</f>
        <v>2163.0294460108721</v>
      </c>
      <c r="CH16" s="165">
        <f ca="1">OFFSET(Calcs!$A$1,Index_CALCULATION!CH$14+5,15)</f>
        <v>2163.0294460108721</v>
      </c>
      <c r="CI16" s="165">
        <f ca="1">OFFSET(Calcs!$A$1,Index_CALCULATION!CI$14+5,15)</f>
        <v>2149.1193368953559</v>
      </c>
      <c r="CJ16" s="165">
        <f ca="1">OFFSET(Calcs!$A$1,Index_CALCULATION!CJ$14+5,15)</f>
        <v>2149.1193368953559</v>
      </c>
      <c r="CK16" s="165">
        <f ca="1">OFFSET(Calcs!$A$1,Index_CALCULATION!CK$14+5,15)</f>
        <v>2135.2986815484705</v>
      </c>
      <c r="CL16" s="165">
        <f ca="1">OFFSET(Calcs!$A$1,Index_CALCULATION!CL$14+5,15)</f>
        <v>2121.5669047068122</v>
      </c>
      <c r="CM16" s="165">
        <f ca="1">OFFSET(Calcs!$A$1,Index_CALCULATION!CM$14+5,15)</f>
        <v>2107.470166678962</v>
      </c>
      <c r="CN16" s="165">
        <f ca="1">OFFSET(Calcs!$A$1,Index_CALCULATION!CN$14+5,15)</f>
        <v>2091.321049325009</v>
      </c>
      <c r="CO16" s="165">
        <f ca="1">OFFSET(Calcs!$A$1,Index_CALCULATION!CO$14+5,15)</f>
        <v>2091.321049325009</v>
      </c>
      <c r="CP16" s="165">
        <f ca="1">OFFSET(Calcs!$A$1,Index_CALCULATION!CP$14+5,15)</f>
        <v>2068.2127658685417</v>
      </c>
      <c r="CQ16" s="165">
        <f ca="1">OFFSET(Calcs!$A$1,Index_CALCULATION!CQ$14+5,15)</f>
        <v>2068.2127658685417</v>
      </c>
      <c r="CR16" s="165">
        <f ca="1">OFFSET(Calcs!$A$1,Index_CALCULATION!CR$14+5,15)</f>
        <v>2082.5256000561421</v>
      </c>
      <c r="CS16" s="165">
        <f ca="1">OFFSET(Calcs!$A$1,Index_CALCULATION!CS$14+5,15)</f>
        <v>2066.5676278676601</v>
      </c>
      <c r="CT16" s="165">
        <f ca="1">OFFSET(Calcs!$A$1,Index_CALCULATION!CT$14+5,15)</f>
        <v>2051.8590237911217</v>
      </c>
      <c r="CU16" s="165">
        <f ca="1">OFFSET(Calcs!$A$1,Index_CALCULATION!CU$14+5,15)</f>
        <v>2051.8590237911217</v>
      </c>
      <c r="CV16" s="165">
        <f ca="1">OFFSET(Calcs!$A$1,Index_CALCULATION!CV$14+5,15)</f>
        <v>2051.8590237911217</v>
      </c>
      <c r="CW16" s="165">
        <f ca="1">OFFSET(Calcs!$A$1,Index_CALCULATION!CW$14+5,15)</f>
        <v>2051.8590237911217</v>
      </c>
      <c r="CX16" s="165">
        <f ca="1">OFFSET(Calcs!$A$1,Index_CALCULATION!CX$14+5,15)</f>
        <v>2066.058683743187</v>
      </c>
      <c r="CY16" s="165">
        <f ca="1">OFFSET(Calcs!$A$1,Index_CALCULATION!CY$14+5,15)</f>
        <v>2066.058683743187</v>
      </c>
      <c r="CZ16" s="165">
        <f ca="1">OFFSET(Calcs!$A$1,Index_CALCULATION!CZ$14+5,15)</f>
        <v>2082.653443747859</v>
      </c>
      <c r="DA16" s="165">
        <f ca="1">OFFSET(Calcs!$A$1,Index_CALCULATION!DA$14+5,15)</f>
        <v>2114.9420026365851</v>
      </c>
      <c r="DB16" s="165">
        <f ca="1">OFFSET(Calcs!$A$1,Index_CALCULATION!DB$14+5,15)</f>
        <v>2133.4129949324492</v>
      </c>
      <c r="DC16" s="247">
        <f ca="1">OFFSET(Calcs!$A$1,Index_CALCULATION!DC$14+5,15)</f>
        <v>2181.3528650026956</v>
      </c>
      <c r="DD16" s="247">
        <f ca="1">OFFSET(Calcs!$A$1,Index_CALCULATION!DD$14+5,15)</f>
        <v>2218.0134019409475</v>
      </c>
      <c r="DE16" s="247">
        <f ca="1">OFFSET(Calcs!$A$1,Index_CALCULATION!DE$14+5,15)</f>
        <v>2218.0134019409475</v>
      </c>
      <c r="DF16" s="247">
        <f ca="1">OFFSET(Calcs!$A$1,Index_CALCULATION!DF$14+5,15)</f>
        <v>2235.8286752349618</v>
      </c>
      <c r="DG16" s="247">
        <f ca="1">OFFSET(Calcs!$A$1,Index_CALCULATION!DG$14+5,15)</f>
        <v>2235.8286752349618</v>
      </c>
      <c r="DH16" s="247">
        <f ca="1">OFFSET(Calcs!$A$1,Index_CALCULATION!DH$14+5,15)</f>
        <v>2219.9153712987463</v>
      </c>
      <c r="DI16" s="247">
        <f ca="1">OFFSET(Calcs!$A$1,Index_CALCULATION!DI$14+5,15)</f>
        <v>2232.2825559547532</v>
      </c>
      <c r="DJ16" s="247">
        <f ca="1">OFFSET(Calcs!$A$1,Index_CALCULATION!DJ$14+5,15)</f>
        <v>2249.5201737633297</v>
      </c>
      <c r="DK16" s="247">
        <f ca="1">OFFSET(Calcs!$A$1,Index_CALCULATION!DK$14+5,15)</f>
        <v>2263.1950264519392</v>
      </c>
      <c r="DL16" s="247">
        <f ca="1">OFFSET(Calcs!$A$1,Index_CALCULATION!DL$14+5,15)</f>
        <v>2279.4185774883877</v>
      </c>
      <c r="DM16" s="247">
        <f ca="1">OFFSET(Calcs!$A$1,Index_CALCULATION!DM$14+5,15)</f>
        <v>2310.0143436936673</v>
      </c>
      <c r="DO16" t="str">
        <f>"Sub-index value: "&amp;TEXT(AD16,"0.0")&amp;" (Base = 1000, March 2011)"</f>
        <v>Sub-index value: 1297.4 (Base = 1000, March 2011)</v>
      </c>
      <c r="DP16" s="17">
        <f t="shared" ref="DP16:DP40" si="2">RANK(AX16,$AX$16:$AX$40,1)</f>
        <v>15</v>
      </c>
      <c r="DQ16" s="86" t="str">
        <f t="shared" ref="DQ16:DQ41" si="3">B16</f>
        <v>Attackers: Insider threat</v>
      </c>
      <c r="DT16">
        <f t="shared" ref="DT16:DT40" si="4">_xlfn.RANK.AVG(AO16,$AO$16:$AO$40)</f>
        <v>10</v>
      </c>
    </row>
    <row r="17" spans="1:124" x14ac:dyDescent="0.3">
      <c r="A17" s="74" t="s">
        <v>43</v>
      </c>
      <c r="B17" s="77" t="s">
        <v>153</v>
      </c>
      <c r="C17" s="165"/>
      <c r="D17" s="165"/>
      <c r="E17" s="165"/>
      <c r="F17" s="165"/>
      <c r="G17" s="1"/>
      <c r="H17" s="165"/>
      <c r="I17" s="165"/>
      <c r="J17" s="25"/>
      <c r="K17" s="165"/>
      <c r="L17" s="165"/>
      <c r="M17" s="165"/>
      <c r="N17" s="165"/>
      <c r="O17" s="165"/>
      <c r="P17" s="165">
        <f t="shared" ca="1" si="1"/>
        <v>17</v>
      </c>
      <c r="Q17" s="78">
        <v>1037.2984802053893</v>
      </c>
      <c r="R17" s="78">
        <v>1067.3630280002481</v>
      </c>
      <c r="S17" s="78">
        <v>1103.1234900394613</v>
      </c>
      <c r="T17" s="78">
        <v>1121.9798465675817</v>
      </c>
      <c r="U17" s="78">
        <v>1137.7234261032913</v>
      </c>
      <c r="V17" s="78">
        <v>1167.0553909364069</v>
      </c>
      <c r="W17" s="78">
        <v>1198.8340844588611</v>
      </c>
      <c r="X17" s="78">
        <v>1203.6605180156464</v>
      </c>
      <c r="Y17" s="78">
        <v>1237.6964628659964</v>
      </c>
      <c r="Z17" s="78">
        <v>1272.1533007644705</v>
      </c>
      <c r="AA17" s="78">
        <v>1298.7478815665488</v>
      </c>
      <c r="AB17" s="78">
        <v>1321.9764204830865</v>
      </c>
      <c r="AC17" s="78">
        <v>1358.0119712058395</v>
      </c>
      <c r="AD17">
        <v>1379.2489140169057</v>
      </c>
      <c r="AE17">
        <v>1405.6371656944104</v>
      </c>
      <c r="AF17">
        <v>1431.0597117652421</v>
      </c>
      <c r="AG17">
        <v>1463.7642641952425</v>
      </c>
      <c r="AH17">
        <v>1491.8741076630536</v>
      </c>
      <c r="AI17">
        <v>1529.6410805058185</v>
      </c>
      <c r="AJ17">
        <v>1546.4633589569003</v>
      </c>
      <c r="AK17">
        <v>1592.3452159668955</v>
      </c>
      <c r="AL17">
        <v>1617.8308758326816</v>
      </c>
      <c r="AM17">
        <v>1654.5020370505977</v>
      </c>
      <c r="AN17">
        <v>1685.4973537091828</v>
      </c>
      <c r="AO17">
        <v>1707.8214977562252</v>
      </c>
      <c r="AP17">
        <v>1728.8621551823189</v>
      </c>
      <c r="AQ17">
        <v>1743.0330774373178</v>
      </c>
      <c r="AR17">
        <v>1764.3275050352186</v>
      </c>
      <c r="AS17">
        <v>1801.3282650259996</v>
      </c>
      <c r="AT17" s="132">
        <v>1836.3044245179185</v>
      </c>
      <c r="AU17" s="132">
        <v>1881.8303298592998</v>
      </c>
      <c r="AV17" s="132">
        <v>1897.5777724881527</v>
      </c>
      <c r="AW17" s="132">
        <v>1928.2326486431334</v>
      </c>
      <c r="AX17" s="132">
        <v>1946.3948319347335</v>
      </c>
      <c r="AY17" s="132">
        <v>1962.3022321615913</v>
      </c>
      <c r="AZ17" s="132">
        <v>1970.6958128071681</v>
      </c>
      <c r="BA17" s="132">
        <v>1997.225121413855</v>
      </c>
      <c r="BB17" s="132">
        <v>2007.4643619851608</v>
      </c>
      <c r="BC17" s="132">
        <v>2011.1399136513576</v>
      </c>
      <c r="BD17" s="132">
        <v>2024.1103161501296</v>
      </c>
      <c r="BE17" s="132">
        <v>2034.9828611582102</v>
      </c>
      <c r="BF17" s="132">
        <v>2052.0119074799281</v>
      </c>
      <c r="BG17" s="132">
        <v>2070.1980097135761</v>
      </c>
      <c r="BH17" s="132">
        <v>2089.3537045559938</v>
      </c>
      <c r="BI17" s="165">
        <f ca="1">OFFSET(Calcs!$A$1,Index_CALCULATION!BI$14+6,15)</f>
        <v>2122.6053218389079</v>
      </c>
      <c r="BJ17" s="165">
        <f ca="1">OFFSET(Calcs!$A$1,Index_CALCULATION!BJ$14+6,15)</f>
        <v>2122.6053218389079</v>
      </c>
      <c r="BK17" s="165">
        <f ca="1">OFFSET(Calcs!$A$1,Index_CALCULATION!BK$14+6,15)</f>
        <v>2122.6053218389079</v>
      </c>
      <c r="BL17" s="165">
        <f ca="1">OFFSET(Calcs!$A$1,Index_CALCULATION!BL$14+6,15)</f>
        <v>2122.6053218389079</v>
      </c>
      <c r="BM17" s="165">
        <f ca="1">OFFSET(Calcs!$A$1,Index_CALCULATION!BM$14+6,15)</f>
        <v>2133.8063794067002</v>
      </c>
      <c r="BN17" s="165">
        <f ca="1">OFFSET(Calcs!$A$1,Index_CALCULATION!BN$14+6,15)</f>
        <v>2144.2406196895722</v>
      </c>
      <c r="BO17" s="165">
        <f ca="1">OFFSET(Calcs!$A$1,Index_CALCULATION!BO$14+6,15)</f>
        <v>2144.2406196895722</v>
      </c>
      <c r="BP17" s="165">
        <f ca="1">OFFSET(Calcs!$A$1,Index_CALCULATION!BP$14+6,15)</f>
        <v>2155.8624916929034</v>
      </c>
      <c r="BQ17" s="165">
        <f ca="1">OFFSET(Calcs!$A$1,Index_CALCULATION!BQ$14+6,15)</f>
        <v>2168.5814076630145</v>
      </c>
      <c r="BR17" s="165">
        <f ca="1">OFFSET(Calcs!$A$1,Index_CALCULATION!BR$14+6,15)</f>
        <v>2168.5814076630145</v>
      </c>
      <c r="BS17" s="165">
        <f ca="1">OFFSET(Calcs!$A$1,Index_CALCULATION!BS$14+6,15)</f>
        <v>2180.0250825364164</v>
      </c>
      <c r="BT17" s="165">
        <f ca="1">OFFSET(Calcs!$A$1,Index_CALCULATION!BT$14+6,15)</f>
        <v>2196.2333730749142</v>
      </c>
      <c r="BU17" s="165">
        <f ca="1">OFFSET(Calcs!$A$1,Index_CALCULATION!BU$14+6,15)</f>
        <v>2210.9238427184523</v>
      </c>
      <c r="BV17" s="165">
        <f ca="1">OFFSET(Calcs!$A$1,Index_CALCULATION!BV$14+6,15)</f>
        <v>2223.9676034778731</v>
      </c>
      <c r="BW17" s="165">
        <f ca="1">OFFSET(Calcs!$A$1,Index_CALCULATION!BW$14+6,15)</f>
        <v>2223.9676034778731</v>
      </c>
      <c r="BX17" s="165">
        <f ca="1">OFFSET(Calcs!$A$1,Index_CALCULATION!BX$14+6,15)</f>
        <v>2223.9676034778731</v>
      </c>
      <c r="BY17" s="165">
        <f ca="1">OFFSET(Calcs!$A$1,Index_CALCULATION!BY$14+6,15)</f>
        <v>2236.7123687188205</v>
      </c>
      <c r="BZ17" s="165">
        <f ca="1">OFFSET(Calcs!$A$1,Index_CALCULATION!BZ$14+6,15)</f>
        <v>2236.7123687188205</v>
      </c>
      <c r="CA17" s="165">
        <f ca="1">OFFSET(Calcs!$A$1,Index_CALCULATION!CA$14+6,15)</f>
        <v>2221.3398358395298</v>
      </c>
      <c r="CB17" s="165">
        <f ca="1">OFFSET(Calcs!$A$1,Index_CALCULATION!CB$14+6,15)</f>
        <v>2206.0729556898568</v>
      </c>
      <c r="CC17" s="165">
        <f ca="1">OFFSET(Calcs!$A$1,Index_CALCULATION!CC$14+6,15)</f>
        <v>2192.7432504117928</v>
      </c>
      <c r="CD17" s="165">
        <f ca="1">OFFSET(Calcs!$A$1,Index_CALCULATION!CD$14+6,15)</f>
        <v>2179.4940869137918</v>
      </c>
      <c r="CE17" s="165">
        <f ca="1">OFFSET(Calcs!$A$1,Index_CALCULATION!CE$14+6,15)</f>
        <v>2179.4940869137918</v>
      </c>
      <c r="CF17" s="165">
        <f ca="1">OFFSET(Calcs!$A$1,Index_CALCULATION!CF$14+6,15)</f>
        <v>2179.4940869137918</v>
      </c>
      <c r="CG17" s="165">
        <f ca="1">OFFSET(Calcs!$A$1,Index_CALCULATION!CG$14+6,15)</f>
        <v>2179.4940869137918</v>
      </c>
      <c r="CH17" s="165">
        <f ca="1">OFFSET(Calcs!$A$1,Index_CALCULATION!CH$14+6,15)</f>
        <v>2193.6007956689182</v>
      </c>
      <c r="CI17" s="165">
        <f ca="1">OFFSET(Calcs!$A$1,Index_CALCULATION!CI$14+6,15)</f>
        <v>2179.4940869137918</v>
      </c>
      <c r="CJ17" s="165">
        <f ca="1">OFFSET(Calcs!$A$1,Index_CALCULATION!CJ$14+6,15)</f>
        <v>2165.0124520861036</v>
      </c>
      <c r="CK17" s="165">
        <f ca="1">OFFSET(Calcs!$A$1,Index_CALCULATION!CK$14+6,15)</f>
        <v>2151.0895905640336</v>
      </c>
      <c r="CL17" s="165">
        <f ca="1">OFFSET(Calcs!$A$1,Index_CALCULATION!CL$14+6,15)</f>
        <v>2151.0895905640336</v>
      </c>
      <c r="CM17" s="165">
        <f ca="1">OFFSET(Calcs!$A$1,Index_CALCULATION!CM$14+6,15)</f>
        <v>2136.7966892346703</v>
      </c>
      <c r="CN17" s="165">
        <f ca="1">OFFSET(Calcs!$A$1,Index_CALCULATION!CN$14+6,15)</f>
        <v>2136.7966892346703</v>
      </c>
      <c r="CO17" s="165">
        <f ca="1">OFFSET(Calcs!$A$1,Index_CALCULATION!CO$14+6,15)</f>
        <v>2136.7966892346703</v>
      </c>
      <c r="CP17" s="165">
        <f ca="1">OFFSET(Calcs!$A$1,Index_CALCULATION!CP$14+6,15)</f>
        <v>2113.1859176605917</v>
      </c>
      <c r="CQ17" s="165">
        <f ca="1">OFFSET(Calcs!$A$1,Index_CALCULATION!CQ$14+6,15)</f>
        <v>2098.1455122154252</v>
      </c>
      <c r="CR17" s="165">
        <f ca="1">OFFSET(Calcs!$A$1,Index_CALCULATION!CR$14+6,15)</f>
        <v>2083.7253251036855</v>
      </c>
      <c r="CS17" s="165">
        <f ca="1">OFFSET(Calcs!$A$1,Index_CALCULATION!CS$14+6,15)</f>
        <v>2067.7581596649779</v>
      </c>
      <c r="CT17" s="165">
        <f ca="1">OFFSET(Calcs!$A$1,Index_CALCULATION!CT$14+6,15)</f>
        <v>2053.0410820884144</v>
      </c>
      <c r="CU17" s="165">
        <f ca="1">OFFSET(Calcs!$A$1,Index_CALCULATION!CU$14+6,15)</f>
        <v>2069.5312836035346</v>
      </c>
      <c r="CV17" s="165">
        <f ca="1">OFFSET(Calcs!$A$1,Index_CALCULATION!CV$14+6,15)</f>
        <v>2054.258059576257</v>
      </c>
      <c r="CW17" s="165">
        <f ca="1">OFFSET(Calcs!$A$1,Index_CALCULATION!CW$14+6,15)</f>
        <v>2073.0182773599063</v>
      </c>
      <c r="CX17" s="165">
        <f ca="1">OFFSET(Calcs!$A$1,Index_CALCULATION!CX$14+6,15)</f>
        <v>2087.3643675501276</v>
      </c>
      <c r="CY17" s="165">
        <f ca="1">OFFSET(Calcs!$A$1,Index_CALCULATION!CY$14+6,15)</f>
        <v>2087.3643675501276</v>
      </c>
      <c r="CZ17" s="165">
        <f ca="1">OFFSET(Calcs!$A$1,Index_CALCULATION!CZ$14+6,15)</f>
        <v>2121.0308107622359</v>
      </c>
      <c r="DA17" s="165">
        <f ca="1">OFFSET(Calcs!$A$1,Index_CALCULATION!DA$14+6,15)</f>
        <v>2121.0308107622359</v>
      </c>
      <c r="DB17" s="165">
        <f ca="1">OFFSET(Calcs!$A$1,Index_CALCULATION!DB$14+6,15)</f>
        <v>2102.6670228515318</v>
      </c>
      <c r="DC17" s="247">
        <f ca="1">OFFSET(Calcs!$A$1,Index_CALCULATION!DC$14+6,15)</f>
        <v>2102.6670228515318</v>
      </c>
      <c r="DD17" s="247">
        <f ca="1">OFFSET(Calcs!$A$1,Index_CALCULATION!DD$14+6,15)</f>
        <v>2085.2176045510009</v>
      </c>
      <c r="DE17" s="247">
        <f ca="1">OFFSET(Calcs!$A$1,Index_CALCULATION!DE$14+6,15)</f>
        <v>2085.2176045510009</v>
      </c>
      <c r="DF17" s="247">
        <f ca="1">OFFSET(Calcs!$A$1,Index_CALCULATION!DF$14+6,15)</f>
        <v>2068.602413094678</v>
      </c>
      <c r="DG17" s="247">
        <f ca="1">OFFSET(Calcs!$A$1,Index_CALCULATION!DG$14+6,15)</f>
        <v>2048.9949547852625</v>
      </c>
      <c r="DH17" s="247">
        <f ca="1">OFFSET(Calcs!$A$1,Index_CALCULATION!DH$14+6,15)</f>
        <v>2034.4114225851292</v>
      </c>
      <c r="DI17" s="247">
        <f ca="1">OFFSET(Calcs!$A$1,Index_CALCULATION!DI$14+6,15)</f>
        <v>2034.4114225851292</v>
      </c>
      <c r="DJ17" s="247">
        <f ca="1">OFFSET(Calcs!$A$1,Index_CALCULATION!DJ$14+6,15)</f>
        <v>2018.8221396007241</v>
      </c>
      <c r="DK17" s="247">
        <f ca="1">OFFSET(Calcs!$A$1,Index_CALCULATION!DK$14+6,15)</f>
        <v>2006.6238557405725</v>
      </c>
      <c r="DL17" s="247">
        <f ca="1">OFFSET(Calcs!$A$1,Index_CALCULATION!DL$14+6,15)</f>
        <v>1992.3418959214889</v>
      </c>
      <c r="DM17" s="247">
        <f ca="1">OFFSET(Calcs!$A$1,Index_CALCULATION!DM$14+6,15)</f>
        <v>1979.1037926562058</v>
      </c>
      <c r="DO17" t="str">
        <f t="shared" ref="DO17:DO40" si="5">"Sub-index value: "&amp;TEXT(AD17,"0.0")&amp;" (Base = 1000, March 2011)"</f>
        <v>Sub-index value: 1379.2 (Base = 1000, March 2011)</v>
      </c>
      <c r="DP17" s="17">
        <f t="shared" si="2"/>
        <v>18</v>
      </c>
      <c r="DQ17" s="86" t="str">
        <f t="shared" si="3"/>
        <v>Attackers: Strategic rivals</v>
      </c>
      <c r="DT17">
        <f t="shared" si="4"/>
        <v>7</v>
      </c>
    </row>
    <row r="18" spans="1:124" x14ac:dyDescent="0.3">
      <c r="A18" s="74" t="s">
        <v>44</v>
      </c>
      <c r="B18" s="77" t="s">
        <v>154</v>
      </c>
      <c r="C18" s="165"/>
      <c r="D18" s="165"/>
      <c r="E18" s="165"/>
      <c r="F18" s="165"/>
      <c r="G18" s="1"/>
      <c r="H18" s="165"/>
      <c r="I18" s="165"/>
      <c r="J18" s="25"/>
      <c r="K18" s="165"/>
      <c r="L18" s="165"/>
      <c r="M18" s="165"/>
      <c r="N18" s="165"/>
      <c r="O18" s="165"/>
      <c r="P18" s="165">
        <f t="shared" ca="1" si="1"/>
        <v>8</v>
      </c>
      <c r="Q18" s="78">
        <v>1028.2074038575311</v>
      </c>
      <c r="R18" s="78">
        <v>1058.7644506703687</v>
      </c>
      <c r="S18" s="78">
        <v>1130.8976598402246</v>
      </c>
      <c r="T18" s="78">
        <v>1175.3559391240976</v>
      </c>
      <c r="U18" s="78">
        <v>1208.5724637536086</v>
      </c>
      <c r="V18" s="78">
        <v>1237.4789989020869</v>
      </c>
      <c r="W18" s="78">
        <v>1280.2193988733789</v>
      </c>
      <c r="X18" s="78">
        <v>1300.960577245407</v>
      </c>
      <c r="Y18" s="78">
        <v>1335.8198255129453</v>
      </c>
      <c r="Z18" s="78">
        <v>1391.1336292547369</v>
      </c>
      <c r="AA18" s="78">
        <v>1427.5804872687295</v>
      </c>
      <c r="AB18" s="78">
        <v>1471.7255998566509</v>
      </c>
      <c r="AC18" s="78">
        <v>1508.9825107959093</v>
      </c>
      <c r="AD18">
        <v>1574.768068882694</v>
      </c>
      <c r="AE18">
        <v>1602.956824479041</v>
      </c>
      <c r="AF18">
        <v>1621.9715117709204</v>
      </c>
      <c r="AG18">
        <v>1640.794955627932</v>
      </c>
      <c r="AH18">
        <v>1689.6622882377744</v>
      </c>
      <c r="AI18">
        <v>1777.2185198978816</v>
      </c>
      <c r="AJ18">
        <v>1826.0092469151766</v>
      </c>
      <c r="AK18">
        <v>1929.4164350780879</v>
      </c>
      <c r="AL18">
        <v>1990.3264550219703</v>
      </c>
      <c r="AM18">
        <v>2063.7104864407434</v>
      </c>
      <c r="AN18">
        <v>2119.1619863918495</v>
      </c>
      <c r="AO18">
        <v>2187.1507480465548</v>
      </c>
      <c r="AP18">
        <v>2228.8309703809268</v>
      </c>
      <c r="AQ18">
        <v>2259.7467052760039</v>
      </c>
      <c r="AR18">
        <v>2279.1992115369421</v>
      </c>
      <c r="AS18">
        <v>2337.9999843969363</v>
      </c>
      <c r="AT18" s="132">
        <v>2369.6858528891271</v>
      </c>
      <c r="AU18" s="132">
        <v>2392.7689992159962</v>
      </c>
      <c r="AV18" s="132">
        <v>2415.4744243887253</v>
      </c>
      <c r="AW18" s="132">
        <v>2459.2205122228825</v>
      </c>
      <c r="AX18" s="132">
        <v>2474.6387722973923</v>
      </c>
      <c r="AY18" s="132">
        <v>2481.8429557823943</v>
      </c>
      <c r="AZ18" s="132">
        <v>2504.6468661172557</v>
      </c>
      <c r="BA18" s="132">
        <v>2525.1167211911456</v>
      </c>
      <c r="BB18" s="132">
        <v>2562.6964761530753</v>
      </c>
      <c r="BC18" s="132">
        <v>2554.8952752576693</v>
      </c>
      <c r="BD18" s="132">
        <v>2593.5075726390332</v>
      </c>
      <c r="BE18" s="132">
        <v>2638.6650843850202</v>
      </c>
      <c r="BF18" s="132">
        <v>2689.4070948080653</v>
      </c>
      <c r="BG18" s="132">
        <v>2741.3168455837172</v>
      </c>
      <c r="BH18" s="132">
        <v>2761.2272801959684</v>
      </c>
      <c r="BI18" s="165">
        <f ca="1">OFFSET(Calcs!$A$1,Index_CALCULATION!BI$14+7,15)</f>
        <v>2805.171621717468</v>
      </c>
      <c r="BJ18" s="165">
        <f ca="1">OFFSET(Calcs!$A$1,Index_CALCULATION!BJ$14+7,15)</f>
        <v>2805.171621717468</v>
      </c>
      <c r="BK18" s="132">
        <f ca="1">OFFSET(Calcs!$A$1,Index_CALCULATION!BK$14+7,15)</f>
        <v>2790.4463452698778</v>
      </c>
      <c r="BL18" s="165">
        <f ca="1">OFFSET(Calcs!$A$1,Index_CALCULATION!BL$14+7,15)</f>
        <v>2790.4463452698778</v>
      </c>
      <c r="BM18" s="165">
        <f ca="1">OFFSET(Calcs!$A$1,Index_CALCULATION!BM$14+7,15)</f>
        <v>2819.9746039295228</v>
      </c>
      <c r="BN18" s="165">
        <f ca="1">OFFSET(Calcs!$A$1,Index_CALCULATION!BN$14+7,15)</f>
        <v>2819.9746039295228</v>
      </c>
      <c r="BO18" s="165">
        <f ca="1">OFFSET(Calcs!$A$1,Index_CALCULATION!BO$14+7,15)</f>
        <v>2792.5964258199747</v>
      </c>
      <c r="BP18" s="165">
        <f ca="1">OFFSET(Calcs!$A$1,Index_CALCULATION!BP$14+7,15)</f>
        <v>2822.9504375582001</v>
      </c>
      <c r="BQ18" s="165">
        <f ca="1">OFFSET(Calcs!$A$1,Index_CALCULATION!BQ$14+7,15)</f>
        <v>2822.9504375582001</v>
      </c>
      <c r="BR18" s="165">
        <f ca="1">OFFSET(Calcs!$A$1,Index_CALCULATION!BR$14+7,15)</f>
        <v>2822.9504375582001</v>
      </c>
      <c r="BS18" s="165">
        <f ca="1">OFFSET(Calcs!$A$1,Index_CALCULATION!BS$14+7,15)</f>
        <v>2822.9504375582001</v>
      </c>
      <c r="BT18" s="165">
        <f ca="1">OFFSET(Calcs!$A$1,Index_CALCULATION!BT$14+7,15)</f>
        <v>2822.9504375582001</v>
      </c>
      <c r="BU18" s="165">
        <f ca="1">OFFSET(Calcs!$A$1,Index_CALCULATION!BU$14+7,15)</f>
        <v>2841.832979011479</v>
      </c>
      <c r="BV18" s="165">
        <f ca="1">OFFSET(Calcs!$A$1,Index_CALCULATION!BV$14+7,15)</f>
        <v>2858.5989068015924</v>
      </c>
      <c r="BW18" s="165">
        <f ca="1">OFFSET(Calcs!$A$1,Index_CALCULATION!BW$14+7,15)</f>
        <v>2843.1887075278792</v>
      </c>
      <c r="BX18" s="165">
        <f ca="1">OFFSET(Calcs!$A$1,Index_CALCULATION!BX$14+7,15)</f>
        <v>2843.1887075278792</v>
      </c>
      <c r="BY18" s="165">
        <f ca="1">OFFSET(Calcs!$A$1,Index_CALCULATION!BY$14+7,15)</f>
        <v>2875.8686797556093</v>
      </c>
      <c r="BZ18" s="165">
        <f ca="1">OFFSET(Calcs!$A$1,Index_CALCULATION!BZ$14+7,15)</f>
        <v>2875.8686797556093</v>
      </c>
      <c r="CA18" s="165">
        <f ca="1">OFFSET(Calcs!$A$1,Index_CALCULATION!CA$14+7,15)</f>
        <v>2895.7708059961701</v>
      </c>
      <c r="CB18" s="165">
        <f ca="1">OFFSET(Calcs!$A$1,Index_CALCULATION!CB$14+7,15)</f>
        <v>2895.7708059961701</v>
      </c>
      <c r="CC18" s="165">
        <f ca="1">OFFSET(Calcs!$A$1,Index_CALCULATION!CC$14+7,15)</f>
        <v>2878.2737548233176</v>
      </c>
      <c r="CD18" s="165">
        <f ca="1">OFFSET(Calcs!$A$1,Index_CALCULATION!CD$14+7,15)</f>
        <v>2843.5961797985524</v>
      </c>
      <c r="CE18" s="165">
        <f ca="1">OFFSET(Calcs!$A$1,Index_CALCULATION!CE$14+7,15)</f>
        <v>2843.5961797985524</v>
      </c>
      <c r="CF18" s="165">
        <f ca="1">OFFSET(Calcs!$A$1,Index_CALCULATION!CF$14+7,15)</f>
        <v>2843.5961797985524</v>
      </c>
      <c r="CG18" s="165">
        <f ca="1">OFFSET(Calcs!$A$1,Index_CALCULATION!CG$14+7,15)</f>
        <v>2824.7019227686728</v>
      </c>
      <c r="CH18" s="165">
        <f ca="1">OFFSET(Calcs!$A$1,Index_CALCULATION!CH$14+7,15)</f>
        <v>2824.7019227686728</v>
      </c>
      <c r="CI18" s="165">
        <f ca="1">OFFSET(Calcs!$A$1,Index_CALCULATION!CI$14+7,15)</f>
        <v>2824.7019227686728</v>
      </c>
      <c r="CJ18" s="165">
        <f ca="1">OFFSET(Calcs!$A$1,Index_CALCULATION!CJ$14+7,15)</f>
        <v>2824.7019227686728</v>
      </c>
      <c r="CK18" s="165">
        <f ca="1">OFFSET(Calcs!$A$1,Index_CALCULATION!CK$14+7,15)</f>
        <v>2824.7019227686728</v>
      </c>
      <c r="CL18" s="165">
        <f ca="1">OFFSET(Calcs!$A$1,Index_CALCULATION!CL$14+7,15)</f>
        <v>2842.9847194891577</v>
      </c>
      <c r="CM18" s="165">
        <f ca="1">OFFSET(Calcs!$A$1,Index_CALCULATION!CM$14+7,15)</f>
        <v>2824.0945253034793</v>
      </c>
      <c r="CN18" s="165">
        <f ca="1">OFFSET(Calcs!$A$1,Index_CALCULATION!CN$14+7,15)</f>
        <v>2824.0945253034793</v>
      </c>
      <c r="CO18" s="165">
        <f ca="1">OFFSET(Calcs!$A$1,Index_CALCULATION!CO$14+7,15)</f>
        <v>2824.0945253034793</v>
      </c>
      <c r="CP18" s="165">
        <f ca="1">OFFSET(Calcs!$A$1,Index_CALCULATION!CP$14+7,15)</f>
        <v>2792.8893802017105</v>
      </c>
      <c r="CQ18" s="165">
        <f ca="1">OFFSET(Calcs!$A$1,Index_CALCULATION!CQ$14+7,15)</f>
        <v>2773.0112481875444</v>
      </c>
      <c r="CR18" s="165">
        <f ca="1">OFFSET(Calcs!$A$1,Index_CALCULATION!CR$14+7,15)</f>
        <v>2773.0112481875444</v>
      </c>
      <c r="CS18" s="165">
        <f ca="1">OFFSET(Calcs!$A$1,Index_CALCULATION!CS$14+7,15)</f>
        <v>2751.7622242256148</v>
      </c>
      <c r="CT18" s="165">
        <f ca="1">OFFSET(Calcs!$A$1,Index_CALCULATION!CT$14+7,15)</f>
        <v>2732.1768109426866</v>
      </c>
      <c r="CU18" s="165">
        <f ca="1">OFFSET(Calcs!$A$1,Index_CALCULATION!CU$14+7,15)</f>
        <v>2732.1768109426866</v>
      </c>
      <c r="CV18" s="165">
        <f ca="1">OFFSET(Calcs!$A$1,Index_CALCULATION!CV$14+7,15)</f>
        <v>2732.1768109426866</v>
      </c>
      <c r="CW18" s="165">
        <f ca="1">OFFSET(Calcs!$A$1,Index_CALCULATION!CW$14+7,15)</f>
        <v>2757.1280247192531</v>
      </c>
      <c r="CX18" s="165">
        <f ca="1">OFFSET(Calcs!$A$1,Index_CALCULATION!CX$14+7,15)</f>
        <v>2738.1787660639311</v>
      </c>
      <c r="CY18" s="165">
        <f ca="1">OFFSET(Calcs!$A$1,Index_CALCULATION!CY$14+7,15)</f>
        <v>2738.1787660639311</v>
      </c>
      <c r="CZ18" s="165">
        <f ca="1">OFFSET(Calcs!$A$1,Index_CALCULATION!CZ$14+7,15)</f>
        <v>2738.1787660639311</v>
      </c>
      <c r="DA18" s="165">
        <f ca="1">OFFSET(Calcs!$A$1,Index_CALCULATION!DA$14+7,15)</f>
        <v>2696.3753283215738</v>
      </c>
      <c r="DB18" s="165">
        <f ca="1">OFFSET(Calcs!$A$1,Index_CALCULATION!DB$14+7,15)</f>
        <v>2673.0302338487791</v>
      </c>
      <c r="DC18" s="247">
        <f ca="1">OFFSET(Calcs!$A$1,Index_CALCULATION!DC$14+7,15)</f>
        <v>2673.0302338487791</v>
      </c>
      <c r="DD18" s="247">
        <f ca="1">OFFSET(Calcs!$A$1,Index_CALCULATION!DD$14+7,15)</f>
        <v>2650.8475381706312</v>
      </c>
      <c r="DE18" s="247">
        <f ca="1">OFFSET(Calcs!$A$1,Index_CALCULATION!DE$14+7,15)</f>
        <v>2650.8475381706312</v>
      </c>
      <c r="DF18" s="247">
        <f ca="1">OFFSET(Calcs!$A$1,Index_CALCULATION!DF$14+7,15)</f>
        <v>2629.7253592325196</v>
      </c>
      <c r="DG18" s="247">
        <f ca="1">OFFSET(Calcs!$A$1,Index_CALCULATION!DG$14+7,15)</f>
        <v>2604.799240022774</v>
      </c>
      <c r="DH18" s="247">
        <f ca="1">OFFSET(Calcs!$A$1,Index_CALCULATION!DH$14+7,15)</f>
        <v>2586.2598221959811</v>
      </c>
      <c r="DI18" s="247">
        <f ca="1">OFFSET(Calcs!$A$1,Index_CALCULATION!DI$14+7,15)</f>
        <v>2571.9315496821864</v>
      </c>
      <c r="DJ18" s="247">
        <f ca="1">OFFSET(Calcs!$A$1,Index_CALCULATION!DJ$14+7,15)</f>
        <v>2552.2233587531523</v>
      </c>
      <c r="DK18" s="247">
        <f ca="1">OFFSET(Calcs!$A$1,Index_CALCULATION!DK$14+7,15)</f>
        <v>2536.8021166368271</v>
      </c>
      <c r="DL18" s="247">
        <f ca="1">OFFSET(Calcs!$A$1,Index_CALCULATION!DL$14+7,15)</f>
        <v>2518.7466620506948</v>
      </c>
      <c r="DM18" s="247">
        <f ca="1">OFFSET(Calcs!$A$1,Index_CALCULATION!DM$14+7,15)</f>
        <v>2502.0108656095463</v>
      </c>
      <c r="DO18" t="str">
        <f t="shared" si="5"/>
        <v>Sub-index value: 1574.8 (Base = 1000, March 2011)</v>
      </c>
      <c r="DP18" s="17">
        <f t="shared" si="2"/>
        <v>21</v>
      </c>
      <c r="DQ18" s="86" t="str">
        <f t="shared" si="3"/>
        <v>Attackers: Activist/hacktivists</v>
      </c>
      <c r="DT18">
        <f t="shared" si="4"/>
        <v>2</v>
      </c>
    </row>
    <row r="19" spans="1:124" x14ac:dyDescent="0.3">
      <c r="A19" s="74">
        <v>0</v>
      </c>
      <c r="B19" s="77" t="s">
        <v>155</v>
      </c>
      <c r="C19" s="165"/>
      <c r="D19" s="165"/>
      <c r="E19" s="165"/>
      <c r="F19" s="165"/>
      <c r="G19" s="1"/>
      <c r="H19" s="165"/>
      <c r="I19" s="165"/>
      <c r="J19" s="25"/>
      <c r="K19" s="165"/>
      <c r="L19" s="165"/>
      <c r="M19" s="165"/>
      <c r="N19" s="165"/>
      <c r="O19" s="165"/>
      <c r="P19" s="165">
        <f t="shared" ca="1" si="1"/>
        <v>7</v>
      </c>
      <c r="Q19" s="78">
        <v>1000</v>
      </c>
      <c r="R19" s="78">
        <v>1000</v>
      </c>
      <c r="S19" s="78">
        <v>1000</v>
      </c>
      <c r="T19" s="78">
        <v>1000</v>
      </c>
      <c r="U19" s="78">
        <v>1000</v>
      </c>
      <c r="V19" s="78">
        <v>1000</v>
      </c>
      <c r="W19" s="78">
        <v>1000</v>
      </c>
      <c r="X19" s="78">
        <v>1000</v>
      </c>
      <c r="Y19" s="78">
        <v>1000</v>
      </c>
      <c r="Z19" s="78">
        <v>1000</v>
      </c>
      <c r="AA19" s="78">
        <v>1000</v>
      </c>
      <c r="AB19" s="78">
        <v>1000</v>
      </c>
      <c r="AC19" s="78">
        <v>1000</v>
      </c>
      <c r="AD19">
        <v>1023.1077691270353</v>
      </c>
      <c r="AE19">
        <v>1056.6493299534172</v>
      </c>
      <c r="AF19">
        <v>1093.6676389976083</v>
      </c>
      <c r="AG19">
        <v>1112.7612585947879</v>
      </c>
      <c r="AH19">
        <v>1132.8984279727015</v>
      </c>
      <c r="AI19">
        <v>1164.6067727843697</v>
      </c>
      <c r="AJ19">
        <v>1181.7150663220482</v>
      </c>
      <c r="AK19">
        <v>1221.4243487705992</v>
      </c>
      <c r="AL19">
        <v>1261.6874981559488</v>
      </c>
      <c r="AM19">
        <v>1299.2152833268499</v>
      </c>
      <c r="AN19">
        <v>1340.2029531395733</v>
      </c>
      <c r="AO19">
        <v>1366.3176927607101</v>
      </c>
      <c r="AP19">
        <v>1393.7769116664201</v>
      </c>
      <c r="AQ19">
        <v>1433.4419200676473</v>
      </c>
      <c r="AR19">
        <v>1456.1453528747693</v>
      </c>
      <c r="AS19">
        <v>1485.2811721064247</v>
      </c>
      <c r="AT19" s="132">
        <v>1520.9300831510745</v>
      </c>
      <c r="AU19" s="132">
        <v>1557.0475506323294</v>
      </c>
      <c r="AV19" s="132">
        <v>1595.577718696177</v>
      </c>
      <c r="AW19" s="132">
        <v>1652.8354820438581</v>
      </c>
      <c r="AX19" s="132">
        <v>1725.8530563361774</v>
      </c>
      <c r="AY19" s="132">
        <v>1761.3319117186904</v>
      </c>
      <c r="AZ19" s="132">
        <v>1805.9202413473718</v>
      </c>
      <c r="BA19" s="132">
        <v>1880.9330657442763</v>
      </c>
      <c r="BB19" s="132">
        <v>1914.3566279171368</v>
      </c>
      <c r="BC19" s="132">
        <v>1942.57759419076</v>
      </c>
      <c r="BD19" s="132">
        <v>1987.4907050844711</v>
      </c>
      <c r="BE19" s="132">
        <v>2035.3797578078556</v>
      </c>
      <c r="BF19" s="132">
        <v>2121.9788673889343</v>
      </c>
      <c r="BG19" s="132">
        <v>2206.3061009302028</v>
      </c>
      <c r="BH19" s="132">
        <v>2265.1374898959471</v>
      </c>
      <c r="BI19" s="165">
        <f ca="1">OFFSET(Calcs!$A$1,Index_CALCULATION!BI$14+8,15)</f>
        <v>2313.3301056847072</v>
      </c>
      <c r="BJ19" s="165">
        <f ca="1">OFFSET(Calcs!$A$1,Index_CALCULATION!BJ$14+8,15)</f>
        <v>2334.4562618586156</v>
      </c>
      <c r="BK19" s="132">
        <f ca="1">OFFSET(Calcs!$A$1,Index_CALCULATION!BK$14+8,15)</f>
        <v>2384.1236900854938</v>
      </c>
      <c r="BL19" s="165">
        <f ca="1">OFFSET(Calcs!$A$1,Index_CALCULATION!BL$14+8,15)</f>
        <v>2420.155105465622</v>
      </c>
      <c r="BM19" s="165">
        <f ca="1">OFFSET(Calcs!$A$1,Index_CALCULATION!BM$14+8,15)</f>
        <v>2420.155105465622</v>
      </c>
      <c r="BN19" s="165">
        <f ca="1">OFFSET(Calcs!$A$1,Index_CALCULATION!BN$14+8,15)</f>
        <v>2420.155105465622</v>
      </c>
      <c r="BO19" s="165">
        <f ca="1">OFFSET(Calcs!$A$1,Index_CALCULATION!BO$14+8,15)</f>
        <v>2443.881927185203</v>
      </c>
      <c r="BP19" s="165">
        <f ca="1">OFFSET(Calcs!$A$1,Index_CALCULATION!BP$14+8,15)</f>
        <v>2457.1278673507768</v>
      </c>
      <c r="BQ19" s="165">
        <f ca="1">OFFSET(Calcs!$A$1,Index_CALCULATION!BQ$14+8,15)</f>
        <v>2486.2059662794913</v>
      </c>
      <c r="BR19" s="165">
        <f ca="1">OFFSET(Calcs!$A$1,Index_CALCULATION!BR$14+8,15)</f>
        <v>2486.2059662794913</v>
      </c>
      <c r="BS19" s="165">
        <f ca="1">OFFSET(Calcs!$A$1,Index_CALCULATION!BS$14+8,15)</f>
        <v>2499.3257563163688</v>
      </c>
      <c r="BT19" s="165">
        <f ca="1">OFFSET(Calcs!$A$1,Index_CALCULATION!BT$14+8,15)</f>
        <v>2517.9080186642836</v>
      </c>
      <c r="BU19" s="165">
        <f ca="1">OFFSET(Calcs!$A$1,Index_CALCULATION!BU$14+8,15)</f>
        <v>2534.7501501822203</v>
      </c>
      <c r="BV19" s="165">
        <f ca="1">OFFSET(Calcs!$A$1,Index_CALCULATION!BV$14+8,15)</f>
        <v>2564.746845350568</v>
      </c>
      <c r="BW19" s="165">
        <f ca="1">OFFSET(Calcs!$A$1,Index_CALCULATION!BW$14+8,15)</f>
        <v>2564.746845350568</v>
      </c>
      <c r="BX19" s="165">
        <f ca="1">OFFSET(Calcs!$A$1,Index_CALCULATION!BX$14+8,15)</f>
        <v>2564.746845350568</v>
      </c>
      <c r="BY19" s="165">
        <f ca="1">OFFSET(Calcs!$A$1,Index_CALCULATION!BY$14+8,15)</f>
        <v>2609.0929576399953</v>
      </c>
      <c r="BZ19" s="165">
        <f ca="1">OFFSET(Calcs!$A$1,Index_CALCULATION!BZ$14+8,15)</f>
        <v>2625.9802319342775</v>
      </c>
      <c r="CA19" s="165">
        <f ca="1">OFFSET(Calcs!$A$1,Index_CALCULATION!CA$14+8,15)</f>
        <v>2680.8767946526777</v>
      </c>
      <c r="CB19" s="165">
        <f ca="1">OFFSET(Calcs!$A$1,Index_CALCULATION!CB$14+8,15)</f>
        <v>2736.9209793377809</v>
      </c>
      <c r="CC19" s="165">
        <f ca="1">OFFSET(Calcs!$A$1,Index_CALCULATION!CC$14+8,15)</f>
        <v>2736.9209793377809</v>
      </c>
      <c r="CD19" s="165">
        <f ca="1">OFFSET(Calcs!$A$1,Index_CALCULATION!CD$14+8,15)</f>
        <v>2753.5587457598513</v>
      </c>
      <c r="CE19" s="165">
        <f ca="1">OFFSET(Calcs!$A$1,Index_CALCULATION!CE$14+8,15)</f>
        <v>2788.1942510076815</v>
      </c>
      <c r="CF19" s="165">
        <f ca="1">OFFSET(Calcs!$A$1,Index_CALCULATION!CF$14+8,15)</f>
        <v>2788.1942510076815</v>
      </c>
      <c r="CG19" s="165">
        <f ca="1">OFFSET(Calcs!$A$1,Index_CALCULATION!CG$14+8,15)</f>
        <v>2788.1942510076815</v>
      </c>
      <c r="CH19" s="165">
        <f ca="1">OFFSET(Calcs!$A$1,Index_CALCULATION!CH$14+8,15)</f>
        <v>2806.240752940329</v>
      </c>
      <c r="CI19" s="165">
        <f ca="1">OFFSET(Calcs!$A$1,Index_CALCULATION!CI$14+8,15)</f>
        <v>2806.240752940329</v>
      </c>
      <c r="CJ19" s="165">
        <f ca="1">OFFSET(Calcs!$A$1,Index_CALCULATION!CJ$14+8,15)</f>
        <v>2787.5947038105496</v>
      </c>
      <c r="CK19" s="165">
        <f ca="1">OFFSET(Calcs!$A$1,Index_CALCULATION!CK$14+8,15)</f>
        <v>2805.6373251923183</v>
      </c>
      <c r="CL19" s="165">
        <f ca="1">OFFSET(Calcs!$A$1,Index_CALCULATION!CL$14+8,15)</f>
        <v>2842.0736647564909</v>
      </c>
      <c r="CM19" s="165">
        <f ca="1">OFFSET(Calcs!$A$1,Index_CALCULATION!CM$14+8,15)</f>
        <v>2861.0841202976289</v>
      </c>
      <c r="CN19" s="165">
        <f ca="1">OFFSET(Calcs!$A$1,Index_CALCULATION!CN$14+8,15)</f>
        <v>2883.1773246065181</v>
      </c>
      <c r="CO19" s="165">
        <f ca="1">OFFSET(Calcs!$A$1,Index_CALCULATION!CO$14+8,15)</f>
        <v>2917.2973704486285</v>
      </c>
      <c r="CP19" s="165">
        <f ca="1">OFFSET(Calcs!$A$1,Index_CALCULATION!CP$14+8,15)</f>
        <v>2917.2973704486285</v>
      </c>
      <c r="CQ19" s="165">
        <f ca="1">OFFSET(Calcs!$A$1,Index_CALCULATION!CQ$14+8,15)</f>
        <v>2896.5337760630287</v>
      </c>
      <c r="CR19" s="165">
        <f ca="1">OFFSET(Calcs!$A$1,Index_CALCULATION!CR$14+8,15)</f>
        <v>2936.7627696184063</v>
      </c>
      <c r="CS19" s="165">
        <f ca="1">OFFSET(Calcs!$A$1,Index_CALCULATION!CS$14+8,15)</f>
        <v>2936.7627696184063</v>
      </c>
      <c r="CT19" s="165">
        <f ca="1">OFFSET(Calcs!$A$1,Index_CALCULATION!CT$14+8,15)</f>
        <v>2915.8606320534209</v>
      </c>
      <c r="CU19" s="165">
        <f ca="1">OFFSET(Calcs!$A$1,Index_CALCULATION!CU$14+8,15)</f>
        <v>2939.2810739686188</v>
      </c>
      <c r="CV19" s="165">
        <f ca="1">OFFSET(Calcs!$A$1,Index_CALCULATION!CV$14+8,15)</f>
        <v>2939.2810739686188</v>
      </c>
      <c r="CW19" s="165">
        <f ca="1">OFFSET(Calcs!$A$1,Index_CALCULATION!CW$14+8,15)</f>
        <v>2939.2810739686188</v>
      </c>
      <c r="CX19" s="165">
        <f ca="1">OFFSET(Calcs!$A$1,Index_CALCULATION!CX$14+8,15)</f>
        <v>2939.2810739686188</v>
      </c>
      <c r="CY19" s="165">
        <f ca="1">OFFSET(Calcs!$A$1,Index_CALCULATION!CY$14+8,15)</f>
        <v>2939.2810739686188</v>
      </c>
      <c r="CZ19" s="165">
        <f ca="1">OFFSET(Calcs!$A$1,Index_CALCULATION!CZ$14+8,15)</f>
        <v>2986.6878137307476</v>
      </c>
      <c r="DA19" s="165">
        <f ca="1">OFFSET(Calcs!$A$1,Index_CALCULATION!DA$14+8,15)</f>
        <v>2986.6878137307476</v>
      </c>
      <c r="DB19" s="165">
        <f ca="1">OFFSET(Calcs!$A$1,Index_CALCULATION!DB$14+8,15)</f>
        <v>2986.6878137307476</v>
      </c>
      <c r="DC19" s="247">
        <f ca="1">OFFSET(Calcs!$A$1,Index_CALCULATION!DC$14+8,15)</f>
        <v>2986.6878137307476</v>
      </c>
      <c r="DD19" s="247">
        <f ca="1">OFFSET(Calcs!$A$1,Index_CALCULATION!DD$14+8,15)</f>
        <v>3011.6808719521737</v>
      </c>
      <c r="DE19" s="247">
        <f ca="1">OFFSET(Calcs!$A$1,Index_CALCULATION!DE$14+8,15)</f>
        <v>3011.6808719521737</v>
      </c>
      <c r="DF19" s="247">
        <f ca="1">OFFSET(Calcs!$A$1,Index_CALCULATION!DF$14+8,15)</f>
        <v>3035.8709502272786</v>
      </c>
      <c r="DG19" s="247">
        <f ca="1">OFFSET(Calcs!$A$1,Index_CALCULATION!DG$14+8,15)</f>
        <v>3007.0951387361301</v>
      </c>
      <c r="DH19" s="247">
        <f ca="1">OFFSET(Calcs!$A$1,Index_CALCULATION!DH$14+8,15)</f>
        <v>3007.0951387361301</v>
      </c>
      <c r="DI19" s="247">
        <f ca="1">OFFSET(Calcs!$A$1,Index_CALCULATION!DI$14+8,15)</f>
        <v>3007.0951387361301</v>
      </c>
      <c r="DJ19" s="247">
        <f ca="1">OFFSET(Calcs!$A$1,Index_CALCULATION!DJ$14+8,15)</f>
        <v>3007.0951387361301</v>
      </c>
      <c r="DK19" s="247">
        <f ca="1">OFFSET(Calcs!$A$1,Index_CALCULATION!DK$14+8,15)</f>
        <v>2988.9254350374972</v>
      </c>
      <c r="DL19" s="247">
        <f ca="1">OFFSET(Calcs!$A$1,Index_CALCULATION!DL$14+8,15)</f>
        <v>2967.6520345228364</v>
      </c>
      <c r="DM19" s="247">
        <f ca="1">OFFSET(Calcs!$A$1,Index_CALCULATION!DM$14+8,15)</f>
        <v>2987.5024760379401</v>
      </c>
      <c r="DO19" t="str">
        <f t="shared" si="5"/>
        <v>Sub-index value: 1023.1 (Base = 1000, March 2011)</v>
      </c>
      <c r="DP19" s="17">
        <f t="shared" si="2"/>
        <v>13</v>
      </c>
      <c r="DQ19" s="86" t="str">
        <f t="shared" si="3"/>
        <v>Attackers: Criminals</v>
      </c>
      <c r="DT19">
        <f t="shared" si="4"/>
        <v>16</v>
      </c>
    </row>
    <row r="20" spans="1:124" x14ac:dyDescent="0.3">
      <c r="A20" s="74" t="s">
        <v>42</v>
      </c>
      <c r="B20" s="77" t="s">
        <v>156</v>
      </c>
      <c r="C20" s="165"/>
      <c r="D20" s="165"/>
      <c r="E20" s="165"/>
      <c r="F20" s="165"/>
      <c r="G20" s="1"/>
      <c r="H20" s="165"/>
      <c r="I20" s="165"/>
      <c r="J20" s="25"/>
      <c r="K20" s="165"/>
      <c r="L20" s="165"/>
      <c r="M20" s="165"/>
      <c r="N20" s="165"/>
      <c r="O20" s="165"/>
      <c r="P20" s="165">
        <f t="shared" ca="1" si="1"/>
        <v>4</v>
      </c>
      <c r="Q20" s="78">
        <v>1046.1015264363746</v>
      </c>
      <c r="R20" s="78">
        <v>1074.8845706534476</v>
      </c>
      <c r="S20" s="78">
        <v>1107.5357719031097</v>
      </c>
      <c r="T20" s="78">
        <v>1130.7716027225174</v>
      </c>
      <c r="U20" s="78">
        <v>1160.8235872029941</v>
      </c>
      <c r="V20" s="78">
        <v>1194.003039181435</v>
      </c>
      <c r="W20" s="78">
        <v>1232.0196860586145</v>
      </c>
      <c r="X20" s="78">
        <v>1245.8469231622257</v>
      </c>
      <c r="Y20" s="78">
        <v>1279.229400661902</v>
      </c>
      <c r="Z20" s="78">
        <v>1321.8664975935235</v>
      </c>
      <c r="AA20" s="78">
        <v>1351.2465135101652</v>
      </c>
      <c r="AB20" s="78">
        <v>1377.2908518959659</v>
      </c>
      <c r="AC20" s="78">
        <v>1415.9064603495915</v>
      </c>
      <c r="AD20">
        <v>1461.1670288568619</v>
      </c>
      <c r="AE20">
        <v>1514.5563352148338</v>
      </c>
      <c r="AF20">
        <v>1561.712421618774</v>
      </c>
      <c r="AG20">
        <v>1593.567531101379</v>
      </c>
      <c r="AH20">
        <v>1643.7060746661521</v>
      </c>
      <c r="AI20">
        <v>1729.7816049318762</v>
      </c>
      <c r="AJ20">
        <v>1767.1168625469963</v>
      </c>
      <c r="AK20">
        <v>1818.003930587226</v>
      </c>
      <c r="AL20">
        <v>1872.2315276051791</v>
      </c>
      <c r="AM20">
        <v>1951.3283777866923</v>
      </c>
      <c r="AN20">
        <v>2026.6600609553759</v>
      </c>
      <c r="AO20">
        <v>2094.4351204005411</v>
      </c>
      <c r="AP20">
        <v>2132.1716783303937</v>
      </c>
      <c r="AQ20">
        <v>2166.1629013656052</v>
      </c>
      <c r="AR20">
        <v>2219.4137144670922</v>
      </c>
      <c r="AS20">
        <v>2264.8897614094199</v>
      </c>
      <c r="AT20" s="132">
        <v>2313.3112355405369</v>
      </c>
      <c r="AU20" s="132">
        <v>2362.2116045635075</v>
      </c>
      <c r="AV20" s="132">
        <v>2395.2489943112951</v>
      </c>
      <c r="AW20" s="132">
        <v>2463.7690655595866</v>
      </c>
      <c r="AX20" s="132">
        <v>2519.5697459678127</v>
      </c>
      <c r="AY20" s="132">
        <v>2583.3529577566924</v>
      </c>
      <c r="AZ20" s="132">
        <v>2661.7031503840808</v>
      </c>
      <c r="BA20" s="132">
        <v>2706.9611669663841</v>
      </c>
      <c r="BB20" s="132">
        <v>2767.614495018066</v>
      </c>
      <c r="BC20" s="132">
        <v>2772.6818378118851</v>
      </c>
      <c r="BD20" s="132">
        <v>2836.7872651714038</v>
      </c>
      <c r="BE20" s="132">
        <v>2913.7994470275657</v>
      </c>
      <c r="BF20" s="132">
        <v>2996.4674312806878</v>
      </c>
      <c r="BG20" s="132">
        <v>3043.0954832080238</v>
      </c>
      <c r="BH20" s="132">
        <v>3095.596171213143</v>
      </c>
      <c r="BI20" s="165">
        <f ca="1">OFFSET(Calcs!$A$1,Index_CALCULATION!BI$14+9,15)</f>
        <v>3194.9117268975738</v>
      </c>
      <c r="BJ20" s="165">
        <f ca="1">OFFSET(Calcs!$A$1,Index_CALCULATION!BJ$14+9,15)</f>
        <v>3238.7771074014008</v>
      </c>
      <c r="BK20" s="132">
        <f ca="1">OFFSET(Calcs!$A$1,Index_CALCULATION!BK$14+9,15)</f>
        <v>3290.3215522721471</v>
      </c>
      <c r="BL20" s="165">
        <f ca="1">OFFSET(Calcs!$A$1,Index_CALCULATION!BL$14+9,15)</f>
        <v>3306.814357687048</v>
      </c>
      <c r="BM20" s="165">
        <f ca="1">OFFSET(Calcs!$A$1,Index_CALCULATION!BM$14+9,15)</f>
        <v>3306.814357687048</v>
      </c>
      <c r="BN20" s="165">
        <f ca="1">OFFSET(Calcs!$A$1,Index_CALCULATION!BN$14+9,15)</f>
        <v>3306.814357687048</v>
      </c>
      <c r="BO20" s="165">
        <f ca="1">OFFSET(Calcs!$A$1,Index_CALCULATION!BO$14+9,15)</f>
        <v>3355.5625873013778</v>
      </c>
      <c r="BP20" s="165">
        <f ca="1">OFFSET(Calcs!$A$1,Index_CALCULATION!BP$14+9,15)</f>
        <v>3392.0357365260779</v>
      </c>
      <c r="BQ20" s="165">
        <f ca="1">OFFSET(Calcs!$A$1,Index_CALCULATION!BQ$14+9,15)</f>
        <v>3412.0476888962917</v>
      </c>
      <c r="BR20" s="165">
        <f ca="1">OFFSET(Calcs!$A$1,Index_CALCULATION!BR$14+9,15)</f>
        <v>3412.0476888962917</v>
      </c>
      <c r="BS20" s="165">
        <f ca="1">OFFSET(Calcs!$A$1,Index_CALCULATION!BS$14+9,15)</f>
        <v>3430.0531759240307</v>
      </c>
      <c r="BT20" s="165">
        <f ca="1">OFFSET(Calcs!$A$1,Index_CALCULATION!BT$14+9,15)</f>
        <v>3455.5553129788896</v>
      </c>
      <c r="BU20" s="165">
        <f ca="1">OFFSET(Calcs!$A$1,Index_CALCULATION!BU$14+9,15)</f>
        <v>3455.5553129788896</v>
      </c>
      <c r="BV20" s="165">
        <f ca="1">OFFSET(Calcs!$A$1,Index_CALCULATION!BV$14+9,15)</f>
        <v>3455.5553129788896</v>
      </c>
      <c r="BW20" s="165">
        <f ca="1">OFFSET(Calcs!$A$1,Index_CALCULATION!BW$14+9,15)</f>
        <v>3455.5553129788896</v>
      </c>
      <c r="BX20" s="165">
        <f ca="1">OFFSET(Calcs!$A$1,Index_CALCULATION!BX$14+9,15)</f>
        <v>3455.5553129788896</v>
      </c>
      <c r="BY20" s="165">
        <f ca="1">OFFSET(Calcs!$A$1,Index_CALCULATION!BY$14+9,15)</f>
        <v>3475.3578681834497</v>
      </c>
      <c r="BZ20" s="165">
        <f ca="1">OFFSET(Calcs!$A$1,Index_CALCULATION!BZ$14+9,15)</f>
        <v>3475.3578681834497</v>
      </c>
      <c r="CA20" s="165">
        <f ca="1">OFFSET(Calcs!$A$1,Index_CALCULATION!CA$14+9,15)</f>
        <v>3475.3578681834497</v>
      </c>
      <c r="CB20" s="165">
        <f ca="1">OFFSET(Calcs!$A$1,Index_CALCULATION!CB$14+9,15)</f>
        <v>3523.6259569028612</v>
      </c>
      <c r="CC20" s="165">
        <f ca="1">OFFSET(Calcs!$A$1,Index_CALCULATION!CC$14+9,15)</f>
        <v>3588.2778468117349</v>
      </c>
      <c r="CD20" s="165">
        <f ca="1">OFFSET(Calcs!$A$1,Index_CALCULATION!CD$14+9,15)</f>
        <v>3588.2778468117349</v>
      </c>
      <c r="CE20" s="165">
        <f ca="1">OFFSET(Calcs!$A$1,Index_CALCULATION!CE$14+9,15)</f>
        <v>3633.4128258221881</v>
      </c>
      <c r="CF20" s="165">
        <f ca="1">OFFSET(Calcs!$A$1,Index_CALCULATION!CF$14+9,15)</f>
        <v>3633.4128258221881</v>
      </c>
      <c r="CG20" s="165">
        <f ca="1">OFFSET(Calcs!$A$1,Index_CALCULATION!CG$14+9,15)</f>
        <v>3657.7165002288161</v>
      </c>
      <c r="CH20" s="165">
        <f ca="1">OFFSET(Calcs!$A$1,Index_CALCULATION!CH$14+9,15)</f>
        <v>3681.3909583002364</v>
      </c>
      <c r="CI20" s="165">
        <f ca="1">OFFSET(Calcs!$A$1,Index_CALCULATION!CI$14+9,15)</f>
        <v>3705.2186485767606</v>
      </c>
      <c r="CJ20" s="165">
        <f ca="1">OFFSET(Calcs!$A$1,Index_CALCULATION!CJ$14+9,15)</f>
        <v>3730.0026277052539</v>
      </c>
      <c r="CK20" s="165">
        <f ca="1">OFFSET(Calcs!$A$1,Index_CALCULATION!CK$14+9,15)</f>
        <v>3730.0026277052539</v>
      </c>
      <c r="CL20" s="165">
        <f ca="1">OFFSET(Calcs!$A$1,Index_CALCULATION!CL$14+9,15)</f>
        <v>3754.1449555238178</v>
      </c>
      <c r="CM20" s="165">
        <f ca="1">OFFSET(Calcs!$A$1,Index_CALCULATION!CM$14+9,15)</f>
        <v>3779.2561997033695</v>
      </c>
      <c r="CN20" s="165">
        <f ca="1">OFFSET(Calcs!$A$1,Index_CALCULATION!CN$14+9,15)</f>
        <v>3779.2561997033695</v>
      </c>
      <c r="CO20" s="165">
        <f ca="1">OFFSET(Calcs!$A$1,Index_CALCULATION!CO$14+9,15)</f>
        <v>3779.2561997033695</v>
      </c>
      <c r="CP20" s="165">
        <f ca="1">OFFSET(Calcs!$A$1,Index_CALCULATION!CP$14+9,15)</f>
        <v>3779.2561997033695</v>
      </c>
      <c r="CQ20" s="165">
        <f ca="1">OFFSET(Calcs!$A$1,Index_CALCULATION!CQ$14+9,15)</f>
        <v>3779.2561997033695</v>
      </c>
      <c r="CR20" s="165">
        <f ca="1">OFFSET(Calcs!$A$1,Index_CALCULATION!CR$14+9,15)</f>
        <v>3779.2561997033695</v>
      </c>
      <c r="CS20" s="165">
        <f ca="1">OFFSET(Calcs!$A$1,Index_CALCULATION!CS$14+9,15)</f>
        <v>3808.4395008035822</v>
      </c>
      <c r="CT20" s="165">
        <f ca="1">OFFSET(Calcs!$A$1,Index_CALCULATION!CT$14+9,15)</f>
        <v>3808.4395008035822</v>
      </c>
      <c r="CU20" s="165">
        <f ca="1">OFFSET(Calcs!$A$1,Index_CALCULATION!CU$14+9,15)</f>
        <v>3839.029212511889</v>
      </c>
      <c r="CV20" s="165">
        <f ca="1">OFFSET(Calcs!$A$1,Index_CALCULATION!CV$14+9,15)</f>
        <v>3839.029212511889</v>
      </c>
      <c r="CW20" s="165">
        <f ca="1">OFFSET(Calcs!$A$1,Index_CALCULATION!CW$14+9,15)</f>
        <v>3874.0885974653897</v>
      </c>
      <c r="CX20" s="165">
        <f ca="1">OFFSET(Calcs!$A$1,Index_CALCULATION!CX$14+9,15)</f>
        <v>3900.8987925471856</v>
      </c>
      <c r="CY20" s="165">
        <f ca="1">OFFSET(Calcs!$A$1,Index_CALCULATION!CY$14+9,15)</f>
        <v>3933.5421073890666</v>
      </c>
      <c r="CZ20" s="165">
        <f ca="1">OFFSET(Calcs!$A$1,Index_CALCULATION!CZ$14+9,15)</f>
        <v>3965.1366539302758</v>
      </c>
      <c r="DA20" s="165">
        <f ca="1">OFFSET(Calcs!$A$1,Index_CALCULATION!DA$14+9,15)</f>
        <v>3965.1366539302758</v>
      </c>
      <c r="DB20" s="165">
        <f ca="1">OFFSET(Calcs!$A$1,Index_CALCULATION!DB$14+9,15)</f>
        <v>4069.9360063135841</v>
      </c>
      <c r="DC20" s="247">
        <f ca="1">OFFSET(Calcs!$A$1,Index_CALCULATION!DC$14+9,15)</f>
        <v>4115.4096811867203</v>
      </c>
      <c r="DD20" s="247">
        <f ca="1">OFFSET(Calcs!$A$1,Index_CALCULATION!DD$14+9,15)</f>
        <v>4115.4096811867203</v>
      </c>
      <c r="DE20" s="247">
        <f ca="1">OFFSET(Calcs!$A$1,Index_CALCULATION!DE$14+9,15)</f>
        <v>4115.4096811867203</v>
      </c>
      <c r="DF20" s="247">
        <f ca="1">OFFSET(Calcs!$A$1,Index_CALCULATION!DF$14+9,15)</f>
        <v>4148.4650036311268</v>
      </c>
      <c r="DG20" s="247">
        <f ca="1">OFFSET(Calcs!$A$1,Index_CALCULATION!DG$14+9,15)</f>
        <v>4148.4650036311268</v>
      </c>
      <c r="DH20" s="247">
        <f ca="1">OFFSET(Calcs!$A$1,Index_CALCULATION!DH$14+9,15)</f>
        <v>4148.4650036311268</v>
      </c>
      <c r="DI20" s="247">
        <f ca="1">OFFSET(Calcs!$A$1,Index_CALCULATION!DI$14+9,15)</f>
        <v>4194.8160883914434</v>
      </c>
      <c r="DJ20" s="247">
        <f ca="1">OFFSET(Calcs!$A$1,Index_CALCULATION!DJ$14+9,15)</f>
        <v>4194.8160883914434</v>
      </c>
      <c r="DK20" s="247">
        <f ca="1">OFFSET(Calcs!$A$1,Index_CALCULATION!DK$14+9,15)</f>
        <v>4220.3164118531331</v>
      </c>
      <c r="DL20" s="247">
        <f ca="1">OFFSET(Calcs!$A$1,Index_CALCULATION!DL$14+9,15)</f>
        <v>4190.2786998796255</v>
      </c>
      <c r="DM20" s="247">
        <f ca="1">OFFSET(Calcs!$A$1,Index_CALCULATION!DM$14+9,15)</f>
        <v>4218.3072157892811</v>
      </c>
      <c r="DO20" t="str">
        <f t="shared" si="5"/>
        <v>Sub-index value: 1461.2 (Base = 1000, March 2011)</v>
      </c>
      <c r="DP20" s="17">
        <f t="shared" si="2"/>
        <v>23</v>
      </c>
      <c r="DQ20" s="86" t="str">
        <f t="shared" si="3"/>
        <v>Attackers: Nation states</v>
      </c>
      <c r="DT20">
        <f t="shared" si="4"/>
        <v>4</v>
      </c>
    </row>
    <row r="21" spans="1:124" x14ac:dyDescent="0.3">
      <c r="A21" s="74">
        <v>0</v>
      </c>
      <c r="B21" s="77" t="s">
        <v>157</v>
      </c>
      <c r="C21" s="165"/>
      <c r="D21" s="165"/>
      <c r="E21" s="165"/>
      <c r="F21" s="165"/>
      <c r="G21" s="1"/>
      <c r="H21" s="165"/>
      <c r="I21" s="165"/>
      <c r="J21" s="25"/>
      <c r="K21" s="165"/>
      <c r="L21" s="165"/>
      <c r="M21" s="165"/>
      <c r="N21" s="165"/>
      <c r="O21" s="165"/>
      <c r="P21" s="165">
        <f t="shared" ca="1" si="1"/>
        <v>21</v>
      </c>
      <c r="Q21" s="78">
        <v>1000</v>
      </c>
      <c r="R21" s="78">
        <v>1000</v>
      </c>
      <c r="S21" s="78">
        <v>1000</v>
      </c>
      <c r="T21" s="78">
        <v>1000</v>
      </c>
      <c r="U21" s="78">
        <v>1000</v>
      </c>
      <c r="V21" s="78">
        <v>1000</v>
      </c>
      <c r="W21" s="78">
        <v>1000</v>
      </c>
      <c r="X21" s="78">
        <v>1000</v>
      </c>
      <c r="Y21" s="78">
        <v>1000</v>
      </c>
      <c r="Z21" s="78">
        <v>1000</v>
      </c>
      <c r="AA21" s="78">
        <v>1000</v>
      </c>
      <c r="AB21" s="78">
        <v>1000</v>
      </c>
      <c r="AC21" s="78">
        <v>1000</v>
      </c>
      <c r="AD21">
        <v>1011.7059152296835</v>
      </c>
      <c r="AE21">
        <v>1041.9285958270304</v>
      </c>
      <c r="AF21">
        <v>1045.8678296912065</v>
      </c>
      <c r="AG21">
        <v>1053.4374071146342</v>
      </c>
      <c r="AH21">
        <v>1080.6924753352998</v>
      </c>
      <c r="AI21">
        <v>1124.3278043876705</v>
      </c>
      <c r="AJ21">
        <v>1138.4701071909487</v>
      </c>
      <c r="AK21">
        <v>1177.7238735002259</v>
      </c>
      <c r="AL21">
        <v>1207.5380953023812</v>
      </c>
      <c r="AM21">
        <v>1234.3770298880768</v>
      </c>
      <c r="AN21">
        <v>1267.5445009370499</v>
      </c>
      <c r="AO21">
        <v>1304.2006664989281</v>
      </c>
      <c r="AP21">
        <v>1324.9923204675947</v>
      </c>
      <c r="AQ21">
        <v>1329.0546340623723</v>
      </c>
      <c r="AR21">
        <v>1337.6260782615725</v>
      </c>
      <c r="AS21">
        <v>1352.2170654065844</v>
      </c>
      <c r="AT21" s="132">
        <v>1357.4279147139564</v>
      </c>
      <c r="AU21" s="132">
        <v>1357.4279147139564</v>
      </c>
      <c r="AV21" s="132">
        <v>1371.0702920615454</v>
      </c>
      <c r="AW21" s="132">
        <v>1380.7722608633167</v>
      </c>
      <c r="AX21" s="132">
        <v>1405.4412146969087</v>
      </c>
      <c r="AY21" s="132">
        <v>1417.7515703310301</v>
      </c>
      <c r="AZ21" s="132">
        <v>1425.5533019251664</v>
      </c>
      <c r="BA21" s="132">
        <v>1420.5891050864723</v>
      </c>
      <c r="BB21" s="132">
        <v>1423.0126287046173</v>
      </c>
      <c r="BC21" s="132">
        <v>1432.5893066090514</v>
      </c>
      <c r="BD21" s="132">
        <v>1417.3220702839276</v>
      </c>
      <c r="BE21" s="132">
        <v>1441.1420532608586</v>
      </c>
      <c r="BF21" s="132">
        <v>1475.8667076171982</v>
      </c>
      <c r="BG21" s="132">
        <v>1487.8522704967388</v>
      </c>
      <c r="BH21" s="132">
        <v>1518.5081729542653</v>
      </c>
      <c r="BI21" s="165">
        <f ca="1">OFFSET(Calcs!$A$1,Index_CALCULATION!BI$14+10,15)</f>
        <v>1526.5213901489194</v>
      </c>
      <c r="BJ21" s="165">
        <f ca="1">OFFSET(Calcs!$A$1,Index_CALCULATION!BJ$14+10,15)</f>
        <v>1540.4621283132863</v>
      </c>
      <c r="BK21" s="132">
        <f ca="1">OFFSET(Calcs!$A$1,Index_CALCULATION!BK$14+10,15)</f>
        <v>1532.3757315592197</v>
      </c>
      <c r="BL21" s="165">
        <f ca="1">OFFSET(Calcs!$A$1,Index_CALCULATION!BL$14+10,15)</f>
        <v>1547.776363697114</v>
      </c>
      <c r="BM21" s="165">
        <f ca="1">OFFSET(Calcs!$A$1,Index_CALCULATION!BM$14+10,15)</f>
        <v>1555.9440300896679</v>
      </c>
      <c r="BN21" s="165">
        <f ca="1">OFFSET(Calcs!$A$1,Index_CALCULATION!BN$14+10,15)</f>
        <v>1563.5525432300074</v>
      </c>
      <c r="BO21" s="165">
        <f ca="1">OFFSET(Calcs!$A$1,Index_CALCULATION!BO$14+10,15)</f>
        <v>1578.8813675514875</v>
      </c>
      <c r="BP21" s="165">
        <f ca="1">OFFSET(Calcs!$A$1,Index_CALCULATION!BP$14+10,15)</f>
        <v>1578.8813675514875</v>
      </c>
      <c r="BQ21" s="165">
        <f ca="1">OFFSET(Calcs!$A$1,Index_CALCULATION!BQ$14+10,15)</f>
        <v>1588.1962749345146</v>
      </c>
      <c r="BR21" s="165">
        <f ca="1">OFFSET(Calcs!$A$1,Index_CALCULATION!BR$14+10,15)</f>
        <v>1588.1962749345146</v>
      </c>
      <c r="BS21" s="165">
        <f ca="1">OFFSET(Calcs!$A$1,Index_CALCULATION!BS$14+10,15)</f>
        <v>1588.1962749345146</v>
      </c>
      <c r="BT21" s="165">
        <f ca="1">OFFSET(Calcs!$A$1,Index_CALCULATION!BT$14+10,15)</f>
        <v>1600.0043714846461</v>
      </c>
      <c r="BU21" s="165">
        <f ca="1">OFFSET(Calcs!$A$1,Index_CALCULATION!BU$14+10,15)</f>
        <v>1610.7067020916684</v>
      </c>
      <c r="BV21" s="165">
        <f ca="1">OFFSET(Calcs!$A$1,Index_CALCULATION!BV$14+10,15)</f>
        <v>1610.7067020916684</v>
      </c>
      <c r="BW21" s="165">
        <f ca="1">OFFSET(Calcs!$A$1,Index_CALCULATION!BW$14+10,15)</f>
        <v>1619.4367984039598</v>
      </c>
      <c r="BX21" s="165">
        <f ca="1">OFFSET(Calcs!$A$1,Index_CALCULATION!BX$14+10,15)</f>
        <v>1629.2813687772227</v>
      </c>
      <c r="BY21" s="165">
        <f ca="1">OFFSET(Calcs!$A$1,Index_CALCULATION!BY$14+10,15)</f>
        <v>1619.9977394438681</v>
      </c>
      <c r="BZ21" s="165">
        <f ca="1">OFFSET(Calcs!$A$1,Index_CALCULATION!BZ$14+10,15)</f>
        <v>1630.4831252182605</v>
      </c>
      <c r="CA21" s="165">
        <f ca="1">OFFSET(Calcs!$A$1,Index_CALCULATION!CA$14+10,15)</f>
        <v>1641.7667005844194</v>
      </c>
      <c r="CB21" s="165">
        <f ca="1">OFFSET(Calcs!$A$1,Index_CALCULATION!CB$14+10,15)</f>
        <v>1641.7667005844194</v>
      </c>
      <c r="CC21" s="165">
        <f ca="1">OFFSET(Calcs!$A$1,Index_CALCULATION!CC$14+10,15)</f>
        <v>1631.8466903700307</v>
      </c>
      <c r="CD21" s="165">
        <f ca="1">OFFSET(Calcs!$A$1,Index_CALCULATION!CD$14+10,15)</f>
        <v>1641.7667005844191</v>
      </c>
      <c r="CE21" s="165">
        <f ca="1">OFFSET(Calcs!$A$1,Index_CALCULATION!CE$14+10,15)</f>
        <v>1683.3282224827076</v>
      </c>
      <c r="CF21" s="165">
        <f ca="1">OFFSET(Calcs!$A$1,Index_CALCULATION!CF$14+10,15)</f>
        <v>1693.259333717479</v>
      </c>
      <c r="CG21" s="165">
        <f ca="1">OFFSET(Calcs!$A$1,Index_CALCULATION!CG$14+10,15)</f>
        <v>1682.0084826659886</v>
      </c>
      <c r="CH21" s="165">
        <f ca="1">OFFSET(Calcs!$A$1,Index_CALCULATION!CH$14+10,15)</f>
        <v>1682.0084826659886</v>
      </c>
      <c r="CI21" s="165">
        <f ca="1">OFFSET(Calcs!$A$1,Index_CALCULATION!CI$14+10,15)</f>
        <v>1671.191745256215</v>
      </c>
      <c r="CJ21" s="165">
        <f ca="1">OFFSET(Calcs!$A$1,Index_CALCULATION!CJ$14+10,15)</f>
        <v>1660.0875221582219</v>
      </c>
      <c r="CK21" s="165">
        <f ca="1">OFFSET(Calcs!$A$1,Index_CALCULATION!CK$14+10,15)</f>
        <v>1660.0875221582219</v>
      </c>
      <c r="CL21" s="165">
        <f ca="1">OFFSET(Calcs!$A$1,Index_CALCULATION!CL$14+10,15)</f>
        <v>1660.0875221582219</v>
      </c>
      <c r="CM21" s="165">
        <f ca="1">OFFSET(Calcs!$A$1,Index_CALCULATION!CM$14+10,15)</f>
        <v>1660.0875221582219</v>
      </c>
      <c r="CN21" s="165">
        <f ca="1">OFFSET(Calcs!$A$1,Index_CALCULATION!CN$14+10,15)</f>
        <v>1660.0875221582219</v>
      </c>
      <c r="CO21" s="165">
        <f ca="1">OFFSET(Calcs!$A$1,Index_CALCULATION!CO$14+10,15)</f>
        <v>1660.0875221582219</v>
      </c>
      <c r="CP21" s="165">
        <f ca="1">OFFSET(Calcs!$A$1,Index_CALCULATION!CP$14+10,15)</f>
        <v>1641.7442013003565</v>
      </c>
      <c r="CQ21" s="165">
        <f ca="1">OFFSET(Calcs!$A$1,Index_CALCULATION!CQ$14+10,15)</f>
        <v>1630.059238695578</v>
      </c>
      <c r="CR21" s="165">
        <f ca="1">OFFSET(Calcs!$A$1,Index_CALCULATION!CR$14+10,15)</f>
        <v>1641.3398806026587</v>
      </c>
      <c r="CS21" s="165">
        <f ca="1">OFFSET(Calcs!$A$1,Index_CALCULATION!CS$14+10,15)</f>
        <v>1616.2817469398037</v>
      </c>
      <c r="CT21" s="165">
        <f ca="1">OFFSET(Calcs!$A$1,Index_CALCULATION!CT$14+10,15)</f>
        <v>1627.8679465842358</v>
      </c>
      <c r="CU21" s="165">
        <f ca="1">OFFSET(Calcs!$A$1,Index_CALCULATION!CU$14+10,15)</f>
        <v>1640.9431211208664</v>
      </c>
      <c r="CV21" s="165">
        <f ca="1">OFFSET(Calcs!$A$1,Index_CALCULATION!CV$14+10,15)</f>
        <v>1628.8328949534903</v>
      </c>
      <c r="CW21" s="165">
        <f ca="1">OFFSET(Calcs!$A$1,Index_CALCULATION!CW$14+10,15)</f>
        <v>1614.0924268272679</v>
      </c>
      <c r="CX21" s="165">
        <f ca="1">OFFSET(Calcs!$A$1,Index_CALCULATION!CX$14+10,15)</f>
        <v>1602.9990519040412</v>
      </c>
      <c r="CY21" s="165">
        <f ca="1">OFFSET(Calcs!$A$1,Index_CALCULATION!CY$14+10,15)</f>
        <v>1602.9990519040412</v>
      </c>
      <c r="CZ21" s="165">
        <f ca="1">OFFSET(Calcs!$A$1,Index_CALCULATION!CZ$14+10,15)</f>
        <v>1590.2262189423586</v>
      </c>
      <c r="DA21" s="165">
        <f ca="1">OFFSET(Calcs!$A$1,Index_CALCULATION!DA$14+10,15)</f>
        <v>1578.0406372743143</v>
      </c>
      <c r="DB21" s="165">
        <f ca="1">OFFSET(Calcs!$A$1,Index_CALCULATION!DB$14+10,15)</f>
        <v>1564.3780334920696</v>
      </c>
      <c r="DC21" s="247">
        <f ca="1">OFFSET(Calcs!$A$1,Index_CALCULATION!DC$14+10,15)</f>
        <v>1547.0922652248428</v>
      </c>
      <c r="DD21" s="247">
        <f ca="1">OFFSET(Calcs!$A$1,Index_CALCULATION!DD$14+10,15)</f>
        <v>1534.2533992550834</v>
      </c>
      <c r="DE21" s="247">
        <f ca="1">OFFSET(Calcs!$A$1,Index_CALCULATION!DE$14+10,15)</f>
        <v>1520.9699033802301</v>
      </c>
      <c r="DF21" s="247">
        <f ca="1">OFFSET(Calcs!$A$1,Index_CALCULATION!DF$14+10,15)</f>
        <v>1520.9699033802301</v>
      </c>
      <c r="DG21" s="247">
        <f ca="1">OFFSET(Calcs!$A$1,Index_CALCULATION!DG$14+10,15)</f>
        <v>1506.5532354977881</v>
      </c>
      <c r="DH21" s="247">
        <f ca="1">OFFSET(Calcs!$A$1,Index_CALCULATION!DH$14+10,15)</f>
        <v>1495.8304820962799</v>
      </c>
      <c r="DI21" s="247">
        <f ca="1">OFFSET(Calcs!$A$1,Index_CALCULATION!DI$14+10,15)</f>
        <v>1479.3021375868316</v>
      </c>
      <c r="DJ21" s="247">
        <f ca="1">OFFSET(Calcs!$A$1,Index_CALCULATION!DJ$14+10,15)</f>
        <v>1467.9665447041625</v>
      </c>
      <c r="DK21" s="247">
        <f ca="1">OFFSET(Calcs!$A$1,Index_CALCULATION!DK$14+10,15)</f>
        <v>1467.9665447041625</v>
      </c>
      <c r="DL21" s="247">
        <f ca="1">OFFSET(Calcs!$A$1,Index_CALCULATION!DL$14+10,15)</f>
        <v>1457.5184285077735</v>
      </c>
      <c r="DM21" s="247">
        <f ca="1">OFFSET(Calcs!$A$1,Index_CALCULATION!DM$14+10,15)</f>
        <v>1438.2138327591576</v>
      </c>
      <c r="DO21" t="str">
        <f t="shared" si="5"/>
        <v>Sub-index value: 1011.7 (Base = 1000, March 2011)</v>
      </c>
      <c r="DP21" s="17">
        <f t="shared" si="2"/>
        <v>5</v>
      </c>
      <c r="DQ21" s="86" t="str">
        <f t="shared" si="3"/>
        <v>Weapons: Botnets</v>
      </c>
      <c r="DT21">
        <f t="shared" si="4"/>
        <v>21</v>
      </c>
    </row>
    <row r="22" spans="1:124" x14ac:dyDescent="0.3">
      <c r="A22" s="74" t="s">
        <v>37</v>
      </c>
      <c r="B22" s="77" t="s">
        <v>158</v>
      </c>
      <c r="C22" s="165"/>
      <c r="D22" s="165"/>
      <c r="E22" s="165"/>
      <c r="F22" s="165"/>
      <c r="G22" s="1"/>
      <c r="H22" s="165"/>
      <c r="I22" s="165"/>
      <c r="J22" s="25"/>
      <c r="K22" s="165"/>
      <c r="L22" s="165"/>
      <c r="M22" s="165"/>
      <c r="N22" s="165"/>
      <c r="O22" s="165"/>
      <c r="P22" s="165">
        <f t="shared" ca="1" si="1"/>
        <v>11</v>
      </c>
      <c r="Q22" s="78">
        <v>1047.9448766671974</v>
      </c>
      <c r="R22" s="78">
        <v>1080.2452824966854</v>
      </c>
      <c r="S22" s="78">
        <v>1108.4312246480806</v>
      </c>
      <c r="T22" s="78">
        <v>1127.378309491789</v>
      </c>
      <c r="U22" s="78">
        <v>1159.7141421831629</v>
      </c>
      <c r="V22" s="78">
        <v>1192.8618832469015</v>
      </c>
      <c r="W22" s="78">
        <v>1217.1409410260942</v>
      </c>
      <c r="X22" s="78">
        <v>1239.6241005467175</v>
      </c>
      <c r="Y22" s="78">
        <v>1266.7351017770673</v>
      </c>
      <c r="Z22" s="78">
        <v>1303.0680114760471</v>
      </c>
      <c r="AA22" s="78">
        <v>1341.2483747146998</v>
      </c>
      <c r="AB22" s="78">
        <v>1376.452991265038</v>
      </c>
      <c r="AC22" s="78">
        <v>1437.1927220758905</v>
      </c>
      <c r="AD22">
        <v>1458.4101217909965</v>
      </c>
      <c r="AE22">
        <v>1503.7951999174243</v>
      </c>
      <c r="AF22">
        <v>1524.507323448516</v>
      </c>
      <c r="AG22">
        <v>1554.8558334609293</v>
      </c>
      <c r="AH22">
        <v>1597.6866556253408</v>
      </c>
      <c r="AI22">
        <v>1626.2310140726381</v>
      </c>
      <c r="AJ22">
        <v>1657.0105015440311</v>
      </c>
      <c r="AK22">
        <v>1697.5187371618842</v>
      </c>
      <c r="AL22">
        <v>1731.1089471723812</v>
      </c>
      <c r="AM22">
        <v>1776.4629524796533</v>
      </c>
      <c r="AN22">
        <v>1804.2673066337316</v>
      </c>
      <c r="AO22">
        <v>1837.8118237440658</v>
      </c>
      <c r="AP22">
        <v>1866.1579780074526</v>
      </c>
      <c r="AQ22">
        <v>1874.7467748488298</v>
      </c>
      <c r="AR22">
        <v>1894.9413394163928</v>
      </c>
      <c r="AS22">
        <v>1907.4965131134056</v>
      </c>
      <c r="AT22" s="132">
        <v>1925.9262884340626</v>
      </c>
      <c r="AU22" s="132">
        <v>1943.694831961179</v>
      </c>
      <c r="AV22" s="132">
        <v>1966.5040668221436</v>
      </c>
      <c r="AW22" s="132">
        <v>1988.0511093568878</v>
      </c>
      <c r="AX22" s="132">
        <v>2023.5697407964292</v>
      </c>
      <c r="AY22" s="132">
        <v>2030.6410314843351</v>
      </c>
      <c r="AZ22" s="132">
        <v>2059.3201673941671</v>
      </c>
      <c r="BA22" s="132">
        <v>2097.9917206682235</v>
      </c>
      <c r="BB22" s="132">
        <v>2111.1452308242492</v>
      </c>
      <c r="BC22" s="132">
        <v>2121.4686588648874</v>
      </c>
      <c r="BD22" s="132">
        <v>2130.5801781408441</v>
      </c>
      <c r="BE22" s="132">
        <v>2159.9494160482536</v>
      </c>
      <c r="BF22" s="132">
        <v>2230.5042033418472</v>
      </c>
      <c r="BG22" s="132">
        <v>2281.9304600207461</v>
      </c>
      <c r="BH22" s="132">
        <v>2355.141298623565</v>
      </c>
      <c r="BI22" s="165">
        <f ca="1">OFFSET(Calcs!$A$1,Index_CALCULATION!BI$14+11,15)</f>
        <v>2380.0631974314933</v>
      </c>
      <c r="BJ22" s="165">
        <f ca="1">OFFSET(Calcs!$A$1,Index_CALCULATION!BJ$14+11,15)</f>
        <v>2401.7987840168876</v>
      </c>
      <c r="BK22" s="132">
        <f ca="1">OFFSET(Calcs!$A$1,Index_CALCULATION!BK$14+11,15)</f>
        <v>2401.7987840168876</v>
      </c>
      <c r="BL22" s="165">
        <f ca="1">OFFSET(Calcs!$A$1,Index_CALCULATION!BL$14+11,15)</f>
        <v>2425.9372630988087</v>
      </c>
      <c r="BM22" s="165">
        <f ca="1">OFFSET(Calcs!$A$1,Index_CALCULATION!BM$14+11,15)</f>
        <v>2425.9372630988087</v>
      </c>
      <c r="BN22" s="165">
        <f ca="1">OFFSET(Calcs!$A$1,Index_CALCULATION!BN$14+11,15)</f>
        <v>2437.8000134207869</v>
      </c>
      <c r="BO22" s="165">
        <f ca="1">OFFSET(Calcs!$A$1,Index_CALCULATION!BO$14+11,15)</f>
        <v>2461.699823055219</v>
      </c>
      <c r="BP22" s="165">
        <f ca="1">OFFSET(Calcs!$A$1,Index_CALCULATION!BP$14+11,15)</f>
        <v>2461.699823055219</v>
      </c>
      <c r="BQ22" s="165">
        <f ca="1">OFFSET(Calcs!$A$1,Index_CALCULATION!BQ$14+11,15)</f>
        <v>2476.2230838446812</v>
      </c>
      <c r="BR22" s="165">
        <f ca="1">OFFSET(Calcs!$A$1,Index_CALCULATION!BR$14+11,15)</f>
        <v>2476.2230838446812</v>
      </c>
      <c r="BS22" s="165">
        <f ca="1">OFFSET(Calcs!$A$1,Index_CALCULATION!BS$14+11,15)</f>
        <v>2463.2245673998327</v>
      </c>
      <c r="BT22" s="165">
        <f ca="1">OFFSET(Calcs!$A$1,Index_CALCULATION!BT$14+11,15)</f>
        <v>2481.5384206530853</v>
      </c>
      <c r="BU22" s="165">
        <f ca="1">OFFSET(Calcs!$A$1,Index_CALCULATION!BU$14+11,15)</f>
        <v>2498.1372781719642</v>
      </c>
      <c r="BV22" s="165">
        <f ca="1">OFFSET(Calcs!$A$1,Index_CALCULATION!BV$14+11,15)</f>
        <v>2498.1372781719642</v>
      </c>
      <c r="BW22" s="165">
        <f ca="1">OFFSET(Calcs!$A$1,Index_CALCULATION!BW$14+11,15)</f>
        <v>2525.2906783425833</v>
      </c>
      <c r="BX22" s="165">
        <f ca="1">OFFSET(Calcs!$A$1,Index_CALCULATION!BX$14+11,15)</f>
        <v>2540.6419423254629</v>
      </c>
      <c r="BY22" s="165">
        <f ca="1">OFFSET(Calcs!$A$1,Index_CALCULATION!BY$14+11,15)</f>
        <v>2526.1653893412317</v>
      </c>
      <c r="BZ22" s="165">
        <f ca="1">OFFSET(Calcs!$A$1,Index_CALCULATION!BZ$14+11,15)</f>
        <v>2542.5159174884216</v>
      </c>
      <c r="CA22" s="165">
        <f ca="1">OFFSET(Calcs!$A$1,Index_CALCULATION!CA$14+11,15)</f>
        <v>2560.1111133729537</v>
      </c>
      <c r="CB22" s="165">
        <f ca="1">OFFSET(Calcs!$A$1,Index_CALCULATION!CB$14+11,15)</f>
        <v>2560.1111133729537</v>
      </c>
      <c r="CC22" s="165">
        <f ca="1">OFFSET(Calcs!$A$1,Index_CALCULATION!CC$14+11,15)</f>
        <v>2544.6422112533105</v>
      </c>
      <c r="CD22" s="165">
        <f ca="1">OFFSET(Calcs!$A$1,Index_CALCULATION!CD$14+11,15)</f>
        <v>2560.1111133729532</v>
      </c>
      <c r="CE22" s="165">
        <f ca="1">OFFSET(Calcs!$A$1,Index_CALCULATION!CE$14+11,15)</f>
        <v>2560.1111133729532</v>
      </c>
      <c r="CF22" s="165">
        <f ca="1">OFFSET(Calcs!$A$1,Index_CALCULATION!CF$14+11,15)</f>
        <v>2575.2149700663217</v>
      </c>
      <c r="CG22" s="165">
        <f ca="1">OFFSET(Calcs!$A$1,Index_CALCULATION!CG$14+11,15)</f>
        <v>2575.2149700663217</v>
      </c>
      <c r="CH22" s="165">
        <f ca="1">OFFSET(Calcs!$A$1,Index_CALCULATION!CH$14+11,15)</f>
        <v>2575.2149700663217</v>
      </c>
      <c r="CI22" s="165">
        <f ca="1">OFFSET(Calcs!$A$1,Index_CALCULATION!CI$14+11,15)</f>
        <v>2558.6541593498532</v>
      </c>
      <c r="CJ22" s="165">
        <f ca="1">OFFSET(Calcs!$A$1,Index_CALCULATION!CJ$14+11,15)</f>
        <v>2558.6541593498532</v>
      </c>
      <c r="CK22" s="165">
        <f ca="1">OFFSET(Calcs!$A$1,Index_CALCULATION!CK$14+11,15)</f>
        <v>2558.6541593498532</v>
      </c>
      <c r="CL22" s="165">
        <f ca="1">OFFSET(Calcs!$A$1,Index_CALCULATION!CL$14+11,15)</f>
        <v>2625.543317867337</v>
      </c>
      <c r="CM22" s="165">
        <f ca="1">OFFSET(Calcs!$A$1,Index_CALCULATION!CM$14+11,15)</f>
        <v>2608.0979117146312</v>
      </c>
      <c r="CN22" s="165">
        <f ca="1">OFFSET(Calcs!$A$1,Index_CALCULATION!CN$14+11,15)</f>
        <v>2648.5327345425799</v>
      </c>
      <c r="CO22" s="165">
        <f ca="1">OFFSET(Calcs!$A$1,Index_CALCULATION!CO$14+11,15)</f>
        <v>2632.9988628715887</v>
      </c>
      <c r="CP22" s="165">
        <f ca="1">OFFSET(Calcs!$A$1,Index_CALCULATION!CP$14+11,15)</f>
        <v>2603.9052504473125</v>
      </c>
      <c r="CQ22" s="165">
        <f ca="1">OFFSET(Calcs!$A$1,Index_CALCULATION!CQ$14+11,15)</f>
        <v>2585.3721955086908</v>
      </c>
      <c r="CR22" s="165">
        <f ca="1">OFFSET(Calcs!$A$1,Index_CALCULATION!CR$14+11,15)</f>
        <v>2585.3721955086908</v>
      </c>
      <c r="CS22" s="165">
        <f ca="1">OFFSET(Calcs!$A$1,Index_CALCULATION!CS$14+11,15)</f>
        <v>2565.5610116309558</v>
      </c>
      <c r="CT22" s="165">
        <f ca="1">OFFSET(Calcs!$A$1,Index_CALCULATION!CT$14+11,15)</f>
        <v>2583.9520515205095</v>
      </c>
      <c r="CU22" s="165">
        <f ca="1">OFFSET(Calcs!$A$1,Index_CALCULATION!CU$14+11,15)</f>
        <v>2583.9520515205095</v>
      </c>
      <c r="CV22" s="165">
        <f ca="1">OFFSET(Calcs!$A$1,Index_CALCULATION!CV$14+11,15)</f>
        <v>2583.9520515205095</v>
      </c>
      <c r="CW22" s="165">
        <f ca="1">OFFSET(Calcs!$A$1,Index_CALCULATION!CW$14+11,15)</f>
        <v>2560.5680303768227</v>
      </c>
      <c r="CX22" s="165">
        <f ca="1">OFFSET(Calcs!$A$1,Index_CALCULATION!CX$14+11,15)</f>
        <v>2560.5680303768227</v>
      </c>
      <c r="CY22" s="165">
        <f ca="1">OFFSET(Calcs!$A$1,Index_CALCULATION!CY$14+11,15)</f>
        <v>2560.5680303768227</v>
      </c>
      <c r="CZ22" s="165">
        <f ca="1">OFFSET(Calcs!$A$1,Index_CALCULATION!CZ$14+11,15)</f>
        <v>2560.5680303768227</v>
      </c>
      <c r="DA22" s="165">
        <f ca="1">OFFSET(Calcs!$A$1,Index_CALCULATION!DA$14+11,15)</f>
        <v>2560.5680303768227</v>
      </c>
      <c r="DB22" s="165">
        <f ca="1">OFFSET(Calcs!$A$1,Index_CALCULATION!DB$14+11,15)</f>
        <v>2538.3987492885053</v>
      </c>
      <c r="DC22" s="247">
        <f ca="1">OFFSET(Calcs!$A$1,Index_CALCULATION!DC$14+11,15)</f>
        <v>2510.3504312920727</v>
      </c>
      <c r="DD22" s="247">
        <f ca="1">OFFSET(Calcs!$A$1,Index_CALCULATION!DD$14+11,15)</f>
        <v>2489.5177676889084</v>
      </c>
      <c r="DE22" s="247">
        <f ca="1">OFFSET(Calcs!$A$1,Index_CALCULATION!DE$14+11,15)</f>
        <v>2467.963636530701</v>
      </c>
      <c r="DF22" s="247">
        <f ca="1">OFFSET(Calcs!$A$1,Index_CALCULATION!DF$14+11,15)</f>
        <v>2487.7865314807532</v>
      </c>
      <c r="DG22" s="247">
        <f ca="1">OFFSET(Calcs!$A$1,Index_CALCULATION!DG$14+11,15)</f>
        <v>2464.2057938822895</v>
      </c>
      <c r="DH22" s="247">
        <f ca="1">OFFSET(Calcs!$A$1,Index_CALCULATION!DH$14+11,15)</f>
        <v>2446.6670369132157</v>
      </c>
      <c r="DI22" s="247">
        <f ca="1">OFFSET(Calcs!$A$1,Index_CALCULATION!DI$14+11,15)</f>
        <v>2419.6323186279319</v>
      </c>
      <c r="DJ22" s="247">
        <f ca="1">OFFSET(Calcs!$A$1,Index_CALCULATION!DJ$14+11,15)</f>
        <v>2401.0911658824502</v>
      </c>
      <c r="DK22" s="247">
        <f ca="1">OFFSET(Calcs!$A$1,Index_CALCULATION!DK$14+11,15)</f>
        <v>2401.0911658824502</v>
      </c>
      <c r="DL22" s="247">
        <f ca="1">OFFSET(Calcs!$A$1,Index_CALCULATION!DL$14+11,15)</f>
        <v>2384.0016214444204</v>
      </c>
      <c r="DM22" s="247">
        <f ca="1">OFFSET(Calcs!$A$1,Index_CALCULATION!DM$14+11,15)</f>
        <v>2352.4259057170061</v>
      </c>
      <c r="DO22" t="str">
        <f t="shared" si="5"/>
        <v>Sub-index value: 1458.4 (Base = 1000, March 2011)</v>
      </c>
      <c r="DP22" s="17">
        <f t="shared" si="2"/>
        <v>19</v>
      </c>
      <c r="DQ22" s="86" t="str">
        <f t="shared" si="3"/>
        <v>Weapons: Mass malware</v>
      </c>
      <c r="DT22">
        <f t="shared" si="4"/>
        <v>6</v>
      </c>
    </row>
    <row r="23" spans="1:124" x14ac:dyDescent="0.3">
      <c r="A23" s="74">
        <v>0</v>
      </c>
      <c r="B23" s="77" t="s">
        <v>159</v>
      </c>
      <c r="C23" s="165"/>
      <c r="D23" s="165"/>
      <c r="E23" s="165"/>
      <c r="F23" s="165"/>
      <c r="G23" s="1"/>
      <c r="H23" s="165"/>
      <c r="I23" s="165"/>
      <c r="J23" s="25"/>
      <c r="K23" s="165"/>
      <c r="L23" s="165"/>
      <c r="M23" s="165"/>
      <c r="N23" s="165"/>
      <c r="O23" s="165"/>
      <c r="P23" s="165">
        <f t="shared" ca="1" si="1"/>
        <v>9</v>
      </c>
      <c r="Q23" s="78">
        <v>1000</v>
      </c>
      <c r="R23" s="78">
        <v>1000</v>
      </c>
      <c r="S23" s="78">
        <v>1000</v>
      </c>
      <c r="T23" s="78">
        <v>1000</v>
      </c>
      <c r="U23" s="78">
        <v>1000</v>
      </c>
      <c r="V23" s="78">
        <v>1000</v>
      </c>
      <c r="W23" s="78">
        <v>1000</v>
      </c>
      <c r="X23" s="78">
        <v>1000</v>
      </c>
      <c r="Y23" s="78">
        <v>1000</v>
      </c>
      <c r="Z23" s="78">
        <v>1000</v>
      </c>
      <c r="AA23" s="78">
        <v>1000</v>
      </c>
      <c r="AB23" s="78">
        <v>1000</v>
      </c>
      <c r="AC23" s="78">
        <v>1000</v>
      </c>
      <c r="AD23">
        <v>1020.4652193217524</v>
      </c>
      <c r="AE23">
        <v>1074.5172854217869</v>
      </c>
      <c r="AF23">
        <v>1105.3625831648267</v>
      </c>
      <c r="AG23">
        <v>1121.9601133411236</v>
      </c>
      <c r="AH23">
        <v>1168.0020600735822</v>
      </c>
      <c r="AI23">
        <v>1207.5916224838647</v>
      </c>
      <c r="AJ23">
        <v>1224.0556492940045</v>
      </c>
      <c r="AK23">
        <v>1242.3442967394099</v>
      </c>
      <c r="AL23">
        <v>1271.2149918245259</v>
      </c>
      <c r="AM23">
        <v>1327.7789878233498</v>
      </c>
      <c r="AN23">
        <v>1359.845715375656</v>
      </c>
      <c r="AO23">
        <v>1393.6589855474729</v>
      </c>
      <c r="AP23">
        <v>1417.3222996162435</v>
      </c>
      <c r="AQ23">
        <v>1444.3320101358456</v>
      </c>
      <c r="AR23">
        <v>1466.1602931315799</v>
      </c>
      <c r="AS23">
        <v>1498.3208551320099</v>
      </c>
      <c r="AT23" s="132">
        <v>1512.7972730591214</v>
      </c>
      <c r="AU23" s="132">
        <v>1535.3469079184435</v>
      </c>
      <c r="AV23" s="132">
        <v>1563.7545422055773</v>
      </c>
      <c r="AW23" s="132">
        <v>1611.5845581671533</v>
      </c>
      <c r="AX23" s="132">
        <v>1669.6842877038362</v>
      </c>
      <c r="AY23" s="132">
        <v>1709.9630610904921</v>
      </c>
      <c r="AZ23" s="132">
        <v>1735.1709085586417</v>
      </c>
      <c r="BA23" s="132">
        <v>1819.8977779065001</v>
      </c>
      <c r="BB23" s="132">
        <v>1851.1846547523789</v>
      </c>
      <c r="BC23" s="132">
        <v>1878.4743556086173</v>
      </c>
      <c r="BD23" s="132">
        <v>1897.3533367458087</v>
      </c>
      <c r="BE23" s="132">
        <v>1955.8347360477737</v>
      </c>
      <c r="BF23" s="132">
        <v>2075.7880958291139</v>
      </c>
      <c r="BG23" s="132">
        <v>2161.4559882851104</v>
      </c>
      <c r="BH23" s="132">
        <v>2233.7388594564472</v>
      </c>
      <c r="BI23" s="165">
        <f ca="1">OFFSET(Calcs!$A$1,Index_CALCULATION!BI$14+12,15)</f>
        <v>2245.5263723297826</v>
      </c>
      <c r="BJ23" s="165">
        <f ca="1">OFFSET(Calcs!$A$1,Index_CALCULATION!BJ$14+12,15)</f>
        <v>2245.5263723297826</v>
      </c>
      <c r="BK23" s="132">
        <f ca="1">OFFSET(Calcs!$A$1,Index_CALCULATION!BK$14+12,15)</f>
        <v>2245.5263723297826</v>
      </c>
      <c r="BL23" s="165">
        <f ca="1">OFFSET(Calcs!$A$1,Index_CALCULATION!BL$14+12,15)</f>
        <v>2245.5263723297826</v>
      </c>
      <c r="BM23" s="165">
        <f ca="1">OFFSET(Calcs!$A$1,Index_CALCULATION!BM$14+12,15)</f>
        <v>2245.5263723297826</v>
      </c>
      <c r="BN23" s="165">
        <f ca="1">OFFSET(Calcs!$A$1,Index_CALCULATION!BN$14+12,15)</f>
        <v>2245.5263723297826</v>
      </c>
      <c r="BO23" s="165">
        <f ca="1">OFFSET(Calcs!$A$1,Index_CALCULATION!BO$14+12,15)</f>
        <v>2267.5411612920943</v>
      </c>
      <c r="BP23" s="165">
        <f ca="1">OFFSET(Calcs!$A$1,Index_CALCULATION!BP$14+12,15)</f>
        <v>2292.1881064755753</v>
      </c>
      <c r="BQ23" s="165">
        <f ca="1">OFFSET(Calcs!$A$1,Index_CALCULATION!BQ$14+12,15)</f>
        <v>2319.3142782181894</v>
      </c>
      <c r="BR23" s="165">
        <f ca="1">OFFSET(Calcs!$A$1,Index_CALCULATION!BR$14+12,15)</f>
        <v>2319.3142782181894</v>
      </c>
      <c r="BS23" s="165">
        <f ca="1">OFFSET(Calcs!$A$1,Index_CALCULATION!BS$14+12,15)</f>
        <v>2307.1394281479838</v>
      </c>
      <c r="BT23" s="165">
        <f ca="1">OFFSET(Calcs!$A$1,Index_CALCULATION!BT$14+12,15)</f>
        <v>2307.1394281479838</v>
      </c>
      <c r="BU23" s="165">
        <f ca="1">OFFSET(Calcs!$A$1,Index_CALCULATION!BU$14+12,15)</f>
        <v>2322.5717415569934</v>
      </c>
      <c r="BV23" s="165">
        <f ca="1">OFFSET(Calcs!$A$1,Index_CALCULATION!BV$14+12,15)</f>
        <v>2336.2741900801461</v>
      </c>
      <c r="BW23" s="165">
        <f ca="1">OFFSET(Calcs!$A$1,Index_CALCULATION!BW$14+12,15)</f>
        <v>2323.6797506358766</v>
      </c>
      <c r="BX23" s="165">
        <f ca="1">OFFSET(Calcs!$A$1,Index_CALCULATION!BX$14+12,15)</f>
        <v>2323.6797506358766</v>
      </c>
      <c r="BY23" s="165">
        <f ca="1">OFFSET(Calcs!$A$1,Index_CALCULATION!BY$14+12,15)</f>
        <v>2323.6797506358766</v>
      </c>
      <c r="BZ23" s="165">
        <f ca="1">OFFSET(Calcs!$A$1,Index_CALCULATION!BZ$14+12,15)</f>
        <v>2323.6797506358766</v>
      </c>
      <c r="CA23" s="165">
        <f ca="1">OFFSET(Calcs!$A$1,Index_CALCULATION!CA$14+12,15)</f>
        <v>2323.6797506358766</v>
      </c>
      <c r="CB23" s="165">
        <f ca="1">OFFSET(Calcs!$A$1,Index_CALCULATION!CB$14+12,15)</f>
        <v>2339.760515402827</v>
      </c>
      <c r="CC23" s="165">
        <f ca="1">OFFSET(Calcs!$A$1,Index_CALCULATION!CC$14+12,15)</f>
        <v>2325.6230327728304</v>
      </c>
      <c r="CD23" s="165">
        <f ca="1">OFFSET(Calcs!$A$1,Index_CALCULATION!CD$14+12,15)</f>
        <v>2339.760515402827</v>
      </c>
      <c r="CE23" s="165">
        <f ca="1">OFFSET(Calcs!$A$1,Index_CALCULATION!CE$14+12,15)</f>
        <v>2354.4298124257043</v>
      </c>
      <c r="CF23" s="165">
        <f ca="1">OFFSET(Calcs!$A$1,Index_CALCULATION!CF$14+12,15)</f>
        <v>2340.6208796201627</v>
      </c>
      <c r="CG23" s="165">
        <f ca="1">OFFSET(Calcs!$A$1,Index_CALCULATION!CG$14+12,15)</f>
        <v>2356.2771483940728</v>
      </c>
      <c r="CH23" s="165">
        <f ca="1">OFFSET(Calcs!$A$1,Index_CALCULATION!CH$14+12,15)</f>
        <v>2371.5280801026433</v>
      </c>
      <c r="CI23" s="165">
        <f ca="1">OFFSET(Calcs!$A$1,Index_CALCULATION!CI$14+12,15)</f>
        <v>2371.5280801026433</v>
      </c>
      <c r="CJ23" s="165">
        <f ca="1">OFFSET(Calcs!$A$1,Index_CALCULATION!CJ$14+12,15)</f>
        <v>2371.5280801026433</v>
      </c>
      <c r="CK23" s="165">
        <f ca="1">OFFSET(Calcs!$A$1,Index_CALCULATION!CK$14+12,15)</f>
        <v>2402.3267159907182</v>
      </c>
      <c r="CL23" s="165">
        <f ca="1">OFFSET(Calcs!$A$1,Index_CALCULATION!CL$14+12,15)</f>
        <v>2497.1433290270447</v>
      </c>
      <c r="CM23" s="165">
        <f ca="1">OFFSET(Calcs!$A$1,Index_CALCULATION!CM$14+12,15)</f>
        <v>2530.6615315329527</v>
      </c>
      <c r="CN23" s="165">
        <f ca="1">OFFSET(Calcs!$A$1,Index_CALCULATION!CN$14+12,15)</f>
        <v>2530.6615315329527</v>
      </c>
      <c r="CO23" s="165">
        <f ca="1">OFFSET(Calcs!$A$1,Index_CALCULATION!CO$14+12,15)</f>
        <v>2545.5916448831249</v>
      </c>
      <c r="CP23" s="165">
        <f ca="1">OFFSET(Calcs!$A$1,Index_CALCULATION!CP$14+12,15)</f>
        <v>2517.4638481905226</v>
      </c>
      <c r="CQ23" s="165">
        <f ca="1">OFFSET(Calcs!$A$1,Index_CALCULATION!CQ$14+12,15)</f>
        <v>2517.4638481905226</v>
      </c>
      <c r="CR23" s="165">
        <f ca="1">OFFSET(Calcs!$A$1,Index_CALCULATION!CR$14+12,15)</f>
        <v>2552.4280656844426</v>
      </c>
      <c r="CS23" s="165">
        <f ca="1">OFFSET(Calcs!$A$1,Index_CALCULATION!CS$14+12,15)</f>
        <v>2532.8693260059508</v>
      </c>
      <c r="CT23" s="165">
        <f ca="1">OFFSET(Calcs!$A$1,Index_CALCULATION!CT$14+12,15)</f>
        <v>2569.3128647252079</v>
      </c>
      <c r="CU23" s="165">
        <f ca="1">OFFSET(Calcs!$A$1,Index_CALCULATION!CU$14+12,15)</f>
        <v>2569.3128647252079</v>
      </c>
      <c r="CV23" s="165">
        <f ca="1">OFFSET(Calcs!$A$1,Index_CALCULATION!CV$14+12,15)</f>
        <v>2569.3128647252079</v>
      </c>
      <c r="CW23" s="165">
        <f ca="1">OFFSET(Calcs!$A$1,Index_CALCULATION!CW$14+12,15)</f>
        <v>2569.3128647252079</v>
      </c>
      <c r="CX23" s="165">
        <f ca="1">OFFSET(Calcs!$A$1,Index_CALCULATION!CX$14+12,15)</f>
        <v>2569.3128647252079</v>
      </c>
      <c r="CY23" s="165">
        <f ca="1">OFFSET(Calcs!$A$1,Index_CALCULATION!CY$14+12,15)</f>
        <v>2569.3128647252079</v>
      </c>
      <c r="CZ23" s="165">
        <f ca="1">OFFSET(Calcs!$A$1,Index_CALCULATION!CZ$14+12,15)</f>
        <v>2569.3128647252079</v>
      </c>
      <c r="DA23" s="165">
        <f ca="1">OFFSET(Calcs!$A$1,Index_CALCULATION!DA$14+12,15)</f>
        <v>2549.6247402490003</v>
      </c>
      <c r="DB23" s="165">
        <f ca="1">OFFSET(Calcs!$A$1,Index_CALCULATION!DB$14+12,15)</f>
        <v>2549.6247402490003</v>
      </c>
      <c r="DC23" s="247">
        <f ca="1">OFFSET(Calcs!$A$1,Index_CALCULATION!DC$14+12,15)</f>
        <v>2521.4523794226643</v>
      </c>
      <c r="DD23" s="247">
        <f ca="1">OFFSET(Calcs!$A$1,Index_CALCULATION!DD$14+12,15)</f>
        <v>2500.5275840008258</v>
      </c>
      <c r="DE23" s="247">
        <f ca="1">OFFSET(Calcs!$A$1,Index_CALCULATION!DE$14+12,15)</f>
        <v>2478.8781303557112</v>
      </c>
      <c r="DF23" s="247">
        <f ca="1">OFFSET(Calcs!$A$1,Index_CALCULATION!DF$14+12,15)</f>
        <v>2478.8781303557112</v>
      </c>
      <c r="DG23" s="247">
        <f ca="1">OFFSET(Calcs!$A$1,Index_CALCULATION!DG$14+12,15)</f>
        <v>2455.3818319431234</v>
      </c>
      <c r="DH23" s="247">
        <f ca="1">OFFSET(Calcs!$A$1,Index_CALCULATION!DH$14+12,15)</f>
        <v>2437.9058787075446</v>
      </c>
      <c r="DI23" s="247">
        <f ca="1">OFFSET(Calcs!$A$1,Index_CALCULATION!DI$14+12,15)</f>
        <v>2437.9058787075446</v>
      </c>
      <c r="DJ23" s="247">
        <f ca="1">OFFSET(Calcs!$A$1,Index_CALCULATION!DJ$14+12,15)</f>
        <v>2456.7313135425488</v>
      </c>
      <c r="DK23" s="247">
        <f ca="1">OFFSET(Calcs!$A$1,Index_CALCULATION!DK$14+12,15)</f>
        <v>2456.7313135425488</v>
      </c>
      <c r="DL23" s="247">
        <f ca="1">OFFSET(Calcs!$A$1,Index_CALCULATION!DL$14+12,15)</f>
        <v>2439.2457554964199</v>
      </c>
      <c r="DM23" s="247">
        <f ca="1">OFFSET(Calcs!$A$1,Index_CALCULATION!DM$14+12,15)</f>
        <v>2439.2457554964199</v>
      </c>
      <c r="DO23" t="str">
        <f t="shared" si="5"/>
        <v>Sub-index value: 1020.5 (Base = 1000, March 2011)</v>
      </c>
      <c r="DP23" s="17">
        <f t="shared" si="2"/>
        <v>11</v>
      </c>
      <c r="DQ23" s="86" t="str">
        <f t="shared" si="3"/>
        <v>Weapons: Vulnerability exploitation</v>
      </c>
      <c r="DT23">
        <f t="shared" si="4"/>
        <v>14</v>
      </c>
    </row>
    <row r="24" spans="1:124" x14ac:dyDescent="0.3">
      <c r="A24" s="74">
        <v>0</v>
      </c>
      <c r="B24" s="77" t="s">
        <v>160</v>
      </c>
      <c r="C24" s="165"/>
      <c r="D24" s="165"/>
      <c r="E24" s="165"/>
      <c r="F24" s="165"/>
      <c r="G24" s="1"/>
      <c r="H24" s="165"/>
      <c r="I24" s="165"/>
      <c r="J24" s="25"/>
      <c r="K24" s="165"/>
      <c r="L24" s="165"/>
      <c r="M24" s="165"/>
      <c r="N24" s="165"/>
      <c r="O24" s="165"/>
      <c r="P24" s="165">
        <f t="shared" ca="1" si="1"/>
        <v>2</v>
      </c>
      <c r="Q24" s="78">
        <v>1000</v>
      </c>
      <c r="R24" s="78">
        <v>1000</v>
      </c>
      <c r="S24" s="78">
        <v>1000</v>
      </c>
      <c r="T24" s="78">
        <v>1000</v>
      </c>
      <c r="U24" s="78">
        <v>1000</v>
      </c>
      <c r="V24" s="78">
        <v>1000</v>
      </c>
      <c r="W24" s="78">
        <v>1000</v>
      </c>
      <c r="X24" s="78">
        <v>1000</v>
      </c>
      <c r="Y24" s="78">
        <v>1000</v>
      </c>
      <c r="Z24" s="78">
        <v>1000</v>
      </c>
      <c r="AA24" s="78">
        <v>1000</v>
      </c>
      <c r="AB24" s="78">
        <v>1000</v>
      </c>
      <c r="AC24" s="78">
        <v>1000</v>
      </c>
      <c r="AD24">
        <v>1045.8475258241865</v>
      </c>
      <c r="AE24">
        <v>1088.4415919530147</v>
      </c>
      <c r="AF24">
        <v>1129.2338499469809</v>
      </c>
      <c r="AG24">
        <v>1182.5737887006619</v>
      </c>
      <c r="AH24">
        <v>1232.4420256986964</v>
      </c>
      <c r="AI24">
        <v>1283.5409013386691</v>
      </c>
      <c r="AJ24">
        <v>1337.4548218869177</v>
      </c>
      <c r="AK24">
        <v>1402.4574907191536</v>
      </c>
      <c r="AL24">
        <v>1459.4956242220144</v>
      </c>
      <c r="AM24">
        <v>1532.3428055857883</v>
      </c>
      <c r="AN24">
        <v>1599.3556670244416</v>
      </c>
      <c r="AO24">
        <v>1644.8858923617217</v>
      </c>
      <c r="AP24">
        <v>1688.2482005904544</v>
      </c>
      <c r="AQ24">
        <v>1730.9864072635519</v>
      </c>
      <c r="AR24">
        <v>1778.6137713771911</v>
      </c>
      <c r="AS24">
        <v>1840.9251479073762</v>
      </c>
      <c r="AT24" s="132">
        <v>1885.1100322714167</v>
      </c>
      <c r="AU24" s="132">
        <v>1979.7405159956827</v>
      </c>
      <c r="AV24" s="132">
        <v>2050.2582966742648</v>
      </c>
      <c r="AW24" s="132">
        <v>2130.6504784694584</v>
      </c>
      <c r="AX24" s="132">
        <v>2208.6132326932175</v>
      </c>
      <c r="AY24" s="132">
        <v>2284.3596680779392</v>
      </c>
      <c r="AZ24" s="132">
        <v>2378.1661244533284</v>
      </c>
      <c r="BA24" s="132">
        <v>2488.4959502602765</v>
      </c>
      <c r="BB24" s="132">
        <v>2570.4085510928185</v>
      </c>
      <c r="BC24" s="132">
        <v>2662.9398232615586</v>
      </c>
      <c r="BD24" s="132">
        <v>2720.6185992810997</v>
      </c>
      <c r="BE24" s="132">
        <v>2807.8158392619357</v>
      </c>
      <c r="BF24" s="132">
        <v>2887.4769414776561</v>
      </c>
      <c r="BG24" s="132">
        <v>3046.7015937647825</v>
      </c>
      <c r="BH24" s="132">
        <v>3198.6977418188444</v>
      </c>
      <c r="BI24" s="165">
        <f ca="1">OFFSET(Calcs!$A$1,Index_CALCULATION!BI$14+13,15)</f>
        <v>3249.6043321595571</v>
      </c>
      <c r="BJ24" s="165">
        <f ca="1">OFFSET(Calcs!$A$1,Index_CALCULATION!BJ$14+13,15)</f>
        <v>3264.4088821567202</v>
      </c>
      <c r="BK24" s="132">
        <f ca="1">OFFSET(Calcs!$A$1,Index_CALCULATION!BK$14+13,15)</f>
        <v>3333.8617978128123</v>
      </c>
      <c r="BL24" s="165">
        <f ca="1">OFFSET(Calcs!$A$1,Index_CALCULATION!BL$14+13,15)</f>
        <v>3350.5728496167089</v>
      </c>
      <c r="BM24" s="165">
        <f ca="1">OFFSET(Calcs!$A$1,Index_CALCULATION!BM$14+13,15)</f>
        <v>3386.0283178536006</v>
      </c>
      <c r="BN24" s="165">
        <f ca="1">OFFSET(Calcs!$A$1,Index_CALCULATION!BN$14+13,15)</f>
        <v>3386.0283178536006</v>
      </c>
      <c r="BO24" s="165">
        <f ca="1">OFFSET(Calcs!$A$1,Index_CALCULATION!BO$14+13,15)</f>
        <v>3419.2244093163868</v>
      </c>
      <c r="BP24" s="165">
        <f ca="1">OFFSET(Calcs!$A$1,Index_CALCULATION!BP$14+13,15)</f>
        <v>3456.3895280913066</v>
      </c>
      <c r="BQ24" s="165">
        <f ca="1">OFFSET(Calcs!$A$1,Index_CALCULATION!BQ$14+13,15)</f>
        <v>3497.2930716022006</v>
      </c>
      <c r="BR24" s="165">
        <f ca="1">OFFSET(Calcs!$A$1,Index_CALCULATION!BR$14+13,15)</f>
        <v>3516.7765482121104</v>
      </c>
      <c r="BS24" s="165">
        <f ca="1">OFFSET(Calcs!$A$1,Index_CALCULATION!BS$14+13,15)</f>
        <v>3516.7765482121104</v>
      </c>
      <c r="BT24" s="165">
        <f ca="1">OFFSET(Calcs!$A$1,Index_CALCULATION!BT$14+13,15)</f>
        <v>3516.7765482121104</v>
      </c>
      <c r="BU24" s="165">
        <f ca="1">OFFSET(Calcs!$A$1,Index_CALCULATION!BU$14+13,15)</f>
        <v>3540.3000497479625</v>
      </c>
      <c r="BV24" s="165">
        <f ca="1">OFFSET(Calcs!$A$1,Index_CALCULATION!BV$14+13,15)</f>
        <v>3561.1867153007197</v>
      </c>
      <c r="BW24" s="165">
        <f ca="1">OFFSET(Calcs!$A$1,Index_CALCULATION!BW$14+13,15)</f>
        <v>3639.0237965990827</v>
      </c>
      <c r="BX24" s="165">
        <f ca="1">OFFSET(Calcs!$A$1,Index_CALCULATION!BX$14+13,15)</f>
        <v>3705.7930191984897</v>
      </c>
      <c r="BY24" s="165">
        <f ca="1">OFFSET(Calcs!$A$1,Index_CALCULATION!BY$14+13,15)</f>
        <v>3791.4723214400751</v>
      </c>
      <c r="BZ24" s="165">
        <f ca="1">OFFSET(Calcs!$A$1,Index_CALCULATION!BZ$14+13,15)</f>
        <v>3865.5704219440672</v>
      </c>
      <c r="CA24" s="165">
        <f ca="1">OFFSET(Calcs!$A$1,Index_CALCULATION!CA$14+13,15)</f>
        <v>3946.380828104031</v>
      </c>
      <c r="CB24" s="165">
        <f ca="1">OFFSET(Calcs!$A$1,Index_CALCULATION!CB$14+13,15)</f>
        <v>4084.8363710946546</v>
      </c>
      <c r="CC24" s="165">
        <f ca="1">OFFSET(Calcs!$A$1,Index_CALCULATION!CC$14+13,15)</f>
        <v>4084.8363710946546</v>
      </c>
      <c r="CD24" s="165">
        <f ca="1">OFFSET(Calcs!$A$1,Index_CALCULATION!CD$14+13,15)</f>
        <v>4084.8363710946546</v>
      </c>
      <c r="CE24" s="165">
        <f ca="1">OFFSET(Calcs!$A$1,Index_CALCULATION!CE$14+13,15)</f>
        <v>4136.2172874398893</v>
      </c>
      <c r="CF24" s="165">
        <f ca="1">OFFSET(Calcs!$A$1,Index_CALCULATION!CF$14+13,15)</f>
        <v>4185.166036535521</v>
      </c>
      <c r="CG24" s="165">
        <f ca="1">OFFSET(Calcs!$A$1,Index_CALCULATION!CG$14+13,15)</f>
        <v>4185.166036535521</v>
      </c>
      <c r="CH24" s="165">
        <f ca="1">OFFSET(Calcs!$A$1,Index_CALCULATION!CH$14+13,15)</f>
        <v>4212.2543955834935</v>
      </c>
      <c r="CI24" s="165">
        <f ca="1">OFFSET(Calcs!$A$1,Index_CALCULATION!CI$14+13,15)</f>
        <v>4212.2543955834935</v>
      </c>
      <c r="CJ24" s="165">
        <f ca="1">OFFSET(Calcs!$A$1,Index_CALCULATION!CJ$14+13,15)</f>
        <v>4184.2660975998351</v>
      </c>
      <c r="CK24" s="165">
        <f ca="1">OFFSET(Calcs!$A$1,Index_CALCULATION!CK$14+13,15)</f>
        <v>4184.2660975998351</v>
      </c>
      <c r="CL24" s="165">
        <f ca="1">OFFSET(Calcs!$A$1,Index_CALCULATION!CL$14+13,15)</f>
        <v>4211.3486318205969</v>
      </c>
      <c r="CM24" s="165">
        <f ca="1">OFFSET(Calcs!$A$1,Index_CALCULATION!CM$14+13,15)</f>
        <v>4239.5180832061287</v>
      </c>
      <c r="CN24" s="165">
        <f ca="1">OFFSET(Calcs!$A$1,Index_CALCULATION!CN$14+13,15)</f>
        <v>4272.2555125319604</v>
      </c>
      <c r="CO24" s="165">
        <f ca="1">OFFSET(Calcs!$A$1,Index_CALCULATION!CO$14+13,15)</f>
        <v>4297.4604869104833</v>
      </c>
      <c r="CP24" s="165">
        <f ca="1">OFFSET(Calcs!$A$1,Index_CALCULATION!CP$14+13,15)</f>
        <v>4345.4763084513534</v>
      </c>
      <c r="CQ24" s="165">
        <f ca="1">OFFSET(Calcs!$A$1,Index_CALCULATION!CQ$14+13,15)</f>
        <v>4376.6265433378103</v>
      </c>
      <c r="CR24" s="165">
        <f ca="1">OFFSET(Calcs!$A$1,Index_CALCULATION!CR$14+13,15)</f>
        <v>4437.4120527150017</v>
      </c>
      <c r="CS24" s="165">
        <f ca="1">OFFSET(Calcs!$A$1,Index_CALCULATION!CS$14+13,15)</f>
        <v>4437.4120527150017</v>
      </c>
      <c r="CT24" s="165">
        <f ca="1">OFFSET(Calcs!$A$1,Index_CALCULATION!CT$14+13,15)</f>
        <v>4437.4120527150017</v>
      </c>
      <c r="CU24" s="165">
        <f ca="1">OFFSET(Calcs!$A$1,Index_CALCULATION!CU$14+13,15)</f>
        <v>4508.9816757304561</v>
      </c>
      <c r="CV24" s="165">
        <f ca="1">OFFSET(Calcs!$A$1,Index_CALCULATION!CV$14+13,15)</f>
        <v>4508.9816757304561</v>
      </c>
      <c r="CW24" s="165">
        <f ca="1">OFFSET(Calcs!$A$1,Index_CALCULATION!CW$14+13,15)</f>
        <v>4633.6461462622701</v>
      </c>
      <c r="CX24" s="165">
        <f ca="1">OFFSET(Calcs!$A$1,Index_CALCULATION!CX$14+13,15)</f>
        <v>4796.213830718455</v>
      </c>
      <c r="CY24" s="165">
        <f ca="1">OFFSET(Calcs!$A$1,Index_CALCULATION!CY$14+13,15)</f>
        <v>4836.3492780733695</v>
      </c>
      <c r="CZ24" s="165">
        <f ca="1">OFFSET(Calcs!$A$1,Index_CALCULATION!CZ$14+13,15)</f>
        <v>4875.1952490033864</v>
      </c>
      <c r="DA24" s="165">
        <f ca="1">OFFSET(Calcs!$A$1,Index_CALCULATION!DA$14+13,15)</f>
        <v>4912.8413580142442</v>
      </c>
      <c r="DB24" s="165">
        <f ca="1">OFFSET(Calcs!$A$1,Index_CALCULATION!DB$14+13,15)</f>
        <v>5042.6887346920421</v>
      </c>
      <c r="DC24" s="247">
        <f ca="1">OFFSET(Calcs!$A$1,Index_CALCULATION!DC$14+13,15)</f>
        <v>5099.0310426919932</v>
      </c>
      <c r="DD24" s="247">
        <f ca="1">OFFSET(Calcs!$A$1,Index_CALCULATION!DD$14+13,15)</f>
        <v>5141.7005105677372</v>
      </c>
      <c r="DE24" s="247">
        <f ca="1">OFFSET(Calcs!$A$1,Index_CALCULATION!DE$14+13,15)</f>
        <v>5231.9034892040909</v>
      </c>
      <c r="DF24" s="247">
        <f ca="1">OFFSET(Calcs!$A$1,Index_CALCULATION!DF$14+13,15)</f>
        <v>5402.0319386701522</v>
      </c>
      <c r="DG24" s="247">
        <f ca="1">OFFSET(Calcs!$A$1,Index_CALCULATION!DG$14+13,15)</f>
        <v>5453.7256316078719</v>
      </c>
      <c r="DH24" s="247">
        <f ca="1">OFFSET(Calcs!$A$1,Index_CALCULATION!DH$14+13,15)</f>
        <v>5453.7256316078719</v>
      </c>
      <c r="DI24" s="247">
        <f ca="1">OFFSET(Calcs!$A$1,Index_CALCULATION!DI$14+13,15)</f>
        <v>5545.3827464086935</v>
      </c>
      <c r="DJ24" s="247">
        <f ca="1">OFFSET(Calcs!$A$1,Index_CALCULATION!DJ$14+13,15)</f>
        <v>5545.3827464086935</v>
      </c>
      <c r="DK24" s="247">
        <f ca="1">OFFSET(Calcs!$A$1,Index_CALCULATION!DK$14+13,15)</f>
        <v>5647.1300598887283</v>
      </c>
      <c r="DL24" s="247">
        <f ca="1">OFFSET(Calcs!$A$1,Index_CALCULATION!DL$14+13,15)</f>
        <v>5647.1300598887283</v>
      </c>
      <c r="DM24" s="247">
        <f ca="1">OFFSET(Calcs!$A$1,Index_CALCULATION!DM$14+13,15)</f>
        <v>5722.929332891732</v>
      </c>
      <c r="DO24" t="str">
        <f t="shared" si="5"/>
        <v>Sub-index value: 1045.8 (Base = 1000, March 2011)</v>
      </c>
      <c r="DP24" s="17">
        <f t="shared" si="2"/>
        <v>20</v>
      </c>
      <c r="DQ24" s="86" t="str">
        <f t="shared" si="3"/>
        <v>Weapons: Phishing/social engineering</v>
      </c>
      <c r="DT24">
        <f t="shared" si="4"/>
        <v>8</v>
      </c>
    </row>
    <row r="25" spans="1:124" x14ac:dyDescent="0.3">
      <c r="A25" s="74">
        <v>0</v>
      </c>
      <c r="B25" s="77" t="s">
        <v>161</v>
      </c>
      <c r="C25" s="165"/>
      <c r="D25" s="165"/>
      <c r="E25" s="165"/>
      <c r="F25" s="165"/>
      <c r="G25" s="1"/>
      <c r="H25" s="165"/>
      <c r="I25" s="165"/>
      <c r="J25" s="25"/>
      <c r="K25" s="165"/>
      <c r="L25" s="165"/>
      <c r="M25" s="165"/>
      <c r="N25" s="165"/>
      <c r="O25" s="165"/>
      <c r="P25" s="165">
        <f t="shared" ca="1" si="1"/>
        <v>12</v>
      </c>
      <c r="Q25" s="78">
        <v>1000</v>
      </c>
      <c r="R25" s="78">
        <v>1000</v>
      </c>
      <c r="S25" s="78">
        <v>1000</v>
      </c>
      <c r="T25" s="78">
        <v>1000</v>
      </c>
      <c r="U25" s="78">
        <v>1000</v>
      </c>
      <c r="V25" s="78">
        <v>1000</v>
      </c>
      <c r="W25" s="78">
        <v>1000</v>
      </c>
      <c r="X25" s="78">
        <v>1000</v>
      </c>
      <c r="Y25" s="78">
        <v>1000</v>
      </c>
      <c r="Z25" s="78">
        <v>1000</v>
      </c>
      <c r="AA25" s="78">
        <v>1000</v>
      </c>
      <c r="AB25" s="78">
        <v>1000</v>
      </c>
      <c r="AC25" s="78">
        <v>1000</v>
      </c>
      <c r="AD25">
        <v>1039.5553809752741</v>
      </c>
      <c r="AE25">
        <v>1079.2788681594968</v>
      </c>
      <c r="AF25">
        <v>1118.6718797943499</v>
      </c>
      <c r="AG25">
        <v>1141.4900470271002</v>
      </c>
      <c r="AH25">
        <v>1163.4109992779991</v>
      </c>
      <c r="AI25">
        <v>1198.4675594200671</v>
      </c>
      <c r="AJ25">
        <v>1231.3695930620011</v>
      </c>
      <c r="AK25">
        <v>1280.8626802594508</v>
      </c>
      <c r="AL25">
        <v>1306.2081715831323</v>
      </c>
      <c r="AM25">
        <v>1346.8006120329501</v>
      </c>
      <c r="AN25">
        <v>1376.7168352475803</v>
      </c>
      <c r="AO25">
        <v>1392.5060931225594</v>
      </c>
      <c r="AP25">
        <v>1408.9429781379679</v>
      </c>
      <c r="AQ25">
        <v>1425.5738811116059</v>
      </c>
      <c r="AR25">
        <v>1434.7678048681007</v>
      </c>
      <c r="AS25">
        <v>1458.6516208537289</v>
      </c>
      <c r="AT25" s="132">
        <v>1468.9733327310225</v>
      </c>
      <c r="AU25" s="132">
        <v>1516.9573735889883</v>
      </c>
      <c r="AV25" s="132">
        <v>1539.0279952940803</v>
      </c>
      <c r="AW25" s="132">
        <v>1569.917138807094</v>
      </c>
      <c r="AX25" s="132">
        <v>1605.4734114117566</v>
      </c>
      <c r="AY25" s="132">
        <v>1641.3378914414757</v>
      </c>
      <c r="AZ25" s="132">
        <v>1667.5664619642273</v>
      </c>
      <c r="BA25" s="132">
        <v>1698.8813523309257</v>
      </c>
      <c r="BB25" s="132">
        <v>1709.532611295213</v>
      </c>
      <c r="BC25" s="132">
        <v>1728.3991204287354</v>
      </c>
      <c r="BD25" s="132">
        <v>1721.0075460285293</v>
      </c>
      <c r="BE25" s="132">
        <v>1745.7698203771731</v>
      </c>
      <c r="BF25" s="132">
        <v>1811.4006360337569</v>
      </c>
      <c r="BG25" s="132">
        <v>1843.6502480879969</v>
      </c>
      <c r="BH25" s="132">
        <v>1854.5989802633883</v>
      </c>
      <c r="BI25" s="165">
        <f ca="1">OFFSET(Calcs!$A$1,Index_CALCULATION!BI$14+14,15)</f>
        <v>1854.5989802633883</v>
      </c>
      <c r="BJ25" s="165">
        <f ca="1">OFFSET(Calcs!$A$1,Index_CALCULATION!BJ$14+14,15)</f>
        <v>1854.5989802633883</v>
      </c>
      <c r="BK25" s="132">
        <f ca="1">OFFSET(Calcs!$A$1,Index_CALCULATION!BK$14+14,15)</f>
        <v>1864.3857596186299</v>
      </c>
      <c r="BL25" s="165">
        <f ca="1">OFFSET(Calcs!$A$1,Index_CALCULATION!BL$14+14,15)</f>
        <v>1864.3857596186299</v>
      </c>
      <c r="BM25" s="165">
        <f ca="1">OFFSET(Calcs!$A$1,Index_CALCULATION!BM$14+14,15)</f>
        <v>1864.3857596186299</v>
      </c>
      <c r="BN25" s="165">
        <f ca="1">OFFSET(Calcs!$A$1,Index_CALCULATION!BN$14+14,15)</f>
        <v>1864.3857596186299</v>
      </c>
      <c r="BO25" s="165">
        <f ca="1">OFFSET(Calcs!$A$1,Index_CALCULATION!BO$14+14,15)</f>
        <v>1873.502542276874</v>
      </c>
      <c r="BP25" s="165">
        <f ca="1">OFFSET(Calcs!$A$1,Index_CALCULATION!BP$14+14,15)</f>
        <v>1863.4028226388371</v>
      </c>
      <c r="BQ25" s="165">
        <f ca="1">OFFSET(Calcs!$A$1,Index_CALCULATION!BQ$14+14,15)</f>
        <v>1874.396317822753</v>
      </c>
      <c r="BR25" s="165">
        <f ca="1">OFFSET(Calcs!$A$1,Index_CALCULATION!BR$14+14,15)</f>
        <v>1884.8386102095533</v>
      </c>
      <c r="BS25" s="165">
        <f ca="1">OFFSET(Calcs!$A$1,Index_CALCULATION!BS$14+14,15)</f>
        <v>1894.7849650790795</v>
      </c>
      <c r="BT25" s="165">
        <f ca="1">OFFSET(Calcs!$A$1,Index_CALCULATION!BT$14+14,15)</f>
        <v>1923.0648165986297</v>
      </c>
      <c r="BU25" s="165">
        <f ca="1">OFFSET(Calcs!$A$1,Index_CALCULATION!BU$14+14,15)</f>
        <v>1923.0648165986297</v>
      </c>
      <c r="BV25" s="165">
        <f ca="1">OFFSET(Calcs!$A$1,Index_CALCULATION!BV$14+14,15)</f>
        <v>1934.4102989295495</v>
      </c>
      <c r="BW25" s="165">
        <f ca="1">OFFSET(Calcs!$A$1,Index_CALCULATION!BW$14+14,15)</f>
        <v>1934.4102989295495</v>
      </c>
      <c r="BX25" s="165">
        <f ca="1">OFFSET(Calcs!$A$1,Index_CALCULATION!BX$14+14,15)</f>
        <v>1934.4102989295495</v>
      </c>
      <c r="BY25" s="165">
        <f ca="1">OFFSET(Calcs!$A$1,Index_CALCULATION!BY$14+14,15)</f>
        <v>1979.1345789426484</v>
      </c>
      <c r="BZ25" s="165">
        <f ca="1">OFFSET(Calcs!$A$1,Index_CALCULATION!BZ$14+14,15)</f>
        <v>1991.9444669161817</v>
      </c>
      <c r="CA25" s="165">
        <f ca="1">OFFSET(Calcs!$A$1,Index_CALCULATION!CA$14+14,15)</f>
        <v>2005.7294949057496</v>
      </c>
      <c r="CB25" s="165">
        <f ca="1">OFFSET(Calcs!$A$1,Index_CALCULATION!CB$14+14,15)</f>
        <v>2033.5864042886831</v>
      </c>
      <c r="CC25" s="165">
        <f ca="1">OFFSET(Calcs!$A$1,Index_CALCULATION!CC$14+14,15)</f>
        <v>2058.385932999915</v>
      </c>
      <c r="CD25" s="165">
        <f ca="1">OFFSET(Calcs!$A$1,Index_CALCULATION!CD$14+14,15)</f>
        <v>2058.385932999915</v>
      </c>
      <c r="CE25" s="165">
        <f ca="1">OFFSET(Calcs!$A$1,Index_CALCULATION!CE$14+14,15)</f>
        <v>2084.2772407100779</v>
      </c>
      <c r="CF25" s="165">
        <f ca="1">OFFSET(Calcs!$A$1,Index_CALCULATION!CF$14+14,15)</f>
        <v>2096.5738260373678</v>
      </c>
      <c r="CG25" s="165">
        <f ca="1">OFFSET(Calcs!$A$1,Index_CALCULATION!CG$14+14,15)</f>
        <v>2096.5738260373678</v>
      </c>
      <c r="CH25" s="165">
        <f ca="1">OFFSET(Calcs!$A$1,Index_CALCULATION!CH$14+14,15)</f>
        <v>2110.1438359424692</v>
      </c>
      <c r="CI25" s="165">
        <f ca="1">OFFSET(Calcs!$A$1,Index_CALCULATION!CI$14+14,15)</f>
        <v>2096.5738260373678</v>
      </c>
      <c r="CJ25" s="165">
        <f ca="1">OFFSET(Calcs!$A$1,Index_CALCULATION!CJ$14+14,15)</f>
        <v>2082.6431543644039</v>
      </c>
      <c r="CK25" s="165">
        <f ca="1">OFFSET(Calcs!$A$1,Index_CALCULATION!CK$14+14,15)</f>
        <v>2082.6431543644039</v>
      </c>
      <c r="CL25" s="165">
        <f ca="1">OFFSET(Calcs!$A$1,Index_CALCULATION!CL$14+14,15)</f>
        <v>2082.6431543644039</v>
      </c>
      <c r="CM25" s="165">
        <f ca="1">OFFSET(Calcs!$A$1,Index_CALCULATION!CM$14+14,15)</f>
        <v>2068.8050449522343</v>
      </c>
      <c r="CN25" s="165">
        <f ca="1">OFFSET(Calcs!$A$1,Index_CALCULATION!CN$14+14,15)</f>
        <v>2084.7802944071982</v>
      </c>
      <c r="CO25" s="165">
        <f ca="1">OFFSET(Calcs!$A$1,Index_CALCULATION!CO$14+14,15)</f>
        <v>2084.7802944071982</v>
      </c>
      <c r="CP25" s="165">
        <f ca="1">OFFSET(Calcs!$A$1,Index_CALCULATION!CP$14+14,15)</f>
        <v>2038.9628120354191</v>
      </c>
      <c r="CQ25" s="165">
        <f ca="1">OFFSET(Calcs!$A$1,Index_CALCULATION!CQ$14+14,15)</f>
        <v>2038.9628120354191</v>
      </c>
      <c r="CR25" s="165">
        <f ca="1">OFFSET(Calcs!$A$1,Index_CALCULATION!CR$14+14,15)</f>
        <v>2067.2812878988411</v>
      </c>
      <c r="CS25" s="165">
        <f ca="1">OFFSET(Calcs!$A$1,Index_CALCULATION!CS$14+14,15)</f>
        <v>2067.2812878988411</v>
      </c>
      <c r="CT25" s="165">
        <f ca="1">OFFSET(Calcs!$A$1,Index_CALCULATION!CT$14+14,15)</f>
        <v>2052.567604412995</v>
      </c>
      <c r="CU25" s="165">
        <f ca="1">OFFSET(Calcs!$A$1,Index_CALCULATION!CU$14+14,15)</f>
        <v>2085.6728215793141</v>
      </c>
      <c r="CV25" s="165">
        <f ca="1">OFFSET(Calcs!$A$1,Index_CALCULATION!CV$14+14,15)</f>
        <v>2101.1796115383886</v>
      </c>
      <c r="CW25" s="165">
        <f ca="1">OFFSET(Calcs!$A$1,Index_CALCULATION!CW$14+14,15)</f>
        <v>2139.732294083432</v>
      </c>
      <c r="CX25" s="165">
        <f ca="1">OFFSET(Calcs!$A$1,Index_CALCULATION!CX$14+14,15)</f>
        <v>2154.5400711344596</v>
      </c>
      <c r="CY25" s="165">
        <f ca="1">OFFSET(Calcs!$A$1,Index_CALCULATION!CY$14+14,15)</f>
        <v>2154.5400711344596</v>
      </c>
      <c r="CZ25" s="165">
        <f ca="1">OFFSET(Calcs!$A$1,Index_CALCULATION!CZ$14+14,15)</f>
        <v>2154.5400711344596</v>
      </c>
      <c r="DA25" s="165">
        <f ca="1">OFFSET(Calcs!$A$1,Index_CALCULATION!DA$14+14,15)</f>
        <v>2138.0302666291959</v>
      </c>
      <c r="DB25" s="165">
        <f ca="1">OFFSET(Calcs!$A$1,Index_CALCULATION!DB$14+14,15)</f>
        <v>2194.5388328841718</v>
      </c>
      <c r="DC25" s="247">
        <f ca="1">OFFSET(Calcs!$A$1,Index_CALCULATION!DC$14+14,15)</f>
        <v>2219.0585661743853</v>
      </c>
      <c r="DD25" s="247">
        <f ca="1">OFFSET(Calcs!$A$1,Index_CALCULATION!DD$14+14,15)</f>
        <v>2237.6279860133718</v>
      </c>
      <c r="DE25" s="247">
        <f ca="1">OFFSET(Calcs!$A$1,Index_CALCULATION!DE$14+14,15)</f>
        <v>2276.8836192428121</v>
      </c>
      <c r="DF25" s="247">
        <f ca="1">OFFSET(Calcs!$A$1,Index_CALCULATION!DF$14+14,15)</f>
        <v>2313.60675884387</v>
      </c>
      <c r="DG25" s="247">
        <f ca="1">OFFSET(Calcs!$A$1,Index_CALCULATION!DG$14+14,15)</f>
        <v>2291.6770019310625</v>
      </c>
      <c r="DH25" s="247">
        <f ca="1">OFFSET(Calcs!$A$1,Index_CALCULATION!DH$14+14,15)</f>
        <v>2291.6770019310625</v>
      </c>
      <c r="DI25" s="247">
        <f ca="1">OFFSET(Calcs!$A$1,Index_CALCULATION!DI$14+14,15)</f>
        <v>2330.1916827641116</v>
      </c>
      <c r="DJ25" s="247">
        <f ca="1">OFFSET(Calcs!$A$1,Index_CALCULATION!DJ$14+14,15)</f>
        <v>2330.1916827641116</v>
      </c>
      <c r="DK25" s="247">
        <f ca="1">OFFSET(Calcs!$A$1,Index_CALCULATION!DK$14+14,15)</f>
        <v>2344.356938257115</v>
      </c>
      <c r="DL25" s="247">
        <f ca="1">OFFSET(Calcs!$A$1,Index_CALCULATION!DL$14+14,15)</f>
        <v>2344.356938257115</v>
      </c>
      <c r="DM25" s="247">
        <f ca="1">OFFSET(Calcs!$A$1,Index_CALCULATION!DM$14+14,15)</f>
        <v>2344.356938257115</v>
      </c>
      <c r="DO25" t="str">
        <f t="shared" si="5"/>
        <v>Sub-index value: 1039.6 (Base = 1000, March 2011)</v>
      </c>
      <c r="DP25" s="17">
        <f t="shared" si="2"/>
        <v>10</v>
      </c>
      <c r="DQ25" s="86" t="str">
        <f t="shared" si="3"/>
        <v>Weapons: Customized to target</v>
      </c>
      <c r="DT25">
        <f t="shared" si="4"/>
        <v>15</v>
      </c>
    </row>
    <row r="26" spans="1:124" x14ac:dyDescent="0.3">
      <c r="A26" s="74">
        <v>0</v>
      </c>
      <c r="B26" s="77" t="s">
        <v>162</v>
      </c>
      <c r="C26" s="165"/>
      <c r="D26" s="165"/>
      <c r="E26" s="165"/>
      <c r="F26" s="165"/>
      <c r="G26" s="1"/>
      <c r="H26" s="165"/>
      <c r="I26" s="165"/>
      <c r="J26" s="25"/>
      <c r="K26" s="165"/>
      <c r="L26" s="165"/>
      <c r="M26" s="165"/>
      <c r="N26" s="165"/>
      <c r="O26" s="165"/>
      <c r="P26" s="165">
        <f t="shared" ca="1" si="1"/>
        <v>6</v>
      </c>
      <c r="Q26" s="78">
        <v>1000</v>
      </c>
      <c r="R26" s="78">
        <v>1000</v>
      </c>
      <c r="S26" s="78">
        <v>1000</v>
      </c>
      <c r="T26" s="78">
        <v>1000</v>
      </c>
      <c r="U26" s="78">
        <v>1000</v>
      </c>
      <c r="V26" s="78">
        <v>1000</v>
      </c>
      <c r="W26" s="78">
        <v>1000</v>
      </c>
      <c r="X26" s="78">
        <v>1000</v>
      </c>
      <c r="Y26" s="78">
        <v>1000</v>
      </c>
      <c r="Z26" s="78">
        <v>1000</v>
      </c>
      <c r="AA26" s="78">
        <v>1000</v>
      </c>
      <c r="AB26" s="78">
        <v>1000</v>
      </c>
      <c r="AC26" s="78">
        <v>1000</v>
      </c>
      <c r="AD26">
        <v>1027.5272342746637</v>
      </c>
      <c r="AE26">
        <v>1068.9440600556579</v>
      </c>
      <c r="AF26">
        <v>1103.2662243631335</v>
      </c>
      <c r="AG26">
        <v>1135.008862923831</v>
      </c>
      <c r="AH26">
        <v>1169.447908065622</v>
      </c>
      <c r="AI26">
        <v>1212.2392437423694</v>
      </c>
      <c r="AJ26">
        <v>1237.1146388239222</v>
      </c>
      <c r="AK26">
        <v>1272.7394116579389</v>
      </c>
      <c r="AL26">
        <v>1313.3623304509504</v>
      </c>
      <c r="AM26">
        <v>1373.5767438128141</v>
      </c>
      <c r="AN26">
        <v>1421.7489896954003</v>
      </c>
      <c r="AO26">
        <v>1450.0885719979167</v>
      </c>
      <c r="AP26">
        <v>1479.9862570690029</v>
      </c>
      <c r="AQ26">
        <v>1517.4522875412031</v>
      </c>
      <c r="AR26">
        <v>1564.7828927369253</v>
      </c>
      <c r="AS26">
        <v>1602.1267948224474</v>
      </c>
      <c r="AT26" s="132">
        <v>1643.7381683966114</v>
      </c>
      <c r="AU26" s="132">
        <v>1681.0557162390921</v>
      </c>
      <c r="AV26" s="132">
        <v>1697.9506070650907</v>
      </c>
      <c r="AW26" s="132">
        <v>1778.1541728649293</v>
      </c>
      <c r="AX26" s="132">
        <v>1820.3218838880521</v>
      </c>
      <c r="AY26" s="132">
        <v>1870.7490761249394</v>
      </c>
      <c r="AZ26" s="132">
        <v>1918.1073144580062</v>
      </c>
      <c r="BA26" s="132">
        <v>2001.2676136026332</v>
      </c>
      <c r="BB26" s="132">
        <v>2035.6725203630876</v>
      </c>
      <c r="BC26" s="132">
        <v>2073.253109283693</v>
      </c>
      <c r="BD26" s="132">
        <v>2116.6469511528389</v>
      </c>
      <c r="BE26" s="132">
        <v>2168.9387045729004</v>
      </c>
      <c r="BF26" s="132">
        <v>2277.4297295946621</v>
      </c>
      <c r="BG26" s="132">
        <v>2387.1646410400058</v>
      </c>
      <c r="BH26" s="132">
        <v>2475.1240835884087</v>
      </c>
      <c r="BI26" s="165">
        <f ca="1">OFFSET(Calcs!$A$1,Index_CALCULATION!BI$14+15,15)</f>
        <v>2501.3156297110586</v>
      </c>
      <c r="BJ26" s="165">
        <f ca="1">OFFSET(Calcs!$A$1,Index_CALCULATION!BJ$14+15,15)</f>
        <v>2512.7111254433448</v>
      </c>
      <c r="BK26" s="132">
        <f ca="1">OFFSET(Calcs!$A$1,Index_CALCULATION!BK$14+15,15)</f>
        <v>2539.3004143486232</v>
      </c>
      <c r="BL26" s="165">
        <f ca="1">OFFSET(Calcs!$A$1,Index_CALCULATION!BL$14+15,15)</f>
        <v>2577.6770255893957</v>
      </c>
      <c r="BM26" s="165">
        <f ca="1">OFFSET(Calcs!$A$1,Index_CALCULATION!BM$14+15,15)</f>
        <v>2591.2795113919792</v>
      </c>
      <c r="BN26" s="165">
        <f ca="1">OFFSET(Calcs!$A$1,Index_CALCULATION!BN$14+15,15)</f>
        <v>2591.2795113919792</v>
      </c>
      <c r="BO26" s="165">
        <f ca="1">OFFSET(Calcs!$A$1,Index_CALCULATION!BO$14+15,15)</f>
        <v>2629.4795053900093</v>
      </c>
      <c r="BP26" s="165">
        <f ca="1">OFFSET(Calcs!$A$1,Index_CALCULATION!BP$14+15,15)</f>
        <v>2643.7313920329598</v>
      </c>
      <c r="BQ26" s="165">
        <f ca="1">OFFSET(Calcs!$A$1,Index_CALCULATION!BQ$14+15,15)</f>
        <v>2675.0177910763146</v>
      </c>
      <c r="BR26" s="165">
        <f ca="1">OFFSET(Calcs!$A$1,Index_CALCULATION!BR$14+15,15)</f>
        <v>2689.920358718337</v>
      </c>
      <c r="BS26" s="165">
        <f ca="1">OFFSET(Calcs!$A$1,Index_CALCULATION!BS$14+15,15)</f>
        <v>2747.1505705391796</v>
      </c>
      <c r="BT26" s="165">
        <f ca="1">OFFSET(Calcs!$A$1,Index_CALCULATION!BT$14+15,15)</f>
        <v>2767.575388105266</v>
      </c>
      <c r="BU26" s="165">
        <f ca="1">OFFSET(Calcs!$A$1,Index_CALCULATION!BU$14+15,15)</f>
        <v>2786.0875292664036</v>
      </c>
      <c r="BV26" s="165">
        <f ca="1">OFFSET(Calcs!$A$1,Index_CALCULATION!BV$14+15,15)</f>
        <v>2786.0875292664036</v>
      </c>
      <c r="BW26" s="165">
        <f ca="1">OFFSET(Calcs!$A$1,Index_CALCULATION!BW$14+15,15)</f>
        <v>2801.1882378146352</v>
      </c>
      <c r="BX26" s="165">
        <f ca="1">OFFSET(Calcs!$A$1,Index_CALCULATION!BX$14+15,15)</f>
        <v>2801.1882378146352</v>
      </c>
      <c r="BY26" s="165">
        <f ca="1">OFFSET(Calcs!$A$1,Index_CALCULATION!BY$14+15,15)</f>
        <v>2817.2408486668892</v>
      </c>
      <c r="BZ26" s="165">
        <f ca="1">OFFSET(Calcs!$A$1,Index_CALCULATION!BZ$14+15,15)</f>
        <v>2817.2408486668892</v>
      </c>
      <c r="CA26" s="165">
        <f ca="1">OFFSET(Calcs!$A$1,Index_CALCULATION!CA$14+15,15)</f>
        <v>2876.1357470598455</v>
      </c>
      <c r="CB26" s="165">
        <f ca="1">OFFSET(Calcs!$A$1,Index_CALCULATION!CB$14+15,15)</f>
        <v>2936.261853305818</v>
      </c>
      <c r="CC26" s="165">
        <f ca="1">OFFSET(Calcs!$A$1,Index_CALCULATION!CC$14+15,15)</f>
        <v>2954.1114146333643</v>
      </c>
      <c r="CD26" s="165">
        <f ca="1">OFFSET(Calcs!$A$1,Index_CALCULATION!CD$14+15,15)</f>
        <v>2954.1114146333643</v>
      </c>
      <c r="CE26" s="165">
        <f ca="1">OFFSET(Calcs!$A$1,Index_CALCULATION!CE$14+15,15)</f>
        <v>2972.6324288545434</v>
      </c>
      <c r="CF26" s="165">
        <f ca="1">OFFSET(Calcs!$A$1,Index_CALCULATION!CF$14+15,15)</f>
        <v>2972.6324288545434</v>
      </c>
      <c r="CG26" s="165">
        <f ca="1">OFFSET(Calcs!$A$1,Index_CALCULATION!CG$14+15,15)</f>
        <v>2992.5161839203106</v>
      </c>
      <c r="CH26" s="165">
        <f ca="1">OFFSET(Calcs!$A$1,Index_CALCULATION!CH$14+15,15)</f>
        <v>3011.8851533086804</v>
      </c>
      <c r="CI26" s="165">
        <f ca="1">OFFSET(Calcs!$A$1,Index_CALCULATION!CI$14+15,15)</f>
        <v>3031.3794877584605</v>
      </c>
      <c r="CJ26" s="165">
        <f ca="1">OFFSET(Calcs!$A$1,Index_CALCULATION!CJ$14+15,15)</f>
        <v>3011.2375057134327</v>
      </c>
      <c r="CK26" s="165">
        <f ca="1">OFFSET(Calcs!$A$1,Index_CALCULATION!CK$14+15,15)</f>
        <v>3011.2375057134327</v>
      </c>
      <c r="CL26" s="165">
        <f ca="1">OFFSET(Calcs!$A$1,Index_CALCULATION!CL$14+15,15)</f>
        <v>3011.2375057134327</v>
      </c>
      <c r="CM26" s="165">
        <f ca="1">OFFSET(Calcs!$A$1,Index_CALCULATION!CM$14+15,15)</f>
        <v>3011.2375057134327</v>
      </c>
      <c r="CN26" s="165">
        <f ca="1">OFFSET(Calcs!$A$1,Index_CALCULATION!CN$14+15,15)</f>
        <v>3011.2375057134327</v>
      </c>
      <c r="CO26" s="165">
        <f ca="1">OFFSET(Calcs!$A$1,Index_CALCULATION!CO$14+15,15)</f>
        <v>3011.2375057134327</v>
      </c>
      <c r="CP26" s="165">
        <f ca="1">OFFSET(Calcs!$A$1,Index_CALCULATION!CP$14+15,15)</f>
        <v>2977.964503531759</v>
      </c>
      <c r="CQ26" s="165">
        <f ca="1">OFFSET(Calcs!$A$1,Index_CALCULATION!CQ$14+15,15)</f>
        <v>2999.3118282400151</v>
      </c>
      <c r="CR26" s="165">
        <f ca="1">OFFSET(Calcs!$A$1,Index_CALCULATION!CR$14+15,15)</f>
        <v>3020.0682289270985</v>
      </c>
      <c r="CS26" s="165">
        <f ca="1">OFFSET(Calcs!$A$1,Index_CALCULATION!CS$14+15,15)</f>
        <v>3020.0682289270985</v>
      </c>
      <c r="CT26" s="165">
        <f ca="1">OFFSET(Calcs!$A$1,Index_CALCULATION!CT$14+15,15)</f>
        <v>3020.0682289270985</v>
      </c>
      <c r="CU26" s="165">
        <f ca="1">OFFSET(Calcs!$A$1,Index_CALCULATION!CU$14+15,15)</f>
        <v>3020.0682289270985</v>
      </c>
      <c r="CV26" s="165">
        <f ca="1">OFFSET(Calcs!$A$1,Index_CALCULATION!CV$14+15,15)</f>
        <v>3065.143043572044</v>
      </c>
      <c r="CW26" s="165">
        <f ca="1">OFFSET(Calcs!$A$1,Index_CALCULATION!CW$14+15,15)</f>
        <v>3093.1350238236932</v>
      </c>
      <c r="CX26" s="165">
        <f ca="1">OFFSET(Calcs!$A$1,Index_CALCULATION!CX$14+15,15)</f>
        <v>3157.7975368033672</v>
      </c>
      <c r="CY26" s="165">
        <f ca="1">OFFSET(Calcs!$A$1,Index_CALCULATION!CY$14+15,15)</f>
        <v>3184.2224672316393</v>
      </c>
      <c r="CZ26" s="165">
        <f ca="1">OFFSET(Calcs!$A$1,Index_CALCULATION!CZ$14+15,15)</f>
        <v>3209.7984143530725</v>
      </c>
      <c r="DA26" s="165">
        <f ca="1">OFFSET(Calcs!$A$1,Index_CALCULATION!DA$14+15,15)</f>
        <v>3234.5843798042647</v>
      </c>
      <c r="DB26" s="165">
        <f ca="1">OFFSET(Calcs!$A$1,Index_CALCULATION!DB$14+15,15)</f>
        <v>3262.8338462601791</v>
      </c>
      <c r="DC26" s="247">
        <f ca="1">OFFSET(Calcs!$A$1,Index_CALCULATION!DC$14+15,15)</f>
        <v>3299.2897131975787</v>
      </c>
      <c r="DD26" s="247">
        <f ca="1">OFFSET(Calcs!$A$1,Index_CALCULATION!DD$14+15,15)</f>
        <v>3326.8986716940803</v>
      </c>
      <c r="DE26" s="247">
        <f ca="1">OFFSET(Calcs!$A$1,Index_CALCULATION!DE$14+15,15)</f>
        <v>3326.8986716940803</v>
      </c>
      <c r="DF26" s="247">
        <f ca="1">OFFSET(Calcs!$A$1,Index_CALCULATION!DF$14+15,15)</f>
        <v>3380.5571737477894</v>
      </c>
      <c r="DG26" s="247">
        <f ca="1">OFFSET(Calcs!$A$1,Index_CALCULATION!DG$14+15,15)</f>
        <v>3380.5571737477894</v>
      </c>
      <c r="DH26" s="247">
        <f ca="1">OFFSET(Calcs!$A$1,Index_CALCULATION!DH$14+15,15)</f>
        <v>3380.5571737477894</v>
      </c>
      <c r="DI26" s="247">
        <f ca="1">OFFSET(Calcs!$A$1,Index_CALCULATION!DI$14+15,15)</f>
        <v>3418.3283715186103</v>
      </c>
      <c r="DJ26" s="247">
        <f ca="1">OFFSET(Calcs!$A$1,Index_CALCULATION!DJ$14+15,15)</f>
        <v>3444.7245989385078</v>
      </c>
      <c r="DK26" s="247">
        <f ca="1">OFFSET(Calcs!$A$1,Index_CALCULATION!DK$14+15,15)</f>
        <v>3444.7245989385078</v>
      </c>
      <c r="DL26" s="247">
        <f ca="1">OFFSET(Calcs!$A$1,Index_CALCULATION!DL$14+15,15)</f>
        <v>3469.4178598745757</v>
      </c>
      <c r="DM26" s="247">
        <f ca="1">OFFSET(Calcs!$A$1,Index_CALCULATION!DM$14+15,15)</f>
        <v>3469.4178598745757</v>
      </c>
      <c r="DO26" t="str">
        <f t="shared" si="5"/>
        <v>Sub-index value: 1027.5 (Base = 1000, March 2011)</v>
      </c>
      <c r="DP26" s="17">
        <f t="shared" si="2"/>
        <v>14</v>
      </c>
      <c r="DQ26" s="86" t="str">
        <f t="shared" si="3"/>
        <v>Effect desired: Data theft</v>
      </c>
      <c r="DT26">
        <f t="shared" si="4"/>
        <v>13</v>
      </c>
    </row>
    <row r="27" spans="1:124" x14ac:dyDescent="0.3">
      <c r="A27" s="74">
        <v>0</v>
      </c>
      <c r="B27" s="77" t="s">
        <v>163</v>
      </c>
      <c r="C27" s="165"/>
      <c r="D27" s="165"/>
      <c r="E27" s="165"/>
      <c r="F27" s="165"/>
      <c r="G27" s="1"/>
      <c r="H27" s="165"/>
      <c r="I27" s="165"/>
      <c r="J27" s="25"/>
      <c r="K27" s="165"/>
      <c r="L27" s="165"/>
      <c r="M27" s="165"/>
      <c r="N27" s="165"/>
      <c r="O27" s="165"/>
      <c r="P27" s="165">
        <f t="shared" ca="1" si="1"/>
        <v>25</v>
      </c>
      <c r="Q27" s="78">
        <v>1000</v>
      </c>
      <c r="R27" s="78">
        <v>1000</v>
      </c>
      <c r="S27" s="78">
        <v>1000</v>
      </c>
      <c r="T27" s="78">
        <v>1000</v>
      </c>
      <c r="U27" s="78">
        <v>1000</v>
      </c>
      <c r="V27" s="78">
        <v>1000</v>
      </c>
      <c r="W27" s="78">
        <v>1000</v>
      </c>
      <c r="X27" s="78">
        <v>1000</v>
      </c>
      <c r="Y27" s="78">
        <v>1000</v>
      </c>
      <c r="Z27" s="78">
        <v>1000</v>
      </c>
      <c r="AA27" s="78">
        <v>1000</v>
      </c>
      <c r="AB27" s="78">
        <v>1000</v>
      </c>
      <c r="AC27" s="78">
        <v>1000</v>
      </c>
      <c r="AD27">
        <v>1007.3544986609897</v>
      </c>
      <c r="AE27">
        <v>1017.1504137216882</v>
      </c>
      <c r="AF27">
        <v>1028.2456135330174</v>
      </c>
      <c r="AG27">
        <v>1036.6839807675424</v>
      </c>
      <c r="AH27">
        <v>1036.6839807675424</v>
      </c>
      <c r="AI27">
        <v>1048.0849471854165</v>
      </c>
      <c r="AJ27">
        <v>1051.365335582655</v>
      </c>
      <c r="AK27">
        <v>1054.0416990155525</v>
      </c>
      <c r="AL27">
        <v>1053.6856639914038</v>
      </c>
      <c r="AM27">
        <v>1065.1014322772382</v>
      </c>
      <c r="AN27">
        <v>1067.5248702141957</v>
      </c>
      <c r="AO27">
        <v>1071.2771506115819</v>
      </c>
      <c r="AP27">
        <v>1085.5826435524295</v>
      </c>
      <c r="AQ27">
        <v>1085.0289161257479</v>
      </c>
      <c r="AR27">
        <v>1085.0289161257479</v>
      </c>
      <c r="AS27">
        <v>1089.6449622367472</v>
      </c>
      <c r="AT27" s="132">
        <v>1083.3766480548154</v>
      </c>
      <c r="AU27" s="132">
        <v>1090.0299126619852</v>
      </c>
      <c r="AV27" s="132">
        <v>1091.8481439549457</v>
      </c>
      <c r="AW27" s="132">
        <v>1101.6908812126451</v>
      </c>
      <c r="AX27" s="132">
        <v>1102.2648279989446</v>
      </c>
      <c r="AY27" s="132">
        <v>1106.1166522561939</v>
      </c>
      <c r="AZ27" s="132">
        <v>1112.2034910319694</v>
      </c>
      <c r="BA27" s="132">
        <v>1116.0900455848634</v>
      </c>
      <c r="BB27" s="132">
        <v>1117.9940941065413</v>
      </c>
      <c r="BC27" s="132">
        <v>1127.5787982462768</v>
      </c>
      <c r="BD27" s="132">
        <v>1137.2852992365761</v>
      </c>
      <c r="BE27" s="132">
        <v>1142.7138584014795</v>
      </c>
      <c r="BF27" s="132">
        <v>1156.3988917189838</v>
      </c>
      <c r="BG27" s="132">
        <v>1158.9525871675442</v>
      </c>
      <c r="BH27" s="132">
        <v>1161.2422523843593</v>
      </c>
      <c r="BI27" s="165">
        <f ca="1">OFFSET(Calcs!$A$1,Index_CALCULATION!BI$14+16,15)</f>
        <v>1161.2422523843593</v>
      </c>
      <c r="BJ27" s="165">
        <f ca="1">OFFSET(Calcs!$A$1,Index_CALCULATION!BJ$14+16,15)</f>
        <v>1161.2422523843593</v>
      </c>
      <c r="BK27" s="132">
        <f ca="1">OFFSET(Calcs!$A$1,Index_CALCULATION!BK$14+16,15)</f>
        <v>1161.2422523843593</v>
      </c>
      <c r="BL27" s="165">
        <f ca="1">OFFSET(Calcs!$A$1,Index_CALCULATION!BL$14+16,15)</f>
        <v>1161.2422523843593</v>
      </c>
      <c r="BM27" s="165">
        <f ca="1">OFFSET(Calcs!$A$1,Index_CALCULATION!BM$14+16,15)</f>
        <v>1161.2422523843593</v>
      </c>
      <c r="BN27" s="165">
        <f ca="1">OFFSET(Calcs!$A$1,Index_CALCULATION!BN$14+16,15)</f>
        <v>1161.2422523843593</v>
      </c>
      <c r="BO27" s="165">
        <f ca="1">OFFSET(Calcs!$A$1,Index_CALCULATION!BO$14+16,15)</f>
        <v>1166.9206873187281</v>
      </c>
      <c r="BP27" s="165">
        <f ca="1">OFFSET(Calcs!$A$1,Index_CALCULATION!BP$14+16,15)</f>
        <v>1173.2454452500563</v>
      </c>
      <c r="BQ27" s="165">
        <f ca="1">OFFSET(Calcs!$A$1,Index_CALCULATION!BQ$14+16,15)</f>
        <v>1173.2454452500563</v>
      </c>
      <c r="BR27" s="165">
        <f ca="1">OFFSET(Calcs!$A$1,Index_CALCULATION!BR$14+16,15)</f>
        <v>1173.2454452500563</v>
      </c>
      <c r="BS27" s="165">
        <f ca="1">OFFSET(Calcs!$A$1,Index_CALCULATION!BS$14+16,15)</f>
        <v>1173.2454452500563</v>
      </c>
      <c r="BT27" s="165">
        <f ca="1">OFFSET(Calcs!$A$1,Index_CALCULATION!BT$14+16,15)</f>
        <v>1173.2454452500563</v>
      </c>
      <c r="BU27" s="165">
        <f ca="1">OFFSET(Calcs!$A$1,Index_CALCULATION!BU$14+16,15)</f>
        <v>1173.2454452500563</v>
      </c>
      <c r="BV27" s="165">
        <f ca="1">OFFSET(Calcs!$A$1,Index_CALCULATION!BV$14+16,15)</f>
        <v>1173.2454452500563</v>
      </c>
      <c r="BW27" s="165">
        <f ca="1">OFFSET(Calcs!$A$1,Index_CALCULATION!BW$14+16,15)</f>
        <v>1173.2454452500563</v>
      </c>
      <c r="BX27" s="165">
        <f ca="1">OFFSET(Calcs!$A$1,Index_CALCULATION!BX$14+16,15)</f>
        <v>1173.2454452500563</v>
      </c>
      <c r="BY27" s="165">
        <f ca="1">OFFSET(Calcs!$A$1,Index_CALCULATION!BY$14+16,15)</f>
        <v>1179.9688965028261</v>
      </c>
      <c r="BZ27" s="165">
        <f ca="1">OFFSET(Calcs!$A$1,Index_CALCULATION!BZ$14+16,15)</f>
        <v>1172.3806983238601</v>
      </c>
      <c r="CA27" s="165">
        <f ca="1">OFFSET(Calcs!$A$1,Index_CALCULATION!CA$14+16,15)</f>
        <v>1172.3806983238601</v>
      </c>
      <c r="CB27" s="165">
        <f ca="1">OFFSET(Calcs!$A$1,Index_CALCULATION!CB$14+16,15)</f>
        <v>1180.494027289222</v>
      </c>
      <c r="CC27" s="165">
        <f ca="1">OFFSET(Calcs!$A$1,Index_CALCULATION!CC$14+16,15)</f>
        <v>1187.6702607416908</v>
      </c>
      <c r="CD27" s="165">
        <f ca="1">OFFSET(Calcs!$A$1,Index_CALCULATION!CD$14+16,15)</f>
        <v>1180.494027289222</v>
      </c>
      <c r="CE27" s="165">
        <f ca="1">OFFSET(Calcs!$A$1,Index_CALCULATION!CE$14+16,15)</f>
        <v>1180.494027289222</v>
      </c>
      <c r="CF27" s="165">
        <f ca="1">OFFSET(Calcs!$A$1,Index_CALCULATION!CF$14+16,15)</f>
        <v>1180.494027289222</v>
      </c>
      <c r="CG27" s="165">
        <f ca="1">OFFSET(Calcs!$A$1,Index_CALCULATION!CG$14+16,15)</f>
        <v>1180.494027289222</v>
      </c>
      <c r="CH27" s="165">
        <f ca="1">OFFSET(Calcs!$A$1,Index_CALCULATION!CH$14+16,15)</f>
        <v>1180.494027289222</v>
      </c>
      <c r="CI27" s="165">
        <f ca="1">OFFSET(Calcs!$A$1,Index_CALCULATION!CI$14+16,15)</f>
        <v>1180.494027289222</v>
      </c>
      <c r="CJ27" s="165">
        <f ca="1">OFFSET(Calcs!$A$1,Index_CALCULATION!CJ$14+16,15)</f>
        <v>1172.6502421089297</v>
      </c>
      <c r="CK27" s="165">
        <f ca="1">OFFSET(Calcs!$A$1,Index_CALCULATION!CK$14+16,15)</f>
        <v>1172.6502421089297</v>
      </c>
      <c r="CL27" s="165">
        <f ca="1">OFFSET(Calcs!$A$1,Index_CALCULATION!CL$14+16,15)</f>
        <v>1172.6502421089297</v>
      </c>
      <c r="CM27" s="165">
        <f ca="1">OFFSET(Calcs!$A$1,Index_CALCULATION!CM$14+16,15)</f>
        <v>1164.8585749102044</v>
      </c>
      <c r="CN27" s="165">
        <f ca="1">OFFSET(Calcs!$A$1,Index_CALCULATION!CN$14+16,15)</f>
        <v>1164.8585749102044</v>
      </c>
      <c r="CO27" s="165">
        <f ca="1">OFFSET(Calcs!$A$1,Index_CALCULATION!CO$14+16,15)</f>
        <v>1164.8585749102044</v>
      </c>
      <c r="CP27" s="165">
        <f ca="1">OFFSET(Calcs!$A$1,Index_CALCULATION!CP$14+16,15)</f>
        <v>1151.9873411298101</v>
      </c>
      <c r="CQ27" s="165">
        <f ca="1">OFFSET(Calcs!$A$1,Index_CALCULATION!CQ$14+16,15)</f>
        <v>1143.7881777086034</v>
      </c>
      <c r="CR27" s="165">
        <f ca="1">OFFSET(Calcs!$A$1,Index_CALCULATION!CR$14+16,15)</f>
        <v>1143.7881777086034</v>
      </c>
      <c r="CS27" s="165">
        <f ca="1">OFFSET(Calcs!$A$1,Index_CALCULATION!CS$14+16,15)</f>
        <v>1143.7881777086034</v>
      </c>
      <c r="CT27" s="165">
        <f ca="1">OFFSET(Calcs!$A$1,Index_CALCULATION!CT$14+16,15)</f>
        <v>1135.6473710751907</v>
      </c>
      <c r="CU27" s="165">
        <f ca="1">OFFSET(Calcs!$A$1,Index_CALCULATION!CU$14+16,15)</f>
        <v>1135.6473710751907</v>
      </c>
      <c r="CV27" s="165">
        <f ca="1">OFFSET(Calcs!$A$1,Index_CALCULATION!CV$14+16,15)</f>
        <v>1144.0908072021971</v>
      </c>
      <c r="CW27" s="165">
        <f ca="1">OFFSET(Calcs!$A$1,Index_CALCULATION!CW$14+16,15)</f>
        <v>1154.5390527901013</v>
      </c>
      <c r="CX27" s="165">
        <f ca="1">OFFSET(Calcs!$A$1,Index_CALCULATION!CX$14+16,15)</f>
        <v>1154.5390527901013</v>
      </c>
      <c r="CY27" s="165">
        <f ca="1">OFFSET(Calcs!$A$1,Index_CALCULATION!CY$14+16,15)</f>
        <v>1154.5390527901013</v>
      </c>
      <c r="CZ27" s="165">
        <f ca="1">OFFSET(Calcs!$A$1,Index_CALCULATION!CZ$14+16,15)</f>
        <v>1145.3395872935305</v>
      </c>
      <c r="DA27" s="165">
        <f ca="1">OFFSET(Calcs!$A$1,Index_CALCULATION!DA$14+16,15)</f>
        <v>1145.3395872935305</v>
      </c>
      <c r="DB27" s="165">
        <f ca="1">OFFSET(Calcs!$A$1,Index_CALCULATION!DB$14+16,15)</f>
        <v>1155.3424898159985</v>
      </c>
      <c r="DC27" s="247">
        <f ca="1">OFFSET(Calcs!$A$1,Index_CALCULATION!DC$14+16,15)</f>
        <v>1155.3424898159985</v>
      </c>
      <c r="DD27" s="247">
        <f ca="1">OFFSET(Calcs!$A$1,Index_CALCULATION!DD$14+16,15)</f>
        <v>1145.7546405911432</v>
      </c>
      <c r="DE27" s="247">
        <f ca="1">OFFSET(Calcs!$A$1,Index_CALCULATION!DE$14+16,15)</f>
        <v>1145.7546405911432</v>
      </c>
      <c r="DF27" s="247">
        <f ca="1">OFFSET(Calcs!$A$1,Index_CALCULATION!DF$14+16,15)</f>
        <v>1145.7546405911432</v>
      </c>
      <c r="DG27" s="247">
        <f ca="1">OFFSET(Calcs!$A$1,Index_CALCULATION!DG$14+16,15)</f>
        <v>1145.7546405911432</v>
      </c>
      <c r="DH27" s="247">
        <f ca="1">OFFSET(Calcs!$A$1,Index_CALCULATION!DH$14+16,15)</f>
        <v>1145.7546405911432</v>
      </c>
      <c r="DI27" s="247">
        <f ca="1">OFFSET(Calcs!$A$1,Index_CALCULATION!DI$14+16,15)</f>
        <v>1145.7546405911432</v>
      </c>
      <c r="DJ27" s="247">
        <f ca="1">OFFSET(Calcs!$A$1,Index_CALCULATION!DJ$14+16,15)</f>
        <v>1145.7546405911432</v>
      </c>
      <c r="DK27" s="247">
        <f ca="1">OFFSET(Calcs!$A$1,Index_CALCULATION!DK$14+16,15)</f>
        <v>1145.7546405911432</v>
      </c>
      <c r="DL27" s="247">
        <f ca="1">OFFSET(Calcs!$A$1,Index_CALCULATION!DL$14+16,15)</f>
        <v>1145.7546405911432</v>
      </c>
      <c r="DM27" s="247">
        <f ca="1">OFFSET(Calcs!$A$1,Index_CALCULATION!DM$14+16,15)</f>
        <v>1138.1416810484702</v>
      </c>
      <c r="DO27" t="str">
        <f t="shared" si="5"/>
        <v>Sub-index value: 1007.4 (Base = 1000, March 2011)</v>
      </c>
      <c r="DP27" s="17">
        <f t="shared" si="2"/>
        <v>3</v>
      </c>
      <c r="DQ27" s="86" t="str">
        <f t="shared" si="3"/>
        <v>Effect desired: Data modification</v>
      </c>
      <c r="DT27">
        <f t="shared" si="4"/>
        <v>23</v>
      </c>
    </row>
    <row r="28" spans="1:124" x14ac:dyDescent="0.3">
      <c r="A28" s="74">
        <v>0</v>
      </c>
      <c r="B28" s="77" t="s">
        <v>164</v>
      </c>
      <c r="C28" s="165"/>
      <c r="D28" s="165"/>
      <c r="E28" s="165"/>
      <c r="F28" s="165"/>
      <c r="G28" s="1"/>
      <c r="H28" s="165"/>
      <c r="I28" s="165"/>
      <c r="J28" s="25"/>
      <c r="K28" s="165"/>
      <c r="L28" s="165"/>
      <c r="M28" s="165"/>
      <c r="N28" s="165"/>
      <c r="O28" s="165"/>
      <c r="P28" s="165">
        <f t="shared" ca="1" si="1"/>
        <v>19</v>
      </c>
      <c r="Q28" s="78">
        <v>1000</v>
      </c>
      <c r="R28" s="78">
        <v>1000</v>
      </c>
      <c r="S28" s="78">
        <v>1000</v>
      </c>
      <c r="T28" s="78">
        <v>1000</v>
      </c>
      <c r="U28" s="78">
        <v>1000</v>
      </c>
      <c r="V28" s="78">
        <v>1000</v>
      </c>
      <c r="W28" s="78">
        <v>1000</v>
      </c>
      <c r="X28" s="78">
        <v>1000</v>
      </c>
      <c r="Y28" s="78">
        <v>1000</v>
      </c>
      <c r="Z28" s="78">
        <v>1000</v>
      </c>
      <c r="AA28" s="78">
        <v>1000</v>
      </c>
      <c r="AB28" s="78">
        <v>1000</v>
      </c>
      <c r="AC28" s="78">
        <v>1000</v>
      </c>
      <c r="AD28">
        <v>1025.757161957775</v>
      </c>
      <c r="AE28">
        <v>1039.497565264882</v>
      </c>
      <c r="AF28">
        <v>1050.8365305097605</v>
      </c>
      <c r="AG28">
        <v>1060.4794933749367</v>
      </c>
      <c r="AH28">
        <v>1103.3986199468548</v>
      </c>
      <c r="AI28">
        <v>1161.1800096796171</v>
      </c>
      <c r="AJ28">
        <v>1168.4601113596325</v>
      </c>
      <c r="AK28">
        <v>1211.824912721067</v>
      </c>
      <c r="AL28">
        <v>1247.1284043129112</v>
      </c>
      <c r="AM28">
        <v>1277.0471879090219</v>
      </c>
      <c r="AN28">
        <v>1319.8328159357536</v>
      </c>
      <c r="AO28">
        <v>1363.9703352371196</v>
      </c>
      <c r="AP28">
        <v>1393.513676313105</v>
      </c>
      <c r="AQ28">
        <v>1417.1745231369573</v>
      </c>
      <c r="AR28">
        <v>1429.3739418681805</v>
      </c>
      <c r="AS28">
        <v>1472.4880582313294</v>
      </c>
      <c r="AT28" s="132">
        <v>1481.007734001256</v>
      </c>
      <c r="AU28" s="132">
        <v>1496.1974244383869</v>
      </c>
      <c r="AV28" s="132">
        <v>1503.6971452381663</v>
      </c>
      <c r="AW28" s="132">
        <v>1528.9687762619162</v>
      </c>
      <c r="AX28" s="132">
        <v>1537.7536341376806</v>
      </c>
      <c r="AY28" s="132">
        <v>1561.1753256342909</v>
      </c>
      <c r="AZ28" s="132">
        <v>1591.936415445512</v>
      </c>
      <c r="BA28" s="132">
        <v>1604.0140778377929</v>
      </c>
      <c r="BB28" s="132">
        <v>1615.9057732218205</v>
      </c>
      <c r="BC28" s="132">
        <v>1621.8284511724412</v>
      </c>
      <c r="BD28" s="132">
        <v>1628.7940601779776</v>
      </c>
      <c r="BE28" s="132">
        <v>1654.1976557035409</v>
      </c>
      <c r="BF28" s="132">
        <v>1668.0402334676703</v>
      </c>
      <c r="BG28" s="132">
        <v>1685.2999200777676</v>
      </c>
      <c r="BH28" s="132">
        <v>1708.7452539438107</v>
      </c>
      <c r="BI28" s="165">
        <f ca="1">OFFSET(Calcs!$A$1,Index_CALCULATION!BI$14+17,15)</f>
        <v>1726.8270464597008</v>
      </c>
      <c r="BJ28" s="165">
        <f ca="1">OFFSET(Calcs!$A$1,Index_CALCULATION!BJ$14+17,15)</f>
        <v>1750.5359723807339</v>
      </c>
      <c r="BK28" s="132">
        <f ca="1">OFFSET(Calcs!$A$1,Index_CALCULATION!BK$14+17,15)</f>
        <v>1750.5359723807339</v>
      </c>
      <c r="BL28" s="165">
        <f ca="1">OFFSET(Calcs!$A$1,Index_CALCULATION!BL$14+17,15)</f>
        <v>1750.5359723807339</v>
      </c>
      <c r="BM28" s="165">
        <f ca="1">OFFSET(Calcs!$A$1,Index_CALCULATION!BM$14+17,15)</f>
        <v>1759.7736078466341</v>
      </c>
      <c r="BN28" s="165">
        <f ca="1">OFFSET(Calcs!$A$1,Index_CALCULATION!BN$14+17,15)</f>
        <v>1759.7736078466341</v>
      </c>
      <c r="BO28" s="165">
        <f ca="1">OFFSET(Calcs!$A$1,Index_CALCULATION!BO$14+17,15)</f>
        <v>1777.0261527624145</v>
      </c>
      <c r="BP28" s="165">
        <f ca="1">OFFSET(Calcs!$A$1,Index_CALCULATION!BP$14+17,15)</f>
        <v>1786.6577073110673</v>
      </c>
      <c r="BQ28" s="165">
        <f ca="1">OFFSET(Calcs!$A$1,Index_CALCULATION!BQ$14+17,15)</f>
        <v>1786.6577073110673</v>
      </c>
      <c r="BR28" s="165">
        <f ca="1">OFFSET(Calcs!$A$1,Index_CALCULATION!BR$14+17,15)</f>
        <v>1786.6577073110673</v>
      </c>
      <c r="BS28" s="165">
        <f ca="1">OFFSET(Calcs!$A$1,Index_CALCULATION!BS$14+17,15)</f>
        <v>1796.0859583512529</v>
      </c>
      <c r="BT28" s="165">
        <f ca="1">OFFSET(Calcs!$A$1,Index_CALCULATION!BT$14+17,15)</f>
        <v>1796.0859583512529</v>
      </c>
      <c r="BU28" s="165">
        <f ca="1">OFFSET(Calcs!$A$1,Index_CALCULATION!BU$14+17,15)</f>
        <v>1796.0859583512529</v>
      </c>
      <c r="BV28" s="165">
        <f ca="1">OFFSET(Calcs!$A$1,Index_CALCULATION!BV$14+17,15)</f>
        <v>1817.3411668714846</v>
      </c>
      <c r="BW28" s="165">
        <f ca="1">OFFSET(Calcs!$A$1,Index_CALCULATION!BW$14+17,15)</f>
        <v>1817.3411668714846</v>
      </c>
      <c r="BX28" s="165">
        <f ca="1">OFFSET(Calcs!$A$1,Index_CALCULATION!BX$14+17,15)</f>
        <v>1806.3602869864335</v>
      </c>
      <c r="BY28" s="165">
        <f ca="1">OFFSET(Calcs!$A$1,Index_CALCULATION!BY$14+17,15)</f>
        <v>1806.3602869864335</v>
      </c>
      <c r="BZ28" s="165">
        <f ca="1">OFFSET(Calcs!$A$1,Index_CALCULATION!BZ$14+17,15)</f>
        <v>1818.0518986445441</v>
      </c>
      <c r="CA28" s="165">
        <f ca="1">OFFSET(Calcs!$A$1,Index_CALCULATION!CA$14+17,15)</f>
        <v>1843.3022163581952</v>
      </c>
      <c r="CB28" s="165">
        <f ca="1">OFFSET(Calcs!$A$1,Index_CALCULATION!CB$14+17,15)</f>
        <v>1843.3022163581952</v>
      </c>
      <c r="CC28" s="165">
        <f ca="1">OFFSET(Calcs!$A$1,Index_CALCULATION!CC$14+17,15)</f>
        <v>1854.5076665529878</v>
      </c>
      <c r="CD28" s="165">
        <f ca="1">OFFSET(Calcs!$A$1,Index_CALCULATION!CD$14+17,15)</f>
        <v>1865.7812347769095</v>
      </c>
      <c r="CE28" s="165">
        <f ca="1">OFFSET(Calcs!$A$1,Index_CALCULATION!CE$14+17,15)</f>
        <v>1889.2498736239759</v>
      </c>
      <c r="CF28" s="165">
        <f ca="1">OFFSET(Calcs!$A$1,Index_CALCULATION!CF$14+17,15)</f>
        <v>1889.2498736239759</v>
      </c>
      <c r="CG28" s="165">
        <f ca="1">OFFSET(Calcs!$A$1,Index_CALCULATION!CG$14+17,15)</f>
        <v>1876.6967646560045</v>
      </c>
      <c r="CH28" s="165">
        <f ca="1">OFFSET(Calcs!$A$1,Index_CALCULATION!CH$14+17,15)</f>
        <v>1876.6967646560045</v>
      </c>
      <c r="CI28" s="165">
        <f ca="1">OFFSET(Calcs!$A$1,Index_CALCULATION!CI$14+17,15)</f>
        <v>1864.6280168998214</v>
      </c>
      <c r="CJ28" s="165">
        <f ca="1">OFFSET(Calcs!$A$1,Index_CALCULATION!CJ$14+17,15)</f>
        <v>1864.6280168998214</v>
      </c>
      <c r="CK28" s="165">
        <f ca="1">OFFSET(Calcs!$A$1,Index_CALCULATION!CK$14+17,15)</f>
        <v>1864.6280168998214</v>
      </c>
      <c r="CL28" s="165">
        <f ca="1">OFFSET(Calcs!$A$1,Index_CALCULATION!CL$14+17,15)</f>
        <v>1901.0691095638779</v>
      </c>
      <c r="CM28" s="165">
        <f ca="1">OFFSET(Calcs!$A$1,Index_CALCULATION!CM$14+17,15)</f>
        <v>1926.5864351620507</v>
      </c>
      <c r="CN28" s="165">
        <f ca="1">OFFSET(Calcs!$A$1,Index_CALCULATION!CN$14+17,15)</f>
        <v>1926.5864351620507</v>
      </c>
      <c r="CO28" s="165">
        <f ca="1">OFFSET(Calcs!$A$1,Index_CALCULATION!CO$14+17,15)</f>
        <v>1915.2868404632343</v>
      </c>
      <c r="CP28" s="165">
        <f ca="1">OFFSET(Calcs!$A$1,Index_CALCULATION!CP$14+17,15)</f>
        <v>1894.1236664856419</v>
      </c>
      <c r="CQ28" s="165">
        <f ca="1">OFFSET(Calcs!$A$1,Index_CALCULATION!CQ$14+17,15)</f>
        <v>1880.6424163650809</v>
      </c>
      <c r="CR28" s="165">
        <f ca="1">OFFSET(Calcs!$A$1,Index_CALCULATION!CR$14+17,15)</f>
        <v>1880.6424163650809</v>
      </c>
      <c r="CS28" s="165">
        <f ca="1">OFFSET(Calcs!$A$1,Index_CALCULATION!CS$14+17,15)</f>
        <v>1880.6424163650809</v>
      </c>
      <c r="CT28" s="165">
        <f ca="1">OFFSET(Calcs!$A$1,Index_CALCULATION!CT$14+17,15)</f>
        <v>1867.2571177961681</v>
      </c>
      <c r="CU28" s="165">
        <f ca="1">OFFSET(Calcs!$A$1,Index_CALCULATION!CU$14+17,15)</f>
        <v>1867.2571177961681</v>
      </c>
      <c r="CV28" s="165">
        <f ca="1">OFFSET(Calcs!$A$1,Index_CALCULATION!CV$14+17,15)</f>
        <v>1867.2571177961681</v>
      </c>
      <c r="CW28" s="165">
        <f ca="1">OFFSET(Calcs!$A$1,Index_CALCULATION!CW$14+17,15)</f>
        <v>1901.5177638147452</v>
      </c>
      <c r="CX28" s="165">
        <f ca="1">OFFSET(Calcs!$A$1,Index_CALCULATION!CX$14+17,15)</f>
        <v>1927.9273111495991</v>
      </c>
      <c r="CY28" s="165">
        <f ca="1">OFFSET(Calcs!$A$1,Index_CALCULATION!CY$14+17,15)</f>
        <v>1927.9273111495991</v>
      </c>
      <c r="CZ28" s="165">
        <f ca="1">OFFSET(Calcs!$A$1,Index_CALCULATION!CZ$14+17,15)</f>
        <v>1943.4125881587768</v>
      </c>
      <c r="DA28" s="165">
        <f ca="1">OFFSET(Calcs!$A$1,Index_CALCULATION!DA$14+17,15)</f>
        <v>1928.5206108252221</v>
      </c>
      <c r="DB28" s="165">
        <f ca="1">OFFSET(Calcs!$A$1,Index_CALCULATION!DB$14+17,15)</f>
        <v>1911.8235674353202</v>
      </c>
      <c r="DC28" s="247">
        <f ca="1">OFFSET(Calcs!$A$1,Index_CALCULATION!DC$14+17,15)</f>
        <v>1911.8235674353202</v>
      </c>
      <c r="DD28" s="247">
        <f ca="1">OFFSET(Calcs!$A$1,Index_CALCULATION!DD$14+17,15)</f>
        <v>1895.9579031230744</v>
      </c>
      <c r="DE28" s="247">
        <f ca="1">OFFSET(Calcs!$A$1,Index_CALCULATION!DE$14+17,15)</f>
        <v>1895.9579031230744</v>
      </c>
      <c r="DF28" s="247">
        <f ca="1">OFFSET(Calcs!$A$1,Index_CALCULATION!DF$14+17,15)</f>
        <v>1895.9579031230744</v>
      </c>
      <c r="DG28" s="247">
        <f ca="1">OFFSET(Calcs!$A$1,Index_CALCULATION!DG$14+17,15)</f>
        <v>1877.9868733560356</v>
      </c>
      <c r="DH28" s="247">
        <f ca="1">OFFSET(Calcs!$A$1,Index_CALCULATION!DH$14+17,15)</f>
        <v>1864.6204753690354</v>
      </c>
      <c r="DI28" s="247">
        <f ca="1">OFFSET(Calcs!$A$1,Index_CALCULATION!DI$14+17,15)</f>
        <v>1854.2901945223091</v>
      </c>
      <c r="DJ28" s="247">
        <f ca="1">OFFSET(Calcs!$A$1,Index_CALCULATION!DJ$14+17,15)</f>
        <v>1825.9809746628607</v>
      </c>
      <c r="DK28" s="247">
        <f ca="1">OFFSET(Calcs!$A$1,Index_CALCULATION!DK$14+17,15)</f>
        <v>1825.9809746628607</v>
      </c>
      <c r="DL28" s="247">
        <f ca="1">OFFSET(Calcs!$A$1,Index_CALCULATION!DL$14+17,15)</f>
        <v>1812.9847238528546</v>
      </c>
      <c r="DM28" s="247">
        <f ca="1">OFFSET(Calcs!$A$1,Index_CALCULATION!DM$14+17,15)</f>
        <v>1800.9383581954962</v>
      </c>
      <c r="DO28" t="str">
        <f t="shared" si="5"/>
        <v>Sub-index value: 1025.8 (Base = 1000, March 2011)</v>
      </c>
      <c r="DP28" s="17">
        <f t="shared" si="2"/>
        <v>7</v>
      </c>
      <c r="DQ28" s="86" t="str">
        <f t="shared" si="3"/>
        <v>Effect desired: Business disruption</v>
      </c>
      <c r="DT28">
        <f t="shared" si="4"/>
        <v>17</v>
      </c>
    </row>
    <row r="29" spans="1:124" x14ac:dyDescent="0.3">
      <c r="A29" s="74" t="s">
        <v>39</v>
      </c>
      <c r="B29" s="77" t="s">
        <v>165</v>
      </c>
      <c r="C29" s="165"/>
      <c r="D29" s="165"/>
      <c r="E29" s="165"/>
      <c r="F29" s="165"/>
      <c r="G29" s="1"/>
      <c r="H29" s="165"/>
      <c r="I29" s="165"/>
      <c r="J29" s="25"/>
      <c r="K29" s="165"/>
      <c r="L29" s="165"/>
      <c r="M29" s="165"/>
      <c r="N29" s="165"/>
      <c r="O29" s="165"/>
      <c r="P29" s="165">
        <f t="shared" ca="1" si="1"/>
        <v>5</v>
      </c>
      <c r="Q29" s="78">
        <v>1026.3987721275282</v>
      </c>
      <c r="R29" s="78">
        <v>1049.7545112536357</v>
      </c>
      <c r="S29" s="78">
        <v>1082.872187626333</v>
      </c>
      <c r="T29" s="78">
        <v>1114.5274499904863</v>
      </c>
      <c r="U29" s="78">
        <v>1137.601736687262</v>
      </c>
      <c r="V29" s="78">
        <v>1156.3701790176733</v>
      </c>
      <c r="W29" s="78">
        <v>1187.4147683937433</v>
      </c>
      <c r="X29" s="78">
        <v>1211.5103036167807</v>
      </c>
      <c r="Y29" s="78">
        <v>1240.9860033324157</v>
      </c>
      <c r="Z29" s="78">
        <v>1271.3591886743361</v>
      </c>
      <c r="AA29" s="78">
        <v>1308.6104719557054</v>
      </c>
      <c r="AB29" s="78">
        <v>1340.518896129533</v>
      </c>
      <c r="AC29" s="78">
        <v>1385.4310523878414</v>
      </c>
      <c r="AD29">
        <v>1424.1818767560319</v>
      </c>
      <c r="AE29">
        <v>1463.7723167718364</v>
      </c>
      <c r="AF29">
        <v>1510.059354371956</v>
      </c>
      <c r="AG29">
        <v>1527.5840255955222</v>
      </c>
      <c r="AH29">
        <v>1567.9583759813572</v>
      </c>
      <c r="AI29">
        <v>1640.6407645915931</v>
      </c>
      <c r="AJ29">
        <v>1686.5601531186312</v>
      </c>
      <c r="AK29">
        <v>1743.2337924715609</v>
      </c>
      <c r="AL29">
        <v>1805.5712521587359</v>
      </c>
      <c r="AM29">
        <v>1866.503099708365</v>
      </c>
      <c r="AN29">
        <v>1925.387576928623</v>
      </c>
      <c r="AO29">
        <v>1970.6686475726426</v>
      </c>
      <c r="AP29">
        <v>2014.380443041551</v>
      </c>
      <c r="AQ29">
        <v>2063.2682764101646</v>
      </c>
      <c r="AR29">
        <v>2133.7109547913151</v>
      </c>
      <c r="AS29">
        <v>2192.8919255305345</v>
      </c>
      <c r="AT29" s="132">
        <v>2234.0384912586323</v>
      </c>
      <c r="AU29" s="132">
        <v>2289.425072875536</v>
      </c>
      <c r="AV29" s="132">
        <v>2335.6745272384746</v>
      </c>
      <c r="AW29" s="132">
        <v>2422.5947771309116</v>
      </c>
      <c r="AX29" s="132">
        <v>2474.8835746550299</v>
      </c>
      <c r="AY29" s="132">
        <v>2539.011290950707</v>
      </c>
      <c r="AZ29" s="132">
        <v>2620.8064265139769</v>
      </c>
      <c r="BA29" s="132">
        <v>2793.8918584512176</v>
      </c>
      <c r="BB29" s="132">
        <v>2864.6195675801305</v>
      </c>
      <c r="BC29" s="132">
        <v>2910.3961725929739</v>
      </c>
      <c r="BD29" s="132">
        <v>2977.6856061966564</v>
      </c>
      <c r="BE29" s="132">
        <v>3074.9517611405863</v>
      </c>
      <c r="BF29" s="132">
        <v>3242.2430970753799</v>
      </c>
      <c r="BG29" s="132">
        <v>3403.4676738347562</v>
      </c>
      <c r="BH29" s="132">
        <v>3457.6331338420046</v>
      </c>
      <c r="BI29" s="165">
        <f ca="1">OFFSET(Calcs!$A$1,Index_CALCULATION!BI$14+18,15)</f>
        <v>3475.8791767506868</v>
      </c>
      <c r="BJ29" s="165">
        <f ca="1">OFFSET(Calcs!$A$1,Index_CALCULATION!BJ$14+18,15)</f>
        <v>3475.8791767506868</v>
      </c>
      <c r="BK29" s="132">
        <f ca="1">OFFSET(Calcs!$A$1,Index_CALCULATION!BK$14+18,15)</f>
        <v>3475.8791767506868</v>
      </c>
      <c r="BL29" s="165">
        <f ca="1">OFFSET(Calcs!$A$1,Index_CALCULATION!BL$14+18,15)</f>
        <v>3493.3020936289072</v>
      </c>
      <c r="BM29" s="165">
        <f ca="1">OFFSET(Calcs!$A$1,Index_CALCULATION!BM$14+18,15)</f>
        <v>3530.2679102165675</v>
      </c>
      <c r="BN29" s="165">
        <f ca="1">OFFSET(Calcs!$A$1,Index_CALCULATION!BN$14+18,15)</f>
        <v>3530.2679102165675</v>
      </c>
      <c r="BO29" s="165">
        <f ca="1">OFFSET(Calcs!$A$1,Index_CALCULATION!BO$14+18,15)</f>
        <v>3564.8781040586482</v>
      </c>
      <c r="BP29" s="165">
        <f ca="1">OFFSET(Calcs!$A$1,Index_CALCULATION!BP$14+18,15)</f>
        <v>3584.1998894275148</v>
      </c>
      <c r="BQ29" s="165">
        <f ca="1">OFFSET(Calcs!$A$1,Index_CALCULATION!BQ$14+18,15)</f>
        <v>3605.345550335559</v>
      </c>
      <c r="BR29" s="165">
        <f ca="1">OFFSET(Calcs!$A$1,Index_CALCULATION!BR$14+18,15)</f>
        <v>3605.345550335559</v>
      </c>
      <c r="BS29" s="165">
        <f ca="1">OFFSET(Calcs!$A$1,Index_CALCULATION!BS$14+18,15)</f>
        <v>3624.3710764875927</v>
      </c>
      <c r="BT29" s="165">
        <f ca="1">OFFSET(Calcs!$A$1,Index_CALCULATION!BT$14+18,15)</f>
        <v>3624.3710764875927</v>
      </c>
      <c r="BU29" s="165">
        <f ca="1">OFFSET(Calcs!$A$1,Index_CALCULATION!BU$14+18,15)</f>
        <v>3648.6142711903094</v>
      </c>
      <c r="BV29" s="165">
        <f ca="1">OFFSET(Calcs!$A$1,Index_CALCULATION!BV$14+18,15)</f>
        <v>3670.1399568504257</v>
      </c>
      <c r="BW29" s="165">
        <f ca="1">OFFSET(Calcs!$A$1,Index_CALCULATION!BW$14+18,15)</f>
        <v>3710.0323918264025</v>
      </c>
      <c r="BX29" s="165">
        <f ca="1">OFFSET(Calcs!$A$1,Index_CALCULATION!BX$14+18,15)</f>
        <v>3710.0323918264025</v>
      </c>
      <c r="BY29" s="165">
        <f ca="1">OFFSET(Calcs!$A$1,Index_CALCULATION!BY$14+18,15)</f>
        <v>3710.0323918264025</v>
      </c>
      <c r="BZ29" s="165">
        <f ca="1">OFFSET(Calcs!$A$1,Index_CALCULATION!BZ$14+18,15)</f>
        <v>3710.0323918264025</v>
      </c>
      <c r="CA29" s="165">
        <f ca="1">OFFSET(Calcs!$A$1,Index_CALCULATION!CA$14+18,15)</f>
        <v>3735.7072543604504</v>
      </c>
      <c r="CB29" s="165">
        <f ca="1">OFFSET(Calcs!$A$1,Index_CALCULATION!CB$14+18,15)</f>
        <v>3761.5597968973993</v>
      </c>
      <c r="CC29" s="165">
        <f ca="1">OFFSET(Calcs!$A$1,Index_CALCULATION!CC$14+18,15)</f>
        <v>3761.5597968973993</v>
      </c>
      <c r="CD29" s="165">
        <f ca="1">OFFSET(Calcs!$A$1,Index_CALCULATION!CD$14+18,15)</f>
        <v>3807.431912282043</v>
      </c>
      <c r="CE29" s="165">
        <f ca="1">OFFSET(Calcs!$A$1,Index_CALCULATION!CE$14+18,15)</f>
        <v>3807.431912282043</v>
      </c>
      <c r="CF29" s="165">
        <f ca="1">OFFSET(Calcs!$A$1,Index_CALCULATION!CF$14+18,15)</f>
        <v>3829.8945724659989</v>
      </c>
      <c r="CG29" s="165">
        <f ca="1">OFFSET(Calcs!$A$1,Index_CALCULATION!CG$14+18,15)</f>
        <v>3804.4468619353711</v>
      </c>
      <c r="CH29" s="165">
        <f ca="1">OFFSET(Calcs!$A$1,Index_CALCULATION!CH$14+18,15)</f>
        <v>3829.0710277809744</v>
      </c>
      <c r="CI29" s="165">
        <f ca="1">OFFSET(Calcs!$A$1,Index_CALCULATION!CI$14+18,15)</f>
        <v>3829.0710277809744</v>
      </c>
      <c r="CJ29" s="165">
        <f ca="1">OFFSET(Calcs!$A$1,Index_CALCULATION!CJ$14+18,15)</f>
        <v>3829.0710277809744</v>
      </c>
      <c r="CK29" s="165">
        <f ca="1">OFFSET(Calcs!$A$1,Index_CALCULATION!CK$14+18,15)</f>
        <v>3853.8545727861765</v>
      </c>
      <c r="CL29" s="165">
        <f ca="1">OFFSET(Calcs!$A$1,Index_CALCULATION!CL$14+18,15)</f>
        <v>3878.7985285277082</v>
      </c>
      <c r="CM29" s="165">
        <f ca="1">OFFSET(Calcs!$A$1,Index_CALCULATION!CM$14+18,15)</f>
        <v>3878.7985285277082</v>
      </c>
      <c r="CN29" s="165">
        <f ca="1">OFFSET(Calcs!$A$1,Index_CALCULATION!CN$14+18,15)</f>
        <v>3938.9337445339261</v>
      </c>
      <c r="CO29" s="165">
        <f ca="1">OFFSET(Calcs!$A$1,Index_CALCULATION!CO$14+18,15)</f>
        <v>3962.1722244933881</v>
      </c>
      <c r="CP29" s="165">
        <f ca="1">OFFSET(Calcs!$A$1,Index_CALCULATION!CP$14+18,15)</f>
        <v>3918.3917638623025</v>
      </c>
      <c r="CQ29" s="165">
        <f ca="1">OFFSET(Calcs!$A$1,Index_CALCULATION!CQ$14+18,15)</f>
        <v>3946.4804738580469</v>
      </c>
      <c r="CR29" s="165">
        <f ca="1">OFFSET(Calcs!$A$1,Index_CALCULATION!CR$14+18,15)</f>
        <v>4001.2918276427936</v>
      </c>
      <c r="CS29" s="165">
        <f ca="1">OFFSET(Calcs!$A$1,Index_CALCULATION!CS$14+18,15)</f>
        <v>4063.3261268180454</v>
      </c>
      <c r="CT29" s="165">
        <f ca="1">OFFSET(Calcs!$A$1,Index_CALCULATION!CT$14+18,15)</f>
        <v>4063.3261268180454</v>
      </c>
      <c r="CU29" s="165">
        <f ca="1">OFFSET(Calcs!$A$1,Index_CALCULATION!CU$14+18,15)</f>
        <v>4063.3261268180454</v>
      </c>
      <c r="CV29" s="165">
        <f ca="1">OFFSET(Calcs!$A$1,Index_CALCULATION!CV$14+18,15)</f>
        <v>4093.5365913414671</v>
      </c>
      <c r="CW29" s="165">
        <f ca="1">OFFSET(Calcs!$A$1,Index_CALCULATION!CW$14+18,15)</f>
        <v>4130.9202285144638</v>
      </c>
      <c r="CX29" s="165">
        <f ca="1">OFFSET(Calcs!$A$1,Index_CALCULATION!CX$14+18,15)</f>
        <v>4159.507798056954</v>
      </c>
      <c r="CY29" s="165">
        <f ca="1">OFFSET(Calcs!$A$1,Index_CALCULATION!CY$14+18,15)</f>
        <v>4159.507798056954</v>
      </c>
      <c r="CZ29" s="165">
        <f ca="1">OFFSET(Calcs!$A$1,Index_CALCULATION!CZ$14+18,15)</f>
        <v>4159.507798056954</v>
      </c>
      <c r="DA29" s="165">
        <f ca="1">OFFSET(Calcs!$A$1,Index_CALCULATION!DA$14+18,15)</f>
        <v>4159.507798056954</v>
      </c>
      <c r="DB29" s="165">
        <f ca="1">OFFSET(Calcs!$A$1,Index_CALCULATION!DB$14+18,15)</f>
        <v>4159.507798056954</v>
      </c>
      <c r="DC29" s="247">
        <f ca="1">OFFSET(Calcs!$A$1,Index_CALCULATION!DC$14+18,15)</f>
        <v>4205.982264718763</v>
      </c>
      <c r="DD29" s="247">
        <f ca="1">OFFSET(Calcs!$A$1,Index_CALCULATION!DD$14+18,15)</f>
        <v>4205.982264718763</v>
      </c>
      <c r="DE29" s="247">
        <f ca="1">OFFSET(Calcs!$A$1,Index_CALCULATION!DE$14+18,15)</f>
        <v>4242.7155018057902</v>
      </c>
      <c r="DF29" s="247">
        <f ca="1">OFFSET(Calcs!$A$1,Index_CALCULATION!DF$14+18,15)</f>
        <v>4242.7155018057902</v>
      </c>
      <c r="DG29" s="247">
        <f ca="1">OFFSET(Calcs!$A$1,Index_CALCULATION!DG$14+18,15)</f>
        <v>4242.7155018057902</v>
      </c>
      <c r="DH29" s="247">
        <f ca="1">OFFSET(Calcs!$A$1,Index_CALCULATION!DH$14+18,15)</f>
        <v>4212.5183663799135</v>
      </c>
      <c r="DI29" s="247">
        <f ca="1">OFFSET(Calcs!$A$1,Index_CALCULATION!DI$14+18,15)</f>
        <v>4235.9863747451882</v>
      </c>
      <c r="DJ29" s="247">
        <f ca="1">OFFSET(Calcs!$A$1,Index_CALCULATION!DJ$14+18,15)</f>
        <v>4235.9863747451882</v>
      </c>
      <c r="DK29" s="247">
        <f ca="1">OFFSET(Calcs!$A$1,Index_CALCULATION!DK$14+18,15)</f>
        <v>4235.9863747451882</v>
      </c>
      <c r="DL29" s="247">
        <f ca="1">OFFSET(Calcs!$A$1,Index_CALCULATION!DL$14+18,15)</f>
        <v>4205.837133259186</v>
      </c>
      <c r="DM29" s="247">
        <f ca="1">OFFSET(Calcs!$A$1,Index_CALCULATION!DM$14+18,15)</f>
        <v>4205.837133259186</v>
      </c>
      <c r="DO29" t="str">
        <f t="shared" si="5"/>
        <v>Sub-index value: 1424.2 (Base = 1000, March 2011)</v>
      </c>
      <c r="DP29" s="17">
        <f t="shared" si="2"/>
        <v>22</v>
      </c>
      <c r="DQ29" s="86" t="str">
        <f t="shared" si="3"/>
        <v>Target: Web facing applications</v>
      </c>
      <c r="DT29">
        <f t="shared" si="4"/>
        <v>5</v>
      </c>
    </row>
    <row r="30" spans="1:124" x14ac:dyDescent="0.3">
      <c r="A30" s="74">
        <v>0</v>
      </c>
      <c r="B30" s="77" t="s">
        <v>166</v>
      </c>
      <c r="C30" s="165"/>
      <c r="D30" s="165"/>
      <c r="E30" s="165"/>
      <c r="F30" s="165"/>
      <c r="G30" s="1"/>
      <c r="H30" s="165"/>
      <c r="I30" s="165"/>
      <c r="J30" s="25"/>
      <c r="K30" s="165"/>
      <c r="L30" s="165"/>
      <c r="M30" s="165"/>
      <c r="N30" s="165"/>
      <c r="O30" s="165"/>
      <c r="P30" s="165">
        <f t="shared" ca="1" si="1"/>
        <v>16</v>
      </c>
      <c r="Q30" s="78">
        <v>1000</v>
      </c>
      <c r="R30" s="78">
        <v>1000</v>
      </c>
      <c r="S30" s="78">
        <v>1000</v>
      </c>
      <c r="T30" s="78">
        <v>1000</v>
      </c>
      <c r="U30" s="78">
        <v>1000</v>
      </c>
      <c r="V30" s="78">
        <v>1000</v>
      </c>
      <c r="W30" s="78">
        <v>1000</v>
      </c>
      <c r="X30" s="78">
        <v>1000</v>
      </c>
      <c r="Y30" s="78">
        <v>1000</v>
      </c>
      <c r="Z30" s="78">
        <v>1000</v>
      </c>
      <c r="AA30" s="78">
        <v>1000</v>
      </c>
      <c r="AB30" s="78">
        <v>1000</v>
      </c>
      <c r="AC30" s="78">
        <v>1000</v>
      </c>
      <c r="AD30">
        <v>1019.585887002794</v>
      </c>
      <c r="AE30">
        <v>1044.9753806134643</v>
      </c>
      <c r="AF30">
        <v>1063.3732388317592</v>
      </c>
      <c r="AG30">
        <v>1081.4179310772863</v>
      </c>
      <c r="AH30">
        <v>1113.0204289863555</v>
      </c>
      <c r="AI30">
        <v>1155.5511623707937</v>
      </c>
      <c r="AJ30">
        <v>1182.3383068912306</v>
      </c>
      <c r="AK30">
        <v>1207.6550865383706</v>
      </c>
      <c r="AL30">
        <v>1225.7408040530904</v>
      </c>
      <c r="AM30">
        <v>1256.7705802394048</v>
      </c>
      <c r="AN30">
        <v>1284.6869836565891</v>
      </c>
      <c r="AO30">
        <v>1306.85091209241</v>
      </c>
      <c r="AP30">
        <v>1335.1570571998082</v>
      </c>
      <c r="AQ30">
        <v>1361.9900332356194</v>
      </c>
      <c r="AR30">
        <v>1390.4969144576612</v>
      </c>
      <c r="AS30">
        <v>1420.9977829086176</v>
      </c>
      <c r="AT30" s="132">
        <v>1450.44747082395</v>
      </c>
      <c r="AU30" s="132">
        <v>1467.5682851719596</v>
      </c>
      <c r="AV30" s="132">
        <v>1477.3847589617887</v>
      </c>
      <c r="AW30" s="132">
        <v>1496.4475253206817</v>
      </c>
      <c r="AX30" s="132">
        <v>1539.9343968828368</v>
      </c>
      <c r="AY30" s="132">
        <v>1567.9406522873571</v>
      </c>
      <c r="AZ30" s="132">
        <v>1603.716980037444</v>
      </c>
      <c r="BA30" s="132">
        <v>1676.1677625321802</v>
      </c>
      <c r="BB30" s="132">
        <v>1710.8060598537065</v>
      </c>
      <c r="BC30" s="132">
        <v>1720.2204382031405</v>
      </c>
      <c r="BD30" s="132">
        <v>1733.789693914425</v>
      </c>
      <c r="BE30" s="132">
        <v>1788.2937771864717</v>
      </c>
      <c r="BF30" s="132">
        <v>1861.0538634972497</v>
      </c>
      <c r="BG30" s="132">
        <v>1947.8596528708129</v>
      </c>
      <c r="BH30" s="132">
        <v>2011.6755825295436</v>
      </c>
      <c r="BI30" s="165">
        <f ca="1">OFFSET(Calcs!$A$1,Index_CALCULATION!BI$14+19,15)</f>
        <v>2022.2912602421172</v>
      </c>
      <c r="BJ30" s="165">
        <f ca="1">OFFSET(Calcs!$A$1,Index_CALCULATION!BJ$14+19,15)</f>
        <v>2040.7595458050025</v>
      </c>
      <c r="BK30" s="132">
        <f ca="1">OFFSET(Calcs!$A$1,Index_CALCULATION!BK$14+19,15)</f>
        <v>2051.5287005411169</v>
      </c>
      <c r="BL30" s="165">
        <f ca="1">OFFSET(Calcs!$A$1,Index_CALCULATION!BL$14+19,15)</f>
        <v>2061.8120309462388</v>
      </c>
      <c r="BM30" s="165">
        <f ca="1">OFFSET(Calcs!$A$1,Index_CALCULATION!BM$14+19,15)</f>
        <v>2072.6922803336224</v>
      </c>
      <c r="BN30" s="165">
        <f ca="1">OFFSET(Calcs!$A$1,Index_CALCULATION!BN$14+19,15)</f>
        <v>2072.6922803336224</v>
      </c>
      <c r="BO30" s="165">
        <f ca="1">OFFSET(Calcs!$A$1,Index_CALCULATION!BO$14+19,15)</f>
        <v>2093.0126309194029</v>
      </c>
      <c r="BP30" s="165">
        <f ca="1">OFFSET(Calcs!$A$1,Index_CALCULATION!BP$14+19,15)</f>
        <v>2093.0126309194029</v>
      </c>
      <c r="BQ30" s="165">
        <f ca="1">OFFSET(Calcs!$A$1,Index_CALCULATION!BQ$14+19,15)</f>
        <v>2093.0126309194029</v>
      </c>
      <c r="BR30" s="165">
        <f ca="1">OFFSET(Calcs!$A$1,Index_CALCULATION!BR$14+19,15)</f>
        <v>2093.0126309194029</v>
      </c>
      <c r="BS30" s="165">
        <f ca="1">OFFSET(Calcs!$A$1,Index_CALCULATION!BS$14+19,15)</f>
        <v>2093.0126309194029</v>
      </c>
      <c r="BT30" s="165">
        <f ca="1">OFFSET(Calcs!$A$1,Index_CALCULATION!BT$14+19,15)</f>
        <v>2108.5739917011865</v>
      </c>
      <c r="BU30" s="165">
        <f ca="1">OFFSET(Calcs!$A$1,Index_CALCULATION!BU$14+19,15)</f>
        <v>2122.6781131465646</v>
      </c>
      <c r="BV30" s="165">
        <f ca="1">OFFSET(Calcs!$A$1,Index_CALCULATION!BV$14+19,15)</f>
        <v>2122.6781131465646</v>
      </c>
      <c r="BW30" s="165">
        <f ca="1">OFFSET(Calcs!$A$1,Index_CALCULATION!BW$14+19,15)</f>
        <v>2122.6781131465646</v>
      </c>
      <c r="BX30" s="165">
        <f ca="1">OFFSET(Calcs!$A$1,Index_CALCULATION!BX$14+19,15)</f>
        <v>2122.6781131465646</v>
      </c>
      <c r="BY30" s="165">
        <f ca="1">OFFSET(Calcs!$A$1,Index_CALCULATION!BY$14+19,15)</f>
        <v>2122.6781131465646</v>
      </c>
      <c r="BZ30" s="165">
        <f ca="1">OFFSET(Calcs!$A$1,Index_CALCULATION!BZ$14+19,15)</f>
        <v>2122.6781131465646</v>
      </c>
      <c r="CA30" s="165">
        <f ca="1">OFFSET(Calcs!$A$1,Index_CALCULATION!CA$14+19,15)</f>
        <v>2122.6781131465646</v>
      </c>
      <c r="CB30" s="165">
        <f ca="1">OFFSET(Calcs!$A$1,Index_CALCULATION!CB$14+19,15)</f>
        <v>2122.6781131465646</v>
      </c>
      <c r="CC30" s="165">
        <f ca="1">OFFSET(Calcs!$A$1,Index_CALCULATION!CC$14+19,15)</f>
        <v>2109.8523026603502</v>
      </c>
      <c r="CD30" s="165">
        <f ca="1">OFFSET(Calcs!$A$1,Index_CALCULATION!CD$14+19,15)</f>
        <v>2109.8523026603502</v>
      </c>
      <c r="CE30" s="165">
        <f ca="1">OFFSET(Calcs!$A$1,Index_CALCULATION!CE$14+19,15)</f>
        <v>2136.3909776072592</v>
      </c>
      <c r="CF30" s="165">
        <f ca="1">OFFSET(Calcs!$A$1,Index_CALCULATION!CF$14+19,15)</f>
        <v>2136.3909776072592</v>
      </c>
      <c r="CG30" s="165">
        <f ca="1">OFFSET(Calcs!$A$1,Index_CALCULATION!CG$14+19,15)</f>
        <v>2122.1957411197468</v>
      </c>
      <c r="CH30" s="165">
        <f ca="1">OFFSET(Calcs!$A$1,Index_CALCULATION!CH$14+19,15)</f>
        <v>2149.7563399009096</v>
      </c>
      <c r="CI30" s="165">
        <f ca="1">OFFSET(Calcs!$A$1,Index_CALCULATION!CI$14+19,15)</f>
        <v>2149.7563399009096</v>
      </c>
      <c r="CJ30" s="165">
        <f ca="1">OFFSET(Calcs!$A$1,Index_CALCULATION!CJ$14+19,15)</f>
        <v>2135.4722973472381</v>
      </c>
      <c r="CK30" s="165">
        <f ca="1">OFFSET(Calcs!$A$1,Index_CALCULATION!CK$14+19,15)</f>
        <v>2135.4722973472381</v>
      </c>
      <c r="CL30" s="165">
        <f ca="1">OFFSET(Calcs!$A$1,Index_CALCULATION!CL$14+19,15)</f>
        <v>2149.2940764170658</v>
      </c>
      <c r="CM30" s="165">
        <f ca="1">OFFSET(Calcs!$A$1,Index_CALCULATION!CM$14+19,15)</f>
        <v>2149.2940764170658</v>
      </c>
      <c r="CN30" s="165">
        <f ca="1">OFFSET(Calcs!$A$1,Index_CALCULATION!CN$14+19,15)</f>
        <v>2165.8908597179452</v>
      </c>
      <c r="CO30" s="165">
        <f ca="1">OFFSET(Calcs!$A$1,Index_CALCULATION!CO$14+19,15)</f>
        <v>2165.8908597179452</v>
      </c>
      <c r="CP30" s="165">
        <f ca="1">OFFSET(Calcs!$A$1,Index_CALCULATION!CP$14+19,15)</f>
        <v>2165.8908597179452</v>
      </c>
      <c r="CQ30" s="165">
        <f ca="1">OFFSET(Calcs!$A$1,Index_CALCULATION!CQ$14+19,15)</f>
        <v>2165.8908597179452</v>
      </c>
      <c r="CR30" s="165">
        <f ca="1">OFFSET(Calcs!$A$1,Index_CALCULATION!CR$14+19,15)</f>
        <v>2180.8796641848608</v>
      </c>
      <c r="CS30" s="165">
        <f ca="1">OFFSET(Calcs!$A$1,Index_CALCULATION!CS$14+19,15)</f>
        <v>2197.7203504310678</v>
      </c>
      <c r="CT30" s="165">
        <f ca="1">OFFSET(Calcs!$A$1,Index_CALCULATION!CT$14+19,15)</f>
        <v>2213.4745509539262</v>
      </c>
      <c r="CU30" s="165">
        <f ca="1">OFFSET(Calcs!$A$1,Index_CALCULATION!CU$14+19,15)</f>
        <v>2195.8373972259265</v>
      </c>
      <c r="CV30" s="165">
        <f ca="1">OFFSET(Calcs!$A$1,Index_CALCULATION!CV$14+19,15)</f>
        <v>2212.1632509028609</v>
      </c>
      <c r="CW30" s="165">
        <f ca="1">OFFSET(Calcs!$A$1,Index_CALCULATION!CW$14+19,15)</f>
        <v>2232.3655152515203</v>
      </c>
      <c r="CX30" s="165">
        <f ca="1">OFFSET(Calcs!$A$1,Index_CALCULATION!CX$14+19,15)</f>
        <v>2263.3700968892199</v>
      </c>
      <c r="CY30" s="165">
        <f ca="1">OFFSET(Calcs!$A$1,Index_CALCULATION!CY$14+19,15)</f>
        <v>2263.3700968892199</v>
      </c>
      <c r="CZ30" s="165">
        <f ca="1">OFFSET(Calcs!$A$1,Index_CALCULATION!CZ$14+19,15)</f>
        <v>2263.3700968892199</v>
      </c>
      <c r="DA30" s="165">
        <f ca="1">OFFSET(Calcs!$A$1,Index_CALCULATION!DA$14+19,15)</f>
        <v>2263.3700968892199</v>
      </c>
      <c r="DB30" s="165">
        <f ca="1">OFFSET(Calcs!$A$1,Index_CALCULATION!DB$14+19,15)</f>
        <v>2243.7739419386153</v>
      </c>
      <c r="DC30" s="247">
        <f ca="1">OFFSET(Calcs!$A$1,Index_CALCULATION!DC$14+19,15)</f>
        <v>2243.7739419386153</v>
      </c>
      <c r="DD30" s="247">
        <f ca="1">OFFSET(Calcs!$A$1,Index_CALCULATION!DD$14+19,15)</f>
        <v>2243.7739419386153</v>
      </c>
      <c r="DE30" s="247">
        <f ca="1">OFFSET(Calcs!$A$1,Index_CALCULATION!DE$14+19,15)</f>
        <v>2243.7739419386153</v>
      </c>
      <c r="DF30" s="247">
        <f ca="1">OFFSET(Calcs!$A$1,Index_CALCULATION!DF$14+19,15)</f>
        <v>2225.8953600828645</v>
      </c>
      <c r="DG30" s="247">
        <f ca="1">OFFSET(Calcs!$A$1,Index_CALCULATION!DG$14+19,15)</f>
        <v>2204.7969845817674</v>
      </c>
      <c r="DH30" s="247">
        <f ca="1">OFFSET(Calcs!$A$1,Index_CALCULATION!DH$14+19,15)</f>
        <v>2189.1045458354874</v>
      </c>
      <c r="DI30" s="247">
        <f ca="1">OFFSET(Calcs!$A$1,Index_CALCULATION!DI$14+19,15)</f>
        <v>2189.1045458354874</v>
      </c>
      <c r="DJ30" s="247">
        <f ca="1">OFFSET(Calcs!$A$1,Index_CALCULATION!DJ$14+19,15)</f>
        <v>2172.3298807561337</v>
      </c>
      <c r="DK30" s="247">
        <f ca="1">OFFSET(Calcs!$A$1,Index_CALCULATION!DK$14+19,15)</f>
        <v>2172.3298807561337</v>
      </c>
      <c r="DL30" s="247">
        <f ca="1">OFFSET(Calcs!$A$1,Index_CALCULATION!DL$14+19,15)</f>
        <v>2156.8685236203673</v>
      </c>
      <c r="DM30" s="247">
        <f ca="1">OFFSET(Calcs!$A$1,Index_CALCULATION!DM$14+19,15)</f>
        <v>2156.8685236203673</v>
      </c>
      <c r="DO30" t="str">
        <f t="shared" si="5"/>
        <v>Sub-index value: 1019.6 (Base = 1000, March 2011)</v>
      </c>
      <c r="DP30" s="17">
        <f t="shared" si="2"/>
        <v>8</v>
      </c>
      <c r="DQ30" s="86" t="str">
        <f t="shared" si="3"/>
        <v>Target: Internet exposed devices/appliances</v>
      </c>
      <c r="DT30">
        <f t="shared" si="4"/>
        <v>20</v>
      </c>
    </row>
    <row r="31" spans="1:124" x14ac:dyDescent="0.3">
      <c r="A31" s="74">
        <v>0</v>
      </c>
      <c r="B31" s="77" t="s">
        <v>167</v>
      </c>
      <c r="C31" s="165"/>
      <c r="D31" s="165"/>
      <c r="E31" s="165"/>
      <c r="F31" s="165"/>
      <c r="G31" s="1"/>
      <c r="H31" s="165"/>
      <c r="I31" s="165"/>
      <c r="J31" s="25"/>
      <c r="K31" s="165"/>
      <c r="L31" s="165"/>
      <c r="M31" s="165"/>
      <c r="N31" s="165"/>
      <c r="O31" s="165"/>
      <c r="P31" s="165">
        <f t="shared" ca="1" si="1"/>
        <v>20</v>
      </c>
      <c r="Q31" s="78">
        <v>1000</v>
      </c>
      <c r="R31" s="78">
        <v>1000</v>
      </c>
      <c r="S31" s="78">
        <v>1000</v>
      </c>
      <c r="T31" s="78">
        <v>1000</v>
      </c>
      <c r="U31" s="78">
        <v>1000</v>
      </c>
      <c r="V31" s="78">
        <v>1000</v>
      </c>
      <c r="W31" s="78">
        <v>1000</v>
      </c>
      <c r="X31" s="78">
        <v>1000</v>
      </c>
      <c r="Y31" s="78">
        <v>1000</v>
      </c>
      <c r="Z31" s="78">
        <v>1000</v>
      </c>
      <c r="AA31" s="78">
        <v>1000</v>
      </c>
      <c r="AB31" s="78">
        <v>1000</v>
      </c>
      <c r="AC31" s="78">
        <v>1000</v>
      </c>
      <c r="AD31">
        <v>1023.5488589107315</v>
      </c>
      <c r="AE31">
        <v>1060.9481175317599</v>
      </c>
      <c r="AF31">
        <v>1086.267887323994</v>
      </c>
      <c r="AG31">
        <v>1116.4474345856088</v>
      </c>
      <c r="AH31">
        <v>1162.2631571781924</v>
      </c>
      <c r="AI31">
        <v>1184.2611783543093</v>
      </c>
      <c r="AJ31">
        <v>1202.2842254822369</v>
      </c>
      <c r="AK31">
        <v>1237.4302224233422</v>
      </c>
      <c r="AL31">
        <v>1268.3273562847967</v>
      </c>
      <c r="AM31">
        <v>1316.2252167776542</v>
      </c>
      <c r="AN31">
        <v>1344.4433710074625</v>
      </c>
      <c r="AO31">
        <v>1356.2886107626834</v>
      </c>
      <c r="AP31">
        <v>1372.9983219751625</v>
      </c>
      <c r="AQ31">
        <v>1382.8405618569118</v>
      </c>
      <c r="AR31">
        <v>1383.8286579648372</v>
      </c>
      <c r="AS31">
        <v>1400.243990427266</v>
      </c>
      <c r="AT31" s="132">
        <v>1426.517620566859</v>
      </c>
      <c r="AU31" s="132">
        <v>1450.7388503154323</v>
      </c>
      <c r="AV31" s="132">
        <v>1462.8788538281285</v>
      </c>
      <c r="AW31" s="132">
        <v>1496.0708070767737</v>
      </c>
      <c r="AX31" s="132">
        <v>1517.2579255764388</v>
      </c>
      <c r="AY31" s="132">
        <v>1545.7502026047648</v>
      </c>
      <c r="AZ31" s="132">
        <v>1567.5811315852297</v>
      </c>
      <c r="BA31" s="132">
        <v>1601.6676675891749</v>
      </c>
      <c r="BB31" s="132">
        <v>1622.7359138873423</v>
      </c>
      <c r="BC31" s="132">
        <v>1650.6790211527527</v>
      </c>
      <c r="BD31" s="132">
        <v>1668.4599527005234</v>
      </c>
      <c r="BE31" s="132">
        <v>1705.6134256459725</v>
      </c>
      <c r="BF31" s="132">
        <v>1767.629020531306</v>
      </c>
      <c r="BG31" s="132">
        <v>1816.3790648266449</v>
      </c>
      <c r="BH31" s="132">
        <v>1887.02759358611</v>
      </c>
      <c r="BI31" s="165">
        <f ca="1">OFFSET(Calcs!$A$1,Index_CALCULATION!BI$14+20,15)</f>
        <v>1906.9959541947098</v>
      </c>
      <c r="BJ31" s="165">
        <f ca="1">OFFSET(Calcs!$A$1,Index_CALCULATION!BJ$14+20,15)</f>
        <v>1933.1785565012967</v>
      </c>
      <c r="BK31" s="132">
        <f ca="1">OFFSET(Calcs!$A$1,Index_CALCULATION!BK$14+20,15)</f>
        <v>1943.3800028452797</v>
      </c>
      <c r="BL31" s="165">
        <f ca="1">OFFSET(Calcs!$A$1,Index_CALCULATION!BL$14+20,15)</f>
        <v>1943.3800028452797</v>
      </c>
      <c r="BM31" s="165">
        <f ca="1">OFFSET(Calcs!$A$1,Index_CALCULATION!BM$14+20,15)</f>
        <v>1943.3800028452797</v>
      </c>
      <c r="BN31" s="165">
        <f ca="1">OFFSET(Calcs!$A$1,Index_CALCULATION!BN$14+20,15)</f>
        <v>1943.3800028452797</v>
      </c>
      <c r="BO31" s="165">
        <f ca="1">OFFSET(Calcs!$A$1,Index_CALCULATION!BO$14+20,15)</f>
        <v>1972.0288244479723</v>
      </c>
      <c r="BP31" s="165">
        <f ca="1">OFFSET(Calcs!$A$1,Index_CALCULATION!BP$14+20,15)</f>
        <v>1972.0288244479723</v>
      </c>
      <c r="BQ31" s="165">
        <f ca="1">OFFSET(Calcs!$A$1,Index_CALCULATION!BQ$14+20,15)</f>
        <v>1972.0288244479723</v>
      </c>
      <c r="BR31" s="165">
        <f ca="1">OFFSET(Calcs!$A$1,Index_CALCULATION!BR$14+20,15)</f>
        <v>1972.0288244479723</v>
      </c>
      <c r="BS31" s="165">
        <f ca="1">OFFSET(Calcs!$A$1,Index_CALCULATION!BS$14+20,15)</f>
        <v>1972.0288244479723</v>
      </c>
      <c r="BT31" s="165">
        <f ca="1">OFFSET(Calcs!$A$1,Index_CALCULATION!BT$14+20,15)</f>
        <v>1986.690681503193</v>
      </c>
      <c r="BU31" s="165">
        <f ca="1">OFFSET(Calcs!$A$1,Index_CALCULATION!BU$14+20,15)</f>
        <v>1960.377284887531</v>
      </c>
      <c r="BV31" s="165">
        <f ca="1">OFFSET(Calcs!$A$1,Index_CALCULATION!BV$14+20,15)</f>
        <v>1971.9428991381037</v>
      </c>
      <c r="BW31" s="165">
        <f ca="1">OFFSET(Calcs!$A$1,Index_CALCULATION!BW$14+20,15)</f>
        <v>1993.3768511958103</v>
      </c>
      <c r="BX31" s="165">
        <f ca="1">OFFSET(Calcs!$A$1,Index_CALCULATION!BX$14+20,15)</f>
        <v>2005.4946064001942</v>
      </c>
      <c r="BY31" s="165">
        <f ca="1">OFFSET(Calcs!$A$1,Index_CALCULATION!BY$14+20,15)</f>
        <v>2005.4946064001942</v>
      </c>
      <c r="BZ31" s="165">
        <f ca="1">OFFSET(Calcs!$A$1,Index_CALCULATION!BZ$14+20,15)</f>
        <v>2005.4946064001942</v>
      </c>
      <c r="CA31" s="165">
        <f ca="1">OFFSET(Calcs!$A$1,Index_CALCULATION!CA$14+20,15)</f>
        <v>2033.3482534948525</v>
      </c>
      <c r="CB31" s="165">
        <f ca="1">OFFSET(Calcs!$A$1,Index_CALCULATION!CB$14+20,15)</f>
        <v>2033.3482534948525</v>
      </c>
      <c r="CC31" s="165">
        <f ca="1">OFFSET(Calcs!$A$1,Index_CALCULATION!CC$14+20,15)</f>
        <v>2021.0621988216167</v>
      </c>
      <c r="CD31" s="165">
        <f ca="1">OFFSET(Calcs!$A$1,Index_CALCULATION!CD$14+20,15)</f>
        <v>2021.0621988216167</v>
      </c>
      <c r="CE31" s="165">
        <f ca="1">OFFSET(Calcs!$A$1,Index_CALCULATION!CE$14+20,15)</f>
        <v>2021.0621988216167</v>
      </c>
      <c r="CF31" s="165">
        <f ca="1">OFFSET(Calcs!$A$1,Index_CALCULATION!CF$14+20,15)</f>
        <v>2021.0621988216167</v>
      </c>
      <c r="CG31" s="165">
        <f ca="1">OFFSET(Calcs!$A$1,Index_CALCULATION!CG$14+20,15)</f>
        <v>2007.6332636833602</v>
      </c>
      <c r="CH31" s="165">
        <f ca="1">OFFSET(Calcs!$A$1,Index_CALCULATION!CH$14+20,15)</f>
        <v>2020.627608521427</v>
      </c>
      <c r="CI31" s="165">
        <f ca="1">OFFSET(Calcs!$A$1,Index_CALCULATION!CI$14+20,15)</f>
        <v>2020.627608521427</v>
      </c>
      <c r="CJ31" s="165">
        <f ca="1">OFFSET(Calcs!$A$1,Index_CALCULATION!CJ$14+20,15)</f>
        <v>2020.627608521427</v>
      </c>
      <c r="CK31" s="165">
        <f ca="1">OFFSET(Calcs!$A$1,Index_CALCULATION!CK$14+20,15)</f>
        <v>2020.627608521427</v>
      </c>
      <c r="CL31" s="165">
        <f ca="1">OFFSET(Calcs!$A$1,Index_CALCULATION!CL$14+20,15)</f>
        <v>2033.706058858653</v>
      </c>
      <c r="CM31" s="165">
        <f ca="1">OFFSET(Calcs!$A$1,Index_CALCULATION!CM$14+20,15)</f>
        <v>2020.1931116714682</v>
      </c>
      <c r="CN31" s="165">
        <f ca="1">OFFSET(Calcs!$A$1,Index_CALCULATION!CN$14+20,15)</f>
        <v>2004.712780725934</v>
      </c>
      <c r="CO31" s="165">
        <f ca="1">OFFSET(Calcs!$A$1,Index_CALCULATION!CO$14+20,15)</f>
        <v>1981.2661164703409</v>
      </c>
      <c r="CP31" s="165">
        <f ca="1">OFFSET(Calcs!$A$1,Index_CALCULATION!CP$14+20,15)</f>
        <v>1959.3738971782013</v>
      </c>
      <c r="CQ31" s="165">
        <f ca="1">OFFSET(Calcs!$A$1,Index_CALCULATION!CQ$14+20,15)</f>
        <v>1959.3738971782013</v>
      </c>
      <c r="CR31" s="165">
        <f ca="1">OFFSET(Calcs!$A$1,Index_CALCULATION!CR$14+20,15)</f>
        <v>1959.3738971782013</v>
      </c>
      <c r="CS31" s="165">
        <f ca="1">OFFSET(Calcs!$A$1,Index_CALCULATION!CS$14+20,15)</f>
        <v>1944.3596115640585</v>
      </c>
      <c r="CT31" s="165">
        <f ca="1">OFFSET(Calcs!$A$1,Index_CALCULATION!CT$14+20,15)</f>
        <v>1944.3596115640585</v>
      </c>
      <c r="CU31" s="165">
        <f ca="1">OFFSET(Calcs!$A$1,Index_CALCULATION!CU$14+20,15)</f>
        <v>1928.8667885917364</v>
      </c>
      <c r="CV31" s="165">
        <f ca="1">OFFSET(Calcs!$A$1,Index_CALCULATION!CV$14+20,15)</f>
        <v>1928.8667885917364</v>
      </c>
      <c r="CW31" s="165">
        <f ca="1">OFFSET(Calcs!$A$1,Index_CALCULATION!CW$14+20,15)</f>
        <v>1946.4818885354571</v>
      </c>
      <c r="CX31" s="165">
        <f ca="1">OFFSET(Calcs!$A$1,Index_CALCULATION!CX$14+20,15)</f>
        <v>1933.1040589812733</v>
      </c>
      <c r="CY31" s="165">
        <f ca="1">OFFSET(Calcs!$A$1,Index_CALCULATION!CY$14+20,15)</f>
        <v>1917.0617940971867</v>
      </c>
      <c r="CZ31" s="165">
        <f ca="1">OFFSET(Calcs!$A$1,Index_CALCULATION!CZ$14+20,15)</f>
        <v>1917.0617940971867</v>
      </c>
      <c r="DA31" s="165">
        <f ca="1">OFFSET(Calcs!$A$1,Index_CALCULATION!DA$14+20,15)</f>
        <v>1902.3717375653584</v>
      </c>
      <c r="DB31" s="165">
        <f ca="1">OFFSET(Calcs!$A$1,Index_CALCULATION!DB$14+20,15)</f>
        <v>1885.9010899261507</v>
      </c>
      <c r="DC31" s="247">
        <f ca="1">OFFSET(Calcs!$A$1,Index_CALCULATION!DC$14+20,15)</f>
        <v>1865.0626170522992</v>
      </c>
      <c r="DD31" s="247">
        <f ca="1">OFFSET(Calcs!$A$1,Index_CALCULATION!DD$14+20,15)</f>
        <v>1865.0626170522992</v>
      </c>
      <c r="DE31" s="247">
        <f ca="1">OFFSET(Calcs!$A$1,Index_CALCULATION!DE$14+20,15)</f>
        <v>1848.9149900749132</v>
      </c>
      <c r="DF31" s="247">
        <f ca="1">OFFSET(Calcs!$A$1,Index_CALCULATION!DF$14+20,15)</f>
        <v>1834.1826779749613</v>
      </c>
      <c r="DG31" s="247">
        <f ca="1">OFFSET(Calcs!$A$1,Index_CALCULATION!DG$14+20,15)</f>
        <v>1816.7971909608357</v>
      </c>
      <c r="DH31" s="247">
        <f ca="1">OFFSET(Calcs!$A$1,Index_CALCULATION!DH$14+20,15)</f>
        <v>1803.8663048824628</v>
      </c>
      <c r="DI31" s="247">
        <f ca="1">OFFSET(Calcs!$A$1,Index_CALCULATION!DI$14+20,15)</f>
        <v>1793.8726113745686</v>
      </c>
      <c r="DJ31" s="247">
        <f ca="1">OFFSET(Calcs!$A$1,Index_CALCULATION!DJ$14+20,15)</f>
        <v>1780.1265286175435</v>
      </c>
      <c r="DK31" s="247">
        <f ca="1">OFFSET(Calcs!$A$1,Index_CALCULATION!DK$14+20,15)</f>
        <v>1780.1265286175435</v>
      </c>
      <c r="DL31" s="247">
        <f ca="1">OFFSET(Calcs!$A$1,Index_CALCULATION!DL$14+20,15)</f>
        <v>1767.456642588895</v>
      </c>
      <c r="DM31" s="247">
        <f ca="1">OFFSET(Calcs!$A$1,Index_CALCULATION!DM$14+20,15)</f>
        <v>1755.7127879827153</v>
      </c>
      <c r="DO31" t="str">
        <f t="shared" si="5"/>
        <v>Sub-index value: 1023.5 (Base = 1000, March 2011)</v>
      </c>
      <c r="DP31" s="17">
        <f t="shared" si="2"/>
        <v>6</v>
      </c>
      <c r="DQ31" s="86" t="str">
        <f t="shared" si="3"/>
        <v>Target: End points</v>
      </c>
      <c r="DT31">
        <f t="shared" si="4"/>
        <v>18</v>
      </c>
    </row>
    <row r="32" spans="1:124" x14ac:dyDescent="0.3">
      <c r="A32" s="74">
        <v>0</v>
      </c>
      <c r="B32" s="77" t="s">
        <v>168</v>
      </c>
      <c r="C32" s="165"/>
      <c r="D32" s="165"/>
      <c r="E32" s="165"/>
      <c r="F32" s="165"/>
      <c r="G32" s="1"/>
      <c r="H32" s="165"/>
      <c r="I32" s="165"/>
      <c r="J32" s="25"/>
      <c r="K32" s="165"/>
      <c r="L32" s="165"/>
      <c r="M32" s="165"/>
      <c r="N32" s="165"/>
      <c r="O32" s="165"/>
      <c r="P32" s="165">
        <f t="shared" ca="1" si="1"/>
        <v>18</v>
      </c>
      <c r="Q32" s="78">
        <v>1000</v>
      </c>
      <c r="R32" s="78">
        <v>1000</v>
      </c>
      <c r="S32" s="78">
        <v>1000</v>
      </c>
      <c r="T32" s="78">
        <v>1000</v>
      </c>
      <c r="U32" s="78">
        <v>1000</v>
      </c>
      <c r="V32" s="78">
        <v>1000</v>
      </c>
      <c r="W32" s="78">
        <v>1000</v>
      </c>
      <c r="X32" s="78">
        <v>1000</v>
      </c>
      <c r="Y32" s="78">
        <v>1000</v>
      </c>
      <c r="Z32" s="78">
        <v>1000</v>
      </c>
      <c r="AA32" s="78">
        <v>1000</v>
      </c>
      <c r="AB32" s="78">
        <v>1000</v>
      </c>
      <c r="AC32" s="78">
        <v>1000</v>
      </c>
      <c r="AD32">
        <v>1031.9657899548642</v>
      </c>
      <c r="AE32">
        <v>1072.6960954214649</v>
      </c>
      <c r="AF32">
        <v>1109.2296448076622</v>
      </c>
      <c r="AG32">
        <v>1145.5413260882067</v>
      </c>
      <c r="AH32">
        <v>1193.1992781938879</v>
      </c>
      <c r="AI32">
        <v>1232.3585275435562</v>
      </c>
      <c r="AJ32">
        <v>1260.9261644022947</v>
      </c>
      <c r="AK32">
        <v>1310.4961737533265</v>
      </c>
      <c r="AL32">
        <v>1337.3313446280679</v>
      </c>
      <c r="AM32">
        <v>1390.8293616864905</v>
      </c>
      <c r="AN32">
        <v>1427.6597938459108</v>
      </c>
      <c r="AO32">
        <v>1459.9541293638711</v>
      </c>
      <c r="AP32">
        <v>1484.7430866679167</v>
      </c>
      <c r="AQ32">
        <v>1514.5823295113407</v>
      </c>
      <c r="AR32">
        <v>1542.9730996507415</v>
      </c>
      <c r="AS32">
        <v>1576.8185681638215</v>
      </c>
      <c r="AT32" s="132">
        <v>1626.0902004337788</v>
      </c>
      <c r="AU32" s="132">
        <v>1651.1707897912756</v>
      </c>
      <c r="AV32" s="132">
        <v>1666.839053141096</v>
      </c>
      <c r="AW32" s="132">
        <v>1692.6810054289058</v>
      </c>
      <c r="AX32" s="132">
        <v>1721.1287616446923</v>
      </c>
      <c r="AY32" s="132">
        <v>1769.836747174787</v>
      </c>
      <c r="AZ32" s="132">
        <v>1795.9272375376936</v>
      </c>
      <c r="BA32" s="132">
        <v>1839.2514436480496</v>
      </c>
      <c r="BB32" s="132">
        <v>1858.158488727953</v>
      </c>
      <c r="BC32" s="132">
        <v>1885.5509960992117</v>
      </c>
      <c r="BD32" s="132">
        <v>1918.1533780270966</v>
      </c>
      <c r="BE32" s="132">
        <v>1944.5943932398343</v>
      </c>
      <c r="BF32" s="132">
        <v>1987.896862119695</v>
      </c>
      <c r="BG32" s="132">
        <v>2014.3821453979469</v>
      </c>
      <c r="BH32" s="132">
        <v>2077.6419514264135</v>
      </c>
      <c r="BI32" s="165">
        <f ca="1">OFFSET(Calcs!$A$1,Index_CALCULATION!BI$14+21,15)</f>
        <v>2077.6419514264135</v>
      </c>
      <c r="BJ32" s="165">
        <f ca="1">OFFSET(Calcs!$A$1,Index_CALCULATION!BJ$14+21,15)</f>
        <v>2077.6419514264135</v>
      </c>
      <c r="BK32" s="132">
        <f ca="1">OFFSET(Calcs!$A$1,Index_CALCULATION!BK$14+21,15)</f>
        <v>2077.6419514264135</v>
      </c>
      <c r="BL32" s="165">
        <f ca="1">OFFSET(Calcs!$A$1,Index_CALCULATION!BL$14+21,15)</f>
        <v>2077.6419514264135</v>
      </c>
      <c r="BM32" s="165">
        <f ca="1">OFFSET(Calcs!$A$1,Index_CALCULATION!BM$14+21,15)</f>
        <v>2077.6419514264135</v>
      </c>
      <c r="BN32" s="165">
        <f ca="1">OFFSET(Calcs!$A$1,Index_CALCULATION!BN$14+21,15)</f>
        <v>2077.6419514264135</v>
      </c>
      <c r="BO32" s="165">
        <f ca="1">OFFSET(Calcs!$A$1,Index_CALCULATION!BO$14+21,15)</f>
        <v>2087.8015495756072</v>
      </c>
      <c r="BP32" s="165">
        <f ca="1">OFFSET(Calcs!$A$1,Index_CALCULATION!BP$14+21,15)</f>
        <v>2099.1175195067417</v>
      </c>
      <c r="BQ32" s="165">
        <f ca="1">OFFSET(Calcs!$A$1,Index_CALCULATION!BQ$14+21,15)</f>
        <v>2111.5016578480645</v>
      </c>
      <c r="BR32" s="165">
        <f ca="1">OFFSET(Calcs!$A$1,Index_CALCULATION!BR$14+21,15)</f>
        <v>2111.5016578480645</v>
      </c>
      <c r="BS32" s="165">
        <f ca="1">OFFSET(Calcs!$A$1,Index_CALCULATION!BS$14+21,15)</f>
        <v>2111.5016578480645</v>
      </c>
      <c r="BT32" s="165">
        <f ca="1">OFFSET(Calcs!$A$1,Index_CALCULATION!BT$14+21,15)</f>
        <v>2143.0160272713701</v>
      </c>
      <c r="BU32" s="165">
        <f ca="1">OFFSET(Calcs!$A$1,Index_CALCULATION!BU$14+21,15)</f>
        <v>2128.7767706828045</v>
      </c>
      <c r="BV32" s="165">
        <f ca="1">OFFSET(Calcs!$A$1,Index_CALCULATION!BV$14+21,15)</f>
        <v>2116.2913123229009</v>
      </c>
      <c r="BW32" s="165">
        <f ca="1">OFFSET(Calcs!$A$1,Index_CALCULATION!BW$14+21,15)</f>
        <v>2127.7616979352861</v>
      </c>
      <c r="BX32" s="165">
        <f ca="1">OFFSET(Calcs!$A$1,Index_CALCULATION!BX$14+21,15)</f>
        <v>2127.7616979352861</v>
      </c>
      <c r="BY32" s="165">
        <f ca="1">OFFSET(Calcs!$A$1,Index_CALCULATION!BY$14+21,15)</f>
        <v>2127.7616979352861</v>
      </c>
      <c r="BZ32" s="165">
        <f ca="1">OFFSET(Calcs!$A$1,Index_CALCULATION!BZ$14+21,15)</f>
        <v>2100.4830778562205</v>
      </c>
      <c r="CA32" s="165">
        <f ca="1">OFFSET(Calcs!$A$1,Index_CALCULATION!CA$14+21,15)</f>
        <v>2115.0192351140022</v>
      </c>
      <c r="CB32" s="165">
        <f ca="1">OFFSET(Calcs!$A$1,Index_CALCULATION!CB$14+21,15)</f>
        <v>2129.655988215688</v>
      </c>
      <c r="CC32" s="165">
        <f ca="1">OFFSET(Calcs!$A$1,Index_CALCULATION!CC$14+21,15)</f>
        <v>2116.7880154710142</v>
      </c>
      <c r="CD32" s="165">
        <f ca="1">OFFSET(Calcs!$A$1,Index_CALCULATION!CD$14+21,15)</f>
        <v>2116.7880154710142</v>
      </c>
      <c r="CE32" s="165">
        <f ca="1">OFFSET(Calcs!$A$1,Index_CALCULATION!CE$14+21,15)</f>
        <v>2116.7880154710142</v>
      </c>
      <c r="CF32" s="165">
        <f ca="1">OFFSET(Calcs!$A$1,Index_CALCULATION!CF$14+21,15)</f>
        <v>2116.7880154710142</v>
      </c>
      <c r="CG32" s="165">
        <f ca="1">OFFSET(Calcs!$A$1,Index_CALCULATION!CG$14+21,15)</f>
        <v>2116.7880154710142</v>
      </c>
      <c r="CH32" s="165">
        <f ca="1">OFFSET(Calcs!$A$1,Index_CALCULATION!CH$14+21,15)</f>
        <v>2116.7880154710142</v>
      </c>
      <c r="CI32" s="165">
        <f ca="1">OFFSET(Calcs!$A$1,Index_CALCULATION!CI$14+21,15)</f>
        <v>2103.1752778710143</v>
      </c>
      <c r="CJ32" s="165">
        <f ca="1">OFFSET(Calcs!$A$1,Index_CALCULATION!CJ$14+21,15)</f>
        <v>2075.3190616245065</v>
      </c>
      <c r="CK32" s="165">
        <f ca="1">OFFSET(Calcs!$A$1,Index_CALCULATION!CK$14+21,15)</f>
        <v>2075.3190616245065</v>
      </c>
      <c r="CL32" s="165">
        <f ca="1">OFFSET(Calcs!$A$1,Index_CALCULATION!CL$14+21,15)</f>
        <v>2061.9730044776902</v>
      </c>
      <c r="CM32" s="165">
        <f ca="1">OFFSET(Calcs!$A$1,Index_CALCULATION!CM$14+21,15)</f>
        <v>2048.2722377471505</v>
      </c>
      <c r="CN32" s="165">
        <f ca="1">OFFSET(Calcs!$A$1,Index_CALCULATION!CN$14+21,15)</f>
        <v>2048.2722377471505</v>
      </c>
      <c r="CO32" s="165">
        <f ca="1">OFFSET(Calcs!$A$1,Index_CALCULATION!CO$14+21,15)</f>
        <v>2048.2722377471505</v>
      </c>
      <c r="CP32" s="165">
        <f ca="1">OFFSET(Calcs!$A$1,Index_CALCULATION!CP$14+21,15)</f>
        <v>2025.6396268999779</v>
      </c>
      <c r="CQ32" s="165">
        <f ca="1">OFFSET(Calcs!$A$1,Index_CALCULATION!CQ$14+21,15)</f>
        <v>2025.6396268999779</v>
      </c>
      <c r="CR32" s="165">
        <f ca="1">OFFSET(Calcs!$A$1,Index_CALCULATION!CR$14+21,15)</f>
        <v>2025.6396268999779</v>
      </c>
      <c r="CS32" s="165">
        <f ca="1">OFFSET(Calcs!$A$1,Index_CALCULATION!CS$14+21,15)</f>
        <v>2010.1175604105742</v>
      </c>
      <c r="CT32" s="165">
        <f ca="1">OFFSET(Calcs!$A$1,Index_CALCULATION!CT$14+21,15)</f>
        <v>2010.1175604105742</v>
      </c>
      <c r="CU32" s="165">
        <f ca="1">OFFSET(Calcs!$A$1,Index_CALCULATION!CU$14+21,15)</f>
        <v>1994.100772501703</v>
      </c>
      <c r="CV32" s="165">
        <f ca="1">OFFSET(Calcs!$A$1,Index_CALCULATION!CV$14+21,15)</f>
        <v>1994.100772501703</v>
      </c>
      <c r="CW32" s="165">
        <f ca="1">OFFSET(Calcs!$A$1,Index_CALCULATION!CW$14+21,15)</f>
        <v>2012.3116124690985</v>
      </c>
      <c r="CX32" s="165">
        <f ca="1">OFFSET(Calcs!$A$1,Index_CALCULATION!CX$14+21,15)</f>
        <v>1998.4813467368181</v>
      </c>
      <c r="CY32" s="165">
        <f ca="1">OFFSET(Calcs!$A$1,Index_CALCULATION!CY$14+21,15)</f>
        <v>1981.8965348735842</v>
      </c>
      <c r="CZ32" s="165">
        <f ca="1">OFFSET(Calcs!$A$1,Index_CALCULATION!CZ$14+21,15)</f>
        <v>1981.8965348735842</v>
      </c>
      <c r="DA32" s="165">
        <f ca="1">OFFSET(Calcs!$A$1,Index_CALCULATION!DA$14+21,15)</f>
        <v>1981.8965348735842</v>
      </c>
      <c r="DB32" s="165">
        <f ca="1">OFFSET(Calcs!$A$1,Index_CALCULATION!DB$14+21,15)</f>
        <v>1999.2055653723937</v>
      </c>
      <c r="DC32" s="247">
        <f ca="1">OFFSET(Calcs!$A$1,Index_CALCULATION!DC$14+21,15)</f>
        <v>1999.2055653723937</v>
      </c>
      <c r="DD32" s="247">
        <f ca="1">OFFSET(Calcs!$A$1,Index_CALCULATION!DD$14+21,15)</f>
        <v>2015.9352218374052</v>
      </c>
      <c r="DE32" s="247">
        <f ca="1">OFFSET(Calcs!$A$1,Index_CALCULATION!DE$14+21,15)</f>
        <v>1998.4813467368185</v>
      </c>
      <c r="DF32" s="247">
        <f ca="1">OFFSET(Calcs!$A$1,Index_CALCULATION!DF$14+21,15)</f>
        <v>1998.4813467368185</v>
      </c>
      <c r="DG32" s="247">
        <f ca="1">OFFSET(Calcs!$A$1,Index_CALCULATION!DG$14+21,15)</f>
        <v>1979.5385380848334</v>
      </c>
      <c r="DH32" s="247">
        <f ca="1">OFFSET(Calcs!$A$1,Index_CALCULATION!DH$14+21,15)</f>
        <v>1965.4493555106428</v>
      </c>
      <c r="DI32" s="247">
        <f ca="1">OFFSET(Calcs!$A$1,Index_CALCULATION!DI$14+21,15)</f>
        <v>1954.5604673424361</v>
      </c>
      <c r="DJ32" s="247">
        <f ca="1">OFFSET(Calcs!$A$1,Index_CALCULATION!DJ$14+21,15)</f>
        <v>1954.5604673424361</v>
      </c>
      <c r="DK32" s="247">
        <f ca="1">OFFSET(Calcs!$A$1,Index_CALCULATION!DK$14+21,15)</f>
        <v>1954.5604673424361</v>
      </c>
      <c r="DL32" s="247">
        <f ca="1">OFFSET(Calcs!$A$1,Index_CALCULATION!DL$14+21,15)</f>
        <v>1940.6490638780078</v>
      </c>
      <c r="DM32" s="247">
        <f ca="1">OFFSET(Calcs!$A$1,Index_CALCULATION!DM$14+21,15)</f>
        <v>1927.7544333118972</v>
      </c>
      <c r="DO32" t="str">
        <f t="shared" si="5"/>
        <v>Sub-index value: 1032.0 (Base = 1000, March 2011)</v>
      </c>
      <c r="DP32" s="17">
        <f t="shared" si="2"/>
        <v>12</v>
      </c>
      <c r="DQ32" s="86" t="str">
        <f t="shared" si="3"/>
        <v>Target: Mobile devices</v>
      </c>
      <c r="DT32">
        <f t="shared" si="4"/>
        <v>12</v>
      </c>
    </row>
    <row r="33" spans="1:124" x14ac:dyDescent="0.3">
      <c r="A33" s="74">
        <v>0</v>
      </c>
      <c r="B33" s="77" t="s">
        <v>169</v>
      </c>
      <c r="C33" s="165"/>
      <c r="D33" s="165"/>
      <c r="E33" s="165"/>
      <c r="F33" s="165"/>
      <c r="G33" s="1"/>
      <c r="H33" s="165"/>
      <c r="I33" s="165"/>
      <c r="J33" s="25"/>
      <c r="K33" s="165"/>
      <c r="L33" s="165"/>
      <c r="M33" s="165"/>
      <c r="N33" s="165"/>
      <c r="O33" s="165"/>
      <c r="P33" s="165">
        <f t="shared" ca="1" si="1"/>
        <v>14</v>
      </c>
      <c r="Q33" s="78">
        <v>1000</v>
      </c>
      <c r="R33" s="78">
        <v>1000</v>
      </c>
      <c r="S33" s="78">
        <v>1000</v>
      </c>
      <c r="T33" s="78">
        <v>1000</v>
      </c>
      <c r="U33" s="78">
        <v>1000</v>
      </c>
      <c r="V33" s="78">
        <v>1000</v>
      </c>
      <c r="W33" s="78">
        <v>1000</v>
      </c>
      <c r="X33" s="78">
        <v>1000</v>
      </c>
      <c r="Y33" s="78">
        <v>1000</v>
      </c>
      <c r="Z33" s="78">
        <v>1000</v>
      </c>
      <c r="AA33" s="78">
        <v>1000</v>
      </c>
      <c r="AB33" s="78">
        <v>1000</v>
      </c>
      <c r="AC33" s="78">
        <v>1000</v>
      </c>
      <c r="AD33">
        <v>1029.3003610727915</v>
      </c>
      <c r="AE33">
        <v>1051.1103191546267</v>
      </c>
      <c r="AF33">
        <v>1073.1537779409803</v>
      </c>
      <c r="AG33">
        <v>1093.465236139217</v>
      </c>
      <c r="AH33">
        <v>1112.6483490281028</v>
      </c>
      <c r="AI33">
        <v>1147.9675989745058</v>
      </c>
      <c r="AJ33">
        <v>1172.7451003187937</v>
      </c>
      <c r="AK33">
        <v>1202.9428974679149</v>
      </c>
      <c r="AL33">
        <v>1216.018235706033</v>
      </c>
      <c r="AM33">
        <v>1248.9533965426576</v>
      </c>
      <c r="AN33">
        <v>1279.116434713728</v>
      </c>
      <c r="AO33">
        <v>1306.9037398882863</v>
      </c>
      <c r="AP33">
        <v>1333.1689021360012</v>
      </c>
      <c r="AQ33">
        <v>1357.1893193910901</v>
      </c>
      <c r="AR33">
        <v>1389.5602259548264</v>
      </c>
      <c r="AS33">
        <v>1434.1768866132627</v>
      </c>
      <c r="AT33" s="132">
        <v>1466.717607293027</v>
      </c>
      <c r="AU33" s="132">
        <v>1482.5169268705997</v>
      </c>
      <c r="AV33" s="132">
        <v>1499.9142447079003</v>
      </c>
      <c r="AW33" s="132">
        <v>1528.0580484849388</v>
      </c>
      <c r="AX33" s="132">
        <v>1553.7390968971617</v>
      </c>
      <c r="AY33" s="132">
        <v>1592.1462538307508</v>
      </c>
      <c r="AZ33" s="132">
        <v>1615.6172754140803</v>
      </c>
      <c r="BA33" s="132">
        <v>1687.6242128846388</v>
      </c>
      <c r="BB33" s="132">
        <v>1727.3996810742901</v>
      </c>
      <c r="BC33" s="132">
        <v>1755.0035185243873</v>
      </c>
      <c r="BD33" s="132">
        <v>1760.024984398314</v>
      </c>
      <c r="BE33" s="132">
        <v>1793.8705855819039</v>
      </c>
      <c r="BF33" s="132">
        <v>1849.1623754555787</v>
      </c>
      <c r="BG33" s="132">
        <v>1880.7009088953459</v>
      </c>
      <c r="BH33" s="132">
        <v>1918.1887345103837</v>
      </c>
      <c r="BI33" s="165">
        <f ca="1">OFFSET(Calcs!$A$1,Index_CALCULATION!BI$14+22,15)</f>
        <v>1928.3110790744345</v>
      </c>
      <c r="BJ33" s="165">
        <f ca="1">OFFSET(Calcs!$A$1,Index_CALCULATION!BJ$14+22,15)</f>
        <v>1928.3110790744345</v>
      </c>
      <c r="BK33" s="132">
        <f ca="1">OFFSET(Calcs!$A$1,Index_CALCULATION!BK$14+22,15)</f>
        <v>1928.3110790744345</v>
      </c>
      <c r="BL33" s="165">
        <f ca="1">OFFSET(Calcs!$A$1,Index_CALCULATION!BL$14+22,15)</f>
        <v>1937.9767785817091</v>
      </c>
      <c r="BM33" s="165">
        <f ca="1">OFFSET(Calcs!$A$1,Index_CALCULATION!BM$14+22,15)</f>
        <v>1937.9767785817091</v>
      </c>
      <c r="BN33" s="165">
        <f ca="1">OFFSET(Calcs!$A$1,Index_CALCULATION!BN$14+22,15)</f>
        <v>1947.4534188080686</v>
      </c>
      <c r="BO33" s="165">
        <f ca="1">OFFSET(Calcs!$A$1,Index_CALCULATION!BO$14+22,15)</f>
        <v>1956.976399481317</v>
      </c>
      <c r="BP33" s="165">
        <f ca="1">OFFSET(Calcs!$A$1,Index_CALCULATION!BP$14+22,15)</f>
        <v>1967.5832917393345</v>
      </c>
      <c r="BQ33" s="165">
        <f ca="1">OFFSET(Calcs!$A$1,Index_CALCULATION!BQ$14+22,15)</f>
        <v>1979.1914191817186</v>
      </c>
      <c r="BR33" s="165">
        <f ca="1">OFFSET(Calcs!$A$1,Index_CALCULATION!BR$14+22,15)</f>
        <v>1990.2175267834175</v>
      </c>
      <c r="BS33" s="165">
        <f ca="1">OFFSET(Calcs!$A$1,Index_CALCULATION!BS$14+22,15)</f>
        <v>2000.7199696354014</v>
      </c>
      <c r="BT33" s="165">
        <f ca="1">OFFSET(Calcs!$A$1,Index_CALCULATION!BT$14+22,15)</f>
        <v>2000.7199696354014</v>
      </c>
      <c r="BU33" s="165">
        <f ca="1">OFFSET(Calcs!$A$1,Index_CALCULATION!BU$14+22,15)</f>
        <v>2000.7199696354014</v>
      </c>
      <c r="BV33" s="165">
        <f ca="1">OFFSET(Calcs!$A$1,Index_CALCULATION!BV$14+22,15)</f>
        <v>2000.7199696354014</v>
      </c>
      <c r="BW33" s="165">
        <f ca="1">OFFSET(Calcs!$A$1,Index_CALCULATION!BW$14+22,15)</f>
        <v>2000.7199696354014</v>
      </c>
      <c r="BX33" s="165">
        <f ca="1">OFFSET(Calcs!$A$1,Index_CALCULATION!BX$14+22,15)</f>
        <v>2012.8823637206042</v>
      </c>
      <c r="BY33" s="165">
        <f ca="1">OFFSET(Calcs!$A$1,Index_CALCULATION!BY$14+22,15)</f>
        <v>2024.4174747281318</v>
      </c>
      <c r="BZ33" s="165">
        <f ca="1">OFFSET(Calcs!$A$1,Index_CALCULATION!BZ$14+22,15)</f>
        <v>2037.5204548583588</v>
      </c>
      <c r="CA33" s="165">
        <f ca="1">OFFSET(Calcs!$A$1,Index_CALCULATION!CA$14+22,15)</f>
        <v>2037.5204548583588</v>
      </c>
      <c r="CB33" s="165">
        <f ca="1">OFFSET(Calcs!$A$1,Index_CALCULATION!CB$14+22,15)</f>
        <v>2051.6208863543347</v>
      </c>
      <c r="CC33" s="165">
        <f ca="1">OFFSET(Calcs!$A$1,Index_CALCULATION!CC$14+22,15)</f>
        <v>2064.0927075546906</v>
      </c>
      <c r="CD33" s="165">
        <f ca="1">OFFSET(Calcs!$A$1,Index_CALCULATION!CD$14+22,15)</f>
        <v>2076.6403450645257</v>
      </c>
      <c r="CE33" s="165">
        <f ca="1">OFFSET(Calcs!$A$1,Index_CALCULATION!CE$14+22,15)</f>
        <v>2102.761265012246</v>
      </c>
      <c r="CF33" s="165">
        <f ca="1">OFFSET(Calcs!$A$1,Index_CALCULATION!CF$14+22,15)</f>
        <v>2115.1669003150305</v>
      </c>
      <c r="CG33" s="165">
        <f ca="1">OFFSET(Calcs!$A$1,Index_CALCULATION!CG$14+22,15)</f>
        <v>2129.3151213197002</v>
      </c>
      <c r="CH33" s="165">
        <f ca="1">OFFSET(Calcs!$A$1,Index_CALCULATION!CH$14+22,15)</f>
        <v>2129.3151213197002</v>
      </c>
      <c r="CI33" s="165">
        <f ca="1">OFFSET(Calcs!$A$1,Index_CALCULATION!CI$14+22,15)</f>
        <v>2129.3151213197002</v>
      </c>
      <c r="CJ33" s="165">
        <f ca="1">OFFSET(Calcs!$A$1,Index_CALCULATION!CJ$14+22,15)</f>
        <v>2101.1126870763292</v>
      </c>
      <c r="CK33" s="165">
        <f ca="1">OFFSET(Calcs!$A$1,Index_CALCULATION!CK$14+22,15)</f>
        <v>2101.1126870763292</v>
      </c>
      <c r="CL33" s="165">
        <f ca="1">OFFSET(Calcs!$A$1,Index_CALCULATION!CL$14+22,15)</f>
        <v>2101.1126870763292</v>
      </c>
      <c r="CM33" s="165">
        <f ca="1">OFFSET(Calcs!$A$1,Index_CALCULATION!CM$14+22,15)</f>
        <v>2101.1126870763292</v>
      </c>
      <c r="CN33" s="165">
        <f ca="1">OFFSET(Calcs!$A$1,Index_CALCULATION!CN$14+22,15)</f>
        <v>2101.1126870763292</v>
      </c>
      <c r="CO33" s="165">
        <f ca="1">OFFSET(Calcs!$A$1,Index_CALCULATION!CO$14+22,15)</f>
        <v>2101.1126870763292</v>
      </c>
      <c r="CP33" s="165">
        <f ca="1">OFFSET(Calcs!$A$1,Index_CALCULATION!CP$14+22,15)</f>
        <v>2101.1126870763292</v>
      </c>
      <c r="CQ33" s="165">
        <f ca="1">OFFSET(Calcs!$A$1,Index_CALCULATION!CQ$14+22,15)</f>
        <v>2101.1126870763292</v>
      </c>
      <c r="CR33" s="165">
        <f ca="1">OFFSET(Calcs!$A$1,Index_CALCULATION!CR$14+22,15)</f>
        <v>2101.1126870763292</v>
      </c>
      <c r="CS33" s="165">
        <f ca="1">OFFSET(Calcs!$A$1,Index_CALCULATION!CS$14+22,15)</f>
        <v>2101.1126870763292</v>
      </c>
      <c r="CT33" s="165">
        <f ca="1">OFFSET(Calcs!$A$1,Index_CALCULATION!CT$14+22,15)</f>
        <v>2116.174362501426</v>
      </c>
      <c r="CU33" s="165">
        <f ca="1">OFFSET(Calcs!$A$1,Index_CALCULATION!CU$14+22,15)</f>
        <v>2099.3125049613859</v>
      </c>
      <c r="CV33" s="165">
        <f ca="1">OFFSET(Calcs!$A$1,Index_CALCULATION!CV$14+22,15)</f>
        <v>2099.3125049613859</v>
      </c>
      <c r="CW33" s="165">
        <f ca="1">OFFSET(Calcs!$A$1,Index_CALCULATION!CW$14+22,15)</f>
        <v>2118.4841760206382</v>
      </c>
      <c r="CX33" s="165">
        <f ca="1">OFFSET(Calcs!$A$1,Index_CALCULATION!CX$14+22,15)</f>
        <v>2133.1449078567584</v>
      </c>
      <c r="CY33" s="165">
        <f ca="1">OFFSET(Calcs!$A$1,Index_CALCULATION!CY$14+22,15)</f>
        <v>2133.1449078567584</v>
      </c>
      <c r="CZ33" s="165">
        <f ca="1">OFFSET(Calcs!$A$1,Index_CALCULATION!CZ$14+22,15)</f>
        <v>2133.1449078567584</v>
      </c>
      <c r="DA33" s="165">
        <f ca="1">OFFSET(Calcs!$A$1,Index_CALCULATION!DA$14+22,15)</f>
        <v>2133.1449078567584</v>
      </c>
      <c r="DB33" s="165">
        <f ca="1">OFFSET(Calcs!$A$1,Index_CALCULATION!DB$14+22,15)</f>
        <v>2151.7748764846756</v>
      </c>
      <c r="DC33" s="247">
        <f ca="1">OFFSET(Calcs!$A$1,Index_CALCULATION!DC$14+22,15)</f>
        <v>2151.7748764846756</v>
      </c>
      <c r="DD33" s="247">
        <f ca="1">OFFSET(Calcs!$A$1,Index_CALCULATION!DD$14+22,15)</f>
        <v>2169.7812561672599</v>
      </c>
      <c r="DE33" s="247">
        <f ca="1">OFFSET(Calcs!$A$1,Index_CALCULATION!DE$14+22,15)</f>
        <v>2188.7311908777215</v>
      </c>
      <c r="DF33" s="247">
        <f ca="1">OFFSET(Calcs!$A$1,Index_CALCULATION!DF$14+22,15)</f>
        <v>2206.3112669487218</v>
      </c>
      <c r="DG33" s="247">
        <f ca="1">OFFSET(Calcs!$A$1,Index_CALCULATION!DG$14+22,15)</f>
        <v>2206.3112669487218</v>
      </c>
      <c r="DH33" s="247">
        <f ca="1">OFFSET(Calcs!$A$1,Index_CALCULATION!DH$14+22,15)</f>
        <v>2222.1270508397588</v>
      </c>
      <c r="DI33" s="247">
        <f ca="1">OFFSET(Calcs!$A$1,Index_CALCULATION!DI$14+22,15)</f>
        <v>2246.9550291863311</v>
      </c>
      <c r="DJ33" s="247">
        <f ca="1">OFFSET(Calcs!$A$1,Index_CALCULATION!DJ$14+22,15)</f>
        <v>2246.9550291863311</v>
      </c>
      <c r="DK33" s="247">
        <f ca="1">OFFSET(Calcs!$A$1,Index_CALCULATION!DK$14+22,15)</f>
        <v>2260.6142883387615</v>
      </c>
      <c r="DL33" s="247">
        <f ca="1">OFFSET(Calcs!$A$1,Index_CALCULATION!DL$14+22,15)</f>
        <v>2276.8193395393578</v>
      </c>
      <c r="DM33" s="247">
        <f ca="1">OFFSET(Calcs!$A$1,Index_CALCULATION!DM$14+22,15)</f>
        <v>2276.8193395393578</v>
      </c>
      <c r="DO33" t="str">
        <f t="shared" si="5"/>
        <v>Sub-index value: 1029.3 (Base = 1000, March 2011)</v>
      </c>
      <c r="DP33" s="17">
        <f t="shared" si="2"/>
        <v>9</v>
      </c>
      <c r="DQ33" s="86" t="str">
        <f t="shared" si="3"/>
        <v>Target: Public infrastructure/cloud</v>
      </c>
      <c r="DT33">
        <f t="shared" si="4"/>
        <v>19</v>
      </c>
    </row>
    <row r="34" spans="1:124" s="165" customFormat="1" x14ac:dyDescent="0.3">
      <c r="A34" s="188" t="s">
        <v>40</v>
      </c>
      <c r="B34" s="189" t="s">
        <v>180</v>
      </c>
      <c r="G34" s="1"/>
      <c r="J34" s="25"/>
      <c r="P34" s="165">
        <f t="shared" ca="1" si="1"/>
        <v>3</v>
      </c>
      <c r="Q34" s="190">
        <v>1039.4922724379753</v>
      </c>
      <c r="R34" s="190">
        <v>1079.5988502931452</v>
      </c>
      <c r="S34" s="190">
        <v>1125.9588590213673</v>
      </c>
      <c r="T34" s="190">
        <v>1164.7812449994578</v>
      </c>
      <c r="U34" s="190">
        <v>1205.578489914775</v>
      </c>
      <c r="V34" s="190">
        <v>1244.5545916308945</v>
      </c>
      <c r="W34" s="190">
        <v>1279.8754682985934</v>
      </c>
      <c r="X34" s="190">
        <v>1315.2081284137432</v>
      </c>
      <c r="Y34" s="190">
        <v>1351.0985504099492</v>
      </c>
      <c r="Z34" s="190">
        <v>1391.5610844677647</v>
      </c>
      <c r="AA34" s="190">
        <v>1433.5696300506459</v>
      </c>
      <c r="AB34" s="190">
        <v>1463.8598345496052</v>
      </c>
      <c r="AC34" s="190">
        <v>1519.7968422756157</v>
      </c>
      <c r="AD34" s="165">
        <v>1563.5311786916795</v>
      </c>
      <c r="AE34" s="165">
        <v>1623.2768275291885</v>
      </c>
      <c r="AF34" s="165">
        <v>1680.9388888061176</v>
      </c>
      <c r="AG34" s="165">
        <v>1728.4708485737551</v>
      </c>
      <c r="AH34" s="165">
        <v>1800.3804157289528</v>
      </c>
      <c r="AI34" s="165">
        <v>1865.2864826721329</v>
      </c>
      <c r="AJ34" s="165">
        <v>1910.5152778316187</v>
      </c>
      <c r="AK34" s="165">
        <v>1968.8659762080408</v>
      </c>
      <c r="AL34" s="165">
        <v>2020.0725085336039</v>
      </c>
      <c r="AM34" s="165">
        <v>2073.8909098956442</v>
      </c>
      <c r="AN34" s="165">
        <v>2135.2701576097024</v>
      </c>
      <c r="AO34" s="165">
        <v>2178.7876860380843</v>
      </c>
      <c r="AP34" s="165">
        <v>2223.7095682815784</v>
      </c>
      <c r="AQ34" s="165">
        <v>2270.7158754391498</v>
      </c>
      <c r="AR34" s="165">
        <v>2314.9332644978617</v>
      </c>
      <c r="AS34" s="165">
        <v>2369.0619313554976</v>
      </c>
      <c r="AT34" s="165">
        <v>2410.4218159369966</v>
      </c>
      <c r="AU34" s="165">
        <v>2479.0191651823143</v>
      </c>
      <c r="AV34" s="165">
        <v>2510.8987626362486</v>
      </c>
      <c r="AW34" s="165">
        <v>2589.3580622649747</v>
      </c>
      <c r="AX34" s="165">
        <v>2657.6749437113986</v>
      </c>
      <c r="AY34" s="165">
        <v>2744.0320873510714</v>
      </c>
      <c r="AZ34" s="165">
        <v>2813.4975903652639</v>
      </c>
      <c r="BA34" s="165">
        <v>2933.7717109143919</v>
      </c>
      <c r="BB34" s="165">
        <v>2984.2078152536642</v>
      </c>
      <c r="BC34" s="165">
        <v>3043.0080557603283</v>
      </c>
      <c r="BD34" s="165">
        <v>3093.4132398628772</v>
      </c>
      <c r="BE34" s="165">
        <v>3173.6118614341754</v>
      </c>
      <c r="BF34" s="165">
        <v>3312.5804261199164</v>
      </c>
      <c r="BG34" s="165">
        <v>3449.2908081993219</v>
      </c>
      <c r="BH34" s="165">
        <v>3538.9375033869401</v>
      </c>
      <c r="BI34" s="165">
        <f ca="1">OFFSET(Calcs!$A$1,Index_CALCULATION!BI$14+23,15)</f>
        <v>3557.6125921075859</v>
      </c>
      <c r="BJ34" s="165">
        <f ca="1">OFFSET(Calcs!$A$1,Index_CALCULATION!BJ$14+23,15)</f>
        <v>3557.6125921075859</v>
      </c>
      <c r="BK34" s="165">
        <f ca="1">OFFSET(Calcs!$A$1,Index_CALCULATION!BK$14+23,15)</f>
        <v>3576.3862298809881</v>
      </c>
      <c r="BL34" s="165">
        <f ca="1">OFFSET(Calcs!$A$1,Index_CALCULATION!BL$14+23,15)</f>
        <v>3576.3862298809881</v>
      </c>
      <c r="BM34" s="165">
        <f ca="1">OFFSET(Calcs!$A$1,Index_CALCULATION!BM$14+23,15)</f>
        <v>3576.3862298809881</v>
      </c>
      <c r="BN34" s="165">
        <f ca="1">OFFSET(Calcs!$A$1,Index_CALCULATION!BN$14+23,15)</f>
        <v>3611.4485605081095</v>
      </c>
      <c r="BO34" s="165">
        <f ca="1">OFFSET(Calcs!$A$1,Index_CALCULATION!BO$14+23,15)</f>
        <v>3629.1084205653524</v>
      </c>
      <c r="BP34" s="165">
        <f ca="1">OFFSET(Calcs!$A$1,Index_CALCULATION!BP$14+23,15)</f>
        <v>3648.7783368810542</v>
      </c>
      <c r="BQ34" s="165">
        <f ca="1">OFFSET(Calcs!$A$1,Index_CALCULATION!BQ$14+23,15)</f>
        <v>3648.7783368810542</v>
      </c>
      <c r="BR34" s="165">
        <f ca="1">OFFSET(Calcs!$A$1,Index_CALCULATION!BR$14+23,15)</f>
        <v>3648.7783368810542</v>
      </c>
      <c r="BS34" s="165">
        <f ca="1">OFFSET(Calcs!$A$1,Index_CALCULATION!BS$14+23,15)</f>
        <v>3648.7783368810542</v>
      </c>
      <c r="BT34" s="165">
        <f ca="1">OFFSET(Calcs!$A$1,Index_CALCULATION!BT$14+23,15)</f>
        <v>3675.9066758476574</v>
      </c>
      <c r="BU34" s="165">
        <f ca="1">OFFSET(Calcs!$A$1,Index_CALCULATION!BU$14+23,15)</f>
        <v>3700.4945889975306</v>
      </c>
      <c r="BV34" s="165">
        <f ca="1">OFFSET(Calcs!$A$1,Index_CALCULATION!BV$14+23,15)</f>
        <v>3722.3263523436012</v>
      </c>
      <c r="BW34" s="165">
        <f ca="1">OFFSET(Calcs!$A$1,Index_CALCULATION!BW$14+23,15)</f>
        <v>3742.5015136684656</v>
      </c>
      <c r="BX34" s="165">
        <f ca="1">OFFSET(Calcs!$A$1,Index_CALCULATION!BX$14+23,15)</f>
        <v>3765.2522128990026</v>
      </c>
      <c r="BY34" s="165">
        <f ca="1">OFFSET(Calcs!$A$1,Index_CALCULATION!BY$14+23,15)</f>
        <v>3765.2522128990026</v>
      </c>
      <c r="BZ34" s="165">
        <f ca="1">OFFSET(Calcs!$A$1,Index_CALCULATION!BZ$14+23,15)</f>
        <v>3789.6226925786123</v>
      </c>
      <c r="CA34" s="165">
        <f ca="1">OFFSET(Calcs!$A$1,Index_CALCULATION!CA$14+23,15)</f>
        <v>3789.6226925786123</v>
      </c>
      <c r="CB34" s="165">
        <f ca="1">OFFSET(Calcs!$A$1,Index_CALCULATION!CB$14+23,15)</f>
        <v>3842.2555008465247</v>
      </c>
      <c r="CC34" s="165">
        <f ca="1">OFFSET(Calcs!$A$1,Index_CALCULATION!CC$14+23,15)</f>
        <v>3865.6126054321553</v>
      </c>
      <c r="CD34" s="165">
        <f ca="1">OFFSET(Calcs!$A$1,Index_CALCULATION!CD$14+23,15)</f>
        <v>3936.5393052730274</v>
      </c>
      <c r="CE34" s="165">
        <f ca="1">OFFSET(Calcs!$A$1,Index_CALCULATION!CE$14+23,15)</f>
        <v>3961.219721893076</v>
      </c>
      <c r="CF34" s="165">
        <f ca="1">OFFSET(Calcs!$A$1,Index_CALCULATION!CF$14+23,15)</f>
        <v>4008.0975179093543</v>
      </c>
      <c r="CG34" s="165">
        <f ca="1">OFFSET(Calcs!$A$1,Index_CALCULATION!CG$14+23,15)</f>
        <v>4034.9074351235481</v>
      </c>
      <c r="CH34" s="165">
        <f ca="1">OFFSET(Calcs!$A$1,Index_CALCULATION!CH$14+23,15)</f>
        <v>4034.9074351235481</v>
      </c>
      <c r="CI34" s="165">
        <f ca="1">OFFSET(Calcs!$A$1,Index_CALCULATION!CI$14+23,15)</f>
        <v>4008.9595670549529</v>
      </c>
      <c r="CJ34" s="165">
        <f ca="1">OFFSET(Calcs!$A$1,Index_CALCULATION!CJ$14+23,15)</f>
        <v>3955.8615462678154</v>
      </c>
      <c r="CK34" s="165">
        <f ca="1">OFFSET(Calcs!$A$1,Index_CALCULATION!CK$14+23,15)</f>
        <v>3955.8615462678154</v>
      </c>
      <c r="CL34" s="165">
        <f ca="1">OFFSET(Calcs!$A$1,Index_CALCULATION!CL$14+23,15)</f>
        <v>3955.8615462678154</v>
      </c>
      <c r="CM34" s="165">
        <f ca="1">OFFSET(Calcs!$A$1,Index_CALCULATION!CM$14+23,15)</f>
        <v>3982.3220602878368</v>
      </c>
      <c r="CN34" s="165">
        <f ca="1">OFFSET(Calcs!$A$1,Index_CALCULATION!CN$14+23,15)</f>
        <v>4044.0622603885718</v>
      </c>
      <c r="CO34" s="165">
        <f ca="1">OFFSET(Calcs!$A$1,Index_CALCULATION!CO$14+23,15)</f>
        <v>4044.0622603885718</v>
      </c>
      <c r="CP34" s="165">
        <f ca="1">OFFSET(Calcs!$A$1,Index_CALCULATION!CP$14+23,15)</f>
        <v>3999.3769467401376</v>
      </c>
      <c r="CQ34" s="165">
        <f ca="1">OFFSET(Calcs!$A$1,Index_CALCULATION!CQ$14+23,15)</f>
        <v>4028.0461932041308</v>
      </c>
      <c r="CR34" s="165">
        <f ca="1">OFFSET(Calcs!$A$1,Index_CALCULATION!CR$14+23,15)</f>
        <v>4083.9903861171588</v>
      </c>
      <c r="CS34" s="165">
        <f ca="1">OFFSET(Calcs!$A$1,Index_CALCULATION!CS$14+23,15)</f>
        <v>4083.9903861171588</v>
      </c>
      <c r="CT34" s="165">
        <f ca="1">OFFSET(Calcs!$A$1,Index_CALCULATION!CT$14+23,15)</f>
        <v>4113.2661779455848</v>
      </c>
      <c r="CU34" s="165">
        <f ca="1">OFFSET(Calcs!$A$1,Index_CALCULATION!CU$14+23,15)</f>
        <v>4113.2661779455848</v>
      </c>
      <c r="CV34" s="165">
        <f ca="1">OFFSET(Calcs!$A$1,Index_CALCULATION!CV$14+23,15)</f>
        <v>4143.8479422603104</v>
      </c>
      <c r="CW34" s="165">
        <f ca="1">OFFSET(Calcs!$A$1,Index_CALCULATION!CW$14+23,15)</f>
        <v>4181.6910406464822</v>
      </c>
      <c r="CX34" s="165">
        <f ca="1">OFFSET(Calcs!$A$1,Index_CALCULATION!CX$14+23,15)</f>
        <v>4210.6299638928112</v>
      </c>
      <c r="CY34" s="165">
        <f ca="1">OFFSET(Calcs!$A$1,Index_CALCULATION!CY$14+23,15)</f>
        <v>4210.6299638928112</v>
      </c>
      <c r="CZ34" s="165">
        <f ca="1">OFFSET(Calcs!$A$1,Index_CALCULATION!CZ$14+23,15)</f>
        <v>4210.6299638928112</v>
      </c>
      <c r="DA34" s="165">
        <f ca="1">OFFSET(Calcs!$A$1,Index_CALCULATION!DA$14+23,15)</f>
        <v>4275.9097510585189</v>
      </c>
      <c r="DB34" s="165">
        <f ca="1">OFFSET(Calcs!$A$1,Index_CALCULATION!DB$14+23,15)</f>
        <v>4350.9238043144369</v>
      </c>
      <c r="DC34" s="247">
        <f ca="1">OFFSET(Calcs!$A$1,Index_CALCULATION!DC$14+23,15)</f>
        <v>4399.5369751771386</v>
      </c>
      <c r="DD34" s="247">
        <f ca="1">OFFSET(Calcs!$A$1,Index_CALCULATION!DD$14+23,15)</f>
        <v>4436.3529702277119</v>
      </c>
      <c r="DE34" s="247">
        <f ca="1">OFFSET(Calcs!$A$1,Index_CALCULATION!DE$14+23,15)</f>
        <v>4475.0981658087985</v>
      </c>
      <c r="DF34" s="247">
        <f ca="1">OFFSET(Calcs!$A$1,Index_CALCULATION!DF$14+23,15)</f>
        <v>4511.0425369165923</v>
      </c>
      <c r="DG34" s="247">
        <f ca="1">OFFSET(Calcs!$A$1,Index_CALCULATION!DG$14+23,15)</f>
        <v>4468.2841615445604</v>
      </c>
      <c r="DH34" s="247">
        <f ca="1">OFFSET(Calcs!$A$1,Index_CALCULATION!DH$14+23,15)</f>
        <v>4468.2841615445604</v>
      </c>
      <c r="DI34" s="247">
        <f ca="1">OFFSET(Calcs!$A$1,Index_CALCULATION!DI$14+23,15)</f>
        <v>4568.6908632240766</v>
      </c>
      <c r="DJ34" s="247">
        <f ca="1">OFFSET(Calcs!$A$1,Index_CALCULATION!DJ$14+23,15)</f>
        <v>4603.9701547168643</v>
      </c>
      <c r="DK34" s="247">
        <f ca="1">OFFSET(Calcs!$A$1,Index_CALCULATION!DK$14+23,15)</f>
        <v>4603.9701547168643</v>
      </c>
      <c r="DL34" s="247">
        <f ca="1">OFFSET(Calcs!$A$1,Index_CALCULATION!DL$14+23,15)</f>
        <v>4603.9701547168643</v>
      </c>
      <c r="DM34" s="247">
        <f ca="1">OFFSET(Calcs!$A$1,Index_CALCULATION!DM$14+23,15)</f>
        <v>4603.9701547168643</v>
      </c>
      <c r="DN34" s="247"/>
      <c r="DO34" s="165" t="str">
        <f t="shared" si="5"/>
        <v>Sub-index value: 1563.5 (Base = 1000, March 2011)</v>
      </c>
      <c r="DP34" s="180">
        <f t="shared" si="2"/>
        <v>24</v>
      </c>
      <c r="DQ34" s="193" t="str">
        <f t="shared" si="3"/>
        <v>Target: Counterparties</v>
      </c>
      <c r="DT34" s="165">
        <f t="shared" si="4"/>
        <v>3</v>
      </c>
    </row>
    <row r="35" spans="1:124" x14ac:dyDescent="0.3">
      <c r="A35" s="74">
        <v>0</v>
      </c>
      <c r="B35" s="125" t="s">
        <v>211</v>
      </c>
      <c r="C35" s="165"/>
      <c r="D35" s="165"/>
      <c r="E35" s="165"/>
      <c r="F35" s="165"/>
      <c r="G35" s="1"/>
      <c r="H35" s="165"/>
      <c r="I35" s="165"/>
      <c r="J35" s="25"/>
      <c r="K35" s="165"/>
      <c r="L35" s="165"/>
      <c r="M35" s="165"/>
      <c r="N35" s="165"/>
      <c r="O35" s="165"/>
      <c r="P35" s="165">
        <f t="shared" ca="1" si="1"/>
        <v>23</v>
      </c>
      <c r="Q35" s="78">
        <v>0</v>
      </c>
      <c r="R35" s="78">
        <v>0</v>
      </c>
      <c r="S35" s="78">
        <v>0</v>
      </c>
      <c r="T35" s="78">
        <v>0</v>
      </c>
      <c r="U35" s="78">
        <v>0</v>
      </c>
      <c r="V35" s="78">
        <v>0</v>
      </c>
      <c r="W35" s="78">
        <v>0</v>
      </c>
      <c r="X35" s="78">
        <v>0</v>
      </c>
      <c r="Y35" s="78">
        <v>0</v>
      </c>
      <c r="Z35" s="78">
        <v>0</v>
      </c>
      <c r="AA35" s="78">
        <v>0</v>
      </c>
      <c r="AB35" s="78">
        <v>0</v>
      </c>
      <c r="AC35" s="78">
        <v>0</v>
      </c>
      <c r="AD35">
        <v>0</v>
      </c>
      <c r="AE35">
        <v>0</v>
      </c>
      <c r="AF35">
        <v>0</v>
      </c>
      <c r="AG35">
        <v>0</v>
      </c>
      <c r="AH35">
        <v>0</v>
      </c>
      <c r="AI35">
        <v>0</v>
      </c>
      <c r="AJ35">
        <v>0</v>
      </c>
      <c r="AK35">
        <v>0</v>
      </c>
      <c r="AL35">
        <v>0</v>
      </c>
      <c r="AM35">
        <v>0</v>
      </c>
      <c r="AN35">
        <v>0</v>
      </c>
      <c r="AO35">
        <v>0</v>
      </c>
      <c r="AP35">
        <v>1000</v>
      </c>
      <c r="AQ35">
        <v>1005.628023047493</v>
      </c>
      <c r="AR35">
        <v>1011.3909186280831</v>
      </c>
      <c r="AS35">
        <v>1014.2574001847328</v>
      </c>
      <c r="AT35" s="132">
        <v>1014.2574001847328</v>
      </c>
      <c r="AU35" s="132">
        <v>1017.3670269816038</v>
      </c>
      <c r="AV35" s="132">
        <v>1019.064052488332</v>
      </c>
      <c r="AW35" s="132">
        <v>1032.2130848033689</v>
      </c>
      <c r="AX35" s="132">
        <v>1036.5229452974168</v>
      </c>
      <c r="AY35" s="132">
        <v>1045.6019206014746</v>
      </c>
      <c r="AZ35" s="132">
        <v>1060.3691586920945</v>
      </c>
      <c r="BA35" s="132">
        <v>1088.4774676484062</v>
      </c>
      <c r="BB35" s="132">
        <v>1101.5427743124544</v>
      </c>
      <c r="BC35" s="132">
        <v>1103.5596357104357</v>
      </c>
      <c r="BD35" s="132">
        <v>1101.1973969365174</v>
      </c>
      <c r="BE35" s="132">
        <v>1110.4123843645266</v>
      </c>
      <c r="BF35" s="132">
        <v>1131.0923471971896</v>
      </c>
      <c r="BG35" s="132">
        <v>1147.8489666371654</v>
      </c>
      <c r="BH35" s="132">
        <v>1159.2324999118175</v>
      </c>
      <c r="BI35" s="165">
        <f ca="1">OFFSET(Calcs!$A$1,Index_CALCULATION!BI$14+24,15)</f>
        <v>1171.4993966260608</v>
      </c>
      <c r="BJ35" s="165">
        <f ca="1">OFFSET(Calcs!$A$1,Index_CALCULATION!BJ$14+24,15)</f>
        <v>1171.4993966260608</v>
      </c>
      <c r="BK35" s="132">
        <f ca="1">OFFSET(Calcs!$A$1,Index_CALCULATION!BK$14+24,15)</f>
        <v>1171.4993966260608</v>
      </c>
      <c r="BL35" s="165">
        <f ca="1">OFFSET(Calcs!$A$1,Index_CALCULATION!BL$14+24,15)</f>
        <v>1171.4993966260608</v>
      </c>
      <c r="BM35" s="165">
        <f ca="1">OFFSET(Calcs!$A$1,Index_CALCULATION!BM$14+24,15)</f>
        <v>1165.3498076526269</v>
      </c>
      <c r="BN35" s="165">
        <f ca="1">OFFSET(Calcs!$A$1,Index_CALCULATION!BN$14+24,15)</f>
        <v>1165.3498076526269</v>
      </c>
      <c r="BO35" s="165">
        <f ca="1">OFFSET(Calcs!$A$1,Index_CALCULATION!BO$14+24,15)</f>
        <v>1165.3498076526269</v>
      </c>
      <c r="BP35" s="165">
        <f ca="1">OFFSET(Calcs!$A$1,Index_CALCULATION!BP$14+24,15)</f>
        <v>1165.3498076526269</v>
      </c>
      <c r="BQ35" s="165">
        <f ca="1">OFFSET(Calcs!$A$1,Index_CALCULATION!BQ$14+24,15)</f>
        <v>1165.3498076526269</v>
      </c>
      <c r="BR35" s="165">
        <f ca="1">OFFSET(Calcs!$A$1,Index_CALCULATION!BR$14+24,15)</f>
        <v>1165.3498076526269</v>
      </c>
      <c r="BS35" s="165">
        <f ca="1">OFFSET(Calcs!$A$1,Index_CALCULATION!BS$14+24,15)</f>
        <v>1165.3498076526269</v>
      </c>
      <c r="BT35" s="165">
        <f ca="1">OFFSET(Calcs!$A$1,Index_CALCULATION!BT$14+24,15)</f>
        <v>1174.0140787258019</v>
      </c>
      <c r="BU35" s="165">
        <f ca="1">OFFSET(Calcs!$A$1,Index_CALCULATION!BU$14+24,15)</f>
        <v>1166.2133495232069</v>
      </c>
      <c r="BV35" s="165">
        <f ca="1">OFFSET(Calcs!$A$1,Index_CALCULATION!BV$14+24,15)</f>
        <v>1166.2133495232069</v>
      </c>
      <c r="BW35" s="165">
        <f ca="1">OFFSET(Calcs!$A$1,Index_CALCULATION!BW$14+24,15)</f>
        <v>1166.2133495232069</v>
      </c>
      <c r="BX35" s="165">
        <f ca="1">OFFSET(Calcs!$A$1,Index_CALCULATION!BX$14+24,15)</f>
        <v>1173.3027706114117</v>
      </c>
      <c r="BY35" s="165">
        <f ca="1">OFFSET(Calcs!$A$1,Index_CALCULATION!BY$14+24,15)</f>
        <v>1180.0265503753844</v>
      </c>
      <c r="BZ35" s="165">
        <f ca="1">OFFSET(Calcs!$A$1,Index_CALCULATION!BZ$14+24,15)</f>
        <v>1180.0265503753844</v>
      </c>
      <c r="CA35" s="165">
        <f ca="1">OFFSET(Calcs!$A$1,Index_CALCULATION!CA$14+24,15)</f>
        <v>1180.0265503753844</v>
      </c>
      <c r="CB35" s="165">
        <f ca="1">OFFSET(Calcs!$A$1,Index_CALCULATION!CB$14+24,15)</f>
        <v>1180.0265503753844</v>
      </c>
      <c r="CC35" s="165">
        <f ca="1">OFFSET(Calcs!$A$1,Index_CALCULATION!CC$14+24,15)</f>
        <v>1180.0265503753844</v>
      </c>
      <c r="CD35" s="165">
        <f ca="1">OFFSET(Calcs!$A$1,Index_CALCULATION!CD$14+24,15)</f>
        <v>1187.1999420316306</v>
      </c>
      <c r="CE35" s="165">
        <f ca="1">OFFSET(Calcs!$A$1,Index_CALCULATION!CE$14+24,15)</f>
        <v>1209.6699388682357</v>
      </c>
      <c r="CF35" s="165">
        <f ca="1">OFFSET(Calcs!$A$1,Index_CALCULATION!CF$14+24,15)</f>
        <v>1202.5751209150492</v>
      </c>
      <c r="CG35" s="165">
        <f ca="1">OFFSET(Calcs!$A$1,Index_CALCULATION!CG$14+24,15)</f>
        <v>1210.6190717649274</v>
      </c>
      <c r="CH35" s="165">
        <f ca="1">OFFSET(Calcs!$A$1,Index_CALCULATION!CH$14+24,15)</f>
        <v>1226.3411778210502</v>
      </c>
      <c r="CI35" s="165">
        <f ca="1">OFFSET(Calcs!$A$1,Index_CALCULATION!CI$14+24,15)</f>
        <v>1250.3080023531768</v>
      </c>
      <c r="CJ35" s="165">
        <f ca="1">OFFSET(Calcs!$A$1,Index_CALCULATION!CJ$14+24,15)</f>
        <v>1225.5502451314032</v>
      </c>
      <c r="CK35" s="165">
        <f ca="1">OFFSET(Calcs!$A$1,Index_CALCULATION!CK$14+24,15)</f>
        <v>1225.5502451314032</v>
      </c>
      <c r="CL35" s="165">
        <f ca="1">OFFSET(Calcs!$A$1,Index_CALCULATION!CL$14+24,15)</f>
        <v>1225.5502451314032</v>
      </c>
      <c r="CM35" s="165">
        <f ca="1">OFFSET(Calcs!$A$1,Index_CALCULATION!CM$14+24,15)</f>
        <v>1233.7478751708406</v>
      </c>
      <c r="CN35" s="165">
        <f ca="1">OFFSET(Calcs!$A$1,Index_CALCULATION!CN$14+24,15)</f>
        <v>1233.7478751708406</v>
      </c>
      <c r="CO35" s="165">
        <f ca="1">OFFSET(Calcs!$A$1,Index_CALCULATION!CO$14+24,15)</f>
        <v>1233.7478751708406</v>
      </c>
      <c r="CP35" s="165">
        <f ca="1">OFFSET(Calcs!$A$1,Index_CALCULATION!CP$14+24,15)</f>
        <v>1233.7478751708406</v>
      </c>
      <c r="CQ35" s="165">
        <f ca="1">OFFSET(Calcs!$A$1,Index_CALCULATION!CQ$14+24,15)</f>
        <v>1242.5919082236717</v>
      </c>
      <c r="CR35" s="165">
        <f ca="1">OFFSET(Calcs!$A$1,Index_CALCULATION!CR$14+24,15)</f>
        <v>1234.0517913843973</v>
      </c>
      <c r="CS35" s="165">
        <f ca="1">OFFSET(Calcs!$A$1,Index_CALCULATION!CS$14+24,15)</f>
        <v>1234.0517913843973</v>
      </c>
      <c r="CT35" s="165">
        <f ca="1">OFFSET(Calcs!$A$1,Index_CALCULATION!CT$14+24,15)</f>
        <v>1234.0517913843973</v>
      </c>
      <c r="CU35" s="165">
        <f ca="1">OFFSET(Calcs!$A$1,Index_CALCULATION!CU$14+24,15)</f>
        <v>1224.2187616151687</v>
      </c>
      <c r="CV35" s="165">
        <f ca="1">OFFSET(Calcs!$A$1,Index_CALCULATION!CV$14+24,15)</f>
        <v>1233.3207180696568</v>
      </c>
      <c r="CW35" s="165">
        <f ca="1">OFFSET(Calcs!$A$1,Index_CALCULATION!CW$14+24,15)</f>
        <v>1233.3207180696568</v>
      </c>
      <c r="CX35" s="165">
        <f ca="1">OFFSET(Calcs!$A$1,Index_CALCULATION!CX$14+24,15)</f>
        <v>1241.8557755981556</v>
      </c>
      <c r="CY35" s="165">
        <f ca="1">OFFSET(Calcs!$A$1,Index_CALCULATION!CY$14+24,15)</f>
        <v>1241.8557755981556</v>
      </c>
      <c r="CZ35" s="165">
        <f ca="1">OFFSET(Calcs!$A$1,Index_CALCULATION!CZ$14+24,15)</f>
        <v>1241.8557755981556</v>
      </c>
      <c r="DA35" s="165">
        <f ca="1">OFFSET(Calcs!$A$1,Index_CALCULATION!DA$14+24,15)</f>
        <v>1241.8557755981556</v>
      </c>
      <c r="DB35" s="165">
        <f ca="1">OFFSET(Calcs!$A$1,Index_CALCULATION!DB$14+24,15)</f>
        <v>1241.8557755981556</v>
      </c>
      <c r="DC35" s="247">
        <f ca="1">OFFSET(Calcs!$A$1,Index_CALCULATION!DC$14+24,15)</f>
        <v>1241.8557755981556</v>
      </c>
      <c r="DD35" s="247">
        <f ca="1">OFFSET(Calcs!$A$1,Index_CALCULATION!DD$14+24,15)</f>
        <v>1252.2478137480582</v>
      </c>
      <c r="DE35" s="247">
        <f ca="1">OFFSET(Calcs!$A$1,Index_CALCULATION!DE$14+24,15)</f>
        <v>1252.2478137480582</v>
      </c>
      <c r="DF35" s="247">
        <f ca="1">OFFSET(Calcs!$A$1,Index_CALCULATION!DF$14+24,15)</f>
        <v>1242.2697965230091</v>
      </c>
      <c r="DG35" s="247">
        <f ca="1">OFFSET(Calcs!$A$1,Index_CALCULATION!DG$14+24,15)</f>
        <v>1230.4948159418293</v>
      </c>
      <c r="DH35" s="247">
        <f ca="1">OFFSET(Calcs!$A$1,Index_CALCULATION!DH$14+24,15)</f>
        <v>1221.7368828251685</v>
      </c>
      <c r="DI35" s="247">
        <f ca="1">OFFSET(Calcs!$A$1,Index_CALCULATION!DI$14+24,15)</f>
        <v>1228.5431988795115</v>
      </c>
      <c r="DJ35" s="247">
        <f ca="1">OFFSET(Calcs!$A$1,Index_CALCULATION!DJ$14+24,15)</f>
        <v>1228.5431988795115</v>
      </c>
      <c r="DK35" s="247">
        <f ca="1">OFFSET(Calcs!$A$1,Index_CALCULATION!DK$14+24,15)</f>
        <v>1228.5431988795115</v>
      </c>
      <c r="DL35" s="247">
        <f ca="1">OFFSET(Calcs!$A$1,Index_CALCULATION!DL$14+24,15)</f>
        <v>1219.799156216902</v>
      </c>
      <c r="DM35" s="247">
        <f ca="1">OFFSET(Calcs!$A$1,Index_CALCULATION!DM$14+24,15)</f>
        <v>1219.799156216902</v>
      </c>
      <c r="DO35" t="str">
        <f>"Sub-index value: "&amp;TEXT(AD35,"0.0")&amp;" (Base = 1000, March 2011)"</f>
        <v>Sub-index value: 0.0 (Base = 1000, March 2011)</v>
      </c>
      <c r="DP35" s="17">
        <f t="shared" si="2"/>
        <v>1</v>
      </c>
      <c r="DQ35" s="86" t="str">
        <f>B35</f>
        <v>Target: Autonomous network connected devices</v>
      </c>
      <c r="DT35">
        <f t="shared" si="4"/>
        <v>24.5</v>
      </c>
    </row>
    <row r="36" spans="1:124" x14ac:dyDescent="0.3">
      <c r="A36" s="74" t="s">
        <v>46</v>
      </c>
      <c r="B36" s="77" t="s">
        <v>170</v>
      </c>
      <c r="C36" s="165"/>
      <c r="D36" s="165"/>
      <c r="E36" s="165"/>
      <c r="F36" s="165"/>
      <c r="G36" s="1"/>
      <c r="H36" s="165"/>
      <c r="I36" s="165"/>
      <c r="J36" s="25"/>
      <c r="K36" s="165"/>
      <c r="L36" s="165"/>
      <c r="M36" s="165"/>
      <c r="N36" s="165"/>
      <c r="O36" s="165"/>
      <c r="P36" s="165">
        <f t="shared" ca="1" si="1"/>
        <v>22</v>
      </c>
      <c r="Q36" s="78">
        <v>1010.6193697555466</v>
      </c>
      <c r="R36" s="78">
        <v>1013.8730154304494</v>
      </c>
      <c r="S36" s="78">
        <v>1013.8730154304494</v>
      </c>
      <c r="T36" s="78">
        <v>1008.7308133854847</v>
      </c>
      <c r="U36" s="78">
        <v>1012.4584122392997</v>
      </c>
      <c r="V36" s="78">
        <v>1017.9960014561888</v>
      </c>
      <c r="W36" s="78">
        <v>1022.564412661091</v>
      </c>
      <c r="X36" s="78">
        <v>1018.464137607309</v>
      </c>
      <c r="Y36" s="78">
        <v>1021.4062563276769</v>
      </c>
      <c r="Z36" s="78">
        <v>1023.9210016892142</v>
      </c>
      <c r="AA36" s="78">
        <v>1019.9565889205263</v>
      </c>
      <c r="AB36" s="78">
        <v>1019.9565889205263</v>
      </c>
      <c r="AC36" s="78">
        <v>1029.271196522438</v>
      </c>
      <c r="AD36">
        <v>1038.6301689737084</v>
      </c>
      <c r="AE36">
        <v>1061.0655801529399</v>
      </c>
      <c r="AF36">
        <v>1072.6398119144401</v>
      </c>
      <c r="AG36">
        <v>1088.2226847846321</v>
      </c>
      <c r="AH36">
        <v>1109.1207009991726</v>
      </c>
      <c r="AI36">
        <v>1124.8278932064832</v>
      </c>
      <c r="AJ36">
        <v>1137.7906702325708</v>
      </c>
      <c r="AK36">
        <v>1146.5019132788304</v>
      </c>
      <c r="AL36">
        <v>1160.530994518605</v>
      </c>
      <c r="AM36">
        <v>1183.2610234404865</v>
      </c>
      <c r="AN36">
        <v>1201.7808628249968</v>
      </c>
      <c r="AO36">
        <v>1204.9476089866916</v>
      </c>
      <c r="AP36">
        <v>1214.2045234964073</v>
      </c>
      <c r="AQ36">
        <v>1214.2045234964073</v>
      </c>
      <c r="AR36">
        <v>1228.1607445525708</v>
      </c>
      <c r="AS36">
        <v>1235.1323100553905</v>
      </c>
      <c r="AT36" s="132">
        <v>1241.4825907559634</v>
      </c>
      <c r="AU36" s="132">
        <v>1247.1963844860604</v>
      </c>
      <c r="AV36" s="132">
        <v>1255.5388042172435</v>
      </c>
      <c r="AW36" s="132">
        <v>1274.1870867652169</v>
      </c>
      <c r="AX36" s="132">
        <v>1276.1795603028693</v>
      </c>
      <c r="AY36" s="132">
        <v>1292.6076264795395</v>
      </c>
      <c r="AZ36" s="132">
        <v>1295.7641758932257</v>
      </c>
      <c r="BA36" s="132">
        <v>1330.8858915546882</v>
      </c>
      <c r="BB36" s="132">
        <v>1326.3565054918492</v>
      </c>
      <c r="BC36" s="132">
        <v>1328.7849878878758</v>
      </c>
      <c r="BD36" s="132">
        <v>1320.2701969746945</v>
      </c>
      <c r="BE36" s="132">
        <v>1328.9431859932768</v>
      </c>
      <c r="BF36" s="132">
        <v>1358.5362575122685</v>
      </c>
      <c r="BG36" s="132">
        <v>1367.5563840697255</v>
      </c>
      <c r="BH36" s="132">
        <v>1374.7730237471837</v>
      </c>
      <c r="BI36" s="165">
        <f ca="1">OFFSET(Calcs!$A$1,Index_CALCULATION!BI$14+25,15)</f>
        <v>1382.0277458677799</v>
      </c>
      <c r="BJ36" s="165">
        <f ca="1">OFFSET(Calcs!$A$1,Index_CALCULATION!BJ$14+25,15)</f>
        <v>1388.3239889699576</v>
      </c>
      <c r="BK36" s="132">
        <f ca="1">OFFSET(Calcs!$A$1,Index_CALCULATION!BK$14+25,15)</f>
        <v>1381.0362157805628</v>
      </c>
      <c r="BL36" s="165">
        <f ca="1">OFFSET(Calcs!$A$1,Index_CALCULATION!BL$14+25,15)</f>
        <v>1381.0362157805628</v>
      </c>
      <c r="BM36" s="165">
        <f ca="1">OFFSET(Calcs!$A$1,Index_CALCULATION!BM$14+25,15)</f>
        <v>1388.3239889699576</v>
      </c>
      <c r="BN36" s="165">
        <f ca="1">OFFSET(Calcs!$A$1,Index_CALCULATION!BN$14+25,15)</f>
        <v>1388.3239889699576</v>
      </c>
      <c r="BO36" s="165">
        <f ca="1">OFFSET(Calcs!$A$1,Index_CALCULATION!BO$14+25,15)</f>
        <v>1388.3239889699576</v>
      </c>
      <c r="BP36" s="165">
        <f ca="1">OFFSET(Calcs!$A$1,Index_CALCULATION!BP$14+25,15)</f>
        <v>1403.4143193406555</v>
      </c>
      <c r="BQ36" s="165">
        <f ca="1">OFFSET(Calcs!$A$1,Index_CALCULATION!BQ$14+25,15)</f>
        <v>1395.1831739772081</v>
      </c>
      <c r="BR36" s="165">
        <f ca="1">OFFSET(Calcs!$A$1,Index_CALCULATION!BR$14+25,15)</f>
        <v>1395.1831739772081</v>
      </c>
      <c r="BS36" s="165">
        <f ca="1">OFFSET(Calcs!$A$1,Index_CALCULATION!BS$14+25,15)</f>
        <v>1395.1831739772081</v>
      </c>
      <c r="BT36" s="165">
        <f ca="1">OFFSET(Calcs!$A$1,Index_CALCULATION!BT$14+25,15)</f>
        <v>1395.1831739772081</v>
      </c>
      <c r="BU36" s="165">
        <f ca="1">OFFSET(Calcs!$A$1,Index_CALCULATION!BU$14+25,15)</f>
        <v>1395.1831739772081</v>
      </c>
      <c r="BV36" s="165">
        <f ca="1">OFFSET(Calcs!$A$1,Index_CALCULATION!BV$14+25,15)</f>
        <v>1395.1831739772081</v>
      </c>
      <c r="BW36" s="165">
        <f ca="1">OFFSET(Calcs!$A$1,Index_CALCULATION!BW$14+25,15)</f>
        <v>1387.661989146708</v>
      </c>
      <c r="BX36" s="165">
        <f ca="1">OFFSET(Calcs!$A$1,Index_CALCULATION!BX$14+25,15)</f>
        <v>1387.661989146708</v>
      </c>
      <c r="BY36" s="165">
        <f ca="1">OFFSET(Calcs!$A$1,Index_CALCULATION!BY$14+25,15)</f>
        <v>1387.661989146708</v>
      </c>
      <c r="BZ36" s="165">
        <f ca="1">OFFSET(Calcs!$A$1,Index_CALCULATION!BZ$14+25,15)</f>
        <v>1387.661989146708</v>
      </c>
      <c r="CA36" s="165">
        <f ca="1">OFFSET(Calcs!$A$1,Index_CALCULATION!CA$14+25,15)</f>
        <v>1387.661989146708</v>
      </c>
      <c r="CB36" s="165">
        <f ca="1">OFFSET(Calcs!$A$1,Index_CALCULATION!CB$14+25,15)</f>
        <v>1387.661989146708</v>
      </c>
      <c r="CC36" s="165">
        <f ca="1">OFFSET(Calcs!$A$1,Index_CALCULATION!CC$14+25,15)</f>
        <v>1396.0975984399638</v>
      </c>
      <c r="CD36" s="165">
        <f ca="1">OFFSET(Calcs!$A$1,Index_CALCULATION!CD$14+25,15)</f>
        <v>1396.0975984399638</v>
      </c>
      <c r="CE36" s="165">
        <f ca="1">OFFSET(Calcs!$A$1,Index_CALCULATION!CE$14+25,15)</f>
        <v>1396.0975984399638</v>
      </c>
      <c r="CF36" s="165">
        <f ca="1">OFFSET(Calcs!$A$1,Index_CALCULATION!CF$14+25,15)</f>
        <v>1387.9093662722044</v>
      </c>
      <c r="CG36" s="165">
        <f ca="1">OFFSET(Calcs!$A$1,Index_CALCULATION!CG$14+25,15)</f>
        <v>1387.9093662722044</v>
      </c>
      <c r="CH36" s="165">
        <f ca="1">OFFSET(Calcs!$A$1,Index_CALCULATION!CH$14+25,15)</f>
        <v>1387.9093662722044</v>
      </c>
      <c r="CI36" s="165">
        <f ca="1">OFFSET(Calcs!$A$1,Index_CALCULATION!CI$14+25,15)</f>
        <v>1387.9093662722044</v>
      </c>
      <c r="CJ36" s="165">
        <f ca="1">OFFSET(Calcs!$A$1,Index_CALCULATION!CJ$14+25,15)</f>
        <v>1387.9093662722044</v>
      </c>
      <c r="CK36" s="165">
        <f ca="1">OFFSET(Calcs!$A$1,Index_CALCULATION!CK$14+25,15)</f>
        <v>1396.8925671563318</v>
      </c>
      <c r="CL36" s="165">
        <f ca="1">OFFSET(Calcs!$A$1,Index_CALCULATION!CL$14+25,15)</f>
        <v>1396.8925671563318</v>
      </c>
      <c r="CM36" s="165">
        <f ca="1">OFFSET(Calcs!$A$1,Index_CALCULATION!CM$14+25,15)</f>
        <v>1396.8925671563318</v>
      </c>
      <c r="CN36" s="165">
        <f ca="1">OFFSET(Calcs!$A$1,Index_CALCULATION!CN$14+25,15)</f>
        <v>1396.8925671563318</v>
      </c>
      <c r="CO36" s="165">
        <f ca="1">OFFSET(Calcs!$A$1,Index_CALCULATION!CO$14+25,15)</f>
        <v>1396.8925671563318</v>
      </c>
      <c r="CP36" s="165">
        <f ca="1">OFFSET(Calcs!$A$1,Index_CALCULATION!CP$14+25,15)</f>
        <v>1381.4574480910408</v>
      </c>
      <c r="CQ36" s="165">
        <f ca="1">OFFSET(Calcs!$A$1,Index_CALCULATION!CQ$14+25,15)</f>
        <v>1381.4574480910408</v>
      </c>
      <c r="CR36" s="165">
        <f ca="1">OFFSET(Calcs!$A$1,Index_CALCULATION!CR$14+25,15)</f>
        <v>1381.4574480910408</v>
      </c>
      <c r="CS36" s="165">
        <f ca="1">OFFSET(Calcs!$A$1,Index_CALCULATION!CS$14+25,15)</f>
        <v>1381.4574480910408</v>
      </c>
      <c r="CT36" s="165">
        <f ca="1">OFFSET(Calcs!$A$1,Index_CALCULATION!CT$14+25,15)</f>
        <v>1391.3603266109369</v>
      </c>
      <c r="CU36" s="165">
        <f ca="1">OFFSET(Calcs!$A$1,Index_CALCULATION!CU$14+25,15)</f>
        <v>1380.2738490361658</v>
      </c>
      <c r="CV36" s="165">
        <f ca="1">OFFSET(Calcs!$A$1,Index_CALCULATION!CV$14+25,15)</f>
        <v>1380.2738490361658</v>
      </c>
      <c r="CW36" s="165">
        <f ca="1">OFFSET(Calcs!$A$1,Index_CALCULATION!CW$14+25,15)</f>
        <v>1380.2738490361658</v>
      </c>
      <c r="CX36" s="165">
        <f ca="1">OFFSET(Calcs!$A$1,Index_CALCULATION!CX$14+25,15)</f>
        <v>1380.2738490361658</v>
      </c>
      <c r="CY36" s="165">
        <f ca="1">OFFSET(Calcs!$A$1,Index_CALCULATION!CY$14+25,15)</f>
        <v>1368.8193602848023</v>
      </c>
      <c r="CZ36" s="165">
        <f ca="1">OFFSET(Calcs!$A$1,Index_CALCULATION!CZ$14+25,15)</f>
        <v>1357.9124910493729</v>
      </c>
      <c r="DA36" s="165">
        <f ca="1">OFFSET(Calcs!$A$1,Index_CALCULATION!DA$14+25,15)</f>
        <v>1347.5070824599304</v>
      </c>
      <c r="DB36" s="165">
        <f ca="1">OFFSET(Calcs!$A$1,Index_CALCULATION!DB$14+25,15)</f>
        <v>1347.5070824599304</v>
      </c>
      <c r="DC36" s="247">
        <f ca="1">OFFSET(Calcs!$A$1,Index_CALCULATION!DC$14+25,15)</f>
        <v>1362.5628717553825</v>
      </c>
      <c r="DD36" s="247">
        <f ca="1">OFFSET(Calcs!$A$1,Index_CALCULATION!DD$14+25,15)</f>
        <v>1351.2553612215518</v>
      </c>
      <c r="DE36" s="247">
        <f ca="1">OFFSET(Calcs!$A$1,Index_CALCULATION!DE$14+25,15)</f>
        <v>1339.5562540040771</v>
      </c>
      <c r="DF36" s="247">
        <f ca="1">OFFSET(Calcs!$A$1,Index_CALCULATION!DF$14+25,15)</f>
        <v>1328.8825556916247</v>
      </c>
      <c r="DG36" s="247">
        <f ca="1">OFFSET(Calcs!$A$1,Index_CALCULATION!DG$14+25,15)</f>
        <v>1316.2866072658212</v>
      </c>
      <c r="DH36" s="247">
        <f ca="1">OFFSET(Calcs!$A$1,Index_CALCULATION!DH$14+25,15)</f>
        <v>1306.9180590042288</v>
      </c>
      <c r="DI36" s="247">
        <f ca="1">OFFSET(Calcs!$A$1,Index_CALCULATION!DI$14+25,15)</f>
        <v>1299.6775343121999</v>
      </c>
      <c r="DJ36" s="247">
        <f ca="1">OFFSET(Calcs!$A$1,Index_CALCULATION!DJ$14+25,15)</f>
        <v>1289.7183684099946</v>
      </c>
      <c r="DK36" s="247">
        <f ca="1">OFFSET(Calcs!$A$1,Index_CALCULATION!DK$14+25,15)</f>
        <v>1289.7183684099946</v>
      </c>
      <c r="DL36" s="247">
        <f ca="1">OFFSET(Calcs!$A$1,Index_CALCULATION!DL$14+25,15)</f>
        <v>1280.5389171327308</v>
      </c>
      <c r="DM36" s="247">
        <f ca="1">OFFSET(Calcs!$A$1,Index_CALCULATION!DM$14+25,15)</f>
        <v>1280.5389171327308</v>
      </c>
      <c r="DO36" t="str">
        <f>"Sub-index value: "&amp;TEXT(AD36,"0.0")&amp;" (Base = 1000, March 2011)"</f>
        <v>Sub-index value: 1038.6 (Base = 1000, March 2011)</v>
      </c>
      <c r="DP36" s="17">
        <f t="shared" si="2"/>
        <v>4</v>
      </c>
      <c r="DQ36" s="86" t="str">
        <f>B36</f>
        <v>Defenses: Vulnerability to known threats</v>
      </c>
      <c r="DT36">
        <f t="shared" si="4"/>
        <v>22</v>
      </c>
    </row>
    <row r="37" spans="1:124" x14ac:dyDescent="0.3">
      <c r="A37" s="74" t="s">
        <v>45</v>
      </c>
      <c r="B37" s="77" t="s">
        <v>171</v>
      </c>
      <c r="C37" s="165"/>
      <c r="D37" s="165"/>
      <c r="E37" s="165"/>
      <c r="F37" s="165"/>
      <c r="G37" s="1"/>
      <c r="H37" s="165"/>
      <c r="I37" s="165"/>
      <c r="J37" s="25"/>
      <c r="K37" s="165"/>
      <c r="L37" s="165"/>
      <c r="M37" s="165"/>
      <c r="N37" s="165"/>
      <c r="O37" s="165"/>
      <c r="P37" s="165">
        <f t="shared" ca="1" si="1"/>
        <v>15</v>
      </c>
      <c r="Q37" s="78">
        <v>1028.9317485995875</v>
      </c>
      <c r="R37" s="78">
        <v>1044.4820606013377</v>
      </c>
      <c r="S37" s="78">
        <v>1057.6200275856736</v>
      </c>
      <c r="T37" s="78">
        <v>1058.0682666243504</v>
      </c>
      <c r="U37" s="78">
        <v>1071.1576050422977</v>
      </c>
      <c r="V37" s="78">
        <v>1100.2727673242191</v>
      </c>
      <c r="W37" s="78">
        <v>1106.4482765120074</v>
      </c>
      <c r="X37" s="78">
        <v>1112.3915833513161</v>
      </c>
      <c r="Y37" s="78">
        <v>1120.4426333753265</v>
      </c>
      <c r="Z37" s="78">
        <v>1139.4288114923786</v>
      </c>
      <c r="AA37" s="78">
        <v>1146.8196752503163</v>
      </c>
      <c r="AB37" s="78">
        <v>1155.7157907391804</v>
      </c>
      <c r="AC37" s="78">
        <v>1182.2828131493418</v>
      </c>
      <c r="AD37">
        <v>1211.1678846359309</v>
      </c>
      <c r="AE37">
        <v>1259.4788083826684</v>
      </c>
      <c r="AF37">
        <v>1289.5365585775</v>
      </c>
      <c r="AG37">
        <v>1326.6384764879849</v>
      </c>
      <c r="AH37">
        <v>1371.3565815722384</v>
      </c>
      <c r="AI37">
        <v>1405.3404998950787</v>
      </c>
      <c r="AJ37">
        <v>1424.5005894790531</v>
      </c>
      <c r="AK37">
        <v>1452.5386434780287</v>
      </c>
      <c r="AL37">
        <v>1487.2986126864892</v>
      </c>
      <c r="AM37">
        <v>1538.1527023957028</v>
      </c>
      <c r="AN37">
        <v>1587.8808591976187</v>
      </c>
      <c r="AO37">
        <v>1608.2065798509991</v>
      </c>
      <c r="AP37">
        <v>1643.0400320762794</v>
      </c>
      <c r="AQ37">
        <v>1676.0606071231173</v>
      </c>
      <c r="AR37">
        <v>1690.4885867624514</v>
      </c>
      <c r="AS37">
        <v>1727.5698412884965</v>
      </c>
      <c r="AT37" s="132">
        <v>1753.2291123627906</v>
      </c>
      <c r="AU37" s="132">
        <v>1784.8179791262214</v>
      </c>
      <c r="AV37" s="132">
        <v>1820.8736940084173</v>
      </c>
      <c r="AW37" s="132">
        <v>1840.825060291935</v>
      </c>
      <c r="AX37" s="132">
        <v>1858.1639442571657</v>
      </c>
      <c r="AY37" s="132">
        <v>1871.1732071328136</v>
      </c>
      <c r="AZ37" s="132">
        <v>1905.7169711189615</v>
      </c>
      <c r="BA37" s="132">
        <v>1942.6331509259078</v>
      </c>
      <c r="BB37" s="132">
        <v>1972.6646759642992</v>
      </c>
      <c r="BC37" s="132">
        <v>1983.5200335947718</v>
      </c>
      <c r="BD37" s="132">
        <v>2009.1870829108684</v>
      </c>
      <c r="BE37" s="132">
        <v>2064.9606205565105</v>
      </c>
      <c r="BF37" s="132">
        <v>2132.4125971030562</v>
      </c>
      <c r="BG37" s="132">
        <v>2183.1819554425833</v>
      </c>
      <c r="BH37" s="132">
        <v>2250.2618406890979</v>
      </c>
      <c r="BI37" s="165">
        <f ca="1">OFFSET(Calcs!$A$1,Index_CALCULATION!BI$14+26,15)</f>
        <v>2262.1365458737282</v>
      </c>
      <c r="BJ37" s="165">
        <f ca="1">OFFSET(Calcs!$A$1,Index_CALCULATION!BJ$14+26,15)</f>
        <v>2272.4423893459216</v>
      </c>
      <c r="BK37" s="132">
        <f ca="1">OFFSET(Calcs!$A$1,Index_CALCULATION!BK$14+26,15)</f>
        <v>2308.6078238835171</v>
      </c>
      <c r="BL37" s="165">
        <f ca="1">OFFSET(Calcs!$A$1,Index_CALCULATION!BL$14+26,15)</f>
        <v>2308.6078238835171</v>
      </c>
      <c r="BM37" s="165">
        <f ca="1">OFFSET(Calcs!$A$1,Index_CALCULATION!BM$14+26,15)</f>
        <v>2320.7904227259492</v>
      </c>
      <c r="BN37" s="165">
        <f ca="1">OFFSET(Calcs!$A$1,Index_CALCULATION!BN$14+26,15)</f>
        <v>2320.7904227259492</v>
      </c>
      <c r="BO37" s="165">
        <f ca="1">OFFSET(Calcs!$A$1,Index_CALCULATION!BO$14+26,15)</f>
        <v>2332.1390085913845</v>
      </c>
      <c r="BP37" s="165">
        <f ca="1">OFFSET(Calcs!$A$1,Index_CALCULATION!BP$14+26,15)</f>
        <v>2332.1390085913845</v>
      </c>
      <c r="BQ37" s="165">
        <f ca="1">OFFSET(Calcs!$A$1,Index_CALCULATION!BQ$14+26,15)</f>
        <v>2304.8628417222267</v>
      </c>
      <c r="BR37" s="165">
        <f ca="1">OFFSET(Calcs!$A$1,Index_CALCULATION!BR$14+26,15)</f>
        <v>2304.8628417222267</v>
      </c>
      <c r="BS37" s="165">
        <f ca="1">OFFSET(Calcs!$A$1,Index_CALCULATION!BS$14+26,15)</f>
        <v>2317.025678171553</v>
      </c>
      <c r="BT37" s="165">
        <f ca="1">OFFSET(Calcs!$A$1,Index_CALCULATION!BT$14+26,15)</f>
        <v>2317.025678171553</v>
      </c>
      <c r="BU37" s="165">
        <f ca="1">OFFSET(Calcs!$A$1,Index_CALCULATION!BU$14+26,15)</f>
        <v>2317.025678171553</v>
      </c>
      <c r="BV37" s="165">
        <f ca="1">OFFSET(Calcs!$A$1,Index_CALCULATION!BV$14+26,15)</f>
        <v>2303.4361238218221</v>
      </c>
      <c r="BW37" s="165">
        <f ca="1">OFFSET(Calcs!$A$1,Index_CALCULATION!BW$14+26,15)</f>
        <v>2291.0187085636321</v>
      </c>
      <c r="BX37" s="165">
        <f ca="1">OFFSET(Calcs!$A$1,Index_CALCULATION!BX$14+26,15)</f>
        <v>2291.0187085636321</v>
      </c>
      <c r="BY37" s="165">
        <f ca="1">OFFSET(Calcs!$A$1,Index_CALCULATION!BY$14+26,15)</f>
        <v>2291.0187085636321</v>
      </c>
      <c r="BZ37" s="165">
        <f ca="1">OFFSET(Calcs!$A$1,Index_CALCULATION!BZ$14+26,15)</f>
        <v>2276.2855202195797</v>
      </c>
      <c r="CA37" s="165">
        <f ca="1">OFFSET(Calcs!$A$1,Index_CALCULATION!CA$14+26,15)</f>
        <v>2276.2855202195797</v>
      </c>
      <c r="CB37" s="165">
        <f ca="1">OFFSET(Calcs!$A$1,Index_CALCULATION!CB$14+26,15)</f>
        <v>2276.2855202195797</v>
      </c>
      <c r="CC37" s="165">
        <f ca="1">OFFSET(Calcs!$A$1,Index_CALCULATION!CC$14+26,15)</f>
        <v>2290.123079681935</v>
      </c>
      <c r="CD37" s="165">
        <f ca="1">OFFSET(Calcs!$A$1,Index_CALCULATION!CD$14+26,15)</f>
        <v>2290.123079681935</v>
      </c>
      <c r="CE37" s="165">
        <f ca="1">OFFSET(Calcs!$A$1,Index_CALCULATION!CE$14+26,15)</f>
        <v>2290.123079681935</v>
      </c>
      <c r="CF37" s="165">
        <f ca="1">OFFSET(Calcs!$A$1,Index_CALCULATION!CF$14+26,15)</f>
        <v>2290.123079681935</v>
      </c>
      <c r="CG37" s="165">
        <f ca="1">OFFSET(Calcs!$A$1,Index_CALCULATION!CG$14+26,15)</f>
        <v>2290.123079681935</v>
      </c>
      <c r="CH37" s="165">
        <f ca="1">OFFSET(Calcs!$A$1,Index_CALCULATION!CH$14+26,15)</f>
        <v>2290.123079681935</v>
      </c>
      <c r="CI37" s="165">
        <f ca="1">OFFSET(Calcs!$A$1,Index_CALCULATION!CI$14+26,15)</f>
        <v>2290.123079681935</v>
      </c>
      <c r="CJ37" s="165">
        <f ca="1">OFFSET(Calcs!$A$1,Index_CALCULATION!CJ$14+26,15)</f>
        <v>2290.123079681935</v>
      </c>
      <c r="CK37" s="165">
        <f ca="1">OFFSET(Calcs!$A$1,Index_CALCULATION!CK$14+26,15)</f>
        <v>2304.9458312059883</v>
      </c>
      <c r="CL37" s="165">
        <f ca="1">OFFSET(Calcs!$A$1,Index_CALCULATION!CL$14+26,15)</f>
        <v>2319.8645225355012</v>
      </c>
      <c r="CM37" s="165">
        <f ca="1">OFFSET(Calcs!$A$1,Index_CALCULATION!CM$14+26,15)</f>
        <v>2319.8645225355012</v>
      </c>
      <c r="CN37" s="165">
        <f ca="1">OFFSET(Calcs!$A$1,Index_CALCULATION!CN$14+26,15)</f>
        <v>2337.7784456186118</v>
      </c>
      <c r="CO37" s="165">
        <f ca="1">OFFSET(Calcs!$A$1,Index_CALCULATION!CO$14+26,15)</f>
        <v>2324.0671745076961</v>
      </c>
      <c r="CP37" s="165">
        <f ca="1">OFFSET(Calcs!$A$1,Index_CALCULATION!CP$14+26,15)</f>
        <v>2298.3871369746121</v>
      </c>
      <c r="CQ37" s="165">
        <f ca="1">OFFSET(Calcs!$A$1,Index_CALCULATION!CQ$14+26,15)</f>
        <v>2298.3871369746121</v>
      </c>
      <c r="CR37" s="165">
        <f ca="1">OFFSET(Calcs!$A$1,Index_CALCULATION!CR$14+26,15)</f>
        <v>2282.5907242008411</v>
      </c>
      <c r="CS37" s="165">
        <f ca="1">OFFSET(Calcs!$A$1,Index_CALCULATION!CS$14+26,15)</f>
        <v>2282.5907242008411</v>
      </c>
      <c r="CT37" s="165">
        <f ca="1">OFFSET(Calcs!$A$1,Index_CALCULATION!CT$14+26,15)</f>
        <v>2282.5907242008411</v>
      </c>
      <c r="CU37" s="165">
        <f ca="1">OFFSET(Calcs!$A$1,Index_CALCULATION!CU$14+26,15)</f>
        <v>2264.4028469182736</v>
      </c>
      <c r="CV37" s="165">
        <f ca="1">OFFSET(Calcs!$A$1,Index_CALCULATION!CV$14+26,15)</f>
        <v>2264.4028469182736</v>
      </c>
      <c r="CW37" s="165">
        <f ca="1">OFFSET(Calcs!$A$1,Index_CALCULATION!CW$14+26,15)</f>
        <v>2285.0821819025382</v>
      </c>
      <c r="CX37" s="165">
        <f ca="1">OFFSET(Calcs!$A$1,Index_CALCULATION!CX$14+26,15)</f>
        <v>2316.8189277775377</v>
      </c>
      <c r="CY37" s="165">
        <f ca="1">OFFSET(Calcs!$A$1,Index_CALCULATION!CY$14+26,15)</f>
        <v>2297.5923254871987</v>
      </c>
      <c r="CZ37" s="165">
        <f ca="1">OFFSET(Calcs!$A$1,Index_CALCULATION!CZ$14+26,15)</f>
        <v>2297.5923254871987</v>
      </c>
      <c r="DA37" s="165">
        <f ca="1">OFFSET(Calcs!$A$1,Index_CALCULATION!DA$14+26,15)</f>
        <v>2279.9863405093402</v>
      </c>
      <c r="DB37" s="165">
        <f ca="1">OFFSET(Calcs!$A$1,Index_CALCULATION!DB$14+26,15)</f>
        <v>2279.9863405093402</v>
      </c>
      <c r="DC37" s="247">
        <f ca="1">OFFSET(Calcs!$A$1,Index_CALCULATION!DC$14+26,15)</f>
        <v>2305.4607846781619</v>
      </c>
      <c r="DD37" s="247">
        <f ca="1">OFFSET(Calcs!$A$1,Index_CALCULATION!DD$14+26,15)</f>
        <v>2305.4607846781619</v>
      </c>
      <c r="DE37" s="247">
        <f ca="1">OFFSET(Calcs!$A$1,Index_CALCULATION!DE$14+26,15)</f>
        <v>2285.5002104745931</v>
      </c>
      <c r="DF37" s="247">
        <f ca="1">OFFSET(Calcs!$A$1,Index_CALCULATION!DF$14+26,15)</f>
        <v>2267.2891501576159</v>
      </c>
      <c r="DG37" s="247">
        <f ca="1">OFFSET(Calcs!$A$1,Index_CALCULATION!DG$14+26,15)</f>
        <v>2245.7984194083469</v>
      </c>
      <c r="DH37" s="247">
        <f ca="1">OFFSET(Calcs!$A$1,Index_CALCULATION!DH$14+26,15)</f>
        <v>2229.81415673949</v>
      </c>
      <c r="DI37" s="247">
        <f ca="1">OFFSET(Calcs!$A$1,Index_CALCULATION!DI$14+26,15)</f>
        <v>2229.81415673949</v>
      </c>
      <c r="DJ37" s="247">
        <f ca="1">OFFSET(Calcs!$A$1,Index_CALCULATION!DJ$14+26,15)</f>
        <v>2212.727542151044</v>
      </c>
      <c r="DK37" s="247">
        <f ca="1">OFFSET(Calcs!$A$1,Index_CALCULATION!DK$14+26,15)</f>
        <v>2212.727542151044</v>
      </c>
      <c r="DL37" s="247">
        <f ca="1">OFFSET(Calcs!$A$1,Index_CALCULATION!DL$14+26,15)</f>
        <v>2196.9786583942937</v>
      </c>
      <c r="DM37" s="247">
        <f ca="1">OFFSET(Calcs!$A$1,Index_CALCULATION!DM$14+26,15)</f>
        <v>2196.9786583942937</v>
      </c>
      <c r="DO37" t="str">
        <f>"Sub-index value: "&amp;TEXT(AD37,"0.0")&amp;" (Base = 1000, March 2011)"</f>
        <v>Sub-index value: 1211.2 (Base = 1000, March 2011)</v>
      </c>
      <c r="DP37" s="17">
        <f t="shared" si="2"/>
        <v>16</v>
      </c>
      <c r="DQ37" s="86" t="str">
        <f>B37</f>
        <v>Defenses: Vulnerability to unknown threats</v>
      </c>
      <c r="DT37">
        <f t="shared" si="4"/>
        <v>9</v>
      </c>
    </row>
    <row r="38" spans="1:124" x14ac:dyDescent="0.3">
      <c r="A38" s="74">
        <v>0</v>
      </c>
      <c r="B38" s="125" t="s">
        <v>212</v>
      </c>
      <c r="C38" s="165"/>
      <c r="D38" s="165"/>
      <c r="E38" s="165"/>
      <c r="F38" s="165"/>
      <c r="G38" s="1"/>
      <c r="H38" s="165"/>
      <c r="I38" s="165"/>
      <c r="J38" s="25"/>
      <c r="K38" s="165"/>
      <c r="L38" s="165"/>
      <c r="M38" s="165"/>
      <c r="N38" s="165"/>
      <c r="O38" s="165"/>
      <c r="P38" s="165">
        <f t="shared" ca="1" si="1"/>
        <v>24</v>
      </c>
      <c r="Q38" s="78">
        <v>0</v>
      </c>
      <c r="R38" s="78">
        <v>0</v>
      </c>
      <c r="S38" s="78">
        <v>0</v>
      </c>
      <c r="T38" s="78">
        <v>0</v>
      </c>
      <c r="U38" s="78">
        <v>0</v>
      </c>
      <c r="V38" s="78">
        <v>0</v>
      </c>
      <c r="W38" s="78">
        <v>0</v>
      </c>
      <c r="X38" s="78">
        <v>0</v>
      </c>
      <c r="Y38" s="78">
        <v>0</v>
      </c>
      <c r="Z38" s="78">
        <v>0</v>
      </c>
      <c r="AA38" s="78">
        <v>0</v>
      </c>
      <c r="AB38" s="78">
        <v>0</v>
      </c>
      <c r="AC38" s="78">
        <v>0</v>
      </c>
      <c r="AD38">
        <v>0</v>
      </c>
      <c r="AE38">
        <v>0</v>
      </c>
      <c r="AF38">
        <v>0</v>
      </c>
      <c r="AG38">
        <v>0</v>
      </c>
      <c r="AH38">
        <v>0</v>
      </c>
      <c r="AI38">
        <v>0</v>
      </c>
      <c r="AJ38">
        <v>0</v>
      </c>
      <c r="AK38">
        <v>0</v>
      </c>
      <c r="AL38">
        <v>0</v>
      </c>
      <c r="AM38">
        <v>0</v>
      </c>
      <c r="AN38">
        <v>0</v>
      </c>
      <c r="AO38">
        <v>0</v>
      </c>
      <c r="AP38">
        <v>1000</v>
      </c>
      <c r="AQ38">
        <v>1009.2259727871328</v>
      </c>
      <c r="AR38">
        <v>1009.2259727871328</v>
      </c>
      <c r="AS38">
        <v>1014.9547709168886</v>
      </c>
      <c r="AT38" s="132">
        <v>1028.0507809748431</v>
      </c>
      <c r="AU38" s="132">
        <v>1037.5355495039078</v>
      </c>
      <c r="AV38" s="132">
        <v>1042.7362180881662</v>
      </c>
      <c r="AW38" s="132">
        <v>1050.7881953589722</v>
      </c>
      <c r="AX38" s="132">
        <v>1058.4781950017762</v>
      </c>
      <c r="AY38" s="132">
        <v>1070.8579166295483</v>
      </c>
      <c r="AZ38" s="132">
        <v>1076.7507304453347</v>
      </c>
      <c r="BA38" s="132">
        <v>1077.3769303290835</v>
      </c>
      <c r="BB38" s="132">
        <v>1086.5983601238859</v>
      </c>
      <c r="BC38" s="132">
        <v>1096.5823486419915</v>
      </c>
      <c r="BD38" s="132">
        <v>1119.5341632662598</v>
      </c>
      <c r="BE38" s="132">
        <v>1132.2674294088413</v>
      </c>
      <c r="BF38" s="132">
        <v>1142.4222264829784</v>
      </c>
      <c r="BG38" s="132">
        <v>1156.7921290977383</v>
      </c>
      <c r="BH38" s="132">
        <v>1161.3674380920518</v>
      </c>
      <c r="BI38" s="165">
        <f ca="1">OFFSET(Calcs!$A$1,Index_CALCULATION!BI$14+27,15)</f>
        <v>1167.4960119713251</v>
      </c>
      <c r="BJ38" s="165">
        <f ca="1">OFFSET(Calcs!$A$1,Index_CALCULATION!BJ$14+27,15)</f>
        <v>1167.4960119713251</v>
      </c>
      <c r="BK38" s="132">
        <f ca="1">OFFSET(Calcs!$A$1,Index_CALCULATION!BK$14+27,15)</f>
        <v>1173.6569265350035</v>
      </c>
      <c r="BL38" s="165">
        <f ca="1">OFFSET(Calcs!$A$1,Index_CALCULATION!BL$14+27,15)</f>
        <v>1173.6569265350035</v>
      </c>
      <c r="BM38" s="165">
        <f ca="1">OFFSET(Calcs!$A$1,Index_CALCULATION!BM$14+27,15)</f>
        <v>1173.6569265350035</v>
      </c>
      <c r="BN38" s="165">
        <f ca="1">OFFSET(Calcs!$A$1,Index_CALCULATION!BN$14+27,15)</f>
        <v>1173.6569265350035</v>
      </c>
      <c r="BO38" s="165">
        <f ca="1">OFFSET(Calcs!$A$1,Index_CALCULATION!BO$14+27,15)</f>
        <v>1173.6569265350035</v>
      </c>
      <c r="BP38" s="165">
        <f ca="1">OFFSET(Calcs!$A$1,Index_CALCULATION!BP$14+27,15)</f>
        <v>1173.6569265350035</v>
      </c>
      <c r="BQ38" s="165">
        <f ca="1">OFFSET(Calcs!$A$1,Index_CALCULATION!BQ$14+27,15)</f>
        <v>1166.7733279882357</v>
      </c>
      <c r="BR38" s="165">
        <f ca="1">OFFSET(Calcs!$A$1,Index_CALCULATION!BR$14+27,15)</f>
        <v>1166.7733279882357</v>
      </c>
      <c r="BS38" s="165">
        <f ca="1">OFFSET(Calcs!$A$1,Index_CALCULATION!BS$14+27,15)</f>
        <v>1166.7733279882357</v>
      </c>
      <c r="BT38" s="165">
        <f ca="1">OFFSET(Calcs!$A$1,Index_CALCULATION!BT$14+27,15)</f>
        <v>1158.1624939464391</v>
      </c>
      <c r="BU38" s="165">
        <f ca="1">OFFSET(Calcs!$A$1,Index_CALCULATION!BU$14+27,15)</f>
        <v>1158.1624939464391</v>
      </c>
      <c r="BV38" s="165">
        <f ca="1">OFFSET(Calcs!$A$1,Index_CALCULATION!BV$14+27,15)</f>
        <v>1158.1624939464391</v>
      </c>
      <c r="BW38" s="165">
        <f ca="1">OFFSET(Calcs!$A$1,Index_CALCULATION!BW$14+27,15)</f>
        <v>1158.1624939464391</v>
      </c>
      <c r="BX38" s="165">
        <f ca="1">OFFSET(Calcs!$A$1,Index_CALCULATION!BX$14+27,15)</f>
        <v>1151.1645546132922</v>
      </c>
      <c r="BY38" s="165">
        <f ca="1">OFFSET(Calcs!$A$1,Index_CALCULATION!BY$14+27,15)</f>
        <v>1138.0832807918787</v>
      </c>
      <c r="BZ38" s="165">
        <f ca="1">OFFSET(Calcs!$A$1,Index_CALCULATION!BZ$14+27,15)</f>
        <v>1138.0832807918787</v>
      </c>
      <c r="CA38" s="165">
        <f ca="1">OFFSET(Calcs!$A$1,Index_CALCULATION!CA$14+27,15)</f>
        <v>1138.0832807918787</v>
      </c>
      <c r="CB38" s="165">
        <f ca="1">OFFSET(Calcs!$A$1,Index_CALCULATION!CB$14+27,15)</f>
        <v>1138.0832807918787</v>
      </c>
      <c r="CC38" s="165">
        <f ca="1">OFFSET(Calcs!$A$1,Index_CALCULATION!CC$14+27,15)</f>
        <v>1138.0832807918787</v>
      </c>
      <c r="CD38" s="165">
        <f ca="1">OFFSET(Calcs!$A$1,Index_CALCULATION!CD$14+27,15)</f>
        <v>1145.0016989477658</v>
      </c>
      <c r="CE38" s="165">
        <f ca="1">OFFSET(Calcs!$A$1,Index_CALCULATION!CE$14+27,15)</f>
        <v>1145.0016989477658</v>
      </c>
      <c r="CF38" s="165">
        <f ca="1">OFFSET(Calcs!$A$1,Index_CALCULATION!CF$14+27,15)</f>
        <v>1145.0016989477658</v>
      </c>
      <c r="CG38" s="165">
        <f ca="1">OFFSET(Calcs!$A$1,Index_CALCULATION!CG$14+27,15)</f>
        <v>1152.660544727275</v>
      </c>
      <c r="CH38" s="165">
        <f ca="1">OFFSET(Calcs!$A$1,Index_CALCULATION!CH$14+27,15)</f>
        <v>1152.660544727275</v>
      </c>
      <c r="CI38" s="165">
        <f ca="1">OFFSET(Calcs!$A$1,Index_CALCULATION!CI$14+27,15)</f>
        <v>1152.660544727275</v>
      </c>
      <c r="CJ38" s="165">
        <f ca="1">OFFSET(Calcs!$A$1,Index_CALCULATION!CJ$14+27,15)</f>
        <v>1152.660544727275</v>
      </c>
      <c r="CK38" s="165">
        <f ca="1">OFFSET(Calcs!$A$1,Index_CALCULATION!CK$14+27,15)</f>
        <v>1152.660544727275</v>
      </c>
      <c r="CL38" s="165">
        <f ca="1">OFFSET(Calcs!$A$1,Index_CALCULATION!CL$14+27,15)</f>
        <v>1152.660544727275</v>
      </c>
      <c r="CM38" s="165">
        <f ca="1">OFFSET(Calcs!$A$1,Index_CALCULATION!CM$14+27,15)</f>
        <v>1152.660544727275</v>
      </c>
      <c r="CN38" s="165">
        <f ca="1">OFFSET(Calcs!$A$1,Index_CALCULATION!CN$14+27,15)</f>
        <v>1152.660544727275</v>
      </c>
      <c r="CO38" s="165">
        <f ca="1">OFFSET(Calcs!$A$1,Index_CALCULATION!CO$14+27,15)</f>
        <v>1145.9000917608137</v>
      </c>
      <c r="CP38" s="165">
        <f ca="1">OFFSET(Calcs!$A$1,Index_CALCULATION!CP$14+27,15)</f>
        <v>1145.9000917608137</v>
      </c>
      <c r="CQ38" s="165">
        <f ca="1">OFFSET(Calcs!$A$1,Index_CALCULATION!CQ$14+27,15)</f>
        <v>1154.1143942862559</v>
      </c>
      <c r="CR38" s="165">
        <f ca="1">OFFSET(Calcs!$A$1,Index_CALCULATION!CR$14+27,15)</f>
        <v>1154.1143942862559</v>
      </c>
      <c r="CS38" s="165">
        <f ca="1">OFFSET(Calcs!$A$1,Index_CALCULATION!CS$14+27,15)</f>
        <v>1154.1143942862559</v>
      </c>
      <c r="CT38" s="165">
        <f ca="1">OFFSET(Calcs!$A$1,Index_CALCULATION!CT$14+27,15)</f>
        <v>1154.1143942862559</v>
      </c>
      <c r="CU38" s="165">
        <f ca="1">OFFSET(Calcs!$A$1,Index_CALCULATION!CU$14+27,15)</f>
        <v>1154.1143942862559</v>
      </c>
      <c r="CV38" s="165">
        <f ca="1">OFFSET(Calcs!$A$1,Index_CALCULATION!CV$14+27,15)</f>
        <v>1154.1143942862559</v>
      </c>
      <c r="CW38" s="165">
        <f ca="1">OFFSET(Calcs!$A$1,Index_CALCULATION!CW$14+27,15)</f>
        <v>1143.6699917353874</v>
      </c>
      <c r="CX38" s="165">
        <f ca="1">OFFSET(Calcs!$A$1,Index_CALCULATION!CX$14+27,15)</f>
        <v>1143.6699917353874</v>
      </c>
      <c r="CY38" s="165">
        <f ca="1">OFFSET(Calcs!$A$1,Index_CALCULATION!CY$14+27,15)</f>
        <v>1143.6699917353874</v>
      </c>
      <c r="CZ38" s="165">
        <f ca="1">OFFSET(Calcs!$A$1,Index_CALCULATION!CZ$14+27,15)</f>
        <v>1143.6699917353874</v>
      </c>
      <c r="DA38" s="165">
        <f ca="1">OFFSET(Calcs!$A$1,Index_CALCULATION!DA$14+27,15)</f>
        <v>1143.6699917353874</v>
      </c>
      <c r="DB38" s="165">
        <f ca="1">OFFSET(Calcs!$A$1,Index_CALCULATION!DB$14+27,15)</f>
        <v>1143.6699917353874</v>
      </c>
      <c r="DC38" s="247">
        <f ca="1">OFFSET(Calcs!$A$1,Index_CALCULATION!DC$14+27,15)</f>
        <v>1143.6699917353874</v>
      </c>
      <c r="DD38" s="247">
        <f ca="1">OFFSET(Calcs!$A$1,Index_CALCULATION!DD$14+27,15)</f>
        <v>1143.6699917353874</v>
      </c>
      <c r="DE38" s="247">
        <f ca="1">OFFSET(Calcs!$A$1,Index_CALCULATION!DE$14+27,15)</f>
        <v>1143.6699917353874</v>
      </c>
      <c r="DF38" s="247">
        <f ca="1">OFFSET(Calcs!$A$1,Index_CALCULATION!DF$14+27,15)</f>
        <v>1152.8560468976777</v>
      </c>
      <c r="DG38" s="247">
        <f ca="1">OFFSET(Calcs!$A$1,Index_CALCULATION!DG$14+27,15)</f>
        <v>1152.8560468976777</v>
      </c>
      <c r="DH38" s="247">
        <f ca="1">OFFSET(Calcs!$A$1,Index_CALCULATION!DH$14+27,15)</f>
        <v>1152.8560468976777</v>
      </c>
      <c r="DI38" s="247">
        <f ca="1">OFFSET(Calcs!$A$1,Index_CALCULATION!DI$14+27,15)</f>
        <v>1152.8560468976777</v>
      </c>
      <c r="DJ38" s="247">
        <f ca="1">OFFSET(Calcs!$A$1,Index_CALCULATION!DJ$14+27,15)</f>
        <v>1152.8560468976777</v>
      </c>
      <c r="DK38" s="247">
        <f ca="1">OFFSET(Calcs!$A$1,Index_CALCULATION!DK$14+27,15)</f>
        <v>1152.8560468976777</v>
      </c>
      <c r="DL38" s="247">
        <f ca="1">OFFSET(Calcs!$A$1,Index_CALCULATION!DL$14+27,15)</f>
        <v>1152.8560468976777</v>
      </c>
      <c r="DM38" s="247">
        <f ca="1">OFFSET(Calcs!$A$1,Index_CALCULATION!DM$14+27,15)</f>
        <v>1152.8560468976777</v>
      </c>
      <c r="DO38" t="str">
        <f>"Sub-index value: "&amp;TEXT(AD38,"0.0")&amp;" (Base = 1000, March 2011)"</f>
        <v>Sub-index value: 0.0 (Base = 1000, March 2011)</v>
      </c>
      <c r="DP38" s="17">
        <f t="shared" si="2"/>
        <v>2</v>
      </c>
      <c r="DQ38" s="86" t="str">
        <f>B38</f>
        <v>Overall: False claims of digital identity</v>
      </c>
      <c r="DT38">
        <f t="shared" si="4"/>
        <v>24.5</v>
      </c>
    </row>
    <row r="39" spans="1:124" x14ac:dyDescent="0.3">
      <c r="A39" s="74" t="s">
        <v>48</v>
      </c>
      <c r="B39" s="77" t="s">
        <v>172</v>
      </c>
      <c r="C39" s="165"/>
      <c r="D39" s="165"/>
      <c r="E39" s="165"/>
      <c r="F39" s="165"/>
      <c r="G39" s="1"/>
      <c r="H39" s="165"/>
      <c r="I39" s="165"/>
      <c r="J39" s="25"/>
      <c r="K39" s="165"/>
      <c r="L39" s="165"/>
      <c r="M39" s="165"/>
      <c r="N39" s="165"/>
      <c r="O39" s="165"/>
      <c r="P39" s="165">
        <f ca="1">RANK(curr_mnth,curr_mnth,0)</f>
        <v>1</v>
      </c>
      <c r="Q39" s="78">
        <v>1028.5695124658184</v>
      </c>
      <c r="R39" s="78">
        <v>1055.7384161887585</v>
      </c>
      <c r="S39" s="78">
        <v>1108.1869384878678</v>
      </c>
      <c r="T39" s="78">
        <v>1141.5492237994727</v>
      </c>
      <c r="U39" s="78">
        <v>1169.9680865964463</v>
      </c>
      <c r="V39" s="78">
        <v>1200.1313600111916</v>
      </c>
      <c r="W39" s="78">
        <v>1215.0004538295789</v>
      </c>
      <c r="X39" s="78">
        <v>1224.8031835521952</v>
      </c>
      <c r="Y39" s="78">
        <v>1264.8982739067767</v>
      </c>
      <c r="Z39" s="78">
        <v>1282.6472795067928</v>
      </c>
      <c r="AA39" s="78">
        <v>1306.0790764012095</v>
      </c>
      <c r="AB39" s="78">
        <v>1327.6271006647587</v>
      </c>
      <c r="AC39" s="78">
        <v>1363.3001830042147</v>
      </c>
      <c r="AD39">
        <v>1409.914487096017</v>
      </c>
      <c r="AE39">
        <v>1488.7912349039511</v>
      </c>
      <c r="AF39">
        <v>1558.4928865985678</v>
      </c>
      <c r="AG39">
        <v>1605.6472531197646</v>
      </c>
      <c r="AH39">
        <v>1676.9978639890169</v>
      </c>
      <c r="AI39">
        <v>1775.8814226184659</v>
      </c>
      <c r="AJ39">
        <v>1836.0751250247663</v>
      </c>
      <c r="AK39">
        <v>1896.1653291711934</v>
      </c>
      <c r="AL39">
        <v>1967.291892744722</v>
      </c>
      <c r="AM39">
        <v>2134.2673805887748</v>
      </c>
      <c r="AN39">
        <v>2277.085117485768</v>
      </c>
      <c r="AO39">
        <v>2382.3123851547857</v>
      </c>
      <c r="AP39">
        <v>2463.8990522653257</v>
      </c>
      <c r="AQ39">
        <v>2594.1935251555024</v>
      </c>
      <c r="AR39">
        <v>2682.7626861513477</v>
      </c>
      <c r="AS39">
        <v>2799.1056257722189</v>
      </c>
      <c r="AT39" s="132">
        <v>2936.9653954398609</v>
      </c>
      <c r="AU39" s="132">
        <v>3079.6804741894789</v>
      </c>
      <c r="AV39" s="132">
        <v>3171.7081581170337</v>
      </c>
      <c r="AW39" s="132">
        <v>3327.9191106817002</v>
      </c>
      <c r="AX39" s="132">
        <v>3588.9800385645631</v>
      </c>
      <c r="AY39" s="132">
        <v>3759.8523131743123</v>
      </c>
      <c r="AZ39" s="132">
        <v>3883.3444398628553</v>
      </c>
      <c r="BA39" s="132">
        <v>4207.7552449864788</v>
      </c>
      <c r="BB39" s="132">
        <v>4504.6541943858947</v>
      </c>
      <c r="BC39" s="132">
        <v>4644.1062037069578</v>
      </c>
      <c r="BD39" s="132">
        <v>4868.2853442695096</v>
      </c>
      <c r="BE39" s="132">
        <v>5060.3328710228079</v>
      </c>
      <c r="BF39" s="132">
        <v>5399.5370494067256</v>
      </c>
      <c r="BG39" s="132">
        <v>5777.4376839948782</v>
      </c>
      <c r="BH39" s="132">
        <v>6021.9290340914531</v>
      </c>
      <c r="BI39" s="165">
        <f ca="1">OFFSET(Calcs!$A$1,Index_CALCULATION!BI$14+28,15)</f>
        <v>6482.4067670472577</v>
      </c>
      <c r="BJ39" s="165">
        <f ca="1">OFFSET(Calcs!$A$1,Index_CALCULATION!BJ$14+28,15)</f>
        <v>6601.346703854867</v>
      </c>
      <c r="BK39" s="132">
        <f ca="1">OFFSET(Calcs!$A$1,Index_CALCULATION!BK$14+28,15)</f>
        <v>6671.2015761063412</v>
      </c>
      <c r="BL39" s="165">
        <f ca="1">OFFSET(Calcs!$A$1,Index_CALCULATION!BL$14+28,15)</f>
        <v>6671.2015761063412</v>
      </c>
      <c r="BM39" s="165">
        <f ca="1">OFFSET(Calcs!$A$1,Index_CALCULATION!BM$14+28,15)</f>
        <v>6706.4057245796785</v>
      </c>
      <c r="BN39" s="165">
        <f ca="1">OFFSET(Calcs!$A$1,Index_CALCULATION!BN$14+28,15)</f>
        <v>6838.547416429994</v>
      </c>
      <c r="BO39" s="165">
        <f ca="1">OFFSET(Calcs!$A$1,Index_CALCULATION!BO$14+28,15)</f>
        <v>6973.2928020385125</v>
      </c>
      <c r="BP39" s="165">
        <f ca="1">OFFSET(Calcs!$A$1,Index_CALCULATION!BP$14+28,15)</f>
        <v>7049.0887207076448</v>
      </c>
      <c r="BQ39" s="165">
        <f ca="1">OFFSET(Calcs!$A$1,Index_CALCULATION!BQ$14+28,15)</f>
        <v>7132.5089211382492</v>
      </c>
      <c r="BR39" s="165">
        <f ca="1">OFFSET(Calcs!$A$1,Index_CALCULATION!BR$14+28,15)</f>
        <v>7172.24424439822</v>
      </c>
      <c r="BS39" s="165">
        <f ca="1">OFFSET(Calcs!$A$1,Index_CALCULATION!BS$14+28,15)</f>
        <v>7286.3889773624242</v>
      </c>
      <c r="BT39" s="165">
        <f ca="1">OFFSET(Calcs!$A$1,Index_CALCULATION!BT$14+28,15)</f>
        <v>7450.1212419008652</v>
      </c>
      <c r="BU39" s="165">
        <f ca="1">OFFSET(Calcs!$A$1,Index_CALCULATION!BU$14+28,15)</f>
        <v>7450.1212419008652</v>
      </c>
      <c r="BV39" s="165">
        <f ca="1">OFFSET(Calcs!$A$1,Index_CALCULATION!BV$14+28,15)</f>
        <v>7450.1212419008652</v>
      </c>
      <c r="BW39" s="165">
        <f ca="1">OFFSET(Calcs!$A$1,Index_CALCULATION!BW$14+28,15)</f>
        <v>7490.5012042463259</v>
      </c>
      <c r="BX39" s="165">
        <f ca="1">OFFSET(Calcs!$A$1,Index_CALCULATION!BX$14+28,15)</f>
        <v>7536.036026172621</v>
      </c>
      <c r="BY39" s="165">
        <f ca="1">OFFSET(Calcs!$A$1,Index_CALCULATION!BY$14+28,15)</f>
        <v>7579.2223611941808</v>
      </c>
      <c r="BZ39" s="165">
        <f ca="1">OFFSET(Calcs!$A$1,Index_CALCULATION!BZ$14+28,15)</f>
        <v>7579.2223611941808</v>
      </c>
      <c r="CA39" s="165">
        <f ca="1">OFFSET(Calcs!$A$1,Index_CALCULATION!CA$14+28,15)</f>
        <v>7684.4876579578458</v>
      </c>
      <c r="CB39" s="165">
        <f ca="1">OFFSET(Calcs!$A$1,Index_CALCULATION!CB$14+28,15)</f>
        <v>7791.2149493925572</v>
      </c>
      <c r="CC39" s="165">
        <f ca="1">OFFSET(Calcs!$A$1,Index_CALCULATION!CC$14+28,15)</f>
        <v>7934.1690476213171</v>
      </c>
      <c r="CD39" s="165">
        <f ca="1">OFFSET(Calcs!$A$1,Index_CALCULATION!CD$14+28,15)</f>
        <v>7982.4009302237455</v>
      </c>
      <c r="CE39" s="165">
        <f ca="1">OFFSET(Calcs!$A$1,Index_CALCULATION!CE$14+28,15)</f>
        <v>8082.8071735024796</v>
      </c>
      <c r="CF39" s="165">
        <f ca="1">OFFSET(Calcs!$A$1,Index_CALCULATION!CF$14+28,15)</f>
        <v>8130.4932136087109</v>
      </c>
      <c r="CG39" s="165">
        <f ca="1">OFFSET(Calcs!$A$1,Index_CALCULATION!CG$14+28,15)</f>
        <v>8130.4932136087109</v>
      </c>
      <c r="CH39" s="165">
        <f ca="1">OFFSET(Calcs!$A$1,Index_CALCULATION!CH$14+28,15)</f>
        <v>8183.1175820291455</v>
      </c>
      <c r="CI39" s="165">
        <f ca="1">OFFSET(Calcs!$A$1,Index_CALCULATION!CI$14+28,15)</f>
        <v>8236.0825600631542</v>
      </c>
      <c r="CJ39" s="165">
        <f ca="1">OFFSET(Calcs!$A$1,Index_CALCULATION!CJ$14+28,15)</f>
        <v>8236.0825600631542</v>
      </c>
      <c r="CK39" s="165">
        <f ca="1">OFFSET(Calcs!$A$1,Index_CALCULATION!CK$14+28,15)</f>
        <v>8289.3903522960336</v>
      </c>
      <c r="CL39" s="165">
        <f ca="1">OFFSET(Calcs!$A$1,Index_CALCULATION!CL$14+28,15)</f>
        <v>8343.0431775821889</v>
      </c>
      <c r="CM39" s="165">
        <f ca="1">OFFSET(Calcs!$A$1,Index_CALCULATION!CM$14+28,15)</f>
        <v>8455.0286641544353</v>
      </c>
      <c r="CN39" s="165">
        <f ca="1">OFFSET(Calcs!$A$1,Index_CALCULATION!CN$14+28,15)</f>
        <v>8586.1117743799841</v>
      </c>
      <c r="CO39" s="165">
        <f ca="1">OFFSET(Calcs!$A$1,Index_CALCULATION!CO$14+28,15)</f>
        <v>8687.7213857094957</v>
      </c>
      <c r="CP39" s="165">
        <f ca="1">OFFSET(Calcs!$A$1,Index_CALCULATION!CP$14+28,15)</f>
        <v>8784.7898941748117</v>
      </c>
      <c r="CQ39" s="165">
        <f ca="1">OFFSET(Calcs!$A$1,Index_CALCULATION!CQ$14+28,15)</f>
        <v>8847.7630297317828</v>
      </c>
      <c r="CR39" s="165">
        <f ca="1">OFFSET(Calcs!$A$1,Index_CALCULATION!CR$14+28,15)</f>
        <v>8970.6466656292996</v>
      </c>
      <c r="CS39" s="165">
        <f ca="1">OFFSET(Calcs!$A$1,Index_CALCULATION!CS$14+28,15)</f>
        <v>9039.9177255609411</v>
      </c>
      <c r="CT39" s="165">
        <f ca="1">OFFSET(Calcs!$A$1,Index_CALCULATION!CT$14+28,15)</f>
        <v>9104.7197266575295</v>
      </c>
      <c r="CU39" s="165">
        <f ca="1">OFFSET(Calcs!$A$1,Index_CALCULATION!CU$14+28,15)</f>
        <v>9177.8496139944873</v>
      </c>
      <c r="CV39" s="165">
        <f ca="1">OFFSET(Calcs!$A$1,Index_CALCULATION!CV$14+28,15)</f>
        <v>9314.8299200112669</v>
      </c>
      <c r="CW39" s="165">
        <f ca="1">OFFSET(Calcs!$A$1,Index_CALCULATION!CW$14+28,15)</f>
        <v>9399.8962713892979</v>
      </c>
      <c r="CX39" s="165">
        <f ca="1">OFFSET(Calcs!$A$1,Index_CALCULATION!CX$14+28,15)</f>
        <v>9464.9471979348273</v>
      </c>
      <c r="CY39" s="165">
        <f ca="1">OFFSET(Calcs!$A$1,Index_CALCULATION!CY$14+28,15)</f>
        <v>9624.0182276318337</v>
      </c>
      <c r="CZ39" s="165">
        <f ca="1">OFFSET(Calcs!$A$1,Index_CALCULATION!CZ$14+28,15)</f>
        <v>9779.2409899678314</v>
      </c>
      <c r="DA39" s="165">
        <f ca="1">OFFSET(Calcs!$A$1,Index_CALCULATION!DA$14+28,15)</f>
        <v>9854.7559906084789</v>
      </c>
      <c r="DB39" s="165">
        <f ca="1">OFFSET(Calcs!$A$1,Index_CALCULATION!DB$14+28,15)</f>
        <v>10115.219156408226</v>
      </c>
      <c r="DC39" s="247">
        <f ca="1">OFFSET(Calcs!$A$1,Index_CALCULATION!DC$14+28,15)</f>
        <v>10228.237195629354</v>
      </c>
      <c r="DD39" s="247">
        <f ca="1">OFFSET(Calcs!$A$1,Index_CALCULATION!DD$14+28,15)</f>
        <v>10400.136329208142</v>
      </c>
      <c r="DE39" s="247">
        <f ca="1">OFFSET(Calcs!$A$1,Index_CALCULATION!DE$14+28,15)</f>
        <v>10582.590222271459</v>
      </c>
      <c r="DF39" s="247">
        <f ca="1">OFFSET(Calcs!$A$1,Index_CALCULATION!DF$14+28,15)</f>
        <v>10753.273490748092</v>
      </c>
      <c r="DG39" s="247">
        <f ca="1">OFFSET(Calcs!$A$1,Index_CALCULATION!DG$14+28,15)</f>
        <v>10856.174847907208</v>
      </c>
      <c r="DH39" s="247">
        <f ca="1">OFFSET(Calcs!$A$1,Index_CALCULATION!DH$14+28,15)</f>
        <v>10933.996557767427</v>
      </c>
      <c r="DI39" s="247">
        <f ca="1">OFFSET(Calcs!$A$1,Index_CALCULATION!DI$14+28,15)</f>
        <v>11056.162853198262</v>
      </c>
      <c r="DJ39" s="247">
        <f ca="1">OFFSET(Calcs!$A$1,Index_CALCULATION!DJ$14+28,15)</f>
        <v>11141.538205518435</v>
      </c>
      <c r="DK39" s="247">
        <f ca="1">OFFSET(Calcs!$A$1,Index_CALCULATION!DK$14+28,15)</f>
        <v>11209.267713109421</v>
      </c>
      <c r="DL39" s="247">
        <f ca="1">OFFSET(Calcs!$A$1,Index_CALCULATION!DL$14+28,15)</f>
        <v>11289.620543819703</v>
      </c>
      <c r="DM39" s="247">
        <f ca="1">OFFSET(Calcs!$A$1,Index_CALCULATION!DM$14+28,15)</f>
        <v>11289.620543819703</v>
      </c>
      <c r="DO39" t="str">
        <f t="shared" si="5"/>
        <v>Sub-index value: 1409.9 (Base = 1000, March 2011)</v>
      </c>
      <c r="DP39" s="17">
        <f t="shared" si="2"/>
        <v>25</v>
      </c>
      <c r="DQ39" s="86" t="str">
        <f t="shared" si="3"/>
        <v>Overall: Media &amp; public perception</v>
      </c>
      <c r="DT39">
        <f t="shared" si="4"/>
        <v>1</v>
      </c>
    </row>
    <row r="40" spans="1:124" x14ac:dyDescent="0.3">
      <c r="A40" s="74" t="s">
        <v>50</v>
      </c>
      <c r="B40" s="77" t="s">
        <v>173</v>
      </c>
      <c r="C40" s="165"/>
      <c r="D40" s="165"/>
      <c r="E40" s="165"/>
      <c r="F40" s="165"/>
      <c r="G40" s="1"/>
      <c r="H40" s="165"/>
      <c r="I40" s="165"/>
      <c r="J40" s="25"/>
      <c r="K40" s="165"/>
      <c r="L40" s="165"/>
      <c r="M40" s="165"/>
      <c r="N40" s="165"/>
      <c r="O40" s="165"/>
      <c r="P40" s="165">
        <f t="shared" ca="1" si="1"/>
        <v>10</v>
      </c>
      <c r="Q40" s="78">
        <v>1013.8271167856134</v>
      </c>
      <c r="R40" s="78">
        <v>1032.4624530225403</v>
      </c>
      <c r="S40" s="78">
        <v>1057.7976989417766</v>
      </c>
      <c r="T40" s="78">
        <v>1060.9398922181988</v>
      </c>
      <c r="U40" s="78">
        <v>1074.5050361397721</v>
      </c>
      <c r="V40" s="78">
        <v>1100.2049577629436</v>
      </c>
      <c r="W40" s="78">
        <v>1111.3451345248029</v>
      </c>
      <c r="X40" s="78">
        <v>1120.3115640828773</v>
      </c>
      <c r="Y40" s="78">
        <v>1144.2629008513709</v>
      </c>
      <c r="Z40" s="78">
        <v>1162.6992964006292</v>
      </c>
      <c r="AA40" s="78">
        <v>1188.0294446443952</v>
      </c>
      <c r="AB40" s="78">
        <v>1212.0292314174544</v>
      </c>
      <c r="AC40" s="78">
        <v>1225.8808441533192</v>
      </c>
      <c r="AD40">
        <v>1248.2756142634635</v>
      </c>
      <c r="AE40">
        <v>1283.4935178833066</v>
      </c>
      <c r="AF40">
        <v>1314.7444008314585</v>
      </c>
      <c r="AG40">
        <v>1337.6976533204925</v>
      </c>
      <c r="AH40">
        <v>1376.041414243163</v>
      </c>
      <c r="AI40">
        <v>1410.1414285347573</v>
      </c>
      <c r="AJ40">
        <v>1432.3479248173353</v>
      </c>
      <c r="AK40">
        <v>1468.6079851670017</v>
      </c>
      <c r="AL40">
        <v>1491.1053729996265</v>
      </c>
      <c r="AM40">
        <v>1521.6211714899075</v>
      </c>
      <c r="AN40">
        <v>1567.8426546635474</v>
      </c>
      <c r="AO40">
        <v>1582.3500183614847</v>
      </c>
      <c r="AP40">
        <v>1599.3949174609174</v>
      </c>
      <c r="AQ40">
        <v>1624.8925778572739</v>
      </c>
      <c r="AR40">
        <v>1645.9189336403495</v>
      </c>
      <c r="AS40">
        <v>1668.5885606464697</v>
      </c>
      <c r="AT40" s="132">
        <v>1690.1184388232809</v>
      </c>
      <c r="AU40" s="132">
        <v>1725.8453285220091</v>
      </c>
      <c r="AV40" s="132">
        <v>1753.8758091492316</v>
      </c>
      <c r="AW40" s="132">
        <v>1815.6498935488466</v>
      </c>
      <c r="AX40" s="132">
        <v>1878.1695113799476</v>
      </c>
      <c r="AY40" s="132">
        <v>1907.8850269184595</v>
      </c>
      <c r="AZ40" s="132">
        <v>1941.922068602945</v>
      </c>
      <c r="BA40" s="132">
        <v>2026.1148658063726</v>
      </c>
      <c r="BB40" s="132">
        <v>2073.8681907339105</v>
      </c>
      <c r="BC40" s="132">
        <v>2100.5945688302759</v>
      </c>
      <c r="BD40" s="132">
        <v>2114.1418893620416</v>
      </c>
      <c r="BE40" s="132">
        <v>2147.1152447751469</v>
      </c>
      <c r="BF40" s="132">
        <v>2191.0114572074831</v>
      </c>
      <c r="BG40" s="132">
        <v>2233.3013949821716</v>
      </c>
      <c r="BH40" s="132">
        <v>2270.3370605478103</v>
      </c>
      <c r="BI40" s="165">
        <f ca="1">OFFSET(Calcs!$A$1,Index_CALCULATION!BI$14+29,15)</f>
        <v>2282.3177033229149</v>
      </c>
      <c r="BJ40" s="165">
        <f ca="1">OFFSET(Calcs!$A$1,Index_CALCULATION!BJ$14+29,15)</f>
        <v>2292.7154881282422</v>
      </c>
      <c r="BK40" s="132">
        <f ca="1">OFFSET(Calcs!$A$1,Index_CALCULATION!BK$14+29,15)</f>
        <v>2292.7154881282422</v>
      </c>
      <c r="BL40" s="165">
        <f ca="1">OFFSET(Calcs!$A$1,Index_CALCULATION!BL$14+29,15)</f>
        <v>2292.7154881282422</v>
      </c>
      <c r="BM40" s="165">
        <f ca="1">OFFSET(Calcs!$A$1,Index_CALCULATION!BM$14+29,15)</f>
        <v>2292.7154881282422</v>
      </c>
      <c r="BN40" s="165">
        <f ca="1">OFFSET(Calcs!$A$1,Index_CALCULATION!BN$14+29,15)</f>
        <v>2303.9267885228187</v>
      </c>
      <c r="BO40" s="165">
        <f ca="1">OFFSET(Calcs!$A$1,Index_CALCULATION!BO$14+29,15)</f>
        <v>2315.1929117932332</v>
      </c>
      <c r="BP40" s="165">
        <f ca="1">OFFSET(Calcs!$A$1,Index_CALCULATION!BP$14+29,15)</f>
        <v>2315.1929117932332</v>
      </c>
      <c r="BQ40" s="165">
        <f ca="1">OFFSET(Calcs!$A$1,Index_CALCULATION!BQ$14+29,15)</f>
        <v>2315.1929117932332</v>
      </c>
      <c r="BR40" s="165">
        <f ca="1">OFFSET(Calcs!$A$1,Index_CALCULATION!BR$14+29,15)</f>
        <v>2315.1929117932332</v>
      </c>
      <c r="BS40" s="165">
        <f ca="1">OFFSET(Calcs!$A$1,Index_CALCULATION!BS$14+29,15)</f>
        <v>2315.1929117932332</v>
      </c>
      <c r="BT40" s="165">
        <f ca="1">OFFSET(Calcs!$A$1,Index_CALCULATION!BT$14+29,15)</f>
        <v>2315.1929117932332</v>
      </c>
      <c r="BU40" s="165">
        <f ca="1">OFFSET(Calcs!$A$1,Index_CALCULATION!BU$14+29,15)</f>
        <v>2299.8096269724342</v>
      </c>
      <c r="BV40" s="165">
        <f ca="1">OFFSET(Calcs!$A$1,Index_CALCULATION!BV$14+29,15)</f>
        <v>2272.9115771900224</v>
      </c>
      <c r="BW40" s="165">
        <f ca="1">OFFSET(Calcs!$A$1,Index_CALCULATION!BW$14+29,15)</f>
        <v>2272.9115771900224</v>
      </c>
      <c r="BX40" s="165">
        <f ca="1">OFFSET(Calcs!$A$1,Index_CALCULATION!BX$14+29,15)</f>
        <v>2272.9115771900224</v>
      </c>
      <c r="BY40" s="165">
        <f ca="1">OFFSET(Calcs!$A$1,Index_CALCULATION!BY$14+29,15)</f>
        <v>2272.9115771900224</v>
      </c>
      <c r="BZ40" s="165">
        <f ca="1">OFFSET(Calcs!$A$1,Index_CALCULATION!BZ$14+29,15)</f>
        <v>2287.6229277911048</v>
      </c>
      <c r="CA40" s="165">
        <f ca="1">OFFSET(Calcs!$A$1,Index_CALCULATION!CA$14+29,15)</f>
        <v>2271.9004955442479</v>
      </c>
      <c r="CB40" s="165">
        <f ca="1">OFFSET(Calcs!$A$1,Index_CALCULATION!CB$14+29,15)</f>
        <v>2287.6229277911043</v>
      </c>
      <c r="CC40" s="165">
        <f ca="1">OFFSET(Calcs!$A$1,Index_CALCULATION!CC$14+29,15)</f>
        <v>2287.6229277911043</v>
      </c>
      <c r="CD40" s="165">
        <f ca="1">OFFSET(Calcs!$A$1,Index_CALCULATION!CD$14+29,15)</f>
        <v>2287.6229277911043</v>
      </c>
      <c r="CE40" s="165">
        <f ca="1">OFFSET(Calcs!$A$1,Index_CALCULATION!CE$14+29,15)</f>
        <v>2287.6229277911043</v>
      </c>
      <c r="CF40" s="165">
        <f ca="1">OFFSET(Calcs!$A$1,Index_CALCULATION!CF$14+29,15)</f>
        <v>2287.6229277911043</v>
      </c>
      <c r="CG40" s="165">
        <f ca="1">OFFSET(Calcs!$A$1,Index_CALCULATION!CG$14+29,15)</f>
        <v>2287.6229277911043</v>
      </c>
      <c r="CH40" s="165">
        <f ca="1">OFFSET(Calcs!$A$1,Index_CALCULATION!CH$14+29,15)</f>
        <v>2287.6229277911043</v>
      </c>
      <c r="CI40" s="165">
        <f ca="1">OFFSET(Calcs!$A$1,Index_CALCULATION!CI$14+29,15)</f>
        <v>2302.4294971585832</v>
      </c>
      <c r="CJ40" s="165">
        <f ca="1">OFFSET(Calcs!$A$1,Index_CALCULATION!CJ$14+29,15)</f>
        <v>2287.131018766489</v>
      </c>
      <c r="CK40" s="165">
        <f ca="1">OFFSET(Calcs!$A$1,Index_CALCULATION!CK$14+29,15)</f>
        <v>2272.422831556557</v>
      </c>
      <c r="CL40" s="165">
        <f ca="1">OFFSET(Calcs!$A$1,Index_CALCULATION!CL$14+29,15)</f>
        <v>2272.422831556557</v>
      </c>
      <c r="CM40" s="165">
        <f ca="1">OFFSET(Calcs!$A$1,Index_CALCULATION!CM$14+29,15)</f>
        <v>2287.6229277911048</v>
      </c>
      <c r="CN40" s="165">
        <f ca="1">OFFSET(Calcs!$A$1,Index_CALCULATION!CN$14+29,15)</f>
        <v>2287.6229277911048</v>
      </c>
      <c r="CO40" s="165">
        <f ca="1">OFFSET(Calcs!$A$1,Index_CALCULATION!CO$14+29,15)</f>
        <v>2287.6229277911048</v>
      </c>
      <c r="CP40" s="165">
        <f ca="1">OFFSET(Calcs!$A$1,Index_CALCULATION!CP$14+29,15)</f>
        <v>2339.0280454071126</v>
      </c>
      <c r="CQ40" s="165">
        <f ca="1">OFFSET(Calcs!$A$1,Index_CALCULATION!CQ$14+29,15)</f>
        <v>2372.6825487259393</v>
      </c>
      <c r="CR40" s="165">
        <f ca="1">OFFSET(Calcs!$A$1,Index_CALCULATION!CR$14+29,15)</f>
        <v>2356.3755165824632</v>
      </c>
      <c r="CS40" s="165">
        <f ca="1">OFFSET(Calcs!$A$1,Index_CALCULATION!CS$14+29,15)</f>
        <v>2356.3755165824632</v>
      </c>
      <c r="CT40" s="165">
        <f ca="1">OFFSET(Calcs!$A$1,Index_CALCULATION!CT$14+29,15)</f>
        <v>2356.3755165824632</v>
      </c>
      <c r="CU40" s="165">
        <f ca="1">OFFSET(Calcs!$A$1,Index_CALCULATION!CU$14+29,15)</f>
        <v>2356.3755165824632</v>
      </c>
      <c r="CV40" s="165">
        <f ca="1">OFFSET(Calcs!$A$1,Index_CALCULATION!CV$14+29,15)</f>
        <v>2373.8949567469472</v>
      </c>
      <c r="CW40" s="165">
        <f ca="1">OFFSET(Calcs!$A$1,Index_CALCULATION!CW$14+29,15)</f>
        <v>2373.8949567469472</v>
      </c>
      <c r="CX40" s="165">
        <f ca="1">OFFSET(Calcs!$A$1,Index_CALCULATION!CX$14+29,15)</f>
        <v>2373.8949567469472</v>
      </c>
      <c r="CY40" s="165">
        <f ca="1">OFFSET(Calcs!$A$1,Index_CALCULATION!CY$14+29,15)</f>
        <v>2373.8949567469472</v>
      </c>
      <c r="CZ40" s="165">
        <f ca="1">OFFSET(Calcs!$A$1,Index_CALCULATION!CZ$14+29,15)</f>
        <v>2373.8949567469472</v>
      </c>
      <c r="DA40" s="165">
        <f ca="1">OFFSET(Calcs!$A$1,Index_CALCULATION!DA$14+29,15)</f>
        <v>2392.2261011950159</v>
      </c>
      <c r="DB40" s="165">
        <f ca="1">OFFSET(Calcs!$A$1,Index_CALCULATION!DB$14+29,15)</f>
        <v>2392.2261011950159</v>
      </c>
      <c r="DC40" s="247">
        <f ca="1">OFFSET(Calcs!$A$1,Index_CALCULATION!DC$14+29,15)</f>
        <v>2392.2261011950159</v>
      </c>
      <c r="DD40" s="247">
        <f ca="1">OFFSET(Calcs!$A$1,Index_CALCULATION!DD$14+29,15)</f>
        <v>2392.2261011950159</v>
      </c>
      <c r="DE40" s="247">
        <f ca="1">OFFSET(Calcs!$A$1,Index_CALCULATION!DE$14+29,15)</f>
        <v>2392.2261011950159</v>
      </c>
      <c r="DF40" s="247">
        <f ca="1">OFFSET(Calcs!$A$1,Index_CALCULATION!DF$14+29,15)</f>
        <v>2392.2261011950159</v>
      </c>
      <c r="DG40" s="247">
        <f ca="1">OFFSET(Calcs!$A$1,Index_CALCULATION!DG$14+29,15)</f>
        <v>2392.2261011950159</v>
      </c>
      <c r="DH40" s="247">
        <f ca="1">OFFSET(Calcs!$A$1,Index_CALCULATION!DH$14+29,15)</f>
        <v>2392.2261011950159</v>
      </c>
      <c r="DI40" s="247">
        <f ca="1">OFFSET(Calcs!$A$1,Index_CALCULATION!DI$14+29,15)</f>
        <v>2392.2261011950159</v>
      </c>
      <c r="DJ40" s="247">
        <f ca="1">OFFSET(Calcs!$A$1,Index_CALCULATION!DJ$14+29,15)</f>
        <v>2392.2261011950159</v>
      </c>
      <c r="DK40" s="247">
        <f ca="1">OFFSET(Calcs!$A$1,Index_CALCULATION!DK$14+29,15)</f>
        <v>2392.2261011950159</v>
      </c>
      <c r="DL40" s="247">
        <f ca="1">OFFSET(Calcs!$A$1,Index_CALCULATION!DL$14+29,15)</f>
        <v>2392.2261011950159</v>
      </c>
      <c r="DM40" s="247">
        <f ca="1">OFFSET(Calcs!$A$1,Index_CALCULATION!DM$14+29,15)</f>
        <v>2392.2261011950159</v>
      </c>
      <c r="DO40" t="str">
        <f t="shared" si="5"/>
        <v>Sub-index value: 1248.3 (Base = 1000, March 2011)</v>
      </c>
      <c r="DP40" s="17">
        <f t="shared" si="2"/>
        <v>17</v>
      </c>
      <c r="DQ40" s="86" t="str">
        <f t="shared" si="3"/>
        <v>Overall: Personal risk</v>
      </c>
      <c r="DT40">
        <f t="shared" si="4"/>
        <v>11</v>
      </c>
    </row>
    <row r="41" spans="1:124" x14ac:dyDescent="0.3">
      <c r="B41" s="140" t="s">
        <v>293</v>
      </c>
      <c r="C41" s="7"/>
      <c r="D41" s="79"/>
      <c r="E41" s="3"/>
      <c r="F41" s="17"/>
      <c r="G41" s="17"/>
      <c r="H41" s="17"/>
      <c r="I41" s="17"/>
      <c r="J41" s="17"/>
      <c r="K41" s="17"/>
      <c r="L41" s="2"/>
      <c r="M41" s="2"/>
      <c r="N41" s="2"/>
      <c r="O41" s="2"/>
      <c r="P41" s="2"/>
      <c r="Q41" s="116">
        <v>1021.6</v>
      </c>
      <c r="R41" s="117">
        <v>1043.2</v>
      </c>
      <c r="S41" s="117">
        <v>1069.5</v>
      </c>
      <c r="T41" s="117">
        <v>1089.5</v>
      </c>
      <c r="U41" s="117">
        <v>1109.3</v>
      </c>
      <c r="V41" s="117">
        <v>1132.2</v>
      </c>
      <c r="W41" s="117">
        <v>1153.0999999999999</v>
      </c>
      <c r="X41" s="117">
        <v>1166.8</v>
      </c>
      <c r="Y41" s="117">
        <v>1192.2560174247362</v>
      </c>
      <c r="Z41" s="117">
        <v>1216.7345117069915</v>
      </c>
      <c r="AA41" s="117">
        <v>1241.6114644573483</v>
      </c>
      <c r="AB41" s="117">
        <v>1263.8372484064614</v>
      </c>
      <c r="AC41" s="117">
        <v>1291.954121772281</v>
      </c>
      <c r="AD41" s="117">
        <v>1320.9733833573141</v>
      </c>
      <c r="AE41" s="117">
        <v>1358.9727609702948</v>
      </c>
      <c r="AF41" s="117">
        <v>1388.7548449125165</v>
      </c>
      <c r="AG41" s="117">
        <v>1414.8695815673807</v>
      </c>
      <c r="AH41" s="117">
        <v>1453.2188864900245</v>
      </c>
      <c r="AI41" s="117">
        <v>1497.7879970747615</v>
      </c>
      <c r="AJ41" s="117">
        <v>1524.6468181743567</v>
      </c>
      <c r="AK41" s="117">
        <v>1565.4806060155393</v>
      </c>
      <c r="AL41" s="117">
        <v>1599.1570667306562</v>
      </c>
      <c r="AM41" s="117">
        <v>1648.0539895661518</v>
      </c>
      <c r="AN41" s="117">
        <v>1687.9621269591769</v>
      </c>
      <c r="AO41" s="117">
        <v>1718.4333644783312</v>
      </c>
      <c r="AP41" s="117">
        <v>1746.2741650195942</v>
      </c>
      <c r="AQ41" s="117">
        <v>1774.0047683103246</v>
      </c>
      <c r="AR41" s="117">
        <v>1800.249535371677</v>
      </c>
      <c r="AS41" s="117">
        <v>1834.8159082243142</v>
      </c>
      <c r="AT41" s="117">
        <v>1863.7877106606745</v>
      </c>
      <c r="AU41" s="117">
        <v>1897.8332894230011</v>
      </c>
      <c r="AV41" s="117">
        <v>1922.9652909559802</v>
      </c>
      <c r="AW41" s="117">
        <v>1966.1930009282819</v>
      </c>
      <c r="AX41" s="117">
        <v>2007.5013773011312</v>
      </c>
      <c r="AY41" s="117">
        <v>2044.6291622782524</v>
      </c>
      <c r="AZ41" s="117">
        <v>2079.9893547158995</v>
      </c>
      <c r="BA41" s="117">
        <v>2139.4003221570006</v>
      </c>
      <c r="BB41" s="117">
        <v>2172.819355585284</v>
      </c>
      <c r="BC41" s="117">
        <v>2197.4953826670535</v>
      </c>
      <c r="BD41" s="117">
        <v>2222.2456738611081</v>
      </c>
      <c r="BE41" s="117">
        <v>2265.3034547996785</v>
      </c>
      <c r="BF41" s="117">
        <v>2334.4589568921333</v>
      </c>
      <c r="BG41" s="117">
        <v>2394.9644550933554</v>
      </c>
      <c r="BH41" s="117">
        <v>2446.3698492065882</v>
      </c>
      <c r="BI41" s="201">
        <f ca="1">OFFSET(Calcs!$A$1,Index_CALCULATION!BI$14+30,15)</f>
        <v>2474.3398981101286</v>
      </c>
      <c r="BJ41" s="201">
        <f ca="1">OFFSET(Calcs!$A$1,Index_CALCULATION!BJ$14+30,15)</f>
        <v>2485.6124977829641</v>
      </c>
      <c r="BK41" s="117">
        <f ca="1">OFFSET(Calcs!$A$1,Index_CALCULATION!BK$14+30,15)</f>
        <v>2496.1002987021789</v>
      </c>
      <c r="BL41" s="201">
        <f ca="1">OFFSET(Calcs!$A$1,Index_CALCULATION!BL$14+30,15)</f>
        <v>2503.5998432905103</v>
      </c>
      <c r="BM41" s="201">
        <f ca="1">OFFSET(Calcs!$A$1,Index_CALCULATION!BM$14+30,15)</f>
        <v>2510.461185678937</v>
      </c>
      <c r="BN41" s="201">
        <f ca="1">OFFSET(Calcs!$A$1,Index_CALCULATION!BN$14+30,15)</f>
        <v>2515.8552793266954</v>
      </c>
      <c r="BO41" s="201">
        <f ca="1">OFFSET(Calcs!$A$1,Index_CALCULATION!BO$14+30,15)</f>
        <v>2532.6013178400613</v>
      </c>
      <c r="BP41" s="201">
        <f ca="1">OFFSET(Calcs!$A$1,Index_CALCULATION!BP$14+30,15)</f>
        <v>2543.5768210370493</v>
      </c>
      <c r="BQ41" s="201">
        <f ca="1">OFFSET(Calcs!$A$1,Index_CALCULATION!BQ$14+30,15)</f>
        <v>2552.5700119951453</v>
      </c>
      <c r="BR41" s="201">
        <f ca="1">OFFSET(Calcs!$A$1,Index_CALCULATION!BR$14+30,15)</f>
        <v>2555.4077771416037</v>
      </c>
      <c r="BS41" s="201">
        <f ca="1">OFFSET(Calcs!$A$1,Index_CALCULATION!BS$14+30,15)</f>
        <v>2562.4111038705155</v>
      </c>
      <c r="BT41" s="201">
        <f ca="1">OFFSET(Calcs!$A$1,Index_CALCULATION!BT$14+30,15)</f>
        <v>2575.3506245691565</v>
      </c>
      <c r="BU41" s="201">
        <f ca="1">OFFSET(Calcs!$A$1,Index_CALCULATION!BU$14+30,15)</f>
        <v>2580.1624353612174</v>
      </c>
      <c r="BV41" s="201">
        <f ca="1">OFFSET(Calcs!$A$1,Index_CALCULATION!BV$14+30,15)</f>
        <v>2585.6320981173453</v>
      </c>
      <c r="BW41" s="201">
        <f ca="1">OFFSET(Calcs!$A$1,Index_CALCULATION!BW$14+30,15)</f>
        <v>2591.789028446618</v>
      </c>
      <c r="BX41" s="201">
        <f ca="1">OFFSET(Calcs!$A$1,Index_CALCULATION!BX$14+30,15)</f>
        <v>2597.4500142475131</v>
      </c>
      <c r="BY41" s="201">
        <f ca="1">OFFSET(Calcs!$A$1,Index_CALCULATION!BY$14+30,15)</f>
        <v>2606.9666512575968</v>
      </c>
      <c r="BZ41" s="201">
        <f ca="1">OFFSET(Calcs!$A$1,Index_CALCULATION!BZ$14+30,15)</f>
        <v>2612.354335523873</v>
      </c>
      <c r="CA41" s="201">
        <f ca="1">OFFSET(Calcs!$A$1,Index_CALCULATION!CA$14+30,15)</f>
        <v>2625.3582849659269</v>
      </c>
      <c r="CB41" s="201">
        <f ca="1">OFFSET(Calcs!$A$1,Index_CALCULATION!CB$14+30,15)</f>
        <v>2642.7976339607558</v>
      </c>
      <c r="CC41" s="201">
        <f ca="1">OFFSET(Calcs!$A$1,Index_CALCULATION!CC$14+30,15)</f>
        <v>2647.9280329994463</v>
      </c>
      <c r="CD41" s="201">
        <f ca="1">OFFSET(Calcs!$A$1,Index_CALCULATION!CD$14+30,15)</f>
        <v>2654.3550396368601</v>
      </c>
      <c r="CE41" s="201">
        <f ca="1">OFFSET(Calcs!$A$1,Index_CALCULATION!CE$14+30,15)</f>
        <v>2673.6690423347254</v>
      </c>
      <c r="CF41" s="201">
        <f ca="1">OFFSET(Calcs!$A$1,Index_CALCULATION!CF$14+30,15)</f>
        <v>2679.9674352849156</v>
      </c>
      <c r="CG41" s="201">
        <f ca="1">OFFSET(Calcs!$A$1,Index_CALCULATION!CG$14+30,15)</f>
        <v>2679.9674352849156</v>
      </c>
      <c r="CH41" s="201">
        <f ca="1">OFFSET(Calcs!$A$1,Index_CALCULATION!CH$14+30,15)</f>
        <v>2689.6674102611514</v>
      </c>
      <c r="CI41" s="201">
        <f ca="1">OFFSET(Calcs!$A$1,Index_CALCULATION!CI$14+30,15)</f>
        <v>2688.973392096957</v>
      </c>
      <c r="CJ41" s="201">
        <f ca="1">OFFSET(Calcs!$A$1,Index_CALCULATION!CJ$14+30,15)</f>
        <v>2676.8109683758216</v>
      </c>
      <c r="CK41" s="201">
        <f ca="1">OFFSET(Calcs!$A$1,Index_CALCULATION!CK$14+30,15)</f>
        <v>2679.5755547229032</v>
      </c>
      <c r="CL41" s="201">
        <f ca="1">OFFSET(Calcs!$A$1,Index_CALCULATION!CL$14+30,15)</f>
        <v>2694.1365454214911</v>
      </c>
      <c r="CM41" s="201">
        <f ca="1">OFFSET(Calcs!$A$1,Index_CALCULATION!CM$14+30,15)</f>
        <v>2697.0118242793792</v>
      </c>
      <c r="CN41" s="201">
        <f ca="1">OFFSET(Calcs!$A$1,Index_CALCULATION!CN$14+30,15)</f>
        <v>2706.1556374086172</v>
      </c>
      <c r="CO41" s="201">
        <f ca="1">OFFSET(Calcs!$A$1,Index_CALCULATION!CO$14+30,15)</f>
        <v>2706.7924548282954</v>
      </c>
      <c r="CP41" s="201">
        <f ca="1">OFFSET(Calcs!$A$1,Index_CALCULATION!CP$14+30,15)</f>
        <v>2691.1983026878206</v>
      </c>
      <c r="CQ41" s="201">
        <f ca="1">OFFSET(Calcs!$A$1,Index_CALCULATION!CQ$14+30,15)</f>
        <v>2692.7365697523746</v>
      </c>
      <c r="CR41" s="201">
        <f ca="1">OFFSET(Calcs!$A$1,Index_CALCULATION!CR$14+30,15)</f>
        <v>2703.1562118276292</v>
      </c>
      <c r="CS41" s="201">
        <f ca="1">OFFSET(Calcs!$A$1,Index_CALCULATION!CS$14+30,15)</f>
        <v>2699.8312968573823</v>
      </c>
      <c r="CT41" s="201">
        <f ca="1">OFFSET(Calcs!$A$1,Index_CALCULATION!CT$14+30,15)</f>
        <v>2701.3744984711984</v>
      </c>
      <c r="CU41" s="201">
        <f ca="1">OFFSET(Calcs!$A$1,Index_CALCULATION!CU$14+30,15)</f>
        <v>2703.1039315097614</v>
      </c>
      <c r="CV41" s="201">
        <f ca="1">OFFSET(Calcs!$A$1,Index_CALCULATION!CV$14+30,15)</f>
        <v>2710.3218282454964</v>
      </c>
      <c r="CW41" s="201">
        <f ca="1">OFFSET(Calcs!$A$1,Index_CALCULATION!CW$14+30,15)</f>
        <v>2727.1284391866229</v>
      </c>
      <c r="CX41" s="201">
        <f ca="1">OFFSET(Calcs!$A$1,Index_CALCULATION!CX$14+30,15)</f>
        <v>2741.4598792115489</v>
      </c>
      <c r="CY41" s="201">
        <f ca="1">OFFSET(Calcs!$A$1,Index_CALCULATION!CY$14+30,15)</f>
        <v>2742.3738514915367</v>
      </c>
      <c r="CZ41" s="201">
        <f ca="1">OFFSET(Calcs!$A$1,Index_CALCULATION!CZ$14+30,15)</f>
        <v>2749.4033224351347</v>
      </c>
      <c r="DA41" s="201">
        <f ca="1">OFFSET(Calcs!$A$1,Index_CALCULATION!DA$14+30,15)</f>
        <v>2748.557482318</v>
      </c>
      <c r="DB41" s="201">
        <f ca="1">OFFSET(Calcs!$A$1,Index_CALCULATION!DB$14+30,15)</f>
        <v>2760.0536976556182</v>
      </c>
      <c r="DC41" s="201">
        <f ca="1">OFFSET(Calcs!$A$1,Index_CALCULATION!DC$14+30,15)</f>
        <v>2768.6539025413572</v>
      </c>
      <c r="DD41" s="201">
        <f ca="1">OFFSET(Calcs!$A$1,Index_CALCULATION!DD$14+30,15)</f>
        <v>2772.3479031979246</v>
      </c>
      <c r="DE41" s="201">
        <f ca="1">OFFSET(Calcs!$A$1,Index_CALCULATION!DE$14+30,15)</f>
        <v>2774.277164013065</v>
      </c>
      <c r="DF41" s="201">
        <f ca="1">OFFSET(Calcs!$A$1,Index_CALCULATION!DF$14+30,15)</f>
        <v>2783.1690704003677</v>
      </c>
      <c r="DG41" s="201">
        <f ca="1">OFFSET(Calcs!$A$1,Index_CALCULATION!DG$14+30,15)</f>
        <v>2769.4198307463785</v>
      </c>
      <c r="DH41" s="201">
        <f ca="1">OFFSET(Calcs!$A$1,Index_CALCULATION!DH$14+30,15)</f>
        <v>2759.9409358604985</v>
      </c>
      <c r="DI41" s="201">
        <f ca="1">OFFSET(Calcs!$A$1,Index_CALCULATION!DI$14+30,15)</f>
        <v>2767.3106002080485</v>
      </c>
      <c r="DJ41" s="201">
        <f ca="1">OFFSET(Calcs!$A$1,Index_CALCULATION!DJ$14+30,15)</f>
        <v>2763.0564725296367</v>
      </c>
      <c r="DK41" s="201">
        <f ca="1">OFFSET(Calcs!$A$1,Index_CALCULATION!DK$14+30,15)</f>
        <v>2766.407662504198</v>
      </c>
      <c r="DL41" s="201">
        <f ca="1">OFFSET(Calcs!$A$1,Index_CALCULATION!DL$14+30,15)</f>
        <v>2757.7268867864263</v>
      </c>
      <c r="DM41" s="201">
        <f ca="1">OFFSET(Calcs!$A$1,Index_CALCULATION!DM$14+30,15)</f>
        <v>2754.786879723044</v>
      </c>
      <c r="DN41" s="201"/>
      <c r="DP41" s="17"/>
      <c r="DQ41" s="17" t="str">
        <f t="shared" si="3"/>
        <v>Total Index</v>
      </c>
    </row>
    <row r="43" spans="1:124" x14ac:dyDescent="0.3">
      <c r="C43" s="8"/>
      <c r="D43" s="8"/>
      <c r="E43" s="8"/>
      <c r="F43" s="20"/>
      <c r="G43" s="20"/>
      <c r="H43" s="20"/>
      <c r="I43" s="20"/>
      <c r="J43" s="20"/>
      <c r="K43" s="20"/>
      <c r="L43" s="20"/>
      <c r="BI43" s="165"/>
      <c r="BJ43" s="165"/>
    </row>
    <row r="44" spans="1:124" x14ac:dyDescent="0.3">
      <c r="C44" s="8"/>
      <c r="D44" s="8"/>
      <c r="E44" s="8"/>
      <c r="F44" s="33"/>
      <c r="G44" s="33"/>
      <c r="H44" s="33"/>
      <c r="I44" s="33"/>
      <c r="J44" s="33"/>
      <c r="K44" s="33"/>
      <c r="BI44" s="165"/>
      <c r="BJ44" s="165"/>
    </row>
    <row r="45" spans="1:124" x14ac:dyDescent="0.3">
      <c r="C45" s="2"/>
      <c r="H45" s="53"/>
    </row>
    <row r="46" spans="1:124" x14ac:dyDescent="0.3">
      <c r="D46" s="58"/>
    </row>
    <row r="47" spans="1:124" x14ac:dyDescent="0.3">
      <c r="C47" s="138"/>
      <c r="D47" s="87"/>
    </row>
    <row r="48" spans="1:124" x14ac:dyDescent="0.3">
      <c r="B48" s="21"/>
      <c r="C48" s="22"/>
      <c r="D48" s="58"/>
    </row>
    <row r="50" spans="1:11" x14ac:dyDescent="0.3">
      <c r="B50" t="s">
        <v>203</v>
      </c>
      <c r="C50" s="150">
        <v>42246</v>
      </c>
      <c r="D50" s="3">
        <f>MATCH(C50,$P$15:$DX$15,0)</f>
        <v>102</v>
      </c>
    </row>
    <row r="51" spans="1:11" x14ac:dyDescent="0.3">
      <c r="A51" s="51" t="s">
        <v>82</v>
      </c>
      <c r="B51" s="130" t="s">
        <v>83</v>
      </c>
      <c r="C51" s="51" t="s">
        <v>1885</v>
      </c>
      <c r="D51" s="51" t="s">
        <v>80</v>
      </c>
      <c r="E51" s="51" t="s">
        <v>81</v>
      </c>
      <c r="G51">
        <f>F12</f>
        <v>0</v>
      </c>
      <c r="H51">
        <f>G12</f>
        <v>0</v>
      </c>
      <c r="I51">
        <f>H12</f>
        <v>0</v>
      </c>
      <c r="J51">
        <f>I12</f>
        <v>0</v>
      </c>
      <c r="K51">
        <f>J12</f>
        <v>0</v>
      </c>
    </row>
    <row r="52" spans="1:11" x14ac:dyDescent="0.3">
      <c r="A52" s="52">
        <v>1</v>
      </c>
      <c r="B52" s="131" t="str">
        <f t="shared" ref="B52:B76" ca="1" si="6">VLOOKUP(A52,$P$16:$DQ$40,COLUMNS($P$16:$DQ$40),0)</f>
        <v>Overall: Media &amp; public perception</v>
      </c>
      <c r="C52" s="126">
        <f t="shared" ref="C52:C76" ca="1" si="7">VLOOKUP(A52,$P$16:$DR$40,$D$50,0)</f>
        <v>11289.620543819703</v>
      </c>
      <c r="D52" s="126">
        <f t="shared" ref="D52:D76" ca="1" si="8">VLOOKUP(A52,$P$16:$DR$40,$D$50-1,0)</f>
        <v>11289.620543819703</v>
      </c>
      <c r="E52" s="128">
        <f t="shared" ref="E52:E75" ca="1" si="9">(C52/D52) - 1</f>
        <v>0</v>
      </c>
    </row>
    <row r="53" spans="1:11" x14ac:dyDescent="0.3">
      <c r="A53" s="52">
        <v>2</v>
      </c>
      <c r="B53" s="131" t="str">
        <f t="shared" ca="1" si="6"/>
        <v>Weapons: Phishing/social engineering</v>
      </c>
      <c r="C53" s="126">
        <f t="shared" ca="1" si="7"/>
        <v>5722.929332891732</v>
      </c>
      <c r="D53" s="126">
        <f t="shared" ca="1" si="8"/>
        <v>5647.1300598887283</v>
      </c>
      <c r="E53" s="128">
        <f t="shared" ca="1" si="9"/>
        <v>1.3422618604342462E-2</v>
      </c>
    </row>
    <row r="54" spans="1:11" x14ac:dyDescent="0.3">
      <c r="A54" s="52">
        <v>3</v>
      </c>
      <c r="B54" s="131" t="str">
        <f t="shared" ca="1" si="6"/>
        <v>Target: Counterparties</v>
      </c>
      <c r="C54" s="126">
        <f t="shared" ca="1" si="7"/>
        <v>4603.9701547168643</v>
      </c>
      <c r="D54" s="126">
        <f t="shared" ca="1" si="8"/>
        <v>4603.9701547168643</v>
      </c>
      <c r="E54" s="128">
        <f t="shared" ca="1" si="9"/>
        <v>0</v>
      </c>
    </row>
    <row r="55" spans="1:11" x14ac:dyDescent="0.3">
      <c r="A55" s="52">
        <v>4</v>
      </c>
      <c r="B55" s="131" t="str">
        <f t="shared" ca="1" si="6"/>
        <v>Attackers: Nation states</v>
      </c>
      <c r="C55" s="126">
        <f t="shared" ca="1" si="7"/>
        <v>4218.3072157892811</v>
      </c>
      <c r="D55" s="126">
        <f t="shared" ca="1" si="8"/>
        <v>4190.2786998796255</v>
      </c>
      <c r="E55" s="128">
        <f t="shared" ca="1" si="9"/>
        <v>6.6889383540194025E-3</v>
      </c>
    </row>
    <row r="56" spans="1:11" x14ac:dyDescent="0.3">
      <c r="A56" s="52">
        <v>5</v>
      </c>
      <c r="B56" s="131" t="str">
        <f t="shared" ca="1" si="6"/>
        <v>Target: Web facing applications</v>
      </c>
      <c r="C56" s="126">
        <f t="shared" ca="1" si="7"/>
        <v>4205.837133259186</v>
      </c>
      <c r="D56" s="126">
        <f t="shared" ca="1" si="8"/>
        <v>4205.837133259186</v>
      </c>
      <c r="E56" s="128">
        <f t="shared" ca="1" si="9"/>
        <v>0</v>
      </c>
    </row>
    <row r="57" spans="1:11" x14ac:dyDescent="0.3">
      <c r="A57" s="52">
        <v>6</v>
      </c>
      <c r="B57" s="131" t="str">
        <f t="shared" ca="1" si="6"/>
        <v>Effect desired: Data theft</v>
      </c>
      <c r="C57" s="126">
        <f t="shared" ca="1" si="7"/>
        <v>3469.4178598745757</v>
      </c>
      <c r="D57" s="126">
        <f t="shared" ca="1" si="8"/>
        <v>3469.4178598745757</v>
      </c>
      <c r="E57" s="128">
        <f t="shared" ca="1" si="9"/>
        <v>0</v>
      </c>
    </row>
    <row r="58" spans="1:11" x14ac:dyDescent="0.3">
      <c r="A58" s="52">
        <v>7</v>
      </c>
      <c r="B58" s="131" t="str">
        <f t="shared" ca="1" si="6"/>
        <v>Attackers: Criminals</v>
      </c>
      <c r="C58" s="126">
        <f t="shared" ca="1" si="7"/>
        <v>2987.5024760379401</v>
      </c>
      <c r="D58" s="126">
        <f t="shared" ca="1" si="8"/>
        <v>2967.6520345228364</v>
      </c>
      <c r="E58" s="128">
        <f t="shared" ca="1" si="9"/>
        <v>6.6889383540194025E-3</v>
      </c>
    </row>
    <row r="59" spans="1:11" x14ac:dyDescent="0.3">
      <c r="A59" s="52">
        <v>8</v>
      </c>
      <c r="B59" s="131" t="str">
        <f t="shared" ca="1" si="6"/>
        <v>Attackers: Activist/hacktivists</v>
      </c>
      <c r="C59" s="126">
        <f t="shared" ca="1" si="7"/>
        <v>2502.0108656095463</v>
      </c>
      <c r="D59" s="126">
        <f t="shared" ca="1" si="8"/>
        <v>2518.7466620506948</v>
      </c>
      <c r="E59" s="128">
        <f t="shared" ca="1" si="9"/>
        <v>-6.6444937449654518E-3</v>
      </c>
    </row>
    <row r="60" spans="1:11" x14ac:dyDescent="0.3">
      <c r="A60" s="52">
        <v>9</v>
      </c>
      <c r="B60" s="131" t="str">
        <f t="shared" ca="1" si="6"/>
        <v>Weapons: Vulnerability exploitation</v>
      </c>
      <c r="C60" s="126">
        <f t="shared" ca="1" si="7"/>
        <v>2439.2457554964199</v>
      </c>
      <c r="D60" s="126">
        <f t="shared" ca="1" si="8"/>
        <v>2439.2457554964199</v>
      </c>
      <c r="E60" s="128">
        <f t="shared" ca="1" si="9"/>
        <v>0</v>
      </c>
    </row>
    <row r="61" spans="1:11" x14ac:dyDescent="0.3">
      <c r="A61" s="52">
        <v>10</v>
      </c>
      <c r="B61" s="131" t="str">
        <f t="shared" ca="1" si="6"/>
        <v>Overall: Personal risk</v>
      </c>
      <c r="C61" s="126">
        <f t="shared" ca="1" si="7"/>
        <v>2392.2261011950159</v>
      </c>
      <c r="D61" s="126">
        <f t="shared" ca="1" si="8"/>
        <v>2392.2261011950159</v>
      </c>
      <c r="E61" s="128">
        <f t="shared" ca="1" si="9"/>
        <v>0</v>
      </c>
    </row>
    <row r="62" spans="1:11" x14ac:dyDescent="0.3">
      <c r="A62" s="52">
        <f>1+A61</f>
        <v>11</v>
      </c>
      <c r="B62" s="131" t="str">
        <f t="shared" ca="1" si="6"/>
        <v>Weapons: Mass malware</v>
      </c>
      <c r="C62" s="126">
        <f t="shared" ca="1" si="7"/>
        <v>2352.4259057170061</v>
      </c>
      <c r="D62" s="126">
        <f t="shared" ca="1" si="8"/>
        <v>2384.0016214444204</v>
      </c>
      <c r="E62" s="128">
        <f t="shared" ca="1" si="9"/>
        <v>-1.3244838192804198E-2</v>
      </c>
    </row>
    <row r="63" spans="1:11" x14ac:dyDescent="0.3">
      <c r="A63" s="52">
        <f t="shared" ref="A63:A76" si="10">1+A62</f>
        <v>12</v>
      </c>
      <c r="B63" s="131" t="str">
        <f t="shared" ca="1" si="6"/>
        <v>Weapons: Customized to target</v>
      </c>
      <c r="C63" s="126">
        <f t="shared" ca="1" si="7"/>
        <v>2344.356938257115</v>
      </c>
      <c r="D63" s="126">
        <f t="shared" ca="1" si="8"/>
        <v>2344.356938257115</v>
      </c>
      <c r="E63" s="128">
        <f t="shared" ca="1" si="9"/>
        <v>0</v>
      </c>
    </row>
    <row r="64" spans="1:11" x14ac:dyDescent="0.3">
      <c r="A64" s="52">
        <f t="shared" si="10"/>
        <v>13</v>
      </c>
      <c r="B64" s="131" t="str">
        <f t="shared" ca="1" si="6"/>
        <v>Attackers: Insider threat</v>
      </c>
      <c r="C64" s="126">
        <f t="shared" ca="1" si="7"/>
        <v>2310.0143436936673</v>
      </c>
      <c r="D64" s="126">
        <f t="shared" ca="1" si="8"/>
        <v>2279.4185774883877</v>
      </c>
      <c r="E64" s="128">
        <f t="shared" ca="1" si="9"/>
        <v>1.3422618604342462E-2</v>
      </c>
    </row>
    <row r="65" spans="1:63" x14ac:dyDescent="0.3">
      <c r="A65" s="52">
        <f t="shared" si="10"/>
        <v>14</v>
      </c>
      <c r="B65" s="131" t="str">
        <f t="shared" ca="1" si="6"/>
        <v>Target: Public infrastructure/cloud</v>
      </c>
      <c r="C65" s="126">
        <f t="shared" ca="1" si="7"/>
        <v>2276.8193395393578</v>
      </c>
      <c r="D65" s="126">
        <f t="shared" ca="1" si="8"/>
        <v>2276.8193395393578</v>
      </c>
      <c r="E65" s="128">
        <f t="shared" ca="1" si="9"/>
        <v>0</v>
      </c>
    </row>
    <row r="66" spans="1:63" x14ac:dyDescent="0.3">
      <c r="A66" s="52">
        <f t="shared" si="10"/>
        <v>15</v>
      </c>
      <c r="B66" s="131" t="str">
        <f t="shared" ca="1" si="6"/>
        <v>Defenses: Vulnerability to unknown threats</v>
      </c>
      <c r="C66" s="126">
        <f t="shared" ca="1" si="7"/>
        <v>2196.9786583942937</v>
      </c>
      <c r="D66" s="126">
        <f t="shared" ca="1" si="8"/>
        <v>2196.9786583942937</v>
      </c>
      <c r="E66" s="128">
        <f t="shared" ca="1" si="9"/>
        <v>0</v>
      </c>
    </row>
    <row r="67" spans="1:63" x14ac:dyDescent="0.3">
      <c r="A67" s="52">
        <f t="shared" si="10"/>
        <v>16</v>
      </c>
      <c r="B67" s="131" t="str">
        <f t="shared" ca="1" si="6"/>
        <v>Target: Internet exposed devices/appliances</v>
      </c>
      <c r="C67" s="126">
        <f t="shared" ca="1" si="7"/>
        <v>2156.8685236203673</v>
      </c>
      <c r="D67" s="126">
        <f t="shared" ca="1" si="8"/>
        <v>2156.8685236203673</v>
      </c>
      <c r="E67" s="128">
        <f t="shared" ca="1" si="9"/>
        <v>0</v>
      </c>
    </row>
    <row r="68" spans="1:63" x14ac:dyDescent="0.3">
      <c r="A68" s="52">
        <f t="shared" si="10"/>
        <v>17</v>
      </c>
      <c r="B68" s="131" t="str">
        <f t="shared" ca="1" si="6"/>
        <v>Attackers: Strategic rivals</v>
      </c>
      <c r="C68" s="126">
        <f t="shared" ca="1" si="7"/>
        <v>1979.1037926562058</v>
      </c>
      <c r="D68" s="126">
        <f t="shared" ca="1" si="8"/>
        <v>1992.3418959214889</v>
      </c>
      <c r="E68" s="128">
        <f t="shared" ca="1" si="9"/>
        <v>-6.6444937449655628E-3</v>
      </c>
    </row>
    <row r="69" spans="1:63" x14ac:dyDescent="0.3">
      <c r="A69" s="52">
        <f t="shared" si="10"/>
        <v>18</v>
      </c>
      <c r="B69" s="131" t="str">
        <f t="shared" ca="1" si="6"/>
        <v>Target: Mobile devices</v>
      </c>
      <c r="C69" s="126">
        <f t="shared" ca="1" si="7"/>
        <v>1927.7544333118972</v>
      </c>
      <c r="D69" s="126">
        <f t="shared" ca="1" si="8"/>
        <v>1940.6490638780078</v>
      </c>
      <c r="E69" s="128">
        <f t="shared" ca="1" si="9"/>
        <v>-6.6444937449655628E-3</v>
      </c>
    </row>
    <row r="70" spans="1:63" x14ac:dyDescent="0.3">
      <c r="A70" s="52">
        <f t="shared" si="10"/>
        <v>19</v>
      </c>
      <c r="B70" s="131" t="str">
        <f t="shared" ca="1" si="6"/>
        <v>Effect desired: Business disruption</v>
      </c>
      <c r="C70" s="126">
        <f t="shared" ca="1" si="7"/>
        <v>1800.9383581954962</v>
      </c>
      <c r="D70" s="126">
        <f t="shared" ca="1" si="8"/>
        <v>1812.9847238528546</v>
      </c>
      <c r="E70" s="128">
        <f t="shared" ca="1" si="9"/>
        <v>-6.6444937449655628E-3</v>
      </c>
      <c r="G70" s="51"/>
    </row>
    <row r="71" spans="1:63" x14ac:dyDescent="0.3">
      <c r="A71" s="52">
        <f t="shared" si="10"/>
        <v>20</v>
      </c>
      <c r="B71" s="131" t="str">
        <f t="shared" ca="1" si="6"/>
        <v>Target: End points</v>
      </c>
      <c r="C71" s="126">
        <f t="shared" ca="1" si="7"/>
        <v>1755.7127879827153</v>
      </c>
      <c r="D71" s="126">
        <f t="shared" ca="1" si="8"/>
        <v>1767.456642588895</v>
      </c>
      <c r="E71" s="128">
        <f t="shared" ca="1" si="9"/>
        <v>-6.6444937449654518E-3</v>
      </c>
      <c r="G71" s="52"/>
    </row>
    <row r="72" spans="1:63" x14ac:dyDescent="0.3">
      <c r="A72" s="52">
        <f t="shared" si="10"/>
        <v>21</v>
      </c>
      <c r="B72" s="131" t="str">
        <f t="shared" ca="1" si="6"/>
        <v>Weapons: Botnets</v>
      </c>
      <c r="C72" s="126">
        <f t="shared" ca="1" si="7"/>
        <v>1438.2138327591576</v>
      </c>
      <c r="D72" s="126">
        <f t="shared" ca="1" si="8"/>
        <v>1457.5184285077735</v>
      </c>
      <c r="E72" s="128">
        <f t="shared" ca="1" si="9"/>
        <v>-1.3244838192804309E-2</v>
      </c>
      <c r="G72" s="52"/>
    </row>
    <row r="73" spans="1:63" x14ac:dyDescent="0.3">
      <c r="A73" s="52">
        <f t="shared" si="10"/>
        <v>22</v>
      </c>
      <c r="B73" s="131" t="str">
        <f t="shared" ca="1" si="6"/>
        <v>Defenses: Vulnerability to known threats</v>
      </c>
      <c r="C73" s="126">
        <f t="shared" ca="1" si="7"/>
        <v>1280.5389171327308</v>
      </c>
      <c r="D73" s="126">
        <f t="shared" ca="1" si="8"/>
        <v>1280.5389171327308</v>
      </c>
      <c r="E73" s="128">
        <f t="shared" ca="1" si="9"/>
        <v>0</v>
      </c>
      <c r="G73" s="52"/>
      <c r="BJ73" s="165"/>
      <c r="BK73" s="165"/>
    </row>
    <row r="74" spans="1:63" x14ac:dyDescent="0.3">
      <c r="A74" s="52">
        <f t="shared" si="10"/>
        <v>23</v>
      </c>
      <c r="B74" s="131" t="str">
        <f t="shared" ca="1" si="6"/>
        <v>Target: Autonomous network connected devices</v>
      </c>
      <c r="C74" s="126">
        <f t="shared" ca="1" si="7"/>
        <v>1219.799156216902</v>
      </c>
      <c r="D74" s="126">
        <f t="shared" ca="1" si="8"/>
        <v>1219.799156216902</v>
      </c>
      <c r="E74" s="128">
        <f t="shared" ca="1" si="9"/>
        <v>0</v>
      </c>
      <c r="G74" s="52"/>
    </row>
    <row r="75" spans="1:63" x14ac:dyDescent="0.3">
      <c r="A75" s="90">
        <f t="shared" si="10"/>
        <v>24</v>
      </c>
      <c r="B75" s="131" t="str">
        <f t="shared" ca="1" si="6"/>
        <v>Overall: False claims of digital identity</v>
      </c>
      <c r="C75" s="127">
        <f t="shared" ca="1" si="7"/>
        <v>1152.8560468976777</v>
      </c>
      <c r="D75" s="127">
        <f t="shared" ca="1" si="8"/>
        <v>1152.8560468976777</v>
      </c>
      <c r="E75" s="129">
        <f t="shared" ca="1" si="9"/>
        <v>0</v>
      </c>
      <c r="G75" s="52"/>
    </row>
    <row r="76" spans="1:63" x14ac:dyDescent="0.3">
      <c r="A76" s="90">
        <f t="shared" si="10"/>
        <v>25</v>
      </c>
      <c r="B76" s="208" t="str">
        <f t="shared" ca="1" si="6"/>
        <v>Effect desired: Data modification</v>
      </c>
      <c r="C76" s="127">
        <f t="shared" ca="1" si="7"/>
        <v>1138.1416810484702</v>
      </c>
      <c r="D76" s="127">
        <f t="shared" ca="1" si="8"/>
        <v>1145.7546405911432</v>
      </c>
      <c r="E76" s="129">
        <f ca="1">(C76/D76) - 1</f>
        <v>-6.6444937449654518E-3</v>
      </c>
      <c r="G76" s="52"/>
    </row>
    <row r="77" spans="1:63" x14ac:dyDescent="0.3">
      <c r="C77" s="36"/>
      <c r="D77" s="36"/>
      <c r="E77" s="38"/>
      <c r="G77" s="52"/>
    </row>
    <row r="78" spans="1:63" x14ac:dyDescent="0.3">
      <c r="C78" s="36"/>
      <c r="D78" s="36"/>
      <c r="E78" s="38"/>
      <c r="G78" s="52"/>
    </row>
    <row r="79" spans="1:63" x14ac:dyDescent="0.3">
      <c r="C79" s="36"/>
      <c r="D79" s="36"/>
      <c r="E79" s="38"/>
      <c r="G79" s="52"/>
    </row>
    <row r="80" spans="1:63" x14ac:dyDescent="0.3">
      <c r="B80" s="35"/>
      <c r="C80" s="37"/>
      <c r="D80" s="37"/>
      <c r="E80" s="39"/>
      <c r="G80" s="52"/>
    </row>
    <row r="81" spans="2:7" x14ac:dyDescent="0.3">
      <c r="C81" s="36"/>
      <c r="D81" s="36"/>
      <c r="E81" s="38"/>
      <c r="G81" s="52"/>
    </row>
    <row r="82" spans="2:7" x14ac:dyDescent="0.3">
      <c r="B82" s="35"/>
      <c r="C82" s="37"/>
      <c r="D82" s="37"/>
      <c r="E82" s="39"/>
      <c r="G82" s="52"/>
    </row>
    <row r="83" spans="2:7" x14ac:dyDescent="0.3">
      <c r="C83" s="36"/>
      <c r="D83" s="36"/>
      <c r="E83" s="38"/>
      <c r="G83" s="52"/>
    </row>
    <row r="84" spans="2:7" x14ac:dyDescent="0.3">
      <c r="C84" s="36"/>
      <c r="D84" s="36"/>
      <c r="E84" s="38"/>
      <c r="G84" s="52"/>
    </row>
    <row r="85" spans="2:7" x14ac:dyDescent="0.3">
      <c r="C85" s="36"/>
      <c r="D85" s="36"/>
      <c r="E85" s="38"/>
      <c r="G85" s="52"/>
    </row>
    <row r="86" spans="2:7" x14ac:dyDescent="0.3">
      <c r="B86" s="35"/>
      <c r="C86" s="37"/>
      <c r="D86" s="37"/>
      <c r="E86" s="39"/>
      <c r="G86" s="52"/>
    </row>
    <row r="87" spans="2:7" x14ac:dyDescent="0.3">
      <c r="B87" s="35"/>
      <c r="C87" s="37"/>
      <c r="D87" s="37"/>
      <c r="E87" s="39"/>
      <c r="G87" s="52"/>
    </row>
    <row r="88" spans="2:7" x14ac:dyDescent="0.3">
      <c r="B88" s="35"/>
      <c r="C88" s="37"/>
      <c r="D88" s="37"/>
      <c r="E88" s="39"/>
      <c r="G88" s="52"/>
    </row>
    <row r="89" spans="2:7" x14ac:dyDescent="0.3">
      <c r="C89" s="36"/>
      <c r="D89" s="36"/>
      <c r="E89" s="38"/>
      <c r="G89" s="52"/>
    </row>
    <row r="90" spans="2:7" x14ac:dyDescent="0.3">
      <c r="C90" s="36"/>
      <c r="D90" s="36"/>
      <c r="E90" s="38"/>
      <c r="G90" s="52"/>
    </row>
    <row r="91" spans="2:7" x14ac:dyDescent="0.3">
      <c r="B91" s="35"/>
      <c r="C91" s="37"/>
      <c r="D91" s="37"/>
      <c r="E91" s="39"/>
      <c r="G91" s="52"/>
    </row>
    <row r="92" spans="2:7" x14ac:dyDescent="0.3">
      <c r="C92" s="36"/>
      <c r="D92" s="36"/>
      <c r="E92" s="38"/>
      <c r="G92" s="52"/>
    </row>
    <row r="93" spans="2:7" x14ac:dyDescent="0.3">
      <c r="C93" s="36"/>
      <c r="D93" s="36"/>
      <c r="E93" s="38"/>
      <c r="G93" s="52"/>
    </row>
    <row r="94" spans="2:7" x14ac:dyDescent="0.3">
      <c r="C94" s="36"/>
      <c r="D94" s="36"/>
      <c r="E94" s="38"/>
      <c r="G94" s="90"/>
    </row>
    <row r="95" spans="2:7" x14ac:dyDescent="0.3">
      <c r="C95" s="36"/>
      <c r="D95" s="36"/>
      <c r="E95" s="38"/>
      <c r="G95" s="90"/>
    </row>
    <row r="96" spans="2:7" x14ac:dyDescent="0.3">
      <c r="C96" s="36"/>
      <c r="D96" s="36"/>
      <c r="E96" s="38"/>
    </row>
    <row r="97" spans="3:5" x14ac:dyDescent="0.3">
      <c r="C97" s="36"/>
      <c r="D97" s="36"/>
      <c r="E97" s="38"/>
    </row>
    <row r="98" spans="3:5" x14ac:dyDescent="0.3">
      <c r="C98" s="36"/>
      <c r="D98" s="36"/>
      <c r="E98" s="38"/>
    </row>
  </sheetData>
  <sortState xmlns:xlrd2="http://schemas.microsoft.com/office/spreadsheetml/2017/richdata2" ref="B142:F163">
    <sortCondition ref="F142:F163"/>
  </sortState>
  <conditionalFormatting sqref="DP15:DQ33 DP35:DQ41">
    <cfRule type="cellIs" dxfId="23" priority="21" operator="lessThan">
      <formula>4</formula>
    </cfRule>
  </conditionalFormatting>
  <conditionalFormatting sqref="O41:P41 O15:P15 O35:O40">
    <cfRule type="cellIs" dxfId="22" priority="14" operator="equal">
      <formula>3</formula>
    </cfRule>
    <cfRule type="cellIs" dxfId="21" priority="15" operator="equal">
      <formula>2</formula>
    </cfRule>
    <cfRule type="cellIs" dxfId="20" priority="16" operator="equal">
      <formula>1</formula>
    </cfRule>
  </conditionalFormatting>
  <conditionalFormatting sqref="O16:O33">
    <cfRule type="cellIs" dxfId="19" priority="11" operator="equal">
      <formula>3</formula>
    </cfRule>
    <cfRule type="cellIs" dxfId="18" priority="12" operator="equal">
      <formula>2</formula>
    </cfRule>
    <cfRule type="cellIs" dxfId="17" priority="13" operator="equal">
      <formula>1</formula>
    </cfRule>
  </conditionalFormatting>
  <conditionalFormatting sqref="P16:P40">
    <cfRule type="expression" dxfId="16" priority="8">
      <formula>P16=3</formula>
    </cfRule>
    <cfRule type="expression" dxfId="15" priority="9">
      <formula>P16=2</formula>
    </cfRule>
    <cfRule type="expression" dxfId="14" priority="10">
      <formula>P16=1</formula>
    </cfRule>
  </conditionalFormatting>
  <conditionalFormatting sqref="DP34:DQ34">
    <cfRule type="cellIs" dxfId="13" priority="7" operator="lessThan">
      <formula>4</formula>
    </cfRule>
  </conditionalFormatting>
  <conditionalFormatting sqref="O34">
    <cfRule type="cellIs" dxfId="12" priority="4" operator="equal">
      <formula>3</formula>
    </cfRule>
    <cfRule type="cellIs" dxfId="11" priority="5" operator="equal">
      <formula>2</formula>
    </cfRule>
    <cfRule type="cellIs" dxfId="10" priority="6" operator="equal">
      <formula>1</formula>
    </cfRule>
  </conditionalFormatting>
  <conditionalFormatting sqref="P34">
    <cfRule type="expression" dxfId="9" priority="1">
      <formula>P34=3</formula>
    </cfRule>
    <cfRule type="expression" dxfId="8" priority="2">
      <formula>P34=2</formula>
    </cfRule>
    <cfRule type="expression" dxfId="7" priority="3">
      <formula>P34=1</formula>
    </cfRule>
  </conditionalFormatting>
  <printOptions gridLines="1"/>
  <pageMargins left="0.25" right="0.25" top="0.75" bottom="0.75" header="0.3" footer="0.3"/>
  <pageSetup scale="37" orientation="landscape" r:id="rId1"/>
  <headerFooter>
    <oddHeader>&amp;L&amp;08 pareem\home\My Documents\ICS\Index_Report_Aug_2011.xlsx &amp;A &amp;D &amp;T</oddHead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4:DL72"/>
  <sheetViews>
    <sheetView view="pageBreakPreview" topLeftCell="C1" zoomScale="80" zoomScaleNormal="100" zoomScaleSheetLayoutView="80" workbookViewId="0">
      <selection activeCell="H24" sqref="H24"/>
    </sheetView>
  </sheetViews>
  <sheetFormatPr defaultColWidth="8.77734375" defaultRowHeight="14.4" x14ac:dyDescent="0.3"/>
  <cols>
    <col min="1" max="1" width="43.5546875" customWidth="1"/>
    <col min="2" max="98" width="12" bestFit="1" customWidth="1"/>
    <col min="99" max="102" width="12" style="247" bestFit="1" customWidth="1"/>
    <col min="103" max="105" width="8.77734375" style="247" bestFit="1"/>
    <col min="106" max="106" width="5.44140625" bestFit="1" customWidth="1"/>
    <col min="107" max="107" width="43.5546875" bestFit="1" customWidth="1"/>
    <col min="108" max="116" width="5.44140625" bestFit="1" customWidth="1"/>
  </cols>
  <sheetData>
    <row r="14" spans="1:107" s="247" customFormat="1" ht="29.25" customHeight="1" x14ac:dyDescent="0.3">
      <c r="A14" s="171" t="s">
        <v>30</v>
      </c>
      <c r="B14" s="166" t="s">
        <v>35</v>
      </c>
      <c r="C14" s="166" t="s">
        <v>35</v>
      </c>
      <c r="D14" s="166" t="s">
        <v>35</v>
      </c>
      <c r="E14" s="166" t="s">
        <v>35</v>
      </c>
      <c r="F14" s="166" t="s">
        <v>35</v>
      </c>
      <c r="G14" s="166" t="s">
        <v>35</v>
      </c>
      <c r="H14" s="166" t="s">
        <v>35</v>
      </c>
      <c r="I14" s="166" t="s">
        <v>35</v>
      </c>
      <c r="J14" s="166" t="s">
        <v>35</v>
      </c>
      <c r="K14" s="166" t="s">
        <v>35</v>
      </c>
      <c r="L14" s="166" t="s">
        <v>35</v>
      </c>
      <c r="M14" s="166" t="s">
        <v>35</v>
      </c>
      <c r="N14" s="166" t="s">
        <v>35</v>
      </c>
      <c r="O14" s="166" t="s">
        <v>35</v>
      </c>
      <c r="P14" s="166"/>
      <c r="Q14" s="166"/>
      <c r="R14" s="166"/>
      <c r="S14" s="166"/>
      <c r="T14" s="166"/>
      <c r="U14" s="166"/>
      <c r="V14" s="166"/>
      <c r="W14" s="166"/>
      <c r="X14" s="166"/>
      <c r="Y14" s="166"/>
      <c r="Z14" s="166"/>
      <c r="AA14" s="166"/>
      <c r="AB14" s="166"/>
      <c r="AC14" s="166"/>
      <c r="AD14" s="166"/>
      <c r="AE14" s="166"/>
      <c r="AF14" s="166"/>
      <c r="AG14" s="166"/>
      <c r="AH14" s="166"/>
      <c r="AI14" s="166"/>
      <c r="AJ14" s="166"/>
      <c r="AK14" s="166"/>
      <c r="AL14" s="166"/>
      <c r="AM14" s="166"/>
      <c r="AN14" s="166"/>
      <c r="AO14" s="166"/>
      <c r="AP14" s="166"/>
      <c r="AQ14" s="166"/>
      <c r="AR14" s="166"/>
      <c r="AS14" s="166"/>
      <c r="AT14" s="166">
        <f>MATCH(AT15,Calcs!$E:$E,0)</f>
        <v>2</v>
      </c>
      <c r="AU14" s="166">
        <f>MATCH(AU15,Calcs!$E:$E,0)</f>
        <v>36</v>
      </c>
      <c r="AV14" s="166">
        <f>MATCH(AV15,Calcs!$E:$E,0)</f>
        <v>70</v>
      </c>
      <c r="AW14" s="166">
        <f>MATCH(AW15,Calcs!$E:$E,0)</f>
        <v>104</v>
      </c>
      <c r="AX14" s="166">
        <f>MATCH(AX15,Calcs!$E:$E,0)</f>
        <v>138</v>
      </c>
      <c r="AY14" s="166">
        <f>MATCH(AY15,Calcs!$E:$E,0)</f>
        <v>172</v>
      </c>
      <c r="AZ14" s="166">
        <f>MATCH(AZ15,Calcs!$E:$E,0)</f>
        <v>206</v>
      </c>
      <c r="BA14" s="166">
        <f>MATCH(BA15,Calcs!$E:$E,0)</f>
        <v>240</v>
      </c>
      <c r="BB14" s="166">
        <f>MATCH(BB15,Calcs!$E:$E,0)</f>
        <v>274</v>
      </c>
      <c r="BC14" s="166">
        <f>MATCH(BC15,Calcs!$E:$E,0)</f>
        <v>308</v>
      </c>
      <c r="BD14" s="166">
        <f>MATCH(BD15,Calcs!$E:$E,0)</f>
        <v>342</v>
      </c>
      <c r="BE14" s="166">
        <f>MATCH(BE15,Calcs!$E:$E,0)</f>
        <v>376</v>
      </c>
      <c r="BF14" s="166">
        <f>MATCH(BF15,Calcs!$E:$E,0)</f>
        <v>410</v>
      </c>
      <c r="BG14" s="166">
        <f>MATCH(BG15,Calcs!$E:$E,0)</f>
        <v>444</v>
      </c>
      <c r="BH14" s="166">
        <f>MATCH(BH15,Calcs!$E:$E,0)</f>
        <v>478</v>
      </c>
      <c r="BI14" s="166">
        <f>MATCH(BI15,Calcs!$E:$E,0)</f>
        <v>512</v>
      </c>
      <c r="BJ14" s="166">
        <f>MATCH(BJ15,Calcs!$E:$E,0)</f>
        <v>546</v>
      </c>
      <c r="BK14" s="166">
        <f>MATCH(BK15,Calcs!$E:$E,0)</f>
        <v>580</v>
      </c>
      <c r="BL14" s="166">
        <f>MATCH(BL15,Calcs!$E:$E,0)</f>
        <v>614</v>
      </c>
      <c r="BM14" s="166">
        <f>MATCH(BM15,Calcs!$E:$E,0)</f>
        <v>648</v>
      </c>
      <c r="BN14" s="166">
        <f>MATCH(BN15,Calcs!$E:$E,0)</f>
        <v>682</v>
      </c>
      <c r="BO14" s="166">
        <f>MATCH(BO15,Calcs!$E:$E,0)</f>
        <v>716</v>
      </c>
      <c r="BP14" s="166">
        <f>MATCH(BP15,Calcs!$E:$E,0)</f>
        <v>750</v>
      </c>
      <c r="BQ14" s="166">
        <f>MATCH(BQ15,Calcs!$E:$E,0)</f>
        <v>784</v>
      </c>
      <c r="BR14" s="166">
        <f>MATCH(BR15,Calcs!$E:$E,0)</f>
        <v>818</v>
      </c>
      <c r="BS14" s="166">
        <f>MATCH(BS15,Calcs!$E:$E,0)</f>
        <v>852</v>
      </c>
      <c r="BT14" s="166">
        <f>MATCH(BT15,Calcs!$E:$E,0)</f>
        <v>886</v>
      </c>
      <c r="BU14" s="166">
        <f>MATCH(BU15,Calcs!$E:$E,0)</f>
        <v>920</v>
      </c>
      <c r="BV14" s="166">
        <f>MATCH(BV15,Calcs!$E:$E,0)</f>
        <v>954</v>
      </c>
      <c r="BW14" s="166">
        <f>MATCH(BW15,Calcs!$E:$E,0)</f>
        <v>988</v>
      </c>
      <c r="BX14" s="166">
        <f>MATCH(BX15,Calcs!$E:$E,0)</f>
        <v>1022</v>
      </c>
      <c r="BY14" s="166">
        <f>MATCH(BY15,Calcs!$E:$E,0)</f>
        <v>1056</v>
      </c>
      <c r="BZ14" s="166">
        <f>MATCH(BZ15,Calcs!$E:$E,0)</f>
        <v>1090</v>
      </c>
      <c r="CA14" s="166">
        <f>MATCH(CA15,Calcs!$E:$E,0)</f>
        <v>1124</v>
      </c>
      <c r="CB14" s="166">
        <f>MATCH(CB15,Calcs!$E:$E,0)</f>
        <v>1158</v>
      </c>
      <c r="CC14" s="166">
        <f>MATCH(CC15,Calcs!$E:$E,0)</f>
        <v>1192</v>
      </c>
      <c r="CD14" s="166">
        <f>MATCH(CD15,Calcs!$E:$E,0)</f>
        <v>1226</v>
      </c>
      <c r="CE14" s="166">
        <f>MATCH(CE15,Calcs!$E:$E,0)</f>
        <v>1260</v>
      </c>
      <c r="CF14" s="166">
        <f>MATCH(CF15,Calcs!$E:$E,0)</f>
        <v>1294</v>
      </c>
      <c r="CG14" s="166">
        <f>MATCH(CG15,Calcs!$E:$E,0)</f>
        <v>1328</v>
      </c>
      <c r="CH14" s="166">
        <f>MATCH(CH15,Calcs!$E:$E,0)</f>
        <v>1362</v>
      </c>
      <c r="CI14" s="166">
        <f>MATCH(CI15,Calcs!$E:$E,0)</f>
        <v>1396</v>
      </c>
      <c r="CJ14" s="166">
        <f>MATCH(CJ15,Calcs!$E:$E,0)</f>
        <v>1430</v>
      </c>
      <c r="CK14" s="166">
        <f>MATCH(CK15,Calcs!$E:$E,0)</f>
        <v>1464</v>
      </c>
      <c r="CL14" s="166">
        <f>MATCH(CL15,Calcs!$E:$E,0)</f>
        <v>1498</v>
      </c>
      <c r="CM14" s="166">
        <f>MATCH(CM15,Calcs!$E:$E,0)</f>
        <v>1532</v>
      </c>
      <c r="CN14" s="166">
        <f>MATCH(CN15,Calcs!$E:$E,0)</f>
        <v>1566</v>
      </c>
      <c r="CO14" s="166">
        <f>MATCH(CO15,Calcs!$E:$E,0)</f>
        <v>1600</v>
      </c>
      <c r="CP14" s="166">
        <f>MATCH(CP15,Calcs!$E:$E,0)</f>
        <v>1634</v>
      </c>
      <c r="CQ14" s="166">
        <f>MATCH(CQ15,Calcs!$E:$E,0)</f>
        <v>1668</v>
      </c>
      <c r="CR14" s="166">
        <f>MATCH(CR15,Calcs!$E:$E,0)</f>
        <v>1702</v>
      </c>
      <c r="CS14" s="166">
        <f>MATCH(CS15,Calcs!$E:$E,0)</f>
        <v>1736</v>
      </c>
      <c r="CT14" s="166">
        <f>MATCH(CT15,Calcs!$E:$E,0)</f>
        <v>1770</v>
      </c>
      <c r="CU14" s="166">
        <f>MATCH(CU15,Calcs!$E:$E,0)</f>
        <v>1804</v>
      </c>
      <c r="CV14" s="166">
        <f>MATCH(CV15,Calcs!$E:$E,0)</f>
        <v>1838</v>
      </c>
      <c r="CW14" s="166">
        <f>MATCH(CW15,Calcs!$E:$E,0)</f>
        <v>1872</v>
      </c>
      <c r="CX14" s="166">
        <f>MATCH(CX15,Calcs!$E:$E,0)</f>
        <v>1906</v>
      </c>
      <c r="CY14" s="166" t="e">
        <f>MATCH(CY15,Calcs!$E:$E,0)</f>
        <v>#N/A</v>
      </c>
      <c r="CZ14" s="166" t="e">
        <f>MATCH(CZ15,Calcs!$E:$E,0)</f>
        <v>#N/A</v>
      </c>
      <c r="DA14" s="166" t="e">
        <f>MATCH(DA15,Calcs!$E:$E,0)</f>
        <v>#N/A</v>
      </c>
      <c r="DB14" s="166"/>
      <c r="DC14" s="27"/>
    </row>
    <row r="15" spans="1:107" s="247" customFormat="1" x14ac:dyDescent="0.3">
      <c r="A15" s="192"/>
      <c r="B15" s="106">
        <v>39172</v>
      </c>
      <c r="C15" s="106">
        <v>39202</v>
      </c>
      <c r="D15" s="107" t="s">
        <v>70</v>
      </c>
      <c r="E15" s="107" t="s">
        <v>75</v>
      </c>
      <c r="F15" s="107" t="s">
        <v>77</v>
      </c>
      <c r="G15" s="107" t="s">
        <v>84</v>
      </c>
      <c r="H15" s="107" t="s">
        <v>86</v>
      </c>
      <c r="I15" s="107" t="s">
        <v>88</v>
      </c>
      <c r="J15" s="107" t="s">
        <v>92</v>
      </c>
      <c r="K15" s="107">
        <v>39458</v>
      </c>
      <c r="L15" s="107" t="s">
        <v>96</v>
      </c>
      <c r="M15" s="107" t="s">
        <v>98</v>
      </c>
      <c r="N15" s="107" t="s">
        <v>115</v>
      </c>
      <c r="O15" s="20" t="s">
        <v>119</v>
      </c>
      <c r="P15" s="20" t="s">
        <v>187</v>
      </c>
      <c r="Q15" s="20" t="s">
        <v>189</v>
      </c>
      <c r="R15" s="20" t="s">
        <v>191</v>
      </c>
      <c r="S15" s="20" t="s">
        <v>192</v>
      </c>
      <c r="T15" s="108" t="s">
        <v>193</v>
      </c>
      <c r="U15" s="108" t="s">
        <v>194</v>
      </c>
      <c r="V15" s="108" t="s">
        <v>195</v>
      </c>
      <c r="W15" s="108" t="s">
        <v>196</v>
      </c>
      <c r="X15" s="109" t="s">
        <v>197</v>
      </c>
      <c r="Y15" s="109" t="s">
        <v>198</v>
      </c>
      <c r="Z15" s="109" t="s">
        <v>200</v>
      </c>
      <c r="AA15" s="109" t="s">
        <v>205</v>
      </c>
      <c r="AB15" s="109" t="s">
        <v>208</v>
      </c>
      <c r="AC15" s="109" t="s">
        <v>213</v>
      </c>
      <c r="AD15" s="109" t="s">
        <v>215</v>
      </c>
      <c r="AE15" s="109" t="s">
        <v>216</v>
      </c>
      <c r="AF15" s="109" t="s">
        <v>217</v>
      </c>
      <c r="AG15" s="109" t="s">
        <v>218</v>
      </c>
      <c r="AH15" s="109" t="s">
        <v>226</v>
      </c>
      <c r="AI15" s="109" t="s">
        <v>227</v>
      </c>
      <c r="AJ15" s="109" t="s">
        <v>228</v>
      </c>
      <c r="AK15" s="109" t="s">
        <v>229</v>
      </c>
      <c r="AL15" s="109" t="s">
        <v>230</v>
      </c>
      <c r="AM15" s="109" t="s">
        <v>231</v>
      </c>
      <c r="AN15" s="109" t="s">
        <v>232</v>
      </c>
      <c r="AO15" s="109" t="s">
        <v>233</v>
      </c>
      <c r="AP15" s="109" t="s">
        <v>234</v>
      </c>
      <c r="AQ15" s="109" t="s">
        <v>235</v>
      </c>
      <c r="AR15" s="109" t="s">
        <v>236</v>
      </c>
      <c r="AS15" s="109" t="s">
        <v>237</v>
      </c>
      <c r="AT15" s="155">
        <v>40542</v>
      </c>
      <c r="AU15" s="155">
        <v>40573</v>
      </c>
      <c r="AV15" s="155">
        <v>40601</v>
      </c>
      <c r="AW15" s="155">
        <f t="shared" ref="AW15:CU15" si="0">EOMONTH(AV15,1)</f>
        <v>40632</v>
      </c>
      <c r="AX15" s="155">
        <f t="shared" si="0"/>
        <v>40662</v>
      </c>
      <c r="AY15" s="155">
        <f t="shared" si="0"/>
        <v>40693</v>
      </c>
      <c r="AZ15" s="155">
        <f t="shared" si="0"/>
        <v>40723</v>
      </c>
      <c r="BA15" s="155">
        <f t="shared" si="0"/>
        <v>40754</v>
      </c>
      <c r="BB15" s="155">
        <f t="shared" si="0"/>
        <v>40785</v>
      </c>
      <c r="BC15" s="155">
        <f t="shared" si="0"/>
        <v>40815</v>
      </c>
      <c r="BD15" s="155">
        <f t="shared" si="0"/>
        <v>40846</v>
      </c>
      <c r="BE15" s="155">
        <f t="shared" si="0"/>
        <v>40876</v>
      </c>
      <c r="BF15" s="155">
        <f t="shared" si="0"/>
        <v>40907</v>
      </c>
      <c r="BG15" s="155">
        <f t="shared" si="0"/>
        <v>40938</v>
      </c>
      <c r="BH15" s="155">
        <f t="shared" si="0"/>
        <v>40967</v>
      </c>
      <c r="BI15" s="155">
        <f t="shared" si="0"/>
        <v>40998</v>
      </c>
      <c r="BJ15" s="155">
        <f t="shared" si="0"/>
        <v>41028</v>
      </c>
      <c r="BK15" s="155">
        <f t="shared" si="0"/>
        <v>41059</v>
      </c>
      <c r="BL15" s="155">
        <f t="shared" si="0"/>
        <v>41089</v>
      </c>
      <c r="BM15" s="155">
        <f t="shared" si="0"/>
        <v>41120</v>
      </c>
      <c r="BN15" s="155">
        <f t="shared" si="0"/>
        <v>41151</v>
      </c>
      <c r="BO15" s="155">
        <f t="shared" si="0"/>
        <v>41181</v>
      </c>
      <c r="BP15" s="155">
        <f t="shared" si="0"/>
        <v>41212</v>
      </c>
      <c r="BQ15" s="155">
        <f t="shared" si="0"/>
        <v>41242</v>
      </c>
      <c r="BR15" s="155">
        <f t="shared" si="0"/>
        <v>41273</v>
      </c>
      <c r="BS15" s="155">
        <f t="shared" si="0"/>
        <v>41304</v>
      </c>
      <c r="BT15" s="155">
        <f t="shared" si="0"/>
        <v>41332</v>
      </c>
      <c r="BU15" s="155">
        <f t="shared" si="0"/>
        <v>41363</v>
      </c>
      <c r="BV15" s="155">
        <f t="shared" si="0"/>
        <v>41393</v>
      </c>
      <c r="BW15" s="155">
        <f t="shared" si="0"/>
        <v>41424</v>
      </c>
      <c r="BX15" s="155">
        <f t="shared" si="0"/>
        <v>41454</v>
      </c>
      <c r="BY15" s="155">
        <f t="shared" si="0"/>
        <v>41485</v>
      </c>
      <c r="BZ15" s="155">
        <f t="shared" si="0"/>
        <v>41516</v>
      </c>
      <c r="CA15" s="155">
        <f t="shared" si="0"/>
        <v>41546</v>
      </c>
      <c r="CB15" s="155">
        <f t="shared" si="0"/>
        <v>41577</v>
      </c>
      <c r="CC15" s="155">
        <f t="shared" si="0"/>
        <v>41607</v>
      </c>
      <c r="CD15" s="155">
        <f t="shared" si="0"/>
        <v>41638</v>
      </c>
      <c r="CE15" s="155">
        <f t="shared" si="0"/>
        <v>41669</v>
      </c>
      <c r="CF15" s="155">
        <f t="shared" si="0"/>
        <v>41697</v>
      </c>
      <c r="CG15" s="155">
        <f t="shared" si="0"/>
        <v>41728</v>
      </c>
      <c r="CH15" s="155">
        <f t="shared" si="0"/>
        <v>41758</v>
      </c>
      <c r="CI15" s="155">
        <f t="shared" si="0"/>
        <v>41789</v>
      </c>
      <c r="CJ15" s="155">
        <f t="shared" si="0"/>
        <v>41819</v>
      </c>
      <c r="CK15" s="155">
        <f t="shared" si="0"/>
        <v>41850</v>
      </c>
      <c r="CL15" s="155">
        <f t="shared" si="0"/>
        <v>41881</v>
      </c>
      <c r="CM15" s="155">
        <f t="shared" si="0"/>
        <v>41911</v>
      </c>
      <c r="CN15" s="155">
        <f t="shared" si="0"/>
        <v>41942</v>
      </c>
      <c r="CO15" s="155">
        <f t="shared" si="0"/>
        <v>41972</v>
      </c>
      <c r="CP15" s="155">
        <f t="shared" si="0"/>
        <v>42003</v>
      </c>
      <c r="CQ15" s="155">
        <f t="shared" si="0"/>
        <v>42034</v>
      </c>
      <c r="CR15" s="155">
        <f t="shared" si="0"/>
        <v>42062</v>
      </c>
      <c r="CS15" s="155">
        <f t="shared" si="0"/>
        <v>42093</v>
      </c>
      <c r="CT15" s="155">
        <f t="shared" si="0"/>
        <v>42123</v>
      </c>
      <c r="CU15" s="155">
        <f t="shared" si="0"/>
        <v>42154</v>
      </c>
      <c r="CV15" s="155">
        <f t="shared" ref="CV15" si="1">EOMONTH(CU15,1)</f>
        <v>42184</v>
      </c>
      <c r="CW15" s="155">
        <f t="shared" ref="CW15" si="2">EOMONTH(CV15,1)</f>
        <v>42215</v>
      </c>
      <c r="CX15" s="155">
        <f t="shared" ref="CX15" si="3">EOMONTH(CW15,1)</f>
        <v>42246</v>
      </c>
      <c r="CY15" s="155">
        <f t="shared" ref="CY15" si="4">EOMONTH(CX15,1)</f>
        <v>42276</v>
      </c>
      <c r="CZ15" s="155">
        <f t="shared" ref="CZ15" si="5">EOMONTH(CY15,1)</f>
        <v>42307</v>
      </c>
      <c r="DA15" s="155">
        <f t="shared" ref="DA15" si="6">EOMONTH(CZ15,1)</f>
        <v>42337</v>
      </c>
      <c r="DB15" s="109"/>
      <c r="DC15" s="180"/>
    </row>
    <row r="16" spans="1:107" s="252" customFormat="1" x14ac:dyDescent="0.3">
      <c r="A16" s="250" t="s">
        <v>152</v>
      </c>
      <c r="B16" s="251">
        <v>1012.4001963784259</v>
      </c>
      <c r="C16" s="251">
        <v>1038.7709436846849</v>
      </c>
      <c r="D16" s="251">
        <v>1052.6342218415105</v>
      </c>
      <c r="E16" s="251">
        <v>1085.243384892394</v>
      </c>
      <c r="F16" s="251">
        <v>1114.0853873638068</v>
      </c>
      <c r="G16" s="251">
        <v>1136.5914050927829</v>
      </c>
      <c r="H16" s="251">
        <v>1153.2522871934073</v>
      </c>
      <c r="I16" s="251">
        <v>1171.4133681390579</v>
      </c>
      <c r="J16" s="251">
        <v>1191.2914250136018</v>
      </c>
      <c r="K16" s="251">
        <v>1224.4563703399263</v>
      </c>
      <c r="L16" s="251">
        <v>1246.8251177222246</v>
      </c>
      <c r="M16" s="251">
        <v>1267.3955551287481</v>
      </c>
      <c r="N16" s="251">
        <v>1294.0765916386404</v>
      </c>
      <c r="O16" s="252">
        <v>1297.4276728715008</v>
      </c>
      <c r="P16" s="252">
        <v>1320.6519636716441</v>
      </c>
      <c r="Q16" s="252">
        <v>1344.5374557526609</v>
      </c>
      <c r="R16" s="252">
        <v>1363.4147010543693</v>
      </c>
      <c r="S16" s="252">
        <v>1394.1361431374614</v>
      </c>
      <c r="T16" s="252">
        <v>1436.8932312205573</v>
      </c>
      <c r="U16" s="252">
        <v>1473.2683565496418</v>
      </c>
      <c r="V16" s="252">
        <v>1500.9937253901428</v>
      </c>
      <c r="W16" s="252">
        <v>1533.8010393480292</v>
      </c>
      <c r="X16" s="252">
        <v>1567.8915462419136</v>
      </c>
      <c r="Y16" s="252">
        <v>1573.2457523608466</v>
      </c>
      <c r="Z16" s="252">
        <v>1587.1068591448627</v>
      </c>
      <c r="AA16" s="252">
        <v>1605.8407756998938</v>
      </c>
      <c r="AB16" s="252">
        <v>1624.7958239496616</v>
      </c>
      <c r="AC16" s="252">
        <v>1645.8209277225351</v>
      </c>
      <c r="AD16" s="252">
        <v>1666.129805021068</v>
      </c>
      <c r="AE16" s="252">
        <v>1687.6279577561918</v>
      </c>
      <c r="AF16" s="252">
        <v>1721.5446271874346</v>
      </c>
      <c r="AG16" s="252">
        <v>1754.3717502809986</v>
      </c>
      <c r="AH16" s="252">
        <v>1780.4291050863878</v>
      </c>
      <c r="AI16" s="252">
        <v>1824.5503483136558</v>
      </c>
      <c r="AJ16" s="252">
        <v>1852.3402715039199</v>
      </c>
      <c r="AK16" s="252">
        <v>1865.9436887137954</v>
      </c>
      <c r="AL16" s="252">
        <v>1885.5735415801728</v>
      </c>
      <c r="AM16" s="252">
        <v>1895.2403742772603</v>
      </c>
      <c r="AN16" s="252">
        <v>1922.0072205257909</v>
      </c>
      <c r="AO16" s="252">
        <v>1926.1302233522663</v>
      </c>
      <c r="AP16" s="252">
        <v>1934.1725090762443</v>
      </c>
      <c r="AQ16" s="252">
        <v>1963.1700585507006</v>
      </c>
      <c r="AR16" s="252">
        <v>2001.0623020367548</v>
      </c>
      <c r="AS16" s="252">
        <v>2020.9073861566831</v>
      </c>
      <c r="AT16" s="252">
        <f ca="1">OFFSET(Calcs!$A$1,Graphs!AT$14+5,15)</f>
        <v>2031.5717803983346</v>
      </c>
      <c r="AU16" s="252">
        <f ca="1">OFFSET(Calcs!$A$1,Graphs!AU$14+5,15)</f>
        <v>2022.3583187636318</v>
      </c>
      <c r="AV16" s="252">
        <f ca="1">OFFSET(Calcs!$A$1,Graphs!AV$14+5,15)</f>
        <v>2022.3583187636318</v>
      </c>
      <c r="AW16" s="252">
        <f ca="1">OFFSET(Calcs!$A$1,Graphs!AW$14+5,15)</f>
        <v>2022.3583187636318</v>
      </c>
      <c r="AX16" s="252">
        <f ca="1">OFFSET(Calcs!$A$1,Graphs!AX$14+5,15)</f>
        <v>2022.3583187636318</v>
      </c>
      <c r="AY16" s="252">
        <f ca="1">OFFSET(Calcs!$A$1,Graphs!AY$14+5,15)</f>
        <v>2022.3583187636318</v>
      </c>
      <c r="AZ16" s="252">
        <f ca="1">OFFSET(Calcs!$A$1,Graphs!AZ$14+5,15)</f>
        <v>2022.3583187636318</v>
      </c>
      <c r="BA16" s="252">
        <f ca="1">OFFSET(Calcs!$A$1,Graphs!BA$14+5,15)</f>
        <v>2022.3583187636318</v>
      </c>
      <c r="BB16" s="252">
        <f ca="1">OFFSET(Calcs!$A$1,Graphs!BB$14+5,15)</f>
        <v>2034.2896017730648</v>
      </c>
      <c r="BC16" s="252">
        <f ca="1">OFFSET(Calcs!$A$1,Graphs!BC$14+5,15)</f>
        <v>2034.2896017730648</v>
      </c>
      <c r="BD16" s="252">
        <f ca="1">OFFSET(Calcs!$A$1,Graphs!BD$14+5,15)</f>
        <v>2034.2896017730648</v>
      </c>
      <c r="BE16" s="252">
        <f ca="1">OFFSET(Calcs!$A$1,Graphs!BE$14+5,15)</f>
        <v>2049.4143621114276</v>
      </c>
      <c r="BF16" s="252">
        <f ca="1">OFFSET(Calcs!$A$1,Graphs!BF$14+5,15)</f>
        <v>2063.122768441433</v>
      </c>
      <c r="BG16" s="252">
        <f ca="1">OFFSET(Calcs!$A$1,Graphs!BG$14+5,15)</f>
        <v>2075.294548983532</v>
      </c>
      <c r="BH16" s="252">
        <f ca="1">OFFSET(Calcs!$A$1,Graphs!BH$14+5,15)</f>
        <v>2075.294548983532</v>
      </c>
      <c r="BI16" s="252">
        <f ca="1">OFFSET(Calcs!$A$1,Graphs!BI$14+5,15)</f>
        <v>2087.9102825847767</v>
      </c>
      <c r="BJ16" s="252">
        <f ca="1">OFFSET(Calcs!$A$1,Graphs!BJ$14+5,15)</f>
        <v>2087.9102825847767</v>
      </c>
      <c r="BK16" s="252">
        <f ca="1">OFFSET(Calcs!$A$1,Graphs!BK$14+5,15)</f>
        <v>2101.4242179701046</v>
      </c>
      <c r="BL16" s="252">
        <f ca="1">OFFSET(Calcs!$A$1,Graphs!BL$14+5,15)</f>
        <v>2086.9814968872024</v>
      </c>
      <c r="BM16" s="252">
        <f ca="1">OFFSET(Calcs!$A$1,Graphs!BM$14+5,15)</f>
        <v>2086.9814968872024</v>
      </c>
      <c r="BN16" s="252">
        <f ca="1">OFFSET(Calcs!$A$1,Graphs!BN$14+5,15)</f>
        <v>2099.6682755463339</v>
      </c>
      <c r="BO16" s="252">
        <f ca="1">OFFSET(Calcs!$A$1,Graphs!BO$14+5,15)</f>
        <v>2099.6682755463339</v>
      </c>
      <c r="BP16" s="252">
        <f ca="1">OFFSET(Calcs!$A$1,Graphs!BP$14+5,15)</f>
        <v>2139.4084556449857</v>
      </c>
      <c r="BQ16" s="252">
        <f ca="1">OFFSET(Calcs!$A$1,Graphs!BQ$14+5,15)</f>
        <v>2177.4978166331675</v>
      </c>
      <c r="BR16" s="252">
        <f ca="1">OFFSET(Calcs!$A$1,Graphs!BR$14+5,15)</f>
        <v>2163.0294460108721</v>
      </c>
      <c r="BS16" s="252">
        <f ca="1">OFFSET(Calcs!$A$1,Graphs!BS$14+5,15)</f>
        <v>2163.0294460108721</v>
      </c>
      <c r="BT16" s="252">
        <f ca="1">OFFSET(Calcs!$A$1,Graphs!BT$14+5,15)</f>
        <v>2149.1193368953559</v>
      </c>
      <c r="BU16" s="252">
        <f ca="1">OFFSET(Calcs!$A$1,Graphs!BU$14+5,15)</f>
        <v>2149.1193368953559</v>
      </c>
      <c r="BV16" s="252">
        <f ca="1">OFFSET(Calcs!$A$1,Graphs!BV$14+5,15)</f>
        <v>2135.2986815484705</v>
      </c>
      <c r="BW16" s="252">
        <f ca="1">OFFSET(Calcs!$A$1,Graphs!BW$14+5,15)</f>
        <v>2121.5669047068122</v>
      </c>
      <c r="BX16" s="252">
        <f ca="1">OFFSET(Calcs!$A$1,Graphs!BX$14+5,15)</f>
        <v>2107.470166678962</v>
      </c>
      <c r="BY16" s="252">
        <f ca="1">OFFSET(Calcs!$A$1,Graphs!BY$14+5,15)</f>
        <v>2091.321049325009</v>
      </c>
      <c r="BZ16" s="252">
        <f ca="1">OFFSET(Calcs!$A$1,Graphs!BZ$14+5,15)</f>
        <v>2091.321049325009</v>
      </c>
      <c r="CA16" s="252">
        <f ca="1">OFFSET(Calcs!$A$1,Graphs!CA$14+5,15)</f>
        <v>2068.2127658685417</v>
      </c>
      <c r="CB16" s="252">
        <f ca="1">OFFSET(Calcs!$A$1,Graphs!CB$14+5,15)</f>
        <v>2068.2127658685417</v>
      </c>
      <c r="CC16" s="252">
        <f ca="1">OFFSET(Calcs!$A$1,Graphs!CC$14+5,15)</f>
        <v>2082.5256000561421</v>
      </c>
      <c r="CD16" s="252">
        <f ca="1">OFFSET(Calcs!$A$1,Graphs!CD$14+5,15)</f>
        <v>2066.5676278676601</v>
      </c>
      <c r="CE16" s="252">
        <f ca="1">OFFSET(Calcs!$A$1,Graphs!CE$14+5,15)</f>
        <v>2051.8590237911217</v>
      </c>
      <c r="CF16" s="252">
        <f ca="1">OFFSET(Calcs!$A$1,Graphs!CF$14+5,15)</f>
        <v>2051.8590237911217</v>
      </c>
      <c r="CG16" s="252">
        <f ca="1">OFFSET(Calcs!$A$1,Graphs!CG$14+5,15)</f>
        <v>2051.8590237911217</v>
      </c>
      <c r="CH16" s="252">
        <f ca="1">OFFSET(Calcs!$A$1,Graphs!CH$14+5,15)</f>
        <v>2051.8590237911217</v>
      </c>
      <c r="CI16" s="252">
        <f ca="1">OFFSET(Calcs!$A$1,Graphs!CI$14+5,15)</f>
        <v>2066.058683743187</v>
      </c>
      <c r="CJ16" s="252">
        <f ca="1">OFFSET(Calcs!$A$1,Graphs!CJ$14+5,15)</f>
        <v>2066.058683743187</v>
      </c>
      <c r="CK16" s="252">
        <f ca="1">OFFSET(Calcs!$A$1,Graphs!CK$14+5,15)</f>
        <v>2082.653443747859</v>
      </c>
      <c r="CL16" s="252">
        <f ca="1">OFFSET(Calcs!$A$1,Graphs!CL$14+5,15)</f>
        <v>2114.9420026365851</v>
      </c>
      <c r="CM16" s="252">
        <f ca="1">OFFSET(Calcs!$A$1,Graphs!CM$14+5,15)</f>
        <v>2133.4129949324492</v>
      </c>
      <c r="CN16" s="252">
        <f ca="1">OFFSET(Calcs!$A$1,Graphs!CN$14+5,15)</f>
        <v>2181.3528650026956</v>
      </c>
      <c r="CO16" s="252">
        <f ca="1">OFFSET(Calcs!$A$1,Graphs!CO$14+5,15)</f>
        <v>2218.0134019409475</v>
      </c>
      <c r="CP16" s="252">
        <f ca="1">OFFSET(Calcs!$A$1,Graphs!CP$14+5,15)</f>
        <v>2218.0134019409475</v>
      </c>
      <c r="CQ16" s="252">
        <f ca="1">OFFSET(Calcs!$A$1,Graphs!CQ$14+5,15)</f>
        <v>2235.8286752349618</v>
      </c>
      <c r="CR16" s="252">
        <f ca="1">OFFSET(Calcs!$A$1,Graphs!CR$14+5,15)</f>
        <v>2235.8286752349618</v>
      </c>
      <c r="CS16" s="252">
        <f ca="1">OFFSET(Calcs!$A$1,Graphs!CS$14+5,15)</f>
        <v>2219.9153712987463</v>
      </c>
      <c r="CT16" s="252">
        <f ca="1">OFFSET(Calcs!$A$1,Graphs!CT$14+5,15)</f>
        <v>2232.2825559547532</v>
      </c>
      <c r="CU16" s="252">
        <f ca="1">OFFSET(Calcs!$A$1,Graphs!CU$14+5,15)</f>
        <v>2249.5201737633297</v>
      </c>
      <c r="CV16" s="252">
        <f ca="1">OFFSET(Calcs!$A$1,Graphs!CV$14+5,15)</f>
        <v>2263.1950264519392</v>
      </c>
      <c r="CW16" s="252">
        <f ca="1">OFFSET(Calcs!$A$1,Graphs!CW$14+5,15)</f>
        <v>2279.4185774883877</v>
      </c>
      <c r="CX16" s="252">
        <f ca="1">OFFSET(Calcs!$A$1,Graphs!CX$14+5,15)</f>
        <v>2310.0143436936673</v>
      </c>
      <c r="CY16" s="252" t="e">
        <f ca="1">OFFSET(Calcs!$A$1,Graphs!CY$14+5,15)</f>
        <v>#N/A</v>
      </c>
      <c r="CZ16" s="252" t="e">
        <f ca="1">OFFSET(Calcs!$A$1,Graphs!CZ$14+5,15)</f>
        <v>#N/A</v>
      </c>
      <c r="DA16" s="252" t="e">
        <f ca="1">OFFSET(Calcs!$A$1,Graphs!DA$14+5,15)</f>
        <v>#N/A</v>
      </c>
      <c r="DC16" s="253" t="str">
        <f t="shared" ref="DC16:DC71" si="7">A16</f>
        <v>Attackers: Insider threat</v>
      </c>
    </row>
    <row r="17" spans="1:116" s="252" customFormat="1" x14ac:dyDescent="0.3">
      <c r="A17" s="250" t="s">
        <v>153</v>
      </c>
      <c r="B17" s="251">
        <v>1037.2984802053893</v>
      </c>
      <c r="C17" s="251">
        <v>1067.3630280002481</v>
      </c>
      <c r="D17" s="251">
        <v>1103.1234900394613</v>
      </c>
      <c r="E17" s="251">
        <v>1121.9798465675817</v>
      </c>
      <c r="F17" s="251">
        <v>1137.7234261032913</v>
      </c>
      <c r="G17" s="251">
        <v>1167.0553909364069</v>
      </c>
      <c r="H17" s="251">
        <v>1198.8340844588611</v>
      </c>
      <c r="I17" s="251">
        <v>1203.6605180156464</v>
      </c>
      <c r="J17" s="251">
        <v>1237.6964628659964</v>
      </c>
      <c r="K17" s="251">
        <v>1272.1533007644705</v>
      </c>
      <c r="L17" s="251">
        <v>1298.7478815665488</v>
      </c>
      <c r="M17" s="251">
        <v>1321.9764204830865</v>
      </c>
      <c r="N17" s="251">
        <v>1358.0119712058395</v>
      </c>
      <c r="O17" s="252">
        <v>1379.2489140169057</v>
      </c>
      <c r="P17" s="252">
        <v>1405.6371656944104</v>
      </c>
      <c r="Q17" s="252">
        <v>1431.0597117652421</v>
      </c>
      <c r="R17" s="252">
        <v>1463.7642641952425</v>
      </c>
      <c r="S17" s="252">
        <v>1491.8741076630536</v>
      </c>
      <c r="T17" s="252">
        <v>1529.6410805058185</v>
      </c>
      <c r="U17" s="252">
        <v>1546.4633589569003</v>
      </c>
      <c r="V17" s="252">
        <v>1592.3452159668955</v>
      </c>
      <c r="W17" s="252">
        <v>1617.8308758326816</v>
      </c>
      <c r="X17" s="252">
        <v>1654.5020370505977</v>
      </c>
      <c r="Y17" s="252">
        <v>1685.4973537091828</v>
      </c>
      <c r="Z17" s="252">
        <v>1707.8214977562252</v>
      </c>
      <c r="AA17" s="252">
        <v>1728.8621551823189</v>
      </c>
      <c r="AB17" s="252">
        <v>1743.0330774373178</v>
      </c>
      <c r="AC17" s="252">
        <v>1764.3275050352186</v>
      </c>
      <c r="AD17" s="252">
        <v>1801.3282650259996</v>
      </c>
      <c r="AE17" s="252">
        <v>1836.3044245179185</v>
      </c>
      <c r="AF17" s="252">
        <v>1881.8303298592998</v>
      </c>
      <c r="AG17" s="252">
        <v>1897.5777724881527</v>
      </c>
      <c r="AH17" s="252">
        <v>1928.2326486431334</v>
      </c>
      <c r="AI17" s="252">
        <v>1946.3948319347335</v>
      </c>
      <c r="AJ17" s="252">
        <v>1962.3022321615913</v>
      </c>
      <c r="AK17" s="252">
        <v>1970.6958128071681</v>
      </c>
      <c r="AL17" s="252">
        <v>1997.225121413855</v>
      </c>
      <c r="AM17" s="252">
        <v>2007.4643619851608</v>
      </c>
      <c r="AN17" s="252">
        <v>2011.1399136513576</v>
      </c>
      <c r="AO17" s="252">
        <v>2024.1103161501296</v>
      </c>
      <c r="AP17" s="252">
        <v>2034.9828611582102</v>
      </c>
      <c r="AQ17" s="252">
        <v>2052.0119074799281</v>
      </c>
      <c r="AR17" s="252">
        <v>2070.1980097135761</v>
      </c>
      <c r="AS17" s="252">
        <v>2089.3537045559938</v>
      </c>
      <c r="AT17" s="252">
        <f ca="1">OFFSET(Calcs!$A$1,Graphs!AT$14+6,15)</f>
        <v>2122.6053218389079</v>
      </c>
      <c r="AU17" s="252">
        <f ca="1">OFFSET(Calcs!$A$1,Graphs!AU$14+6,15)</f>
        <v>2122.6053218389079</v>
      </c>
      <c r="AV17" s="252">
        <f ca="1">OFFSET(Calcs!$A$1,Graphs!AV$14+6,15)</f>
        <v>2122.6053218389079</v>
      </c>
      <c r="AW17" s="252">
        <f ca="1">OFFSET(Calcs!$A$1,Graphs!AW$14+6,15)</f>
        <v>2122.6053218389079</v>
      </c>
      <c r="AX17" s="252">
        <f ca="1">OFFSET(Calcs!$A$1,Graphs!AX$14+6,15)</f>
        <v>2133.8063794067002</v>
      </c>
      <c r="AY17" s="252">
        <f ca="1">OFFSET(Calcs!$A$1,Graphs!AY$14+6,15)</f>
        <v>2144.2406196895722</v>
      </c>
      <c r="AZ17" s="252">
        <f ca="1">OFFSET(Calcs!$A$1,Graphs!AZ$14+6,15)</f>
        <v>2144.2406196895722</v>
      </c>
      <c r="BA17" s="252">
        <f ca="1">OFFSET(Calcs!$A$1,Graphs!BA$14+6,15)</f>
        <v>2155.8624916929034</v>
      </c>
      <c r="BB17" s="252">
        <f ca="1">OFFSET(Calcs!$A$1,Graphs!BB$14+6,15)</f>
        <v>2168.5814076630145</v>
      </c>
      <c r="BC17" s="252">
        <f ca="1">OFFSET(Calcs!$A$1,Graphs!BC$14+6,15)</f>
        <v>2168.5814076630145</v>
      </c>
      <c r="BD17" s="252">
        <f ca="1">OFFSET(Calcs!$A$1,Graphs!BD$14+6,15)</f>
        <v>2180.0250825364164</v>
      </c>
      <c r="BE17" s="252">
        <f ca="1">OFFSET(Calcs!$A$1,Graphs!BE$14+6,15)</f>
        <v>2196.2333730749142</v>
      </c>
      <c r="BF17" s="252">
        <f ca="1">OFFSET(Calcs!$A$1,Graphs!BF$14+6,15)</f>
        <v>2210.9238427184523</v>
      </c>
      <c r="BG17" s="252">
        <f ca="1">OFFSET(Calcs!$A$1,Graphs!BG$14+6,15)</f>
        <v>2223.9676034778731</v>
      </c>
      <c r="BH17" s="252">
        <f ca="1">OFFSET(Calcs!$A$1,Graphs!BH$14+6,15)</f>
        <v>2223.9676034778731</v>
      </c>
      <c r="BI17" s="252">
        <f ca="1">OFFSET(Calcs!$A$1,Graphs!BI$14+6,15)</f>
        <v>2223.9676034778731</v>
      </c>
      <c r="BJ17" s="252">
        <f ca="1">OFFSET(Calcs!$A$1,Graphs!BJ$14+6,15)</f>
        <v>2236.7123687188205</v>
      </c>
      <c r="BK17" s="252">
        <f ca="1">OFFSET(Calcs!$A$1,Graphs!BK$14+6,15)</f>
        <v>2236.7123687188205</v>
      </c>
      <c r="BL17" s="252">
        <f ca="1">OFFSET(Calcs!$A$1,Graphs!BL$14+6,15)</f>
        <v>2221.3398358395298</v>
      </c>
      <c r="BM17" s="252">
        <f ca="1">OFFSET(Calcs!$A$1,Graphs!BM$14+6,15)</f>
        <v>2206.0729556898568</v>
      </c>
      <c r="BN17" s="252">
        <f ca="1">OFFSET(Calcs!$A$1,Graphs!BN$14+6,15)</f>
        <v>2192.7432504117928</v>
      </c>
      <c r="BO17" s="252">
        <f ca="1">OFFSET(Calcs!$A$1,Graphs!BO$14+6,15)</f>
        <v>2179.4940869137918</v>
      </c>
      <c r="BP17" s="252">
        <f ca="1">OFFSET(Calcs!$A$1,Graphs!BP$14+6,15)</f>
        <v>2179.4940869137918</v>
      </c>
      <c r="BQ17" s="252">
        <f ca="1">OFFSET(Calcs!$A$1,Graphs!BQ$14+6,15)</f>
        <v>2179.4940869137918</v>
      </c>
      <c r="BR17" s="252">
        <f ca="1">OFFSET(Calcs!$A$1,Graphs!BR$14+6,15)</f>
        <v>2179.4940869137918</v>
      </c>
      <c r="BS17" s="252">
        <f ca="1">OFFSET(Calcs!$A$1,Graphs!BS$14+6,15)</f>
        <v>2193.6007956689182</v>
      </c>
      <c r="BT17" s="252">
        <f ca="1">OFFSET(Calcs!$A$1,Graphs!BT$14+6,15)</f>
        <v>2179.4940869137918</v>
      </c>
      <c r="BU17" s="252">
        <f ca="1">OFFSET(Calcs!$A$1,Graphs!BU$14+6,15)</f>
        <v>2165.0124520861036</v>
      </c>
      <c r="BV17" s="252">
        <f ca="1">OFFSET(Calcs!$A$1,Graphs!BV$14+6,15)</f>
        <v>2151.0895905640336</v>
      </c>
      <c r="BW17" s="252">
        <f ca="1">OFFSET(Calcs!$A$1,Graphs!BW$14+6,15)</f>
        <v>2151.0895905640336</v>
      </c>
      <c r="BX17" s="252">
        <f ca="1">OFFSET(Calcs!$A$1,Graphs!BX$14+6,15)</f>
        <v>2136.7966892346703</v>
      </c>
      <c r="BY17" s="252">
        <f ca="1">OFFSET(Calcs!$A$1,Graphs!BY$14+6,15)</f>
        <v>2136.7966892346703</v>
      </c>
      <c r="BZ17" s="252">
        <f ca="1">OFFSET(Calcs!$A$1,Graphs!BZ$14+6,15)</f>
        <v>2136.7966892346703</v>
      </c>
      <c r="CA17" s="252">
        <f ca="1">OFFSET(Calcs!$A$1,Graphs!CA$14+6,15)</f>
        <v>2113.1859176605917</v>
      </c>
      <c r="CB17" s="252">
        <f ca="1">OFFSET(Calcs!$A$1,Graphs!CB$14+6,15)</f>
        <v>2098.1455122154252</v>
      </c>
      <c r="CC17" s="252">
        <f ca="1">OFFSET(Calcs!$A$1,Graphs!CC$14+6,15)</f>
        <v>2083.7253251036855</v>
      </c>
      <c r="CD17" s="252">
        <f ca="1">OFFSET(Calcs!$A$1,Graphs!CD$14+6,15)</f>
        <v>2067.7581596649779</v>
      </c>
      <c r="CE17" s="252">
        <f ca="1">OFFSET(Calcs!$A$1,Graphs!CE$14+6,15)</f>
        <v>2053.0410820884144</v>
      </c>
      <c r="CF17" s="252">
        <f ca="1">OFFSET(Calcs!$A$1,Graphs!CF$14+6,15)</f>
        <v>2069.5312836035346</v>
      </c>
      <c r="CG17" s="252">
        <f ca="1">OFFSET(Calcs!$A$1,Graphs!CG$14+6,15)</f>
        <v>2054.258059576257</v>
      </c>
      <c r="CH17" s="252">
        <f ca="1">OFFSET(Calcs!$A$1,Graphs!CH$14+6,15)</f>
        <v>2073.0182773599063</v>
      </c>
      <c r="CI17" s="252">
        <f ca="1">OFFSET(Calcs!$A$1,Graphs!CI$14+6,15)</f>
        <v>2087.3643675501276</v>
      </c>
      <c r="CJ17" s="252">
        <f ca="1">OFFSET(Calcs!$A$1,Graphs!CJ$14+6,15)</f>
        <v>2087.3643675501276</v>
      </c>
      <c r="CK17" s="252">
        <f ca="1">OFFSET(Calcs!$A$1,Graphs!CK$14+6,15)</f>
        <v>2121.0308107622359</v>
      </c>
      <c r="CL17" s="252">
        <f ca="1">OFFSET(Calcs!$A$1,Graphs!CL$14+6,15)</f>
        <v>2121.0308107622359</v>
      </c>
      <c r="CM17" s="252">
        <f ca="1">OFFSET(Calcs!$A$1,Graphs!CM$14+6,15)</f>
        <v>2102.6670228515318</v>
      </c>
      <c r="CN17" s="252">
        <f ca="1">OFFSET(Calcs!$A$1,Graphs!CN$14+6,15)</f>
        <v>2102.6670228515318</v>
      </c>
      <c r="CO17" s="252">
        <f ca="1">OFFSET(Calcs!$A$1,Graphs!CO$14+6,15)</f>
        <v>2085.2176045510009</v>
      </c>
      <c r="CP17" s="252">
        <f ca="1">OFFSET(Calcs!$A$1,Graphs!CP$14+6,15)</f>
        <v>2085.2176045510009</v>
      </c>
      <c r="CQ17" s="252">
        <f ca="1">OFFSET(Calcs!$A$1,Graphs!CQ$14+6,15)</f>
        <v>2068.602413094678</v>
      </c>
      <c r="CR17" s="252">
        <f ca="1">OFFSET(Calcs!$A$1,Graphs!CR$14+6,15)</f>
        <v>2048.9949547852625</v>
      </c>
      <c r="CS17" s="252">
        <f ca="1">OFFSET(Calcs!$A$1,Graphs!CS$14+6,15)</f>
        <v>2034.4114225851292</v>
      </c>
      <c r="CT17" s="252">
        <f ca="1">OFFSET(Calcs!$A$1,Graphs!CT$14+6,15)</f>
        <v>2034.4114225851292</v>
      </c>
      <c r="CU17" s="252">
        <f ca="1">OFFSET(Calcs!$A$1,Graphs!CU$14+6,15)</f>
        <v>2018.8221396007241</v>
      </c>
      <c r="CV17" s="252">
        <f ca="1">OFFSET(Calcs!$A$1,Graphs!CV$14+6,15)</f>
        <v>2006.6238557405725</v>
      </c>
      <c r="CW17" s="252">
        <f ca="1">OFFSET(Calcs!$A$1,Graphs!CW$14+6,15)</f>
        <v>1992.3418959214889</v>
      </c>
      <c r="CX17" s="252">
        <f ca="1">OFFSET(Calcs!$A$1,Graphs!CX$14+6,15)</f>
        <v>1979.1037926562058</v>
      </c>
      <c r="CY17" s="252" t="e">
        <f ca="1">OFFSET(Calcs!$A$1,Graphs!CY$14+6,15)</f>
        <v>#N/A</v>
      </c>
      <c r="CZ17" s="252" t="e">
        <f ca="1">OFFSET(Calcs!$A$1,Graphs!CZ$14+6,15)</f>
        <v>#N/A</v>
      </c>
      <c r="DA17" s="252" t="e">
        <f ca="1">OFFSET(Calcs!$A$1,Graphs!DA$14+6,15)</f>
        <v>#N/A</v>
      </c>
      <c r="DC17" s="253" t="str">
        <f t="shared" si="7"/>
        <v>Attackers: Strategic rivals</v>
      </c>
    </row>
    <row r="18" spans="1:116" s="252" customFormat="1" x14ac:dyDescent="0.3">
      <c r="A18" s="250" t="s">
        <v>154</v>
      </c>
      <c r="B18" s="251">
        <v>1028.2074038575311</v>
      </c>
      <c r="C18" s="251">
        <v>1058.7644506703687</v>
      </c>
      <c r="D18" s="251">
        <v>1130.8976598402246</v>
      </c>
      <c r="E18" s="251">
        <v>1175.3559391240976</v>
      </c>
      <c r="F18" s="251">
        <v>1208.5724637536086</v>
      </c>
      <c r="G18" s="251">
        <v>1237.4789989020869</v>
      </c>
      <c r="H18" s="251">
        <v>1280.2193988733789</v>
      </c>
      <c r="I18" s="251">
        <v>1300.960577245407</v>
      </c>
      <c r="J18" s="251">
        <v>1335.8198255129453</v>
      </c>
      <c r="K18" s="251">
        <v>1391.1336292547369</v>
      </c>
      <c r="L18" s="251">
        <v>1427.5804872687295</v>
      </c>
      <c r="M18" s="251">
        <v>1471.7255998566509</v>
      </c>
      <c r="N18" s="251">
        <v>1508.9825107959093</v>
      </c>
      <c r="O18" s="252">
        <v>1574.768068882694</v>
      </c>
      <c r="P18" s="252">
        <v>1602.956824479041</v>
      </c>
      <c r="Q18" s="252">
        <v>1621.9715117709204</v>
      </c>
      <c r="R18" s="252">
        <v>1640.794955627932</v>
      </c>
      <c r="S18" s="252">
        <v>1689.6622882377744</v>
      </c>
      <c r="T18" s="252">
        <v>1777.2185198978816</v>
      </c>
      <c r="U18" s="252">
        <v>1826.0092469151766</v>
      </c>
      <c r="V18" s="252">
        <v>1929.4164350780879</v>
      </c>
      <c r="W18" s="252">
        <v>1990.3264550219703</v>
      </c>
      <c r="X18" s="252">
        <v>2063.7104864407434</v>
      </c>
      <c r="Y18" s="252">
        <v>2119.1619863918495</v>
      </c>
      <c r="Z18" s="252">
        <v>2187.1507480465548</v>
      </c>
      <c r="AA18" s="252">
        <v>2228.8309703809268</v>
      </c>
      <c r="AB18" s="252">
        <v>2259.7467052760039</v>
      </c>
      <c r="AC18" s="252">
        <v>2279.1992115369421</v>
      </c>
      <c r="AD18" s="252">
        <v>2337.9999843969363</v>
      </c>
      <c r="AE18" s="252">
        <v>2369.6858528891271</v>
      </c>
      <c r="AF18" s="252">
        <v>2392.7689992159962</v>
      </c>
      <c r="AG18" s="252">
        <v>2415.4744243887253</v>
      </c>
      <c r="AH18" s="252">
        <v>2459.2205122228825</v>
      </c>
      <c r="AI18" s="252">
        <v>2474.6387722973923</v>
      </c>
      <c r="AJ18" s="252">
        <v>2481.8429557823943</v>
      </c>
      <c r="AK18" s="252">
        <v>2504.6468661172557</v>
      </c>
      <c r="AL18" s="252">
        <v>2525.1167211911456</v>
      </c>
      <c r="AM18" s="252">
        <v>2562.6964761530753</v>
      </c>
      <c r="AN18" s="252">
        <v>2554.8952752576693</v>
      </c>
      <c r="AO18" s="252">
        <v>2593.5075726390332</v>
      </c>
      <c r="AP18" s="252">
        <v>2638.6650843850202</v>
      </c>
      <c r="AQ18" s="252">
        <v>2689.4070948080653</v>
      </c>
      <c r="AR18" s="252">
        <v>2741.3168455837172</v>
      </c>
      <c r="AS18" s="252">
        <v>2761.2272801959684</v>
      </c>
      <c r="AT18" s="252">
        <f ca="1">OFFSET(Calcs!$A$1,Graphs!AT$14+7,15)</f>
        <v>2805.171621717468</v>
      </c>
      <c r="AU18" s="252">
        <f ca="1">OFFSET(Calcs!$A$1,Graphs!AU$14+7,15)</f>
        <v>2805.171621717468</v>
      </c>
      <c r="AV18" s="252">
        <f ca="1">OFFSET(Calcs!$A$1,Graphs!AV$14+7,15)</f>
        <v>2790.4463452698778</v>
      </c>
      <c r="AW18" s="252">
        <f ca="1">OFFSET(Calcs!$A$1,Graphs!AW$14+7,15)</f>
        <v>2790.4463452698778</v>
      </c>
      <c r="AX18" s="252">
        <f ca="1">OFFSET(Calcs!$A$1,Graphs!AX$14+7,15)</f>
        <v>2819.9746039295228</v>
      </c>
      <c r="AY18" s="252">
        <f ca="1">OFFSET(Calcs!$A$1,Graphs!AY$14+7,15)</f>
        <v>2819.9746039295228</v>
      </c>
      <c r="AZ18" s="252">
        <f ca="1">OFFSET(Calcs!$A$1,Graphs!AZ$14+7,15)</f>
        <v>2792.5964258199747</v>
      </c>
      <c r="BA18" s="252">
        <f ca="1">OFFSET(Calcs!$A$1,Graphs!BA$14+7,15)</f>
        <v>2822.9504375582001</v>
      </c>
      <c r="BB18" s="252">
        <f ca="1">OFFSET(Calcs!$A$1,Graphs!BB$14+7,15)</f>
        <v>2822.9504375582001</v>
      </c>
      <c r="BC18" s="252">
        <f ca="1">OFFSET(Calcs!$A$1,Graphs!BC$14+7,15)</f>
        <v>2822.9504375582001</v>
      </c>
      <c r="BD18" s="252">
        <f ca="1">OFFSET(Calcs!$A$1,Graphs!BD$14+7,15)</f>
        <v>2822.9504375582001</v>
      </c>
      <c r="BE18" s="252">
        <f ca="1">OFFSET(Calcs!$A$1,Graphs!BE$14+7,15)</f>
        <v>2822.9504375582001</v>
      </c>
      <c r="BF18" s="252">
        <f ca="1">OFFSET(Calcs!$A$1,Graphs!BF$14+7,15)</f>
        <v>2841.832979011479</v>
      </c>
      <c r="BG18" s="252">
        <f ca="1">OFFSET(Calcs!$A$1,Graphs!BG$14+7,15)</f>
        <v>2858.5989068015924</v>
      </c>
      <c r="BH18" s="252">
        <f ca="1">OFFSET(Calcs!$A$1,Graphs!BH$14+7,15)</f>
        <v>2843.1887075278792</v>
      </c>
      <c r="BI18" s="252">
        <f ca="1">OFFSET(Calcs!$A$1,Graphs!BI$14+7,15)</f>
        <v>2843.1887075278792</v>
      </c>
      <c r="BJ18" s="252">
        <f ca="1">OFFSET(Calcs!$A$1,Graphs!BJ$14+7,15)</f>
        <v>2875.8686797556093</v>
      </c>
      <c r="BK18" s="252">
        <f ca="1">OFFSET(Calcs!$A$1,Graphs!BK$14+7,15)</f>
        <v>2875.8686797556093</v>
      </c>
      <c r="BL18" s="252">
        <f ca="1">OFFSET(Calcs!$A$1,Graphs!BL$14+7,15)</f>
        <v>2895.7708059961701</v>
      </c>
      <c r="BM18" s="252">
        <f ca="1">OFFSET(Calcs!$A$1,Graphs!BM$14+7,15)</f>
        <v>2895.7708059961701</v>
      </c>
      <c r="BN18" s="252">
        <f ca="1">OFFSET(Calcs!$A$1,Graphs!BN$14+7,15)</f>
        <v>2878.2737548233176</v>
      </c>
      <c r="BO18" s="252">
        <f ca="1">OFFSET(Calcs!$A$1,Graphs!BO$14+7,15)</f>
        <v>2843.5961797985524</v>
      </c>
      <c r="BP18" s="252">
        <f ca="1">OFFSET(Calcs!$A$1,Graphs!BP$14+7,15)</f>
        <v>2843.5961797985524</v>
      </c>
      <c r="BQ18" s="252">
        <f ca="1">OFFSET(Calcs!$A$1,Graphs!BQ$14+7,15)</f>
        <v>2843.5961797985524</v>
      </c>
      <c r="BR18" s="252">
        <f ca="1">OFFSET(Calcs!$A$1,Graphs!BR$14+7,15)</f>
        <v>2824.7019227686728</v>
      </c>
      <c r="BS18" s="252">
        <f ca="1">OFFSET(Calcs!$A$1,Graphs!BS$14+7,15)</f>
        <v>2824.7019227686728</v>
      </c>
      <c r="BT18" s="252">
        <f ca="1">OFFSET(Calcs!$A$1,Graphs!BT$14+7,15)</f>
        <v>2824.7019227686728</v>
      </c>
      <c r="BU18" s="252">
        <f ca="1">OFFSET(Calcs!$A$1,Graphs!BU$14+7,15)</f>
        <v>2824.7019227686728</v>
      </c>
      <c r="BV18" s="252">
        <f ca="1">OFFSET(Calcs!$A$1,Graphs!BV$14+7,15)</f>
        <v>2824.7019227686728</v>
      </c>
      <c r="BW18" s="252">
        <f ca="1">OFFSET(Calcs!$A$1,Graphs!BW$14+7,15)</f>
        <v>2842.9847194891577</v>
      </c>
      <c r="BX18" s="252">
        <f ca="1">OFFSET(Calcs!$A$1,Graphs!BX$14+7,15)</f>
        <v>2824.0945253034793</v>
      </c>
      <c r="BY18" s="252">
        <f ca="1">OFFSET(Calcs!$A$1,Graphs!BY$14+7,15)</f>
        <v>2824.0945253034793</v>
      </c>
      <c r="BZ18" s="252">
        <f ca="1">OFFSET(Calcs!$A$1,Graphs!BZ$14+7,15)</f>
        <v>2824.0945253034793</v>
      </c>
      <c r="CA18" s="252">
        <f ca="1">OFFSET(Calcs!$A$1,Graphs!CA$14+7,15)</f>
        <v>2792.8893802017105</v>
      </c>
      <c r="CB18" s="252">
        <f ca="1">OFFSET(Calcs!$A$1,Graphs!CB$14+7,15)</f>
        <v>2773.0112481875444</v>
      </c>
      <c r="CC18" s="252">
        <f ca="1">OFFSET(Calcs!$A$1,Graphs!CC$14+7,15)</f>
        <v>2773.0112481875444</v>
      </c>
      <c r="CD18" s="252">
        <f ca="1">OFFSET(Calcs!$A$1,Graphs!CD$14+7,15)</f>
        <v>2751.7622242256148</v>
      </c>
      <c r="CE18" s="252">
        <f ca="1">OFFSET(Calcs!$A$1,Graphs!CE$14+7,15)</f>
        <v>2732.1768109426866</v>
      </c>
      <c r="CF18" s="252">
        <f ca="1">OFFSET(Calcs!$A$1,Graphs!CF$14+7,15)</f>
        <v>2732.1768109426866</v>
      </c>
      <c r="CG18" s="252">
        <f ca="1">OFFSET(Calcs!$A$1,Graphs!CG$14+7,15)</f>
        <v>2732.1768109426866</v>
      </c>
      <c r="CH18" s="252">
        <f ca="1">OFFSET(Calcs!$A$1,Graphs!CH$14+7,15)</f>
        <v>2757.1280247192531</v>
      </c>
      <c r="CI18" s="252">
        <f ca="1">OFFSET(Calcs!$A$1,Graphs!CI$14+7,15)</f>
        <v>2738.1787660639311</v>
      </c>
      <c r="CJ18" s="252">
        <f ca="1">OFFSET(Calcs!$A$1,Graphs!CJ$14+7,15)</f>
        <v>2738.1787660639311</v>
      </c>
      <c r="CK18" s="252">
        <f ca="1">OFFSET(Calcs!$A$1,Graphs!CK$14+7,15)</f>
        <v>2738.1787660639311</v>
      </c>
      <c r="CL18" s="252">
        <f ca="1">OFFSET(Calcs!$A$1,Graphs!CL$14+7,15)</f>
        <v>2696.3753283215738</v>
      </c>
      <c r="CM18" s="252">
        <f ca="1">OFFSET(Calcs!$A$1,Graphs!CM$14+7,15)</f>
        <v>2673.0302338487791</v>
      </c>
      <c r="CN18" s="252">
        <f ca="1">OFFSET(Calcs!$A$1,Graphs!CN$14+7,15)</f>
        <v>2673.0302338487791</v>
      </c>
      <c r="CO18" s="252">
        <f ca="1">OFFSET(Calcs!$A$1,Graphs!CO$14+7,15)</f>
        <v>2650.8475381706312</v>
      </c>
      <c r="CP18" s="252">
        <f ca="1">OFFSET(Calcs!$A$1,Graphs!CP$14+7,15)</f>
        <v>2650.8475381706312</v>
      </c>
      <c r="CQ18" s="252">
        <f ca="1">OFFSET(Calcs!$A$1,Graphs!CQ$14+7,15)</f>
        <v>2629.7253592325196</v>
      </c>
      <c r="CR18" s="252">
        <f ca="1">OFFSET(Calcs!$A$1,Graphs!CR$14+7,15)</f>
        <v>2604.799240022774</v>
      </c>
      <c r="CS18" s="252">
        <f ca="1">OFFSET(Calcs!$A$1,Graphs!CS$14+7,15)</f>
        <v>2586.2598221959811</v>
      </c>
      <c r="CT18" s="252">
        <f ca="1">OFFSET(Calcs!$A$1,Graphs!CT$14+7,15)</f>
        <v>2571.9315496821864</v>
      </c>
      <c r="CU18" s="252">
        <f ca="1">OFFSET(Calcs!$A$1,Graphs!CU$14+7,15)</f>
        <v>2552.2233587531523</v>
      </c>
      <c r="CV18" s="252">
        <f ca="1">OFFSET(Calcs!$A$1,Graphs!CV$14+7,15)</f>
        <v>2536.8021166368271</v>
      </c>
      <c r="CW18" s="252">
        <f ca="1">OFFSET(Calcs!$A$1,Graphs!CW$14+7,15)</f>
        <v>2518.7466620506948</v>
      </c>
      <c r="CX18" s="252">
        <f ca="1">OFFSET(Calcs!$A$1,Graphs!CX$14+7,15)</f>
        <v>2502.0108656095463</v>
      </c>
      <c r="CY18" s="252" t="e">
        <f ca="1">OFFSET(Calcs!$A$1,Graphs!CY$14+7,15)</f>
        <v>#N/A</v>
      </c>
      <c r="CZ18" s="252" t="e">
        <f ca="1">OFFSET(Calcs!$A$1,Graphs!CZ$14+7,15)</f>
        <v>#N/A</v>
      </c>
      <c r="DA18" s="252" t="e">
        <f ca="1">OFFSET(Calcs!$A$1,Graphs!DA$14+7,15)</f>
        <v>#N/A</v>
      </c>
      <c r="DC18" s="253" t="str">
        <f t="shared" si="7"/>
        <v>Attackers: Activist/hacktivists</v>
      </c>
    </row>
    <row r="19" spans="1:116" s="252" customFormat="1" x14ac:dyDescent="0.3">
      <c r="A19" s="250" t="s">
        <v>155</v>
      </c>
      <c r="B19" s="251">
        <v>1000</v>
      </c>
      <c r="C19" s="251">
        <v>1000</v>
      </c>
      <c r="D19" s="251">
        <v>1000</v>
      </c>
      <c r="E19" s="251">
        <v>1000</v>
      </c>
      <c r="F19" s="251">
        <v>1000</v>
      </c>
      <c r="G19" s="251">
        <v>1000</v>
      </c>
      <c r="H19" s="251">
        <v>1000</v>
      </c>
      <c r="I19" s="251">
        <v>1000</v>
      </c>
      <c r="J19" s="251">
        <v>1000</v>
      </c>
      <c r="K19" s="251">
        <v>1000</v>
      </c>
      <c r="L19" s="251">
        <v>1000</v>
      </c>
      <c r="M19" s="251">
        <v>1000</v>
      </c>
      <c r="N19" s="251">
        <v>1000</v>
      </c>
      <c r="O19" s="252">
        <v>1023.1077691270353</v>
      </c>
      <c r="P19" s="252">
        <v>1056.6493299534172</v>
      </c>
      <c r="Q19" s="252">
        <v>1093.6676389976083</v>
      </c>
      <c r="R19" s="252">
        <v>1112.7612585947879</v>
      </c>
      <c r="S19" s="252">
        <v>1132.8984279727015</v>
      </c>
      <c r="T19" s="252">
        <v>1164.6067727843697</v>
      </c>
      <c r="U19" s="252">
        <v>1181.7150663220482</v>
      </c>
      <c r="V19" s="252">
        <v>1221.4243487705992</v>
      </c>
      <c r="W19" s="252">
        <v>1261.6874981559488</v>
      </c>
      <c r="X19" s="252">
        <v>1299.2152833268499</v>
      </c>
      <c r="Y19" s="252">
        <v>1340.2029531395733</v>
      </c>
      <c r="Z19" s="252">
        <v>1366.3176927607101</v>
      </c>
      <c r="AA19" s="252">
        <v>1393.7769116664201</v>
      </c>
      <c r="AB19" s="252">
        <v>1433.4419200676473</v>
      </c>
      <c r="AC19" s="252">
        <v>1456.1453528747693</v>
      </c>
      <c r="AD19" s="252">
        <v>1485.2811721064247</v>
      </c>
      <c r="AE19" s="252">
        <v>1520.9300831510745</v>
      </c>
      <c r="AF19" s="252">
        <v>1557.0475506323294</v>
      </c>
      <c r="AG19" s="252">
        <v>1595.577718696177</v>
      </c>
      <c r="AH19" s="252">
        <v>1652.8354820438581</v>
      </c>
      <c r="AI19" s="252">
        <v>1725.8530563361774</v>
      </c>
      <c r="AJ19" s="252">
        <v>1761.3319117186904</v>
      </c>
      <c r="AK19" s="252">
        <v>1805.9202413473718</v>
      </c>
      <c r="AL19" s="252">
        <v>1880.9330657442763</v>
      </c>
      <c r="AM19" s="252">
        <v>1914.3566279171368</v>
      </c>
      <c r="AN19" s="252">
        <v>1942.57759419076</v>
      </c>
      <c r="AO19" s="252">
        <v>1987.4907050844711</v>
      </c>
      <c r="AP19" s="252">
        <v>2035.3797578078556</v>
      </c>
      <c r="AQ19" s="252">
        <v>2121.9788673889343</v>
      </c>
      <c r="AR19" s="252">
        <v>2206.3061009302028</v>
      </c>
      <c r="AS19" s="252">
        <v>2265.1374898959471</v>
      </c>
      <c r="AT19" s="252">
        <f ca="1">OFFSET(Calcs!$A$1,Graphs!AT$14+8,15)</f>
        <v>2313.3301056847072</v>
      </c>
      <c r="AU19" s="252">
        <f ca="1">OFFSET(Calcs!$A$1,Graphs!AU$14+8,15)</f>
        <v>2334.4562618586156</v>
      </c>
      <c r="AV19" s="252">
        <f ca="1">OFFSET(Calcs!$A$1,Graphs!AV$14+8,15)</f>
        <v>2384.1236900854938</v>
      </c>
      <c r="AW19" s="252">
        <f ca="1">OFFSET(Calcs!$A$1,Graphs!AW$14+8,15)</f>
        <v>2420.155105465622</v>
      </c>
      <c r="AX19" s="252">
        <f ca="1">OFFSET(Calcs!$A$1,Graphs!AX$14+8,15)</f>
        <v>2420.155105465622</v>
      </c>
      <c r="AY19" s="252">
        <f ca="1">OFFSET(Calcs!$A$1,Graphs!AY$14+8,15)</f>
        <v>2420.155105465622</v>
      </c>
      <c r="AZ19" s="252">
        <f ca="1">OFFSET(Calcs!$A$1,Graphs!AZ$14+8,15)</f>
        <v>2443.881927185203</v>
      </c>
      <c r="BA19" s="252">
        <f ca="1">OFFSET(Calcs!$A$1,Graphs!BA$14+8,15)</f>
        <v>2457.1278673507768</v>
      </c>
      <c r="BB19" s="252">
        <f ca="1">OFFSET(Calcs!$A$1,Graphs!BB$14+8,15)</f>
        <v>2486.2059662794913</v>
      </c>
      <c r="BC19" s="252">
        <f ca="1">OFFSET(Calcs!$A$1,Graphs!BC$14+8,15)</f>
        <v>2486.2059662794913</v>
      </c>
      <c r="BD19" s="252">
        <f ca="1">OFFSET(Calcs!$A$1,Graphs!BD$14+8,15)</f>
        <v>2499.3257563163688</v>
      </c>
      <c r="BE19" s="252">
        <f ca="1">OFFSET(Calcs!$A$1,Graphs!BE$14+8,15)</f>
        <v>2517.9080186642836</v>
      </c>
      <c r="BF19" s="252">
        <f ca="1">OFFSET(Calcs!$A$1,Graphs!BF$14+8,15)</f>
        <v>2534.7501501822203</v>
      </c>
      <c r="BG19" s="252">
        <f ca="1">OFFSET(Calcs!$A$1,Graphs!BG$14+8,15)</f>
        <v>2564.746845350568</v>
      </c>
      <c r="BH19" s="252">
        <f ca="1">OFFSET(Calcs!$A$1,Graphs!BH$14+8,15)</f>
        <v>2564.746845350568</v>
      </c>
      <c r="BI19" s="252">
        <f ca="1">OFFSET(Calcs!$A$1,Graphs!BI$14+8,15)</f>
        <v>2564.746845350568</v>
      </c>
      <c r="BJ19" s="252">
        <f ca="1">OFFSET(Calcs!$A$1,Graphs!BJ$14+8,15)</f>
        <v>2609.0929576399953</v>
      </c>
      <c r="BK19" s="252">
        <f ca="1">OFFSET(Calcs!$A$1,Graphs!BK$14+8,15)</f>
        <v>2625.9802319342775</v>
      </c>
      <c r="BL19" s="252">
        <f ca="1">OFFSET(Calcs!$A$1,Graphs!BL$14+8,15)</f>
        <v>2680.8767946526777</v>
      </c>
      <c r="BM19" s="252">
        <f ca="1">OFFSET(Calcs!$A$1,Graphs!BM$14+8,15)</f>
        <v>2736.9209793377809</v>
      </c>
      <c r="BN19" s="252">
        <f ca="1">OFFSET(Calcs!$A$1,Graphs!BN$14+8,15)</f>
        <v>2736.9209793377809</v>
      </c>
      <c r="BO19" s="252">
        <f ca="1">OFFSET(Calcs!$A$1,Graphs!BO$14+8,15)</f>
        <v>2753.5587457598513</v>
      </c>
      <c r="BP19" s="252">
        <f ca="1">OFFSET(Calcs!$A$1,Graphs!BP$14+8,15)</f>
        <v>2788.1942510076815</v>
      </c>
      <c r="BQ19" s="252">
        <f ca="1">OFFSET(Calcs!$A$1,Graphs!BQ$14+8,15)</f>
        <v>2788.1942510076815</v>
      </c>
      <c r="BR19" s="252">
        <f ca="1">OFFSET(Calcs!$A$1,Graphs!BR$14+8,15)</f>
        <v>2788.1942510076815</v>
      </c>
      <c r="BS19" s="252">
        <f ca="1">OFFSET(Calcs!$A$1,Graphs!BS$14+8,15)</f>
        <v>2806.240752940329</v>
      </c>
      <c r="BT19" s="252">
        <f ca="1">OFFSET(Calcs!$A$1,Graphs!BT$14+8,15)</f>
        <v>2806.240752940329</v>
      </c>
      <c r="BU19" s="252">
        <f ca="1">OFFSET(Calcs!$A$1,Graphs!BU$14+8,15)</f>
        <v>2787.5947038105496</v>
      </c>
      <c r="BV19" s="252">
        <f ca="1">OFFSET(Calcs!$A$1,Graphs!BV$14+8,15)</f>
        <v>2805.6373251923183</v>
      </c>
      <c r="BW19" s="252">
        <f ca="1">OFFSET(Calcs!$A$1,Graphs!BW$14+8,15)</f>
        <v>2842.0736647564909</v>
      </c>
      <c r="BX19" s="252">
        <f ca="1">OFFSET(Calcs!$A$1,Graphs!BX$14+8,15)</f>
        <v>2861.0841202976289</v>
      </c>
      <c r="BY19" s="252">
        <f ca="1">OFFSET(Calcs!$A$1,Graphs!BY$14+8,15)</f>
        <v>2883.1773246065181</v>
      </c>
      <c r="BZ19" s="252">
        <f ca="1">OFFSET(Calcs!$A$1,Graphs!BZ$14+8,15)</f>
        <v>2917.2973704486285</v>
      </c>
      <c r="CA19" s="252">
        <f ca="1">OFFSET(Calcs!$A$1,Graphs!CA$14+8,15)</f>
        <v>2917.2973704486285</v>
      </c>
      <c r="CB19" s="252">
        <f ca="1">OFFSET(Calcs!$A$1,Graphs!CB$14+8,15)</f>
        <v>2896.5337760630287</v>
      </c>
      <c r="CC19" s="252">
        <f ca="1">OFFSET(Calcs!$A$1,Graphs!CC$14+8,15)</f>
        <v>2936.7627696184063</v>
      </c>
      <c r="CD19" s="252">
        <f ca="1">OFFSET(Calcs!$A$1,Graphs!CD$14+8,15)</f>
        <v>2936.7627696184063</v>
      </c>
      <c r="CE19" s="252">
        <f ca="1">OFFSET(Calcs!$A$1,Graphs!CE$14+8,15)</f>
        <v>2915.8606320534209</v>
      </c>
      <c r="CF19" s="252">
        <f ca="1">OFFSET(Calcs!$A$1,Graphs!CF$14+8,15)</f>
        <v>2939.2810739686188</v>
      </c>
      <c r="CG19" s="252">
        <f ca="1">OFFSET(Calcs!$A$1,Graphs!CG$14+8,15)</f>
        <v>2939.2810739686188</v>
      </c>
      <c r="CH19" s="252">
        <f ca="1">OFFSET(Calcs!$A$1,Graphs!CH$14+8,15)</f>
        <v>2939.2810739686188</v>
      </c>
      <c r="CI19" s="252">
        <f ca="1">OFFSET(Calcs!$A$1,Graphs!CI$14+8,15)</f>
        <v>2939.2810739686188</v>
      </c>
      <c r="CJ19" s="252">
        <f ca="1">OFFSET(Calcs!$A$1,Graphs!CJ$14+8,15)</f>
        <v>2939.2810739686188</v>
      </c>
      <c r="CK19" s="252">
        <f ca="1">OFFSET(Calcs!$A$1,Graphs!CK$14+8,15)</f>
        <v>2986.6878137307476</v>
      </c>
      <c r="CL19" s="252">
        <f ca="1">OFFSET(Calcs!$A$1,Graphs!CL$14+8,15)</f>
        <v>2986.6878137307476</v>
      </c>
      <c r="CM19" s="252">
        <f ca="1">OFFSET(Calcs!$A$1,Graphs!CM$14+8,15)</f>
        <v>2986.6878137307476</v>
      </c>
      <c r="CN19" s="252">
        <f ca="1">OFFSET(Calcs!$A$1,Graphs!CN$14+8,15)</f>
        <v>2986.6878137307476</v>
      </c>
      <c r="CO19" s="252">
        <f ca="1">OFFSET(Calcs!$A$1,Graphs!CO$14+8,15)</f>
        <v>3011.6808719521737</v>
      </c>
      <c r="CP19" s="252">
        <f ca="1">OFFSET(Calcs!$A$1,Graphs!CP$14+8,15)</f>
        <v>3011.6808719521737</v>
      </c>
      <c r="CQ19" s="252">
        <f ca="1">OFFSET(Calcs!$A$1,Graphs!CQ$14+8,15)</f>
        <v>3035.8709502272786</v>
      </c>
      <c r="CR19" s="252">
        <f ca="1">OFFSET(Calcs!$A$1,Graphs!CR$14+8,15)</f>
        <v>3007.0951387361301</v>
      </c>
      <c r="CS19" s="252">
        <f ca="1">OFFSET(Calcs!$A$1,Graphs!CS$14+8,15)</f>
        <v>3007.0951387361301</v>
      </c>
      <c r="CT19" s="252">
        <f ca="1">OFFSET(Calcs!$A$1,Graphs!CT$14+8,15)</f>
        <v>3007.0951387361301</v>
      </c>
      <c r="CU19" s="252">
        <f ca="1">OFFSET(Calcs!$A$1,Graphs!CU$14+8,15)</f>
        <v>3007.0951387361301</v>
      </c>
      <c r="CV19" s="252">
        <f ca="1">OFFSET(Calcs!$A$1,Graphs!CV$14+8,15)</f>
        <v>2988.9254350374972</v>
      </c>
      <c r="CW19" s="252">
        <f ca="1">OFFSET(Calcs!$A$1,Graphs!CW$14+8,15)</f>
        <v>2967.6520345228364</v>
      </c>
      <c r="CX19" s="252">
        <f ca="1">OFFSET(Calcs!$A$1,Graphs!CX$14+8,15)</f>
        <v>2987.5024760379401</v>
      </c>
      <c r="CY19" s="252" t="e">
        <f ca="1">OFFSET(Calcs!$A$1,Graphs!CY$14+8,15)</f>
        <v>#N/A</v>
      </c>
      <c r="CZ19" s="252" t="e">
        <f ca="1">OFFSET(Calcs!$A$1,Graphs!CZ$14+8,15)</f>
        <v>#N/A</v>
      </c>
      <c r="DA19" s="252" t="e">
        <f ca="1">OFFSET(Calcs!$A$1,Graphs!DA$14+8,15)</f>
        <v>#N/A</v>
      </c>
      <c r="DC19" s="253" t="str">
        <f t="shared" si="7"/>
        <v>Attackers: Criminals</v>
      </c>
    </row>
    <row r="20" spans="1:116" s="252" customFormat="1" x14ac:dyDescent="0.3">
      <c r="A20" s="250" t="s">
        <v>2683</v>
      </c>
      <c r="B20" s="251">
        <v>1046.1015264363746</v>
      </c>
      <c r="C20" s="251">
        <v>1074.8845706534476</v>
      </c>
      <c r="D20" s="251">
        <v>1107.5357719031097</v>
      </c>
      <c r="E20" s="251">
        <v>1130.7716027225174</v>
      </c>
      <c r="F20" s="251">
        <v>1160.8235872029941</v>
      </c>
      <c r="G20" s="251">
        <v>1194.003039181435</v>
      </c>
      <c r="H20" s="251">
        <v>1232.0196860586145</v>
      </c>
      <c r="I20" s="251">
        <v>1245.8469231622257</v>
      </c>
      <c r="J20" s="251">
        <v>1279.229400661902</v>
      </c>
      <c r="K20" s="251">
        <v>1321.8664975935235</v>
      </c>
      <c r="L20" s="251">
        <v>1351.2465135101652</v>
      </c>
      <c r="M20" s="251">
        <v>1377.2908518959659</v>
      </c>
      <c r="N20" s="251">
        <v>1415.9064603495915</v>
      </c>
      <c r="O20" s="252">
        <v>1461.1670288568619</v>
      </c>
      <c r="P20" s="252">
        <v>1514.5563352148338</v>
      </c>
      <c r="Q20" s="252">
        <v>1561.712421618774</v>
      </c>
      <c r="R20" s="252">
        <v>1593.567531101379</v>
      </c>
      <c r="S20" s="252">
        <v>1643.7060746661521</v>
      </c>
      <c r="T20" s="252">
        <v>1729.7816049318762</v>
      </c>
      <c r="U20" s="252">
        <v>1767.1168625469963</v>
      </c>
      <c r="V20" s="252">
        <v>1818.003930587226</v>
      </c>
      <c r="W20" s="252">
        <v>1872.2315276051791</v>
      </c>
      <c r="X20" s="252">
        <v>1951.3283777866923</v>
      </c>
      <c r="Y20" s="252">
        <v>2026.6600609553759</v>
      </c>
      <c r="Z20" s="252">
        <v>2094.4351204005411</v>
      </c>
      <c r="AA20" s="252">
        <v>2132.1716783303937</v>
      </c>
      <c r="AB20" s="252">
        <v>2166.1629013656052</v>
      </c>
      <c r="AC20" s="252">
        <v>2219.4137144670922</v>
      </c>
      <c r="AD20" s="252">
        <v>2264.8897614094199</v>
      </c>
      <c r="AE20" s="252">
        <v>2313.3112355405369</v>
      </c>
      <c r="AF20" s="252">
        <v>2362.2116045635075</v>
      </c>
      <c r="AG20" s="252">
        <v>2395.2489943112951</v>
      </c>
      <c r="AH20" s="252">
        <v>2463.7690655595866</v>
      </c>
      <c r="AI20" s="252">
        <v>2519.5697459678127</v>
      </c>
      <c r="AJ20" s="252">
        <v>2583.3529577566924</v>
      </c>
      <c r="AK20" s="252">
        <v>2661.7031503840808</v>
      </c>
      <c r="AL20" s="252">
        <v>2706.9611669663841</v>
      </c>
      <c r="AM20" s="252">
        <v>2767.614495018066</v>
      </c>
      <c r="AN20" s="252">
        <v>2772.6818378118851</v>
      </c>
      <c r="AO20" s="252">
        <v>2836.7872651714038</v>
      </c>
      <c r="AP20" s="252">
        <v>2913.7994470275657</v>
      </c>
      <c r="AQ20" s="252">
        <v>2996.4674312806878</v>
      </c>
      <c r="AR20" s="252">
        <v>3043.0954832080238</v>
      </c>
      <c r="AS20" s="252">
        <v>3095.596171213143</v>
      </c>
      <c r="AT20" s="252">
        <f ca="1">OFFSET(Calcs!$A$1,Graphs!AT$14+9,15)</f>
        <v>3194.9117268975738</v>
      </c>
      <c r="AU20" s="252">
        <f ca="1">OFFSET(Calcs!$A$1,Graphs!AU$14+9,15)</f>
        <v>3238.7771074014008</v>
      </c>
      <c r="AV20" s="252">
        <f ca="1">OFFSET(Calcs!$A$1,Graphs!AV$14+9,15)</f>
        <v>3290.3215522721471</v>
      </c>
      <c r="AW20" s="252">
        <f ca="1">OFFSET(Calcs!$A$1,Graphs!AW$14+9,15)</f>
        <v>3306.814357687048</v>
      </c>
      <c r="AX20" s="252">
        <f ca="1">OFFSET(Calcs!$A$1,Graphs!AX$14+9,15)</f>
        <v>3306.814357687048</v>
      </c>
      <c r="AY20" s="252">
        <f ca="1">OFFSET(Calcs!$A$1,Graphs!AY$14+9,15)</f>
        <v>3306.814357687048</v>
      </c>
      <c r="AZ20" s="252">
        <f ca="1">OFFSET(Calcs!$A$1,Graphs!AZ$14+9,15)</f>
        <v>3355.5625873013778</v>
      </c>
      <c r="BA20" s="252">
        <f ca="1">OFFSET(Calcs!$A$1,Graphs!BA$14+9,15)</f>
        <v>3392.0357365260779</v>
      </c>
      <c r="BB20" s="252">
        <f ca="1">OFFSET(Calcs!$A$1,Graphs!BB$14+9,15)</f>
        <v>3412.0476888962917</v>
      </c>
      <c r="BC20" s="252">
        <f ca="1">OFFSET(Calcs!$A$1,Graphs!BC$14+9,15)</f>
        <v>3412.0476888962917</v>
      </c>
      <c r="BD20" s="252">
        <f ca="1">OFFSET(Calcs!$A$1,Graphs!BD$14+9,15)</f>
        <v>3430.0531759240307</v>
      </c>
      <c r="BE20" s="252">
        <f ca="1">OFFSET(Calcs!$A$1,Graphs!BE$14+9,15)</f>
        <v>3455.5553129788896</v>
      </c>
      <c r="BF20" s="252">
        <f ca="1">OFFSET(Calcs!$A$1,Graphs!BF$14+9,15)</f>
        <v>3455.5553129788896</v>
      </c>
      <c r="BG20" s="252">
        <f ca="1">OFFSET(Calcs!$A$1,Graphs!BG$14+9,15)</f>
        <v>3455.5553129788896</v>
      </c>
      <c r="BH20" s="252">
        <f ca="1">OFFSET(Calcs!$A$1,Graphs!BH$14+9,15)</f>
        <v>3455.5553129788896</v>
      </c>
      <c r="BI20" s="252">
        <f ca="1">OFFSET(Calcs!$A$1,Graphs!BI$14+9,15)</f>
        <v>3455.5553129788896</v>
      </c>
      <c r="BJ20" s="252">
        <f ca="1">OFFSET(Calcs!$A$1,Graphs!BJ$14+9,15)</f>
        <v>3475.3578681834497</v>
      </c>
      <c r="BK20" s="252">
        <f ca="1">OFFSET(Calcs!$A$1,Graphs!BK$14+9,15)</f>
        <v>3475.3578681834497</v>
      </c>
      <c r="BL20" s="252">
        <f ca="1">OFFSET(Calcs!$A$1,Graphs!BL$14+9,15)</f>
        <v>3475.3578681834497</v>
      </c>
      <c r="BM20" s="252">
        <f ca="1">OFFSET(Calcs!$A$1,Graphs!BM$14+9,15)</f>
        <v>3523.6259569028612</v>
      </c>
      <c r="BN20" s="252">
        <f ca="1">OFFSET(Calcs!$A$1,Graphs!BN$14+9,15)</f>
        <v>3588.2778468117349</v>
      </c>
      <c r="BO20" s="252">
        <f ca="1">OFFSET(Calcs!$A$1,Graphs!BO$14+9,15)</f>
        <v>3588.2778468117349</v>
      </c>
      <c r="BP20" s="252">
        <f ca="1">OFFSET(Calcs!$A$1,Graphs!BP$14+9,15)</f>
        <v>3633.4128258221881</v>
      </c>
      <c r="BQ20" s="252">
        <f ca="1">OFFSET(Calcs!$A$1,Graphs!BQ$14+9,15)</f>
        <v>3633.4128258221881</v>
      </c>
      <c r="BR20" s="252">
        <f ca="1">OFFSET(Calcs!$A$1,Graphs!BR$14+9,15)</f>
        <v>3657.7165002288161</v>
      </c>
      <c r="BS20" s="252">
        <f ca="1">OFFSET(Calcs!$A$1,Graphs!BS$14+9,15)</f>
        <v>3681.3909583002364</v>
      </c>
      <c r="BT20" s="252">
        <f ca="1">OFFSET(Calcs!$A$1,Graphs!BT$14+9,15)</f>
        <v>3705.2186485767606</v>
      </c>
      <c r="BU20" s="252">
        <f ca="1">OFFSET(Calcs!$A$1,Graphs!BU$14+9,15)</f>
        <v>3730.0026277052539</v>
      </c>
      <c r="BV20" s="252">
        <f ca="1">OFFSET(Calcs!$A$1,Graphs!BV$14+9,15)</f>
        <v>3730.0026277052539</v>
      </c>
      <c r="BW20" s="252">
        <f ca="1">OFFSET(Calcs!$A$1,Graphs!BW$14+9,15)</f>
        <v>3754.1449555238178</v>
      </c>
      <c r="BX20" s="252">
        <f ca="1">OFFSET(Calcs!$A$1,Graphs!BX$14+9,15)</f>
        <v>3779.2561997033695</v>
      </c>
      <c r="BY20" s="252">
        <f ca="1">OFFSET(Calcs!$A$1,Graphs!BY$14+9,15)</f>
        <v>3779.2561997033695</v>
      </c>
      <c r="BZ20" s="252">
        <f ca="1">OFFSET(Calcs!$A$1,Graphs!BZ$14+9,15)</f>
        <v>3779.2561997033695</v>
      </c>
      <c r="CA20" s="252">
        <f ca="1">OFFSET(Calcs!$A$1,Graphs!CA$14+9,15)</f>
        <v>3779.2561997033695</v>
      </c>
      <c r="CB20" s="252">
        <f ca="1">OFFSET(Calcs!$A$1,Graphs!CB$14+9,15)</f>
        <v>3779.2561997033695</v>
      </c>
      <c r="CC20" s="252">
        <f ca="1">OFFSET(Calcs!$A$1,Graphs!CC$14+9,15)</f>
        <v>3779.2561997033695</v>
      </c>
      <c r="CD20" s="252">
        <f ca="1">OFFSET(Calcs!$A$1,Graphs!CD$14+9,15)</f>
        <v>3808.4395008035822</v>
      </c>
      <c r="CE20" s="252">
        <f ca="1">OFFSET(Calcs!$A$1,Graphs!CE$14+9,15)</f>
        <v>3808.4395008035822</v>
      </c>
      <c r="CF20" s="252">
        <f ca="1">OFFSET(Calcs!$A$1,Graphs!CF$14+9,15)</f>
        <v>3839.029212511889</v>
      </c>
      <c r="CG20" s="252">
        <f ca="1">OFFSET(Calcs!$A$1,Graphs!CG$14+9,15)</f>
        <v>3839.029212511889</v>
      </c>
      <c r="CH20" s="252">
        <f ca="1">OFFSET(Calcs!$A$1,Graphs!CH$14+9,15)</f>
        <v>3874.0885974653897</v>
      </c>
      <c r="CI20" s="252">
        <f ca="1">OFFSET(Calcs!$A$1,Graphs!CI$14+9,15)</f>
        <v>3900.8987925471856</v>
      </c>
      <c r="CJ20" s="252">
        <f ca="1">OFFSET(Calcs!$A$1,Graphs!CJ$14+9,15)</f>
        <v>3933.5421073890666</v>
      </c>
      <c r="CK20" s="252">
        <f ca="1">OFFSET(Calcs!$A$1,Graphs!CK$14+9,15)</f>
        <v>3965.1366539302758</v>
      </c>
      <c r="CL20" s="252">
        <f ca="1">OFFSET(Calcs!$A$1,Graphs!CL$14+9,15)</f>
        <v>3965.1366539302758</v>
      </c>
      <c r="CM20" s="252">
        <f ca="1">OFFSET(Calcs!$A$1,Graphs!CM$14+9,15)</f>
        <v>4069.9360063135841</v>
      </c>
      <c r="CN20" s="252">
        <f ca="1">OFFSET(Calcs!$A$1,Graphs!CN$14+9,15)</f>
        <v>4115.4096811867203</v>
      </c>
      <c r="CO20" s="252">
        <f ca="1">OFFSET(Calcs!$A$1,Graphs!CO$14+9,15)</f>
        <v>4115.4096811867203</v>
      </c>
      <c r="CP20" s="252">
        <f ca="1">OFFSET(Calcs!$A$1,Graphs!CP$14+9,15)</f>
        <v>4115.4096811867203</v>
      </c>
      <c r="CQ20" s="252">
        <f ca="1">OFFSET(Calcs!$A$1,Graphs!CQ$14+9,15)</f>
        <v>4148.4650036311268</v>
      </c>
      <c r="CR20" s="252">
        <f ca="1">OFFSET(Calcs!$A$1,Graphs!CR$14+9,15)</f>
        <v>4148.4650036311268</v>
      </c>
      <c r="CS20" s="252">
        <f ca="1">OFFSET(Calcs!$A$1,Graphs!CS$14+9,15)</f>
        <v>4148.4650036311268</v>
      </c>
      <c r="CT20" s="252">
        <f ca="1">OFFSET(Calcs!$A$1,Graphs!CT$14+9,15)</f>
        <v>4194.8160883914434</v>
      </c>
      <c r="CU20" s="252">
        <f ca="1">OFFSET(Calcs!$A$1,Graphs!CU$14+9,15)</f>
        <v>4194.8160883914434</v>
      </c>
      <c r="CV20" s="252">
        <f ca="1">OFFSET(Calcs!$A$1,Graphs!CV$14+9,15)</f>
        <v>4220.3164118531331</v>
      </c>
      <c r="CW20" s="252">
        <f ca="1">OFFSET(Calcs!$A$1,Graphs!CW$14+9,15)</f>
        <v>4190.2786998796255</v>
      </c>
      <c r="CX20" s="252">
        <f ca="1">OFFSET(Calcs!$A$1,Graphs!CX$14+9,15)</f>
        <v>4218.3072157892811</v>
      </c>
      <c r="CY20" s="252" t="e">
        <f ca="1">OFFSET(Calcs!$A$1,Graphs!CY$14+9,15)</f>
        <v>#N/A</v>
      </c>
      <c r="CZ20" s="252" t="e">
        <f ca="1">OFFSET(Calcs!$A$1,Graphs!CZ$14+9,15)</f>
        <v>#N/A</v>
      </c>
      <c r="DA20" s="252" t="e">
        <f ca="1">OFFSET(Calcs!$A$1,Graphs!DA$14+9,15)</f>
        <v>#N/A</v>
      </c>
      <c r="DC20" s="253" t="str">
        <f t="shared" si="7"/>
        <v>Nation states</v>
      </c>
    </row>
    <row r="21" spans="1:116" s="252" customFormat="1" x14ac:dyDescent="0.3">
      <c r="A21" s="250" t="s">
        <v>2684</v>
      </c>
      <c r="B21" s="251" t="e">
        <f>IF(AND(ISNA(C16),B16&lt;&gt;""),B16,NA())</f>
        <v>#N/A</v>
      </c>
      <c r="C21" s="251" t="e">
        <f t="shared" ref="C21:BN21" si="8">IF(AND(ISNA(D16),C16&lt;&gt;""),C16,NA())</f>
        <v>#N/A</v>
      </c>
      <c r="D21" s="251" t="e">
        <f t="shared" si="8"/>
        <v>#N/A</v>
      </c>
      <c r="E21" s="251" t="e">
        <f t="shared" si="8"/>
        <v>#N/A</v>
      </c>
      <c r="F21" s="251" t="e">
        <f t="shared" si="8"/>
        <v>#N/A</v>
      </c>
      <c r="G21" s="251" t="e">
        <f t="shared" si="8"/>
        <v>#N/A</v>
      </c>
      <c r="H21" s="251" t="e">
        <f t="shared" si="8"/>
        <v>#N/A</v>
      </c>
      <c r="I21" s="251" t="e">
        <f t="shared" si="8"/>
        <v>#N/A</v>
      </c>
      <c r="J21" s="251" t="e">
        <f t="shared" si="8"/>
        <v>#N/A</v>
      </c>
      <c r="K21" s="251" t="e">
        <f t="shared" si="8"/>
        <v>#N/A</v>
      </c>
      <c r="L21" s="251" t="e">
        <f t="shared" si="8"/>
        <v>#N/A</v>
      </c>
      <c r="M21" s="251" t="e">
        <f t="shared" si="8"/>
        <v>#N/A</v>
      </c>
      <c r="N21" s="251" t="e">
        <f t="shared" si="8"/>
        <v>#N/A</v>
      </c>
      <c r="O21" s="251" t="e">
        <f t="shared" si="8"/>
        <v>#N/A</v>
      </c>
      <c r="P21" s="251" t="e">
        <f t="shared" si="8"/>
        <v>#N/A</v>
      </c>
      <c r="Q21" s="251" t="e">
        <f t="shared" si="8"/>
        <v>#N/A</v>
      </c>
      <c r="R21" s="251" t="e">
        <f t="shared" si="8"/>
        <v>#N/A</v>
      </c>
      <c r="S21" s="251" t="e">
        <f t="shared" si="8"/>
        <v>#N/A</v>
      </c>
      <c r="T21" s="251" t="e">
        <f t="shared" si="8"/>
        <v>#N/A</v>
      </c>
      <c r="U21" s="251" t="e">
        <f t="shared" si="8"/>
        <v>#N/A</v>
      </c>
      <c r="V21" s="251" t="e">
        <f t="shared" si="8"/>
        <v>#N/A</v>
      </c>
      <c r="W21" s="251" t="e">
        <f t="shared" si="8"/>
        <v>#N/A</v>
      </c>
      <c r="X21" s="251" t="e">
        <f t="shared" si="8"/>
        <v>#N/A</v>
      </c>
      <c r="Y21" s="251" t="e">
        <f t="shared" si="8"/>
        <v>#N/A</v>
      </c>
      <c r="Z21" s="251" t="e">
        <f t="shared" si="8"/>
        <v>#N/A</v>
      </c>
      <c r="AA21" s="251" t="e">
        <f t="shared" si="8"/>
        <v>#N/A</v>
      </c>
      <c r="AB21" s="251" t="e">
        <f t="shared" si="8"/>
        <v>#N/A</v>
      </c>
      <c r="AC21" s="251" t="e">
        <f t="shared" si="8"/>
        <v>#N/A</v>
      </c>
      <c r="AD21" s="251" t="e">
        <f t="shared" si="8"/>
        <v>#N/A</v>
      </c>
      <c r="AE21" s="251" t="e">
        <f t="shared" si="8"/>
        <v>#N/A</v>
      </c>
      <c r="AF21" s="251" t="e">
        <f t="shared" si="8"/>
        <v>#N/A</v>
      </c>
      <c r="AG21" s="251" t="e">
        <f t="shared" si="8"/>
        <v>#N/A</v>
      </c>
      <c r="AH21" s="251" t="e">
        <f t="shared" si="8"/>
        <v>#N/A</v>
      </c>
      <c r="AI21" s="251" t="e">
        <f t="shared" si="8"/>
        <v>#N/A</v>
      </c>
      <c r="AJ21" s="251" t="e">
        <f t="shared" si="8"/>
        <v>#N/A</v>
      </c>
      <c r="AK21" s="251" t="e">
        <f t="shared" si="8"/>
        <v>#N/A</v>
      </c>
      <c r="AL21" s="251" t="e">
        <f t="shared" si="8"/>
        <v>#N/A</v>
      </c>
      <c r="AM21" s="251" t="e">
        <f t="shared" si="8"/>
        <v>#N/A</v>
      </c>
      <c r="AN21" s="251" t="e">
        <f t="shared" si="8"/>
        <v>#N/A</v>
      </c>
      <c r="AO21" s="251" t="e">
        <f t="shared" si="8"/>
        <v>#N/A</v>
      </c>
      <c r="AP21" s="251" t="e">
        <f t="shared" si="8"/>
        <v>#N/A</v>
      </c>
      <c r="AQ21" s="251" t="e">
        <f t="shared" si="8"/>
        <v>#N/A</v>
      </c>
      <c r="AR21" s="251" t="e">
        <f t="shared" si="8"/>
        <v>#N/A</v>
      </c>
      <c r="AS21" s="251" t="e">
        <f t="shared" ca="1" si="8"/>
        <v>#N/A</v>
      </c>
      <c r="AT21" s="251" t="e">
        <f t="shared" ca="1" si="8"/>
        <v>#N/A</v>
      </c>
      <c r="AU21" s="251" t="e">
        <f t="shared" ca="1" si="8"/>
        <v>#N/A</v>
      </c>
      <c r="AV21" s="251" t="e">
        <f t="shared" ca="1" si="8"/>
        <v>#N/A</v>
      </c>
      <c r="AW21" s="251" t="e">
        <f t="shared" ca="1" si="8"/>
        <v>#N/A</v>
      </c>
      <c r="AX21" s="251" t="e">
        <f t="shared" ca="1" si="8"/>
        <v>#N/A</v>
      </c>
      <c r="AY21" s="251" t="e">
        <f t="shared" ca="1" si="8"/>
        <v>#N/A</v>
      </c>
      <c r="AZ21" s="251" t="e">
        <f t="shared" ca="1" si="8"/>
        <v>#N/A</v>
      </c>
      <c r="BA21" s="251" t="e">
        <f t="shared" ca="1" si="8"/>
        <v>#N/A</v>
      </c>
      <c r="BB21" s="251" t="e">
        <f t="shared" ca="1" si="8"/>
        <v>#N/A</v>
      </c>
      <c r="BC21" s="251" t="e">
        <f t="shared" ca="1" si="8"/>
        <v>#N/A</v>
      </c>
      <c r="BD21" s="251" t="e">
        <f t="shared" ca="1" si="8"/>
        <v>#N/A</v>
      </c>
      <c r="BE21" s="251" t="e">
        <f t="shared" ca="1" si="8"/>
        <v>#N/A</v>
      </c>
      <c r="BF21" s="251" t="e">
        <f t="shared" ca="1" si="8"/>
        <v>#N/A</v>
      </c>
      <c r="BG21" s="251" t="e">
        <f t="shared" ca="1" si="8"/>
        <v>#N/A</v>
      </c>
      <c r="BH21" s="251" t="e">
        <f t="shared" ca="1" si="8"/>
        <v>#N/A</v>
      </c>
      <c r="BI21" s="251" t="e">
        <f t="shared" ca="1" si="8"/>
        <v>#N/A</v>
      </c>
      <c r="BJ21" s="251" t="e">
        <f t="shared" ca="1" si="8"/>
        <v>#N/A</v>
      </c>
      <c r="BK21" s="251" t="e">
        <f t="shared" ca="1" si="8"/>
        <v>#N/A</v>
      </c>
      <c r="BL21" s="251" t="e">
        <f t="shared" ca="1" si="8"/>
        <v>#N/A</v>
      </c>
      <c r="BM21" s="251" t="e">
        <f t="shared" ca="1" si="8"/>
        <v>#N/A</v>
      </c>
      <c r="BN21" s="251" t="e">
        <f t="shared" ca="1" si="8"/>
        <v>#N/A</v>
      </c>
      <c r="BO21" s="251" t="e">
        <f t="shared" ref="BO21:DA21" ca="1" si="9">IF(AND(ISNA(BP16),BO16&lt;&gt;""),BO16,NA())</f>
        <v>#N/A</v>
      </c>
      <c r="BP21" s="251" t="e">
        <f t="shared" ca="1" si="9"/>
        <v>#N/A</v>
      </c>
      <c r="BQ21" s="251" t="e">
        <f t="shared" ca="1" si="9"/>
        <v>#N/A</v>
      </c>
      <c r="BR21" s="251" t="e">
        <f t="shared" ca="1" si="9"/>
        <v>#N/A</v>
      </c>
      <c r="BS21" s="251" t="e">
        <f t="shared" ca="1" si="9"/>
        <v>#N/A</v>
      </c>
      <c r="BT21" s="251" t="e">
        <f t="shared" ca="1" si="9"/>
        <v>#N/A</v>
      </c>
      <c r="BU21" s="251" t="e">
        <f t="shared" ca="1" si="9"/>
        <v>#N/A</v>
      </c>
      <c r="BV21" s="251" t="e">
        <f t="shared" ca="1" si="9"/>
        <v>#N/A</v>
      </c>
      <c r="BW21" s="251" t="e">
        <f t="shared" ca="1" si="9"/>
        <v>#N/A</v>
      </c>
      <c r="BX21" s="251" t="e">
        <f t="shared" ca="1" si="9"/>
        <v>#N/A</v>
      </c>
      <c r="BY21" s="251" t="e">
        <f t="shared" ca="1" si="9"/>
        <v>#N/A</v>
      </c>
      <c r="BZ21" s="251" t="e">
        <f t="shared" ca="1" si="9"/>
        <v>#N/A</v>
      </c>
      <c r="CA21" s="251" t="e">
        <f t="shared" ca="1" si="9"/>
        <v>#N/A</v>
      </c>
      <c r="CB21" s="251" t="e">
        <f t="shared" ca="1" si="9"/>
        <v>#N/A</v>
      </c>
      <c r="CC21" s="251" t="e">
        <f t="shared" ca="1" si="9"/>
        <v>#N/A</v>
      </c>
      <c r="CD21" s="251" t="e">
        <f t="shared" ca="1" si="9"/>
        <v>#N/A</v>
      </c>
      <c r="CE21" s="251" t="e">
        <f t="shared" ca="1" si="9"/>
        <v>#N/A</v>
      </c>
      <c r="CF21" s="251" t="e">
        <f t="shared" ca="1" si="9"/>
        <v>#N/A</v>
      </c>
      <c r="CG21" s="251" t="e">
        <f t="shared" ca="1" si="9"/>
        <v>#N/A</v>
      </c>
      <c r="CH21" s="251" t="e">
        <f t="shared" ca="1" si="9"/>
        <v>#N/A</v>
      </c>
      <c r="CI21" s="251" t="e">
        <f t="shared" ca="1" si="9"/>
        <v>#N/A</v>
      </c>
      <c r="CJ21" s="251" t="e">
        <f t="shared" ca="1" si="9"/>
        <v>#N/A</v>
      </c>
      <c r="CK21" s="251" t="e">
        <f t="shared" ca="1" si="9"/>
        <v>#N/A</v>
      </c>
      <c r="CL21" s="251" t="e">
        <f t="shared" ca="1" si="9"/>
        <v>#N/A</v>
      </c>
      <c r="CM21" s="251" t="e">
        <f t="shared" ca="1" si="9"/>
        <v>#N/A</v>
      </c>
      <c r="CN21" s="251" t="e">
        <f t="shared" ca="1" si="9"/>
        <v>#N/A</v>
      </c>
      <c r="CO21" s="251" t="e">
        <f t="shared" ca="1" si="9"/>
        <v>#N/A</v>
      </c>
      <c r="CP21" s="251" t="e">
        <f t="shared" ca="1" si="9"/>
        <v>#N/A</v>
      </c>
      <c r="CQ21" s="251" t="e">
        <f t="shared" ca="1" si="9"/>
        <v>#N/A</v>
      </c>
      <c r="CR21" s="251" t="e">
        <f t="shared" ca="1" si="9"/>
        <v>#N/A</v>
      </c>
      <c r="CS21" s="251" t="e">
        <f t="shared" ca="1" si="9"/>
        <v>#N/A</v>
      </c>
      <c r="CT21" s="251" t="e">
        <f t="shared" ca="1" si="9"/>
        <v>#N/A</v>
      </c>
      <c r="CU21" s="251" t="e">
        <f t="shared" ca="1" si="9"/>
        <v>#N/A</v>
      </c>
      <c r="CV21" s="251" t="e">
        <f t="shared" ca="1" si="9"/>
        <v>#N/A</v>
      </c>
      <c r="CW21" s="251" t="e">
        <f t="shared" ca="1" si="9"/>
        <v>#N/A</v>
      </c>
      <c r="CX21" s="251">
        <f t="shared" ca="1" si="9"/>
        <v>2310.0143436936673</v>
      </c>
      <c r="CY21" s="251" t="e">
        <f t="shared" ca="1" si="9"/>
        <v>#N/A</v>
      </c>
      <c r="CZ21" s="251" t="e">
        <f t="shared" ca="1" si="9"/>
        <v>#N/A</v>
      </c>
      <c r="DA21" s="251" t="e">
        <f t="shared" ca="1" si="9"/>
        <v>#N/A</v>
      </c>
      <c r="DB21" s="251" t="e">
        <f t="shared" ref="DB21:DL21" si="10">IF(AND(DC16="",DB16&lt;&gt;""),DB16,NA())</f>
        <v>#N/A</v>
      </c>
      <c r="DC21" s="251" t="str">
        <f t="shared" si="10"/>
        <v>Attackers: Insider threat</v>
      </c>
      <c r="DD21" s="251" t="e">
        <f t="shared" si="10"/>
        <v>#N/A</v>
      </c>
      <c r="DE21" s="251" t="e">
        <f t="shared" si="10"/>
        <v>#N/A</v>
      </c>
      <c r="DF21" s="251" t="e">
        <f t="shared" si="10"/>
        <v>#N/A</v>
      </c>
      <c r="DG21" s="251" t="e">
        <f t="shared" si="10"/>
        <v>#N/A</v>
      </c>
      <c r="DH21" s="251" t="e">
        <f t="shared" si="10"/>
        <v>#N/A</v>
      </c>
      <c r="DI21" s="251" t="e">
        <f t="shared" si="10"/>
        <v>#N/A</v>
      </c>
      <c r="DJ21" s="251" t="e">
        <f t="shared" si="10"/>
        <v>#N/A</v>
      </c>
      <c r="DK21" s="251" t="e">
        <f t="shared" si="10"/>
        <v>#N/A</v>
      </c>
      <c r="DL21" s="251" t="e">
        <f t="shared" si="10"/>
        <v>#N/A</v>
      </c>
    </row>
    <row r="22" spans="1:116" s="252" customFormat="1" x14ac:dyDescent="0.3">
      <c r="A22" s="250" t="s">
        <v>2685</v>
      </c>
      <c r="B22" s="251" t="e">
        <f>IF(AND(ISNA(C17),B17&lt;&gt;""),B17,NA())</f>
        <v>#N/A</v>
      </c>
      <c r="C22" s="251" t="e">
        <f t="shared" ref="C22:BN23" si="11">IF(AND(ISNA(D17),C17&lt;&gt;""),C17,NA())</f>
        <v>#N/A</v>
      </c>
      <c r="D22" s="251" t="e">
        <f t="shared" si="11"/>
        <v>#N/A</v>
      </c>
      <c r="E22" s="251" t="e">
        <f t="shared" si="11"/>
        <v>#N/A</v>
      </c>
      <c r="F22" s="251" t="e">
        <f t="shared" si="11"/>
        <v>#N/A</v>
      </c>
      <c r="G22" s="251" t="e">
        <f t="shared" si="11"/>
        <v>#N/A</v>
      </c>
      <c r="H22" s="251" t="e">
        <f t="shared" si="11"/>
        <v>#N/A</v>
      </c>
      <c r="I22" s="251" t="e">
        <f t="shared" si="11"/>
        <v>#N/A</v>
      </c>
      <c r="J22" s="251" t="e">
        <f t="shared" si="11"/>
        <v>#N/A</v>
      </c>
      <c r="K22" s="251" t="e">
        <f t="shared" si="11"/>
        <v>#N/A</v>
      </c>
      <c r="L22" s="251" t="e">
        <f t="shared" si="11"/>
        <v>#N/A</v>
      </c>
      <c r="M22" s="251" t="e">
        <f t="shared" si="11"/>
        <v>#N/A</v>
      </c>
      <c r="N22" s="251" t="e">
        <f t="shared" si="11"/>
        <v>#N/A</v>
      </c>
      <c r="O22" s="251" t="e">
        <f t="shared" si="11"/>
        <v>#N/A</v>
      </c>
      <c r="P22" s="251" t="e">
        <f t="shared" si="11"/>
        <v>#N/A</v>
      </c>
      <c r="Q22" s="251" t="e">
        <f t="shared" si="11"/>
        <v>#N/A</v>
      </c>
      <c r="R22" s="251" t="e">
        <f t="shared" si="11"/>
        <v>#N/A</v>
      </c>
      <c r="S22" s="251" t="e">
        <f t="shared" si="11"/>
        <v>#N/A</v>
      </c>
      <c r="T22" s="251" t="e">
        <f t="shared" si="11"/>
        <v>#N/A</v>
      </c>
      <c r="U22" s="251" t="e">
        <f t="shared" si="11"/>
        <v>#N/A</v>
      </c>
      <c r="V22" s="251" t="e">
        <f t="shared" si="11"/>
        <v>#N/A</v>
      </c>
      <c r="W22" s="251" t="e">
        <f t="shared" si="11"/>
        <v>#N/A</v>
      </c>
      <c r="X22" s="251" t="e">
        <f t="shared" si="11"/>
        <v>#N/A</v>
      </c>
      <c r="Y22" s="251" t="e">
        <f t="shared" si="11"/>
        <v>#N/A</v>
      </c>
      <c r="Z22" s="251" t="e">
        <f t="shared" si="11"/>
        <v>#N/A</v>
      </c>
      <c r="AA22" s="251" t="e">
        <f t="shared" si="11"/>
        <v>#N/A</v>
      </c>
      <c r="AB22" s="251" t="e">
        <f t="shared" si="11"/>
        <v>#N/A</v>
      </c>
      <c r="AC22" s="251" t="e">
        <f t="shared" si="11"/>
        <v>#N/A</v>
      </c>
      <c r="AD22" s="251" t="e">
        <f t="shared" si="11"/>
        <v>#N/A</v>
      </c>
      <c r="AE22" s="251" t="e">
        <f t="shared" si="11"/>
        <v>#N/A</v>
      </c>
      <c r="AF22" s="251" t="e">
        <f t="shared" si="11"/>
        <v>#N/A</v>
      </c>
      <c r="AG22" s="251" t="e">
        <f t="shared" si="11"/>
        <v>#N/A</v>
      </c>
      <c r="AH22" s="251" t="e">
        <f t="shared" si="11"/>
        <v>#N/A</v>
      </c>
      <c r="AI22" s="251" t="e">
        <f t="shared" si="11"/>
        <v>#N/A</v>
      </c>
      <c r="AJ22" s="251" t="e">
        <f t="shared" si="11"/>
        <v>#N/A</v>
      </c>
      <c r="AK22" s="251" t="e">
        <f t="shared" si="11"/>
        <v>#N/A</v>
      </c>
      <c r="AL22" s="251" t="e">
        <f t="shared" si="11"/>
        <v>#N/A</v>
      </c>
      <c r="AM22" s="251" t="e">
        <f t="shared" si="11"/>
        <v>#N/A</v>
      </c>
      <c r="AN22" s="251" t="e">
        <f t="shared" si="11"/>
        <v>#N/A</v>
      </c>
      <c r="AO22" s="251" t="e">
        <f t="shared" si="11"/>
        <v>#N/A</v>
      </c>
      <c r="AP22" s="251" t="e">
        <f t="shared" si="11"/>
        <v>#N/A</v>
      </c>
      <c r="AQ22" s="251" t="e">
        <f t="shared" si="11"/>
        <v>#N/A</v>
      </c>
      <c r="AR22" s="251" t="e">
        <f t="shared" si="11"/>
        <v>#N/A</v>
      </c>
      <c r="AS22" s="251" t="e">
        <f t="shared" ca="1" si="11"/>
        <v>#N/A</v>
      </c>
      <c r="AT22" s="251" t="e">
        <f t="shared" ca="1" si="11"/>
        <v>#N/A</v>
      </c>
      <c r="AU22" s="251" t="e">
        <f t="shared" ca="1" si="11"/>
        <v>#N/A</v>
      </c>
      <c r="AV22" s="251" t="e">
        <f t="shared" ca="1" si="11"/>
        <v>#N/A</v>
      </c>
      <c r="AW22" s="251" t="e">
        <f t="shared" ca="1" si="11"/>
        <v>#N/A</v>
      </c>
      <c r="AX22" s="251" t="e">
        <f t="shared" ca="1" si="11"/>
        <v>#N/A</v>
      </c>
      <c r="AY22" s="251" t="e">
        <f t="shared" ca="1" si="11"/>
        <v>#N/A</v>
      </c>
      <c r="AZ22" s="251" t="e">
        <f t="shared" ca="1" si="11"/>
        <v>#N/A</v>
      </c>
      <c r="BA22" s="251" t="e">
        <f t="shared" ca="1" si="11"/>
        <v>#N/A</v>
      </c>
      <c r="BB22" s="251" t="e">
        <f t="shared" ca="1" si="11"/>
        <v>#N/A</v>
      </c>
      <c r="BC22" s="251" t="e">
        <f t="shared" ca="1" si="11"/>
        <v>#N/A</v>
      </c>
      <c r="BD22" s="251" t="e">
        <f t="shared" ca="1" si="11"/>
        <v>#N/A</v>
      </c>
      <c r="BE22" s="251" t="e">
        <f t="shared" ca="1" si="11"/>
        <v>#N/A</v>
      </c>
      <c r="BF22" s="251" t="e">
        <f t="shared" ca="1" si="11"/>
        <v>#N/A</v>
      </c>
      <c r="BG22" s="251" t="e">
        <f t="shared" ca="1" si="11"/>
        <v>#N/A</v>
      </c>
      <c r="BH22" s="251" t="e">
        <f t="shared" ca="1" si="11"/>
        <v>#N/A</v>
      </c>
      <c r="BI22" s="251" t="e">
        <f t="shared" ca="1" si="11"/>
        <v>#N/A</v>
      </c>
      <c r="BJ22" s="251" t="e">
        <f t="shared" ca="1" si="11"/>
        <v>#N/A</v>
      </c>
      <c r="BK22" s="251" t="e">
        <f t="shared" ca="1" si="11"/>
        <v>#N/A</v>
      </c>
      <c r="BL22" s="251" t="e">
        <f t="shared" ca="1" si="11"/>
        <v>#N/A</v>
      </c>
      <c r="BM22" s="251" t="e">
        <f t="shared" ca="1" si="11"/>
        <v>#N/A</v>
      </c>
      <c r="BN22" s="251" t="e">
        <f t="shared" ca="1" si="11"/>
        <v>#N/A</v>
      </c>
      <c r="BO22" s="251" t="e">
        <f t="shared" ref="BO22:DA25" ca="1" si="12">IF(AND(ISNA(BP17),BO17&lt;&gt;""),BO17,NA())</f>
        <v>#N/A</v>
      </c>
      <c r="BP22" s="251" t="e">
        <f t="shared" ca="1" si="12"/>
        <v>#N/A</v>
      </c>
      <c r="BQ22" s="251" t="e">
        <f t="shared" ca="1" si="12"/>
        <v>#N/A</v>
      </c>
      <c r="BR22" s="251" t="e">
        <f t="shared" ca="1" si="12"/>
        <v>#N/A</v>
      </c>
      <c r="BS22" s="251" t="e">
        <f t="shared" ca="1" si="12"/>
        <v>#N/A</v>
      </c>
      <c r="BT22" s="251" t="e">
        <f t="shared" ca="1" si="12"/>
        <v>#N/A</v>
      </c>
      <c r="BU22" s="251" t="e">
        <f t="shared" ca="1" si="12"/>
        <v>#N/A</v>
      </c>
      <c r="BV22" s="251" t="e">
        <f t="shared" ca="1" si="12"/>
        <v>#N/A</v>
      </c>
      <c r="BW22" s="251" t="e">
        <f t="shared" ca="1" si="12"/>
        <v>#N/A</v>
      </c>
      <c r="BX22" s="251" t="e">
        <f t="shared" ca="1" si="12"/>
        <v>#N/A</v>
      </c>
      <c r="BY22" s="251" t="e">
        <f t="shared" ca="1" si="12"/>
        <v>#N/A</v>
      </c>
      <c r="BZ22" s="251" t="e">
        <f t="shared" ca="1" si="12"/>
        <v>#N/A</v>
      </c>
      <c r="CA22" s="251" t="e">
        <f t="shared" ca="1" si="12"/>
        <v>#N/A</v>
      </c>
      <c r="CB22" s="251" t="e">
        <f t="shared" ca="1" si="12"/>
        <v>#N/A</v>
      </c>
      <c r="CC22" s="251" t="e">
        <f t="shared" ca="1" si="12"/>
        <v>#N/A</v>
      </c>
      <c r="CD22" s="251" t="e">
        <f t="shared" ca="1" si="12"/>
        <v>#N/A</v>
      </c>
      <c r="CE22" s="251" t="e">
        <f t="shared" ca="1" si="12"/>
        <v>#N/A</v>
      </c>
      <c r="CF22" s="251" t="e">
        <f t="shared" ca="1" si="12"/>
        <v>#N/A</v>
      </c>
      <c r="CG22" s="251" t="e">
        <f t="shared" ca="1" si="12"/>
        <v>#N/A</v>
      </c>
      <c r="CH22" s="251" t="e">
        <f t="shared" ca="1" si="12"/>
        <v>#N/A</v>
      </c>
      <c r="CI22" s="251" t="e">
        <f t="shared" ca="1" si="12"/>
        <v>#N/A</v>
      </c>
      <c r="CJ22" s="251" t="e">
        <f t="shared" ca="1" si="12"/>
        <v>#N/A</v>
      </c>
      <c r="CK22" s="251" t="e">
        <f t="shared" ca="1" si="12"/>
        <v>#N/A</v>
      </c>
      <c r="CL22" s="251" t="e">
        <f t="shared" ca="1" si="12"/>
        <v>#N/A</v>
      </c>
      <c r="CM22" s="251" t="e">
        <f t="shared" ca="1" si="12"/>
        <v>#N/A</v>
      </c>
      <c r="CN22" s="251" t="e">
        <f t="shared" ca="1" si="12"/>
        <v>#N/A</v>
      </c>
      <c r="CO22" s="251" t="e">
        <f t="shared" ca="1" si="12"/>
        <v>#N/A</v>
      </c>
      <c r="CP22" s="251" t="e">
        <f t="shared" ca="1" si="12"/>
        <v>#N/A</v>
      </c>
      <c r="CQ22" s="251" t="e">
        <f t="shared" ca="1" si="12"/>
        <v>#N/A</v>
      </c>
      <c r="CR22" s="251" t="e">
        <f t="shared" ca="1" si="12"/>
        <v>#N/A</v>
      </c>
      <c r="CS22" s="251" t="e">
        <f t="shared" ca="1" si="12"/>
        <v>#N/A</v>
      </c>
      <c r="CT22" s="251" t="e">
        <f t="shared" ca="1" si="12"/>
        <v>#N/A</v>
      </c>
      <c r="CU22" s="251" t="e">
        <f t="shared" ca="1" si="12"/>
        <v>#N/A</v>
      </c>
      <c r="CV22" s="251" t="e">
        <f t="shared" ca="1" si="12"/>
        <v>#N/A</v>
      </c>
      <c r="CW22" s="251" t="e">
        <f t="shared" ca="1" si="12"/>
        <v>#N/A</v>
      </c>
      <c r="CX22" s="251">
        <f t="shared" ca="1" si="12"/>
        <v>1979.1037926562058</v>
      </c>
      <c r="CY22" s="251" t="e">
        <f t="shared" ca="1" si="12"/>
        <v>#N/A</v>
      </c>
      <c r="CZ22" s="251" t="e">
        <f t="shared" ca="1" si="12"/>
        <v>#N/A</v>
      </c>
      <c r="DA22" s="251" t="e">
        <f t="shared" ca="1" si="12"/>
        <v>#N/A</v>
      </c>
      <c r="DC22" s="253"/>
    </row>
    <row r="23" spans="1:116" s="252" customFormat="1" x14ac:dyDescent="0.3">
      <c r="A23" s="250" t="s">
        <v>2686</v>
      </c>
      <c r="B23" s="251" t="e">
        <f t="shared" ref="B23:Q25" si="13">IF(AND(ISNA(C18),B18&lt;&gt;""),B18,NA())</f>
        <v>#N/A</v>
      </c>
      <c r="C23" s="251" t="e">
        <f t="shared" si="13"/>
        <v>#N/A</v>
      </c>
      <c r="D23" s="251" t="e">
        <f t="shared" si="13"/>
        <v>#N/A</v>
      </c>
      <c r="E23" s="251" t="e">
        <f t="shared" si="13"/>
        <v>#N/A</v>
      </c>
      <c r="F23" s="251" t="e">
        <f t="shared" si="13"/>
        <v>#N/A</v>
      </c>
      <c r="G23" s="251" t="e">
        <f t="shared" si="13"/>
        <v>#N/A</v>
      </c>
      <c r="H23" s="251" t="e">
        <f t="shared" si="13"/>
        <v>#N/A</v>
      </c>
      <c r="I23" s="251" t="e">
        <f t="shared" si="13"/>
        <v>#N/A</v>
      </c>
      <c r="J23" s="251" t="e">
        <f t="shared" si="13"/>
        <v>#N/A</v>
      </c>
      <c r="K23" s="251" t="e">
        <f t="shared" si="13"/>
        <v>#N/A</v>
      </c>
      <c r="L23" s="251" t="e">
        <f t="shared" si="13"/>
        <v>#N/A</v>
      </c>
      <c r="M23" s="251" t="e">
        <f t="shared" si="13"/>
        <v>#N/A</v>
      </c>
      <c r="N23" s="251" t="e">
        <f t="shared" si="13"/>
        <v>#N/A</v>
      </c>
      <c r="O23" s="251" t="e">
        <f t="shared" si="13"/>
        <v>#N/A</v>
      </c>
      <c r="P23" s="251" t="e">
        <f t="shared" si="13"/>
        <v>#N/A</v>
      </c>
      <c r="Q23" s="251" t="e">
        <f t="shared" si="13"/>
        <v>#N/A</v>
      </c>
      <c r="R23" s="251" t="e">
        <f t="shared" si="11"/>
        <v>#N/A</v>
      </c>
      <c r="S23" s="251" t="e">
        <f t="shared" si="11"/>
        <v>#N/A</v>
      </c>
      <c r="T23" s="251" t="e">
        <f t="shared" si="11"/>
        <v>#N/A</v>
      </c>
      <c r="U23" s="251" t="e">
        <f t="shared" si="11"/>
        <v>#N/A</v>
      </c>
      <c r="V23" s="251" t="e">
        <f t="shared" si="11"/>
        <v>#N/A</v>
      </c>
      <c r="W23" s="251" t="e">
        <f t="shared" si="11"/>
        <v>#N/A</v>
      </c>
      <c r="X23" s="251" t="e">
        <f t="shared" si="11"/>
        <v>#N/A</v>
      </c>
      <c r="Y23" s="251" t="e">
        <f t="shared" si="11"/>
        <v>#N/A</v>
      </c>
      <c r="Z23" s="251" t="e">
        <f t="shared" si="11"/>
        <v>#N/A</v>
      </c>
      <c r="AA23" s="251" t="e">
        <f t="shared" si="11"/>
        <v>#N/A</v>
      </c>
      <c r="AB23" s="251" t="e">
        <f t="shared" si="11"/>
        <v>#N/A</v>
      </c>
      <c r="AC23" s="251" t="e">
        <f t="shared" si="11"/>
        <v>#N/A</v>
      </c>
      <c r="AD23" s="251" t="e">
        <f t="shared" si="11"/>
        <v>#N/A</v>
      </c>
      <c r="AE23" s="251" t="e">
        <f t="shared" si="11"/>
        <v>#N/A</v>
      </c>
      <c r="AF23" s="251" t="e">
        <f t="shared" si="11"/>
        <v>#N/A</v>
      </c>
      <c r="AG23" s="251" t="e">
        <f t="shared" si="11"/>
        <v>#N/A</v>
      </c>
      <c r="AH23" s="251" t="e">
        <f t="shared" si="11"/>
        <v>#N/A</v>
      </c>
      <c r="AI23" s="251" t="e">
        <f t="shared" si="11"/>
        <v>#N/A</v>
      </c>
      <c r="AJ23" s="251" t="e">
        <f t="shared" si="11"/>
        <v>#N/A</v>
      </c>
      <c r="AK23" s="251" t="e">
        <f t="shared" si="11"/>
        <v>#N/A</v>
      </c>
      <c r="AL23" s="251" t="e">
        <f t="shared" si="11"/>
        <v>#N/A</v>
      </c>
      <c r="AM23" s="251" t="e">
        <f t="shared" si="11"/>
        <v>#N/A</v>
      </c>
      <c r="AN23" s="251" t="e">
        <f t="shared" si="11"/>
        <v>#N/A</v>
      </c>
      <c r="AO23" s="251" t="e">
        <f t="shared" si="11"/>
        <v>#N/A</v>
      </c>
      <c r="AP23" s="251" t="e">
        <f t="shared" si="11"/>
        <v>#N/A</v>
      </c>
      <c r="AQ23" s="251" t="e">
        <f t="shared" si="11"/>
        <v>#N/A</v>
      </c>
      <c r="AR23" s="251" t="e">
        <f t="shared" si="11"/>
        <v>#N/A</v>
      </c>
      <c r="AS23" s="251" t="e">
        <f t="shared" ca="1" si="11"/>
        <v>#N/A</v>
      </c>
      <c r="AT23" s="251" t="e">
        <f t="shared" ca="1" si="11"/>
        <v>#N/A</v>
      </c>
      <c r="AU23" s="251" t="e">
        <f t="shared" ca="1" si="11"/>
        <v>#N/A</v>
      </c>
      <c r="AV23" s="251" t="e">
        <f t="shared" ca="1" si="11"/>
        <v>#N/A</v>
      </c>
      <c r="AW23" s="251" t="e">
        <f t="shared" ca="1" si="11"/>
        <v>#N/A</v>
      </c>
      <c r="AX23" s="251" t="e">
        <f t="shared" ca="1" si="11"/>
        <v>#N/A</v>
      </c>
      <c r="AY23" s="251" t="e">
        <f t="shared" ca="1" si="11"/>
        <v>#N/A</v>
      </c>
      <c r="AZ23" s="251" t="e">
        <f t="shared" ca="1" si="11"/>
        <v>#N/A</v>
      </c>
      <c r="BA23" s="251" t="e">
        <f t="shared" ca="1" si="11"/>
        <v>#N/A</v>
      </c>
      <c r="BB23" s="251" t="e">
        <f t="shared" ca="1" si="11"/>
        <v>#N/A</v>
      </c>
      <c r="BC23" s="251" t="e">
        <f t="shared" ca="1" si="11"/>
        <v>#N/A</v>
      </c>
      <c r="BD23" s="251" t="e">
        <f t="shared" ca="1" si="11"/>
        <v>#N/A</v>
      </c>
      <c r="BE23" s="251" t="e">
        <f t="shared" ca="1" si="11"/>
        <v>#N/A</v>
      </c>
      <c r="BF23" s="251" t="e">
        <f t="shared" ca="1" si="11"/>
        <v>#N/A</v>
      </c>
      <c r="BG23" s="251" t="e">
        <f t="shared" ca="1" si="11"/>
        <v>#N/A</v>
      </c>
      <c r="BH23" s="251" t="e">
        <f t="shared" ca="1" si="11"/>
        <v>#N/A</v>
      </c>
      <c r="BI23" s="251" t="e">
        <f t="shared" ca="1" si="11"/>
        <v>#N/A</v>
      </c>
      <c r="BJ23" s="251" t="e">
        <f t="shared" ca="1" si="11"/>
        <v>#N/A</v>
      </c>
      <c r="BK23" s="251" t="e">
        <f t="shared" ca="1" si="11"/>
        <v>#N/A</v>
      </c>
      <c r="BL23" s="251" t="e">
        <f t="shared" ca="1" si="11"/>
        <v>#N/A</v>
      </c>
      <c r="BM23" s="251" t="e">
        <f t="shared" ca="1" si="11"/>
        <v>#N/A</v>
      </c>
      <c r="BN23" s="251" t="e">
        <f t="shared" ca="1" si="11"/>
        <v>#N/A</v>
      </c>
      <c r="BO23" s="251" t="e">
        <f t="shared" ca="1" si="12"/>
        <v>#N/A</v>
      </c>
      <c r="BP23" s="251" t="e">
        <f t="shared" ca="1" si="12"/>
        <v>#N/A</v>
      </c>
      <c r="BQ23" s="251" t="e">
        <f t="shared" ca="1" si="12"/>
        <v>#N/A</v>
      </c>
      <c r="BR23" s="251" t="e">
        <f t="shared" ca="1" si="12"/>
        <v>#N/A</v>
      </c>
      <c r="BS23" s="251" t="e">
        <f t="shared" ca="1" si="12"/>
        <v>#N/A</v>
      </c>
      <c r="BT23" s="251" t="e">
        <f t="shared" ca="1" si="12"/>
        <v>#N/A</v>
      </c>
      <c r="BU23" s="251" t="e">
        <f t="shared" ca="1" si="12"/>
        <v>#N/A</v>
      </c>
      <c r="BV23" s="251" t="e">
        <f t="shared" ca="1" si="12"/>
        <v>#N/A</v>
      </c>
      <c r="BW23" s="251" t="e">
        <f t="shared" ca="1" si="12"/>
        <v>#N/A</v>
      </c>
      <c r="BX23" s="251" t="e">
        <f t="shared" ca="1" si="12"/>
        <v>#N/A</v>
      </c>
      <c r="BY23" s="251" t="e">
        <f t="shared" ca="1" si="12"/>
        <v>#N/A</v>
      </c>
      <c r="BZ23" s="251" t="e">
        <f t="shared" ca="1" si="12"/>
        <v>#N/A</v>
      </c>
      <c r="CA23" s="251" t="e">
        <f t="shared" ca="1" si="12"/>
        <v>#N/A</v>
      </c>
      <c r="CB23" s="251" t="e">
        <f t="shared" ca="1" si="12"/>
        <v>#N/A</v>
      </c>
      <c r="CC23" s="251" t="e">
        <f t="shared" ca="1" si="12"/>
        <v>#N/A</v>
      </c>
      <c r="CD23" s="251" t="e">
        <f t="shared" ca="1" si="12"/>
        <v>#N/A</v>
      </c>
      <c r="CE23" s="251" t="e">
        <f t="shared" ca="1" si="12"/>
        <v>#N/A</v>
      </c>
      <c r="CF23" s="251" t="e">
        <f t="shared" ca="1" si="12"/>
        <v>#N/A</v>
      </c>
      <c r="CG23" s="251" t="e">
        <f t="shared" ca="1" si="12"/>
        <v>#N/A</v>
      </c>
      <c r="CH23" s="251" t="e">
        <f t="shared" ca="1" si="12"/>
        <v>#N/A</v>
      </c>
      <c r="CI23" s="251" t="e">
        <f t="shared" ca="1" si="12"/>
        <v>#N/A</v>
      </c>
      <c r="CJ23" s="251" t="e">
        <f t="shared" ca="1" si="12"/>
        <v>#N/A</v>
      </c>
      <c r="CK23" s="251" t="e">
        <f t="shared" ca="1" si="12"/>
        <v>#N/A</v>
      </c>
      <c r="CL23" s="251" t="e">
        <f t="shared" ca="1" si="12"/>
        <v>#N/A</v>
      </c>
      <c r="CM23" s="251" t="e">
        <f t="shared" ca="1" si="12"/>
        <v>#N/A</v>
      </c>
      <c r="CN23" s="251" t="e">
        <f t="shared" ca="1" si="12"/>
        <v>#N/A</v>
      </c>
      <c r="CO23" s="251" t="e">
        <f t="shared" ca="1" si="12"/>
        <v>#N/A</v>
      </c>
      <c r="CP23" s="251" t="e">
        <f t="shared" ca="1" si="12"/>
        <v>#N/A</v>
      </c>
      <c r="CQ23" s="251" t="e">
        <f t="shared" ca="1" si="12"/>
        <v>#N/A</v>
      </c>
      <c r="CR23" s="251" t="e">
        <f t="shared" ca="1" si="12"/>
        <v>#N/A</v>
      </c>
      <c r="CS23" s="251" t="e">
        <f t="shared" ca="1" si="12"/>
        <v>#N/A</v>
      </c>
      <c r="CT23" s="251" t="e">
        <f t="shared" ca="1" si="12"/>
        <v>#N/A</v>
      </c>
      <c r="CU23" s="251" t="e">
        <f t="shared" ca="1" si="12"/>
        <v>#N/A</v>
      </c>
      <c r="CV23" s="251" t="e">
        <f t="shared" ca="1" si="12"/>
        <v>#N/A</v>
      </c>
      <c r="CW23" s="251" t="e">
        <f t="shared" ca="1" si="12"/>
        <v>#N/A</v>
      </c>
      <c r="CX23" s="251">
        <f t="shared" ca="1" si="12"/>
        <v>2502.0108656095463</v>
      </c>
      <c r="CY23" s="251" t="e">
        <f t="shared" ca="1" si="12"/>
        <v>#N/A</v>
      </c>
      <c r="CZ23" s="251" t="e">
        <f t="shared" ca="1" si="12"/>
        <v>#N/A</v>
      </c>
      <c r="DA23" s="251" t="e">
        <f t="shared" ca="1" si="12"/>
        <v>#N/A</v>
      </c>
      <c r="DC23" s="253"/>
    </row>
    <row r="24" spans="1:116" s="252" customFormat="1" x14ac:dyDescent="0.3">
      <c r="A24" s="250" t="s">
        <v>2687</v>
      </c>
      <c r="B24" s="251" t="e">
        <f t="shared" si="13"/>
        <v>#N/A</v>
      </c>
      <c r="C24" s="251" t="e">
        <f t="shared" ref="C24:BN25" si="14">IF(AND(ISNA(D19),C19&lt;&gt;""),C19,NA())</f>
        <v>#N/A</v>
      </c>
      <c r="D24" s="251" t="e">
        <f t="shared" si="14"/>
        <v>#N/A</v>
      </c>
      <c r="E24" s="251" t="e">
        <f t="shared" si="14"/>
        <v>#N/A</v>
      </c>
      <c r="F24" s="251" t="e">
        <f t="shared" si="14"/>
        <v>#N/A</v>
      </c>
      <c r="G24" s="251" t="e">
        <f t="shared" si="14"/>
        <v>#N/A</v>
      </c>
      <c r="H24" s="251" t="e">
        <f t="shared" si="14"/>
        <v>#N/A</v>
      </c>
      <c r="I24" s="251" t="e">
        <f t="shared" si="14"/>
        <v>#N/A</v>
      </c>
      <c r="J24" s="251" t="e">
        <f t="shared" si="14"/>
        <v>#N/A</v>
      </c>
      <c r="K24" s="251" t="e">
        <f t="shared" si="14"/>
        <v>#N/A</v>
      </c>
      <c r="L24" s="251" t="e">
        <f t="shared" si="14"/>
        <v>#N/A</v>
      </c>
      <c r="M24" s="251" t="e">
        <f t="shared" si="14"/>
        <v>#N/A</v>
      </c>
      <c r="N24" s="251" t="e">
        <f t="shared" si="14"/>
        <v>#N/A</v>
      </c>
      <c r="O24" s="251" t="e">
        <f t="shared" si="14"/>
        <v>#N/A</v>
      </c>
      <c r="P24" s="251" t="e">
        <f t="shared" si="14"/>
        <v>#N/A</v>
      </c>
      <c r="Q24" s="251" t="e">
        <f t="shared" si="14"/>
        <v>#N/A</v>
      </c>
      <c r="R24" s="251" t="e">
        <f t="shared" si="14"/>
        <v>#N/A</v>
      </c>
      <c r="S24" s="251" t="e">
        <f t="shared" si="14"/>
        <v>#N/A</v>
      </c>
      <c r="T24" s="251" t="e">
        <f t="shared" si="14"/>
        <v>#N/A</v>
      </c>
      <c r="U24" s="251" t="e">
        <f t="shared" si="14"/>
        <v>#N/A</v>
      </c>
      <c r="V24" s="251" t="e">
        <f t="shared" si="14"/>
        <v>#N/A</v>
      </c>
      <c r="W24" s="251" t="e">
        <f t="shared" si="14"/>
        <v>#N/A</v>
      </c>
      <c r="X24" s="251" t="e">
        <f t="shared" si="14"/>
        <v>#N/A</v>
      </c>
      <c r="Y24" s="251" t="e">
        <f t="shared" si="14"/>
        <v>#N/A</v>
      </c>
      <c r="Z24" s="251" t="e">
        <f t="shared" si="14"/>
        <v>#N/A</v>
      </c>
      <c r="AA24" s="251" t="e">
        <f t="shared" si="14"/>
        <v>#N/A</v>
      </c>
      <c r="AB24" s="251" t="e">
        <f t="shared" si="14"/>
        <v>#N/A</v>
      </c>
      <c r="AC24" s="251" t="e">
        <f t="shared" si="14"/>
        <v>#N/A</v>
      </c>
      <c r="AD24" s="251" t="e">
        <f t="shared" si="14"/>
        <v>#N/A</v>
      </c>
      <c r="AE24" s="251" t="e">
        <f t="shared" si="14"/>
        <v>#N/A</v>
      </c>
      <c r="AF24" s="251" t="e">
        <f t="shared" si="14"/>
        <v>#N/A</v>
      </c>
      <c r="AG24" s="251" t="e">
        <f t="shared" si="14"/>
        <v>#N/A</v>
      </c>
      <c r="AH24" s="251" t="e">
        <f t="shared" si="14"/>
        <v>#N/A</v>
      </c>
      <c r="AI24" s="251" t="e">
        <f t="shared" si="14"/>
        <v>#N/A</v>
      </c>
      <c r="AJ24" s="251" t="e">
        <f t="shared" si="14"/>
        <v>#N/A</v>
      </c>
      <c r="AK24" s="251" t="e">
        <f t="shared" si="14"/>
        <v>#N/A</v>
      </c>
      <c r="AL24" s="251" t="e">
        <f t="shared" si="14"/>
        <v>#N/A</v>
      </c>
      <c r="AM24" s="251" t="e">
        <f t="shared" si="14"/>
        <v>#N/A</v>
      </c>
      <c r="AN24" s="251" t="e">
        <f t="shared" si="14"/>
        <v>#N/A</v>
      </c>
      <c r="AO24" s="251" t="e">
        <f t="shared" si="14"/>
        <v>#N/A</v>
      </c>
      <c r="AP24" s="251" t="e">
        <f t="shared" si="14"/>
        <v>#N/A</v>
      </c>
      <c r="AQ24" s="251" t="e">
        <f t="shared" si="14"/>
        <v>#N/A</v>
      </c>
      <c r="AR24" s="251" t="e">
        <f t="shared" si="14"/>
        <v>#N/A</v>
      </c>
      <c r="AS24" s="251" t="e">
        <f t="shared" ca="1" si="14"/>
        <v>#N/A</v>
      </c>
      <c r="AT24" s="251" t="e">
        <f t="shared" ca="1" si="14"/>
        <v>#N/A</v>
      </c>
      <c r="AU24" s="251" t="e">
        <f t="shared" ca="1" si="14"/>
        <v>#N/A</v>
      </c>
      <c r="AV24" s="251" t="e">
        <f t="shared" ca="1" si="14"/>
        <v>#N/A</v>
      </c>
      <c r="AW24" s="251" t="e">
        <f t="shared" ca="1" si="14"/>
        <v>#N/A</v>
      </c>
      <c r="AX24" s="251" t="e">
        <f t="shared" ca="1" si="14"/>
        <v>#N/A</v>
      </c>
      <c r="AY24" s="251" t="e">
        <f t="shared" ca="1" si="14"/>
        <v>#N/A</v>
      </c>
      <c r="AZ24" s="251" t="e">
        <f t="shared" ca="1" si="14"/>
        <v>#N/A</v>
      </c>
      <c r="BA24" s="251" t="e">
        <f t="shared" ca="1" si="14"/>
        <v>#N/A</v>
      </c>
      <c r="BB24" s="251" t="e">
        <f t="shared" ca="1" si="14"/>
        <v>#N/A</v>
      </c>
      <c r="BC24" s="251" t="e">
        <f t="shared" ca="1" si="14"/>
        <v>#N/A</v>
      </c>
      <c r="BD24" s="251" t="e">
        <f t="shared" ca="1" si="14"/>
        <v>#N/A</v>
      </c>
      <c r="BE24" s="251" t="e">
        <f t="shared" ca="1" si="14"/>
        <v>#N/A</v>
      </c>
      <c r="BF24" s="251" t="e">
        <f t="shared" ca="1" si="14"/>
        <v>#N/A</v>
      </c>
      <c r="BG24" s="251" t="e">
        <f t="shared" ca="1" si="14"/>
        <v>#N/A</v>
      </c>
      <c r="BH24" s="251" t="e">
        <f t="shared" ca="1" si="14"/>
        <v>#N/A</v>
      </c>
      <c r="BI24" s="251" t="e">
        <f t="shared" ca="1" si="14"/>
        <v>#N/A</v>
      </c>
      <c r="BJ24" s="251" t="e">
        <f t="shared" ca="1" si="14"/>
        <v>#N/A</v>
      </c>
      <c r="BK24" s="251" t="e">
        <f t="shared" ca="1" si="14"/>
        <v>#N/A</v>
      </c>
      <c r="BL24" s="251" t="e">
        <f t="shared" ca="1" si="14"/>
        <v>#N/A</v>
      </c>
      <c r="BM24" s="251" t="e">
        <f t="shared" ca="1" si="14"/>
        <v>#N/A</v>
      </c>
      <c r="BN24" s="251" t="e">
        <f t="shared" ca="1" si="14"/>
        <v>#N/A</v>
      </c>
      <c r="BO24" s="251" t="e">
        <f t="shared" ca="1" si="12"/>
        <v>#N/A</v>
      </c>
      <c r="BP24" s="251" t="e">
        <f t="shared" ca="1" si="12"/>
        <v>#N/A</v>
      </c>
      <c r="BQ24" s="251" t="e">
        <f t="shared" ca="1" si="12"/>
        <v>#N/A</v>
      </c>
      <c r="BR24" s="251" t="e">
        <f t="shared" ca="1" si="12"/>
        <v>#N/A</v>
      </c>
      <c r="BS24" s="251" t="e">
        <f t="shared" ca="1" si="12"/>
        <v>#N/A</v>
      </c>
      <c r="BT24" s="251" t="e">
        <f t="shared" ca="1" si="12"/>
        <v>#N/A</v>
      </c>
      <c r="BU24" s="251" t="e">
        <f t="shared" ca="1" si="12"/>
        <v>#N/A</v>
      </c>
      <c r="BV24" s="251" t="e">
        <f t="shared" ca="1" si="12"/>
        <v>#N/A</v>
      </c>
      <c r="BW24" s="251" t="e">
        <f t="shared" ca="1" si="12"/>
        <v>#N/A</v>
      </c>
      <c r="BX24" s="251" t="e">
        <f t="shared" ca="1" si="12"/>
        <v>#N/A</v>
      </c>
      <c r="BY24" s="251" t="e">
        <f t="shared" ca="1" si="12"/>
        <v>#N/A</v>
      </c>
      <c r="BZ24" s="251" t="e">
        <f t="shared" ca="1" si="12"/>
        <v>#N/A</v>
      </c>
      <c r="CA24" s="251" t="e">
        <f t="shared" ca="1" si="12"/>
        <v>#N/A</v>
      </c>
      <c r="CB24" s="251" t="e">
        <f t="shared" ca="1" si="12"/>
        <v>#N/A</v>
      </c>
      <c r="CC24" s="251" t="e">
        <f t="shared" ca="1" si="12"/>
        <v>#N/A</v>
      </c>
      <c r="CD24" s="251" t="e">
        <f t="shared" ca="1" si="12"/>
        <v>#N/A</v>
      </c>
      <c r="CE24" s="251" t="e">
        <f t="shared" ca="1" si="12"/>
        <v>#N/A</v>
      </c>
      <c r="CF24" s="251" t="e">
        <f t="shared" ca="1" si="12"/>
        <v>#N/A</v>
      </c>
      <c r="CG24" s="251" t="e">
        <f t="shared" ca="1" si="12"/>
        <v>#N/A</v>
      </c>
      <c r="CH24" s="251" t="e">
        <f t="shared" ca="1" si="12"/>
        <v>#N/A</v>
      </c>
      <c r="CI24" s="251" t="e">
        <f t="shared" ca="1" si="12"/>
        <v>#N/A</v>
      </c>
      <c r="CJ24" s="251" t="e">
        <f t="shared" ca="1" si="12"/>
        <v>#N/A</v>
      </c>
      <c r="CK24" s="251" t="e">
        <f t="shared" ca="1" si="12"/>
        <v>#N/A</v>
      </c>
      <c r="CL24" s="251" t="e">
        <f t="shared" ca="1" si="12"/>
        <v>#N/A</v>
      </c>
      <c r="CM24" s="251" t="e">
        <f t="shared" ca="1" si="12"/>
        <v>#N/A</v>
      </c>
      <c r="CN24" s="251" t="e">
        <f t="shared" ca="1" si="12"/>
        <v>#N/A</v>
      </c>
      <c r="CO24" s="251" t="e">
        <f t="shared" ca="1" si="12"/>
        <v>#N/A</v>
      </c>
      <c r="CP24" s="251" t="e">
        <f t="shared" ca="1" si="12"/>
        <v>#N/A</v>
      </c>
      <c r="CQ24" s="251" t="e">
        <f t="shared" ca="1" si="12"/>
        <v>#N/A</v>
      </c>
      <c r="CR24" s="251" t="e">
        <f t="shared" ca="1" si="12"/>
        <v>#N/A</v>
      </c>
      <c r="CS24" s="251" t="e">
        <f t="shared" ca="1" si="12"/>
        <v>#N/A</v>
      </c>
      <c r="CT24" s="251" t="e">
        <f t="shared" ca="1" si="12"/>
        <v>#N/A</v>
      </c>
      <c r="CU24" s="251" t="e">
        <f t="shared" ca="1" si="12"/>
        <v>#N/A</v>
      </c>
      <c r="CV24" s="251" t="e">
        <f t="shared" ca="1" si="12"/>
        <v>#N/A</v>
      </c>
      <c r="CW24" s="251" t="e">
        <f t="shared" ca="1" si="12"/>
        <v>#N/A</v>
      </c>
      <c r="CX24" s="251">
        <f t="shared" ca="1" si="12"/>
        <v>2987.5024760379401</v>
      </c>
      <c r="CY24" s="251" t="e">
        <f t="shared" ca="1" si="12"/>
        <v>#N/A</v>
      </c>
      <c r="CZ24" s="251" t="e">
        <f t="shared" ca="1" si="12"/>
        <v>#N/A</v>
      </c>
      <c r="DA24" s="251" t="e">
        <f t="shared" ca="1" si="12"/>
        <v>#N/A</v>
      </c>
      <c r="DC24" s="253"/>
    </row>
    <row r="25" spans="1:116" s="252" customFormat="1" x14ac:dyDescent="0.3">
      <c r="A25" s="250" t="s">
        <v>2683</v>
      </c>
      <c r="B25" s="251" t="e">
        <f t="shared" si="13"/>
        <v>#N/A</v>
      </c>
      <c r="C25" s="251" t="e">
        <f t="shared" si="14"/>
        <v>#N/A</v>
      </c>
      <c r="D25" s="251" t="e">
        <f t="shared" si="14"/>
        <v>#N/A</v>
      </c>
      <c r="E25" s="251" t="e">
        <f t="shared" si="14"/>
        <v>#N/A</v>
      </c>
      <c r="F25" s="251" t="e">
        <f t="shared" si="14"/>
        <v>#N/A</v>
      </c>
      <c r="G25" s="251" t="e">
        <f t="shared" si="14"/>
        <v>#N/A</v>
      </c>
      <c r="H25" s="251" t="e">
        <f t="shared" si="14"/>
        <v>#N/A</v>
      </c>
      <c r="I25" s="251" t="e">
        <f t="shared" si="14"/>
        <v>#N/A</v>
      </c>
      <c r="J25" s="251" t="e">
        <f t="shared" si="14"/>
        <v>#N/A</v>
      </c>
      <c r="K25" s="251" t="e">
        <f t="shared" si="14"/>
        <v>#N/A</v>
      </c>
      <c r="L25" s="251" t="e">
        <f t="shared" si="14"/>
        <v>#N/A</v>
      </c>
      <c r="M25" s="251" t="e">
        <f t="shared" si="14"/>
        <v>#N/A</v>
      </c>
      <c r="N25" s="251" t="e">
        <f t="shared" si="14"/>
        <v>#N/A</v>
      </c>
      <c r="O25" s="251" t="e">
        <f t="shared" si="14"/>
        <v>#N/A</v>
      </c>
      <c r="P25" s="251" t="e">
        <f t="shared" si="14"/>
        <v>#N/A</v>
      </c>
      <c r="Q25" s="251" t="e">
        <f t="shared" si="14"/>
        <v>#N/A</v>
      </c>
      <c r="R25" s="251" t="e">
        <f t="shared" si="14"/>
        <v>#N/A</v>
      </c>
      <c r="S25" s="251" t="e">
        <f t="shared" si="14"/>
        <v>#N/A</v>
      </c>
      <c r="T25" s="251" t="e">
        <f t="shared" si="14"/>
        <v>#N/A</v>
      </c>
      <c r="U25" s="251" t="e">
        <f t="shared" si="14"/>
        <v>#N/A</v>
      </c>
      <c r="V25" s="251" t="e">
        <f t="shared" si="14"/>
        <v>#N/A</v>
      </c>
      <c r="W25" s="251" t="e">
        <f t="shared" si="14"/>
        <v>#N/A</v>
      </c>
      <c r="X25" s="251" t="e">
        <f t="shared" si="14"/>
        <v>#N/A</v>
      </c>
      <c r="Y25" s="251" t="e">
        <f t="shared" si="14"/>
        <v>#N/A</v>
      </c>
      <c r="Z25" s="251" t="e">
        <f t="shared" si="14"/>
        <v>#N/A</v>
      </c>
      <c r="AA25" s="251" t="e">
        <f t="shared" si="14"/>
        <v>#N/A</v>
      </c>
      <c r="AB25" s="251" t="e">
        <f t="shared" si="14"/>
        <v>#N/A</v>
      </c>
      <c r="AC25" s="251" t="e">
        <f t="shared" si="14"/>
        <v>#N/A</v>
      </c>
      <c r="AD25" s="251" t="e">
        <f t="shared" si="14"/>
        <v>#N/A</v>
      </c>
      <c r="AE25" s="251" t="e">
        <f t="shared" si="14"/>
        <v>#N/A</v>
      </c>
      <c r="AF25" s="251" t="e">
        <f t="shared" si="14"/>
        <v>#N/A</v>
      </c>
      <c r="AG25" s="251" t="e">
        <f t="shared" si="14"/>
        <v>#N/A</v>
      </c>
      <c r="AH25" s="251" t="e">
        <f t="shared" si="14"/>
        <v>#N/A</v>
      </c>
      <c r="AI25" s="251" t="e">
        <f t="shared" si="14"/>
        <v>#N/A</v>
      </c>
      <c r="AJ25" s="251" t="e">
        <f t="shared" si="14"/>
        <v>#N/A</v>
      </c>
      <c r="AK25" s="251" t="e">
        <f t="shared" si="14"/>
        <v>#N/A</v>
      </c>
      <c r="AL25" s="251" t="e">
        <f t="shared" si="14"/>
        <v>#N/A</v>
      </c>
      <c r="AM25" s="251" t="e">
        <f t="shared" si="14"/>
        <v>#N/A</v>
      </c>
      <c r="AN25" s="251" t="e">
        <f t="shared" si="14"/>
        <v>#N/A</v>
      </c>
      <c r="AO25" s="251" t="e">
        <f t="shared" si="14"/>
        <v>#N/A</v>
      </c>
      <c r="AP25" s="251" t="e">
        <f t="shared" si="14"/>
        <v>#N/A</v>
      </c>
      <c r="AQ25" s="251" t="e">
        <f t="shared" si="14"/>
        <v>#N/A</v>
      </c>
      <c r="AR25" s="251" t="e">
        <f t="shared" si="14"/>
        <v>#N/A</v>
      </c>
      <c r="AS25" s="251" t="e">
        <f t="shared" ca="1" si="14"/>
        <v>#N/A</v>
      </c>
      <c r="AT25" s="251" t="e">
        <f t="shared" ca="1" si="14"/>
        <v>#N/A</v>
      </c>
      <c r="AU25" s="251" t="e">
        <f t="shared" ca="1" si="14"/>
        <v>#N/A</v>
      </c>
      <c r="AV25" s="251" t="e">
        <f t="shared" ca="1" si="14"/>
        <v>#N/A</v>
      </c>
      <c r="AW25" s="251" t="e">
        <f t="shared" ca="1" si="14"/>
        <v>#N/A</v>
      </c>
      <c r="AX25" s="251" t="e">
        <f t="shared" ca="1" si="14"/>
        <v>#N/A</v>
      </c>
      <c r="AY25" s="251" t="e">
        <f t="shared" ca="1" si="14"/>
        <v>#N/A</v>
      </c>
      <c r="AZ25" s="251" t="e">
        <f t="shared" ca="1" si="14"/>
        <v>#N/A</v>
      </c>
      <c r="BA25" s="251" t="e">
        <f t="shared" ca="1" si="14"/>
        <v>#N/A</v>
      </c>
      <c r="BB25" s="251" t="e">
        <f t="shared" ca="1" si="14"/>
        <v>#N/A</v>
      </c>
      <c r="BC25" s="251" t="e">
        <f t="shared" ca="1" si="14"/>
        <v>#N/A</v>
      </c>
      <c r="BD25" s="251" t="e">
        <f t="shared" ca="1" si="14"/>
        <v>#N/A</v>
      </c>
      <c r="BE25" s="251" t="e">
        <f t="shared" ca="1" si="14"/>
        <v>#N/A</v>
      </c>
      <c r="BF25" s="251" t="e">
        <f t="shared" ca="1" si="14"/>
        <v>#N/A</v>
      </c>
      <c r="BG25" s="251" t="e">
        <f t="shared" ca="1" si="14"/>
        <v>#N/A</v>
      </c>
      <c r="BH25" s="251" t="e">
        <f t="shared" ca="1" si="14"/>
        <v>#N/A</v>
      </c>
      <c r="BI25" s="251" t="e">
        <f t="shared" ca="1" si="14"/>
        <v>#N/A</v>
      </c>
      <c r="BJ25" s="251" t="e">
        <f t="shared" ca="1" si="14"/>
        <v>#N/A</v>
      </c>
      <c r="BK25" s="251" t="e">
        <f t="shared" ca="1" si="14"/>
        <v>#N/A</v>
      </c>
      <c r="BL25" s="251" t="e">
        <f t="shared" ca="1" si="14"/>
        <v>#N/A</v>
      </c>
      <c r="BM25" s="251" t="e">
        <f t="shared" ca="1" si="14"/>
        <v>#N/A</v>
      </c>
      <c r="BN25" s="251" t="e">
        <f t="shared" ca="1" si="14"/>
        <v>#N/A</v>
      </c>
      <c r="BO25" s="251" t="e">
        <f t="shared" ca="1" si="12"/>
        <v>#N/A</v>
      </c>
      <c r="BP25" s="251" t="e">
        <f t="shared" ca="1" si="12"/>
        <v>#N/A</v>
      </c>
      <c r="BQ25" s="251" t="e">
        <f t="shared" ca="1" si="12"/>
        <v>#N/A</v>
      </c>
      <c r="BR25" s="251" t="e">
        <f t="shared" ca="1" si="12"/>
        <v>#N/A</v>
      </c>
      <c r="BS25" s="251" t="e">
        <f t="shared" ca="1" si="12"/>
        <v>#N/A</v>
      </c>
      <c r="BT25" s="251" t="e">
        <f t="shared" ca="1" si="12"/>
        <v>#N/A</v>
      </c>
      <c r="BU25" s="251" t="e">
        <f t="shared" ca="1" si="12"/>
        <v>#N/A</v>
      </c>
      <c r="BV25" s="251" t="e">
        <f t="shared" ca="1" si="12"/>
        <v>#N/A</v>
      </c>
      <c r="BW25" s="251" t="e">
        <f t="shared" ca="1" si="12"/>
        <v>#N/A</v>
      </c>
      <c r="BX25" s="251" t="e">
        <f t="shared" ca="1" si="12"/>
        <v>#N/A</v>
      </c>
      <c r="BY25" s="251" t="e">
        <f t="shared" ca="1" si="12"/>
        <v>#N/A</v>
      </c>
      <c r="BZ25" s="251" t="e">
        <f t="shared" ca="1" si="12"/>
        <v>#N/A</v>
      </c>
      <c r="CA25" s="251" t="e">
        <f t="shared" ca="1" si="12"/>
        <v>#N/A</v>
      </c>
      <c r="CB25" s="251" t="e">
        <f t="shared" ca="1" si="12"/>
        <v>#N/A</v>
      </c>
      <c r="CC25" s="251" t="e">
        <f t="shared" ca="1" si="12"/>
        <v>#N/A</v>
      </c>
      <c r="CD25" s="251" t="e">
        <f t="shared" ca="1" si="12"/>
        <v>#N/A</v>
      </c>
      <c r="CE25" s="251" t="e">
        <f t="shared" ca="1" si="12"/>
        <v>#N/A</v>
      </c>
      <c r="CF25" s="251" t="e">
        <f t="shared" ca="1" si="12"/>
        <v>#N/A</v>
      </c>
      <c r="CG25" s="251" t="e">
        <f t="shared" ca="1" si="12"/>
        <v>#N/A</v>
      </c>
      <c r="CH25" s="251" t="e">
        <f t="shared" ca="1" si="12"/>
        <v>#N/A</v>
      </c>
      <c r="CI25" s="251" t="e">
        <f t="shared" ca="1" si="12"/>
        <v>#N/A</v>
      </c>
      <c r="CJ25" s="251" t="e">
        <f t="shared" ca="1" si="12"/>
        <v>#N/A</v>
      </c>
      <c r="CK25" s="251" t="e">
        <f t="shared" ca="1" si="12"/>
        <v>#N/A</v>
      </c>
      <c r="CL25" s="251" t="e">
        <f t="shared" ca="1" si="12"/>
        <v>#N/A</v>
      </c>
      <c r="CM25" s="251" t="e">
        <f t="shared" ca="1" si="12"/>
        <v>#N/A</v>
      </c>
      <c r="CN25" s="251" t="e">
        <f t="shared" ca="1" si="12"/>
        <v>#N/A</v>
      </c>
      <c r="CO25" s="251" t="e">
        <f t="shared" ca="1" si="12"/>
        <v>#N/A</v>
      </c>
      <c r="CP25" s="251" t="e">
        <f t="shared" ca="1" si="12"/>
        <v>#N/A</v>
      </c>
      <c r="CQ25" s="251" t="e">
        <f t="shared" ca="1" si="12"/>
        <v>#N/A</v>
      </c>
      <c r="CR25" s="251" t="e">
        <f t="shared" ca="1" si="12"/>
        <v>#N/A</v>
      </c>
      <c r="CS25" s="251" t="e">
        <f t="shared" ca="1" si="12"/>
        <v>#N/A</v>
      </c>
      <c r="CT25" s="251" t="e">
        <f t="shared" ca="1" si="12"/>
        <v>#N/A</v>
      </c>
      <c r="CU25" s="251" t="e">
        <f t="shared" ca="1" si="12"/>
        <v>#N/A</v>
      </c>
      <c r="CV25" s="251" t="e">
        <f t="shared" ca="1" si="12"/>
        <v>#N/A</v>
      </c>
      <c r="CW25" s="251" t="e">
        <f t="shared" ca="1" si="12"/>
        <v>#N/A</v>
      </c>
      <c r="CX25" s="251">
        <f t="shared" ca="1" si="12"/>
        <v>4218.3072157892811</v>
      </c>
      <c r="CY25" s="251" t="e">
        <f t="shared" ca="1" si="12"/>
        <v>#N/A</v>
      </c>
      <c r="CZ25" s="251" t="e">
        <f t="shared" ca="1" si="12"/>
        <v>#N/A</v>
      </c>
      <c r="DA25" s="251" t="e">
        <f t="shared" ca="1" si="12"/>
        <v>#N/A</v>
      </c>
      <c r="DC25" s="253"/>
    </row>
    <row r="26" spans="1:116" s="247" customFormat="1" x14ac:dyDescent="0.3">
      <c r="A26" s="192"/>
      <c r="B26" s="106">
        <v>39172</v>
      </c>
      <c r="C26" s="106">
        <v>39202</v>
      </c>
      <c r="D26" s="107" t="s">
        <v>70</v>
      </c>
      <c r="E26" s="107" t="s">
        <v>75</v>
      </c>
      <c r="F26" s="107" t="s">
        <v>77</v>
      </c>
      <c r="G26" s="107" t="s">
        <v>84</v>
      </c>
      <c r="H26" s="107" t="s">
        <v>86</v>
      </c>
      <c r="I26" s="107" t="s">
        <v>88</v>
      </c>
      <c r="J26" s="107" t="s">
        <v>92</v>
      </c>
      <c r="K26" s="107">
        <v>39458</v>
      </c>
      <c r="L26" s="107" t="s">
        <v>96</v>
      </c>
      <c r="M26" s="107" t="s">
        <v>98</v>
      </c>
      <c r="N26" s="107" t="s">
        <v>115</v>
      </c>
      <c r="O26" s="20" t="s">
        <v>119</v>
      </c>
      <c r="P26" s="20" t="s">
        <v>187</v>
      </c>
      <c r="Q26" s="20" t="s">
        <v>189</v>
      </c>
      <c r="R26" s="20" t="s">
        <v>191</v>
      </c>
      <c r="S26" s="20" t="s">
        <v>192</v>
      </c>
      <c r="T26" s="108" t="s">
        <v>193</v>
      </c>
      <c r="U26" s="108" t="s">
        <v>194</v>
      </c>
      <c r="V26" s="108" t="s">
        <v>195</v>
      </c>
      <c r="W26" s="108" t="s">
        <v>196</v>
      </c>
      <c r="X26" s="109" t="s">
        <v>197</v>
      </c>
      <c r="Y26" s="109" t="s">
        <v>198</v>
      </c>
      <c r="Z26" s="109" t="s">
        <v>200</v>
      </c>
      <c r="AA26" s="109" t="s">
        <v>205</v>
      </c>
      <c r="AB26" s="109" t="s">
        <v>208</v>
      </c>
      <c r="AC26" s="109" t="s">
        <v>213</v>
      </c>
      <c r="AD26" s="109" t="s">
        <v>215</v>
      </c>
      <c r="AE26" s="109" t="s">
        <v>216</v>
      </c>
      <c r="AF26" s="109" t="s">
        <v>217</v>
      </c>
      <c r="AG26" s="109" t="s">
        <v>218</v>
      </c>
      <c r="AH26" s="109" t="s">
        <v>226</v>
      </c>
      <c r="AI26" s="109" t="s">
        <v>227</v>
      </c>
      <c r="AJ26" s="109" t="s">
        <v>228</v>
      </c>
      <c r="AK26" s="109" t="s">
        <v>229</v>
      </c>
      <c r="AL26" s="109" t="s">
        <v>230</v>
      </c>
      <c r="AM26" s="109" t="s">
        <v>231</v>
      </c>
      <c r="AN26" s="109" t="s">
        <v>232</v>
      </c>
      <c r="AO26" s="109" t="s">
        <v>233</v>
      </c>
      <c r="AP26" s="109" t="s">
        <v>234</v>
      </c>
      <c r="AQ26" s="109" t="s">
        <v>235</v>
      </c>
      <c r="AR26" s="109" t="s">
        <v>236</v>
      </c>
      <c r="AS26" s="109" t="s">
        <v>237</v>
      </c>
      <c r="AT26" s="155">
        <v>40542</v>
      </c>
      <c r="AU26" s="155">
        <v>40573</v>
      </c>
      <c r="AV26" s="155">
        <v>40601</v>
      </c>
      <c r="AW26" s="155">
        <f t="shared" ref="AW26" si="15">EOMONTH(AV26,1)</f>
        <v>40632</v>
      </c>
      <c r="AX26" s="155">
        <f t="shared" ref="AX26" si="16">EOMONTH(AW26,1)</f>
        <v>40662</v>
      </c>
      <c r="AY26" s="155">
        <f t="shared" ref="AY26" si="17">EOMONTH(AX26,1)</f>
        <v>40693</v>
      </c>
      <c r="AZ26" s="155">
        <f t="shared" ref="AZ26" si="18">EOMONTH(AY26,1)</f>
        <v>40723</v>
      </c>
      <c r="BA26" s="155">
        <f t="shared" ref="BA26" si="19">EOMONTH(AZ26,1)</f>
        <v>40754</v>
      </c>
      <c r="BB26" s="155">
        <f t="shared" ref="BB26" si="20">EOMONTH(BA26,1)</f>
        <v>40785</v>
      </c>
      <c r="BC26" s="155">
        <f t="shared" ref="BC26" si="21">EOMONTH(BB26,1)</f>
        <v>40815</v>
      </c>
      <c r="BD26" s="155">
        <f t="shared" ref="BD26" si="22">EOMONTH(BC26,1)</f>
        <v>40846</v>
      </c>
      <c r="BE26" s="155">
        <f t="shared" ref="BE26" si="23">EOMONTH(BD26,1)</f>
        <v>40876</v>
      </c>
      <c r="BF26" s="155">
        <f t="shared" ref="BF26" si="24">EOMONTH(BE26,1)</f>
        <v>40907</v>
      </c>
      <c r="BG26" s="155">
        <f t="shared" ref="BG26" si="25">EOMONTH(BF26,1)</f>
        <v>40938</v>
      </c>
      <c r="BH26" s="155">
        <f t="shared" ref="BH26" si="26">EOMONTH(BG26,1)</f>
        <v>40967</v>
      </c>
      <c r="BI26" s="155">
        <f t="shared" ref="BI26" si="27">EOMONTH(BH26,1)</f>
        <v>40998</v>
      </c>
      <c r="BJ26" s="155">
        <f t="shared" ref="BJ26" si="28">EOMONTH(BI26,1)</f>
        <v>41028</v>
      </c>
      <c r="BK26" s="155">
        <f t="shared" ref="BK26" si="29">EOMONTH(BJ26,1)</f>
        <v>41059</v>
      </c>
      <c r="BL26" s="155">
        <f t="shared" ref="BL26" si="30">EOMONTH(BK26,1)</f>
        <v>41089</v>
      </c>
      <c r="BM26" s="155">
        <f t="shared" ref="BM26" si="31">EOMONTH(BL26,1)</f>
        <v>41120</v>
      </c>
      <c r="BN26" s="155">
        <f t="shared" ref="BN26" si="32">EOMONTH(BM26,1)</f>
        <v>41151</v>
      </c>
      <c r="BO26" s="155">
        <f t="shared" ref="BO26" si="33">EOMONTH(BN26,1)</f>
        <v>41181</v>
      </c>
      <c r="BP26" s="155">
        <f t="shared" ref="BP26" si="34">EOMONTH(BO26,1)</f>
        <v>41212</v>
      </c>
      <c r="BQ26" s="155">
        <f t="shared" ref="BQ26" si="35">EOMONTH(BP26,1)</f>
        <v>41242</v>
      </c>
      <c r="BR26" s="155">
        <f t="shared" ref="BR26" si="36">EOMONTH(BQ26,1)</f>
        <v>41273</v>
      </c>
      <c r="BS26" s="155">
        <f t="shared" ref="BS26" si="37">EOMONTH(BR26,1)</f>
        <v>41304</v>
      </c>
      <c r="BT26" s="155">
        <f t="shared" ref="BT26" si="38">EOMONTH(BS26,1)</f>
        <v>41332</v>
      </c>
      <c r="BU26" s="155">
        <f t="shared" ref="BU26" si="39">EOMONTH(BT26,1)</f>
        <v>41363</v>
      </c>
      <c r="BV26" s="155">
        <f t="shared" ref="BV26" si="40">EOMONTH(BU26,1)</f>
        <v>41393</v>
      </c>
      <c r="BW26" s="155">
        <f t="shared" ref="BW26" si="41">EOMONTH(BV26,1)</f>
        <v>41424</v>
      </c>
      <c r="BX26" s="155">
        <f t="shared" ref="BX26" si="42">EOMONTH(BW26,1)</f>
        <v>41454</v>
      </c>
      <c r="BY26" s="155">
        <f t="shared" ref="BY26" si="43">EOMONTH(BX26,1)</f>
        <v>41485</v>
      </c>
      <c r="BZ26" s="155">
        <f t="shared" ref="BZ26" si="44">EOMONTH(BY26,1)</f>
        <v>41516</v>
      </c>
      <c r="CA26" s="155">
        <f t="shared" ref="CA26" si="45">EOMONTH(BZ26,1)</f>
        <v>41546</v>
      </c>
      <c r="CB26" s="155">
        <f t="shared" ref="CB26" si="46">EOMONTH(CA26,1)</f>
        <v>41577</v>
      </c>
      <c r="CC26" s="155">
        <f t="shared" ref="CC26" si="47">EOMONTH(CB26,1)</f>
        <v>41607</v>
      </c>
      <c r="CD26" s="155">
        <f t="shared" ref="CD26" si="48">EOMONTH(CC26,1)</f>
        <v>41638</v>
      </c>
      <c r="CE26" s="155">
        <f t="shared" ref="CE26" si="49">EOMONTH(CD26,1)</f>
        <v>41669</v>
      </c>
      <c r="CF26" s="155">
        <f t="shared" ref="CF26" si="50">EOMONTH(CE26,1)</f>
        <v>41697</v>
      </c>
      <c r="CG26" s="155">
        <f t="shared" ref="CG26" si="51">EOMONTH(CF26,1)</f>
        <v>41728</v>
      </c>
      <c r="CH26" s="155">
        <f t="shared" ref="CH26" si="52">EOMONTH(CG26,1)</f>
        <v>41758</v>
      </c>
      <c r="CI26" s="155">
        <f t="shared" ref="CI26" si="53">EOMONTH(CH26,1)</f>
        <v>41789</v>
      </c>
      <c r="CJ26" s="155">
        <f t="shared" ref="CJ26" si="54">EOMONTH(CI26,1)</f>
        <v>41819</v>
      </c>
      <c r="CK26" s="155">
        <f t="shared" ref="CK26" si="55">EOMONTH(CJ26,1)</f>
        <v>41850</v>
      </c>
      <c r="CL26" s="155">
        <f t="shared" ref="CL26" si="56">EOMONTH(CK26,1)</f>
        <v>41881</v>
      </c>
      <c r="CM26" s="155">
        <f t="shared" ref="CM26" si="57">EOMONTH(CL26,1)</f>
        <v>41911</v>
      </c>
      <c r="CN26" s="155">
        <f t="shared" ref="CN26" si="58">EOMONTH(CM26,1)</f>
        <v>41942</v>
      </c>
      <c r="CO26" s="155">
        <f t="shared" ref="CO26" si="59">EOMONTH(CN26,1)</f>
        <v>41972</v>
      </c>
      <c r="CP26" s="155">
        <f t="shared" ref="CP26" si="60">EOMONTH(CO26,1)</f>
        <v>42003</v>
      </c>
      <c r="CQ26" s="155">
        <f t="shared" ref="CQ26" si="61">EOMONTH(CP26,1)</f>
        <v>42034</v>
      </c>
      <c r="CR26" s="155">
        <f t="shared" ref="CR26" si="62">EOMONTH(CQ26,1)</f>
        <v>42062</v>
      </c>
      <c r="CS26" s="155">
        <f t="shared" ref="CS26" si="63">EOMONTH(CR26,1)</f>
        <v>42093</v>
      </c>
      <c r="CT26" s="155">
        <f t="shared" ref="CT26" si="64">EOMONTH(CS26,1)</f>
        <v>42123</v>
      </c>
      <c r="CU26" s="155">
        <f t="shared" ref="CU26" si="65">EOMONTH(CT26,1)</f>
        <v>42154</v>
      </c>
      <c r="CV26" s="155">
        <f t="shared" ref="CV26" si="66">EOMONTH(CU26,1)</f>
        <v>42184</v>
      </c>
      <c r="CW26" s="155">
        <f t="shared" ref="CW26" si="67">EOMONTH(CV26,1)</f>
        <v>42215</v>
      </c>
      <c r="CX26" s="155">
        <f t="shared" ref="CX26" si="68">EOMONTH(CW26,1)</f>
        <v>42246</v>
      </c>
      <c r="CY26" s="155">
        <f t="shared" ref="CY26" si="69">EOMONTH(CX26,1)</f>
        <v>42276</v>
      </c>
      <c r="CZ26" s="155">
        <f t="shared" ref="CZ26" si="70">EOMONTH(CY26,1)</f>
        <v>42307</v>
      </c>
      <c r="DA26" s="155">
        <f t="shared" ref="DA26" si="71">EOMONTH(CZ26,1)</f>
        <v>42337</v>
      </c>
      <c r="DB26" s="109"/>
      <c r="DC26" s="180"/>
    </row>
    <row r="27" spans="1:116" s="247" customFormat="1" x14ac:dyDescent="0.3">
      <c r="A27" s="189" t="s">
        <v>157</v>
      </c>
      <c r="B27" s="190">
        <v>1000</v>
      </c>
      <c r="C27" s="190">
        <v>1000</v>
      </c>
      <c r="D27" s="190">
        <v>1000</v>
      </c>
      <c r="E27" s="190">
        <v>1000</v>
      </c>
      <c r="F27" s="190">
        <v>1000</v>
      </c>
      <c r="G27" s="190">
        <v>1000</v>
      </c>
      <c r="H27" s="190">
        <v>1000</v>
      </c>
      <c r="I27" s="190">
        <v>1000</v>
      </c>
      <c r="J27" s="190">
        <v>1000</v>
      </c>
      <c r="K27" s="190">
        <v>1000</v>
      </c>
      <c r="L27" s="190">
        <v>1000</v>
      </c>
      <c r="M27" s="190">
        <v>1000</v>
      </c>
      <c r="N27" s="190">
        <v>1000</v>
      </c>
      <c r="O27" s="247">
        <v>1011.7059152296835</v>
      </c>
      <c r="P27" s="247">
        <v>1041.9285958270304</v>
      </c>
      <c r="Q27" s="247">
        <v>1045.8678296912065</v>
      </c>
      <c r="R27" s="247">
        <v>1053.4374071146342</v>
      </c>
      <c r="S27" s="247">
        <v>1080.6924753352998</v>
      </c>
      <c r="T27" s="247">
        <v>1124.3278043876705</v>
      </c>
      <c r="U27" s="247">
        <v>1138.4701071909487</v>
      </c>
      <c r="V27" s="247">
        <v>1177.7238735002259</v>
      </c>
      <c r="W27" s="247">
        <v>1207.5380953023812</v>
      </c>
      <c r="X27" s="247">
        <v>1234.3770298880768</v>
      </c>
      <c r="Y27" s="247">
        <v>1267.5445009370499</v>
      </c>
      <c r="Z27" s="247">
        <v>1304.2006664989281</v>
      </c>
      <c r="AA27" s="247">
        <v>1324.9923204675947</v>
      </c>
      <c r="AB27" s="247">
        <v>1329.0546340623723</v>
      </c>
      <c r="AC27" s="247">
        <v>1337.6260782615725</v>
      </c>
      <c r="AD27" s="247">
        <v>1352.2170654065844</v>
      </c>
      <c r="AE27" s="247">
        <v>1357.4279147139564</v>
      </c>
      <c r="AF27" s="247">
        <v>1357.4279147139564</v>
      </c>
      <c r="AG27" s="247">
        <v>1371.0702920615454</v>
      </c>
      <c r="AH27" s="247">
        <v>1380.7722608633167</v>
      </c>
      <c r="AI27" s="247">
        <v>1405.4412146969087</v>
      </c>
      <c r="AJ27" s="247">
        <v>1417.7515703310301</v>
      </c>
      <c r="AK27" s="247">
        <v>1425.5533019251664</v>
      </c>
      <c r="AL27" s="247">
        <v>1420.5891050864723</v>
      </c>
      <c r="AM27" s="247">
        <v>1423.0126287046173</v>
      </c>
      <c r="AN27" s="247">
        <v>1432.5893066090514</v>
      </c>
      <c r="AO27" s="247">
        <v>1417.3220702839276</v>
      </c>
      <c r="AP27" s="247">
        <v>1441.1420532608586</v>
      </c>
      <c r="AQ27" s="247">
        <v>1475.8667076171982</v>
      </c>
      <c r="AR27" s="247">
        <v>1487.8522704967388</v>
      </c>
      <c r="AS27" s="247">
        <v>1518.5081729542653</v>
      </c>
      <c r="AT27" s="247">
        <f ca="1">OFFSET(Calcs!$A$1,Graphs!AT$14+10,15)</f>
        <v>1526.5213901489194</v>
      </c>
      <c r="AU27" s="247">
        <f ca="1">OFFSET(Calcs!$A$1,Graphs!AU$14+10,15)</f>
        <v>1540.4621283132863</v>
      </c>
      <c r="AV27" s="247">
        <f ca="1">OFFSET(Calcs!$A$1,Graphs!AV$14+10,15)</f>
        <v>1532.3757315592197</v>
      </c>
      <c r="AW27" s="247">
        <f ca="1">OFFSET(Calcs!$A$1,Graphs!AW$14+10,15)</f>
        <v>1547.776363697114</v>
      </c>
      <c r="AX27" s="247">
        <f ca="1">OFFSET(Calcs!$A$1,Graphs!AX$14+10,15)</f>
        <v>1555.9440300896679</v>
      </c>
      <c r="AY27" s="247">
        <f ca="1">OFFSET(Calcs!$A$1,Graphs!AY$14+10,15)</f>
        <v>1563.5525432300074</v>
      </c>
      <c r="AZ27" s="247">
        <f ca="1">OFFSET(Calcs!$A$1,Graphs!AZ$14+10,15)</f>
        <v>1578.8813675514875</v>
      </c>
      <c r="BA27" s="247">
        <f ca="1">OFFSET(Calcs!$A$1,Graphs!BA$14+10,15)</f>
        <v>1578.8813675514875</v>
      </c>
      <c r="BB27" s="247">
        <f ca="1">OFFSET(Calcs!$A$1,Graphs!BB$14+10,15)</f>
        <v>1588.1962749345146</v>
      </c>
      <c r="BC27" s="247">
        <f ca="1">OFFSET(Calcs!$A$1,Graphs!BC$14+10,15)</f>
        <v>1588.1962749345146</v>
      </c>
      <c r="BD27" s="247">
        <f ca="1">OFFSET(Calcs!$A$1,Graphs!BD$14+10,15)</f>
        <v>1588.1962749345146</v>
      </c>
      <c r="BE27" s="247">
        <f ca="1">OFFSET(Calcs!$A$1,Graphs!BE$14+10,15)</f>
        <v>1600.0043714846461</v>
      </c>
      <c r="BF27" s="247">
        <f ca="1">OFFSET(Calcs!$A$1,Graphs!BF$14+10,15)</f>
        <v>1610.7067020916684</v>
      </c>
      <c r="BG27" s="247">
        <f ca="1">OFFSET(Calcs!$A$1,Graphs!BG$14+10,15)</f>
        <v>1610.7067020916684</v>
      </c>
      <c r="BH27" s="247">
        <f ca="1">OFFSET(Calcs!$A$1,Graphs!BH$14+10,15)</f>
        <v>1619.4367984039598</v>
      </c>
      <c r="BI27" s="247">
        <f ca="1">OFFSET(Calcs!$A$1,Graphs!BI$14+10,15)</f>
        <v>1629.2813687772227</v>
      </c>
      <c r="BJ27" s="247">
        <f ca="1">OFFSET(Calcs!$A$1,Graphs!BJ$14+10,15)</f>
        <v>1619.9977394438681</v>
      </c>
      <c r="BK27" s="247">
        <f ca="1">OFFSET(Calcs!$A$1,Graphs!BK$14+10,15)</f>
        <v>1630.4831252182605</v>
      </c>
      <c r="BL27" s="247">
        <f ca="1">OFFSET(Calcs!$A$1,Graphs!BL$14+10,15)</f>
        <v>1641.7667005844194</v>
      </c>
      <c r="BM27" s="247">
        <f ca="1">OFFSET(Calcs!$A$1,Graphs!BM$14+10,15)</f>
        <v>1641.7667005844194</v>
      </c>
      <c r="BN27" s="247">
        <f ca="1">OFFSET(Calcs!$A$1,Graphs!BN$14+10,15)</f>
        <v>1631.8466903700307</v>
      </c>
      <c r="BO27" s="247">
        <f ca="1">OFFSET(Calcs!$A$1,Graphs!BO$14+10,15)</f>
        <v>1641.7667005844191</v>
      </c>
      <c r="BP27" s="247">
        <f ca="1">OFFSET(Calcs!$A$1,Graphs!BP$14+10,15)</f>
        <v>1683.3282224827076</v>
      </c>
      <c r="BQ27" s="247">
        <f ca="1">OFFSET(Calcs!$A$1,Graphs!BQ$14+10,15)</f>
        <v>1693.259333717479</v>
      </c>
      <c r="BR27" s="247">
        <f ca="1">OFFSET(Calcs!$A$1,Graphs!BR$14+10,15)</f>
        <v>1682.0084826659886</v>
      </c>
      <c r="BS27" s="247">
        <f ca="1">OFFSET(Calcs!$A$1,Graphs!BS$14+10,15)</f>
        <v>1682.0084826659886</v>
      </c>
      <c r="BT27" s="247">
        <f ca="1">OFFSET(Calcs!$A$1,Graphs!BT$14+10,15)</f>
        <v>1671.191745256215</v>
      </c>
      <c r="BU27" s="247">
        <f ca="1">OFFSET(Calcs!$A$1,Graphs!BU$14+10,15)</f>
        <v>1660.0875221582219</v>
      </c>
      <c r="BV27" s="247">
        <f ca="1">OFFSET(Calcs!$A$1,Graphs!BV$14+10,15)</f>
        <v>1660.0875221582219</v>
      </c>
      <c r="BW27" s="247">
        <f ca="1">OFFSET(Calcs!$A$1,Graphs!BW$14+10,15)</f>
        <v>1660.0875221582219</v>
      </c>
      <c r="BX27" s="247">
        <f ca="1">OFFSET(Calcs!$A$1,Graphs!BX$14+10,15)</f>
        <v>1660.0875221582219</v>
      </c>
      <c r="BY27" s="247">
        <f ca="1">OFFSET(Calcs!$A$1,Graphs!BY$14+10,15)</f>
        <v>1660.0875221582219</v>
      </c>
      <c r="BZ27" s="247">
        <f ca="1">OFFSET(Calcs!$A$1,Graphs!BZ$14+10,15)</f>
        <v>1660.0875221582219</v>
      </c>
      <c r="CA27" s="247">
        <f ca="1">OFFSET(Calcs!$A$1,Graphs!CA$14+10,15)</f>
        <v>1641.7442013003565</v>
      </c>
      <c r="CB27" s="247">
        <f ca="1">OFFSET(Calcs!$A$1,Graphs!CB$14+10,15)</f>
        <v>1630.059238695578</v>
      </c>
      <c r="CC27" s="247">
        <f ca="1">OFFSET(Calcs!$A$1,Graphs!CC$14+10,15)</f>
        <v>1641.3398806026587</v>
      </c>
      <c r="CD27" s="247">
        <f ca="1">OFFSET(Calcs!$A$1,Graphs!CD$14+10,15)</f>
        <v>1616.2817469398037</v>
      </c>
      <c r="CE27" s="247">
        <f ca="1">OFFSET(Calcs!$A$1,Graphs!CE$14+10,15)</f>
        <v>1627.8679465842358</v>
      </c>
      <c r="CF27" s="247">
        <f ca="1">OFFSET(Calcs!$A$1,Graphs!CF$14+10,15)</f>
        <v>1640.9431211208664</v>
      </c>
      <c r="CG27" s="247">
        <f ca="1">OFFSET(Calcs!$A$1,Graphs!CG$14+10,15)</f>
        <v>1628.8328949534903</v>
      </c>
      <c r="CH27" s="247">
        <f ca="1">OFFSET(Calcs!$A$1,Graphs!CH$14+10,15)</f>
        <v>1614.0924268272679</v>
      </c>
      <c r="CI27" s="247">
        <f ca="1">OFFSET(Calcs!$A$1,Graphs!CI$14+10,15)</f>
        <v>1602.9990519040412</v>
      </c>
      <c r="CJ27" s="247">
        <f ca="1">OFFSET(Calcs!$A$1,Graphs!CJ$14+10,15)</f>
        <v>1602.9990519040412</v>
      </c>
      <c r="CK27" s="247">
        <f ca="1">OFFSET(Calcs!$A$1,Graphs!CK$14+10,15)</f>
        <v>1590.2262189423586</v>
      </c>
      <c r="CL27" s="247">
        <f ca="1">OFFSET(Calcs!$A$1,Graphs!CL$14+10,15)</f>
        <v>1578.0406372743143</v>
      </c>
      <c r="CM27" s="247">
        <f ca="1">OFFSET(Calcs!$A$1,Graphs!CM$14+10,15)</f>
        <v>1564.3780334920696</v>
      </c>
      <c r="CN27" s="247">
        <f ca="1">OFFSET(Calcs!$A$1,Graphs!CN$14+10,15)</f>
        <v>1547.0922652248428</v>
      </c>
      <c r="CO27" s="247">
        <f ca="1">OFFSET(Calcs!$A$1,Graphs!CO$14+10,15)</f>
        <v>1534.2533992550834</v>
      </c>
      <c r="CP27" s="247">
        <f ca="1">OFFSET(Calcs!$A$1,Graphs!CP$14+10,15)</f>
        <v>1520.9699033802301</v>
      </c>
      <c r="CQ27" s="247">
        <f ca="1">OFFSET(Calcs!$A$1,Graphs!CQ$14+10,15)</f>
        <v>1520.9699033802301</v>
      </c>
      <c r="CR27" s="247">
        <f ca="1">OFFSET(Calcs!$A$1,Graphs!CR$14+10,15)</f>
        <v>1506.5532354977881</v>
      </c>
      <c r="CS27" s="247">
        <f ca="1">OFFSET(Calcs!$A$1,Graphs!CS$14+10,15)</f>
        <v>1495.8304820962799</v>
      </c>
      <c r="CT27" s="247">
        <f ca="1">OFFSET(Calcs!$A$1,Graphs!CT$14+10,15)</f>
        <v>1479.3021375868316</v>
      </c>
      <c r="CU27" s="247">
        <f ca="1">OFFSET(Calcs!$A$1,Graphs!CU$14+10,15)</f>
        <v>1467.9665447041625</v>
      </c>
      <c r="CV27" s="247">
        <f ca="1">OFFSET(Calcs!$A$1,Graphs!CV$14+10,15)</f>
        <v>1467.9665447041625</v>
      </c>
      <c r="CW27" s="247">
        <f ca="1">OFFSET(Calcs!$A$1,Graphs!CW$14+10,15)</f>
        <v>1457.5184285077735</v>
      </c>
      <c r="CX27" s="247">
        <f ca="1">OFFSET(Calcs!$A$1,Graphs!CX$14+10,15)</f>
        <v>1438.2138327591576</v>
      </c>
      <c r="CY27" s="247" t="e">
        <f ca="1">OFFSET(Calcs!$A$1,Graphs!CY$14+10,15)</f>
        <v>#N/A</v>
      </c>
      <c r="CZ27" s="247" t="e">
        <f ca="1">OFFSET(Calcs!$A$1,Graphs!CZ$14+10,15)</f>
        <v>#N/A</v>
      </c>
      <c r="DA27" s="247" t="e">
        <f ca="1">OFFSET(Calcs!$A$1,Graphs!DA$14+10,15)</f>
        <v>#N/A</v>
      </c>
      <c r="DC27" s="193" t="str">
        <f t="shared" si="7"/>
        <v>Weapons: Botnets</v>
      </c>
    </row>
    <row r="28" spans="1:116" s="247" customFormat="1" x14ac:dyDescent="0.3">
      <c r="A28" s="189" t="s">
        <v>158</v>
      </c>
      <c r="B28" s="190">
        <v>1047.9448766671974</v>
      </c>
      <c r="C28" s="190">
        <v>1080.2452824966854</v>
      </c>
      <c r="D28" s="190">
        <v>1108.4312246480806</v>
      </c>
      <c r="E28" s="190">
        <v>1127.378309491789</v>
      </c>
      <c r="F28" s="190">
        <v>1159.7141421831629</v>
      </c>
      <c r="G28" s="190">
        <v>1192.8618832469015</v>
      </c>
      <c r="H28" s="190">
        <v>1217.1409410260942</v>
      </c>
      <c r="I28" s="190">
        <v>1239.6241005467175</v>
      </c>
      <c r="J28" s="190">
        <v>1266.7351017770673</v>
      </c>
      <c r="K28" s="190">
        <v>1303.0680114760471</v>
      </c>
      <c r="L28" s="190">
        <v>1341.2483747146998</v>
      </c>
      <c r="M28" s="190">
        <v>1376.452991265038</v>
      </c>
      <c r="N28" s="190">
        <v>1437.1927220758905</v>
      </c>
      <c r="O28" s="247">
        <v>1458.4101217909965</v>
      </c>
      <c r="P28" s="247">
        <v>1503.7951999174243</v>
      </c>
      <c r="Q28" s="247">
        <v>1524.507323448516</v>
      </c>
      <c r="R28" s="247">
        <v>1554.8558334609293</v>
      </c>
      <c r="S28" s="247">
        <v>1597.6866556253408</v>
      </c>
      <c r="T28" s="247">
        <v>1626.2310140726381</v>
      </c>
      <c r="U28" s="247">
        <v>1657.0105015440311</v>
      </c>
      <c r="V28" s="247">
        <v>1697.5187371618842</v>
      </c>
      <c r="W28" s="247">
        <v>1731.1089471723812</v>
      </c>
      <c r="X28" s="247">
        <v>1776.4629524796533</v>
      </c>
      <c r="Y28" s="247">
        <v>1804.2673066337316</v>
      </c>
      <c r="Z28" s="247">
        <v>1837.8118237440658</v>
      </c>
      <c r="AA28" s="247">
        <v>1866.1579780074526</v>
      </c>
      <c r="AB28" s="247">
        <v>1874.7467748488298</v>
      </c>
      <c r="AC28" s="247">
        <v>1894.9413394163928</v>
      </c>
      <c r="AD28" s="247">
        <v>1907.4965131134056</v>
      </c>
      <c r="AE28" s="247">
        <v>1925.9262884340626</v>
      </c>
      <c r="AF28" s="247">
        <v>1943.694831961179</v>
      </c>
      <c r="AG28" s="247">
        <v>1966.5040668221436</v>
      </c>
      <c r="AH28" s="247">
        <v>1988.0511093568878</v>
      </c>
      <c r="AI28" s="247">
        <v>2023.5697407964292</v>
      </c>
      <c r="AJ28" s="247">
        <v>2030.6410314843351</v>
      </c>
      <c r="AK28" s="247">
        <v>2059.3201673941671</v>
      </c>
      <c r="AL28" s="247">
        <v>2097.9917206682235</v>
      </c>
      <c r="AM28" s="247">
        <v>2111.1452308242492</v>
      </c>
      <c r="AN28" s="247">
        <v>2121.4686588648874</v>
      </c>
      <c r="AO28" s="247">
        <v>2130.5801781408441</v>
      </c>
      <c r="AP28" s="247">
        <v>2159.9494160482536</v>
      </c>
      <c r="AQ28" s="247">
        <v>2230.5042033418472</v>
      </c>
      <c r="AR28" s="247">
        <v>2281.9304600207461</v>
      </c>
      <c r="AS28" s="247">
        <v>2355.141298623565</v>
      </c>
      <c r="AT28" s="247">
        <f ca="1">OFFSET(Calcs!$A$1,Graphs!AT$14+11,15)</f>
        <v>2380.0631974314933</v>
      </c>
      <c r="AU28" s="247">
        <f ca="1">OFFSET(Calcs!$A$1,Graphs!AU$14+11,15)</f>
        <v>2401.7987840168876</v>
      </c>
      <c r="AV28" s="247">
        <f ca="1">OFFSET(Calcs!$A$1,Graphs!AV$14+11,15)</f>
        <v>2401.7987840168876</v>
      </c>
      <c r="AW28" s="247">
        <f ca="1">OFFSET(Calcs!$A$1,Graphs!AW$14+11,15)</f>
        <v>2425.9372630988087</v>
      </c>
      <c r="AX28" s="247">
        <f ca="1">OFFSET(Calcs!$A$1,Graphs!AX$14+11,15)</f>
        <v>2425.9372630988087</v>
      </c>
      <c r="AY28" s="247">
        <f ca="1">OFFSET(Calcs!$A$1,Graphs!AY$14+11,15)</f>
        <v>2437.8000134207869</v>
      </c>
      <c r="AZ28" s="247">
        <f ca="1">OFFSET(Calcs!$A$1,Graphs!AZ$14+11,15)</f>
        <v>2461.699823055219</v>
      </c>
      <c r="BA28" s="247">
        <f ca="1">OFFSET(Calcs!$A$1,Graphs!BA$14+11,15)</f>
        <v>2461.699823055219</v>
      </c>
      <c r="BB28" s="247">
        <f ca="1">OFFSET(Calcs!$A$1,Graphs!BB$14+11,15)</f>
        <v>2476.2230838446812</v>
      </c>
      <c r="BC28" s="247">
        <f ca="1">OFFSET(Calcs!$A$1,Graphs!BC$14+11,15)</f>
        <v>2476.2230838446812</v>
      </c>
      <c r="BD28" s="247">
        <f ca="1">OFFSET(Calcs!$A$1,Graphs!BD$14+11,15)</f>
        <v>2463.2245673998327</v>
      </c>
      <c r="BE28" s="247">
        <f ca="1">OFFSET(Calcs!$A$1,Graphs!BE$14+11,15)</f>
        <v>2481.5384206530853</v>
      </c>
      <c r="BF28" s="247">
        <f ca="1">OFFSET(Calcs!$A$1,Graphs!BF$14+11,15)</f>
        <v>2498.1372781719642</v>
      </c>
      <c r="BG28" s="247">
        <f ca="1">OFFSET(Calcs!$A$1,Graphs!BG$14+11,15)</f>
        <v>2498.1372781719642</v>
      </c>
      <c r="BH28" s="247">
        <f ca="1">OFFSET(Calcs!$A$1,Graphs!BH$14+11,15)</f>
        <v>2525.2906783425833</v>
      </c>
      <c r="BI28" s="247">
        <f ca="1">OFFSET(Calcs!$A$1,Graphs!BI$14+11,15)</f>
        <v>2540.6419423254629</v>
      </c>
      <c r="BJ28" s="247">
        <f ca="1">OFFSET(Calcs!$A$1,Graphs!BJ$14+11,15)</f>
        <v>2526.1653893412317</v>
      </c>
      <c r="BK28" s="247">
        <f ca="1">OFFSET(Calcs!$A$1,Graphs!BK$14+11,15)</f>
        <v>2542.5159174884216</v>
      </c>
      <c r="BL28" s="247">
        <f ca="1">OFFSET(Calcs!$A$1,Graphs!BL$14+11,15)</f>
        <v>2560.1111133729537</v>
      </c>
      <c r="BM28" s="247">
        <f ca="1">OFFSET(Calcs!$A$1,Graphs!BM$14+11,15)</f>
        <v>2560.1111133729537</v>
      </c>
      <c r="BN28" s="247">
        <f ca="1">OFFSET(Calcs!$A$1,Graphs!BN$14+11,15)</f>
        <v>2544.6422112533105</v>
      </c>
      <c r="BO28" s="247">
        <f ca="1">OFFSET(Calcs!$A$1,Graphs!BO$14+11,15)</f>
        <v>2560.1111133729532</v>
      </c>
      <c r="BP28" s="247">
        <f ca="1">OFFSET(Calcs!$A$1,Graphs!BP$14+11,15)</f>
        <v>2560.1111133729532</v>
      </c>
      <c r="BQ28" s="247">
        <f ca="1">OFFSET(Calcs!$A$1,Graphs!BQ$14+11,15)</f>
        <v>2575.2149700663217</v>
      </c>
      <c r="BR28" s="247">
        <f ca="1">OFFSET(Calcs!$A$1,Graphs!BR$14+11,15)</f>
        <v>2575.2149700663217</v>
      </c>
      <c r="BS28" s="247">
        <f ca="1">OFFSET(Calcs!$A$1,Graphs!BS$14+11,15)</f>
        <v>2575.2149700663217</v>
      </c>
      <c r="BT28" s="247">
        <f ca="1">OFFSET(Calcs!$A$1,Graphs!BT$14+11,15)</f>
        <v>2558.6541593498532</v>
      </c>
      <c r="BU28" s="247">
        <f ca="1">OFFSET(Calcs!$A$1,Graphs!BU$14+11,15)</f>
        <v>2558.6541593498532</v>
      </c>
      <c r="BV28" s="247">
        <f ca="1">OFFSET(Calcs!$A$1,Graphs!BV$14+11,15)</f>
        <v>2558.6541593498532</v>
      </c>
      <c r="BW28" s="247">
        <f ca="1">OFFSET(Calcs!$A$1,Graphs!BW$14+11,15)</f>
        <v>2625.543317867337</v>
      </c>
      <c r="BX28" s="247">
        <f ca="1">OFFSET(Calcs!$A$1,Graphs!BX$14+11,15)</f>
        <v>2608.0979117146312</v>
      </c>
      <c r="BY28" s="247">
        <f ca="1">OFFSET(Calcs!$A$1,Graphs!BY$14+11,15)</f>
        <v>2648.5327345425799</v>
      </c>
      <c r="BZ28" s="247">
        <f ca="1">OFFSET(Calcs!$A$1,Graphs!BZ$14+11,15)</f>
        <v>2632.9988628715887</v>
      </c>
      <c r="CA28" s="247">
        <f ca="1">OFFSET(Calcs!$A$1,Graphs!CA$14+11,15)</f>
        <v>2603.9052504473125</v>
      </c>
      <c r="CB28" s="247">
        <f ca="1">OFFSET(Calcs!$A$1,Graphs!CB$14+11,15)</f>
        <v>2585.3721955086908</v>
      </c>
      <c r="CC28" s="247">
        <f ca="1">OFFSET(Calcs!$A$1,Graphs!CC$14+11,15)</f>
        <v>2585.3721955086908</v>
      </c>
      <c r="CD28" s="247">
        <f ca="1">OFFSET(Calcs!$A$1,Graphs!CD$14+11,15)</f>
        <v>2565.5610116309558</v>
      </c>
      <c r="CE28" s="247">
        <f ca="1">OFFSET(Calcs!$A$1,Graphs!CE$14+11,15)</f>
        <v>2583.9520515205095</v>
      </c>
      <c r="CF28" s="247">
        <f ca="1">OFFSET(Calcs!$A$1,Graphs!CF$14+11,15)</f>
        <v>2583.9520515205095</v>
      </c>
      <c r="CG28" s="247">
        <f ca="1">OFFSET(Calcs!$A$1,Graphs!CG$14+11,15)</f>
        <v>2583.9520515205095</v>
      </c>
      <c r="CH28" s="247">
        <f ca="1">OFFSET(Calcs!$A$1,Graphs!CH$14+11,15)</f>
        <v>2560.5680303768227</v>
      </c>
      <c r="CI28" s="247">
        <f ca="1">OFFSET(Calcs!$A$1,Graphs!CI$14+11,15)</f>
        <v>2560.5680303768227</v>
      </c>
      <c r="CJ28" s="247">
        <f ca="1">OFFSET(Calcs!$A$1,Graphs!CJ$14+11,15)</f>
        <v>2560.5680303768227</v>
      </c>
      <c r="CK28" s="247">
        <f ca="1">OFFSET(Calcs!$A$1,Graphs!CK$14+11,15)</f>
        <v>2560.5680303768227</v>
      </c>
      <c r="CL28" s="247">
        <f ca="1">OFFSET(Calcs!$A$1,Graphs!CL$14+11,15)</f>
        <v>2560.5680303768227</v>
      </c>
      <c r="CM28" s="247">
        <f ca="1">OFFSET(Calcs!$A$1,Graphs!CM$14+11,15)</f>
        <v>2538.3987492885053</v>
      </c>
      <c r="CN28" s="247">
        <f ca="1">OFFSET(Calcs!$A$1,Graphs!CN$14+11,15)</f>
        <v>2510.3504312920727</v>
      </c>
      <c r="CO28" s="247">
        <f ca="1">OFFSET(Calcs!$A$1,Graphs!CO$14+11,15)</f>
        <v>2489.5177676889084</v>
      </c>
      <c r="CP28" s="247">
        <f ca="1">OFFSET(Calcs!$A$1,Graphs!CP$14+11,15)</f>
        <v>2467.963636530701</v>
      </c>
      <c r="CQ28" s="247">
        <f ca="1">OFFSET(Calcs!$A$1,Graphs!CQ$14+11,15)</f>
        <v>2487.7865314807532</v>
      </c>
      <c r="CR28" s="247">
        <f ca="1">OFFSET(Calcs!$A$1,Graphs!CR$14+11,15)</f>
        <v>2464.2057938822895</v>
      </c>
      <c r="CS28" s="247">
        <f ca="1">OFFSET(Calcs!$A$1,Graphs!CS$14+11,15)</f>
        <v>2446.6670369132157</v>
      </c>
      <c r="CT28" s="247">
        <f ca="1">OFFSET(Calcs!$A$1,Graphs!CT$14+11,15)</f>
        <v>2419.6323186279319</v>
      </c>
      <c r="CU28" s="247">
        <f ca="1">OFFSET(Calcs!$A$1,Graphs!CU$14+11,15)</f>
        <v>2401.0911658824502</v>
      </c>
      <c r="CV28" s="247">
        <f ca="1">OFFSET(Calcs!$A$1,Graphs!CV$14+11,15)</f>
        <v>2401.0911658824502</v>
      </c>
      <c r="CW28" s="247">
        <f ca="1">OFFSET(Calcs!$A$1,Graphs!CW$14+11,15)</f>
        <v>2384.0016214444204</v>
      </c>
      <c r="CX28" s="247">
        <f ca="1">OFFSET(Calcs!$A$1,Graphs!CX$14+11,15)</f>
        <v>2352.4259057170061</v>
      </c>
      <c r="CY28" s="247" t="e">
        <f ca="1">OFFSET(Calcs!$A$1,Graphs!CY$14+11,15)</f>
        <v>#N/A</v>
      </c>
      <c r="CZ28" s="247" t="e">
        <f ca="1">OFFSET(Calcs!$A$1,Graphs!CZ$14+11,15)</f>
        <v>#N/A</v>
      </c>
      <c r="DA28" s="247" t="e">
        <f ca="1">OFFSET(Calcs!$A$1,Graphs!DA$14+11,15)</f>
        <v>#N/A</v>
      </c>
      <c r="DC28" s="193" t="str">
        <f t="shared" si="7"/>
        <v>Weapons: Mass malware</v>
      </c>
    </row>
    <row r="29" spans="1:116" s="247" customFormat="1" x14ac:dyDescent="0.3">
      <c r="A29" s="189" t="s">
        <v>159</v>
      </c>
      <c r="B29" s="190">
        <v>1000</v>
      </c>
      <c r="C29" s="190">
        <v>1000</v>
      </c>
      <c r="D29" s="190">
        <v>1000</v>
      </c>
      <c r="E29" s="190">
        <v>1000</v>
      </c>
      <c r="F29" s="190">
        <v>1000</v>
      </c>
      <c r="G29" s="190">
        <v>1000</v>
      </c>
      <c r="H29" s="190">
        <v>1000</v>
      </c>
      <c r="I29" s="190">
        <v>1000</v>
      </c>
      <c r="J29" s="190">
        <v>1000</v>
      </c>
      <c r="K29" s="190">
        <v>1000</v>
      </c>
      <c r="L29" s="190">
        <v>1000</v>
      </c>
      <c r="M29" s="190">
        <v>1000</v>
      </c>
      <c r="N29" s="190">
        <v>1000</v>
      </c>
      <c r="O29" s="247">
        <v>1020.4652193217524</v>
      </c>
      <c r="P29" s="247">
        <v>1074.5172854217869</v>
      </c>
      <c r="Q29" s="247">
        <v>1105.3625831648267</v>
      </c>
      <c r="R29" s="247">
        <v>1121.9601133411236</v>
      </c>
      <c r="S29" s="247">
        <v>1168.0020600735822</v>
      </c>
      <c r="T29" s="247">
        <v>1207.5916224838647</v>
      </c>
      <c r="U29" s="247">
        <v>1224.0556492940045</v>
      </c>
      <c r="V29" s="247">
        <v>1242.3442967394099</v>
      </c>
      <c r="W29" s="247">
        <v>1271.2149918245259</v>
      </c>
      <c r="X29" s="247">
        <v>1327.7789878233498</v>
      </c>
      <c r="Y29" s="247">
        <v>1359.845715375656</v>
      </c>
      <c r="Z29" s="247">
        <v>1393.6589855474729</v>
      </c>
      <c r="AA29" s="247">
        <v>1417.3222996162435</v>
      </c>
      <c r="AB29" s="247">
        <v>1444.3320101358456</v>
      </c>
      <c r="AC29" s="247">
        <v>1466.1602931315799</v>
      </c>
      <c r="AD29" s="247">
        <v>1498.3208551320099</v>
      </c>
      <c r="AE29" s="247">
        <v>1512.7972730591214</v>
      </c>
      <c r="AF29" s="247">
        <v>1535.3469079184435</v>
      </c>
      <c r="AG29" s="247">
        <v>1563.7545422055773</v>
      </c>
      <c r="AH29" s="247">
        <v>1611.5845581671533</v>
      </c>
      <c r="AI29" s="247">
        <v>1669.6842877038362</v>
      </c>
      <c r="AJ29" s="247">
        <v>1709.9630610904921</v>
      </c>
      <c r="AK29" s="247">
        <v>1735.1709085586417</v>
      </c>
      <c r="AL29" s="247">
        <v>1819.8977779065001</v>
      </c>
      <c r="AM29" s="247">
        <v>1851.1846547523789</v>
      </c>
      <c r="AN29" s="247">
        <v>1878.4743556086173</v>
      </c>
      <c r="AO29" s="247">
        <v>1897.3533367458087</v>
      </c>
      <c r="AP29" s="247">
        <v>1955.8347360477737</v>
      </c>
      <c r="AQ29" s="247">
        <v>2075.7880958291139</v>
      </c>
      <c r="AR29" s="247">
        <v>2161.4559882851104</v>
      </c>
      <c r="AS29" s="247">
        <v>2233.7388594564472</v>
      </c>
      <c r="AT29" s="247">
        <f ca="1">OFFSET(Calcs!$A$1,Graphs!AT$14+12,15)</f>
        <v>2245.5263723297826</v>
      </c>
      <c r="AU29" s="247">
        <f ca="1">OFFSET(Calcs!$A$1,Graphs!AU$14+12,15)</f>
        <v>2245.5263723297826</v>
      </c>
      <c r="AV29" s="247">
        <f ca="1">OFFSET(Calcs!$A$1,Graphs!AV$14+12,15)</f>
        <v>2245.5263723297826</v>
      </c>
      <c r="AW29" s="247">
        <f ca="1">OFFSET(Calcs!$A$1,Graphs!AW$14+12,15)</f>
        <v>2245.5263723297826</v>
      </c>
      <c r="AX29" s="247">
        <f ca="1">OFFSET(Calcs!$A$1,Graphs!AX$14+12,15)</f>
        <v>2245.5263723297826</v>
      </c>
      <c r="AY29" s="247">
        <f ca="1">OFFSET(Calcs!$A$1,Graphs!AY$14+12,15)</f>
        <v>2245.5263723297826</v>
      </c>
      <c r="AZ29" s="247">
        <f ca="1">OFFSET(Calcs!$A$1,Graphs!AZ$14+12,15)</f>
        <v>2267.5411612920943</v>
      </c>
      <c r="BA29" s="247">
        <f ca="1">OFFSET(Calcs!$A$1,Graphs!BA$14+12,15)</f>
        <v>2292.1881064755753</v>
      </c>
      <c r="BB29" s="247">
        <f ca="1">OFFSET(Calcs!$A$1,Graphs!BB$14+12,15)</f>
        <v>2319.3142782181894</v>
      </c>
      <c r="BC29" s="247">
        <f ca="1">OFFSET(Calcs!$A$1,Graphs!BC$14+12,15)</f>
        <v>2319.3142782181894</v>
      </c>
      <c r="BD29" s="247">
        <f ca="1">OFFSET(Calcs!$A$1,Graphs!BD$14+12,15)</f>
        <v>2307.1394281479838</v>
      </c>
      <c r="BE29" s="247">
        <f ca="1">OFFSET(Calcs!$A$1,Graphs!BE$14+12,15)</f>
        <v>2307.1394281479838</v>
      </c>
      <c r="BF29" s="247">
        <f ca="1">OFFSET(Calcs!$A$1,Graphs!BF$14+12,15)</f>
        <v>2322.5717415569934</v>
      </c>
      <c r="BG29" s="247">
        <f ca="1">OFFSET(Calcs!$A$1,Graphs!BG$14+12,15)</f>
        <v>2336.2741900801461</v>
      </c>
      <c r="BH29" s="247">
        <f ca="1">OFFSET(Calcs!$A$1,Graphs!BH$14+12,15)</f>
        <v>2323.6797506358766</v>
      </c>
      <c r="BI29" s="247">
        <f ca="1">OFFSET(Calcs!$A$1,Graphs!BI$14+12,15)</f>
        <v>2323.6797506358766</v>
      </c>
      <c r="BJ29" s="247">
        <f ca="1">OFFSET(Calcs!$A$1,Graphs!BJ$14+12,15)</f>
        <v>2323.6797506358766</v>
      </c>
      <c r="BK29" s="247">
        <f ca="1">OFFSET(Calcs!$A$1,Graphs!BK$14+12,15)</f>
        <v>2323.6797506358766</v>
      </c>
      <c r="BL29" s="247">
        <f ca="1">OFFSET(Calcs!$A$1,Graphs!BL$14+12,15)</f>
        <v>2323.6797506358766</v>
      </c>
      <c r="BM29" s="247">
        <f ca="1">OFFSET(Calcs!$A$1,Graphs!BM$14+12,15)</f>
        <v>2339.760515402827</v>
      </c>
      <c r="BN29" s="247">
        <f ca="1">OFFSET(Calcs!$A$1,Graphs!BN$14+12,15)</f>
        <v>2325.6230327728304</v>
      </c>
      <c r="BO29" s="247">
        <f ca="1">OFFSET(Calcs!$A$1,Graphs!BO$14+12,15)</f>
        <v>2339.760515402827</v>
      </c>
      <c r="BP29" s="247">
        <f ca="1">OFFSET(Calcs!$A$1,Graphs!BP$14+12,15)</f>
        <v>2354.4298124257043</v>
      </c>
      <c r="BQ29" s="247">
        <f ca="1">OFFSET(Calcs!$A$1,Graphs!BQ$14+12,15)</f>
        <v>2340.6208796201627</v>
      </c>
      <c r="BR29" s="247">
        <f ca="1">OFFSET(Calcs!$A$1,Graphs!BR$14+12,15)</f>
        <v>2356.2771483940728</v>
      </c>
      <c r="BS29" s="247">
        <f ca="1">OFFSET(Calcs!$A$1,Graphs!BS$14+12,15)</f>
        <v>2371.5280801026433</v>
      </c>
      <c r="BT29" s="247">
        <f ca="1">OFFSET(Calcs!$A$1,Graphs!BT$14+12,15)</f>
        <v>2371.5280801026433</v>
      </c>
      <c r="BU29" s="247">
        <f ca="1">OFFSET(Calcs!$A$1,Graphs!BU$14+12,15)</f>
        <v>2371.5280801026433</v>
      </c>
      <c r="BV29" s="247">
        <f ca="1">OFFSET(Calcs!$A$1,Graphs!BV$14+12,15)</f>
        <v>2402.3267159907182</v>
      </c>
      <c r="BW29" s="247">
        <f ca="1">OFFSET(Calcs!$A$1,Graphs!BW$14+12,15)</f>
        <v>2497.1433290270447</v>
      </c>
      <c r="BX29" s="247">
        <f ca="1">OFFSET(Calcs!$A$1,Graphs!BX$14+12,15)</f>
        <v>2530.6615315329527</v>
      </c>
      <c r="BY29" s="247">
        <f ca="1">OFFSET(Calcs!$A$1,Graphs!BY$14+12,15)</f>
        <v>2530.6615315329527</v>
      </c>
      <c r="BZ29" s="247">
        <f ca="1">OFFSET(Calcs!$A$1,Graphs!BZ$14+12,15)</f>
        <v>2545.5916448831249</v>
      </c>
      <c r="CA29" s="247">
        <f ca="1">OFFSET(Calcs!$A$1,Graphs!CA$14+12,15)</f>
        <v>2517.4638481905226</v>
      </c>
      <c r="CB29" s="247">
        <f ca="1">OFFSET(Calcs!$A$1,Graphs!CB$14+12,15)</f>
        <v>2517.4638481905226</v>
      </c>
      <c r="CC29" s="247">
        <f ca="1">OFFSET(Calcs!$A$1,Graphs!CC$14+12,15)</f>
        <v>2552.4280656844426</v>
      </c>
      <c r="CD29" s="247">
        <f ca="1">OFFSET(Calcs!$A$1,Graphs!CD$14+12,15)</f>
        <v>2532.8693260059508</v>
      </c>
      <c r="CE29" s="247">
        <f ca="1">OFFSET(Calcs!$A$1,Graphs!CE$14+12,15)</f>
        <v>2569.3128647252079</v>
      </c>
      <c r="CF29" s="247">
        <f ca="1">OFFSET(Calcs!$A$1,Graphs!CF$14+12,15)</f>
        <v>2569.3128647252079</v>
      </c>
      <c r="CG29" s="247">
        <f ca="1">OFFSET(Calcs!$A$1,Graphs!CG$14+12,15)</f>
        <v>2569.3128647252079</v>
      </c>
      <c r="CH29" s="247">
        <f ca="1">OFFSET(Calcs!$A$1,Graphs!CH$14+12,15)</f>
        <v>2569.3128647252079</v>
      </c>
      <c r="CI29" s="247">
        <f ca="1">OFFSET(Calcs!$A$1,Graphs!CI$14+12,15)</f>
        <v>2569.3128647252079</v>
      </c>
      <c r="CJ29" s="247">
        <f ca="1">OFFSET(Calcs!$A$1,Graphs!CJ$14+12,15)</f>
        <v>2569.3128647252079</v>
      </c>
      <c r="CK29" s="247">
        <f ca="1">OFFSET(Calcs!$A$1,Graphs!CK$14+12,15)</f>
        <v>2569.3128647252079</v>
      </c>
      <c r="CL29" s="247">
        <f ca="1">OFFSET(Calcs!$A$1,Graphs!CL$14+12,15)</f>
        <v>2549.6247402490003</v>
      </c>
      <c r="CM29" s="247">
        <f ca="1">OFFSET(Calcs!$A$1,Graphs!CM$14+12,15)</f>
        <v>2549.6247402490003</v>
      </c>
      <c r="CN29" s="247">
        <f ca="1">OFFSET(Calcs!$A$1,Graphs!CN$14+12,15)</f>
        <v>2521.4523794226643</v>
      </c>
      <c r="CO29" s="247">
        <f ca="1">OFFSET(Calcs!$A$1,Graphs!CO$14+12,15)</f>
        <v>2500.5275840008258</v>
      </c>
      <c r="CP29" s="247">
        <f ca="1">OFFSET(Calcs!$A$1,Graphs!CP$14+12,15)</f>
        <v>2478.8781303557112</v>
      </c>
      <c r="CQ29" s="247">
        <f ca="1">OFFSET(Calcs!$A$1,Graphs!CQ$14+12,15)</f>
        <v>2478.8781303557112</v>
      </c>
      <c r="CR29" s="247">
        <f ca="1">OFFSET(Calcs!$A$1,Graphs!CR$14+12,15)</f>
        <v>2455.3818319431234</v>
      </c>
      <c r="CS29" s="247">
        <f ca="1">OFFSET(Calcs!$A$1,Graphs!CS$14+12,15)</f>
        <v>2437.9058787075446</v>
      </c>
      <c r="CT29" s="247">
        <f ca="1">OFFSET(Calcs!$A$1,Graphs!CT$14+12,15)</f>
        <v>2437.9058787075446</v>
      </c>
      <c r="CU29" s="247">
        <f ca="1">OFFSET(Calcs!$A$1,Graphs!CU$14+12,15)</f>
        <v>2456.7313135425488</v>
      </c>
      <c r="CV29" s="247">
        <f ca="1">OFFSET(Calcs!$A$1,Graphs!CV$14+12,15)</f>
        <v>2456.7313135425488</v>
      </c>
      <c r="CW29" s="247">
        <f ca="1">OFFSET(Calcs!$A$1,Graphs!CW$14+12,15)</f>
        <v>2439.2457554964199</v>
      </c>
      <c r="CX29" s="247">
        <f ca="1">OFFSET(Calcs!$A$1,Graphs!CX$14+12,15)</f>
        <v>2439.2457554964199</v>
      </c>
      <c r="CY29" s="247" t="e">
        <f ca="1">OFFSET(Calcs!$A$1,Graphs!CY$14+12,15)</f>
        <v>#N/A</v>
      </c>
      <c r="CZ29" s="247" t="e">
        <f ca="1">OFFSET(Calcs!$A$1,Graphs!CZ$14+12,15)</f>
        <v>#N/A</v>
      </c>
      <c r="DA29" s="247" t="e">
        <f ca="1">OFFSET(Calcs!$A$1,Graphs!DA$14+12,15)</f>
        <v>#N/A</v>
      </c>
      <c r="DC29" s="193" t="str">
        <f t="shared" si="7"/>
        <v>Weapons: Vulnerability exploitation</v>
      </c>
    </row>
    <row r="30" spans="1:116" s="247" customFormat="1" x14ac:dyDescent="0.3">
      <c r="A30" s="189" t="s">
        <v>160</v>
      </c>
      <c r="B30" s="190">
        <v>1000</v>
      </c>
      <c r="C30" s="190">
        <v>1000</v>
      </c>
      <c r="D30" s="190">
        <v>1000</v>
      </c>
      <c r="E30" s="190">
        <v>1000</v>
      </c>
      <c r="F30" s="190">
        <v>1000</v>
      </c>
      <c r="G30" s="190">
        <v>1000</v>
      </c>
      <c r="H30" s="190">
        <v>1000</v>
      </c>
      <c r="I30" s="190">
        <v>1000</v>
      </c>
      <c r="J30" s="190">
        <v>1000</v>
      </c>
      <c r="K30" s="190">
        <v>1000</v>
      </c>
      <c r="L30" s="190">
        <v>1000</v>
      </c>
      <c r="M30" s="190">
        <v>1000</v>
      </c>
      <c r="N30" s="190">
        <v>1000</v>
      </c>
      <c r="O30" s="247">
        <v>1045.8475258241865</v>
      </c>
      <c r="P30" s="247">
        <v>1088.4415919530147</v>
      </c>
      <c r="Q30" s="247">
        <v>1129.2338499469809</v>
      </c>
      <c r="R30" s="247">
        <v>1182.5737887006619</v>
      </c>
      <c r="S30" s="247">
        <v>1232.4420256986964</v>
      </c>
      <c r="T30" s="247">
        <v>1283.5409013386691</v>
      </c>
      <c r="U30" s="247">
        <v>1337.4548218869177</v>
      </c>
      <c r="V30" s="247">
        <v>1402.4574907191536</v>
      </c>
      <c r="W30" s="247">
        <v>1459.4956242220144</v>
      </c>
      <c r="X30" s="247">
        <v>1532.3428055857883</v>
      </c>
      <c r="Y30" s="247">
        <v>1599.3556670244416</v>
      </c>
      <c r="Z30" s="247">
        <v>1644.8858923617217</v>
      </c>
      <c r="AA30" s="247">
        <v>1688.2482005904544</v>
      </c>
      <c r="AB30" s="247">
        <v>1730.9864072635519</v>
      </c>
      <c r="AC30" s="247">
        <v>1778.6137713771911</v>
      </c>
      <c r="AD30" s="247">
        <v>1840.9251479073762</v>
      </c>
      <c r="AE30" s="247">
        <v>1885.1100322714167</v>
      </c>
      <c r="AF30" s="247">
        <v>1979.7405159956827</v>
      </c>
      <c r="AG30" s="247">
        <v>2050.2582966742648</v>
      </c>
      <c r="AH30" s="247">
        <v>2130.6504784694584</v>
      </c>
      <c r="AI30" s="247">
        <v>2208.6132326932175</v>
      </c>
      <c r="AJ30" s="247">
        <v>2284.3596680779392</v>
      </c>
      <c r="AK30" s="247">
        <v>2378.1661244533284</v>
      </c>
      <c r="AL30" s="247">
        <v>2488.4959502602765</v>
      </c>
      <c r="AM30" s="247">
        <v>2570.4085510928185</v>
      </c>
      <c r="AN30" s="247">
        <v>2662.9398232615586</v>
      </c>
      <c r="AO30" s="247">
        <v>2720.6185992810997</v>
      </c>
      <c r="AP30" s="247">
        <v>2807.8158392619357</v>
      </c>
      <c r="AQ30" s="247">
        <v>2887.4769414776561</v>
      </c>
      <c r="AR30" s="247">
        <v>3046.7015937647825</v>
      </c>
      <c r="AS30" s="247">
        <v>3198.6977418188444</v>
      </c>
      <c r="AT30" s="247">
        <f ca="1">OFFSET(Calcs!$A$1,Graphs!AT$14+13,15)</f>
        <v>3249.6043321595571</v>
      </c>
      <c r="AU30" s="247">
        <f ca="1">OFFSET(Calcs!$A$1,Graphs!AU$14+13,15)</f>
        <v>3264.4088821567202</v>
      </c>
      <c r="AV30" s="247">
        <f ca="1">OFFSET(Calcs!$A$1,Graphs!AV$14+13,15)</f>
        <v>3333.8617978128123</v>
      </c>
      <c r="AW30" s="247">
        <f ca="1">OFFSET(Calcs!$A$1,Graphs!AW$14+13,15)</f>
        <v>3350.5728496167089</v>
      </c>
      <c r="AX30" s="247">
        <f ca="1">OFFSET(Calcs!$A$1,Graphs!AX$14+13,15)</f>
        <v>3386.0283178536006</v>
      </c>
      <c r="AY30" s="247">
        <f ca="1">OFFSET(Calcs!$A$1,Graphs!AY$14+13,15)</f>
        <v>3386.0283178536006</v>
      </c>
      <c r="AZ30" s="247">
        <f ca="1">OFFSET(Calcs!$A$1,Graphs!AZ$14+13,15)</f>
        <v>3419.2244093163868</v>
      </c>
      <c r="BA30" s="247">
        <f ca="1">OFFSET(Calcs!$A$1,Graphs!BA$14+13,15)</f>
        <v>3456.3895280913066</v>
      </c>
      <c r="BB30" s="247">
        <f ca="1">OFFSET(Calcs!$A$1,Graphs!BB$14+13,15)</f>
        <v>3497.2930716022006</v>
      </c>
      <c r="BC30" s="247">
        <f ca="1">OFFSET(Calcs!$A$1,Graphs!BC$14+13,15)</f>
        <v>3516.7765482121104</v>
      </c>
      <c r="BD30" s="247">
        <f ca="1">OFFSET(Calcs!$A$1,Graphs!BD$14+13,15)</f>
        <v>3516.7765482121104</v>
      </c>
      <c r="BE30" s="247">
        <f ca="1">OFFSET(Calcs!$A$1,Graphs!BE$14+13,15)</f>
        <v>3516.7765482121104</v>
      </c>
      <c r="BF30" s="247">
        <f ca="1">OFFSET(Calcs!$A$1,Graphs!BF$14+13,15)</f>
        <v>3540.3000497479625</v>
      </c>
      <c r="BG30" s="247">
        <f ca="1">OFFSET(Calcs!$A$1,Graphs!BG$14+13,15)</f>
        <v>3561.1867153007197</v>
      </c>
      <c r="BH30" s="247">
        <f ca="1">OFFSET(Calcs!$A$1,Graphs!BH$14+13,15)</f>
        <v>3639.0237965990827</v>
      </c>
      <c r="BI30" s="247">
        <f ca="1">OFFSET(Calcs!$A$1,Graphs!BI$14+13,15)</f>
        <v>3705.7930191984897</v>
      </c>
      <c r="BJ30" s="247">
        <f ca="1">OFFSET(Calcs!$A$1,Graphs!BJ$14+13,15)</f>
        <v>3791.4723214400751</v>
      </c>
      <c r="BK30" s="247">
        <f ca="1">OFFSET(Calcs!$A$1,Graphs!BK$14+13,15)</f>
        <v>3865.5704219440672</v>
      </c>
      <c r="BL30" s="247">
        <f ca="1">OFFSET(Calcs!$A$1,Graphs!BL$14+13,15)</f>
        <v>3946.380828104031</v>
      </c>
      <c r="BM30" s="247">
        <f ca="1">OFFSET(Calcs!$A$1,Graphs!BM$14+13,15)</f>
        <v>4084.8363710946546</v>
      </c>
      <c r="BN30" s="247">
        <f ca="1">OFFSET(Calcs!$A$1,Graphs!BN$14+13,15)</f>
        <v>4084.8363710946546</v>
      </c>
      <c r="BO30" s="247">
        <f ca="1">OFFSET(Calcs!$A$1,Graphs!BO$14+13,15)</f>
        <v>4084.8363710946546</v>
      </c>
      <c r="BP30" s="247">
        <f ca="1">OFFSET(Calcs!$A$1,Graphs!BP$14+13,15)</f>
        <v>4136.2172874398893</v>
      </c>
      <c r="BQ30" s="247">
        <f ca="1">OFFSET(Calcs!$A$1,Graphs!BQ$14+13,15)</f>
        <v>4185.166036535521</v>
      </c>
      <c r="BR30" s="247">
        <f ca="1">OFFSET(Calcs!$A$1,Graphs!BR$14+13,15)</f>
        <v>4185.166036535521</v>
      </c>
      <c r="BS30" s="247">
        <f ca="1">OFFSET(Calcs!$A$1,Graphs!BS$14+13,15)</f>
        <v>4212.2543955834935</v>
      </c>
      <c r="BT30" s="247">
        <f ca="1">OFFSET(Calcs!$A$1,Graphs!BT$14+13,15)</f>
        <v>4212.2543955834935</v>
      </c>
      <c r="BU30" s="247">
        <f ca="1">OFFSET(Calcs!$A$1,Graphs!BU$14+13,15)</f>
        <v>4184.2660975998351</v>
      </c>
      <c r="BV30" s="247">
        <f ca="1">OFFSET(Calcs!$A$1,Graphs!BV$14+13,15)</f>
        <v>4184.2660975998351</v>
      </c>
      <c r="BW30" s="247">
        <f ca="1">OFFSET(Calcs!$A$1,Graphs!BW$14+13,15)</f>
        <v>4211.3486318205969</v>
      </c>
      <c r="BX30" s="247">
        <f ca="1">OFFSET(Calcs!$A$1,Graphs!BX$14+13,15)</f>
        <v>4239.5180832061287</v>
      </c>
      <c r="BY30" s="247">
        <f ca="1">OFFSET(Calcs!$A$1,Graphs!BY$14+13,15)</f>
        <v>4272.2555125319604</v>
      </c>
      <c r="BZ30" s="247">
        <f ca="1">OFFSET(Calcs!$A$1,Graphs!BZ$14+13,15)</f>
        <v>4297.4604869104833</v>
      </c>
      <c r="CA30" s="247">
        <f ca="1">OFFSET(Calcs!$A$1,Graphs!CA$14+13,15)</f>
        <v>4345.4763084513534</v>
      </c>
      <c r="CB30" s="247">
        <f ca="1">OFFSET(Calcs!$A$1,Graphs!CB$14+13,15)</f>
        <v>4376.6265433378103</v>
      </c>
      <c r="CC30" s="247">
        <f ca="1">OFFSET(Calcs!$A$1,Graphs!CC$14+13,15)</f>
        <v>4437.4120527150017</v>
      </c>
      <c r="CD30" s="247">
        <f ca="1">OFFSET(Calcs!$A$1,Graphs!CD$14+13,15)</f>
        <v>4437.4120527150017</v>
      </c>
      <c r="CE30" s="247">
        <f ca="1">OFFSET(Calcs!$A$1,Graphs!CE$14+13,15)</f>
        <v>4437.4120527150017</v>
      </c>
      <c r="CF30" s="247">
        <f ca="1">OFFSET(Calcs!$A$1,Graphs!CF$14+13,15)</f>
        <v>4508.9816757304561</v>
      </c>
      <c r="CG30" s="247">
        <f ca="1">OFFSET(Calcs!$A$1,Graphs!CG$14+13,15)</f>
        <v>4508.9816757304561</v>
      </c>
      <c r="CH30" s="247">
        <f ca="1">OFFSET(Calcs!$A$1,Graphs!CH$14+13,15)</f>
        <v>4633.6461462622701</v>
      </c>
      <c r="CI30" s="247">
        <f ca="1">OFFSET(Calcs!$A$1,Graphs!CI$14+13,15)</f>
        <v>4796.213830718455</v>
      </c>
      <c r="CJ30" s="247">
        <f ca="1">OFFSET(Calcs!$A$1,Graphs!CJ$14+13,15)</f>
        <v>4836.3492780733695</v>
      </c>
      <c r="CK30" s="247">
        <f ca="1">OFFSET(Calcs!$A$1,Graphs!CK$14+13,15)</f>
        <v>4875.1952490033864</v>
      </c>
      <c r="CL30" s="247">
        <f ca="1">OFFSET(Calcs!$A$1,Graphs!CL$14+13,15)</f>
        <v>4912.8413580142442</v>
      </c>
      <c r="CM30" s="247">
        <f ca="1">OFFSET(Calcs!$A$1,Graphs!CM$14+13,15)</f>
        <v>5042.6887346920421</v>
      </c>
      <c r="CN30" s="247">
        <f ca="1">OFFSET(Calcs!$A$1,Graphs!CN$14+13,15)</f>
        <v>5099.0310426919932</v>
      </c>
      <c r="CO30" s="247">
        <f ca="1">OFFSET(Calcs!$A$1,Graphs!CO$14+13,15)</f>
        <v>5141.7005105677372</v>
      </c>
      <c r="CP30" s="247">
        <f ca="1">OFFSET(Calcs!$A$1,Graphs!CP$14+13,15)</f>
        <v>5231.9034892040909</v>
      </c>
      <c r="CQ30" s="247">
        <f ca="1">OFFSET(Calcs!$A$1,Graphs!CQ$14+13,15)</f>
        <v>5402.0319386701522</v>
      </c>
      <c r="CR30" s="247">
        <f ca="1">OFFSET(Calcs!$A$1,Graphs!CR$14+13,15)</f>
        <v>5453.7256316078719</v>
      </c>
      <c r="CS30" s="247">
        <f ca="1">OFFSET(Calcs!$A$1,Graphs!CS$14+13,15)</f>
        <v>5453.7256316078719</v>
      </c>
      <c r="CT30" s="247">
        <f ca="1">OFFSET(Calcs!$A$1,Graphs!CT$14+13,15)</f>
        <v>5545.3827464086935</v>
      </c>
      <c r="CU30" s="247">
        <f ca="1">OFFSET(Calcs!$A$1,Graphs!CU$14+13,15)</f>
        <v>5545.3827464086935</v>
      </c>
      <c r="CV30" s="247">
        <f ca="1">OFFSET(Calcs!$A$1,Graphs!CV$14+13,15)</f>
        <v>5647.1300598887283</v>
      </c>
      <c r="CW30" s="247">
        <f ca="1">OFFSET(Calcs!$A$1,Graphs!CW$14+13,15)</f>
        <v>5647.1300598887283</v>
      </c>
      <c r="CX30" s="247">
        <f ca="1">OFFSET(Calcs!$A$1,Graphs!CX$14+13,15)</f>
        <v>5722.929332891732</v>
      </c>
      <c r="CY30" s="247" t="e">
        <f ca="1">OFFSET(Calcs!$A$1,Graphs!CY$14+13,15)</f>
        <v>#N/A</v>
      </c>
      <c r="CZ30" s="247" t="e">
        <f ca="1">OFFSET(Calcs!$A$1,Graphs!CZ$14+13,15)</f>
        <v>#N/A</v>
      </c>
      <c r="DA30" s="247" t="e">
        <f ca="1">OFFSET(Calcs!$A$1,Graphs!DA$14+13,15)</f>
        <v>#N/A</v>
      </c>
      <c r="DC30" s="193" t="str">
        <f t="shared" si="7"/>
        <v>Weapons: Phishing/social engineering</v>
      </c>
    </row>
    <row r="31" spans="1:116" s="247" customFormat="1" x14ac:dyDescent="0.3">
      <c r="A31" s="189" t="s">
        <v>161</v>
      </c>
      <c r="B31" s="190">
        <v>1000</v>
      </c>
      <c r="C31" s="190">
        <v>1000</v>
      </c>
      <c r="D31" s="190">
        <v>1000</v>
      </c>
      <c r="E31" s="190">
        <v>1000</v>
      </c>
      <c r="F31" s="190">
        <v>1000</v>
      </c>
      <c r="G31" s="190">
        <v>1000</v>
      </c>
      <c r="H31" s="190">
        <v>1000</v>
      </c>
      <c r="I31" s="190">
        <v>1000</v>
      </c>
      <c r="J31" s="190">
        <v>1000</v>
      </c>
      <c r="K31" s="190">
        <v>1000</v>
      </c>
      <c r="L31" s="190">
        <v>1000</v>
      </c>
      <c r="M31" s="190">
        <v>1000</v>
      </c>
      <c r="N31" s="190">
        <v>1000</v>
      </c>
      <c r="O31" s="247">
        <v>1039.5553809752741</v>
      </c>
      <c r="P31" s="247">
        <v>1079.2788681594968</v>
      </c>
      <c r="Q31" s="247">
        <v>1118.6718797943499</v>
      </c>
      <c r="R31" s="247">
        <v>1141.4900470271002</v>
      </c>
      <c r="S31" s="247">
        <v>1163.4109992779991</v>
      </c>
      <c r="T31" s="247">
        <v>1198.4675594200671</v>
      </c>
      <c r="U31" s="247">
        <v>1231.3695930620011</v>
      </c>
      <c r="V31" s="247">
        <v>1280.8626802594508</v>
      </c>
      <c r="W31" s="247">
        <v>1306.2081715831323</v>
      </c>
      <c r="X31" s="247">
        <v>1346.8006120329501</v>
      </c>
      <c r="Y31" s="247">
        <v>1376.7168352475803</v>
      </c>
      <c r="Z31" s="247">
        <v>1392.5060931225594</v>
      </c>
      <c r="AA31" s="247">
        <v>1408.9429781379679</v>
      </c>
      <c r="AB31" s="247">
        <v>1425.5738811116059</v>
      </c>
      <c r="AC31" s="247">
        <v>1434.7678048681007</v>
      </c>
      <c r="AD31" s="247">
        <v>1458.6516208537289</v>
      </c>
      <c r="AE31" s="247">
        <v>1468.9733327310225</v>
      </c>
      <c r="AF31" s="247">
        <v>1516.9573735889883</v>
      </c>
      <c r="AG31" s="247">
        <v>1539.0279952940803</v>
      </c>
      <c r="AH31" s="247">
        <v>1569.917138807094</v>
      </c>
      <c r="AI31" s="247">
        <v>1605.4734114117566</v>
      </c>
      <c r="AJ31" s="247">
        <v>1641.3378914414757</v>
      </c>
      <c r="AK31" s="247">
        <v>1667.5664619642273</v>
      </c>
      <c r="AL31" s="247">
        <v>1698.8813523309257</v>
      </c>
      <c r="AM31" s="247">
        <v>1709.532611295213</v>
      </c>
      <c r="AN31" s="247">
        <v>1728.3991204287354</v>
      </c>
      <c r="AO31" s="247">
        <v>1721.0075460285293</v>
      </c>
      <c r="AP31" s="247">
        <v>1745.7698203771731</v>
      </c>
      <c r="AQ31" s="247">
        <v>1811.4006360337569</v>
      </c>
      <c r="AR31" s="247">
        <v>1843.6502480879969</v>
      </c>
      <c r="AS31" s="247">
        <v>1854.5989802633883</v>
      </c>
      <c r="AT31" s="247">
        <f ca="1">OFFSET(Calcs!$A$1,Graphs!AT$14+14,15)</f>
        <v>1854.5989802633883</v>
      </c>
      <c r="AU31" s="247">
        <f ca="1">OFFSET(Calcs!$A$1,Graphs!AU$14+14,15)</f>
        <v>1854.5989802633883</v>
      </c>
      <c r="AV31" s="247">
        <f ca="1">OFFSET(Calcs!$A$1,Graphs!AV$14+14,15)</f>
        <v>1864.3857596186299</v>
      </c>
      <c r="AW31" s="247">
        <f ca="1">OFFSET(Calcs!$A$1,Graphs!AW$14+14,15)</f>
        <v>1864.3857596186299</v>
      </c>
      <c r="AX31" s="247">
        <f ca="1">OFFSET(Calcs!$A$1,Graphs!AX$14+14,15)</f>
        <v>1864.3857596186299</v>
      </c>
      <c r="AY31" s="247">
        <f ca="1">OFFSET(Calcs!$A$1,Graphs!AY$14+14,15)</f>
        <v>1864.3857596186299</v>
      </c>
      <c r="AZ31" s="247">
        <f ca="1">OFFSET(Calcs!$A$1,Graphs!AZ$14+14,15)</f>
        <v>1873.502542276874</v>
      </c>
      <c r="BA31" s="247">
        <f ca="1">OFFSET(Calcs!$A$1,Graphs!BA$14+14,15)</f>
        <v>1863.4028226388371</v>
      </c>
      <c r="BB31" s="247">
        <f ca="1">OFFSET(Calcs!$A$1,Graphs!BB$14+14,15)</f>
        <v>1874.396317822753</v>
      </c>
      <c r="BC31" s="247">
        <f ca="1">OFFSET(Calcs!$A$1,Graphs!BC$14+14,15)</f>
        <v>1884.8386102095533</v>
      </c>
      <c r="BD31" s="247">
        <f ca="1">OFFSET(Calcs!$A$1,Graphs!BD$14+14,15)</f>
        <v>1894.7849650790795</v>
      </c>
      <c r="BE31" s="247">
        <f ca="1">OFFSET(Calcs!$A$1,Graphs!BE$14+14,15)</f>
        <v>1923.0648165986297</v>
      </c>
      <c r="BF31" s="247">
        <f ca="1">OFFSET(Calcs!$A$1,Graphs!BF$14+14,15)</f>
        <v>1923.0648165986297</v>
      </c>
      <c r="BG31" s="247">
        <f ca="1">OFFSET(Calcs!$A$1,Graphs!BG$14+14,15)</f>
        <v>1934.4102989295495</v>
      </c>
      <c r="BH31" s="247">
        <f ca="1">OFFSET(Calcs!$A$1,Graphs!BH$14+14,15)</f>
        <v>1934.4102989295495</v>
      </c>
      <c r="BI31" s="247">
        <f ca="1">OFFSET(Calcs!$A$1,Graphs!BI$14+14,15)</f>
        <v>1934.4102989295495</v>
      </c>
      <c r="BJ31" s="247">
        <f ca="1">OFFSET(Calcs!$A$1,Graphs!BJ$14+14,15)</f>
        <v>1979.1345789426484</v>
      </c>
      <c r="BK31" s="247">
        <f ca="1">OFFSET(Calcs!$A$1,Graphs!BK$14+14,15)</f>
        <v>1991.9444669161817</v>
      </c>
      <c r="BL31" s="247">
        <f ca="1">OFFSET(Calcs!$A$1,Graphs!BL$14+14,15)</f>
        <v>2005.7294949057496</v>
      </c>
      <c r="BM31" s="247">
        <f ca="1">OFFSET(Calcs!$A$1,Graphs!BM$14+14,15)</f>
        <v>2033.5864042886831</v>
      </c>
      <c r="BN31" s="247">
        <f ca="1">OFFSET(Calcs!$A$1,Graphs!BN$14+14,15)</f>
        <v>2058.385932999915</v>
      </c>
      <c r="BO31" s="247">
        <f ca="1">OFFSET(Calcs!$A$1,Graphs!BO$14+14,15)</f>
        <v>2058.385932999915</v>
      </c>
      <c r="BP31" s="247">
        <f ca="1">OFFSET(Calcs!$A$1,Graphs!BP$14+14,15)</f>
        <v>2084.2772407100779</v>
      </c>
      <c r="BQ31" s="247">
        <f ca="1">OFFSET(Calcs!$A$1,Graphs!BQ$14+14,15)</f>
        <v>2096.5738260373678</v>
      </c>
      <c r="BR31" s="247">
        <f ca="1">OFFSET(Calcs!$A$1,Graphs!BR$14+14,15)</f>
        <v>2096.5738260373678</v>
      </c>
      <c r="BS31" s="247">
        <f ca="1">OFFSET(Calcs!$A$1,Graphs!BS$14+14,15)</f>
        <v>2110.1438359424692</v>
      </c>
      <c r="BT31" s="247">
        <f ca="1">OFFSET(Calcs!$A$1,Graphs!BT$14+14,15)</f>
        <v>2096.5738260373678</v>
      </c>
      <c r="BU31" s="247">
        <f ca="1">OFFSET(Calcs!$A$1,Graphs!BU$14+14,15)</f>
        <v>2082.6431543644039</v>
      </c>
      <c r="BV31" s="247">
        <f ca="1">OFFSET(Calcs!$A$1,Graphs!BV$14+14,15)</f>
        <v>2082.6431543644039</v>
      </c>
      <c r="BW31" s="247">
        <f ca="1">OFFSET(Calcs!$A$1,Graphs!BW$14+14,15)</f>
        <v>2082.6431543644039</v>
      </c>
      <c r="BX31" s="247">
        <f ca="1">OFFSET(Calcs!$A$1,Graphs!BX$14+14,15)</f>
        <v>2068.8050449522343</v>
      </c>
      <c r="BY31" s="247">
        <f ca="1">OFFSET(Calcs!$A$1,Graphs!BY$14+14,15)</f>
        <v>2084.7802944071982</v>
      </c>
      <c r="BZ31" s="247">
        <f ca="1">OFFSET(Calcs!$A$1,Graphs!BZ$14+14,15)</f>
        <v>2084.7802944071982</v>
      </c>
      <c r="CA31" s="247">
        <f ca="1">OFFSET(Calcs!$A$1,Graphs!CA$14+14,15)</f>
        <v>2038.9628120354191</v>
      </c>
      <c r="CB31" s="247">
        <f ca="1">OFFSET(Calcs!$A$1,Graphs!CB$14+14,15)</f>
        <v>2038.9628120354191</v>
      </c>
      <c r="CC31" s="247">
        <f ca="1">OFFSET(Calcs!$A$1,Graphs!CC$14+14,15)</f>
        <v>2067.2812878988411</v>
      </c>
      <c r="CD31" s="247">
        <f ca="1">OFFSET(Calcs!$A$1,Graphs!CD$14+14,15)</f>
        <v>2067.2812878988411</v>
      </c>
      <c r="CE31" s="247">
        <f ca="1">OFFSET(Calcs!$A$1,Graphs!CE$14+14,15)</f>
        <v>2052.567604412995</v>
      </c>
      <c r="CF31" s="247">
        <f ca="1">OFFSET(Calcs!$A$1,Graphs!CF$14+14,15)</f>
        <v>2085.6728215793141</v>
      </c>
      <c r="CG31" s="247">
        <f ca="1">OFFSET(Calcs!$A$1,Graphs!CG$14+14,15)</f>
        <v>2101.1796115383886</v>
      </c>
      <c r="CH31" s="247">
        <f ca="1">OFFSET(Calcs!$A$1,Graphs!CH$14+14,15)</f>
        <v>2139.732294083432</v>
      </c>
      <c r="CI31" s="247">
        <f ca="1">OFFSET(Calcs!$A$1,Graphs!CI$14+14,15)</f>
        <v>2154.5400711344596</v>
      </c>
      <c r="CJ31" s="247">
        <f ca="1">OFFSET(Calcs!$A$1,Graphs!CJ$14+14,15)</f>
        <v>2154.5400711344596</v>
      </c>
      <c r="CK31" s="247">
        <f ca="1">OFFSET(Calcs!$A$1,Graphs!CK$14+14,15)</f>
        <v>2154.5400711344596</v>
      </c>
      <c r="CL31" s="247">
        <f ca="1">OFFSET(Calcs!$A$1,Graphs!CL$14+14,15)</f>
        <v>2138.0302666291959</v>
      </c>
      <c r="CM31" s="247">
        <f ca="1">OFFSET(Calcs!$A$1,Graphs!CM$14+14,15)</f>
        <v>2194.5388328841718</v>
      </c>
      <c r="CN31" s="247">
        <f ca="1">OFFSET(Calcs!$A$1,Graphs!CN$14+14,15)</f>
        <v>2219.0585661743853</v>
      </c>
      <c r="CO31" s="247">
        <f ca="1">OFFSET(Calcs!$A$1,Graphs!CO$14+14,15)</f>
        <v>2237.6279860133718</v>
      </c>
      <c r="CP31" s="247">
        <f ca="1">OFFSET(Calcs!$A$1,Graphs!CP$14+14,15)</f>
        <v>2276.8836192428121</v>
      </c>
      <c r="CQ31" s="247">
        <f ca="1">OFFSET(Calcs!$A$1,Graphs!CQ$14+14,15)</f>
        <v>2313.60675884387</v>
      </c>
      <c r="CR31" s="247">
        <f ca="1">OFFSET(Calcs!$A$1,Graphs!CR$14+14,15)</f>
        <v>2291.6770019310625</v>
      </c>
      <c r="CS31" s="247">
        <f ca="1">OFFSET(Calcs!$A$1,Graphs!CS$14+14,15)</f>
        <v>2291.6770019310625</v>
      </c>
      <c r="CT31" s="247">
        <f ca="1">OFFSET(Calcs!$A$1,Graphs!CT$14+14,15)</f>
        <v>2330.1916827641116</v>
      </c>
      <c r="CU31" s="247">
        <f ca="1">OFFSET(Calcs!$A$1,Graphs!CU$14+14,15)</f>
        <v>2330.1916827641116</v>
      </c>
      <c r="CV31" s="247">
        <f ca="1">OFFSET(Calcs!$A$1,Graphs!CV$14+14,15)</f>
        <v>2344.356938257115</v>
      </c>
      <c r="CW31" s="247">
        <f ca="1">OFFSET(Calcs!$A$1,Graphs!CW$14+14,15)</f>
        <v>2344.356938257115</v>
      </c>
      <c r="CX31" s="247">
        <f ca="1">OFFSET(Calcs!$A$1,Graphs!CX$14+14,15)</f>
        <v>2344.356938257115</v>
      </c>
      <c r="CY31" s="247" t="e">
        <f ca="1">OFFSET(Calcs!$A$1,Graphs!CY$14+14,15)</f>
        <v>#N/A</v>
      </c>
      <c r="CZ31" s="247" t="e">
        <f ca="1">OFFSET(Calcs!$A$1,Graphs!CZ$14+14,15)</f>
        <v>#N/A</v>
      </c>
      <c r="DA31" s="247" t="e">
        <f ca="1">OFFSET(Calcs!$A$1,Graphs!DA$14+14,15)</f>
        <v>#N/A</v>
      </c>
      <c r="DC31" s="193" t="str">
        <f t="shared" si="7"/>
        <v>Weapons: Customized to target</v>
      </c>
    </row>
    <row r="32" spans="1:116" s="247" customFormat="1" x14ac:dyDescent="0.3">
      <c r="A32" s="189" t="s">
        <v>2688</v>
      </c>
      <c r="B32" s="257" t="e">
        <f>IF(AND(ISNA(C27),B27&lt;&gt;""),B27,NA())</f>
        <v>#N/A</v>
      </c>
      <c r="C32" s="257" t="e">
        <f t="shared" ref="C32:BN33" si="72">IF(AND(ISNA(D27),C27&lt;&gt;""),C27,NA())</f>
        <v>#N/A</v>
      </c>
      <c r="D32" s="257" t="e">
        <f t="shared" si="72"/>
        <v>#N/A</v>
      </c>
      <c r="E32" s="257" t="e">
        <f t="shared" si="72"/>
        <v>#N/A</v>
      </c>
      <c r="F32" s="257" t="e">
        <f t="shared" si="72"/>
        <v>#N/A</v>
      </c>
      <c r="G32" s="257" t="e">
        <f t="shared" si="72"/>
        <v>#N/A</v>
      </c>
      <c r="H32" s="257" t="e">
        <f t="shared" si="72"/>
        <v>#N/A</v>
      </c>
      <c r="I32" s="257" t="e">
        <f t="shared" si="72"/>
        <v>#N/A</v>
      </c>
      <c r="J32" s="257" t="e">
        <f t="shared" si="72"/>
        <v>#N/A</v>
      </c>
      <c r="K32" s="257" t="e">
        <f t="shared" si="72"/>
        <v>#N/A</v>
      </c>
      <c r="L32" s="257" t="e">
        <f t="shared" si="72"/>
        <v>#N/A</v>
      </c>
      <c r="M32" s="257" t="e">
        <f t="shared" si="72"/>
        <v>#N/A</v>
      </c>
      <c r="N32" s="257" t="e">
        <f t="shared" si="72"/>
        <v>#N/A</v>
      </c>
      <c r="O32" s="257" t="e">
        <f t="shared" si="72"/>
        <v>#N/A</v>
      </c>
      <c r="P32" s="257" t="e">
        <f t="shared" si="72"/>
        <v>#N/A</v>
      </c>
      <c r="Q32" s="257" t="e">
        <f t="shared" si="72"/>
        <v>#N/A</v>
      </c>
      <c r="R32" s="257" t="e">
        <f t="shared" si="72"/>
        <v>#N/A</v>
      </c>
      <c r="S32" s="257" t="e">
        <f t="shared" si="72"/>
        <v>#N/A</v>
      </c>
      <c r="T32" s="257" t="e">
        <f t="shared" si="72"/>
        <v>#N/A</v>
      </c>
      <c r="U32" s="257" t="e">
        <f t="shared" si="72"/>
        <v>#N/A</v>
      </c>
      <c r="V32" s="257" t="e">
        <f t="shared" si="72"/>
        <v>#N/A</v>
      </c>
      <c r="W32" s="257" t="e">
        <f t="shared" si="72"/>
        <v>#N/A</v>
      </c>
      <c r="X32" s="257" t="e">
        <f t="shared" si="72"/>
        <v>#N/A</v>
      </c>
      <c r="Y32" s="257" t="e">
        <f t="shared" si="72"/>
        <v>#N/A</v>
      </c>
      <c r="Z32" s="257" t="e">
        <f t="shared" si="72"/>
        <v>#N/A</v>
      </c>
      <c r="AA32" s="257" t="e">
        <f t="shared" si="72"/>
        <v>#N/A</v>
      </c>
      <c r="AB32" s="257" t="e">
        <f t="shared" si="72"/>
        <v>#N/A</v>
      </c>
      <c r="AC32" s="257" t="e">
        <f t="shared" si="72"/>
        <v>#N/A</v>
      </c>
      <c r="AD32" s="257" t="e">
        <f t="shared" si="72"/>
        <v>#N/A</v>
      </c>
      <c r="AE32" s="257" t="e">
        <f t="shared" si="72"/>
        <v>#N/A</v>
      </c>
      <c r="AF32" s="257" t="e">
        <f t="shared" si="72"/>
        <v>#N/A</v>
      </c>
      <c r="AG32" s="257" t="e">
        <f t="shared" si="72"/>
        <v>#N/A</v>
      </c>
      <c r="AH32" s="257" t="e">
        <f t="shared" si="72"/>
        <v>#N/A</v>
      </c>
      <c r="AI32" s="257" t="e">
        <f t="shared" si="72"/>
        <v>#N/A</v>
      </c>
      <c r="AJ32" s="257" t="e">
        <f t="shared" si="72"/>
        <v>#N/A</v>
      </c>
      <c r="AK32" s="257" t="e">
        <f t="shared" si="72"/>
        <v>#N/A</v>
      </c>
      <c r="AL32" s="257" t="e">
        <f t="shared" si="72"/>
        <v>#N/A</v>
      </c>
      <c r="AM32" s="257" t="e">
        <f t="shared" si="72"/>
        <v>#N/A</v>
      </c>
      <c r="AN32" s="257" t="e">
        <f t="shared" si="72"/>
        <v>#N/A</v>
      </c>
      <c r="AO32" s="257" t="e">
        <f t="shared" si="72"/>
        <v>#N/A</v>
      </c>
      <c r="AP32" s="257" t="e">
        <f t="shared" si="72"/>
        <v>#N/A</v>
      </c>
      <c r="AQ32" s="257" t="e">
        <f t="shared" si="72"/>
        <v>#N/A</v>
      </c>
      <c r="AR32" s="257" t="e">
        <f t="shared" si="72"/>
        <v>#N/A</v>
      </c>
      <c r="AS32" s="257" t="e">
        <f t="shared" ca="1" si="72"/>
        <v>#N/A</v>
      </c>
      <c r="AT32" s="257" t="e">
        <f t="shared" ca="1" si="72"/>
        <v>#N/A</v>
      </c>
      <c r="AU32" s="257" t="e">
        <f t="shared" ca="1" si="72"/>
        <v>#N/A</v>
      </c>
      <c r="AV32" s="257" t="e">
        <f t="shared" ca="1" si="72"/>
        <v>#N/A</v>
      </c>
      <c r="AW32" s="257" t="e">
        <f t="shared" ca="1" si="72"/>
        <v>#N/A</v>
      </c>
      <c r="AX32" s="257" t="e">
        <f t="shared" ca="1" si="72"/>
        <v>#N/A</v>
      </c>
      <c r="AY32" s="257" t="e">
        <f t="shared" ca="1" si="72"/>
        <v>#N/A</v>
      </c>
      <c r="AZ32" s="257" t="e">
        <f t="shared" ca="1" si="72"/>
        <v>#N/A</v>
      </c>
      <c r="BA32" s="257" t="e">
        <f t="shared" ca="1" si="72"/>
        <v>#N/A</v>
      </c>
      <c r="BB32" s="257" t="e">
        <f t="shared" ca="1" si="72"/>
        <v>#N/A</v>
      </c>
      <c r="BC32" s="257" t="e">
        <f t="shared" ca="1" si="72"/>
        <v>#N/A</v>
      </c>
      <c r="BD32" s="257" t="e">
        <f t="shared" ca="1" si="72"/>
        <v>#N/A</v>
      </c>
      <c r="BE32" s="257" t="e">
        <f t="shared" ca="1" si="72"/>
        <v>#N/A</v>
      </c>
      <c r="BF32" s="257" t="e">
        <f t="shared" ca="1" si="72"/>
        <v>#N/A</v>
      </c>
      <c r="BG32" s="257" t="e">
        <f t="shared" ca="1" si="72"/>
        <v>#N/A</v>
      </c>
      <c r="BH32" s="257" t="e">
        <f t="shared" ca="1" si="72"/>
        <v>#N/A</v>
      </c>
      <c r="BI32" s="257" t="e">
        <f t="shared" ca="1" si="72"/>
        <v>#N/A</v>
      </c>
      <c r="BJ32" s="257" t="e">
        <f t="shared" ca="1" si="72"/>
        <v>#N/A</v>
      </c>
      <c r="BK32" s="257" t="e">
        <f t="shared" ca="1" si="72"/>
        <v>#N/A</v>
      </c>
      <c r="BL32" s="257" t="e">
        <f t="shared" ca="1" si="72"/>
        <v>#N/A</v>
      </c>
      <c r="BM32" s="257" t="e">
        <f t="shared" ca="1" si="72"/>
        <v>#N/A</v>
      </c>
      <c r="BN32" s="257" t="e">
        <f t="shared" ca="1" si="72"/>
        <v>#N/A</v>
      </c>
      <c r="BO32" s="257" t="e">
        <f t="shared" ref="BO32:DA36" ca="1" si="73">IF(AND(ISNA(BP27),BO27&lt;&gt;""),BO27,NA())</f>
        <v>#N/A</v>
      </c>
      <c r="BP32" s="257" t="e">
        <f t="shared" ca="1" si="73"/>
        <v>#N/A</v>
      </c>
      <c r="BQ32" s="257" t="e">
        <f t="shared" ca="1" si="73"/>
        <v>#N/A</v>
      </c>
      <c r="BR32" s="257" t="e">
        <f t="shared" ca="1" si="73"/>
        <v>#N/A</v>
      </c>
      <c r="BS32" s="257" t="e">
        <f t="shared" ca="1" si="73"/>
        <v>#N/A</v>
      </c>
      <c r="BT32" s="257" t="e">
        <f t="shared" ca="1" si="73"/>
        <v>#N/A</v>
      </c>
      <c r="BU32" s="257" t="e">
        <f t="shared" ca="1" si="73"/>
        <v>#N/A</v>
      </c>
      <c r="BV32" s="257" t="e">
        <f t="shared" ca="1" si="73"/>
        <v>#N/A</v>
      </c>
      <c r="BW32" s="257" t="e">
        <f t="shared" ca="1" si="73"/>
        <v>#N/A</v>
      </c>
      <c r="BX32" s="257" t="e">
        <f t="shared" ca="1" si="73"/>
        <v>#N/A</v>
      </c>
      <c r="BY32" s="257" t="e">
        <f t="shared" ca="1" si="73"/>
        <v>#N/A</v>
      </c>
      <c r="BZ32" s="257" t="e">
        <f t="shared" ca="1" si="73"/>
        <v>#N/A</v>
      </c>
      <c r="CA32" s="257" t="e">
        <f t="shared" ca="1" si="73"/>
        <v>#N/A</v>
      </c>
      <c r="CB32" s="257" t="e">
        <f t="shared" ca="1" si="73"/>
        <v>#N/A</v>
      </c>
      <c r="CC32" s="257" t="e">
        <f t="shared" ca="1" si="73"/>
        <v>#N/A</v>
      </c>
      <c r="CD32" s="257" t="e">
        <f t="shared" ca="1" si="73"/>
        <v>#N/A</v>
      </c>
      <c r="CE32" s="257" t="e">
        <f t="shared" ca="1" si="73"/>
        <v>#N/A</v>
      </c>
      <c r="CF32" s="257" t="e">
        <f t="shared" ca="1" si="73"/>
        <v>#N/A</v>
      </c>
      <c r="CG32" s="257" t="e">
        <f t="shared" ca="1" si="73"/>
        <v>#N/A</v>
      </c>
      <c r="CH32" s="257" t="e">
        <f t="shared" ca="1" si="73"/>
        <v>#N/A</v>
      </c>
      <c r="CI32" s="257" t="e">
        <f t="shared" ca="1" si="73"/>
        <v>#N/A</v>
      </c>
      <c r="CJ32" s="257" t="e">
        <f t="shared" ca="1" si="73"/>
        <v>#N/A</v>
      </c>
      <c r="CK32" s="257" t="e">
        <f t="shared" ca="1" si="73"/>
        <v>#N/A</v>
      </c>
      <c r="CL32" s="257" t="e">
        <f t="shared" ca="1" si="73"/>
        <v>#N/A</v>
      </c>
      <c r="CM32" s="257" t="e">
        <f t="shared" ca="1" si="73"/>
        <v>#N/A</v>
      </c>
      <c r="CN32" s="257" t="e">
        <f t="shared" ca="1" si="73"/>
        <v>#N/A</v>
      </c>
      <c r="CO32" s="257" t="e">
        <f t="shared" ca="1" si="73"/>
        <v>#N/A</v>
      </c>
      <c r="CP32" s="257" t="e">
        <f t="shared" ca="1" si="73"/>
        <v>#N/A</v>
      </c>
      <c r="CQ32" s="257" t="e">
        <f t="shared" ca="1" si="73"/>
        <v>#N/A</v>
      </c>
      <c r="CR32" s="257" t="e">
        <f t="shared" ca="1" si="73"/>
        <v>#N/A</v>
      </c>
      <c r="CS32" s="257" t="e">
        <f t="shared" ca="1" si="73"/>
        <v>#N/A</v>
      </c>
      <c r="CT32" s="257" t="e">
        <f t="shared" ca="1" si="73"/>
        <v>#N/A</v>
      </c>
      <c r="CU32" s="257" t="e">
        <f t="shared" ca="1" si="73"/>
        <v>#N/A</v>
      </c>
      <c r="CV32" s="257" t="e">
        <f t="shared" ca="1" si="73"/>
        <v>#N/A</v>
      </c>
      <c r="CW32" s="257" t="e">
        <f t="shared" ca="1" si="73"/>
        <v>#N/A</v>
      </c>
      <c r="CX32" s="257">
        <f t="shared" ca="1" si="73"/>
        <v>1438.2138327591576</v>
      </c>
      <c r="CY32" s="257" t="e">
        <f t="shared" ca="1" si="73"/>
        <v>#N/A</v>
      </c>
      <c r="CZ32" s="257" t="e">
        <f t="shared" ca="1" si="73"/>
        <v>#N/A</v>
      </c>
      <c r="DA32" s="257" t="e">
        <f t="shared" ca="1" si="73"/>
        <v>#N/A</v>
      </c>
      <c r="DC32" s="193"/>
    </row>
    <row r="33" spans="1:107" s="247" customFormat="1" x14ac:dyDescent="0.3">
      <c r="A33" s="189" t="s">
        <v>2689</v>
      </c>
      <c r="B33" s="257" t="e">
        <f t="shared" ref="B33:Q36" si="74">IF(AND(ISNA(C28),B28&lt;&gt;""),B28,NA())</f>
        <v>#N/A</v>
      </c>
      <c r="C33" s="257" t="e">
        <f t="shared" si="74"/>
        <v>#N/A</v>
      </c>
      <c r="D33" s="257" t="e">
        <f t="shared" si="74"/>
        <v>#N/A</v>
      </c>
      <c r="E33" s="257" t="e">
        <f t="shared" si="74"/>
        <v>#N/A</v>
      </c>
      <c r="F33" s="257" t="e">
        <f t="shared" si="74"/>
        <v>#N/A</v>
      </c>
      <c r="G33" s="257" t="e">
        <f t="shared" si="74"/>
        <v>#N/A</v>
      </c>
      <c r="H33" s="257" t="e">
        <f t="shared" si="74"/>
        <v>#N/A</v>
      </c>
      <c r="I33" s="257" t="e">
        <f t="shared" si="74"/>
        <v>#N/A</v>
      </c>
      <c r="J33" s="257" t="e">
        <f t="shared" si="74"/>
        <v>#N/A</v>
      </c>
      <c r="K33" s="257" t="e">
        <f t="shared" si="74"/>
        <v>#N/A</v>
      </c>
      <c r="L33" s="257" t="e">
        <f t="shared" si="74"/>
        <v>#N/A</v>
      </c>
      <c r="M33" s="257" t="e">
        <f t="shared" si="74"/>
        <v>#N/A</v>
      </c>
      <c r="N33" s="257" t="e">
        <f t="shared" si="74"/>
        <v>#N/A</v>
      </c>
      <c r="O33" s="257" t="e">
        <f t="shared" si="74"/>
        <v>#N/A</v>
      </c>
      <c r="P33" s="257" t="e">
        <f t="shared" si="74"/>
        <v>#N/A</v>
      </c>
      <c r="Q33" s="257" t="e">
        <f t="shared" si="74"/>
        <v>#N/A</v>
      </c>
      <c r="R33" s="257" t="e">
        <f t="shared" si="72"/>
        <v>#N/A</v>
      </c>
      <c r="S33" s="257" t="e">
        <f t="shared" si="72"/>
        <v>#N/A</v>
      </c>
      <c r="T33" s="257" t="e">
        <f t="shared" si="72"/>
        <v>#N/A</v>
      </c>
      <c r="U33" s="257" t="e">
        <f t="shared" si="72"/>
        <v>#N/A</v>
      </c>
      <c r="V33" s="257" t="e">
        <f t="shared" si="72"/>
        <v>#N/A</v>
      </c>
      <c r="W33" s="257" t="e">
        <f t="shared" si="72"/>
        <v>#N/A</v>
      </c>
      <c r="X33" s="257" t="e">
        <f t="shared" si="72"/>
        <v>#N/A</v>
      </c>
      <c r="Y33" s="257" t="e">
        <f t="shared" si="72"/>
        <v>#N/A</v>
      </c>
      <c r="Z33" s="257" t="e">
        <f t="shared" si="72"/>
        <v>#N/A</v>
      </c>
      <c r="AA33" s="257" t="e">
        <f t="shared" si="72"/>
        <v>#N/A</v>
      </c>
      <c r="AB33" s="257" t="e">
        <f t="shared" si="72"/>
        <v>#N/A</v>
      </c>
      <c r="AC33" s="257" t="e">
        <f t="shared" si="72"/>
        <v>#N/A</v>
      </c>
      <c r="AD33" s="257" t="e">
        <f t="shared" si="72"/>
        <v>#N/A</v>
      </c>
      <c r="AE33" s="257" t="e">
        <f t="shared" si="72"/>
        <v>#N/A</v>
      </c>
      <c r="AF33" s="257" t="e">
        <f t="shared" si="72"/>
        <v>#N/A</v>
      </c>
      <c r="AG33" s="257" t="e">
        <f t="shared" si="72"/>
        <v>#N/A</v>
      </c>
      <c r="AH33" s="257" t="e">
        <f t="shared" si="72"/>
        <v>#N/A</v>
      </c>
      <c r="AI33" s="257" t="e">
        <f t="shared" si="72"/>
        <v>#N/A</v>
      </c>
      <c r="AJ33" s="257" t="e">
        <f t="shared" si="72"/>
        <v>#N/A</v>
      </c>
      <c r="AK33" s="257" t="e">
        <f t="shared" si="72"/>
        <v>#N/A</v>
      </c>
      <c r="AL33" s="257" t="e">
        <f t="shared" si="72"/>
        <v>#N/A</v>
      </c>
      <c r="AM33" s="257" t="e">
        <f t="shared" si="72"/>
        <v>#N/A</v>
      </c>
      <c r="AN33" s="257" t="e">
        <f t="shared" si="72"/>
        <v>#N/A</v>
      </c>
      <c r="AO33" s="257" t="e">
        <f t="shared" si="72"/>
        <v>#N/A</v>
      </c>
      <c r="AP33" s="257" t="e">
        <f t="shared" si="72"/>
        <v>#N/A</v>
      </c>
      <c r="AQ33" s="257" t="e">
        <f t="shared" si="72"/>
        <v>#N/A</v>
      </c>
      <c r="AR33" s="257" t="e">
        <f t="shared" si="72"/>
        <v>#N/A</v>
      </c>
      <c r="AS33" s="257" t="e">
        <f t="shared" ca="1" si="72"/>
        <v>#N/A</v>
      </c>
      <c r="AT33" s="257" t="e">
        <f t="shared" ca="1" si="72"/>
        <v>#N/A</v>
      </c>
      <c r="AU33" s="257" t="e">
        <f t="shared" ca="1" si="72"/>
        <v>#N/A</v>
      </c>
      <c r="AV33" s="257" t="e">
        <f t="shared" ca="1" si="72"/>
        <v>#N/A</v>
      </c>
      <c r="AW33" s="257" t="e">
        <f t="shared" ca="1" si="72"/>
        <v>#N/A</v>
      </c>
      <c r="AX33" s="257" t="e">
        <f t="shared" ca="1" si="72"/>
        <v>#N/A</v>
      </c>
      <c r="AY33" s="257" t="e">
        <f t="shared" ca="1" si="72"/>
        <v>#N/A</v>
      </c>
      <c r="AZ33" s="257" t="e">
        <f t="shared" ca="1" si="72"/>
        <v>#N/A</v>
      </c>
      <c r="BA33" s="257" t="e">
        <f t="shared" ca="1" si="72"/>
        <v>#N/A</v>
      </c>
      <c r="BB33" s="257" t="e">
        <f t="shared" ca="1" si="72"/>
        <v>#N/A</v>
      </c>
      <c r="BC33" s="257" t="e">
        <f t="shared" ca="1" si="72"/>
        <v>#N/A</v>
      </c>
      <c r="BD33" s="257" t="e">
        <f t="shared" ca="1" si="72"/>
        <v>#N/A</v>
      </c>
      <c r="BE33" s="257" t="e">
        <f t="shared" ca="1" si="72"/>
        <v>#N/A</v>
      </c>
      <c r="BF33" s="257" t="e">
        <f t="shared" ca="1" si="72"/>
        <v>#N/A</v>
      </c>
      <c r="BG33" s="257" t="e">
        <f t="shared" ca="1" si="72"/>
        <v>#N/A</v>
      </c>
      <c r="BH33" s="257" t="e">
        <f t="shared" ca="1" si="72"/>
        <v>#N/A</v>
      </c>
      <c r="BI33" s="257" t="e">
        <f t="shared" ca="1" si="72"/>
        <v>#N/A</v>
      </c>
      <c r="BJ33" s="257" t="e">
        <f t="shared" ca="1" si="72"/>
        <v>#N/A</v>
      </c>
      <c r="BK33" s="257" t="e">
        <f t="shared" ca="1" si="72"/>
        <v>#N/A</v>
      </c>
      <c r="BL33" s="257" t="e">
        <f t="shared" ca="1" si="72"/>
        <v>#N/A</v>
      </c>
      <c r="BM33" s="257" t="e">
        <f t="shared" ca="1" si="72"/>
        <v>#N/A</v>
      </c>
      <c r="BN33" s="257" t="e">
        <f t="shared" ca="1" si="72"/>
        <v>#N/A</v>
      </c>
      <c r="BO33" s="257" t="e">
        <f t="shared" ca="1" si="73"/>
        <v>#N/A</v>
      </c>
      <c r="BP33" s="257" t="e">
        <f t="shared" ca="1" si="73"/>
        <v>#N/A</v>
      </c>
      <c r="BQ33" s="257" t="e">
        <f t="shared" ca="1" si="73"/>
        <v>#N/A</v>
      </c>
      <c r="BR33" s="257" t="e">
        <f t="shared" ca="1" si="73"/>
        <v>#N/A</v>
      </c>
      <c r="BS33" s="257" t="e">
        <f t="shared" ca="1" si="73"/>
        <v>#N/A</v>
      </c>
      <c r="BT33" s="257" t="e">
        <f t="shared" ca="1" si="73"/>
        <v>#N/A</v>
      </c>
      <c r="BU33" s="257" t="e">
        <f t="shared" ca="1" si="73"/>
        <v>#N/A</v>
      </c>
      <c r="BV33" s="257" t="e">
        <f t="shared" ca="1" si="73"/>
        <v>#N/A</v>
      </c>
      <c r="BW33" s="257" t="e">
        <f t="shared" ca="1" si="73"/>
        <v>#N/A</v>
      </c>
      <c r="BX33" s="257" t="e">
        <f t="shared" ca="1" si="73"/>
        <v>#N/A</v>
      </c>
      <c r="BY33" s="257" t="e">
        <f t="shared" ca="1" si="73"/>
        <v>#N/A</v>
      </c>
      <c r="BZ33" s="257" t="e">
        <f t="shared" ca="1" si="73"/>
        <v>#N/A</v>
      </c>
      <c r="CA33" s="257" t="e">
        <f t="shared" ca="1" si="73"/>
        <v>#N/A</v>
      </c>
      <c r="CB33" s="257" t="e">
        <f t="shared" ca="1" si="73"/>
        <v>#N/A</v>
      </c>
      <c r="CC33" s="257" t="e">
        <f t="shared" ca="1" si="73"/>
        <v>#N/A</v>
      </c>
      <c r="CD33" s="257" t="e">
        <f t="shared" ca="1" si="73"/>
        <v>#N/A</v>
      </c>
      <c r="CE33" s="257" t="e">
        <f t="shared" ca="1" si="73"/>
        <v>#N/A</v>
      </c>
      <c r="CF33" s="257" t="e">
        <f t="shared" ca="1" si="73"/>
        <v>#N/A</v>
      </c>
      <c r="CG33" s="257" t="e">
        <f t="shared" ca="1" si="73"/>
        <v>#N/A</v>
      </c>
      <c r="CH33" s="257" t="e">
        <f t="shared" ca="1" si="73"/>
        <v>#N/A</v>
      </c>
      <c r="CI33" s="257" t="e">
        <f t="shared" ca="1" si="73"/>
        <v>#N/A</v>
      </c>
      <c r="CJ33" s="257" t="e">
        <f t="shared" ca="1" si="73"/>
        <v>#N/A</v>
      </c>
      <c r="CK33" s="257" t="e">
        <f t="shared" ca="1" si="73"/>
        <v>#N/A</v>
      </c>
      <c r="CL33" s="257" t="e">
        <f t="shared" ca="1" si="73"/>
        <v>#N/A</v>
      </c>
      <c r="CM33" s="257" t="e">
        <f t="shared" ca="1" si="73"/>
        <v>#N/A</v>
      </c>
      <c r="CN33" s="257" t="e">
        <f t="shared" ca="1" si="73"/>
        <v>#N/A</v>
      </c>
      <c r="CO33" s="257" t="e">
        <f t="shared" ca="1" si="73"/>
        <v>#N/A</v>
      </c>
      <c r="CP33" s="257" t="e">
        <f t="shared" ca="1" si="73"/>
        <v>#N/A</v>
      </c>
      <c r="CQ33" s="257" t="e">
        <f t="shared" ca="1" si="73"/>
        <v>#N/A</v>
      </c>
      <c r="CR33" s="257" t="e">
        <f t="shared" ca="1" si="73"/>
        <v>#N/A</v>
      </c>
      <c r="CS33" s="257" t="e">
        <f t="shared" ca="1" si="73"/>
        <v>#N/A</v>
      </c>
      <c r="CT33" s="257" t="e">
        <f t="shared" ca="1" si="73"/>
        <v>#N/A</v>
      </c>
      <c r="CU33" s="257" t="e">
        <f t="shared" ca="1" si="73"/>
        <v>#N/A</v>
      </c>
      <c r="CV33" s="257" t="e">
        <f t="shared" ca="1" si="73"/>
        <v>#N/A</v>
      </c>
      <c r="CW33" s="257" t="e">
        <f t="shared" ca="1" si="73"/>
        <v>#N/A</v>
      </c>
      <c r="CX33" s="257">
        <f t="shared" ca="1" si="73"/>
        <v>2352.4259057170061</v>
      </c>
      <c r="CY33" s="257" t="e">
        <f t="shared" ca="1" si="73"/>
        <v>#N/A</v>
      </c>
      <c r="CZ33" s="257" t="e">
        <f t="shared" ca="1" si="73"/>
        <v>#N/A</v>
      </c>
      <c r="DA33" s="257" t="e">
        <f t="shared" ca="1" si="73"/>
        <v>#N/A</v>
      </c>
      <c r="DC33" s="193"/>
    </row>
    <row r="34" spans="1:107" s="247" customFormat="1" x14ac:dyDescent="0.3">
      <c r="A34" s="189" t="s">
        <v>2690</v>
      </c>
      <c r="B34" s="257" t="e">
        <f t="shared" si="74"/>
        <v>#N/A</v>
      </c>
      <c r="C34" s="257" t="e">
        <f t="shared" ref="C34:BN36" si="75">IF(AND(ISNA(D29),C29&lt;&gt;""),C29,NA())</f>
        <v>#N/A</v>
      </c>
      <c r="D34" s="257" t="e">
        <f t="shared" si="75"/>
        <v>#N/A</v>
      </c>
      <c r="E34" s="257" t="e">
        <f t="shared" si="75"/>
        <v>#N/A</v>
      </c>
      <c r="F34" s="257" t="e">
        <f t="shared" si="75"/>
        <v>#N/A</v>
      </c>
      <c r="G34" s="257" t="e">
        <f t="shared" si="75"/>
        <v>#N/A</v>
      </c>
      <c r="H34" s="257" t="e">
        <f t="shared" si="75"/>
        <v>#N/A</v>
      </c>
      <c r="I34" s="257" t="e">
        <f t="shared" si="75"/>
        <v>#N/A</v>
      </c>
      <c r="J34" s="257" t="e">
        <f t="shared" si="75"/>
        <v>#N/A</v>
      </c>
      <c r="K34" s="257" t="e">
        <f t="shared" si="75"/>
        <v>#N/A</v>
      </c>
      <c r="L34" s="257" t="e">
        <f t="shared" si="75"/>
        <v>#N/A</v>
      </c>
      <c r="M34" s="257" t="e">
        <f t="shared" si="75"/>
        <v>#N/A</v>
      </c>
      <c r="N34" s="257" t="e">
        <f t="shared" si="75"/>
        <v>#N/A</v>
      </c>
      <c r="O34" s="257" t="e">
        <f t="shared" si="75"/>
        <v>#N/A</v>
      </c>
      <c r="P34" s="257" t="e">
        <f t="shared" si="75"/>
        <v>#N/A</v>
      </c>
      <c r="Q34" s="257" t="e">
        <f t="shared" si="75"/>
        <v>#N/A</v>
      </c>
      <c r="R34" s="257" t="e">
        <f t="shared" si="75"/>
        <v>#N/A</v>
      </c>
      <c r="S34" s="257" t="e">
        <f t="shared" si="75"/>
        <v>#N/A</v>
      </c>
      <c r="T34" s="257" t="e">
        <f t="shared" si="75"/>
        <v>#N/A</v>
      </c>
      <c r="U34" s="257" t="e">
        <f t="shared" si="75"/>
        <v>#N/A</v>
      </c>
      <c r="V34" s="257" t="e">
        <f t="shared" si="75"/>
        <v>#N/A</v>
      </c>
      <c r="W34" s="257" t="e">
        <f t="shared" si="75"/>
        <v>#N/A</v>
      </c>
      <c r="X34" s="257" t="e">
        <f t="shared" si="75"/>
        <v>#N/A</v>
      </c>
      <c r="Y34" s="257" t="e">
        <f t="shared" si="75"/>
        <v>#N/A</v>
      </c>
      <c r="Z34" s="257" t="e">
        <f t="shared" si="75"/>
        <v>#N/A</v>
      </c>
      <c r="AA34" s="257" t="e">
        <f t="shared" si="75"/>
        <v>#N/A</v>
      </c>
      <c r="AB34" s="257" t="e">
        <f t="shared" si="75"/>
        <v>#N/A</v>
      </c>
      <c r="AC34" s="257" t="e">
        <f t="shared" si="75"/>
        <v>#N/A</v>
      </c>
      <c r="AD34" s="257" t="e">
        <f t="shared" si="75"/>
        <v>#N/A</v>
      </c>
      <c r="AE34" s="257" t="e">
        <f t="shared" si="75"/>
        <v>#N/A</v>
      </c>
      <c r="AF34" s="257" t="e">
        <f t="shared" si="75"/>
        <v>#N/A</v>
      </c>
      <c r="AG34" s="257" t="e">
        <f t="shared" si="75"/>
        <v>#N/A</v>
      </c>
      <c r="AH34" s="257" t="e">
        <f t="shared" si="75"/>
        <v>#N/A</v>
      </c>
      <c r="AI34" s="257" t="e">
        <f t="shared" si="75"/>
        <v>#N/A</v>
      </c>
      <c r="AJ34" s="257" t="e">
        <f t="shared" si="75"/>
        <v>#N/A</v>
      </c>
      <c r="AK34" s="257" t="e">
        <f t="shared" si="75"/>
        <v>#N/A</v>
      </c>
      <c r="AL34" s="257" t="e">
        <f t="shared" si="75"/>
        <v>#N/A</v>
      </c>
      <c r="AM34" s="257" t="e">
        <f t="shared" si="75"/>
        <v>#N/A</v>
      </c>
      <c r="AN34" s="257" t="e">
        <f t="shared" si="75"/>
        <v>#N/A</v>
      </c>
      <c r="AO34" s="257" t="e">
        <f t="shared" si="75"/>
        <v>#N/A</v>
      </c>
      <c r="AP34" s="257" t="e">
        <f t="shared" si="75"/>
        <v>#N/A</v>
      </c>
      <c r="AQ34" s="257" t="e">
        <f t="shared" si="75"/>
        <v>#N/A</v>
      </c>
      <c r="AR34" s="257" t="e">
        <f t="shared" si="75"/>
        <v>#N/A</v>
      </c>
      <c r="AS34" s="257" t="e">
        <f t="shared" ca="1" si="75"/>
        <v>#N/A</v>
      </c>
      <c r="AT34" s="257" t="e">
        <f t="shared" ca="1" si="75"/>
        <v>#N/A</v>
      </c>
      <c r="AU34" s="257" t="e">
        <f t="shared" ca="1" si="75"/>
        <v>#N/A</v>
      </c>
      <c r="AV34" s="257" t="e">
        <f t="shared" ca="1" si="75"/>
        <v>#N/A</v>
      </c>
      <c r="AW34" s="257" t="e">
        <f t="shared" ca="1" si="75"/>
        <v>#N/A</v>
      </c>
      <c r="AX34" s="257" t="e">
        <f t="shared" ca="1" si="75"/>
        <v>#N/A</v>
      </c>
      <c r="AY34" s="257" t="e">
        <f t="shared" ca="1" si="75"/>
        <v>#N/A</v>
      </c>
      <c r="AZ34" s="257" t="e">
        <f t="shared" ca="1" si="75"/>
        <v>#N/A</v>
      </c>
      <c r="BA34" s="257" t="e">
        <f t="shared" ca="1" si="75"/>
        <v>#N/A</v>
      </c>
      <c r="BB34" s="257" t="e">
        <f t="shared" ca="1" si="75"/>
        <v>#N/A</v>
      </c>
      <c r="BC34" s="257" t="e">
        <f t="shared" ca="1" si="75"/>
        <v>#N/A</v>
      </c>
      <c r="BD34" s="257" t="e">
        <f t="shared" ca="1" si="75"/>
        <v>#N/A</v>
      </c>
      <c r="BE34" s="257" t="e">
        <f t="shared" ca="1" si="75"/>
        <v>#N/A</v>
      </c>
      <c r="BF34" s="257" t="e">
        <f t="shared" ca="1" si="75"/>
        <v>#N/A</v>
      </c>
      <c r="BG34" s="257" t="e">
        <f t="shared" ca="1" si="75"/>
        <v>#N/A</v>
      </c>
      <c r="BH34" s="257" t="e">
        <f t="shared" ca="1" si="75"/>
        <v>#N/A</v>
      </c>
      <c r="BI34" s="257" t="e">
        <f t="shared" ca="1" si="75"/>
        <v>#N/A</v>
      </c>
      <c r="BJ34" s="257" t="e">
        <f t="shared" ca="1" si="75"/>
        <v>#N/A</v>
      </c>
      <c r="BK34" s="257" t="e">
        <f t="shared" ca="1" si="75"/>
        <v>#N/A</v>
      </c>
      <c r="BL34" s="257" t="e">
        <f t="shared" ca="1" si="75"/>
        <v>#N/A</v>
      </c>
      <c r="BM34" s="257" t="e">
        <f t="shared" ca="1" si="75"/>
        <v>#N/A</v>
      </c>
      <c r="BN34" s="257" t="e">
        <f t="shared" ca="1" si="75"/>
        <v>#N/A</v>
      </c>
      <c r="BO34" s="257" t="e">
        <f t="shared" ca="1" si="73"/>
        <v>#N/A</v>
      </c>
      <c r="BP34" s="257" t="e">
        <f t="shared" ca="1" si="73"/>
        <v>#N/A</v>
      </c>
      <c r="BQ34" s="257" t="e">
        <f t="shared" ca="1" si="73"/>
        <v>#N/A</v>
      </c>
      <c r="BR34" s="257" t="e">
        <f t="shared" ca="1" si="73"/>
        <v>#N/A</v>
      </c>
      <c r="BS34" s="257" t="e">
        <f t="shared" ca="1" si="73"/>
        <v>#N/A</v>
      </c>
      <c r="BT34" s="257" t="e">
        <f t="shared" ca="1" si="73"/>
        <v>#N/A</v>
      </c>
      <c r="BU34" s="257" t="e">
        <f t="shared" ca="1" si="73"/>
        <v>#N/A</v>
      </c>
      <c r="BV34" s="257" t="e">
        <f t="shared" ca="1" si="73"/>
        <v>#N/A</v>
      </c>
      <c r="BW34" s="257" t="e">
        <f t="shared" ca="1" si="73"/>
        <v>#N/A</v>
      </c>
      <c r="BX34" s="257" t="e">
        <f t="shared" ca="1" si="73"/>
        <v>#N/A</v>
      </c>
      <c r="BY34" s="257" t="e">
        <f t="shared" ca="1" si="73"/>
        <v>#N/A</v>
      </c>
      <c r="BZ34" s="257" t="e">
        <f t="shared" ca="1" si="73"/>
        <v>#N/A</v>
      </c>
      <c r="CA34" s="257" t="e">
        <f t="shared" ca="1" si="73"/>
        <v>#N/A</v>
      </c>
      <c r="CB34" s="257" t="e">
        <f t="shared" ca="1" si="73"/>
        <v>#N/A</v>
      </c>
      <c r="CC34" s="257" t="e">
        <f t="shared" ca="1" si="73"/>
        <v>#N/A</v>
      </c>
      <c r="CD34" s="257" t="e">
        <f t="shared" ca="1" si="73"/>
        <v>#N/A</v>
      </c>
      <c r="CE34" s="257" t="e">
        <f t="shared" ca="1" si="73"/>
        <v>#N/A</v>
      </c>
      <c r="CF34" s="257" t="e">
        <f t="shared" ca="1" si="73"/>
        <v>#N/A</v>
      </c>
      <c r="CG34" s="257" t="e">
        <f t="shared" ca="1" si="73"/>
        <v>#N/A</v>
      </c>
      <c r="CH34" s="257" t="e">
        <f t="shared" ca="1" si="73"/>
        <v>#N/A</v>
      </c>
      <c r="CI34" s="257" t="e">
        <f t="shared" ca="1" si="73"/>
        <v>#N/A</v>
      </c>
      <c r="CJ34" s="257" t="e">
        <f t="shared" ca="1" si="73"/>
        <v>#N/A</v>
      </c>
      <c r="CK34" s="257" t="e">
        <f t="shared" ca="1" si="73"/>
        <v>#N/A</v>
      </c>
      <c r="CL34" s="257" t="e">
        <f t="shared" ca="1" si="73"/>
        <v>#N/A</v>
      </c>
      <c r="CM34" s="257" t="e">
        <f t="shared" ca="1" si="73"/>
        <v>#N/A</v>
      </c>
      <c r="CN34" s="257" t="e">
        <f t="shared" ca="1" si="73"/>
        <v>#N/A</v>
      </c>
      <c r="CO34" s="257" t="e">
        <f t="shared" ca="1" si="73"/>
        <v>#N/A</v>
      </c>
      <c r="CP34" s="257" t="e">
        <f t="shared" ca="1" si="73"/>
        <v>#N/A</v>
      </c>
      <c r="CQ34" s="257" t="e">
        <f t="shared" ca="1" si="73"/>
        <v>#N/A</v>
      </c>
      <c r="CR34" s="257" t="e">
        <f t="shared" ca="1" si="73"/>
        <v>#N/A</v>
      </c>
      <c r="CS34" s="257" t="e">
        <f t="shared" ca="1" si="73"/>
        <v>#N/A</v>
      </c>
      <c r="CT34" s="257" t="e">
        <f t="shared" ca="1" si="73"/>
        <v>#N/A</v>
      </c>
      <c r="CU34" s="257" t="e">
        <f t="shared" ca="1" si="73"/>
        <v>#N/A</v>
      </c>
      <c r="CV34" s="257" t="e">
        <f t="shared" ca="1" si="73"/>
        <v>#N/A</v>
      </c>
      <c r="CW34" s="257" t="e">
        <f t="shared" ca="1" si="73"/>
        <v>#N/A</v>
      </c>
      <c r="CX34" s="257">
        <f t="shared" ca="1" si="73"/>
        <v>2439.2457554964199</v>
      </c>
      <c r="CY34" s="257" t="e">
        <f t="shared" ca="1" si="73"/>
        <v>#N/A</v>
      </c>
      <c r="CZ34" s="257" t="e">
        <f t="shared" ca="1" si="73"/>
        <v>#N/A</v>
      </c>
      <c r="DA34" s="257" t="e">
        <f t="shared" ca="1" si="73"/>
        <v>#N/A</v>
      </c>
      <c r="DC34" s="193"/>
    </row>
    <row r="35" spans="1:107" s="247" customFormat="1" x14ac:dyDescent="0.3">
      <c r="A35" s="189" t="s">
        <v>2691</v>
      </c>
      <c r="B35" s="257" t="e">
        <f t="shared" si="74"/>
        <v>#N/A</v>
      </c>
      <c r="C35" s="257" t="e">
        <f t="shared" si="75"/>
        <v>#N/A</v>
      </c>
      <c r="D35" s="257" t="e">
        <f t="shared" si="75"/>
        <v>#N/A</v>
      </c>
      <c r="E35" s="257" t="e">
        <f t="shared" si="75"/>
        <v>#N/A</v>
      </c>
      <c r="F35" s="257" t="e">
        <f t="shared" si="75"/>
        <v>#N/A</v>
      </c>
      <c r="G35" s="257" t="e">
        <f t="shared" si="75"/>
        <v>#N/A</v>
      </c>
      <c r="H35" s="257" t="e">
        <f t="shared" si="75"/>
        <v>#N/A</v>
      </c>
      <c r="I35" s="257" t="e">
        <f t="shared" si="75"/>
        <v>#N/A</v>
      </c>
      <c r="J35" s="257" t="e">
        <f t="shared" si="75"/>
        <v>#N/A</v>
      </c>
      <c r="K35" s="257" t="e">
        <f t="shared" si="75"/>
        <v>#N/A</v>
      </c>
      <c r="L35" s="257" t="e">
        <f t="shared" si="75"/>
        <v>#N/A</v>
      </c>
      <c r="M35" s="257" t="e">
        <f t="shared" si="75"/>
        <v>#N/A</v>
      </c>
      <c r="N35" s="257" t="e">
        <f t="shared" si="75"/>
        <v>#N/A</v>
      </c>
      <c r="O35" s="257" t="e">
        <f t="shared" si="75"/>
        <v>#N/A</v>
      </c>
      <c r="P35" s="257" t="e">
        <f t="shared" si="75"/>
        <v>#N/A</v>
      </c>
      <c r="Q35" s="257" t="e">
        <f t="shared" si="75"/>
        <v>#N/A</v>
      </c>
      <c r="R35" s="257" t="e">
        <f t="shared" si="75"/>
        <v>#N/A</v>
      </c>
      <c r="S35" s="257" t="e">
        <f t="shared" si="75"/>
        <v>#N/A</v>
      </c>
      <c r="T35" s="257" t="e">
        <f t="shared" si="75"/>
        <v>#N/A</v>
      </c>
      <c r="U35" s="257" t="e">
        <f t="shared" si="75"/>
        <v>#N/A</v>
      </c>
      <c r="V35" s="257" t="e">
        <f t="shared" si="75"/>
        <v>#N/A</v>
      </c>
      <c r="W35" s="257" t="e">
        <f t="shared" si="75"/>
        <v>#N/A</v>
      </c>
      <c r="X35" s="257" t="e">
        <f t="shared" si="75"/>
        <v>#N/A</v>
      </c>
      <c r="Y35" s="257" t="e">
        <f t="shared" si="75"/>
        <v>#N/A</v>
      </c>
      <c r="Z35" s="257" t="e">
        <f t="shared" si="75"/>
        <v>#N/A</v>
      </c>
      <c r="AA35" s="257" t="e">
        <f t="shared" si="75"/>
        <v>#N/A</v>
      </c>
      <c r="AB35" s="257" t="e">
        <f t="shared" si="75"/>
        <v>#N/A</v>
      </c>
      <c r="AC35" s="257" t="e">
        <f t="shared" si="75"/>
        <v>#N/A</v>
      </c>
      <c r="AD35" s="257" t="e">
        <f t="shared" si="75"/>
        <v>#N/A</v>
      </c>
      <c r="AE35" s="257" t="e">
        <f t="shared" si="75"/>
        <v>#N/A</v>
      </c>
      <c r="AF35" s="257" t="e">
        <f t="shared" si="75"/>
        <v>#N/A</v>
      </c>
      <c r="AG35" s="257" t="e">
        <f t="shared" si="75"/>
        <v>#N/A</v>
      </c>
      <c r="AH35" s="257" t="e">
        <f t="shared" si="75"/>
        <v>#N/A</v>
      </c>
      <c r="AI35" s="257" t="e">
        <f t="shared" si="75"/>
        <v>#N/A</v>
      </c>
      <c r="AJ35" s="257" t="e">
        <f t="shared" si="75"/>
        <v>#N/A</v>
      </c>
      <c r="AK35" s="257" t="e">
        <f t="shared" si="75"/>
        <v>#N/A</v>
      </c>
      <c r="AL35" s="257" t="e">
        <f t="shared" si="75"/>
        <v>#N/A</v>
      </c>
      <c r="AM35" s="257" t="e">
        <f t="shared" si="75"/>
        <v>#N/A</v>
      </c>
      <c r="AN35" s="257" t="e">
        <f t="shared" si="75"/>
        <v>#N/A</v>
      </c>
      <c r="AO35" s="257" t="e">
        <f t="shared" si="75"/>
        <v>#N/A</v>
      </c>
      <c r="AP35" s="257" t="e">
        <f t="shared" si="75"/>
        <v>#N/A</v>
      </c>
      <c r="AQ35" s="257" t="e">
        <f t="shared" si="75"/>
        <v>#N/A</v>
      </c>
      <c r="AR35" s="257" t="e">
        <f t="shared" si="75"/>
        <v>#N/A</v>
      </c>
      <c r="AS35" s="257" t="e">
        <f t="shared" ca="1" si="75"/>
        <v>#N/A</v>
      </c>
      <c r="AT35" s="257" t="e">
        <f t="shared" ca="1" si="75"/>
        <v>#N/A</v>
      </c>
      <c r="AU35" s="257" t="e">
        <f t="shared" ca="1" si="75"/>
        <v>#N/A</v>
      </c>
      <c r="AV35" s="257" t="e">
        <f t="shared" ca="1" si="75"/>
        <v>#N/A</v>
      </c>
      <c r="AW35" s="257" t="e">
        <f t="shared" ca="1" si="75"/>
        <v>#N/A</v>
      </c>
      <c r="AX35" s="257" t="e">
        <f t="shared" ca="1" si="75"/>
        <v>#N/A</v>
      </c>
      <c r="AY35" s="257" t="e">
        <f t="shared" ca="1" si="75"/>
        <v>#N/A</v>
      </c>
      <c r="AZ35" s="257" t="e">
        <f t="shared" ca="1" si="75"/>
        <v>#N/A</v>
      </c>
      <c r="BA35" s="257" t="e">
        <f t="shared" ca="1" si="75"/>
        <v>#N/A</v>
      </c>
      <c r="BB35" s="257" t="e">
        <f t="shared" ca="1" si="75"/>
        <v>#N/A</v>
      </c>
      <c r="BC35" s="257" t="e">
        <f t="shared" ca="1" si="75"/>
        <v>#N/A</v>
      </c>
      <c r="BD35" s="257" t="e">
        <f t="shared" ca="1" si="75"/>
        <v>#N/A</v>
      </c>
      <c r="BE35" s="257" t="e">
        <f t="shared" ca="1" si="75"/>
        <v>#N/A</v>
      </c>
      <c r="BF35" s="257" t="e">
        <f t="shared" ca="1" si="75"/>
        <v>#N/A</v>
      </c>
      <c r="BG35" s="257" t="e">
        <f t="shared" ca="1" si="75"/>
        <v>#N/A</v>
      </c>
      <c r="BH35" s="257" t="e">
        <f t="shared" ca="1" si="75"/>
        <v>#N/A</v>
      </c>
      <c r="BI35" s="257" t="e">
        <f t="shared" ca="1" si="75"/>
        <v>#N/A</v>
      </c>
      <c r="BJ35" s="257" t="e">
        <f t="shared" ca="1" si="75"/>
        <v>#N/A</v>
      </c>
      <c r="BK35" s="257" t="e">
        <f t="shared" ca="1" si="75"/>
        <v>#N/A</v>
      </c>
      <c r="BL35" s="257" t="e">
        <f t="shared" ca="1" si="75"/>
        <v>#N/A</v>
      </c>
      <c r="BM35" s="257" t="e">
        <f t="shared" ca="1" si="75"/>
        <v>#N/A</v>
      </c>
      <c r="BN35" s="257" t="e">
        <f t="shared" ca="1" si="75"/>
        <v>#N/A</v>
      </c>
      <c r="BO35" s="257" t="e">
        <f t="shared" ca="1" si="73"/>
        <v>#N/A</v>
      </c>
      <c r="BP35" s="257" t="e">
        <f t="shared" ca="1" si="73"/>
        <v>#N/A</v>
      </c>
      <c r="BQ35" s="257" t="e">
        <f t="shared" ca="1" si="73"/>
        <v>#N/A</v>
      </c>
      <c r="BR35" s="257" t="e">
        <f t="shared" ca="1" si="73"/>
        <v>#N/A</v>
      </c>
      <c r="BS35" s="257" t="e">
        <f t="shared" ca="1" si="73"/>
        <v>#N/A</v>
      </c>
      <c r="BT35" s="257" t="e">
        <f t="shared" ca="1" si="73"/>
        <v>#N/A</v>
      </c>
      <c r="BU35" s="257" t="e">
        <f t="shared" ca="1" si="73"/>
        <v>#N/A</v>
      </c>
      <c r="BV35" s="257" t="e">
        <f t="shared" ca="1" si="73"/>
        <v>#N/A</v>
      </c>
      <c r="BW35" s="257" t="e">
        <f t="shared" ca="1" si="73"/>
        <v>#N/A</v>
      </c>
      <c r="BX35" s="257" t="e">
        <f t="shared" ca="1" si="73"/>
        <v>#N/A</v>
      </c>
      <c r="BY35" s="257" t="e">
        <f t="shared" ca="1" si="73"/>
        <v>#N/A</v>
      </c>
      <c r="BZ35" s="257" t="e">
        <f t="shared" ca="1" si="73"/>
        <v>#N/A</v>
      </c>
      <c r="CA35" s="257" t="e">
        <f t="shared" ca="1" si="73"/>
        <v>#N/A</v>
      </c>
      <c r="CB35" s="257" t="e">
        <f t="shared" ca="1" si="73"/>
        <v>#N/A</v>
      </c>
      <c r="CC35" s="257" t="e">
        <f t="shared" ca="1" si="73"/>
        <v>#N/A</v>
      </c>
      <c r="CD35" s="257" t="e">
        <f t="shared" ca="1" si="73"/>
        <v>#N/A</v>
      </c>
      <c r="CE35" s="257" t="e">
        <f t="shared" ca="1" si="73"/>
        <v>#N/A</v>
      </c>
      <c r="CF35" s="257" t="e">
        <f t="shared" ca="1" si="73"/>
        <v>#N/A</v>
      </c>
      <c r="CG35" s="257" t="e">
        <f t="shared" ca="1" si="73"/>
        <v>#N/A</v>
      </c>
      <c r="CH35" s="257" t="e">
        <f t="shared" ca="1" si="73"/>
        <v>#N/A</v>
      </c>
      <c r="CI35" s="257" t="e">
        <f t="shared" ca="1" si="73"/>
        <v>#N/A</v>
      </c>
      <c r="CJ35" s="257" t="e">
        <f t="shared" ca="1" si="73"/>
        <v>#N/A</v>
      </c>
      <c r="CK35" s="257" t="e">
        <f t="shared" ca="1" si="73"/>
        <v>#N/A</v>
      </c>
      <c r="CL35" s="257" t="e">
        <f t="shared" ca="1" si="73"/>
        <v>#N/A</v>
      </c>
      <c r="CM35" s="257" t="e">
        <f t="shared" ca="1" si="73"/>
        <v>#N/A</v>
      </c>
      <c r="CN35" s="257" t="e">
        <f t="shared" ca="1" si="73"/>
        <v>#N/A</v>
      </c>
      <c r="CO35" s="257" t="e">
        <f t="shared" ca="1" si="73"/>
        <v>#N/A</v>
      </c>
      <c r="CP35" s="257" t="e">
        <f t="shared" ca="1" si="73"/>
        <v>#N/A</v>
      </c>
      <c r="CQ35" s="257" t="e">
        <f t="shared" ca="1" si="73"/>
        <v>#N/A</v>
      </c>
      <c r="CR35" s="257" t="e">
        <f t="shared" ca="1" si="73"/>
        <v>#N/A</v>
      </c>
      <c r="CS35" s="257" t="e">
        <f t="shared" ca="1" si="73"/>
        <v>#N/A</v>
      </c>
      <c r="CT35" s="257" t="e">
        <f t="shared" ca="1" si="73"/>
        <v>#N/A</v>
      </c>
      <c r="CU35" s="257" t="e">
        <f t="shared" ca="1" si="73"/>
        <v>#N/A</v>
      </c>
      <c r="CV35" s="257" t="e">
        <f t="shared" ca="1" si="73"/>
        <v>#N/A</v>
      </c>
      <c r="CW35" s="257" t="e">
        <f t="shared" ca="1" si="73"/>
        <v>#N/A</v>
      </c>
      <c r="CX35" s="257">
        <f t="shared" ca="1" si="73"/>
        <v>5722.929332891732</v>
      </c>
      <c r="CY35" s="257" t="e">
        <f t="shared" ca="1" si="73"/>
        <v>#N/A</v>
      </c>
      <c r="CZ35" s="257" t="e">
        <f t="shared" ca="1" si="73"/>
        <v>#N/A</v>
      </c>
      <c r="DA35" s="257" t="e">
        <f t="shared" ca="1" si="73"/>
        <v>#N/A</v>
      </c>
      <c r="DC35" s="193"/>
    </row>
    <row r="36" spans="1:107" s="247" customFormat="1" x14ac:dyDescent="0.3">
      <c r="A36" s="189" t="s">
        <v>2692</v>
      </c>
      <c r="B36" s="257" t="e">
        <f t="shared" si="74"/>
        <v>#N/A</v>
      </c>
      <c r="C36" s="257" t="e">
        <f t="shared" si="75"/>
        <v>#N/A</v>
      </c>
      <c r="D36" s="257" t="e">
        <f t="shared" si="75"/>
        <v>#N/A</v>
      </c>
      <c r="E36" s="257" t="e">
        <f t="shared" si="75"/>
        <v>#N/A</v>
      </c>
      <c r="F36" s="257" t="e">
        <f t="shared" si="75"/>
        <v>#N/A</v>
      </c>
      <c r="G36" s="257" t="e">
        <f t="shared" si="75"/>
        <v>#N/A</v>
      </c>
      <c r="H36" s="257" t="e">
        <f t="shared" si="75"/>
        <v>#N/A</v>
      </c>
      <c r="I36" s="257" t="e">
        <f t="shared" si="75"/>
        <v>#N/A</v>
      </c>
      <c r="J36" s="257" t="e">
        <f t="shared" si="75"/>
        <v>#N/A</v>
      </c>
      <c r="K36" s="257" t="e">
        <f t="shared" si="75"/>
        <v>#N/A</v>
      </c>
      <c r="L36" s="257" t="e">
        <f t="shared" si="75"/>
        <v>#N/A</v>
      </c>
      <c r="M36" s="257" t="e">
        <f t="shared" si="75"/>
        <v>#N/A</v>
      </c>
      <c r="N36" s="257" t="e">
        <f t="shared" si="75"/>
        <v>#N/A</v>
      </c>
      <c r="O36" s="257" t="e">
        <f t="shared" si="75"/>
        <v>#N/A</v>
      </c>
      <c r="P36" s="257" t="e">
        <f t="shared" si="75"/>
        <v>#N/A</v>
      </c>
      <c r="Q36" s="257" t="e">
        <f t="shared" si="75"/>
        <v>#N/A</v>
      </c>
      <c r="R36" s="257" t="e">
        <f t="shared" si="75"/>
        <v>#N/A</v>
      </c>
      <c r="S36" s="257" t="e">
        <f t="shared" si="75"/>
        <v>#N/A</v>
      </c>
      <c r="T36" s="257" t="e">
        <f t="shared" si="75"/>
        <v>#N/A</v>
      </c>
      <c r="U36" s="257" t="e">
        <f t="shared" si="75"/>
        <v>#N/A</v>
      </c>
      <c r="V36" s="257" t="e">
        <f t="shared" si="75"/>
        <v>#N/A</v>
      </c>
      <c r="W36" s="257" t="e">
        <f t="shared" si="75"/>
        <v>#N/A</v>
      </c>
      <c r="X36" s="257" t="e">
        <f t="shared" si="75"/>
        <v>#N/A</v>
      </c>
      <c r="Y36" s="257" t="e">
        <f t="shared" si="75"/>
        <v>#N/A</v>
      </c>
      <c r="Z36" s="257" t="e">
        <f t="shared" si="75"/>
        <v>#N/A</v>
      </c>
      <c r="AA36" s="257" t="e">
        <f t="shared" si="75"/>
        <v>#N/A</v>
      </c>
      <c r="AB36" s="257" t="e">
        <f t="shared" si="75"/>
        <v>#N/A</v>
      </c>
      <c r="AC36" s="257" t="e">
        <f t="shared" si="75"/>
        <v>#N/A</v>
      </c>
      <c r="AD36" s="257" t="e">
        <f t="shared" si="75"/>
        <v>#N/A</v>
      </c>
      <c r="AE36" s="257" t="e">
        <f t="shared" si="75"/>
        <v>#N/A</v>
      </c>
      <c r="AF36" s="257" t="e">
        <f t="shared" si="75"/>
        <v>#N/A</v>
      </c>
      <c r="AG36" s="257" t="e">
        <f t="shared" si="75"/>
        <v>#N/A</v>
      </c>
      <c r="AH36" s="257" t="e">
        <f t="shared" si="75"/>
        <v>#N/A</v>
      </c>
      <c r="AI36" s="257" t="e">
        <f t="shared" si="75"/>
        <v>#N/A</v>
      </c>
      <c r="AJ36" s="257" t="e">
        <f t="shared" si="75"/>
        <v>#N/A</v>
      </c>
      <c r="AK36" s="257" t="e">
        <f t="shared" si="75"/>
        <v>#N/A</v>
      </c>
      <c r="AL36" s="257" t="e">
        <f t="shared" si="75"/>
        <v>#N/A</v>
      </c>
      <c r="AM36" s="257" t="e">
        <f t="shared" si="75"/>
        <v>#N/A</v>
      </c>
      <c r="AN36" s="257" t="e">
        <f t="shared" si="75"/>
        <v>#N/A</v>
      </c>
      <c r="AO36" s="257" t="e">
        <f t="shared" si="75"/>
        <v>#N/A</v>
      </c>
      <c r="AP36" s="257" t="e">
        <f t="shared" si="75"/>
        <v>#N/A</v>
      </c>
      <c r="AQ36" s="257" t="e">
        <f t="shared" si="75"/>
        <v>#N/A</v>
      </c>
      <c r="AR36" s="257" t="e">
        <f t="shared" si="75"/>
        <v>#N/A</v>
      </c>
      <c r="AS36" s="257" t="e">
        <f t="shared" ca="1" si="75"/>
        <v>#N/A</v>
      </c>
      <c r="AT36" s="257" t="e">
        <f t="shared" ca="1" si="75"/>
        <v>#N/A</v>
      </c>
      <c r="AU36" s="257" t="e">
        <f t="shared" ca="1" si="75"/>
        <v>#N/A</v>
      </c>
      <c r="AV36" s="257" t="e">
        <f t="shared" ca="1" si="75"/>
        <v>#N/A</v>
      </c>
      <c r="AW36" s="257" t="e">
        <f t="shared" ca="1" si="75"/>
        <v>#N/A</v>
      </c>
      <c r="AX36" s="257" t="e">
        <f t="shared" ca="1" si="75"/>
        <v>#N/A</v>
      </c>
      <c r="AY36" s="257" t="e">
        <f t="shared" ca="1" si="75"/>
        <v>#N/A</v>
      </c>
      <c r="AZ36" s="257" t="e">
        <f t="shared" ca="1" si="75"/>
        <v>#N/A</v>
      </c>
      <c r="BA36" s="257" t="e">
        <f t="shared" ca="1" si="75"/>
        <v>#N/A</v>
      </c>
      <c r="BB36" s="257" t="e">
        <f t="shared" ca="1" si="75"/>
        <v>#N/A</v>
      </c>
      <c r="BC36" s="257" t="e">
        <f t="shared" ca="1" si="75"/>
        <v>#N/A</v>
      </c>
      <c r="BD36" s="257" t="e">
        <f t="shared" ca="1" si="75"/>
        <v>#N/A</v>
      </c>
      <c r="BE36" s="257" t="e">
        <f t="shared" ca="1" si="75"/>
        <v>#N/A</v>
      </c>
      <c r="BF36" s="257" t="e">
        <f t="shared" ca="1" si="75"/>
        <v>#N/A</v>
      </c>
      <c r="BG36" s="257" t="e">
        <f t="shared" ca="1" si="75"/>
        <v>#N/A</v>
      </c>
      <c r="BH36" s="257" t="e">
        <f t="shared" ca="1" si="75"/>
        <v>#N/A</v>
      </c>
      <c r="BI36" s="257" t="e">
        <f t="shared" ca="1" si="75"/>
        <v>#N/A</v>
      </c>
      <c r="BJ36" s="257" t="e">
        <f t="shared" ca="1" si="75"/>
        <v>#N/A</v>
      </c>
      <c r="BK36" s="257" t="e">
        <f t="shared" ca="1" si="75"/>
        <v>#N/A</v>
      </c>
      <c r="BL36" s="257" t="e">
        <f t="shared" ca="1" si="75"/>
        <v>#N/A</v>
      </c>
      <c r="BM36" s="257" t="e">
        <f t="shared" ca="1" si="75"/>
        <v>#N/A</v>
      </c>
      <c r="BN36" s="257" t="e">
        <f t="shared" ca="1" si="75"/>
        <v>#N/A</v>
      </c>
      <c r="BO36" s="257" t="e">
        <f t="shared" ca="1" si="73"/>
        <v>#N/A</v>
      </c>
      <c r="BP36" s="257" t="e">
        <f t="shared" ca="1" si="73"/>
        <v>#N/A</v>
      </c>
      <c r="BQ36" s="257" t="e">
        <f t="shared" ca="1" si="73"/>
        <v>#N/A</v>
      </c>
      <c r="BR36" s="257" t="e">
        <f t="shared" ca="1" si="73"/>
        <v>#N/A</v>
      </c>
      <c r="BS36" s="257" t="e">
        <f t="shared" ca="1" si="73"/>
        <v>#N/A</v>
      </c>
      <c r="BT36" s="257" t="e">
        <f t="shared" ca="1" si="73"/>
        <v>#N/A</v>
      </c>
      <c r="BU36" s="257" t="e">
        <f t="shared" ca="1" si="73"/>
        <v>#N/A</v>
      </c>
      <c r="BV36" s="257" t="e">
        <f t="shared" ca="1" si="73"/>
        <v>#N/A</v>
      </c>
      <c r="BW36" s="257" t="e">
        <f t="shared" ca="1" si="73"/>
        <v>#N/A</v>
      </c>
      <c r="BX36" s="257" t="e">
        <f t="shared" ca="1" si="73"/>
        <v>#N/A</v>
      </c>
      <c r="BY36" s="257" t="e">
        <f t="shared" ca="1" si="73"/>
        <v>#N/A</v>
      </c>
      <c r="BZ36" s="257" t="e">
        <f t="shared" ca="1" si="73"/>
        <v>#N/A</v>
      </c>
      <c r="CA36" s="257" t="e">
        <f t="shared" ca="1" si="73"/>
        <v>#N/A</v>
      </c>
      <c r="CB36" s="257" t="e">
        <f t="shared" ca="1" si="73"/>
        <v>#N/A</v>
      </c>
      <c r="CC36" s="257" t="e">
        <f t="shared" ca="1" si="73"/>
        <v>#N/A</v>
      </c>
      <c r="CD36" s="257" t="e">
        <f t="shared" ca="1" si="73"/>
        <v>#N/A</v>
      </c>
      <c r="CE36" s="257" t="e">
        <f t="shared" ca="1" si="73"/>
        <v>#N/A</v>
      </c>
      <c r="CF36" s="257" t="e">
        <f t="shared" ca="1" si="73"/>
        <v>#N/A</v>
      </c>
      <c r="CG36" s="257" t="e">
        <f t="shared" ca="1" si="73"/>
        <v>#N/A</v>
      </c>
      <c r="CH36" s="257" t="e">
        <f t="shared" ca="1" si="73"/>
        <v>#N/A</v>
      </c>
      <c r="CI36" s="257" t="e">
        <f t="shared" ca="1" si="73"/>
        <v>#N/A</v>
      </c>
      <c r="CJ36" s="257" t="e">
        <f t="shared" ca="1" si="73"/>
        <v>#N/A</v>
      </c>
      <c r="CK36" s="257" t="e">
        <f t="shared" ca="1" si="73"/>
        <v>#N/A</v>
      </c>
      <c r="CL36" s="257" t="e">
        <f t="shared" ca="1" si="73"/>
        <v>#N/A</v>
      </c>
      <c r="CM36" s="257" t="e">
        <f t="shared" ca="1" si="73"/>
        <v>#N/A</v>
      </c>
      <c r="CN36" s="257" t="e">
        <f t="shared" ca="1" si="73"/>
        <v>#N/A</v>
      </c>
      <c r="CO36" s="257" t="e">
        <f t="shared" ca="1" si="73"/>
        <v>#N/A</v>
      </c>
      <c r="CP36" s="257" t="e">
        <f t="shared" ca="1" si="73"/>
        <v>#N/A</v>
      </c>
      <c r="CQ36" s="257" t="e">
        <f t="shared" ca="1" si="73"/>
        <v>#N/A</v>
      </c>
      <c r="CR36" s="257" t="e">
        <f t="shared" ca="1" si="73"/>
        <v>#N/A</v>
      </c>
      <c r="CS36" s="257" t="e">
        <f t="shared" ca="1" si="73"/>
        <v>#N/A</v>
      </c>
      <c r="CT36" s="257" t="e">
        <f t="shared" ca="1" si="73"/>
        <v>#N/A</v>
      </c>
      <c r="CU36" s="257" t="e">
        <f t="shared" ca="1" si="73"/>
        <v>#N/A</v>
      </c>
      <c r="CV36" s="257" t="e">
        <f t="shared" ca="1" si="73"/>
        <v>#N/A</v>
      </c>
      <c r="CW36" s="257" t="e">
        <f t="shared" ca="1" si="73"/>
        <v>#N/A</v>
      </c>
      <c r="CX36" s="257">
        <f t="shared" ca="1" si="73"/>
        <v>2344.356938257115</v>
      </c>
      <c r="CY36" s="257" t="e">
        <f t="shared" ca="1" si="73"/>
        <v>#N/A</v>
      </c>
      <c r="CZ36" s="257" t="e">
        <f t="shared" ca="1" si="73"/>
        <v>#N/A</v>
      </c>
      <c r="DA36" s="257" t="e">
        <f t="shared" ca="1" si="73"/>
        <v>#N/A</v>
      </c>
      <c r="DC36" s="193"/>
    </row>
    <row r="37" spans="1:107" s="252" customFormat="1" x14ac:dyDescent="0.3">
      <c r="A37" s="258"/>
      <c r="B37" s="259">
        <v>39172</v>
      </c>
      <c r="C37" s="259">
        <v>39202</v>
      </c>
      <c r="D37" s="260" t="s">
        <v>70</v>
      </c>
      <c r="E37" s="260" t="s">
        <v>75</v>
      </c>
      <c r="F37" s="260" t="s">
        <v>77</v>
      </c>
      <c r="G37" s="260" t="s">
        <v>84</v>
      </c>
      <c r="H37" s="260" t="s">
        <v>86</v>
      </c>
      <c r="I37" s="260" t="s">
        <v>88</v>
      </c>
      <c r="J37" s="260" t="s">
        <v>92</v>
      </c>
      <c r="K37" s="260">
        <v>39458</v>
      </c>
      <c r="L37" s="260" t="s">
        <v>96</v>
      </c>
      <c r="M37" s="260" t="s">
        <v>98</v>
      </c>
      <c r="N37" s="260" t="s">
        <v>115</v>
      </c>
      <c r="O37" s="254" t="s">
        <v>119</v>
      </c>
      <c r="P37" s="254" t="s">
        <v>187</v>
      </c>
      <c r="Q37" s="254" t="s">
        <v>189</v>
      </c>
      <c r="R37" s="254" t="s">
        <v>191</v>
      </c>
      <c r="S37" s="254" t="s">
        <v>192</v>
      </c>
      <c r="T37" s="261" t="s">
        <v>193</v>
      </c>
      <c r="U37" s="261" t="s">
        <v>194</v>
      </c>
      <c r="V37" s="261" t="s">
        <v>195</v>
      </c>
      <c r="W37" s="261" t="s">
        <v>196</v>
      </c>
      <c r="X37" s="262" t="s">
        <v>197</v>
      </c>
      <c r="Y37" s="262" t="s">
        <v>198</v>
      </c>
      <c r="Z37" s="262" t="s">
        <v>200</v>
      </c>
      <c r="AA37" s="262" t="s">
        <v>205</v>
      </c>
      <c r="AB37" s="262" t="s">
        <v>208</v>
      </c>
      <c r="AC37" s="262" t="s">
        <v>213</v>
      </c>
      <c r="AD37" s="262" t="s">
        <v>215</v>
      </c>
      <c r="AE37" s="262" t="s">
        <v>216</v>
      </c>
      <c r="AF37" s="262" t="s">
        <v>217</v>
      </c>
      <c r="AG37" s="262" t="s">
        <v>218</v>
      </c>
      <c r="AH37" s="262" t="s">
        <v>226</v>
      </c>
      <c r="AI37" s="262" t="s">
        <v>227</v>
      </c>
      <c r="AJ37" s="262" t="s">
        <v>228</v>
      </c>
      <c r="AK37" s="262" t="s">
        <v>229</v>
      </c>
      <c r="AL37" s="262" t="s">
        <v>230</v>
      </c>
      <c r="AM37" s="262" t="s">
        <v>231</v>
      </c>
      <c r="AN37" s="262" t="s">
        <v>232</v>
      </c>
      <c r="AO37" s="262" t="s">
        <v>233</v>
      </c>
      <c r="AP37" s="262" t="s">
        <v>234</v>
      </c>
      <c r="AQ37" s="262" t="s">
        <v>235</v>
      </c>
      <c r="AR37" s="262" t="s">
        <v>236</v>
      </c>
      <c r="AS37" s="262" t="s">
        <v>237</v>
      </c>
      <c r="AT37" s="263">
        <v>40542</v>
      </c>
      <c r="AU37" s="263">
        <v>40573</v>
      </c>
      <c r="AV37" s="263">
        <v>40601</v>
      </c>
      <c r="AW37" s="263">
        <f t="shared" ref="AW37" si="76">EOMONTH(AV37,1)</f>
        <v>40632</v>
      </c>
      <c r="AX37" s="263">
        <f t="shared" ref="AX37" si="77">EOMONTH(AW37,1)</f>
        <v>40662</v>
      </c>
      <c r="AY37" s="263">
        <f t="shared" ref="AY37" si="78">EOMONTH(AX37,1)</f>
        <v>40693</v>
      </c>
      <c r="AZ37" s="263">
        <f t="shared" ref="AZ37" si="79">EOMONTH(AY37,1)</f>
        <v>40723</v>
      </c>
      <c r="BA37" s="263">
        <f t="shared" ref="BA37" si="80">EOMONTH(AZ37,1)</f>
        <v>40754</v>
      </c>
      <c r="BB37" s="263">
        <f t="shared" ref="BB37" si="81">EOMONTH(BA37,1)</f>
        <v>40785</v>
      </c>
      <c r="BC37" s="263">
        <f t="shared" ref="BC37" si="82">EOMONTH(BB37,1)</f>
        <v>40815</v>
      </c>
      <c r="BD37" s="263">
        <f t="shared" ref="BD37" si="83">EOMONTH(BC37,1)</f>
        <v>40846</v>
      </c>
      <c r="BE37" s="263">
        <f t="shared" ref="BE37" si="84">EOMONTH(BD37,1)</f>
        <v>40876</v>
      </c>
      <c r="BF37" s="263">
        <f t="shared" ref="BF37" si="85">EOMONTH(BE37,1)</f>
        <v>40907</v>
      </c>
      <c r="BG37" s="263">
        <f t="shared" ref="BG37" si="86">EOMONTH(BF37,1)</f>
        <v>40938</v>
      </c>
      <c r="BH37" s="263">
        <f t="shared" ref="BH37" si="87">EOMONTH(BG37,1)</f>
        <v>40967</v>
      </c>
      <c r="BI37" s="263">
        <f t="shared" ref="BI37" si="88">EOMONTH(BH37,1)</f>
        <v>40998</v>
      </c>
      <c r="BJ37" s="263">
        <f t="shared" ref="BJ37" si="89">EOMONTH(BI37,1)</f>
        <v>41028</v>
      </c>
      <c r="BK37" s="263">
        <f t="shared" ref="BK37" si="90">EOMONTH(BJ37,1)</f>
        <v>41059</v>
      </c>
      <c r="BL37" s="263">
        <f t="shared" ref="BL37" si="91">EOMONTH(BK37,1)</f>
        <v>41089</v>
      </c>
      <c r="BM37" s="263">
        <f t="shared" ref="BM37" si="92">EOMONTH(BL37,1)</f>
        <v>41120</v>
      </c>
      <c r="BN37" s="263">
        <f t="shared" ref="BN37" si="93">EOMONTH(BM37,1)</f>
        <v>41151</v>
      </c>
      <c r="BO37" s="263">
        <f t="shared" ref="BO37" si="94">EOMONTH(BN37,1)</f>
        <v>41181</v>
      </c>
      <c r="BP37" s="263">
        <f t="shared" ref="BP37" si="95">EOMONTH(BO37,1)</f>
        <v>41212</v>
      </c>
      <c r="BQ37" s="263">
        <f t="shared" ref="BQ37" si="96">EOMONTH(BP37,1)</f>
        <v>41242</v>
      </c>
      <c r="BR37" s="263">
        <f t="shared" ref="BR37" si="97">EOMONTH(BQ37,1)</f>
        <v>41273</v>
      </c>
      <c r="BS37" s="263">
        <f t="shared" ref="BS37" si="98">EOMONTH(BR37,1)</f>
        <v>41304</v>
      </c>
      <c r="BT37" s="263">
        <f t="shared" ref="BT37" si="99">EOMONTH(BS37,1)</f>
        <v>41332</v>
      </c>
      <c r="BU37" s="263">
        <f t="shared" ref="BU37" si="100">EOMONTH(BT37,1)</f>
        <v>41363</v>
      </c>
      <c r="BV37" s="263">
        <f t="shared" ref="BV37" si="101">EOMONTH(BU37,1)</f>
        <v>41393</v>
      </c>
      <c r="BW37" s="263">
        <f t="shared" ref="BW37" si="102">EOMONTH(BV37,1)</f>
        <v>41424</v>
      </c>
      <c r="BX37" s="263">
        <f t="shared" ref="BX37" si="103">EOMONTH(BW37,1)</f>
        <v>41454</v>
      </c>
      <c r="BY37" s="263">
        <f t="shared" ref="BY37" si="104">EOMONTH(BX37,1)</f>
        <v>41485</v>
      </c>
      <c r="BZ37" s="263">
        <f t="shared" ref="BZ37" si="105">EOMONTH(BY37,1)</f>
        <v>41516</v>
      </c>
      <c r="CA37" s="263">
        <f t="shared" ref="CA37" si="106">EOMONTH(BZ37,1)</f>
        <v>41546</v>
      </c>
      <c r="CB37" s="263">
        <f t="shared" ref="CB37" si="107">EOMONTH(CA37,1)</f>
        <v>41577</v>
      </c>
      <c r="CC37" s="263">
        <f t="shared" ref="CC37" si="108">EOMONTH(CB37,1)</f>
        <v>41607</v>
      </c>
      <c r="CD37" s="263">
        <f t="shared" ref="CD37" si="109">EOMONTH(CC37,1)</f>
        <v>41638</v>
      </c>
      <c r="CE37" s="263">
        <f t="shared" ref="CE37" si="110">EOMONTH(CD37,1)</f>
        <v>41669</v>
      </c>
      <c r="CF37" s="263">
        <f t="shared" ref="CF37" si="111">EOMONTH(CE37,1)</f>
        <v>41697</v>
      </c>
      <c r="CG37" s="263">
        <f t="shared" ref="CG37" si="112">EOMONTH(CF37,1)</f>
        <v>41728</v>
      </c>
      <c r="CH37" s="263">
        <f t="shared" ref="CH37" si="113">EOMONTH(CG37,1)</f>
        <v>41758</v>
      </c>
      <c r="CI37" s="263">
        <f t="shared" ref="CI37" si="114">EOMONTH(CH37,1)</f>
        <v>41789</v>
      </c>
      <c r="CJ37" s="263">
        <f t="shared" ref="CJ37" si="115">EOMONTH(CI37,1)</f>
        <v>41819</v>
      </c>
      <c r="CK37" s="263">
        <f t="shared" ref="CK37" si="116">EOMONTH(CJ37,1)</f>
        <v>41850</v>
      </c>
      <c r="CL37" s="263">
        <f t="shared" ref="CL37" si="117">EOMONTH(CK37,1)</f>
        <v>41881</v>
      </c>
      <c r="CM37" s="263">
        <f t="shared" ref="CM37" si="118">EOMONTH(CL37,1)</f>
        <v>41911</v>
      </c>
      <c r="CN37" s="263">
        <f t="shared" ref="CN37" si="119">EOMONTH(CM37,1)</f>
        <v>41942</v>
      </c>
      <c r="CO37" s="263">
        <f t="shared" ref="CO37" si="120">EOMONTH(CN37,1)</f>
        <v>41972</v>
      </c>
      <c r="CP37" s="263">
        <f t="shared" ref="CP37" si="121">EOMONTH(CO37,1)</f>
        <v>42003</v>
      </c>
      <c r="CQ37" s="263">
        <f t="shared" ref="CQ37" si="122">EOMONTH(CP37,1)</f>
        <v>42034</v>
      </c>
      <c r="CR37" s="263">
        <f t="shared" ref="CR37" si="123">EOMONTH(CQ37,1)</f>
        <v>42062</v>
      </c>
      <c r="CS37" s="263">
        <f t="shared" ref="CS37" si="124">EOMONTH(CR37,1)</f>
        <v>42093</v>
      </c>
      <c r="CT37" s="263">
        <f t="shared" ref="CT37" si="125">EOMONTH(CS37,1)</f>
        <v>42123</v>
      </c>
      <c r="CU37" s="263">
        <f t="shared" ref="CU37" si="126">EOMONTH(CT37,1)</f>
        <v>42154</v>
      </c>
      <c r="CV37" s="263">
        <f t="shared" ref="CV37" si="127">EOMONTH(CU37,1)</f>
        <v>42184</v>
      </c>
      <c r="CW37" s="263">
        <f t="shared" ref="CW37" si="128">EOMONTH(CV37,1)</f>
        <v>42215</v>
      </c>
      <c r="CX37" s="263">
        <f t="shared" ref="CX37" si="129">EOMONTH(CW37,1)</f>
        <v>42246</v>
      </c>
      <c r="CY37" s="263">
        <f t="shared" ref="CY37" si="130">EOMONTH(CX37,1)</f>
        <v>42276</v>
      </c>
      <c r="CZ37" s="263">
        <f t="shared" ref="CZ37" si="131">EOMONTH(CY37,1)</f>
        <v>42307</v>
      </c>
      <c r="DA37" s="263">
        <f t="shared" ref="DA37" si="132">EOMONTH(CZ37,1)</f>
        <v>42337</v>
      </c>
      <c r="DB37" s="262"/>
      <c r="DC37" s="256"/>
    </row>
    <row r="38" spans="1:107" s="252" customFormat="1" x14ac:dyDescent="0.3">
      <c r="A38" s="250" t="s">
        <v>162</v>
      </c>
      <c r="B38" s="251">
        <v>1000</v>
      </c>
      <c r="C38" s="251">
        <v>1000</v>
      </c>
      <c r="D38" s="251">
        <v>1000</v>
      </c>
      <c r="E38" s="251">
        <v>1000</v>
      </c>
      <c r="F38" s="251">
        <v>1000</v>
      </c>
      <c r="G38" s="251">
        <v>1000</v>
      </c>
      <c r="H38" s="251">
        <v>1000</v>
      </c>
      <c r="I38" s="251">
        <v>1000</v>
      </c>
      <c r="J38" s="251">
        <v>1000</v>
      </c>
      <c r="K38" s="251">
        <v>1000</v>
      </c>
      <c r="L38" s="251">
        <v>1000</v>
      </c>
      <c r="M38" s="251">
        <v>1000</v>
      </c>
      <c r="N38" s="251">
        <v>1000</v>
      </c>
      <c r="O38" s="252">
        <v>1027.5272342746637</v>
      </c>
      <c r="P38" s="252">
        <v>1068.9440600556579</v>
      </c>
      <c r="Q38" s="252">
        <v>1103.2662243631335</v>
      </c>
      <c r="R38" s="252">
        <v>1135.008862923831</v>
      </c>
      <c r="S38" s="252">
        <v>1169.447908065622</v>
      </c>
      <c r="T38" s="252">
        <v>1212.2392437423694</v>
      </c>
      <c r="U38" s="252">
        <v>1237.1146388239222</v>
      </c>
      <c r="V38" s="252">
        <v>1272.7394116579389</v>
      </c>
      <c r="W38" s="252">
        <v>1313.3623304509504</v>
      </c>
      <c r="X38" s="252">
        <v>1373.5767438128141</v>
      </c>
      <c r="Y38" s="252">
        <v>1421.7489896954003</v>
      </c>
      <c r="Z38" s="252">
        <v>1450.0885719979167</v>
      </c>
      <c r="AA38" s="252">
        <v>1479.9862570690029</v>
      </c>
      <c r="AB38" s="252">
        <v>1517.4522875412031</v>
      </c>
      <c r="AC38" s="252">
        <v>1564.7828927369253</v>
      </c>
      <c r="AD38" s="252">
        <v>1602.1267948224474</v>
      </c>
      <c r="AE38" s="252">
        <v>1643.7381683966114</v>
      </c>
      <c r="AF38" s="252">
        <v>1681.0557162390921</v>
      </c>
      <c r="AG38" s="252">
        <v>1697.9506070650907</v>
      </c>
      <c r="AH38" s="252">
        <v>1778.1541728649293</v>
      </c>
      <c r="AI38" s="252">
        <v>1820.3218838880521</v>
      </c>
      <c r="AJ38" s="252">
        <v>1870.7490761249394</v>
      </c>
      <c r="AK38" s="252">
        <v>1918.1073144580062</v>
      </c>
      <c r="AL38" s="252">
        <v>2001.2676136026332</v>
      </c>
      <c r="AM38" s="252">
        <v>2035.6725203630876</v>
      </c>
      <c r="AN38" s="252">
        <v>2073.253109283693</v>
      </c>
      <c r="AO38" s="252">
        <v>2116.6469511528389</v>
      </c>
      <c r="AP38" s="252">
        <v>2168.9387045729004</v>
      </c>
      <c r="AQ38" s="252">
        <v>2277.4297295946621</v>
      </c>
      <c r="AR38" s="252">
        <v>2387.1646410400058</v>
      </c>
      <c r="AS38" s="252">
        <v>2475.1240835884087</v>
      </c>
      <c r="AT38" s="252">
        <f ca="1">OFFSET(Calcs!$A$1,Graphs!AT$14+15,15)</f>
        <v>2501.3156297110586</v>
      </c>
      <c r="AU38" s="252">
        <f ca="1">OFFSET(Calcs!$A$1,Graphs!AU$14+15,15)</f>
        <v>2512.7111254433448</v>
      </c>
      <c r="AV38" s="252">
        <f ca="1">OFFSET(Calcs!$A$1,Graphs!AV$14+15,15)</f>
        <v>2539.3004143486232</v>
      </c>
      <c r="AW38" s="252">
        <f ca="1">OFFSET(Calcs!$A$1,Graphs!AW$14+15,15)</f>
        <v>2577.6770255893957</v>
      </c>
      <c r="AX38" s="252">
        <f ca="1">OFFSET(Calcs!$A$1,Graphs!AX$14+15,15)</f>
        <v>2591.2795113919792</v>
      </c>
      <c r="AY38" s="252">
        <f ca="1">OFFSET(Calcs!$A$1,Graphs!AY$14+15,15)</f>
        <v>2591.2795113919792</v>
      </c>
      <c r="AZ38" s="252">
        <f ca="1">OFFSET(Calcs!$A$1,Graphs!AZ$14+15,15)</f>
        <v>2629.4795053900093</v>
      </c>
      <c r="BA38" s="252">
        <f ca="1">OFFSET(Calcs!$A$1,Graphs!BA$14+15,15)</f>
        <v>2643.7313920329598</v>
      </c>
      <c r="BB38" s="252">
        <f ca="1">OFFSET(Calcs!$A$1,Graphs!BB$14+15,15)</f>
        <v>2675.0177910763146</v>
      </c>
      <c r="BC38" s="252">
        <f ca="1">OFFSET(Calcs!$A$1,Graphs!BC$14+15,15)</f>
        <v>2689.920358718337</v>
      </c>
      <c r="BD38" s="252">
        <f ca="1">OFFSET(Calcs!$A$1,Graphs!BD$14+15,15)</f>
        <v>2747.1505705391796</v>
      </c>
      <c r="BE38" s="252">
        <f ca="1">OFFSET(Calcs!$A$1,Graphs!BE$14+15,15)</f>
        <v>2767.575388105266</v>
      </c>
      <c r="BF38" s="252">
        <f ca="1">OFFSET(Calcs!$A$1,Graphs!BF$14+15,15)</f>
        <v>2786.0875292664036</v>
      </c>
      <c r="BG38" s="252">
        <f ca="1">OFFSET(Calcs!$A$1,Graphs!BG$14+15,15)</f>
        <v>2786.0875292664036</v>
      </c>
      <c r="BH38" s="252">
        <f ca="1">OFFSET(Calcs!$A$1,Graphs!BH$14+15,15)</f>
        <v>2801.1882378146352</v>
      </c>
      <c r="BI38" s="252">
        <f ca="1">OFFSET(Calcs!$A$1,Graphs!BI$14+15,15)</f>
        <v>2801.1882378146352</v>
      </c>
      <c r="BJ38" s="252">
        <f ca="1">OFFSET(Calcs!$A$1,Graphs!BJ$14+15,15)</f>
        <v>2817.2408486668892</v>
      </c>
      <c r="BK38" s="252">
        <f ca="1">OFFSET(Calcs!$A$1,Graphs!BK$14+15,15)</f>
        <v>2817.2408486668892</v>
      </c>
      <c r="BL38" s="252">
        <f ca="1">OFFSET(Calcs!$A$1,Graphs!BL$14+15,15)</f>
        <v>2876.1357470598455</v>
      </c>
      <c r="BM38" s="252">
        <f ca="1">OFFSET(Calcs!$A$1,Graphs!BM$14+15,15)</f>
        <v>2936.261853305818</v>
      </c>
      <c r="BN38" s="252">
        <f ca="1">OFFSET(Calcs!$A$1,Graphs!BN$14+15,15)</f>
        <v>2954.1114146333643</v>
      </c>
      <c r="BO38" s="252">
        <f ca="1">OFFSET(Calcs!$A$1,Graphs!BO$14+15,15)</f>
        <v>2954.1114146333643</v>
      </c>
      <c r="BP38" s="252">
        <f ca="1">OFFSET(Calcs!$A$1,Graphs!BP$14+15,15)</f>
        <v>2972.6324288545434</v>
      </c>
      <c r="BQ38" s="252">
        <f ca="1">OFFSET(Calcs!$A$1,Graphs!BQ$14+15,15)</f>
        <v>2972.6324288545434</v>
      </c>
      <c r="BR38" s="252">
        <f ca="1">OFFSET(Calcs!$A$1,Graphs!BR$14+15,15)</f>
        <v>2992.5161839203106</v>
      </c>
      <c r="BS38" s="252">
        <f ca="1">OFFSET(Calcs!$A$1,Graphs!BS$14+15,15)</f>
        <v>3011.8851533086804</v>
      </c>
      <c r="BT38" s="252">
        <f ca="1">OFFSET(Calcs!$A$1,Graphs!BT$14+15,15)</f>
        <v>3031.3794877584605</v>
      </c>
      <c r="BU38" s="252">
        <f ca="1">OFFSET(Calcs!$A$1,Graphs!BU$14+15,15)</f>
        <v>3011.2375057134327</v>
      </c>
      <c r="BV38" s="252">
        <f ca="1">OFFSET(Calcs!$A$1,Graphs!BV$14+15,15)</f>
        <v>3011.2375057134327</v>
      </c>
      <c r="BW38" s="252">
        <f ca="1">OFFSET(Calcs!$A$1,Graphs!BW$14+15,15)</f>
        <v>3011.2375057134327</v>
      </c>
      <c r="BX38" s="252">
        <f ca="1">OFFSET(Calcs!$A$1,Graphs!BX$14+15,15)</f>
        <v>3011.2375057134327</v>
      </c>
      <c r="BY38" s="252">
        <f ca="1">OFFSET(Calcs!$A$1,Graphs!BY$14+15,15)</f>
        <v>3011.2375057134327</v>
      </c>
      <c r="BZ38" s="252">
        <f ca="1">OFFSET(Calcs!$A$1,Graphs!BZ$14+15,15)</f>
        <v>3011.2375057134327</v>
      </c>
      <c r="CA38" s="252">
        <f ca="1">OFFSET(Calcs!$A$1,Graphs!CA$14+15,15)</f>
        <v>2977.964503531759</v>
      </c>
      <c r="CB38" s="252">
        <f ca="1">OFFSET(Calcs!$A$1,Graphs!CB$14+15,15)</f>
        <v>2999.3118282400151</v>
      </c>
      <c r="CC38" s="252">
        <f ca="1">OFFSET(Calcs!$A$1,Graphs!CC$14+15,15)</f>
        <v>3020.0682289270985</v>
      </c>
      <c r="CD38" s="252">
        <f ca="1">OFFSET(Calcs!$A$1,Graphs!CD$14+15,15)</f>
        <v>3020.0682289270985</v>
      </c>
      <c r="CE38" s="252">
        <f ca="1">OFFSET(Calcs!$A$1,Graphs!CE$14+15,15)</f>
        <v>3020.0682289270985</v>
      </c>
      <c r="CF38" s="252">
        <f ca="1">OFFSET(Calcs!$A$1,Graphs!CF$14+15,15)</f>
        <v>3020.0682289270985</v>
      </c>
      <c r="CG38" s="252">
        <f ca="1">OFFSET(Calcs!$A$1,Graphs!CG$14+15,15)</f>
        <v>3065.143043572044</v>
      </c>
      <c r="CH38" s="252">
        <f ca="1">OFFSET(Calcs!$A$1,Graphs!CH$14+15,15)</f>
        <v>3093.1350238236932</v>
      </c>
      <c r="CI38" s="252">
        <f ca="1">OFFSET(Calcs!$A$1,Graphs!CI$14+15,15)</f>
        <v>3157.7975368033672</v>
      </c>
      <c r="CJ38" s="252">
        <f ca="1">OFFSET(Calcs!$A$1,Graphs!CJ$14+15,15)</f>
        <v>3184.2224672316393</v>
      </c>
      <c r="CK38" s="252">
        <f ca="1">OFFSET(Calcs!$A$1,Graphs!CK$14+15,15)</f>
        <v>3209.7984143530725</v>
      </c>
      <c r="CL38" s="252">
        <f ca="1">OFFSET(Calcs!$A$1,Graphs!CL$14+15,15)</f>
        <v>3234.5843798042647</v>
      </c>
      <c r="CM38" s="252">
        <f ca="1">OFFSET(Calcs!$A$1,Graphs!CM$14+15,15)</f>
        <v>3262.8338462601791</v>
      </c>
      <c r="CN38" s="252">
        <f ca="1">OFFSET(Calcs!$A$1,Graphs!CN$14+15,15)</f>
        <v>3299.2897131975787</v>
      </c>
      <c r="CO38" s="252">
        <f ca="1">OFFSET(Calcs!$A$1,Graphs!CO$14+15,15)</f>
        <v>3326.8986716940803</v>
      </c>
      <c r="CP38" s="252">
        <f ca="1">OFFSET(Calcs!$A$1,Graphs!CP$14+15,15)</f>
        <v>3326.8986716940803</v>
      </c>
      <c r="CQ38" s="252">
        <f ca="1">OFFSET(Calcs!$A$1,Graphs!CQ$14+15,15)</f>
        <v>3380.5571737477894</v>
      </c>
      <c r="CR38" s="252">
        <f ca="1">OFFSET(Calcs!$A$1,Graphs!CR$14+15,15)</f>
        <v>3380.5571737477894</v>
      </c>
      <c r="CS38" s="252">
        <f ca="1">OFFSET(Calcs!$A$1,Graphs!CS$14+15,15)</f>
        <v>3380.5571737477894</v>
      </c>
      <c r="CT38" s="252">
        <f ca="1">OFFSET(Calcs!$A$1,Graphs!CT$14+15,15)</f>
        <v>3418.3283715186103</v>
      </c>
      <c r="CU38" s="252">
        <f ca="1">OFFSET(Calcs!$A$1,Graphs!CU$14+15,15)</f>
        <v>3444.7245989385078</v>
      </c>
      <c r="CV38" s="252">
        <f ca="1">OFFSET(Calcs!$A$1,Graphs!CV$14+15,15)</f>
        <v>3444.7245989385078</v>
      </c>
      <c r="CW38" s="252">
        <f ca="1">OFFSET(Calcs!$A$1,Graphs!CW$14+15,15)</f>
        <v>3469.4178598745757</v>
      </c>
      <c r="CX38" s="252">
        <f ca="1">OFFSET(Calcs!$A$1,Graphs!CX$14+15,15)</f>
        <v>3469.4178598745757</v>
      </c>
      <c r="CY38" s="252" t="e">
        <f ca="1">OFFSET(Calcs!$A$1,Graphs!CY$14+15,15)</f>
        <v>#N/A</v>
      </c>
      <c r="CZ38" s="252" t="e">
        <f ca="1">OFFSET(Calcs!$A$1,Graphs!CZ$14+15,15)</f>
        <v>#N/A</v>
      </c>
      <c r="DA38" s="252" t="e">
        <f ca="1">OFFSET(Calcs!$A$1,Graphs!DA$14+15,15)</f>
        <v>#N/A</v>
      </c>
      <c r="DC38" s="253" t="str">
        <f t="shared" si="7"/>
        <v>Effect desired: Data theft</v>
      </c>
    </row>
    <row r="39" spans="1:107" s="252" customFormat="1" x14ac:dyDescent="0.3">
      <c r="A39" s="250" t="s">
        <v>163</v>
      </c>
      <c r="B39" s="251">
        <v>1000</v>
      </c>
      <c r="C39" s="251">
        <v>1000</v>
      </c>
      <c r="D39" s="251">
        <v>1000</v>
      </c>
      <c r="E39" s="251">
        <v>1000</v>
      </c>
      <c r="F39" s="251">
        <v>1000</v>
      </c>
      <c r="G39" s="251">
        <v>1000</v>
      </c>
      <c r="H39" s="251">
        <v>1000</v>
      </c>
      <c r="I39" s="251">
        <v>1000</v>
      </c>
      <c r="J39" s="251">
        <v>1000</v>
      </c>
      <c r="K39" s="251">
        <v>1000</v>
      </c>
      <c r="L39" s="251">
        <v>1000</v>
      </c>
      <c r="M39" s="251">
        <v>1000</v>
      </c>
      <c r="N39" s="251">
        <v>1000</v>
      </c>
      <c r="O39" s="252">
        <v>1007.3544986609897</v>
      </c>
      <c r="P39" s="252">
        <v>1017.1504137216882</v>
      </c>
      <c r="Q39" s="252">
        <v>1028.2456135330174</v>
      </c>
      <c r="R39" s="252">
        <v>1036.6839807675424</v>
      </c>
      <c r="S39" s="252">
        <v>1036.6839807675424</v>
      </c>
      <c r="T39" s="252">
        <v>1048.0849471854165</v>
      </c>
      <c r="U39" s="252">
        <v>1051.365335582655</v>
      </c>
      <c r="V39" s="252">
        <v>1054.0416990155525</v>
      </c>
      <c r="W39" s="252">
        <v>1053.6856639914038</v>
      </c>
      <c r="X39" s="252">
        <v>1065.1014322772382</v>
      </c>
      <c r="Y39" s="252">
        <v>1067.5248702141957</v>
      </c>
      <c r="Z39" s="252">
        <v>1071.2771506115819</v>
      </c>
      <c r="AA39" s="252">
        <v>1085.5826435524295</v>
      </c>
      <c r="AB39" s="252">
        <v>1085.0289161257479</v>
      </c>
      <c r="AC39" s="252">
        <v>1085.0289161257479</v>
      </c>
      <c r="AD39" s="252">
        <v>1089.6449622367472</v>
      </c>
      <c r="AE39" s="252">
        <v>1083.3766480548154</v>
      </c>
      <c r="AF39" s="252">
        <v>1090.0299126619852</v>
      </c>
      <c r="AG39" s="252">
        <v>1091.8481439549457</v>
      </c>
      <c r="AH39" s="252">
        <v>1101.6908812126451</v>
      </c>
      <c r="AI39" s="252">
        <v>1102.2648279989446</v>
      </c>
      <c r="AJ39" s="252">
        <v>1106.1166522561939</v>
      </c>
      <c r="AK39" s="252">
        <v>1112.2034910319694</v>
      </c>
      <c r="AL39" s="252">
        <v>1116.0900455848634</v>
      </c>
      <c r="AM39" s="252">
        <v>1117.9940941065413</v>
      </c>
      <c r="AN39" s="252">
        <v>1127.5787982462768</v>
      </c>
      <c r="AO39" s="252">
        <v>1137.2852992365761</v>
      </c>
      <c r="AP39" s="252">
        <v>1142.7138584014795</v>
      </c>
      <c r="AQ39" s="252">
        <v>1156.3988917189838</v>
      </c>
      <c r="AR39" s="252">
        <v>1158.9525871675442</v>
      </c>
      <c r="AS39" s="252">
        <v>1161.2422523843593</v>
      </c>
      <c r="AT39" s="252">
        <f ca="1">OFFSET(Calcs!$A$1,Graphs!AT$14+16,15)</f>
        <v>1161.2422523843593</v>
      </c>
      <c r="AU39" s="252">
        <f ca="1">OFFSET(Calcs!$A$1,Graphs!AU$14+16,15)</f>
        <v>1161.2422523843593</v>
      </c>
      <c r="AV39" s="252">
        <f ca="1">OFFSET(Calcs!$A$1,Graphs!AV$14+16,15)</f>
        <v>1161.2422523843593</v>
      </c>
      <c r="AW39" s="252">
        <f ca="1">OFFSET(Calcs!$A$1,Graphs!AW$14+16,15)</f>
        <v>1161.2422523843593</v>
      </c>
      <c r="AX39" s="252">
        <f ca="1">OFFSET(Calcs!$A$1,Graphs!AX$14+16,15)</f>
        <v>1161.2422523843593</v>
      </c>
      <c r="AY39" s="252">
        <f ca="1">OFFSET(Calcs!$A$1,Graphs!AY$14+16,15)</f>
        <v>1161.2422523843593</v>
      </c>
      <c r="AZ39" s="252">
        <f ca="1">OFFSET(Calcs!$A$1,Graphs!AZ$14+16,15)</f>
        <v>1166.9206873187281</v>
      </c>
      <c r="BA39" s="252">
        <f ca="1">OFFSET(Calcs!$A$1,Graphs!BA$14+16,15)</f>
        <v>1173.2454452500563</v>
      </c>
      <c r="BB39" s="252">
        <f ca="1">OFFSET(Calcs!$A$1,Graphs!BB$14+16,15)</f>
        <v>1173.2454452500563</v>
      </c>
      <c r="BC39" s="252">
        <f ca="1">OFFSET(Calcs!$A$1,Graphs!BC$14+16,15)</f>
        <v>1173.2454452500563</v>
      </c>
      <c r="BD39" s="252">
        <f ca="1">OFFSET(Calcs!$A$1,Graphs!BD$14+16,15)</f>
        <v>1173.2454452500563</v>
      </c>
      <c r="BE39" s="252">
        <f ca="1">OFFSET(Calcs!$A$1,Graphs!BE$14+16,15)</f>
        <v>1173.2454452500563</v>
      </c>
      <c r="BF39" s="252">
        <f ca="1">OFFSET(Calcs!$A$1,Graphs!BF$14+16,15)</f>
        <v>1173.2454452500563</v>
      </c>
      <c r="BG39" s="252">
        <f ca="1">OFFSET(Calcs!$A$1,Graphs!BG$14+16,15)</f>
        <v>1173.2454452500563</v>
      </c>
      <c r="BH39" s="252">
        <f ca="1">OFFSET(Calcs!$A$1,Graphs!BH$14+16,15)</f>
        <v>1173.2454452500563</v>
      </c>
      <c r="BI39" s="252">
        <f ca="1">OFFSET(Calcs!$A$1,Graphs!BI$14+16,15)</f>
        <v>1173.2454452500563</v>
      </c>
      <c r="BJ39" s="252">
        <f ca="1">OFFSET(Calcs!$A$1,Graphs!BJ$14+16,15)</f>
        <v>1179.9688965028261</v>
      </c>
      <c r="BK39" s="252">
        <f ca="1">OFFSET(Calcs!$A$1,Graphs!BK$14+16,15)</f>
        <v>1172.3806983238601</v>
      </c>
      <c r="BL39" s="252">
        <f ca="1">OFFSET(Calcs!$A$1,Graphs!BL$14+16,15)</f>
        <v>1172.3806983238601</v>
      </c>
      <c r="BM39" s="252">
        <f ca="1">OFFSET(Calcs!$A$1,Graphs!BM$14+16,15)</f>
        <v>1180.494027289222</v>
      </c>
      <c r="BN39" s="252">
        <f ca="1">OFFSET(Calcs!$A$1,Graphs!BN$14+16,15)</f>
        <v>1187.6702607416908</v>
      </c>
      <c r="BO39" s="252">
        <f ca="1">OFFSET(Calcs!$A$1,Graphs!BO$14+16,15)</f>
        <v>1180.494027289222</v>
      </c>
      <c r="BP39" s="252">
        <f ca="1">OFFSET(Calcs!$A$1,Graphs!BP$14+16,15)</f>
        <v>1180.494027289222</v>
      </c>
      <c r="BQ39" s="252">
        <f ca="1">OFFSET(Calcs!$A$1,Graphs!BQ$14+16,15)</f>
        <v>1180.494027289222</v>
      </c>
      <c r="BR39" s="252">
        <f ca="1">OFFSET(Calcs!$A$1,Graphs!BR$14+16,15)</f>
        <v>1180.494027289222</v>
      </c>
      <c r="BS39" s="252">
        <f ca="1">OFFSET(Calcs!$A$1,Graphs!BS$14+16,15)</f>
        <v>1180.494027289222</v>
      </c>
      <c r="BT39" s="252">
        <f ca="1">OFFSET(Calcs!$A$1,Graphs!BT$14+16,15)</f>
        <v>1180.494027289222</v>
      </c>
      <c r="BU39" s="252">
        <f ca="1">OFFSET(Calcs!$A$1,Graphs!BU$14+16,15)</f>
        <v>1172.6502421089297</v>
      </c>
      <c r="BV39" s="252">
        <f ca="1">OFFSET(Calcs!$A$1,Graphs!BV$14+16,15)</f>
        <v>1172.6502421089297</v>
      </c>
      <c r="BW39" s="252">
        <f ca="1">OFFSET(Calcs!$A$1,Graphs!BW$14+16,15)</f>
        <v>1172.6502421089297</v>
      </c>
      <c r="BX39" s="252">
        <f ca="1">OFFSET(Calcs!$A$1,Graphs!BX$14+16,15)</f>
        <v>1164.8585749102044</v>
      </c>
      <c r="BY39" s="252">
        <f ca="1">OFFSET(Calcs!$A$1,Graphs!BY$14+16,15)</f>
        <v>1164.8585749102044</v>
      </c>
      <c r="BZ39" s="252">
        <f ca="1">OFFSET(Calcs!$A$1,Graphs!BZ$14+16,15)</f>
        <v>1164.8585749102044</v>
      </c>
      <c r="CA39" s="252">
        <f ca="1">OFFSET(Calcs!$A$1,Graphs!CA$14+16,15)</f>
        <v>1151.9873411298101</v>
      </c>
      <c r="CB39" s="252">
        <f ca="1">OFFSET(Calcs!$A$1,Graphs!CB$14+16,15)</f>
        <v>1143.7881777086034</v>
      </c>
      <c r="CC39" s="252">
        <f ca="1">OFFSET(Calcs!$A$1,Graphs!CC$14+16,15)</f>
        <v>1143.7881777086034</v>
      </c>
      <c r="CD39" s="252">
        <f ca="1">OFFSET(Calcs!$A$1,Graphs!CD$14+16,15)</f>
        <v>1143.7881777086034</v>
      </c>
      <c r="CE39" s="252">
        <f ca="1">OFFSET(Calcs!$A$1,Graphs!CE$14+16,15)</f>
        <v>1135.6473710751907</v>
      </c>
      <c r="CF39" s="252">
        <f ca="1">OFFSET(Calcs!$A$1,Graphs!CF$14+16,15)</f>
        <v>1135.6473710751907</v>
      </c>
      <c r="CG39" s="252">
        <f ca="1">OFFSET(Calcs!$A$1,Graphs!CG$14+16,15)</f>
        <v>1144.0908072021971</v>
      </c>
      <c r="CH39" s="252">
        <f ca="1">OFFSET(Calcs!$A$1,Graphs!CH$14+16,15)</f>
        <v>1154.5390527901013</v>
      </c>
      <c r="CI39" s="252">
        <f ca="1">OFFSET(Calcs!$A$1,Graphs!CI$14+16,15)</f>
        <v>1154.5390527901013</v>
      </c>
      <c r="CJ39" s="252">
        <f ca="1">OFFSET(Calcs!$A$1,Graphs!CJ$14+16,15)</f>
        <v>1154.5390527901013</v>
      </c>
      <c r="CK39" s="252">
        <f ca="1">OFFSET(Calcs!$A$1,Graphs!CK$14+16,15)</f>
        <v>1145.3395872935305</v>
      </c>
      <c r="CL39" s="252">
        <f ca="1">OFFSET(Calcs!$A$1,Graphs!CL$14+16,15)</f>
        <v>1145.3395872935305</v>
      </c>
      <c r="CM39" s="252">
        <f ca="1">OFFSET(Calcs!$A$1,Graphs!CM$14+16,15)</f>
        <v>1155.3424898159985</v>
      </c>
      <c r="CN39" s="252">
        <f ca="1">OFFSET(Calcs!$A$1,Graphs!CN$14+16,15)</f>
        <v>1155.3424898159985</v>
      </c>
      <c r="CO39" s="252">
        <f ca="1">OFFSET(Calcs!$A$1,Graphs!CO$14+16,15)</f>
        <v>1145.7546405911432</v>
      </c>
      <c r="CP39" s="252">
        <f ca="1">OFFSET(Calcs!$A$1,Graphs!CP$14+16,15)</f>
        <v>1145.7546405911432</v>
      </c>
      <c r="CQ39" s="252">
        <f ca="1">OFFSET(Calcs!$A$1,Graphs!CQ$14+16,15)</f>
        <v>1145.7546405911432</v>
      </c>
      <c r="CR39" s="252">
        <f ca="1">OFFSET(Calcs!$A$1,Graphs!CR$14+16,15)</f>
        <v>1145.7546405911432</v>
      </c>
      <c r="CS39" s="252">
        <f ca="1">OFFSET(Calcs!$A$1,Graphs!CS$14+16,15)</f>
        <v>1145.7546405911432</v>
      </c>
      <c r="CT39" s="252">
        <f ca="1">OFFSET(Calcs!$A$1,Graphs!CT$14+16,15)</f>
        <v>1145.7546405911432</v>
      </c>
      <c r="CU39" s="252">
        <f ca="1">OFFSET(Calcs!$A$1,Graphs!CU$14+16,15)</f>
        <v>1145.7546405911432</v>
      </c>
      <c r="CV39" s="252">
        <f ca="1">OFFSET(Calcs!$A$1,Graphs!CV$14+16,15)</f>
        <v>1145.7546405911432</v>
      </c>
      <c r="CW39" s="252">
        <f ca="1">OFFSET(Calcs!$A$1,Graphs!CW$14+16,15)</f>
        <v>1145.7546405911432</v>
      </c>
      <c r="CX39" s="252">
        <f ca="1">OFFSET(Calcs!$A$1,Graphs!CX$14+16,15)</f>
        <v>1138.1416810484702</v>
      </c>
      <c r="CY39" s="252" t="e">
        <f ca="1">OFFSET(Calcs!$A$1,Graphs!CY$14+16,15)</f>
        <v>#N/A</v>
      </c>
      <c r="CZ39" s="252" t="e">
        <f ca="1">OFFSET(Calcs!$A$1,Graphs!CZ$14+16,15)</f>
        <v>#N/A</v>
      </c>
      <c r="DA39" s="252" t="e">
        <f ca="1">OFFSET(Calcs!$A$1,Graphs!DA$14+16,15)</f>
        <v>#N/A</v>
      </c>
      <c r="DC39" s="253" t="str">
        <f t="shared" si="7"/>
        <v>Effect desired: Data modification</v>
      </c>
    </row>
    <row r="40" spans="1:107" s="252" customFormat="1" x14ac:dyDescent="0.3">
      <c r="A40" s="250" t="s">
        <v>164</v>
      </c>
      <c r="B40" s="251">
        <v>1000</v>
      </c>
      <c r="C40" s="251">
        <v>1000</v>
      </c>
      <c r="D40" s="251">
        <v>1000</v>
      </c>
      <c r="E40" s="251">
        <v>1000</v>
      </c>
      <c r="F40" s="251">
        <v>1000</v>
      </c>
      <c r="G40" s="251">
        <v>1000</v>
      </c>
      <c r="H40" s="251">
        <v>1000</v>
      </c>
      <c r="I40" s="251">
        <v>1000</v>
      </c>
      <c r="J40" s="251">
        <v>1000</v>
      </c>
      <c r="K40" s="251">
        <v>1000</v>
      </c>
      <c r="L40" s="251">
        <v>1000</v>
      </c>
      <c r="M40" s="251">
        <v>1000</v>
      </c>
      <c r="N40" s="251">
        <v>1000</v>
      </c>
      <c r="O40" s="252">
        <v>1025.757161957775</v>
      </c>
      <c r="P40" s="252">
        <v>1039.497565264882</v>
      </c>
      <c r="Q40" s="252">
        <v>1050.8365305097605</v>
      </c>
      <c r="R40" s="252">
        <v>1060.4794933749367</v>
      </c>
      <c r="S40" s="252">
        <v>1103.3986199468548</v>
      </c>
      <c r="T40" s="252">
        <v>1161.1800096796171</v>
      </c>
      <c r="U40" s="252">
        <v>1168.4601113596325</v>
      </c>
      <c r="V40" s="252">
        <v>1211.824912721067</v>
      </c>
      <c r="W40" s="252">
        <v>1247.1284043129112</v>
      </c>
      <c r="X40" s="252">
        <v>1277.0471879090219</v>
      </c>
      <c r="Y40" s="252">
        <v>1319.8328159357536</v>
      </c>
      <c r="Z40" s="252">
        <v>1363.9703352371196</v>
      </c>
      <c r="AA40" s="252">
        <v>1393.513676313105</v>
      </c>
      <c r="AB40" s="252">
        <v>1417.1745231369573</v>
      </c>
      <c r="AC40" s="252">
        <v>1429.3739418681805</v>
      </c>
      <c r="AD40" s="252">
        <v>1472.4880582313294</v>
      </c>
      <c r="AE40" s="252">
        <v>1481.007734001256</v>
      </c>
      <c r="AF40" s="252">
        <v>1496.1974244383869</v>
      </c>
      <c r="AG40" s="252">
        <v>1503.6971452381663</v>
      </c>
      <c r="AH40" s="252">
        <v>1528.9687762619162</v>
      </c>
      <c r="AI40" s="252">
        <v>1537.7536341376806</v>
      </c>
      <c r="AJ40" s="252">
        <v>1561.1753256342909</v>
      </c>
      <c r="AK40" s="252">
        <v>1591.936415445512</v>
      </c>
      <c r="AL40" s="252">
        <v>1604.0140778377929</v>
      </c>
      <c r="AM40" s="252">
        <v>1615.9057732218205</v>
      </c>
      <c r="AN40" s="252">
        <v>1621.8284511724412</v>
      </c>
      <c r="AO40" s="252">
        <v>1628.7940601779776</v>
      </c>
      <c r="AP40" s="252">
        <v>1654.1976557035409</v>
      </c>
      <c r="AQ40" s="252">
        <v>1668.0402334676703</v>
      </c>
      <c r="AR40" s="252">
        <v>1685.2999200777676</v>
      </c>
      <c r="AS40" s="252">
        <v>1708.7452539438107</v>
      </c>
      <c r="AT40" s="252">
        <f ca="1">OFFSET(Calcs!$A$1,Graphs!AT$14+17,15)</f>
        <v>1726.8270464597008</v>
      </c>
      <c r="AU40" s="252">
        <f ca="1">OFFSET(Calcs!$A$1,Graphs!AU$14+17,15)</f>
        <v>1750.5359723807339</v>
      </c>
      <c r="AV40" s="252">
        <f ca="1">OFFSET(Calcs!$A$1,Graphs!AV$14+17,15)</f>
        <v>1750.5359723807339</v>
      </c>
      <c r="AW40" s="252">
        <f ca="1">OFFSET(Calcs!$A$1,Graphs!AW$14+17,15)</f>
        <v>1750.5359723807339</v>
      </c>
      <c r="AX40" s="252">
        <f ca="1">OFFSET(Calcs!$A$1,Graphs!AX$14+17,15)</f>
        <v>1759.7736078466341</v>
      </c>
      <c r="AY40" s="252">
        <f ca="1">OFFSET(Calcs!$A$1,Graphs!AY$14+17,15)</f>
        <v>1759.7736078466341</v>
      </c>
      <c r="AZ40" s="252">
        <f ca="1">OFFSET(Calcs!$A$1,Graphs!AZ$14+17,15)</f>
        <v>1777.0261527624145</v>
      </c>
      <c r="BA40" s="252">
        <f ca="1">OFFSET(Calcs!$A$1,Graphs!BA$14+17,15)</f>
        <v>1786.6577073110673</v>
      </c>
      <c r="BB40" s="252">
        <f ca="1">OFFSET(Calcs!$A$1,Graphs!BB$14+17,15)</f>
        <v>1786.6577073110673</v>
      </c>
      <c r="BC40" s="252">
        <f ca="1">OFFSET(Calcs!$A$1,Graphs!BC$14+17,15)</f>
        <v>1786.6577073110673</v>
      </c>
      <c r="BD40" s="252">
        <f ca="1">OFFSET(Calcs!$A$1,Graphs!BD$14+17,15)</f>
        <v>1796.0859583512529</v>
      </c>
      <c r="BE40" s="252">
        <f ca="1">OFFSET(Calcs!$A$1,Graphs!BE$14+17,15)</f>
        <v>1796.0859583512529</v>
      </c>
      <c r="BF40" s="252">
        <f ca="1">OFFSET(Calcs!$A$1,Graphs!BF$14+17,15)</f>
        <v>1796.0859583512529</v>
      </c>
      <c r="BG40" s="252">
        <f ca="1">OFFSET(Calcs!$A$1,Graphs!BG$14+17,15)</f>
        <v>1817.3411668714846</v>
      </c>
      <c r="BH40" s="252">
        <f ca="1">OFFSET(Calcs!$A$1,Graphs!BH$14+17,15)</f>
        <v>1817.3411668714846</v>
      </c>
      <c r="BI40" s="252">
        <f ca="1">OFFSET(Calcs!$A$1,Graphs!BI$14+17,15)</f>
        <v>1806.3602869864335</v>
      </c>
      <c r="BJ40" s="252">
        <f ca="1">OFFSET(Calcs!$A$1,Graphs!BJ$14+17,15)</f>
        <v>1806.3602869864335</v>
      </c>
      <c r="BK40" s="252">
        <f ca="1">OFFSET(Calcs!$A$1,Graphs!BK$14+17,15)</f>
        <v>1818.0518986445441</v>
      </c>
      <c r="BL40" s="252">
        <f ca="1">OFFSET(Calcs!$A$1,Graphs!BL$14+17,15)</f>
        <v>1843.3022163581952</v>
      </c>
      <c r="BM40" s="252">
        <f ca="1">OFFSET(Calcs!$A$1,Graphs!BM$14+17,15)</f>
        <v>1843.3022163581952</v>
      </c>
      <c r="BN40" s="252">
        <f ca="1">OFFSET(Calcs!$A$1,Graphs!BN$14+17,15)</f>
        <v>1854.5076665529878</v>
      </c>
      <c r="BO40" s="252">
        <f ca="1">OFFSET(Calcs!$A$1,Graphs!BO$14+17,15)</f>
        <v>1865.7812347769095</v>
      </c>
      <c r="BP40" s="252">
        <f ca="1">OFFSET(Calcs!$A$1,Graphs!BP$14+17,15)</f>
        <v>1889.2498736239759</v>
      </c>
      <c r="BQ40" s="252">
        <f ca="1">OFFSET(Calcs!$A$1,Graphs!BQ$14+17,15)</f>
        <v>1889.2498736239759</v>
      </c>
      <c r="BR40" s="252">
        <f ca="1">OFFSET(Calcs!$A$1,Graphs!BR$14+17,15)</f>
        <v>1876.6967646560045</v>
      </c>
      <c r="BS40" s="252">
        <f ca="1">OFFSET(Calcs!$A$1,Graphs!BS$14+17,15)</f>
        <v>1876.6967646560045</v>
      </c>
      <c r="BT40" s="252">
        <f ca="1">OFFSET(Calcs!$A$1,Graphs!BT$14+17,15)</f>
        <v>1864.6280168998214</v>
      </c>
      <c r="BU40" s="252">
        <f ca="1">OFFSET(Calcs!$A$1,Graphs!BU$14+17,15)</f>
        <v>1864.6280168998214</v>
      </c>
      <c r="BV40" s="252">
        <f ca="1">OFFSET(Calcs!$A$1,Graphs!BV$14+17,15)</f>
        <v>1864.6280168998214</v>
      </c>
      <c r="BW40" s="252">
        <f ca="1">OFFSET(Calcs!$A$1,Graphs!BW$14+17,15)</f>
        <v>1901.0691095638779</v>
      </c>
      <c r="BX40" s="252">
        <f ca="1">OFFSET(Calcs!$A$1,Graphs!BX$14+17,15)</f>
        <v>1926.5864351620507</v>
      </c>
      <c r="BY40" s="252">
        <f ca="1">OFFSET(Calcs!$A$1,Graphs!BY$14+17,15)</f>
        <v>1926.5864351620507</v>
      </c>
      <c r="BZ40" s="252">
        <f ca="1">OFFSET(Calcs!$A$1,Graphs!BZ$14+17,15)</f>
        <v>1915.2868404632343</v>
      </c>
      <c r="CA40" s="252">
        <f ca="1">OFFSET(Calcs!$A$1,Graphs!CA$14+17,15)</f>
        <v>1894.1236664856419</v>
      </c>
      <c r="CB40" s="252">
        <f ca="1">OFFSET(Calcs!$A$1,Graphs!CB$14+17,15)</f>
        <v>1880.6424163650809</v>
      </c>
      <c r="CC40" s="252">
        <f ca="1">OFFSET(Calcs!$A$1,Graphs!CC$14+17,15)</f>
        <v>1880.6424163650809</v>
      </c>
      <c r="CD40" s="252">
        <f ca="1">OFFSET(Calcs!$A$1,Graphs!CD$14+17,15)</f>
        <v>1880.6424163650809</v>
      </c>
      <c r="CE40" s="252">
        <f ca="1">OFFSET(Calcs!$A$1,Graphs!CE$14+17,15)</f>
        <v>1867.2571177961681</v>
      </c>
      <c r="CF40" s="252">
        <f ca="1">OFFSET(Calcs!$A$1,Graphs!CF$14+17,15)</f>
        <v>1867.2571177961681</v>
      </c>
      <c r="CG40" s="252">
        <f ca="1">OFFSET(Calcs!$A$1,Graphs!CG$14+17,15)</f>
        <v>1867.2571177961681</v>
      </c>
      <c r="CH40" s="252">
        <f ca="1">OFFSET(Calcs!$A$1,Graphs!CH$14+17,15)</f>
        <v>1901.5177638147452</v>
      </c>
      <c r="CI40" s="252">
        <f ca="1">OFFSET(Calcs!$A$1,Graphs!CI$14+17,15)</f>
        <v>1927.9273111495991</v>
      </c>
      <c r="CJ40" s="252">
        <f ca="1">OFFSET(Calcs!$A$1,Graphs!CJ$14+17,15)</f>
        <v>1927.9273111495991</v>
      </c>
      <c r="CK40" s="252">
        <f ca="1">OFFSET(Calcs!$A$1,Graphs!CK$14+17,15)</f>
        <v>1943.4125881587768</v>
      </c>
      <c r="CL40" s="252">
        <f ca="1">OFFSET(Calcs!$A$1,Graphs!CL$14+17,15)</f>
        <v>1928.5206108252221</v>
      </c>
      <c r="CM40" s="252">
        <f ca="1">OFFSET(Calcs!$A$1,Graphs!CM$14+17,15)</f>
        <v>1911.8235674353202</v>
      </c>
      <c r="CN40" s="252">
        <f ca="1">OFFSET(Calcs!$A$1,Graphs!CN$14+17,15)</f>
        <v>1911.8235674353202</v>
      </c>
      <c r="CO40" s="252">
        <f ca="1">OFFSET(Calcs!$A$1,Graphs!CO$14+17,15)</f>
        <v>1895.9579031230744</v>
      </c>
      <c r="CP40" s="252">
        <f ca="1">OFFSET(Calcs!$A$1,Graphs!CP$14+17,15)</f>
        <v>1895.9579031230744</v>
      </c>
      <c r="CQ40" s="252">
        <f ca="1">OFFSET(Calcs!$A$1,Graphs!CQ$14+17,15)</f>
        <v>1895.9579031230744</v>
      </c>
      <c r="CR40" s="252">
        <f ca="1">OFFSET(Calcs!$A$1,Graphs!CR$14+17,15)</f>
        <v>1877.9868733560356</v>
      </c>
      <c r="CS40" s="252">
        <f ca="1">OFFSET(Calcs!$A$1,Graphs!CS$14+17,15)</f>
        <v>1864.6204753690354</v>
      </c>
      <c r="CT40" s="252">
        <f ca="1">OFFSET(Calcs!$A$1,Graphs!CT$14+17,15)</f>
        <v>1854.2901945223091</v>
      </c>
      <c r="CU40" s="252">
        <f ca="1">OFFSET(Calcs!$A$1,Graphs!CU$14+17,15)</f>
        <v>1825.9809746628607</v>
      </c>
      <c r="CV40" s="252">
        <f ca="1">OFFSET(Calcs!$A$1,Graphs!CV$14+17,15)</f>
        <v>1825.9809746628607</v>
      </c>
      <c r="CW40" s="252">
        <f ca="1">OFFSET(Calcs!$A$1,Graphs!CW$14+17,15)</f>
        <v>1812.9847238528546</v>
      </c>
      <c r="CX40" s="252">
        <f ca="1">OFFSET(Calcs!$A$1,Graphs!CX$14+17,15)</f>
        <v>1800.9383581954962</v>
      </c>
      <c r="CY40" s="252" t="e">
        <f ca="1">OFFSET(Calcs!$A$1,Graphs!CY$14+17,15)</f>
        <v>#N/A</v>
      </c>
      <c r="CZ40" s="252" t="e">
        <f ca="1">OFFSET(Calcs!$A$1,Graphs!CZ$14+17,15)</f>
        <v>#N/A</v>
      </c>
      <c r="DA40" s="252" t="e">
        <f ca="1">OFFSET(Calcs!$A$1,Graphs!DA$14+17,15)</f>
        <v>#N/A</v>
      </c>
      <c r="DC40" s="253" t="str">
        <f t="shared" si="7"/>
        <v>Effect desired: Business disruption</v>
      </c>
    </row>
    <row r="41" spans="1:107" s="252" customFormat="1" x14ac:dyDescent="0.3">
      <c r="A41" s="250" t="s">
        <v>2700</v>
      </c>
      <c r="B41" s="251" t="e">
        <f>IF(AND(ISNA(C38),B38&lt;&gt;""),B38,NA())</f>
        <v>#N/A</v>
      </c>
      <c r="C41" s="251" t="e">
        <f t="shared" ref="C41:BN42" si="133">IF(AND(ISNA(D38),C38&lt;&gt;""),C38,NA())</f>
        <v>#N/A</v>
      </c>
      <c r="D41" s="251" t="e">
        <f t="shared" si="133"/>
        <v>#N/A</v>
      </c>
      <c r="E41" s="251" t="e">
        <f t="shared" si="133"/>
        <v>#N/A</v>
      </c>
      <c r="F41" s="251" t="e">
        <f t="shared" si="133"/>
        <v>#N/A</v>
      </c>
      <c r="G41" s="251" t="e">
        <f t="shared" si="133"/>
        <v>#N/A</v>
      </c>
      <c r="H41" s="251" t="e">
        <f t="shared" si="133"/>
        <v>#N/A</v>
      </c>
      <c r="I41" s="251" t="e">
        <f t="shared" si="133"/>
        <v>#N/A</v>
      </c>
      <c r="J41" s="251" t="e">
        <f t="shared" si="133"/>
        <v>#N/A</v>
      </c>
      <c r="K41" s="251" t="e">
        <f t="shared" si="133"/>
        <v>#N/A</v>
      </c>
      <c r="L41" s="251" t="e">
        <f t="shared" si="133"/>
        <v>#N/A</v>
      </c>
      <c r="M41" s="251" t="e">
        <f t="shared" si="133"/>
        <v>#N/A</v>
      </c>
      <c r="N41" s="251" t="e">
        <f t="shared" si="133"/>
        <v>#N/A</v>
      </c>
      <c r="O41" s="251" t="e">
        <f t="shared" si="133"/>
        <v>#N/A</v>
      </c>
      <c r="P41" s="251" t="e">
        <f t="shared" si="133"/>
        <v>#N/A</v>
      </c>
      <c r="Q41" s="251" t="e">
        <f t="shared" si="133"/>
        <v>#N/A</v>
      </c>
      <c r="R41" s="251" t="e">
        <f t="shared" si="133"/>
        <v>#N/A</v>
      </c>
      <c r="S41" s="251" t="e">
        <f t="shared" si="133"/>
        <v>#N/A</v>
      </c>
      <c r="T41" s="251" t="e">
        <f t="shared" si="133"/>
        <v>#N/A</v>
      </c>
      <c r="U41" s="251" t="e">
        <f t="shared" si="133"/>
        <v>#N/A</v>
      </c>
      <c r="V41" s="251" t="e">
        <f t="shared" si="133"/>
        <v>#N/A</v>
      </c>
      <c r="W41" s="251" t="e">
        <f t="shared" si="133"/>
        <v>#N/A</v>
      </c>
      <c r="X41" s="251" t="e">
        <f t="shared" si="133"/>
        <v>#N/A</v>
      </c>
      <c r="Y41" s="251" t="e">
        <f t="shared" si="133"/>
        <v>#N/A</v>
      </c>
      <c r="Z41" s="251" t="e">
        <f t="shared" si="133"/>
        <v>#N/A</v>
      </c>
      <c r="AA41" s="251" t="e">
        <f t="shared" si="133"/>
        <v>#N/A</v>
      </c>
      <c r="AB41" s="251" t="e">
        <f t="shared" si="133"/>
        <v>#N/A</v>
      </c>
      <c r="AC41" s="251" t="e">
        <f t="shared" si="133"/>
        <v>#N/A</v>
      </c>
      <c r="AD41" s="251" t="e">
        <f t="shared" si="133"/>
        <v>#N/A</v>
      </c>
      <c r="AE41" s="251" t="e">
        <f t="shared" si="133"/>
        <v>#N/A</v>
      </c>
      <c r="AF41" s="251" t="e">
        <f t="shared" si="133"/>
        <v>#N/A</v>
      </c>
      <c r="AG41" s="251" t="e">
        <f t="shared" si="133"/>
        <v>#N/A</v>
      </c>
      <c r="AH41" s="251" t="e">
        <f t="shared" si="133"/>
        <v>#N/A</v>
      </c>
      <c r="AI41" s="251" t="e">
        <f t="shared" si="133"/>
        <v>#N/A</v>
      </c>
      <c r="AJ41" s="251" t="e">
        <f t="shared" si="133"/>
        <v>#N/A</v>
      </c>
      <c r="AK41" s="251" t="e">
        <f t="shared" si="133"/>
        <v>#N/A</v>
      </c>
      <c r="AL41" s="251" t="e">
        <f t="shared" si="133"/>
        <v>#N/A</v>
      </c>
      <c r="AM41" s="251" t="e">
        <f t="shared" si="133"/>
        <v>#N/A</v>
      </c>
      <c r="AN41" s="251" t="e">
        <f t="shared" si="133"/>
        <v>#N/A</v>
      </c>
      <c r="AO41" s="251" t="e">
        <f t="shared" si="133"/>
        <v>#N/A</v>
      </c>
      <c r="AP41" s="251" t="e">
        <f t="shared" si="133"/>
        <v>#N/A</v>
      </c>
      <c r="AQ41" s="251" t="e">
        <f t="shared" si="133"/>
        <v>#N/A</v>
      </c>
      <c r="AR41" s="251" t="e">
        <f t="shared" si="133"/>
        <v>#N/A</v>
      </c>
      <c r="AS41" s="251" t="e">
        <f t="shared" ca="1" si="133"/>
        <v>#N/A</v>
      </c>
      <c r="AT41" s="251" t="e">
        <f t="shared" ca="1" si="133"/>
        <v>#N/A</v>
      </c>
      <c r="AU41" s="251" t="e">
        <f t="shared" ca="1" si="133"/>
        <v>#N/A</v>
      </c>
      <c r="AV41" s="251" t="e">
        <f t="shared" ca="1" si="133"/>
        <v>#N/A</v>
      </c>
      <c r="AW41" s="251" t="e">
        <f t="shared" ca="1" si="133"/>
        <v>#N/A</v>
      </c>
      <c r="AX41" s="251" t="e">
        <f t="shared" ca="1" si="133"/>
        <v>#N/A</v>
      </c>
      <c r="AY41" s="251" t="e">
        <f t="shared" ca="1" si="133"/>
        <v>#N/A</v>
      </c>
      <c r="AZ41" s="251" t="e">
        <f t="shared" ca="1" si="133"/>
        <v>#N/A</v>
      </c>
      <c r="BA41" s="251" t="e">
        <f t="shared" ca="1" si="133"/>
        <v>#N/A</v>
      </c>
      <c r="BB41" s="251" t="e">
        <f t="shared" ca="1" si="133"/>
        <v>#N/A</v>
      </c>
      <c r="BC41" s="251" t="e">
        <f t="shared" ca="1" si="133"/>
        <v>#N/A</v>
      </c>
      <c r="BD41" s="251" t="e">
        <f t="shared" ca="1" si="133"/>
        <v>#N/A</v>
      </c>
      <c r="BE41" s="251" t="e">
        <f t="shared" ca="1" si="133"/>
        <v>#N/A</v>
      </c>
      <c r="BF41" s="251" t="e">
        <f t="shared" ca="1" si="133"/>
        <v>#N/A</v>
      </c>
      <c r="BG41" s="251" t="e">
        <f t="shared" ca="1" si="133"/>
        <v>#N/A</v>
      </c>
      <c r="BH41" s="251" t="e">
        <f t="shared" ca="1" si="133"/>
        <v>#N/A</v>
      </c>
      <c r="BI41" s="251" t="e">
        <f t="shared" ca="1" si="133"/>
        <v>#N/A</v>
      </c>
      <c r="BJ41" s="251" t="e">
        <f t="shared" ca="1" si="133"/>
        <v>#N/A</v>
      </c>
      <c r="BK41" s="251" t="e">
        <f t="shared" ca="1" si="133"/>
        <v>#N/A</v>
      </c>
      <c r="BL41" s="251" t="e">
        <f t="shared" ca="1" si="133"/>
        <v>#N/A</v>
      </c>
      <c r="BM41" s="251" t="e">
        <f t="shared" ca="1" si="133"/>
        <v>#N/A</v>
      </c>
      <c r="BN41" s="251" t="e">
        <f t="shared" ca="1" si="133"/>
        <v>#N/A</v>
      </c>
      <c r="BO41" s="251" t="e">
        <f t="shared" ref="BO41:DA43" ca="1" si="134">IF(AND(ISNA(BP38),BO38&lt;&gt;""),BO38,NA())</f>
        <v>#N/A</v>
      </c>
      <c r="BP41" s="251" t="e">
        <f t="shared" ca="1" si="134"/>
        <v>#N/A</v>
      </c>
      <c r="BQ41" s="251" t="e">
        <f t="shared" ca="1" si="134"/>
        <v>#N/A</v>
      </c>
      <c r="BR41" s="251" t="e">
        <f t="shared" ca="1" si="134"/>
        <v>#N/A</v>
      </c>
      <c r="BS41" s="251" t="e">
        <f t="shared" ca="1" si="134"/>
        <v>#N/A</v>
      </c>
      <c r="BT41" s="251" t="e">
        <f t="shared" ca="1" si="134"/>
        <v>#N/A</v>
      </c>
      <c r="BU41" s="251" t="e">
        <f t="shared" ca="1" si="134"/>
        <v>#N/A</v>
      </c>
      <c r="BV41" s="251" t="e">
        <f t="shared" ca="1" si="134"/>
        <v>#N/A</v>
      </c>
      <c r="BW41" s="251" t="e">
        <f t="shared" ca="1" si="134"/>
        <v>#N/A</v>
      </c>
      <c r="BX41" s="251" t="e">
        <f t="shared" ca="1" si="134"/>
        <v>#N/A</v>
      </c>
      <c r="BY41" s="251" t="e">
        <f t="shared" ca="1" si="134"/>
        <v>#N/A</v>
      </c>
      <c r="BZ41" s="251" t="e">
        <f t="shared" ca="1" si="134"/>
        <v>#N/A</v>
      </c>
      <c r="CA41" s="251" t="e">
        <f t="shared" ca="1" si="134"/>
        <v>#N/A</v>
      </c>
      <c r="CB41" s="251" t="e">
        <f t="shared" ca="1" si="134"/>
        <v>#N/A</v>
      </c>
      <c r="CC41" s="251" t="e">
        <f t="shared" ca="1" si="134"/>
        <v>#N/A</v>
      </c>
      <c r="CD41" s="251" t="e">
        <f t="shared" ca="1" si="134"/>
        <v>#N/A</v>
      </c>
      <c r="CE41" s="251" t="e">
        <f t="shared" ca="1" si="134"/>
        <v>#N/A</v>
      </c>
      <c r="CF41" s="251" t="e">
        <f t="shared" ca="1" si="134"/>
        <v>#N/A</v>
      </c>
      <c r="CG41" s="251" t="e">
        <f t="shared" ca="1" si="134"/>
        <v>#N/A</v>
      </c>
      <c r="CH41" s="251" t="e">
        <f t="shared" ca="1" si="134"/>
        <v>#N/A</v>
      </c>
      <c r="CI41" s="251" t="e">
        <f t="shared" ca="1" si="134"/>
        <v>#N/A</v>
      </c>
      <c r="CJ41" s="251" t="e">
        <f t="shared" ca="1" si="134"/>
        <v>#N/A</v>
      </c>
      <c r="CK41" s="251" t="e">
        <f t="shared" ca="1" si="134"/>
        <v>#N/A</v>
      </c>
      <c r="CL41" s="251" t="e">
        <f t="shared" ca="1" si="134"/>
        <v>#N/A</v>
      </c>
      <c r="CM41" s="251" t="e">
        <f t="shared" ca="1" si="134"/>
        <v>#N/A</v>
      </c>
      <c r="CN41" s="251" t="e">
        <f t="shared" ca="1" si="134"/>
        <v>#N/A</v>
      </c>
      <c r="CO41" s="251" t="e">
        <f t="shared" ca="1" si="134"/>
        <v>#N/A</v>
      </c>
      <c r="CP41" s="251" t="e">
        <f t="shared" ca="1" si="134"/>
        <v>#N/A</v>
      </c>
      <c r="CQ41" s="251" t="e">
        <f t="shared" ca="1" si="134"/>
        <v>#N/A</v>
      </c>
      <c r="CR41" s="251" t="e">
        <f t="shared" ca="1" si="134"/>
        <v>#N/A</v>
      </c>
      <c r="CS41" s="251" t="e">
        <f t="shared" ca="1" si="134"/>
        <v>#N/A</v>
      </c>
      <c r="CT41" s="251" t="e">
        <f t="shared" ca="1" si="134"/>
        <v>#N/A</v>
      </c>
      <c r="CU41" s="251" t="e">
        <f t="shared" ca="1" si="134"/>
        <v>#N/A</v>
      </c>
      <c r="CV41" s="251" t="e">
        <f t="shared" ca="1" si="134"/>
        <v>#N/A</v>
      </c>
      <c r="CW41" s="251" t="e">
        <f t="shared" ca="1" si="134"/>
        <v>#N/A</v>
      </c>
      <c r="CX41" s="251">
        <f t="shared" ca="1" si="134"/>
        <v>3469.4178598745757</v>
      </c>
      <c r="CY41" s="251" t="e">
        <f t="shared" ca="1" si="134"/>
        <v>#N/A</v>
      </c>
      <c r="CZ41" s="251" t="e">
        <f t="shared" ca="1" si="134"/>
        <v>#N/A</v>
      </c>
      <c r="DA41" s="251" t="e">
        <f t="shared" ca="1" si="134"/>
        <v>#N/A</v>
      </c>
      <c r="DC41" s="253"/>
    </row>
    <row r="42" spans="1:107" s="252" customFormat="1" x14ac:dyDescent="0.3">
      <c r="A42" s="250" t="s">
        <v>2701</v>
      </c>
      <c r="B42" s="251" t="e">
        <f t="shared" ref="B42:Q43" si="135">IF(AND(ISNA(C39),B39&lt;&gt;""),B39,NA())</f>
        <v>#N/A</v>
      </c>
      <c r="C42" s="251" t="e">
        <f t="shared" si="135"/>
        <v>#N/A</v>
      </c>
      <c r="D42" s="251" t="e">
        <f t="shared" si="135"/>
        <v>#N/A</v>
      </c>
      <c r="E42" s="251" t="e">
        <f t="shared" si="135"/>
        <v>#N/A</v>
      </c>
      <c r="F42" s="251" t="e">
        <f t="shared" si="135"/>
        <v>#N/A</v>
      </c>
      <c r="G42" s="251" t="e">
        <f t="shared" si="135"/>
        <v>#N/A</v>
      </c>
      <c r="H42" s="251" t="e">
        <f t="shared" si="135"/>
        <v>#N/A</v>
      </c>
      <c r="I42" s="251" t="e">
        <f t="shared" si="135"/>
        <v>#N/A</v>
      </c>
      <c r="J42" s="251" t="e">
        <f t="shared" si="135"/>
        <v>#N/A</v>
      </c>
      <c r="K42" s="251" t="e">
        <f t="shared" si="135"/>
        <v>#N/A</v>
      </c>
      <c r="L42" s="251" t="e">
        <f t="shared" si="135"/>
        <v>#N/A</v>
      </c>
      <c r="M42" s="251" t="e">
        <f t="shared" si="135"/>
        <v>#N/A</v>
      </c>
      <c r="N42" s="251" t="e">
        <f t="shared" si="135"/>
        <v>#N/A</v>
      </c>
      <c r="O42" s="251" t="e">
        <f t="shared" si="135"/>
        <v>#N/A</v>
      </c>
      <c r="P42" s="251" t="e">
        <f t="shared" si="135"/>
        <v>#N/A</v>
      </c>
      <c r="Q42" s="251" t="e">
        <f t="shared" si="135"/>
        <v>#N/A</v>
      </c>
      <c r="R42" s="251" t="e">
        <f t="shared" si="133"/>
        <v>#N/A</v>
      </c>
      <c r="S42" s="251" t="e">
        <f t="shared" si="133"/>
        <v>#N/A</v>
      </c>
      <c r="T42" s="251" t="e">
        <f t="shared" si="133"/>
        <v>#N/A</v>
      </c>
      <c r="U42" s="251" t="e">
        <f t="shared" si="133"/>
        <v>#N/A</v>
      </c>
      <c r="V42" s="251" t="e">
        <f t="shared" si="133"/>
        <v>#N/A</v>
      </c>
      <c r="W42" s="251" t="e">
        <f t="shared" si="133"/>
        <v>#N/A</v>
      </c>
      <c r="X42" s="251" t="e">
        <f t="shared" si="133"/>
        <v>#N/A</v>
      </c>
      <c r="Y42" s="251" t="e">
        <f t="shared" si="133"/>
        <v>#N/A</v>
      </c>
      <c r="Z42" s="251" t="e">
        <f t="shared" si="133"/>
        <v>#N/A</v>
      </c>
      <c r="AA42" s="251" t="e">
        <f t="shared" si="133"/>
        <v>#N/A</v>
      </c>
      <c r="AB42" s="251" t="e">
        <f t="shared" si="133"/>
        <v>#N/A</v>
      </c>
      <c r="AC42" s="251" t="e">
        <f t="shared" si="133"/>
        <v>#N/A</v>
      </c>
      <c r="AD42" s="251" t="e">
        <f t="shared" si="133"/>
        <v>#N/A</v>
      </c>
      <c r="AE42" s="251" t="e">
        <f t="shared" si="133"/>
        <v>#N/A</v>
      </c>
      <c r="AF42" s="251" t="e">
        <f t="shared" si="133"/>
        <v>#N/A</v>
      </c>
      <c r="AG42" s="251" t="e">
        <f t="shared" si="133"/>
        <v>#N/A</v>
      </c>
      <c r="AH42" s="251" t="e">
        <f t="shared" si="133"/>
        <v>#N/A</v>
      </c>
      <c r="AI42" s="251" t="e">
        <f t="shared" si="133"/>
        <v>#N/A</v>
      </c>
      <c r="AJ42" s="251" t="e">
        <f t="shared" si="133"/>
        <v>#N/A</v>
      </c>
      <c r="AK42" s="251" t="e">
        <f t="shared" si="133"/>
        <v>#N/A</v>
      </c>
      <c r="AL42" s="251" t="e">
        <f t="shared" si="133"/>
        <v>#N/A</v>
      </c>
      <c r="AM42" s="251" t="e">
        <f t="shared" si="133"/>
        <v>#N/A</v>
      </c>
      <c r="AN42" s="251" t="e">
        <f t="shared" si="133"/>
        <v>#N/A</v>
      </c>
      <c r="AO42" s="251" t="e">
        <f t="shared" si="133"/>
        <v>#N/A</v>
      </c>
      <c r="AP42" s="251" t="e">
        <f t="shared" si="133"/>
        <v>#N/A</v>
      </c>
      <c r="AQ42" s="251" t="e">
        <f t="shared" si="133"/>
        <v>#N/A</v>
      </c>
      <c r="AR42" s="251" t="e">
        <f t="shared" si="133"/>
        <v>#N/A</v>
      </c>
      <c r="AS42" s="251" t="e">
        <f t="shared" ca="1" si="133"/>
        <v>#N/A</v>
      </c>
      <c r="AT42" s="251" t="e">
        <f t="shared" ca="1" si="133"/>
        <v>#N/A</v>
      </c>
      <c r="AU42" s="251" t="e">
        <f t="shared" ca="1" si="133"/>
        <v>#N/A</v>
      </c>
      <c r="AV42" s="251" t="e">
        <f t="shared" ca="1" si="133"/>
        <v>#N/A</v>
      </c>
      <c r="AW42" s="251" t="e">
        <f t="shared" ca="1" si="133"/>
        <v>#N/A</v>
      </c>
      <c r="AX42" s="251" t="e">
        <f t="shared" ca="1" si="133"/>
        <v>#N/A</v>
      </c>
      <c r="AY42" s="251" t="e">
        <f t="shared" ca="1" si="133"/>
        <v>#N/A</v>
      </c>
      <c r="AZ42" s="251" t="e">
        <f t="shared" ca="1" si="133"/>
        <v>#N/A</v>
      </c>
      <c r="BA42" s="251" t="e">
        <f t="shared" ca="1" si="133"/>
        <v>#N/A</v>
      </c>
      <c r="BB42" s="251" t="e">
        <f t="shared" ca="1" si="133"/>
        <v>#N/A</v>
      </c>
      <c r="BC42" s="251" t="e">
        <f t="shared" ca="1" si="133"/>
        <v>#N/A</v>
      </c>
      <c r="BD42" s="251" t="e">
        <f t="shared" ca="1" si="133"/>
        <v>#N/A</v>
      </c>
      <c r="BE42" s="251" t="e">
        <f t="shared" ca="1" si="133"/>
        <v>#N/A</v>
      </c>
      <c r="BF42" s="251" t="e">
        <f t="shared" ca="1" si="133"/>
        <v>#N/A</v>
      </c>
      <c r="BG42" s="251" t="e">
        <f t="shared" ca="1" si="133"/>
        <v>#N/A</v>
      </c>
      <c r="BH42" s="251" t="e">
        <f t="shared" ca="1" si="133"/>
        <v>#N/A</v>
      </c>
      <c r="BI42" s="251" t="e">
        <f t="shared" ca="1" si="133"/>
        <v>#N/A</v>
      </c>
      <c r="BJ42" s="251" t="e">
        <f t="shared" ca="1" si="133"/>
        <v>#N/A</v>
      </c>
      <c r="BK42" s="251" t="e">
        <f t="shared" ca="1" si="133"/>
        <v>#N/A</v>
      </c>
      <c r="BL42" s="251" t="e">
        <f t="shared" ca="1" si="133"/>
        <v>#N/A</v>
      </c>
      <c r="BM42" s="251" t="e">
        <f t="shared" ca="1" si="133"/>
        <v>#N/A</v>
      </c>
      <c r="BN42" s="251" t="e">
        <f t="shared" ca="1" si="133"/>
        <v>#N/A</v>
      </c>
      <c r="BO42" s="251" t="e">
        <f t="shared" ca="1" si="134"/>
        <v>#N/A</v>
      </c>
      <c r="BP42" s="251" t="e">
        <f t="shared" ca="1" si="134"/>
        <v>#N/A</v>
      </c>
      <c r="BQ42" s="251" t="e">
        <f t="shared" ca="1" si="134"/>
        <v>#N/A</v>
      </c>
      <c r="BR42" s="251" t="e">
        <f t="shared" ca="1" si="134"/>
        <v>#N/A</v>
      </c>
      <c r="BS42" s="251" t="e">
        <f t="shared" ca="1" si="134"/>
        <v>#N/A</v>
      </c>
      <c r="BT42" s="251" t="e">
        <f t="shared" ca="1" si="134"/>
        <v>#N/A</v>
      </c>
      <c r="BU42" s="251" t="e">
        <f t="shared" ca="1" si="134"/>
        <v>#N/A</v>
      </c>
      <c r="BV42" s="251" t="e">
        <f t="shared" ca="1" si="134"/>
        <v>#N/A</v>
      </c>
      <c r="BW42" s="251" t="e">
        <f t="shared" ca="1" si="134"/>
        <v>#N/A</v>
      </c>
      <c r="BX42" s="251" t="e">
        <f t="shared" ca="1" si="134"/>
        <v>#N/A</v>
      </c>
      <c r="BY42" s="251" t="e">
        <f t="shared" ca="1" si="134"/>
        <v>#N/A</v>
      </c>
      <c r="BZ42" s="251" t="e">
        <f t="shared" ca="1" si="134"/>
        <v>#N/A</v>
      </c>
      <c r="CA42" s="251" t="e">
        <f t="shared" ca="1" si="134"/>
        <v>#N/A</v>
      </c>
      <c r="CB42" s="251" t="e">
        <f t="shared" ca="1" si="134"/>
        <v>#N/A</v>
      </c>
      <c r="CC42" s="251" t="e">
        <f t="shared" ca="1" si="134"/>
        <v>#N/A</v>
      </c>
      <c r="CD42" s="251" t="e">
        <f t="shared" ca="1" si="134"/>
        <v>#N/A</v>
      </c>
      <c r="CE42" s="251" t="e">
        <f t="shared" ca="1" si="134"/>
        <v>#N/A</v>
      </c>
      <c r="CF42" s="251" t="e">
        <f t="shared" ca="1" si="134"/>
        <v>#N/A</v>
      </c>
      <c r="CG42" s="251" t="e">
        <f t="shared" ca="1" si="134"/>
        <v>#N/A</v>
      </c>
      <c r="CH42" s="251" t="e">
        <f t="shared" ca="1" si="134"/>
        <v>#N/A</v>
      </c>
      <c r="CI42" s="251" t="e">
        <f t="shared" ca="1" si="134"/>
        <v>#N/A</v>
      </c>
      <c r="CJ42" s="251" t="e">
        <f t="shared" ca="1" si="134"/>
        <v>#N/A</v>
      </c>
      <c r="CK42" s="251" t="e">
        <f t="shared" ca="1" si="134"/>
        <v>#N/A</v>
      </c>
      <c r="CL42" s="251" t="e">
        <f t="shared" ca="1" si="134"/>
        <v>#N/A</v>
      </c>
      <c r="CM42" s="251" t="e">
        <f t="shared" ca="1" si="134"/>
        <v>#N/A</v>
      </c>
      <c r="CN42" s="251" t="e">
        <f t="shared" ca="1" si="134"/>
        <v>#N/A</v>
      </c>
      <c r="CO42" s="251" t="e">
        <f t="shared" ca="1" si="134"/>
        <v>#N/A</v>
      </c>
      <c r="CP42" s="251" t="e">
        <f t="shared" ca="1" si="134"/>
        <v>#N/A</v>
      </c>
      <c r="CQ42" s="251" t="e">
        <f t="shared" ca="1" si="134"/>
        <v>#N/A</v>
      </c>
      <c r="CR42" s="251" t="e">
        <f t="shared" ca="1" si="134"/>
        <v>#N/A</v>
      </c>
      <c r="CS42" s="251" t="e">
        <f t="shared" ca="1" si="134"/>
        <v>#N/A</v>
      </c>
      <c r="CT42" s="251" t="e">
        <f t="shared" ca="1" si="134"/>
        <v>#N/A</v>
      </c>
      <c r="CU42" s="251" t="e">
        <f t="shared" ca="1" si="134"/>
        <v>#N/A</v>
      </c>
      <c r="CV42" s="251" t="e">
        <f t="shared" ca="1" si="134"/>
        <v>#N/A</v>
      </c>
      <c r="CW42" s="251" t="e">
        <f t="shared" ca="1" si="134"/>
        <v>#N/A</v>
      </c>
      <c r="CX42" s="251">
        <f t="shared" ca="1" si="134"/>
        <v>1138.1416810484702</v>
      </c>
      <c r="CY42" s="251" t="e">
        <f t="shared" ca="1" si="134"/>
        <v>#N/A</v>
      </c>
      <c r="CZ42" s="251" t="e">
        <f t="shared" ca="1" si="134"/>
        <v>#N/A</v>
      </c>
      <c r="DA42" s="251" t="e">
        <f t="shared" ca="1" si="134"/>
        <v>#N/A</v>
      </c>
      <c r="DC42" s="253"/>
    </row>
    <row r="43" spans="1:107" s="252" customFormat="1" x14ac:dyDescent="0.3">
      <c r="A43" s="250" t="s">
        <v>2702</v>
      </c>
      <c r="B43" s="251" t="e">
        <f t="shared" si="135"/>
        <v>#N/A</v>
      </c>
      <c r="C43" s="251" t="e">
        <f t="shared" ref="C43:BN43" si="136">IF(AND(ISNA(D40),C40&lt;&gt;""),C40,NA())</f>
        <v>#N/A</v>
      </c>
      <c r="D43" s="251" t="e">
        <f t="shared" si="136"/>
        <v>#N/A</v>
      </c>
      <c r="E43" s="251" t="e">
        <f t="shared" si="136"/>
        <v>#N/A</v>
      </c>
      <c r="F43" s="251" t="e">
        <f t="shared" si="136"/>
        <v>#N/A</v>
      </c>
      <c r="G43" s="251" t="e">
        <f t="shared" si="136"/>
        <v>#N/A</v>
      </c>
      <c r="H43" s="251" t="e">
        <f t="shared" si="136"/>
        <v>#N/A</v>
      </c>
      <c r="I43" s="251" t="e">
        <f t="shared" si="136"/>
        <v>#N/A</v>
      </c>
      <c r="J43" s="251" t="e">
        <f t="shared" si="136"/>
        <v>#N/A</v>
      </c>
      <c r="K43" s="251" t="e">
        <f t="shared" si="136"/>
        <v>#N/A</v>
      </c>
      <c r="L43" s="251" t="e">
        <f t="shared" si="136"/>
        <v>#N/A</v>
      </c>
      <c r="M43" s="251" t="e">
        <f t="shared" si="136"/>
        <v>#N/A</v>
      </c>
      <c r="N43" s="251" t="e">
        <f t="shared" si="136"/>
        <v>#N/A</v>
      </c>
      <c r="O43" s="251" t="e">
        <f t="shared" si="136"/>
        <v>#N/A</v>
      </c>
      <c r="P43" s="251" t="e">
        <f t="shared" si="136"/>
        <v>#N/A</v>
      </c>
      <c r="Q43" s="251" t="e">
        <f t="shared" si="136"/>
        <v>#N/A</v>
      </c>
      <c r="R43" s="251" t="e">
        <f t="shared" si="136"/>
        <v>#N/A</v>
      </c>
      <c r="S43" s="251" t="e">
        <f t="shared" si="136"/>
        <v>#N/A</v>
      </c>
      <c r="T43" s="251" t="e">
        <f t="shared" si="136"/>
        <v>#N/A</v>
      </c>
      <c r="U43" s="251" t="e">
        <f t="shared" si="136"/>
        <v>#N/A</v>
      </c>
      <c r="V43" s="251" t="e">
        <f t="shared" si="136"/>
        <v>#N/A</v>
      </c>
      <c r="W43" s="251" t="e">
        <f t="shared" si="136"/>
        <v>#N/A</v>
      </c>
      <c r="X43" s="251" t="e">
        <f t="shared" si="136"/>
        <v>#N/A</v>
      </c>
      <c r="Y43" s="251" t="e">
        <f t="shared" si="136"/>
        <v>#N/A</v>
      </c>
      <c r="Z43" s="251" t="e">
        <f t="shared" si="136"/>
        <v>#N/A</v>
      </c>
      <c r="AA43" s="251" t="e">
        <f t="shared" si="136"/>
        <v>#N/A</v>
      </c>
      <c r="AB43" s="251" t="e">
        <f t="shared" si="136"/>
        <v>#N/A</v>
      </c>
      <c r="AC43" s="251" t="e">
        <f t="shared" si="136"/>
        <v>#N/A</v>
      </c>
      <c r="AD43" s="251" t="e">
        <f t="shared" si="136"/>
        <v>#N/A</v>
      </c>
      <c r="AE43" s="251" t="e">
        <f t="shared" si="136"/>
        <v>#N/A</v>
      </c>
      <c r="AF43" s="251" t="e">
        <f t="shared" si="136"/>
        <v>#N/A</v>
      </c>
      <c r="AG43" s="251" t="e">
        <f t="shared" si="136"/>
        <v>#N/A</v>
      </c>
      <c r="AH43" s="251" t="e">
        <f t="shared" si="136"/>
        <v>#N/A</v>
      </c>
      <c r="AI43" s="251" t="e">
        <f t="shared" si="136"/>
        <v>#N/A</v>
      </c>
      <c r="AJ43" s="251" t="e">
        <f t="shared" si="136"/>
        <v>#N/A</v>
      </c>
      <c r="AK43" s="251" t="e">
        <f t="shared" si="136"/>
        <v>#N/A</v>
      </c>
      <c r="AL43" s="251" t="e">
        <f t="shared" si="136"/>
        <v>#N/A</v>
      </c>
      <c r="AM43" s="251" t="e">
        <f t="shared" si="136"/>
        <v>#N/A</v>
      </c>
      <c r="AN43" s="251" t="e">
        <f t="shared" si="136"/>
        <v>#N/A</v>
      </c>
      <c r="AO43" s="251" t="e">
        <f t="shared" si="136"/>
        <v>#N/A</v>
      </c>
      <c r="AP43" s="251" t="e">
        <f t="shared" si="136"/>
        <v>#N/A</v>
      </c>
      <c r="AQ43" s="251" t="e">
        <f t="shared" si="136"/>
        <v>#N/A</v>
      </c>
      <c r="AR43" s="251" t="e">
        <f t="shared" si="136"/>
        <v>#N/A</v>
      </c>
      <c r="AS43" s="251" t="e">
        <f t="shared" ca="1" si="136"/>
        <v>#N/A</v>
      </c>
      <c r="AT43" s="251" t="e">
        <f t="shared" ca="1" si="136"/>
        <v>#N/A</v>
      </c>
      <c r="AU43" s="251" t="e">
        <f t="shared" ca="1" si="136"/>
        <v>#N/A</v>
      </c>
      <c r="AV43" s="251" t="e">
        <f t="shared" ca="1" si="136"/>
        <v>#N/A</v>
      </c>
      <c r="AW43" s="251" t="e">
        <f t="shared" ca="1" si="136"/>
        <v>#N/A</v>
      </c>
      <c r="AX43" s="251" t="e">
        <f t="shared" ca="1" si="136"/>
        <v>#N/A</v>
      </c>
      <c r="AY43" s="251" t="e">
        <f t="shared" ca="1" si="136"/>
        <v>#N/A</v>
      </c>
      <c r="AZ43" s="251" t="e">
        <f t="shared" ca="1" si="136"/>
        <v>#N/A</v>
      </c>
      <c r="BA43" s="251" t="e">
        <f t="shared" ca="1" si="136"/>
        <v>#N/A</v>
      </c>
      <c r="BB43" s="251" t="e">
        <f t="shared" ca="1" si="136"/>
        <v>#N/A</v>
      </c>
      <c r="BC43" s="251" t="e">
        <f t="shared" ca="1" si="136"/>
        <v>#N/A</v>
      </c>
      <c r="BD43" s="251" t="e">
        <f t="shared" ca="1" si="136"/>
        <v>#N/A</v>
      </c>
      <c r="BE43" s="251" t="e">
        <f t="shared" ca="1" si="136"/>
        <v>#N/A</v>
      </c>
      <c r="BF43" s="251" t="e">
        <f t="shared" ca="1" si="136"/>
        <v>#N/A</v>
      </c>
      <c r="BG43" s="251" t="e">
        <f t="shared" ca="1" si="136"/>
        <v>#N/A</v>
      </c>
      <c r="BH43" s="251" t="e">
        <f t="shared" ca="1" si="136"/>
        <v>#N/A</v>
      </c>
      <c r="BI43" s="251" t="e">
        <f t="shared" ca="1" si="136"/>
        <v>#N/A</v>
      </c>
      <c r="BJ43" s="251" t="e">
        <f t="shared" ca="1" si="136"/>
        <v>#N/A</v>
      </c>
      <c r="BK43" s="251" t="e">
        <f t="shared" ca="1" si="136"/>
        <v>#N/A</v>
      </c>
      <c r="BL43" s="251" t="e">
        <f t="shared" ca="1" si="136"/>
        <v>#N/A</v>
      </c>
      <c r="BM43" s="251" t="e">
        <f t="shared" ca="1" si="136"/>
        <v>#N/A</v>
      </c>
      <c r="BN43" s="251" t="e">
        <f t="shared" ca="1" si="136"/>
        <v>#N/A</v>
      </c>
      <c r="BO43" s="251" t="e">
        <f t="shared" ca="1" si="134"/>
        <v>#N/A</v>
      </c>
      <c r="BP43" s="251" t="e">
        <f t="shared" ca="1" si="134"/>
        <v>#N/A</v>
      </c>
      <c r="BQ43" s="251" t="e">
        <f t="shared" ca="1" si="134"/>
        <v>#N/A</v>
      </c>
      <c r="BR43" s="251" t="e">
        <f t="shared" ca="1" si="134"/>
        <v>#N/A</v>
      </c>
      <c r="BS43" s="251" t="e">
        <f t="shared" ca="1" si="134"/>
        <v>#N/A</v>
      </c>
      <c r="BT43" s="251" t="e">
        <f t="shared" ca="1" si="134"/>
        <v>#N/A</v>
      </c>
      <c r="BU43" s="251" t="e">
        <f t="shared" ca="1" si="134"/>
        <v>#N/A</v>
      </c>
      <c r="BV43" s="251" t="e">
        <f t="shared" ca="1" si="134"/>
        <v>#N/A</v>
      </c>
      <c r="BW43" s="251" t="e">
        <f t="shared" ca="1" si="134"/>
        <v>#N/A</v>
      </c>
      <c r="BX43" s="251" t="e">
        <f t="shared" ca="1" si="134"/>
        <v>#N/A</v>
      </c>
      <c r="BY43" s="251" t="e">
        <f t="shared" ca="1" si="134"/>
        <v>#N/A</v>
      </c>
      <c r="BZ43" s="251" t="e">
        <f t="shared" ca="1" si="134"/>
        <v>#N/A</v>
      </c>
      <c r="CA43" s="251" t="e">
        <f t="shared" ca="1" si="134"/>
        <v>#N/A</v>
      </c>
      <c r="CB43" s="251" t="e">
        <f t="shared" ca="1" si="134"/>
        <v>#N/A</v>
      </c>
      <c r="CC43" s="251" t="e">
        <f t="shared" ca="1" si="134"/>
        <v>#N/A</v>
      </c>
      <c r="CD43" s="251" t="e">
        <f t="shared" ca="1" si="134"/>
        <v>#N/A</v>
      </c>
      <c r="CE43" s="251" t="e">
        <f t="shared" ca="1" si="134"/>
        <v>#N/A</v>
      </c>
      <c r="CF43" s="251" t="e">
        <f t="shared" ca="1" si="134"/>
        <v>#N/A</v>
      </c>
      <c r="CG43" s="251" t="e">
        <f t="shared" ca="1" si="134"/>
        <v>#N/A</v>
      </c>
      <c r="CH43" s="251" t="e">
        <f t="shared" ca="1" si="134"/>
        <v>#N/A</v>
      </c>
      <c r="CI43" s="251" t="e">
        <f t="shared" ca="1" si="134"/>
        <v>#N/A</v>
      </c>
      <c r="CJ43" s="251" t="e">
        <f t="shared" ca="1" si="134"/>
        <v>#N/A</v>
      </c>
      <c r="CK43" s="251" t="e">
        <f t="shared" ca="1" si="134"/>
        <v>#N/A</v>
      </c>
      <c r="CL43" s="251" t="e">
        <f t="shared" ca="1" si="134"/>
        <v>#N/A</v>
      </c>
      <c r="CM43" s="251" t="e">
        <f t="shared" ca="1" si="134"/>
        <v>#N/A</v>
      </c>
      <c r="CN43" s="251" t="e">
        <f t="shared" ca="1" si="134"/>
        <v>#N/A</v>
      </c>
      <c r="CO43" s="251" t="e">
        <f t="shared" ca="1" si="134"/>
        <v>#N/A</v>
      </c>
      <c r="CP43" s="251" t="e">
        <f t="shared" ca="1" si="134"/>
        <v>#N/A</v>
      </c>
      <c r="CQ43" s="251" t="e">
        <f t="shared" ca="1" si="134"/>
        <v>#N/A</v>
      </c>
      <c r="CR43" s="251" t="e">
        <f t="shared" ca="1" si="134"/>
        <v>#N/A</v>
      </c>
      <c r="CS43" s="251" t="e">
        <f t="shared" ca="1" si="134"/>
        <v>#N/A</v>
      </c>
      <c r="CT43" s="251" t="e">
        <f t="shared" ca="1" si="134"/>
        <v>#N/A</v>
      </c>
      <c r="CU43" s="251" t="e">
        <f t="shared" ca="1" si="134"/>
        <v>#N/A</v>
      </c>
      <c r="CV43" s="251" t="e">
        <f t="shared" ca="1" si="134"/>
        <v>#N/A</v>
      </c>
      <c r="CW43" s="251" t="e">
        <f t="shared" ca="1" si="134"/>
        <v>#N/A</v>
      </c>
      <c r="CX43" s="251">
        <f t="shared" ca="1" si="134"/>
        <v>1800.9383581954962</v>
      </c>
      <c r="CY43" s="251" t="e">
        <f t="shared" ca="1" si="134"/>
        <v>#N/A</v>
      </c>
      <c r="CZ43" s="251" t="e">
        <f t="shared" ca="1" si="134"/>
        <v>#N/A</v>
      </c>
      <c r="DA43" s="251" t="e">
        <f t="shared" ca="1" si="134"/>
        <v>#N/A</v>
      </c>
      <c r="DC43" s="253"/>
    </row>
    <row r="44" spans="1:107" s="247" customFormat="1" x14ac:dyDescent="0.3">
      <c r="A44" s="192"/>
      <c r="B44" s="106">
        <v>39172</v>
      </c>
      <c r="C44" s="106">
        <v>39202</v>
      </c>
      <c r="D44" s="107" t="s">
        <v>70</v>
      </c>
      <c r="E44" s="107" t="s">
        <v>75</v>
      </c>
      <c r="F44" s="107" t="s">
        <v>77</v>
      </c>
      <c r="G44" s="107" t="s">
        <v>84</v>
      </c>
      <c r="H44" s="107" t="s">
        <v>86</v>
      </c>
      <c r="I44" s="107" t="s">
        <v>88</v>
      </c>
      <c r="J44" s="107" t="s">
        <v>92</v>
      </c>
      <c r="K44" s="107">
        <v>39458</v>
      </c>
      <c r="L44" s="107" t="s">
        <v>96</v>
      </c>
      <c r="M44" s="107" t="s">
        <v>98</v>
      </c>
      <c r="N44" s="107" t="s">
        <v>115</v>
      </c>
      <c r="O44" s="20" t="s">
        <v>119</v>
      </c>
      <c r="P44" s="20" t="s">
        <v>187</v>
      </c>
      <c r="Q44" s="20" t="s">
        <v>189</v>
      </c>
      <c r="R44" s="20" t="s">
        <v>191</v>
      </c>
      <c r="S44" s="20" t="s">
        <v>192</v>
      </c>
      <c r="T44" s="108" t="s">
        <v>193</v>
      </c>
      <c r="U44" s="108" t="s">
        <v>194</v>
      </c>
      <c r="V44" s="108" t="s">
        <v>195</v>
      </c>
      <c r="W44" s="108" t="s">
        <v>196</v>
      </c>
      <c r="X44" s="109" t="s">
        <v>197</v>
      </c>
      <c r="Y44" s="109" t="s">
        <v>198</v>
      </c>
      <c r="Z44" s="109" t="s">
        <v>200</v>
      </c>
      <c r="AA44" s="109" t="s">
        <v>205</v>
      </c>
      <c r="AB44" s="109" t="s">
        <v>208</v>
      </c>
      <c r="AC44" s="109" t="s">
        <v>213</v>
      </c>
      <c r="AD44" s="109" t="s">
        <v>215</v>
      </c>
      <c r="AE44" s="109" t="s">
        <v>216</v>
      </c>
      <c r="AF44" s="109" t="s">
        <v>217</v>
      </c>
      <c r="AG44" s="109" t="s">
        <v>218</v>
      </c>
      <c r="AH44" s="109" t="s">
        <v>226</v>
      </c>
      <c r="AI44" s="109" t="s">
        <v>227</v>
      </c>
      <c r="AJ44" s="109" t="s">
        <v>228</v>
      </c>
      <c r="AK44" s="109" t="s">
        <v>229</v>
      </c>
      <c r="AL44" s="109" t="s">
        <v>230</v>
      </c>
      <c r="AM44" s="109" t="s">
        <v>231</v>
      </c>
      <c r="AN44" s="109" t="s">
        <v>232</v>
      </c>
      <c r="AO44" s="109" t="s">
        <v>233</v>
      </c>
      <c r="AP44" s="109" t="s">
        <v>234</v>
      </c>
      <c r="AQ44" s="109" t="s">
        <v>235</v>
      </c>
      <c r="AR44" s="109" t="s">
        <v>236</v>
      </c>
      <c r="AS44" s="109" t="s">
        <v>237</v>
      </c>
      <c r="AT44" s="155">
        <v>40542</v>
      </c>
      <c r="AU44" s="155">
        <v>40573</v>
      </c>
      <c r="AV44" s="155">
        <v>40601</v>
      </c>
      <c r="AW44" s="155">
        <f t="shared" ref="AW44" si="137">EOMONTH(AV44,1)</f>
        <v>40632</v>
      </c>
      <c r="AX44" s="155">
        <f t="shared" ref="AX44" si="138">EOMONTH(AW44,1)</f>
        <v>40662</v>
      </c>
      <c r="AY44" s="155">
        <f t="shared" ref="AY44" si="139">EOMONTH(AX44,1)</f>
        <v>40693</v>
      </c>
      <c r="AZ44" s="155">
        <f t="shared" ref="AZ44" si="140">EOMONTH(AY44,1)</f>
        <v>40723</v>
      </c>
      <c r="BA44" s="155">
        <f t="shared" ref="BA44" si="141">EOMONTH(AZ44,1)</f>
        <v>40754</v>
      </c>
      <c r="BB44" s="155">
        <f t="shared" ref="BB44" si="142">EOMONTH(BA44,1)</f>
        <v>40785</v>
      </c>
      <c r="BC44" s="155">
        <f t="shared" ref="BC44" si="143">EOMONTH(BB44,1)</f>
        <v>40815</v>
      </c>
      <c r="BD44" s="155">
        <f t="shared" ref="BD44" si="144">EOMONTH(BC44,1)</f>
        <v>40846</v>
      </c>
      <c r="BE44" s="155">
        <f t="shared" ref="BE44" si="145">EOMONTH(BD44,1)</f>
        <v>40876</v>
      </c>
      <c r="BF44" s="155">
        <f t="shared" ref="BF44" si="146">EOMONTH(BE44,1)</f>
        <v>40907</v>
      </c>
      <c r="BG44" s="155">
        <f t="shared" ref="BG44" si="147">EOMONTH(BF44,1)</f>
        <v>40938</v>
      </c>
      <c r="BH44" s="155">
        <f t="shared" ref="BH44" si="148">EOMONTH(BG44,1)</f>
        <v>40967</v>
      </c>
      <c r="BI44" s="155">
        <f t="shared" ref="BI44" si="149">EOMONTH(BH44,1)</f>
        <v>40998</v>
      </c>
      <c r="BJ44" s="155">
        <f t="shared" ref="BJ44" si="150">EOMONTH(BI44,1)</f>
        <v>41028</v>
      </c>
      <c r="BK44" s="155">
        <f t="shared" ref="BK44" si="151">EOMONTH(BJ44,1)</f>
        <v>41059</v>
      </c>
      <c r="BL44" s="155">
        <f t="shared" ref="BL44" si="152">EOMONTH(BK44,1)</f>
        <v>41089</v>
      </c>
      <c r="BM44" s="155">
        <f t="shared" ref="BM44" si="153">EOMONTH(BL44,1)</f>
        <v>41120</v>
      </c>
      <c r="BN44" s="155">
        <f t="shared" ref="BN44" si="154">EOMONTH(BM44,1)</f>
        <v>41151</v>
      </c>
      <c r="BO44" s="155">
        <f t="shared" ref="BO44" si="155">EOMONTH(BN44,1)</f>
        <v>41181</v>
      </c>
      <c r="BP44" s="155">
        <f t="shared" ref="BP44" si="156">EOMONTH(BO44,1)</f>
        <v>41212</v>
      </c>
      <c r="BQ44" s="155">
        <f t="shared" ref="BQ44" si="157">EOMONTH(BP44,1)</f>
        <v>41242</v>
      </c>
      <c r="BR44" s="155">
        <f t="shared" ref="BR44" si="158">EOMONTH(BQ44,1)</f>
        <v>41273</v>
      </c>
      <c r="BS44" s="155">
        <f t="shared" ref="BS44" si="159">EOMONTH(BR44,1)</f>
        <v>41304</v>
      </c>
      <c r="BT44" s="155">
        <f t="shared" ref="BT44" si="160">EOMONTH(BS44,1)</f>
        <v>41332</v>
      </c>
      <c r="BU44" s="155">
        <f t="shared" ref="BU44" si="161">EOMONTH(BT44,1)</f>
        <v>41363</v>
      </c>
      <c r="BV44" s="155">
        <f t="shared" ref="BV44" si="162">EOMONTH(BU44,1)</f>
        <v>41393</v>
      </c>
      <c r="BW44" s="155">
        <f t="shared" ref="BW44" si="163">EOMONTH(BV44,1)</f>
        <v>41424</v>
      </c>
      <c r="BX44" s="155">
        <f t="shared" ref="BX44" si="164">EOMONTH(BW44,1)</f>
        <v>41454</v>
      </c>
      <c r="BY44" s="155">
        <f t="shared" ref="BY44" si="165">EOMONTH(BX44,1)</f>
        <v>41485</v>
      </c>
      <c r="BZ44" s="155">
        <f t="shared" ref="BZ44" si="166">EOMONTH(BY44,1)</f>
        <v>41516</v>
      </c>
      <c r="CA44" s="155">
        <f t="shared" ref="CA44" si="167">EOMONTH(BZ44,1)</f>
        <v>41546</v>
      </c>
      <c r="CB44" s="155">
        <f t="shared" ref="CB44" si="168">EOMONTH(CA44,1)</f>
        <v>41577</v>
      </c>
      <c r="CC44" s="155">
        <f t="shared" ref="CC44" si="169">EOMONTH(CB44,1)</f>
        <v>41607</v>
      </c>
      <c r="CD44" s="155">
        <f t="shared" ref="CD44" si="170">EOMONTH(CC44,1)</f>
        <v>41638</v>
      </c>
      <c r="CE44" s="155">
        <f t="shared" ref="CE44" si="171">EOMONTH(CD44,1)</f>
        <v>41669</v>
      </c>
      <c r="CF44" s="155">
        <f t="shared" ref="CF44" si="172">EOMONTH(CE44,1)</f>
        <v>41697</v>
      </c>
      <c r="CG44" s="155">
        <f t="shared" ref="CG44" si="173">EOMONTH(CF44,1)</f>
        <v>41728</v>
      </c>
      <c r="CH44" s="155">
        <f t="shared" ref="CH44" si="174">EOMONTH(CG44,1)</f>
        <v>41758</v>
      </c>
      <c r="CI44" s="155">
        <f t="shared" ref="CI44" si="175">EOMONTH(CH44,1)</f>
        <v>41789</v>
      </c>
      <c r="CJ44" s="155">
        <f t="shared" ref="CJ44" si="176">EOMONTH(CI44,1)</f>
        <v>41819</v>
      </c>
      <c r="CK44" s="155">
        <f t="shared" ref="CK44" si="177">EOMONTH(CJ44,1)</f>
        <v>41850</v>
      </c>
      <c r="CL44" s="155">
        <f t="shared" ref="CL44" si="178">EOMONTH(CK44,1)</f>
        <v>41881</v>
      </c>
      <c r="CM44" s="155">
        <f t="shared" ref="CM44" si="179">EOMONTH(CL44,1)</f>
        <v>41911</v>
      </c>
      <c r="CN44" s="155">
        <f t="shared" ref="CN44" si="180">EOMONTH(CM44,1)</f>
        <v>41942</v>
      </c>
      <c r="CO44" s="155">
        <f t="shared" ref="CO44" si="181">EOMONTH(CN44,1)</f>
        <v>41972</v>
      </c>
      <c r="CP44" s="155">
        <f t="shared" ref="CP44" si="182">EOMONTH(CO44,1)</f>
        <v>42003</v>
      </c>
      <c r="CQ44" s="155">
        <f t="shared" ref="CQ44" si="183">EOMONTH(CP44,1)</f>
        <v>42034</v>
      </c>
      <c r="CR44" s="155">
        <f t="shared" ref="CR44" si="184">EOMONTH(CQ44,1)</f>
        <v>42062</v>
      </c>
      <c r="CS44" s="155">
        <f t="shared" ref="CS44" si="185">EOMONTH(CR44,1)</f>
        <v>42093</v>
      </c>
      <c r="CT44" s="155">
        <f t="shared" ref="CT44" si="186">EOMONTH(CS44,1)</f>
        <v>42123</v>
      </c>
      <c r="CU44" s="155">
        <f t="shared" ref="CU44" si="187">EOMONTH(CT44,1)</f>
        <v>42154</v>
      </c>
      <c r="CV44" s="155">
        <f t="shared" ref="CV44" si="188">EOMONTH(CU44,1)</f>
        <v>42184</v>
      </c>
      <c r="CW44" s="155">
        <f t="shared" ref="CW44" si="189">EOMONTH(CV44,1)</f>
        <v>42215</v>
      </c>
      <c r="CX44" s="155">
        <f t="shared" ref="CX44" si="190">EOMONTH(CW44,1)</f>
        <v>42246</v>
      </c>
      <c r="CY44" s="155">
        <f t="shared" ref="CY44" si="191">EOMONTH(CX44,1)</f>
        <v>42276</v>
      </c>
      <c r="CZ44" s="155">
        <f t="shared" ref="CZ44" si="192">EOMONTH(CY44,1)</f>
        <v>42307</v>
      </c>
      <c r="DA44" s="155">
        <f t="shared" ref="DA44" si="193">EOMONTH(CZ44,1)</f>
        <v>42337</v>
      </c>
      <c r="DB44" s="109"/>
      <c r="DC44" s="180"/>
    </row>
    <row r="45" spans="1:107" s="247" customFormat="1" x14ac:dyDescent="0.3">
      <c r="A45" s="189" t="s">
        <v>165</v>
      </c>
      <c r="B45" s="190">
        <v>1026.3987721275282</v>
      </c>
      <c r="C45" s="190">
        <v>1049.7545112536357</v>
      </c>
      <c r="D45" s="190">
        <v>1082.872187626333</v>
      </c>
      <c r="E45" s="190">
        <v>1114.5274499904863</v>
      </c>
      <c r="F45" s="190">
        <v>1137.601736687262</v>
      </c>
      <c r="G45" s="190">
        <v>1156.3701790176733</v>
      </c>
      <c r="H45" s="190">
        <v>1187.4147683937433</v>
      </c>
      <c r="I45" s="190">
        <v>1211.5103036167807</v>
      </c>
      <c r="J45" s="190">
        <v>1240.9860033324157</v>
      </c>
      <c r="K45" s="190">
        <v>1271.3591886743361</v>
      </c>
      <c r="L45" s="190">
        <v>1308.6104719557054</v>
      </c>
      <c r="M45" s="190">
        <v>1340.518896129533</v>
      </c>
      <c r="N45" s="190">
        <v>1385.4310523878414</v>
      </c>
      <c r="O45" s="247">
        <v>1424.1818767560319</v>
      </c>
      <c r="P45" s="247">
        <v>1463.7723167718364</v>
      </c>
      <c r="Q45" s="247">
        <v>1510.059354371956</v>
      </c>
      <c r="R45" s="247">
        <v>1527.5840255955222</v>
      </c>
      <c r="S45" s="247">
        <v>1567.9583759813572</v>
      </c>
      <c r="T45" s="247">
        <v>1640.6407645915931</v>
      </c>
      <c r="U45" s="247">
        <v>1686.5601531186312</v>
      </c>
      <c r="V45" s="247">
        <v>1743.2337924715609</v>
      </c>
      <c r="W45" s="247">
        <v>1805.5712521587359</v>
      </c>
      <c r="X45" s="247">
        <v>1866.503099708365</v>
      </c>
      <c r="Y45" s="247">
        <v>1925.387576928623</v>
      </c>
      <c r="Z45" s="247">
        <v>1970.6686475726426</v>
      </c>
      <c r="AA45" s="247">
        <v>2014.380443041551</v>
      </c>
      <c r="AB45" s="247">
        <v>2063.2682764101646</v>
      </c>
      <c r="AC45" s="247">
        <v>2133.7109547913151</v>
      </c>
      <c r="AD45" s="247">
        <v>2192.8919255305345</v>
      </c>
      <c r="AE45" s="247">
        <v>2234.0384912586323</v>
      </c>
      <c r="AF45" s="247">
        <v>2289.425072875536</v>
      </c>
      <c r="AG45" s="247">
        <v>2335.6745272384746</v>
      </c>
      <c r="AH45" s="247">
        <v>2422.5947771309116</v>
      </c>
      <c r="AI45" s="247">
        <v>2474.8835746550299</v>
      </c>
      <c r="AJ45" s="247">
        <v>2539.011290950707</v>
      </c>
      <c r="AK45" s="247">
        <v>2620.8064265139769</v>
      </c>
      <c r="AL45" s="247">
        <v>2793.8918584512176</v>
      </c>
      <c r="AM45" s="247">
        <v>2864.6195675801305</v>
      </c>
      <c r="AN45" s="247">
        <v>2910.3961725929739</v>
      </c>
      <c r="AO45" s="247">
        <v>2977.6856061966564</v>
      </c>
      <c r="AP45" s="247">
        <v>3074.9517611405863</v>
      </c>
      <c r="AQ45" s="247">
        <v>3242.2430970753799</v>
      </c>
      <c r="AR45" s="247">
        <v>3403.4676738347562</v>
      </c>
      <c r="AS45" s="247">
        <v>3457.6331338420046</v>
      </c>
      <c r="AT45" s="247">
        <f ca="1">OFFSET(Calcs!$A$1,Graphs!AT$14+18,15)</f>
        <v>3475.8791767506868</v>
      </c>
      <c r="AU45" s="247">
        <f ca="1">OFFSET(Calcs!$A$1,Graphs!AU$14+18,15)</f>
        <v>3475.8791767506868</v>
      </c>
      <c r="AV45" s="247">
        <f ca="1">OFFSET(Calcs!$A$1,Graphs!AV$14+18,15)</f>
        <v>3475.8791767506868</v>
      </c>
      <c r="AW45" s="247">
        <f ca="1">OFFSET(Calcs!$A$1,Graphs!AW$14+18,15)</f>
        <v>3493.3020936289072</v>
      </c>
      <c r="AX45" s="247">
        <f ca="1">OFFSET(Calcs!$A$1,Graphs!AX$14+18,15)</f>
        <v>3530.2679102165675</v>
      </c>
      <c r="AY45" s="247">
        <f ca="1">OFFSET(Calcs!$A$1,Graphs!AY$14+18,15)</f>
        <v>3530.2679102165675</v>
      </c>
      <c r="AZ45" s="247">
        <f ca="1">OFFSET(Calcs!$A$1,Graphs!AZ$14+18,15)</f>
        <v>3564.8781040586482</v>
      </c>
      <c r="BA45" s="247">
        <f ca="1">OFFSET(Calcs!$A$1,Graphs!BA$14+18,15)</f>
        <v>3584.1998894275148</v>
      </c>
      <c r="BB45" s="247">
        <f ca="1">OFFSET(Calcs!$A$1,Graphs!BB$14+18,15)</f>
        <v>3605.345550335559</v>
      </c>
      <c r="BC45" s="247">
        <f ca="1">OFFSET(Calcs!$A$1,Graphs!BC$14+18,15)</f>
        <v>3605.345550335559</v>
      </c>
      <c r="BD45" s="247">
        <f ca="1">OFFSET(Calcs!$A$1,Graphs!BD$14+18,15)</f>
        <v>3624.3710764875927</v>
      </c>
      <c r="BE45" s="247">
        <f ca="1">OFFSET(Calcs!$A$1,Graphs!BE$14+18,15)</f>
        <v>3624.3710764875927</v>
      </c>
      <c r="BF45" s="247">
        <f ca="1">OFFSET(Calcs!$A$1,Graphs!BF$14+18,15)</f>
        <v>3648.6142711903094</v>
      </c>
      <c r="BG45" s="247">
        <f ca="1">OFFSET(Calcs!$A$1,Graphs!BG$14+18,15)</f>
        <v>3670.1399568504257</v>
      </c>
      <c r="BH45" s="247">
        <f ca="1">OFFSET(Calcs!$A$1,Graphs!BH$14+18,15)</f>
        <v>3710.0323918264025</v>
      </c>
      <c r="BI45" s="247">
        <f ca="1">OFFSET(Calcs!$A$1,Graphs!BI$14+18,15)</f>
        <v>3710.0323918264025</v>
      </c>
      <c r="BJ45" s="247">
        <f ca="1">OFFSET(Calcs!$A$1,Graphs!BJ$14+18,15)</f>
        <v>3710.0323918264025</v>
      </c>
      <c r="BK45" s="247">
        <f ca="1">OFFSET(Calcs!$A$1,Graphs!BK$14+18,15)</f>
        <v>3710.0323918264025</v>
      </c>
      <c r="BL45" s="247">
        <f ca="1">OFFSET(Calcs!$A$1,Graphs!BL$14+18,15)</f>
        <v>3735.7072543604504</v>
      </c>
      <c r="BM45" s="247">
        <f ca="1">OFFSET(Calcs!$A$1,Graphs!BM$14+18,15)</f>
        <v>3761.5597968973993</v>
      </c>
      <c r="BN45" s="247">
        <f ca="1">OFFSET(Calcs!$A$1,Graphs!BN$14+18,15)</f>
        <v>3761.5597968973993</v>
      </c>
      <c r="BO45" s="247">
        <f ca="1">OFFSET(Calcs!$A$1,Graphs!BO$14+18,15)</f>
        <v>3807.431912282043</v>
      </c>
      <c r="BP45" s="247">
        <f ca="1">OFFSET(Calcs!$A$1,Graphs!BP$14+18,15)</f>
        <v>3807.431912282043</v>
      </c>
      <c r="BQ45" s="247">
        <f ca="1">OFFSET(Calcs!$A$1,Graphs!BQ$14+18,15)</f>
        <v>3829.8945724659989</v>
      </c>
      <c r="BR45" s="247">
        <f ca="1">OFFSET(Calcs!$A$1,Graphs!BR$14+18,15)</f>
        <v>3804.4468619353711</v>
      </c>
      <c r="BS45" s="247">
        <f ca="1">OFFSET(Calcs!$A$1,Graphs!BS$14+18,15)</f>
        <v>3829.0710277809744</v>
      </c>
      <c r="BT45" s="247">
        <f ca="1">OFFSET(Calcs!$A$1,Graphs!BT$14+18,15)</f>
        <v>3829.0710277809744</v>
      </c>
      <c r="BU45" s="247">
        <f ca="1">OFFSET(Calcs!$A$1,Graphs!BU$14+18,15)</f>
        <v>3829.0710277809744</v>
      </c>
      <c r="BV45" s="247">
        <f ca="1">OFFSET(Calcs!$A$1,Graphs!BV$14+18,15)</f>
        <v>3853.8545727861765</v>
      </c>
      <c r="BW45" s="247">
        <f ca="1">OFFSET(Calcs!$A$1,Graphs!BW$14+18,15)</f>
        <v>3878.7985285277082</v>
      </c>
      <c r="BX45" s="247">
        <f ca="1">OFFSET(Calcs!$A$1,Graphs!BX$14+18,15)</f>
        <v>3878.7985285277082</v>
      </c>
      <c r="BY45" s="247">
        <f ca="1">OFFSET(Calcs!$A$1,Graphs!BY$14+18,15)</f>
        <v>3938.9337445339261</v>
      </c>
      <c r="BZ45" s="247">
        <f ca="1">OFFSET(Calcs!$A$1,Graphs!BZ$14+18,15)</f>
        <v>3962.1722244933881</v>
      </c>
      <c r="CA45" s="247">
        <f ca="1">OFFSET(Calcs!$A$1,Graphs!CA$14+18,15)</f>
        <v>3918.3917638623025</v>
      </c>
      <c r="CB45" s="247">
        <f ca="1">OFFSET(Calcs!$A$1,Graphs!CB$14+18,15)</f>
        <v>3946.4804738580469</v>
      </c>
      <c r="CC45" s="247">
        <f ca="1">OFFSET(Calcs!$A$1,Graphs!CC$14+18,15)</f>
        <v>4001.2918276427936</v>
      </c>
      <c r="CD45" s="247">
        <f ca="1">OFFSET(Calcs!$A$1,Graphs!CD$14+18,15)</f>
        <v>4063.3261268180454</v>
      </c>
      <c r="CE45" s="247">
        <f ca="1">OFFSET(Calcs!$A$1,Graphs!CE$14+18,15)</f>
        <v>4063.3261268180454</v>
      </c>
      <c r="CF45" s="247">
        <f ca="1">OFFSET(Calcs!$A$1,Graphs!CF$14+18,15)</f>
        <v>4063.3261268180454</v>
      </c>
      <c r="CG45" s="247">
        <f ca="1">OFFSET(Calcs!$A$1,Graphs!CG$14+18,15)</f>
        <v>4093.5365913414671</v>
      </c>
      <c r="CH45" s="247">
        <f ca="1">OFFSET(Calcs!$A$1,Graphs!CH$14+18,15)</f>
        <v>4130.9202285144638</v>
      </c>
      <c r="CI45" s="247">
        <f ca="1">OFFSET(Calcs!$A$1,Graphs!CI$14+18,15)</f>
        <v>4159.507798056954</v>
      </c>
      <c r="CJ45" s="247">
        <f ca="1">OFFSET(Calcs!$A$1,Graphs!CJ$14+18,15)</f>
        <v>4159.507798056954</v>
      </c>
      <c r="CK45" s="247">
        <f ca="1">OFFSET(Calcs!$A$1,Graphs!CK$14+18,15)</f>
        <v>4159.507798056954</v>
      </c>
      <c r="CL45" s="247">
        <f ca="1">OFFSET(Calcs!$A$1,Graphs!CL$14+18,15)</f>
        <v>4159.507798056954</v>
      </c>
      <c r="CM45" s="247">
        <f ca="1">OFFSET(Calcs!$A$1,Graphs!CM$14+18,15)</f>
        <v>4159.507798056954</v>
      </c>
      <c r="CN45" s="247">
        <f ca="1">OFFSET(Calcs!$A$1,Graphs!CN$14+18,15)</f>
        <v>4205.982264718763</v>
      </c>
      <c r="CO45" s="247">
        <f ca="1">OFFSET(Calcs!$A$1,Graphs!CO$14+18,15)</f>
        <v>4205.982264718763</v>
      </c>
      <c r="CP45" s="247">
        <f ca="1">OFFSET(Calcs!$A$1,Graphs!CP$14+18,15)</f>
        <v>4242.7155018057902</v>
      </c>
      <c r="CQ45" s="247">
        <f ca="1">OFFSET(Calcs!$A$1,Graphs!CQ$14+18,15)</f>
        <v>4242.7155018057902</v>
      </c>
      <c r="CR45" s="247">
        <f ca="1">OFFSET(Calcs!$A$1,Graphs!CR$14+18,15)</f>
        <v>4242.7155018057902</v>
      </c>
      <c r="CS45" s="247">
        <f ca="1">OFFSET(Calcs!$A$1,Graphs!CS$14+18,15)</f>
        <v>4212.5183663799135</v>
      </c>
      <c r="CT45" s="247">
        <f ca="1">OFFSET(Calcs!$A$1,Graphs!CT$14+18,15)</f>
        <v>4235.9863747451882</v>
      </c>
      <c r="CU45" s="247">
        <f ca="1">OFFSET(Calcs!$A$1,Graphs!CU$14+18,15)</f>
        <v>4235.9863747451882</v>
      </c>
      <c r="CV45" s="247">
        <f ca="1">OFFSET(Calcs!$A$1,Graphs!CV$14+18,15)</f>
        <v>4235.9863747451882</v>
      </c>
      <c r="CW45" s="247">
        <f ca="1">OFFSET(Calcs!$A$1,Graphs!CW$14+18,15)</f>
        <v>4205.837133259186</v>
      </c>
      <c r="CX45" s="247">
        <f ca="1">OFFSET(Calcs!$A$1,Graphs!CX$14+18,15)</f>
        <v>4205.837133259186</v>
      </c>
      <c r="CY45" s="247" t="e">
        <f ca="1">OFFSET(Calcs!$A$1,Graphs!CY$14+18,15)</f>
        <v>#N/A</v>
      </c>
      <c r="CZ45" s="247" t="e">
        <f ca="1">OFFSET(Calcs!$A$1,Graphs!CZ$14+18,15)</f>
        <v>#N/A</v>
      </c>
      <c r="DA45" s="247" t="e">
        <f ca="1">OFFSET(Calcs!$A$1,Graphs!DA$14+18,15)</f>
        <v>#N/A</v>
      </c>
      <c r="DC45" s="193" t="str">
        <f t="shared" si="7"/>
        <v>Target: Web facing applications</v>
      </c>
    </row>
    <row r="46" spans="1:107" s="247" customFormat="1" x14ac:dyDescent="0.3">
      <c r="A46" s="189" t="s">
        <v>166</v>
      </c>
      <c r="B46" s="190">
        <v>1000</v>
      </c>
      <c r="C46" s="190">
        <v>1000</v>
      </c>
      <c r="D46" s="190">
        <v>1000</v>
      </c>
      <c r="E46" s="190">
        <v>1000</v>
      </c>
      <c r="F46" s="190">
        <v>1000</v>
      </c>
      <c r="G46" s="190">
        <v>1000</v>
      </c>
      <c r="H46" s="190">
        <v>1000</v>
      </c>
      <c r="I46" s="190">
        <v>1000</v>
      </c>
      <c r="J46" s="190">
        <v>1000</v>
      </c>
      <c r="K46" s="190">
        <v>1000</v>
      </c>
      <c r="L46" s="190">
        <v>1000</v>
      </c>
      <c r="M46" s="190">
        <v>1000</v>
      </c>
      <c r="N46" s="190">
        <v>1000</v>
      </c>
      <c r="O46" s="247">
        <v>1019.585887002794</v>
      </c>
      <c r="P46" s="247">
        <v>1044.9753806134643</v>
      </c>
      <c r="Q46" s="247">
        <v>1063.3732388317592</v>
      </c>
      <c r="R46" s="247">
        <v>1081.4179310772863</v>
      </c>
      <c r="S46" s="247">
        <v>1113.0204289863555</v>
      </c>
      <c r="T46" s="247">
        <v>1155.5511623707937</v>
      </c>
      <c r="U46" s="247">
        <v>1182.3383068912306</v>
      </c>
      <c r="V46" s="247">
        <v>1207.6550865383706</v>
      </c>
      <c r="W46" s="247">
        <v>1225.7408040530904</v>
      </c>
      <c r="X46" s="247">
        <v>1256.7705802394048</v>
      </c>
      <c r="Y46" s="247">
        <v>1284.6869836565891</v>
      </c>
      <c r="Z46" s="247">
        <v>1306.85091209241</v>
      </c>
      <c r="AA46" s="247">
        <v>1335.1570571998082</v>
      </c>
      <c r="AB46" s="247">
        <v>1361.9900332356194</v>
      </c>
      <c r="AC46" s="247">
        <v>1390.4969144576612</v>
      </c>
      <c r="AD46" s="247">
        <v>1420.9977829086176</v>
      </c>
      <c r="AE46" s="247">
        <v>1450.44747082395</v>
      </c>
      <c r="AF46" s="247">
        <v>1467.5682851719596</v>
      </c>
      <c r="AG46" s="247">
        <v>1477.3847589617887</v>
      </c>
      <c r="AH46" s="247">
        <v>1496.4475253206817</v>
      </c>
      <c r="AI46" s="247">
        <v>1539.9343968828368</v>
      </c>
      <c r="AJ46" s="247">
        <v>1567.9406522873571</v>
      </c>
      <c r="AK46" s="247">
        <v>1603.716980037444</v>
      </c>
      <c r="AL46" s="247">
        <v>1676.1677625321802</v>
      </c>
      <c r="AM46" s="247">
        <v>1710.8060598537065</v>
      </c>
      <c r="AN46" s="247">
        <v>1720.2204382031405</v>
      </c>
      <c r="AO46" s="247">
        <v>1733.789693914425</v>
      </c>
      <c r="AP46" s="247">
        <v>1788.2937771864717</v>
      </c>
      <c r="AQ46" s="247">
        <v>1861.0538634972497</v>
      </c>
      <c r="AR46" s="247">
        <v>1947.8596528708129</v>
      </c>
      <c r="AS46" s="247">
        <v>2011.6755825295436</v>
      </c>
      <c r="AT46" s="247">
        <f ca="1">OFFSET(Calcs!$A$1,Graphs!AT$14+19,15)</f>
        <v>2022.2912602421172</v>
      </c>
      <c r="AU46" s="247">
        <f ca="1">OFFSET(Calcs!$A$1,Graphs!AU$14+19,15)</f>
        <v>2040.7595458050025</v>
      </c>
      <c r="AV46" s="247">
        <f ca="1">OFFSET(Calcs!$A$1,Graphs!AV$14+19,15)</f>
        <v>2051.5287005411169</v>
      </c>
      <c r="AW46" s="247">
        <f ca="1">OFFSET(Calcs!$A$1,Graphs!AW$14+19,15)</f>
        <v>2061.8120309462388</v>
      </c>
      <c r="AX46" s="247">
        <f ca="1">OFFSET(Calcs!$A$1,Graphs!AX$14+19,15)</f>
        <v>2072.6922803336224</v>
      </c>
      <c r="AY46" s="247">
        <f ca="1">OFFSET(Calcs!$A$1,Graphs!AY$14+19,15)</f>
        <v>2072.6922803336224</v>
      </c>
      <c r="AZ46" s="247">
        <f ca="1">OFFSET(Calcs!$A$1,Graphs!AZ$14+19,15)</f>
        <v>2093.0126309194029</v>
      </c>
      <c r="BA46" s="247">
        <f ca="1">OFFSET(Calcs!$A$1,Graphs!BA$14+19,15)</f>
        <v>2093.0126309194029</v>
      </c>
      <c r="BB46" s="247">
        <f ca="1">OFFSET(Calcs!$A$1,Graphs!BB$14+19,15)</f>
        <v>2093.0126309194029</v>
      </c>
      <c r="BC46" s="247">
        <f ca="1">OFFSET(Calcs!$A$1,Graphs!BC$14+19,15)</f>
        <v>2093.0126309194029</v>
      </c>
      <c r="BD46" s="247">
        <f ca="1">OFFSET(Calcs!$A$1,Graphs!BD$14+19,15)</f>
        <v>2093.0126309194029</v>
      </c>
      <c r="BE46" s="247">
        <f ca="1">OFFSET(Calcs!$A$1,Graphs!BE$14+19,15)</f>
        <v>2108.5739917011865</v>
      </c>
      <c r="BF46" s="247">
        <f ca="1">OFFSET(Calcs!$A$1,Graphs!BF$14+19,15)</f>
        <v>2122.6781131465646</v>
      </c>
      <c r="BG46" s="247">
        <f ca="1">OFFSET(Calcs!$A$1,Graphs!BG$14+19,15)</f>
        <v>2122.6781131465646</v>
      </c>
      <c r="BH46" s="247">
        <f ca="1">OFFSET(Calcs!$A$1,Graphs!BH$14+19,15)</f>
        <v>2122.6781131465646</v>
      </c>
      <c r="BI46" s="247">
        <f ca="1">OFFSET(Calcs!$A$1,Graphs!BI$14+19,15)</f>
        <v>2122.6781131465646</v>
      </c>
      <c r="BJ46" s="247">
        <f ca="1">OFFSET(Calcs!$A$1,Graphs!BJ$14+19,15)</f>
        <v>2122.6781131465646</v>
      </c>
      <c r="BK46" s="247">
        <f ca="1">OFFSET(Calcs!$A$1,Graphs!BK$14+19,15)</f>
        <v>2122.6781131465646</v>
      </c>
      <c r="BL46" s="247">
        <f ca="1">OFFSET(Calcs!$A$1,Graphs!BL$14+19,15)</f>
        <v>2122.6781131465646</v>
      </c>
      <c r="BM46" s="247">
        <f ca="1">OFFSET(Calcs!$A$1,Graphs!BM$14+19,15)</f>
        <v>2122.6781131465646</v>
      </c>
      <c r="BN46" s="247">
        <f ca="1">OFFSET(Calcs!$A$1,Graphs!BN$14+19,15)</f>
        <v>2109.8523026603502</v>
      </c>
      <c r="BO46" s="247">
        <f ca="1">OFFSET(Calcs!$A$1,Graphs!BO$14+19,15)</f>
        <v>2109.8523026603502</v>
      </c>
      <c r="BP46" s="247">
        <f ca="1">OFFSET(Calcs!$A$1,Graphs!BP$14+19,15)</f>
        <v>2136.3909776072592</v>
      </c>
      <c r="BQ46" s="247">
        <f ca="1">OFFSET(Calcs!$A$1,Graphs!BQ$14+19,15)</f>
        <v>2136.3909776072592</v>
      </c>
      <c r="BR46" s="247">
        <f ca="1">OFFSET(Calcs!$A$1,Graphs!BR$14+19,15)</f>
        <v>2122.1957411197468</v>
      </c>
      <c r="BS46" s="247">
        <f ca="1">OFFSET(Calcs!$A$1,Graphs!BS$14+19,15)</f>
        <v>2149.7563399009096</v>
      </c>
      <c r="BT46" s="247">
        <f ca="1">OFFSET(Calcs!$A$1,Graphs!BT$14+19,15)</f>
        <v>2149.7563399009096</v>
      </c>
      <c r="BU46" s="247">
        <f ca="1">OFFSET(Calcs!$A$1,Graphs!BU$14+19,15)</f>
        <v>2135.4722973472381</v>
      </c>
      <c r="BV46" s="247">
        <f ca="1">OFFSET(Calcs!$A$1,Graphs!BV$14+19,15)</f>
        <v>2135.4722973472381</v>
      </c>
      <c r="BW46" s="247">
        <f ca="1">OFFSET(Calcs!$A$1,Graphs!BW$14+19,15)</f>
        <v>2149.2940764170658</v>
      </c>
      <c r="BX46" s="247">
        <f ca="1">OFFSET(Calcs!$A$1,Graphs!BX$14+19,15)</f>
        <v>2149.2940764170658</v>
      </c>
      <c r="BY46" s="247">
        <f ca="1">OFFSET(Calcs!$A$1,Graphs!BY$14+19,15)</f>
        <v>2165.8908597179452</v>
      </c>
      <c r="BZ46" s="247">
        <f ca="1">OFFSET(Calcs!$A$1,Graphs!BZ$14+19,15)</f>
        <v>2165.8908597179452</v>
      </c>
      <c r="CA46" s="247">
        <f ca="1">OFFSET(Calcs!$A$1,Graphs!CA$14+19,15)</f>
        <v>2165.8908597179452</v>
      </c>
      <c r="CB46" s="247">
        <f ca="1">OFFSET(Calcs!$A$1,Graphs!CB$14+19,15)</f>
        <v>2165.8908597179452</v>
      </c>
      <c r="CC46" s="247">
        <f ca="1">OFFSET(Calcs!$A$1,Graphs!CC$14+19,15)</f>
        <v>2180.8796641848608</v>
      </c>
      <c r="CD46" s="247">
        <f ca="1">OFFSET(Calcs!$A$1,Graphs!CD$14+19,15)</f>
        <v>2197.7203504310678</v>
      </c>
      <c r="CE46" s="247">
        <f ca="1">OFFSET(Calcs!$A$1,Graphs!CE$14+19,15)</f>
        <v>2213.4745509539262</v>
      </c>
      <c r="CF46" s="247">
        <f ca="1">OFFSET(Calcs!$A$1,Graphs!CF$14+19,15)</f>
        <v>2195.8373972259265</v>
      </c>
      <c r="CG46" s="247">
        <f ca="1">OFFSET(Calcs!$A$1,Graphs!CG$14+19,15)</f>
        <v>2212.1632509028609</v>
      </c>
      <c r="CH46" s="247">
        <f ca="1">OFFSET(Calcs!$A$1,Graphs!CH$14+19,15)</f>
        <v>2232.3655152515203</v>
      </c>
      <c r="CI46" s="247">
        <f ca="1">OFFSET(Calcs!$A$1,Graphs!CI$14+19,15)</f>
        <v>2263.3700968892199</v>
      </c>
      <c r="CJ46" s="247">
        <f ca="1">OFFSET(Calcs!$A$1,Graphs!CJ$14+19,15)</f>
        <v>2263.3700968892199</v>
      </c>
      <c r="CK46" s="247">
        <f ca="1">OFFSET(Calcs!$A$1,Graphs!CK$14+19,15)</f>
        <v>2263.3700968892199</v>
      </c>
      <c r="CL46" s="247">
        <f ca="1">OFFSET(Calcs!$A$1,Graphs!CL$14+19,15)</f>
        <v>2263.3700968892199</v>
      </c>
      <c r="CM46" s="247">
        <f ca="1">OFFSET(Calcs!$A$1,Graphs!CM$14+19,15)</f>
        <v>2243.7739419386153</v>
      </c>
      <c r="CN46" s="247">
        <f ca="1">OFFSET(Calcs!$A$1,Graphs!CN$14+19,15)</f>
        <v>2243.7739419386153</v>
      </c>
      <c r="CO46" s="247">
        <f ca="1">OFFSET(Calcs!$A$1,Graphs!CO$14+19,15)</f>
        <v>2243.7739419386153</v>
      </c>
      <c r="CP46" s="247">
        <f ca="1">OFFSET(Calcs!$A$1,Graphs!CP$14+19,15)</f>
        <v>2243.7739419386153</v>
      </c>
      <c r="CQ46" s="247">
        <f ca="1">OFFSET(Calcs!$A$1,Graphs!CQ$14+19,15)</f>
        <v>2225.8953600828645</v>
      </c>
      <c r="CR46" s="247">
        <f ca="1">OFFSET(Calcs!$A$1,Graphs!CR$14+19,15)</f>
        <v>2204.7969845817674</v>
      </c>
      <c r="CS46" s="247">
        <f ca="1">OFFSET(Calcs!$A$1,Graphs!CS$14+19,15)</f>
        <v>2189.1045458354874</v>
      </c>
      <c r="CT46" s="247">
        <f ca="1">OFFSET(Calcs!$A$1,Graphs!CT$14+19,15)</f>
        <v>2189.1045458354874</v>
      </c>
      <c r="CU46" s="247">
        <f ca="1">OFFSET(Calcs!$A$1,Graphs!CU$14+19,15)</f>
        <v>2172.3298807561337</v>
      </c>
      <c r="CV46" s="247">
        <f ca="1">OFFSET(Calcs!$A$1,Graphs!CV$14+19,15)</f>
        <v>2172.3298807561337</v>
      </c>
      <c r="CW46" s="247">
        <f ca="1">OFFSET(Calcs!$A$1,Graphs!CW$14+19,15)</f>
        <v>2156.8685236203673</v>
      </c>
      <c r="CX46" s="247">
        <f ca="1">OFFSET(Calcs!$A$1,Graphs!CX$14+19,15)</f>
        <v>2156.8685236203673</v>
      </c>
      <c r="CY46" s="247" t="e">
        <f ca="1">OFFSET(Calcs!$A$1,Graphs!CY$14+19,15)</f>
        <v>#N/A</v>
      </c>
      <c r="CZ46" s="247" t="e">
        <f ca="1">OFFSET(Calcs!$A$1,Graphs!CZ$14+19,15)</f>
        <v>#N/A</v>
      </c>
      <c r="DA46" s="247" t="e">
        <f ca="1">OFFSET(Calcs!$A$1,Graphs!DA$14+19,15)</f>
        <v>#N/A</v>
      </c>
      <c r="DC46" s="193" t="str">
        <f t="shared" si="7"/>
        <v>Target: Internet exposed devices/appliances</v>
      </c>
    </row>
    <row r="47" spans="1:107" s="247" customFormat="1" x14ac:dyDescent="0.3">
      <c r="A47" s="189" t="s">
        <v>167</v>
      </c>
      <c r="B47" s="190">
        <v>1000</v>
      </c>
      <c r="C47" s="190">
        <v>1000</v>
      </c>
      <c r="D47" s="190">
        <v>1000</v>
      </c>
      <c r="E47" s="190">
        <v>1000</v>
      </c>
      <c r="F47" s="190">
        <v>1000</v>
      </c>
      <c r="G47" s="190">
        <v>1000</v>
      </c>
      <c r="H47" s="190">
        <v>1000</v>
      </c>
      <c r="I47" s="190">
        <v>1000</v>
      </c>
      <c r="J47" s="190">
        <v>1000</v>
      </c>
      <c r="K47" s="190">
        <v>1000</v>
      </c>
      <c r="L47" s="190">
        <v>1000</v>
      </c>
      <c r="M47" s="190">
        <v>1000</v>
      </c>
      <c r="N47" s="190">
        <v>1000</v>
      </c>
      <c r="O47" s="247">
        <v>1023.5488589107315</v>
      </c>
      <c r="P47" s="247">
        <v>1060.9481175317599</v>
      </c>
      <c r="Q47" s="247">
        <v>1086.267887323994</v>
      </c>
      <c r="R47" s="247">
        <v>1116.4474345856088</v>
      </c>
      <c r="S47" s="247">
        <v>1162.2631571781924</v>
      </c>
      <c r="T47" s="247">
        <v>1184.2611783543093</v>
      </c>
      <c r="U47" s="247">
        <v>1202.2842254822369</v>
      </c>
      <c r="V47" s="247">
        <v>1237.4302224233422</v>
      </c>
      <c r="W47" s="247">
        <v>1268.3273562847967</v>
      </c>
      <c r="X47" s="247">
        <v>1316.2252167776542</v>
      </c>
      <c r="Y47" s="247">
        <v>1344.4433710074625</v>
      </c>
      <c r="Z47" s="247">
        <v>1356.2886107626834</v>
      </c>
      <c r="AA47" s="247">
        <v>1372.9983219751625</v>
      </c>
      <c r="AB47" s="247">
        <v>1382.8405618569118</v>
      </c>
      <c r="AC47" s="247">
        <v>1383.8286579648372</v>
      </c>
      <c r="AD47" s="247">
        <v>1400.243990427266</v>
      </c>
      <c r="AE47" s="247">
        <v>1426.517620566859</v>
      </c>
      <c r="AF47" s="247">
        <v>1450.7388503154323</v>
      </c>
      <c r="AG47" s="247">
        <v>1462.8788538281285</v>
      </c>
      <c r="AH47" s="247">
        <v>1496.0708070767737</v>
      </c>
      <c r="AI47" s="247">
        <v>1517.2579255764388</v>
      </c>
      <c r="AJ47" s="247">
        <v>1545.7502026047648</v>
      </c>
      <c r="AK47" s="247">
        <v>1567.5811315852297</v>
      </c>
      <c r="AL47" s="247">
        <v>1601.6676675891749</v>
      </c>
      <c r="AM47" s="247">
        <v>1622.7359138873423</v>
      </c>
      <c r="AN47" s="247">
        <v>1650.6790211527527</v>
      </c>
      <c r="AO47" s="247">
        <v>1668.4599527005234</v>
      </c>
      <c r="AP47" s="247">
        <v>1705.6134256459725</v>
      </c>
      <c r="AQ47" s="247">
        <v>1767.629020531306</v>
      </c>
      <c r="AR47" s="247">
        <v>1816.3790648266449</v>
      </c>
      <c r="AS47" s="247">
        <v>1887.02759358611</v>
      </c>
      <c r="AT47" s="247">
        <f ca="1">OFFSET(Calcs!$A$1,Graphs!AT$14+20,15)</f>
        <v>1906.9959541947098</v>
      </c>
      <c r="AU47" s="247">
        <f ca="1">OFFSET(Calcs!$A$1,Graphs!AU$14+20,15)</f>
        <v>1933.1785565012967</v>
      </c>
      <c r="AV47" s="247">
        <f ca="1">OFFSET(Calcs!$A$1,Graphs!AV$14+20,15)</f>
        <v>1943.3800028452797</v>
      </c>
      <c r="AW47" s="247">
        <f ca="1">OFFSET(Calcs!$A$1,Graphs!AW$14+20,15)</f>
        <v>1943.3800028452797</v>
      </c>
      <c r="AX47" s="247">
        <f ca="1">OFFSET(Calcs!$A$1,Graphs!AX$14+20,15)</f>
        <v>1943.3800028452797</v>
      </c>
      <c r="AY47" s="247">
        <f ca="1">OFFSET(Calcs!$A$1,Graphs!AY$14+20,15)</f>
        <v>1943.3800028452797</v>
      </c>
      <c r="AZ47" s="247">
        <f ca="1">OFFSET(Calcs!$A$1,Graphs!AZ$14+20,15)</f>
        <v>1972.0288244479723</v>
      </c>
      <c r="BA47" s="247">
        <f ca="1">OFFSET(Calcs!$A$1,Graphs!BA$14+20,15)</f>
        <v>1972.0288244479723</v>
      </c>
      <c r="BB47" s="247">
        <f ca="1">OFFSET(Calcs!$A$1,Graphs!BB$14+20,15)</f>
        <v>1972.0288244479723</v>
      </c>
      <c r="BC47" s="247">
        <f ca="1">OFFSET(Calcs!$A$1,Graphs!BC$14+20,15)</f>
        <v>1972.0288244479723</v>
      </c>
      <c r="BD47" s="247">
        <f ca="1">OFFSET(Calcs!$A$1,Graphs!BD$14+20,15)</f>
        <v>1972.0288244479723</v>
      </c>
      <c r="BE47" s="247">
        <f ca="1">OFFSET(Calcs!$A$1,Graphs!BE$14+20,15)</f>
        <v>1986.690681503193</v>
      </c>
      <c r="BF47" s="247">
        <f ca="1">OFFSET(Calcs!$A$1,Graphs!BF$14+20,15)</f>
        <v>1960.377284887531</v>
      </c>
      <c r="BG47" s="247">
        <f ca="1">OFFSET(Calcs!$A$1,Graphs!BG$14+20,15)</f>
        <v>1971.9428991381037</v>
      </c>
      <c r="BH47" s="247">
        <f ca="1">OFFSET(Calcs!$A$1,Graphs!BH$14+20,15)</f>
        <v>1993.3768511958103</v>
      </c>
      <c r="BI47" s="247">
        <f ca="1">OFFSET(Calcs!$A$1,Graphs!BI$14+20,15)</f>
        <v>2005.4946064001942</v>
      </c>
      <c r="BJ47" s="247">
        <f ca="1">OFFSET(Calcs!$A$1,Graphs!BJ$14+20,15)</f>
        <v>2005.4946064001942</v>
      </c>
      <c r="BK47" s="247">
        <f ca="1">OFFSET(Calcs!$A$1,Graphs!BK$14+20,15)</f>
        <v>2005.4946064001942</v>
      </c>
      <c r="BL47" s="247">
        <f ca="1">OFFSET(Calcs!$A$1,Graphs!BL$14+20,15)</f>
        <v>2033.3482534948525</v>
      </c>
      <c r="BM47" s="247">
        <f ca="1">OFFSET(Calcs!$A$1,Graphs!BM$14+20,15)</f>
        <v>2033.3482534948525</v>
      </c>
      <c r="BN47" s="247">
        <f ca="1">OFFSET(Calcs!$A$1,Graphs!BN$14+20,15)</f>
        <v>2021.0621988216167</v>
      </c>
      <c r="BO47" s="247">
        <f ca="1">OFFSET(Calcs!$A$1,Graphs!BO$14+20,15)</f>
        <v>2021.0621988216167</v>
      </c>
      <c r="BP47" s="247">
        <f ca="1">OFFSET(Calcs!$A$1,Graphs!BP$14+20,15)</f>
        <v>2021.0621988216167</v>
      </c>
      <c r="BQ47" s="247">
        <f ca="1">OFFSET(Calcs!$A$1,Graphs!BQ$14+20,15)</f>
        <v>2021.0621988216167</v>
      </c>
      <c r="BR47" s="247">
        <f ca="1">OFFSET(Calcs!$A$1,Graphs!BR$14+20,15)</f>
        <v>2007.6332636833602</v>
      </c>
      <c r="BS47" s="247">
        <f ca="1">OFFSET(Calcs!$A$1,Graphs!BS$14+20,15)</f>
        <v>2020.627608521427</v>
      </c>
      <c r="BT47" s="247">
        <f ca="1">OFFSET(Calcs!$A$1,Graphs!BT$14+20,15)</f>
        <v>2020.627608521427</v>
      </c>
      <c r="BU47" s="247">
        <f ca="1">OFFSET(Calcs!$A$1,Graphs!BU$14+20,15)</f>
        <v>2020.627608521427</v>
      </c>
      <c r="BV47" s="247">
        <f ca="1">OFFSET(Calcs!$A$1,Graphs!BV$14+20,15)</f>
        <v>2020.627608521427</v>
      </c>
      <c r="BW47" s="247">
        <f ca="1">OFFSET(Calcs!$A$1,Graphs!BW$14+20,15)</f>
        <v>2033.706058858653</v>
      </c>
      <c r="BX47" s="247">
        <f ca="1">OFFSET(Calcs!$A$1,Graphs!BX$14+20,15)</f>
        <v>2020.1931116714682</v>
      </c>
      <c r="BY47" s="247">
        <f ca="1">OFFSET(Calcs!$A$1,Graphs!BY$14+20,15)</f>
        <v>2004.712780725934</v>
      </c>
      <c r="BZ47" s="247">
        <f ca="1">OFFSET(Calcs!$A$1,Graphs!BZ$14+20,15)</f>
        <v>1981.2661164703409</v>
      </c>
      <c r="CA47" s="247">
        <f ca="1">OFFSET(Calcs!$A$1,Graphs!CA$14+20,15)</f>
        <v>1959.3738971782013</v>
      </c>
      <c r="CB47" s="247">
        <f ca="1">OFFSET(Calcs!$A$1,Graphs!CB$14+20,15)</f>
        <v>1959.3738971782013</v>
      </c>
      <c r="CC47" s="247">
        <f ca="1">OFFSET(Calcs!$A$1,Graphs!CC$14+20,15)</f>
        <v>1959.3738971782013</v>
      </c>
      <c r="CD47" s="247">
        <f ca="1">OFFSET(Calcs!$A$1,Graphs!CD$14+20,15)</f>
        <v>1944.3596115640585</v>
      </c>
      <c r="CE47" s="247">
        <f ca="1">OFFSET(Calcs!$A$1,Graphs!CE$14+20,15)</f>
        <v>1944.3596115640585</v>
      </c>
      <c r="CF47" s="247">
        <f ca="1">OFFSET(Calcs!$A$1,Graphs!CF$14+20,15)</f>
        <v>1928.8667885917364</v>
      </c>
      <c r="CG47" s="247">
        <f ca="1">OFFSET(Calcs!$A$1,Graphs!CG$14+20,15)</f>
        <v>1928.8667885917364</v>
      </c>
      <c r="CH47" s="247">
        <f ca="1">OFFSET(Calcs!$A$1,Graphs!CH$14+20,15)</f>
        <v>1946.4818885354571</v>
      </c>
      <c r="CI47" s="247">
        <f ca="1">OFFSET(Calcs!$A$1,Graphs!CI$14+20,15)</f>
        <v>1933.1040589812733</v>
      </c>
      <c r="CJ47" s="247">
        <f ca="1">OFFSET(Calcs!$A$1,Graphs!CJ$14+20,15)</f>
        <v>1917.0617940971867</v>
      </c>
      <c r="CK47" s="247">
        <f ca="1">OFFSET(Calcs!$A$1,Graphs!CK$14+20,15)</f>
        <v>1917.0617940971867</v>
      </c>
      <c r="CL47" s="247">
        <f ca="1">OFFSET(Calcs!$A$1,Graphs!CL$14+20,15)</f>
        <v>1902.3717375653584</v>
      </c>
      <c r="CM47" s="247">
        <f ca="1">OFFSET(Calcs!$A$1,Graphs!CM$14+20,15)</f>
        <v>1885.9010899261507</v>
      </c>
      <c r="CN47" s="247">
        <f ca="1">OFFSET(Calcs!$A$1,Graphs!CN$14+20,15)</f>
        <v>1865.0626170522992</v>
      </c>
      <c r="CO47" s="247">
        <f ca="1">OFFSET(Calcs!$A$1,Graphs!CO$14+20,15)</f>
        <v>1865.0626170522992</v>
      </c>
      <c r="CP47" s="247">
        <f ca="1">OFFSET(Calcs!$A$1,Graphs!CP$14+20,15)</f>
        <v>1848.9149900749132</v>
      </c>
      <c r="CQ47" s="247">
        <f ca="1">OFFSET(Calcs!$A$1,Graphs!CQ$14+20,15)</f>
        <v>1834.1826779749613</v>
      </c>
      <c r="CR47" s="247">
        <f ca="1">OFFSET(Calcs!$A$1,Graphs!CR$14+20,15)</f>
        <v>1816.7971909608357</v>
      </c>
      <c r="CS47" s="247">
        <f ca="1">OFFSET(Calcs!$A$1,Graphs!CS$14+20,15)</f>
        <v>1803.8663048824628</v>
      </c>
      <c r="CT47" s="247">
        <f ca="1">OFFSET(Calcs!$A$1,Graphs!CT$14+20,15)</f>
        <v>1793.8726113745686</v>
      </c>
      <c r="CU47" s="247">
        <f ca="1">OFFSET(Calcs!$A$1,Graphs!CU$14+20,15)</f>
        <v>1780.1265286175435</v>
      </c>
      <c r="CV47" s="247">
        <f ca="1">OFFSET(Calcs!$A$1,Graphs!CV$14+20,15)</f>
        <v>1780.1265286175435</v>
      </c>
      <c r="CW47" s="247">
        <f ca="1">OFFSET(Calcs!$A$1,Graphs!CW$14+20,15)</f>
        <v>1767.456642588895</v>
      </c>
      <c r="CX47" s="247">
        <f ca="1">OFFSET(Calcs!$A$1,Graphs!CX$14+20,15)</f>
        <v>1755.7127879827153</v>
      </c>
      <c r="CY47" s="247" t="e">
        <f ca="1">OFFSET(Calcs!$A$1,Graphs!CY$14+20,15)</f>
        <v>#N/A</v>
      </c>
      <c r="CZ47" s="247" t="e">
        <f ca="1">OFFSET(Calcs!$A$1,Graphs!CZ$14+20,15)</f>
        <v>#N/A</v>
      </c>
      <c r="DA47" s="247" t="e">
        <f ca="1">OFFSET(Calcs!$A$1,Graphs!DA$14+20,15)</f>
        <v>#N/A</v>
      </c>
      <c r="DC47" s="193" t="str">
        <f t="shared" si="7"/>
        <v>Target: End points</v>
      </c>
    </row>
    <row r="48" spans="1:107" s="247" customFormat="1" x14ac:dyDescent="0.3">
      <c r="A48" s="189" t="s">
        <v>168</v>
      </c>
      <c r="B48" s="190">
        <v>1000</v>
      </c>
      <c r="C48" s="190">
        <v>1000</v>
      </c>
      <c r="D48" s="190">
        <v>1000</v>
      </c>
      <c r="E48" s="190">
        <v>1000</v>
      </c>
      <c r="F48" s="190">
        <v>1000</v>
      </c>
      <c r="G48" s="190">
        <v>1000</v>
      </c>
      <c r="H48" s="190">
        <v>1000</v>
      </c>
      <c r="I48" s="190">
        <v>1000</v>
      </c>
      <c r="J48" s="190">
        <v>1000</v>
      </c>
      <c r="K48" s="190">
        <v>1000</v>
      </c>
      <c r="L48" s="190">
        <v>1000</v>
      </c>
      <c r="M48" s="190">
        <v>1000</v>
      </c>
      <c r="N48" s="190">
        <v>1000</v>
      </c>
      <c r="O48" s="247">
        <v>1031.9657899548642</v>
      </c>
      <c r="P48" s="247">
        <v>1072.6960954214649</v>
      </c>
      <c r="Q48" s="247">
        <v>1109.2296448076622</v>
      </c>
      <c r="R48" s="247">
        <v>1145.5413260882067</v>
      </c>
      <c r="S48" s="247">
        <v>1193.1992781938879</v>
      </c>
      <c r="T48" s="247">
        <v>1232.3585275435562</v>
      </c>
      <c r="U48" s="247">
        <v>1260.9261644022947</v>
      </c>
      <c r="V48" s="247">
        <v>1310.4961737533265</v>
      </c>
      <c r="W48" s="247">
        <v>1337.3313446280679</v>
      </c>
      <c r="X48" s="247">
        <v>1390.8293616864905</v>
      </c>
      <c r="Y48" s="247">
        <v>1427.6597938459108</v>
      </c>
      <c r="Z48" s="247">
        <v>1459.9541293638711</v>
      </c>
      <c r="AA48" s="247">
        <v>1484.7430866679167</v>
      </c>
      <c r="AB48" s="247">
        <v>1514.5823295113407</v>
      </c>
      <c r="AC48" s="247">
        <v>1542.9730996507415</v>
      </c>
      <c r="AD48" s="247">
        <v>1576.8185681638215</v>
      </c>
      <c r="AE48" s="247">
        <v>1626.0902004337788</v>
      </c>
      <c r="AF48" s="247">
        <v>1651.1707897912756</v>
      </c>
      <c r="AG48" s="247">
        <v>1666.839053141096</v>
      </c>
      <c r="AH48" s="247">
        <v>1692.6810054289058</v>
      </c>
      <c r="AI48" s="247">
        <v>1721.1287616446923</v>
      </c>
      <c r="AJ48" s="247">
        <v>1769.836747174787</v>
      </c>
      <c r="AK48" s="247">
        <v>1795.9272375376936</v>
      </c>
      <c r="AL48" s="247">
        <v>1839.2514436480496</v>
      </c>
      <c r="AM48" s="247">
        <v>1858.158488727953</v>
      </c>
      <c r="AN48" s="247">
        <v>1885.5509960992117</v>
      </c>
      <c r="AO48" s="247">
        <v>1918.1533780270966</v>
      </c>
      <c r="AP48" s="247">
        <v>1944.5943932398343</v>
      </c>
      <c r="AQ48" s="247">
        <v>1987.896862119695</v>
      </c>
      <c r="AR48" s="247">
        <v>2014.3821453979469</v>
      </c>
      <c r="AS48" s="247">
        <v>2077.6419514264135</v>
      </c>
      <c r="AT48" s="247">
        <f ca="1">OFFSET(Calcs!$A$1,Graphs!AT$14+21,15)</f>
        <v>2077.6419514264135</v>
      </c>
      <c r="AU48" s="247">
        <f ca="1">OFFSET(Calcs!$A$1,Graphs!AU$14+21,15)</f>
        <v>2077.6419514264135</v>
      </c>
      <c r="AV48" s="247">
        <f ca="1">OFFSET(Calcs!$A$1,Graphs!AV$14+21,15)</f>
        <v>2077.6419514264135</v>
      </c>
      <c r="AW48" s="247">
        <f ca="1">OFFSET(Calcs!$A$1,Graphs!AW$14+21,15)</f>
        <v>2077.6419514264135</v>
      </c>
      <c r="AX48" s="247">
        <f ca="1">OFFSET(Calcs!$A$1,Graphs!AX$14+21,15)</f>
        <v>2077.6419514264135</v>
      </c>
      <c r="AY48" s="247">
        <f ca="1">OFFSET(Calcs!$A$1,Graphs!AY$14+21,15)</f>
        <v>2077.6419514264135</v>
      </c>
      <c r="AZ48" s="247">
        <f ca="1">OFFSET(Calcs!$A$1,Graphs!AZ$14+21,15)</f>
        <v>2087.8015495756072</v>
      </c>
      <c r="BA48" s="247">
        <f ca="1">OFFSET(Calcs!$A$1,Graphs!BA$14+21,15)</f>
        <v>2099.1175195067417</v>
      </c>
      <c r="BB48" s="247">
        <f ca="1">OFFSET(Calcs!$A$1,Graphs!BB$14+21,15)</f>
        <v>2111.5016578480645</v>
      </c>
      <c r="BC48" s="247">
        <f ca="1">OFFSET(Calcs!$A$1,Graphs!BC$14+21,15)</f>
        <v>2111.5016578480645</v>
      </c>
      <c r="BD48" s="247">
        <f ca="1">OFFSET(Calcs!$A$1,Graphs!BD$14+21,15)</f>
        <v>2111.5016578480645</v>
      </c>
      <c r="BE48" s="247">
        <f ca="1">OFFSET(Calcs!$A$1,Graphs!BE$14+21,15)</f>
        <v>2143.0160272713701</v>
      </c>
      <c r="BF48" s="247">
        <f ca="1">OFFSET(Calcs!$A$1,Graphs!BF$14+21,15)</f>
        <v>2128.7767706828045</v>
      </c>
      <c r="BG48" s="247">
        <f ca="1">OFFSET(Calcs!$A$1,Graphs!BG$14+21,15)</f>
        <v>2116.2913123229009</v>
      </c>
      <c r="BH48" s="247">
        <f ca="1">OFFSET(Calcs!$A$1,Graphs!BH$14+21,15)</f>
        <v>2127.7616979352861</v>
      </c>
      <c r="BI48" s="247">
        <f ca="1">OFFSET(Calcs!$A$1,Graphs!BI$14+21,15)</f>
        <v>2127.7616979352861</v>
      </c>
      <c r="BJ48" s="247">
        <f ca="1">OFFSET(Calcs!$A$1,Graphs!BJ$14+21,15)</f>
        <v>2127.7616979352861</v>
      </c>
      <c r="BK48" s="247">
        <f ca="1">OFFSET(Calcs!$A$1,Graphs!BK$14+21,15)</f>
        <v>2100.4830778562205</v>
      </c>
      <c r="BL48" s="247">
        <f ca="1">OFFSET(Calcs!$A$1,Graphs!BL$14+21,15)</f>
        <v>2115.0192351140022</v>
      </c>
      <c r="BM48" s="247">
        <f ca="1">OFFSET(Calcs!$A$1,Graphs!BM$14+21,15)</f>
        <v>2129.655988215688</v>
      </c>
      <c r="BN48" s="247">
        <f ca="1">OFFSET(Calcs!$A$1,Graphs!BN$14+21,15)</f>
        <v>2116.7880154710142</v>
      </c>
      <c r="BO48" s="247">
        <f ca="1">OFFSET(Calcs!$A$1,Graphs!BO$14+21,15)</f>
        <v>2116.7880154710142</v>
      </c>
      <c r="BP48" s="247">
        <f ca="1">OFFSET(Calcs!$A$1,Graphs!BP$14+21,15)</f>
        <v>2116.7880154710142</v>
      </c>
      <c r="BQ48" s="247">
        <f ca="1">OFFSET(Calcs!$A$1,Graphs!BQ$14+21,15)</f>
        <v>2116.7880154710142</v>
      </c>
      <c r="BR48" s="247">
        <f ca="1">OFFSET(Calcs!$A$1,Graphs!BR$14+21,15)</f>
        <v>2116.7880154710142</v>
      </c>
      <c r="BS48" s="247">
        <f ca="1">OFFSET(Calcs!$A$1,Graphs!BS$14+21,15)</f>
        <v>2116.7880154710142</v>
      </c>
      <c r="BT48" s="247">
        <f ca="1">OFFSET(Calcs!$A$1,Graphs!BT$14+21,15)</f>
        <v>2103.1752778710143</v>
      </c>
      <c r="BU48" s="247">
        <f ca="1">OFFSET(Calcs!$A$1,Graphs!BU$14+21,15)</f>
        <v>2075.3190616245065</v>
      </c>
      <c r="BV48" s="247">
        <f ca="1">OFFSET(Calcs!$A$1,Graphs!BV$14+21,15)</f>
        <v>2075.3190616245065</v>
      </c>
      <c r="BW48" s="247">
        <f ca="1">OFFSET(Calcs!$A$1,Graphs!BW$14+21,15)</f>
        <v>2061.9730044776902</v>
      </c>
      <c r="BX48" s="247">
        <f ca="1">OFFSET(Calcs!$A$1,Graphs!BX$14+21,15)</f>
        <v>2048.2722377471505</v>
      </c>
      <c r="BY48" s="247">
        <f ca="1">OFFSET(Calcs!$A$1,Graphs!BY$14+21,15)</f>
        <v>2048.2722377471505</v>
      </c>
      <c r="BZ48" s="247">
        <f ca="1">OFFSET(Calcs!$A$1,Graphs!BZ$14+21,15)</f>
        <v>2048.2722377471505</v>
      </c>
      <c r="CA48" s="247">
        <f ca="1">OFFSET(Calcs!$A$1,Graphs!CA$14+21,15)</f>
        <v>2025.6396268999779</v>
      </c>
      <c r="CB48" s="247">
        <f ca="1">OFFSET(Calcs!$A$1,Graphs!CB$14+21,15)</f>
        <v>2025.6396268999779</v>
      </c>
      <c r="CC48" s="247">
        <f ca="1">OFFSET(Calcs!$A$1,Graphs!CC$14+21,15)</f>
        <v>2025.6396268999779</v>
      </c>
      <c r="CD48" s="247">
        <f ca="1">OFFSET(Calcs!$A$1,Graphs!CD$14+21,15)</f>
        <v>2010.1175604105742</v>
      </c>
      <c r="CE48" s="247">
        <f ca="1">OFFSET(Calcs!$A$1,Graphs!CE$14+21,15)</f>
        <v>2010.1175604105742</v>
      </c>
      <c r="CF48" s="247">
        <f ca="1">OFFSET(Calcs!$A$1,Graphs!CF$14+21,15)</f>
        <v>1994.100772501703</v>
      </c>
      <c r="CG48" s="247">
        <f ca="1">OFFSET(Calcs!$A$1,Graphs!CG$14+21,15)</f>
        <v>1994.100772501703</v>
      </c>
      <c r="CH48" s="247">
        <f ca="1">OFFSET(Calcs!$A$1,Graphs!CH$14+21,15)</f>
        <v>2012.3116124690985</v>
      </c>
      <c r="CI48" s="247">
        <f ca="1">OFFSET(Calcs!$A$1,Graphs!CI$14+21,15)</f>
        <v>1998.4813467368181</v>
      </c>
      <c r="CJ48" s="247">
        <f ca="1">OFFSET(Calcs!$A$1,Graphs!CJ$14+21,15)</f>
        <v>1981.8965348735842</v>
      </c>
      <c r="CK48" s="247">
        <f ca="1">OFFSET(Calcs!$A$1,Graphs!CK$14+21,15)</f>
        <v>1981.8965348735842</v>
      </c>
      <c r="CL48" s="247">
        <f ca="1">OFFSET(Calcs!$A$1,Graphs!CL$14+21,15)</f>
        <v>1981.8965348735842</v>
      </c>
      <c r="CM48" s="247">
        <f ca="1">OFFSET(Calcs!$A$1,Graphs!CM$14+21,15)</f>
        <v>1999.2055653723937</v>
      </c>
      <c r="CN48" s="247">
        <f ca="1">OFFSET(Calcs!$A$1,Graphs!CN$14+21,15)</f>
        <v>1999.2055653723937</v>
      </c>
      <c r="CO48" s="247">
        <f ca="1">OFFSET(Calcs!$A$1,Graphs!CO$14+21,15)</f>
        <v>2015.9352218374052</v>
      </c>
      <c r="CP48" s="247">
        <f ca="1">OFFSET(Calcs!$A$1,Graphs!CP$14+21,15)</f>
        <v>1998.4813467368185</v>
      </c>
      <c r="CQ48" s="247">
        <f ca="1">OFFSET(Calcs!$A$1,Graphs!CQ$14+21,15)</f>
        <v>1998.4813467368185</v>
      </c>
      <c r="CR48" s="247">
        <f ca="1">OFFSET(Calcs!$A$1,Graphs!CR$14+21,15)</f>
        <v>1979.5385380848334</v>
      </c>
      <c r="CS48" s="247">
        <f ca="1">OFFSET(Calcs!$A$1,Graphs!CS$14+21,15)</f>
        <v>1965.4493555106428</v>
      </c>
      <c r="CT48" s="247">
        <f ca="1">OFFSET(Calcs!$A$1,Graphs!CT$14+21,15)</f>
        <v>1954.5604673424361</v>
      </c>
      <c r="CU48" s="247">
        <f ca="1">OFFSET(Calcs!$A$1,Graphs!CU$14+21,15)</f>
        <v>1954.5604673424361</v>
      </c>
      <c r="CV48" s="247">
        <f ca="1">OFFSET(Calcs!$A$1,Graphs!CV$14+21,15)</f>
        <v>1954.5604673424361</v>
      </c>
      <c r="CW48" s="247">
        <f ca="1">OFFSET(Calcs!$A$1,Graphs!CW$14+21,15)</f>
        <v>1940.6490638780078</v>
      </c>
      <c r="CX48" s="247">
        <f ca="1">OFFSET(Calcs!$A$1,Graphs!CX$14+21,15)</f>
        <v>1927.7544333118972</v>
      </c>
      <c r="CY48" s="247" t="e">
        <f ca="1">OFFSET(Calcs!$A$1,Graphs!CY$14+21,15)</f>
        <v>#N/A</v>
      </c>
      <c r="CZ48" s="247" t="e">
        <f ca="1">OFFSET(Calcs!$A$1,Graphs!CZ$14+21,15)</f>
        <v>#N/A</v>
      </c>
      <c r="DA48" s="247" t="e">
        <f ca="1">OFFSET(Calcs!$A$1,Graphs!DA$14+21,15)</f>
        <v>#N/A</v>
      </c>
      <c r="DC48" s="193" t="str">
        <f t="shared" si="7"/>
        <v>Target: Mobile devices</v>
      </c>
    </row>
    <row r="49" spans="1:107" s="247" customFormat="1" x14ac:dyDescent="0.3">
      <c r="A49" s="189" t="s">
        <v>169</v>
      </c>
      <c r="B49" s="190">
        <v>1000</v>
      </c>
      <c r="C49" s="190">
        <v>1000</v>
      </c>
      <c r="D49" s="190">
        <v>1000</v>
      </c>
      <c r="E49" s="190">
        <v>1000</v>
      </c>
      <c r="F49" s="190">
        <v>1000</v>
      </c>
      <c r="G49" s="190">
        <v>1000</v>
      </c>
      <c r="H49" s="190">
        <v>1000</v>
      </c>
      <c r="I49" s="190">
        <v>1000</v>
      </c>
      <c r="J49" s="190">
        <v>1000</v>
      </c>
      <c r="K49" s="190">
        <v>1000</v>
      </c>
      <c r="L49" s="190">
        <v>1000</v>
      </c>
      <c r="M49" s="190">
        <v>1000</v>
      </c>
      <c r="N49" s="190">
        <v>1000</v>
      </c>
      <c r="O49" s="247">
        <v>1029.3003610727915</v>
      </c>
      <c r="P49" s="247">
        <v>1051.1103191546267</v>
      </c>
      <c r="Q49" s="247">
        <v>1073.1537779409803</v>
      </c>
      <c r="R49" s="247">
        <v>1093.465236139217</v>
      </c>
      <c r="S49" s="247">
        <v>1112.6483490281028</v>
      </c>
      <c r="T49" s="247">
        <v>1147.9675989745058</v>
      </c>
      <c r="U49" s="247">
        <v>1172.7451003187937</v>
      </c>
      <c r="V49" s="247">
        <v>1202.9428974679149</v>
      </c>
      <c r="W49" s="247">
        <v>1216.018235706033</v>
      </c>
      <c r="X49" s="247">
        <v>1248.9533965426576</v>
      </c>
      <c r="Y49" s="247">
        <v>1279.116434713728</v>
      </c>
      <c r="Z49" s="247">
        <v>1306.9037398882863</v>
      </c>
      <c r="AA49" s="247">
        <v>1333.1689021360012</v>
      </c>
      <c r="AB49" s="247">
        <v>1357.1893193910901</v>
      </c>
      <c r="AC49" s="247">
        <v>1389.5602259548264</v>
      </c>
      <c r="AD49" s="247">
        <v>1434.1768866132627</v>
      </c>
      <c r="AE49" s="247">
        <v>1466.717607293027</v>
      </c>
      <c r="AF49" s="247">
        <v>1482.5169268705997</v>
      </c>
      <c r="AG49" s="247">
        <v>1499.9142447079003</v>
      </c>
      <c r="AH49" s="247">
        <v>1528.0580484849388</v>
      </c>
      <c r="AI49" s="247">
        <v>1553.7390968971617</v>
      </c>
      <c r="AJ49" s="247">
        <v>1592.1462538307508</v>
      </c>
      <c r="AK49" s="247">
        <v>1615.6172754140803</v>
      </c>
      <c r="AL49" s="247">
        <v>1687.6242128846388</v>
      </c>
      <c r="AM49" s="247">
        <v>1727.3996810742901</v>
      </c>
      <c r="AN49" s="247">
        <v>1755.0035185243873</v>
      </c>
      <c r="AO49" s="247">
        <v>1760.024984398314</v>
      </c>
      <c r="AP49" s="247">
        <v>1793.8705855819039</v>
      </c>
      <c r="AQ49" s="247">
        <v>1849.1623754555787</v>
      </c>
      <c r="AR49" s="247">
        <v>1880.7009088953459</v>
      </c>
      <c r="AS49" s="247">
        <v>1918.1887345103837</v>
      </c>
      <c r="AT49" s="247">
        <f ca="1">OFFSET(Calcs!$A$1,Graphs!AT$14+22,15)</f>
        <v>1928.3110790744345</v>
      </c>
      <c r="AU49" s="247">
        <f ca="1">OFFSET(Calcs!$A$1,Graphs!AU$14+22,15)</f>
        <v>1928.3110790744345</v>
      </c>
      <c r="AV49" s="247">
        <f ca="1">OFFSET(Calcs!$A$1,Graphs!AV$14+22,15)</f>
        <v>1928.3110790744345</v>
      </c>
      <c r="AW49" s="247">
        <f ca="1">OFFSET(Calcs!$A$1,Graphs!AW$14+22,15)</f>
        <v>1937.9767785817091</v>
      </c>
      <c r="AX49" s="247">
        <f ca="1">OFFSET(Calcs!$A$1,Graphs!AX$14+22,15)</f>
        <v>1937.9767785817091</v>
      </c>
      <c r="AY49" s="247">
        <f ca="1">OFFSET(Calcs!$A$1,Graphs!AY$14+22,15)</f>
        <v>1947.4534188080686</v>
      </c>
      <c r="AZ49" s="247">
        <f ca="1">OFFSET(Calcs!$A$1,Graphs!AZ$14+22,15)</f>
        <v>1956.976399481317</v>
      </c>
      <c r="BA49" s="247">
        <f ca="1">OFFSET(Calcs!$A$1,Graphs!BA$14+22,15)</f>
        <v>1967.5832917393345</v>
      </c>
      <c r="BB49" s="247">
        <f ca="1">OFFSET(Calcs!$A$1,Graphs!BB$14+22,15)</f>
        <v>1979.1914191817186</v>
      </c>
      <c r="BC49" s="247">
        <f ca="1">OFFSET(Calcs!$A$1,Graphs!BC$14+22,15)</f>
        <v>1990.2175267834175</v>
      </c>
      <c r="BD49" s="247">
        <f ca="1">OFFSET(Calcs!$A$1,Graphs!BD$14+22,15)</f>
        <v>2000.7199696354014</v>
      </c>
      <c r="BE49" s="247">
        <f ca="1">OFFSET(Calcs!$A$1,Graphs!BE$14+22,15)</f>
        <v>2000.7199696354014</v>
      </c>
      <c r="BF49" s="247">
        <f ca="1">OFFSET(Calcs!$A$1,Graphs!BF$14+22,15)</f>
        <v>2000.7199696354014</v>
      </c>
      <c r="BG49" s="247">
        <f ca="1">OFFSET(Calcs!$A$1,Graphs!BG$14+22,15)</f>
        <v>2000.7199696354014</v>
      </c>
      <c r="BH49" s="247">
        <f ca="1">OFFSET(Calcs!$A$1,Graphs!BH$14+22,15)</f>
        <v>2000.7199696354014</v>
      </c>
      <c r="BI49" s="247">
        <f ca="1">OFFSET(Calcs!$A$1,Graphs!BI$14+22,15)</f>
        <v>2012.8823637206042</v>
      </c>
      <c r="BJ49" s="247">
        <f ca="1">OFFSET(Calcs!$A$1,Graphs!BJ$14+22,15)</f>
        <v>2024.4174747281318</v>
      </c>
      <c r="BK49" s="247">
        <f ca="1">OFFSET(Calcs!$A$1,Graphs!BK$14+22,15)</f>
        <v>2037.5204548583588</v>
      </c>
      <c r="BL49" s="247">
        <f ca="1">OFFSET(Calcs!$A$1,Graphs!BL$14+22,15)</f>
        <v>2037.5204548583588</v>
      </c>
      <c r="BM49" s="247">
        <f ca="1">OFFSET(Calcs!$A$1,Graphs!BM$14+22,15)</f>
        <v>2051.6208863543347</v>
      </c>
      <c r="BN49" s="247">
        <f ca="1">OFFSET(Calcs!$A$1,Graphs!BN$14+22,15)</f>
        <v>2064.0927075546906</v>
      </c>
      <c r="BO49" s="247">
        <f ca="1">OFFSET(Calcs!$A$1,Graphs!BO$14+22,15)</f>
        <v>2076.6403450645257</v>
      </c>
      <c r="BP49" s="247">
        <f ca="1">OFFSET(Calcs!$A$1,Graphs!BP$14+22,15)</f>
        <v>2102.761265012246</v>
      </c>
      <c r="BQ49" s="247">
        <f ca="1">OFFSET(Calcs!$A$1,Graphs!BQ$14+22,15)</f>
        <v>2115.1669003150305</v>
      </c>
      <c r="BR49" s="247">
        <f ca="1">OFFSET(Calcs!$A$1,Graphs!BR$14+22,15)</f>
        <v>2129.3151213197002</v>
      </c>
      <c r="BS49" s="247">
        <f ca="1">OFFSET(Calcs!$A$1,Graphs!BS$14+22,15)</f>
        <v>2129.3151213197002</v>
      </c>
      <c r="BT49" s="247">
        <f ca="1">OFFSET(Calcs!$A$1,Graphs!BT$14+22,15)</f>
        <v>2129.3151213197002</v>
      </c>
      <c r="BU49" s="247">
        <f ca="1">OFFSET(Calcs!$A$1,Graphs!BU$14+22,15)</f>
        <v>2101.1126870763292</v>
      </c>
      <c r="BV49" s="247">
        <f ca="1">OFFSET(Calcs!$A$1,Graphs!BV$14+22,15)</f>
        <v>2101.1126870763292</v>
      </c>
      <c r="BW49" s="247">
        <f ca="1">OFFSET(Calcs!$A$1,Graphs!BW$14+22,15)</f>
        <v>2101.1126870763292</v>
      </c>
      <c r="BX49" s="247">
        <f ca="1">OFFSET(Calcs!$A$1,Graphs!BX$14+22,15)</f>
        <v>2101.1126870763292</v>
      </c>
      <c r="BY49" s="247">
        <f ca="1">OFFSET(Calcs!$A$1,Graphs!BY$14+22,15)</f>
        <v>2101.1126870763292</v>
      </c>
      <c r="BZ49" s="247">
        <f ca="1">OFFSET(Calcs!$A$1,Graphs!BZ$14+22,15)</f>
        <v>2101.1126870763292</v>
      </c>
      <c r="CA49" s="247">
        <f ca="1">OFFSET(Calcs!$A$1,Graphs!CA$14+22,15)</f>
        <v>2101.1126870763292</v>
      </c>
      <c r="CB49" s="247">
        <f ca="1">OFFSET(Calcs!$A$1,Graphs!CB$14+22,15)</f>
        <v>2101.1126870763292</v>
      </c>
      <c r="CC49" s="247">
        <f ca="1">OFFSET(Calcs!$A$1,Graphs!CC$14+22,15)</f>
        <v>2101.1126870763292</v>
      </c>
      <c r="CD49" s="247">
        <f ca="1">OFFSET(Calcs!$A$1,Graphs!CD$14+22,15)</f>
        <v>2101.1126870763292</v>
      </c>
      <c r="CE49" s="247">
        <f ca="1">OFFSET(Calcs!$A$1,Graphs!CE$14+22,15)</f>
        <v>2116.174362501426</v>
      </c>
      <c r="CF49" s="247">
        <f ca="1">OFFSET(Calcs!$A$1,Graphs!CF$14+22,15)</f>
        <v>2099.3125049613859</v>
      </c>
      <c r="CG49" s="247">
        <f ca="1">OFFSET(Calcs!$A$1,Graphs!CG$14+22,15)</f>
        <v>2099.3125049613859</v>
      </c>
      <c r="CH49" s="247">
        <f ca="1">OFFSET(Calcs!$A$1,Graphs!CH$14+22,15)</f>
        <v>2118.4841760206382</v>
      </c>
      <c r="CI49" s="247">
        <f ca="1">OFFSET(Calcs!$A$1,Graphs!CI$14+22,15)</f>
        <v>2133.1449078567584</v>
      </c>
      <c r="CJ49" s="247">
        <f ca="1">OFFSET(Calcs!$A$1,Graphs!CJ$14+22,15)</f>
        <v>2133.1449078567584</v>
      </c>
      <c r="CK49" s="247">
        <f ca="1">OFFSET(Calcs!$A$1,Graphs!CK$14+22,15)</f>
        <v>2133.1449078567584</v>
      </c>
      <c r="CL49" s="247">
        <f ca="1">OFFSET(Calcs!$A$1,Graphs!CL$14+22,15)</f>
        <v>2133.1449078567584</v>
      </c>
      <c r="CM49" s="247">
        <f ca="1">OFFSET(Calcs!$A$1,Graphs!CM$14+22,15)</f>
        <v>2151.7748764846756</v>
      </c>
      <c r="CN49" s="247">
        <f ca="1">OFFSET(Calcs!$A$1,Graphs!CN$14+22,15)</f>
        <v>2151.7748764846756</v>
      </c>
      <c r="CO49" s="247">
        <f ca="1">OFFSET(Calcs!$A$1,Graphs!CO$14+22,15)</f>
        <v>2169.7812561672599</v>
      </c>
      <c r="CP49" s="247">
        <f ca="1">OFFSET(Calcs!$A$1,Graphs!CP$14+22,15)</f>
        <v>2188.7311908777215</v>
      </c>
      <c r="CQ49" s="247">
        <f ca="1">OFFSET(Calcs!$A$1,Graphs!CQ$14+22,15)</f>
        <v>2206.3112669487218</v>
      </c>
      <c r="CR49" s="247">
        <f ca="1">OFFSET(Calcs!$A$1,Graphs!CR$14+22,15)</f>
        <v>2206.3112669487218</v>
      </c>
      <c r="CS49" s="247">
        <f ca="1">OFFSET(Calcs!$A$1,Graphs!CS$14+22,15)</f>
        <v>2222.1270508397588</v>
      </c>
      <c r="CT49" s="247">
        <f ca="1">OFFSET(Calcs!$A$1,Graphs!CT$14+22,15)</f>
        <v>2246.9550291863311</v>
      </c>
      <c r="CU49" s="247">
        <f ca="1">OFFSET(Calcs!$A$1,Graphs!CU$14+22,15)</f>
        <v>2246.9550291863311</v>
      </c>
      <c r="CV49" s="247">
        <f ca="1">OFFSET(Calcs!$A$1,Graphs!CV$14+22,15)</f>
        <v>2260.6142883387615</v>
      </c>
      <c r="CW49" s="247">
        <f ca="1">OFFSET(Calcs!$A$1,Graphs!CW$14+22,15)</f>
        <v>2276.8193395393578</v>
      </c>
      <c r="CX49" s="247">
        <f ca="1">OFFSET(Calcs!$A$1,Graphs!CX$14+22,15)</f>
        <v>2276.8193395393578</v>
      </c>
      <c r="CY49" s="247" t="e">
        <f ca="1">OFFSET(Calcs!$A$1,Graphs!CY$14+22,15)</f>
        <v>#N/A</v>
      </c>
      <c r="CZ49" s="247" t="e">
        <f ca="1">OFFSET(Calcs!$A$1,Graphs!CZ$14+22,15)</f>
        <v>#N/A</v>
      </c>
      <c r="DA49" s="247" t="e">
        <f ca="1">OFFSET(Calcs!$A$1,Graphs!DA$14+22,15)</f>
        <v>#N/A</v>
      </c>
      <c r="DC49" s="193" t="str">
        <f t="shared" si="7"/>
        <v>Target: Public infrastructure/cloud</v>
      </c>
    </row>
    <row r="50" spans="1:107" s="247" customFormat="1" x14ac:dyDescent="0.3">
      <c r="A50" s="189" t="s">
        <v>180</v>
      </c>
      <c r="B50" s="190">
        <v>1039.4922724379753</v>
      </c>
      <c r="C50" s="190">
        <v>1079.5988502931452</v>
      </c>
      <c r="D50" s="190">
        <v>1125.9588590213673</v>
      </c>
      <c r="E50" s="190">
        <v>1164.7812449994578</v>
      </c>
      <c r="F50" s="190">
        <v>1205.578489914775</v>
      </c>
      <c r="G50" s="190">
        <v>1244.5545916308945</v>
      </c>
      <c r="H50" s="190">
        <v>1279.8754682985934</v>
      </c>
      <c r="I50" s="190">
        <v>1315.2081284137432</v>
      </c>
      <c r="J50" s="190">
        <v>1351.0985504099492</v>
      </c>
      <c r="K50" s="190">
        <v>1391.5610844677647</v>
      </c>
      <c r="L50" s="190">
        <v>1433.5696300506459</v>
      </c>
      <c r="M50" s="190">
        <v>1463.8598345496052</v>
      </c>
      <c r="N50" s="190">
        <v>1519.7968422756157</v>
      </c>
      <c r="O50" s="247">
        <v>1563.5311786916795</v>
      </c>
      <c r="P50" s="247">
        <v>1623.2768275291885</v>
      </c>
      <c r="Q50" s="247">
        <v>1680.9388888061176</v>
      </c>
      <c r="R50" s="247">
        <v>1728.4708485737551</v>
      </c>
      <c r="S50" s="247">
        <v>1800.3804157289528</v>
      </c>
      <c r="T50" s="247">
        <v>1865.2864826721329</v>
      </c>
      <c r="U50" s="247">
        <v>1910.5152778316187</v>
      </c>
      <c r="V50" s="247">
        <v>1968.8659762080408</v>
      </c>
      <c r="W50" s="247">
        <v>2020.0725085336039</v>
      </c>
      <c r="X50" s="247">
        <v>2073.8909098956442</v>
      </c>
      <c r="Y50" s="247">
        <v>2135.2701576097024</v>
      </c>
      <c r="Z50" s="247">
        <v>2178.7876860380843</v>
      </c>
      <c r="AA50" s="247">
        <v>2223.7095682815784</v>
      </c>
      <c r="AB50" s="247">
        <v>2270.7158754391498</v>
      </c>
      <c r="AC50" s="247">
        <v>2314.9332644978617</v>
      </c>
      <c r="AD50" s="247">
        <v>2369.0619313554976</v>
      </c>
      <c r="AE50" s="247">
        <v>2410.4218159369966</v>
      </c>
      <c r="AF50" s="247">
        <v>2479.0191651823143</v>
      </c>
      <c r="AG50" s="247">
        <v>2510.8987626362486</v>
      </c>
      <c r="AH50" s="247">
        <v>2589.3580622649747</v>
      </c>
      <c r="AI50" s="247">
        <v>2657.6749437113986</v>
      </c>
      <c r="AJ50" s="247">
        <v>2744.0320873510714</v>
      </c>
      <c r="AK50" s="247">
        <v>2813.4975903652639</v>
      </c>
      <c r="AL50" s="247">
        <v>2933.7717109143919</v>
      </c>
      <c r="AM50" s="247">
        <v>2984.2078152536642</v>
      </c>
      <c r="AN50" s="247">
        <v>3043.0080557603283</v>
      </c>
      <c r="AO50" s="247">
        <v>3093.4132398628772</v>
      </c>
      <c r="AP50" s="247">
        <v>3173.6118614341754</v>
      </c>
      <c r="AQ50" s="247">
        <v>3312.5804261199164</v>
      </c>
      <c r="AR50" s="247">
        <v>3449.2908081993219</v>
      </c>
      <c r="AS50" s="247">
        <v>3538.9375033869401</v>
      </c>
      <c r="AT50" s="247">
        <f ca="1">OFFSET(Calcs!$A$1,Graphs!AT$14+23,15)</f>
        <v>3557.6125921075859</v>
      </c>
      <c r="AU50" s="247">
        <f ca="1">OFFSET(Calcs!$A$1,Graphs!AU$14+23,15)</f>
        <v>3557.6125921075859</v>
      </c>
      <c r="AV50" s="247">
        <f ca="1">OFFSET(Calcs!$A$1,Graphs!AV$14+23,15)</f>
        <v>3576.3862298809881</v>
      </c>
      <c r="AW50" s="247">
        <f ca="1">OFFSET(Calcs!$A$1,Graphs!AW$14+23,15)</f>
        <v>3576.3862298809881</v>
      </c>
      <c r="AX50" s="247">
        <f ca="1">OFFSET(Calcs!$A$1,Graphs!AX$14+23,15)</f>
        <v>3576.3862298809881</v>
      </c>
      <c r="AY50" s="247">
        <f ca="1">OFFSET(Calcs!$A$1,Graphs!AY$14+23,15)</f>
        <v>3611.4485605081095</v>
      </c>
      <c r="AZ50" s="247">
        <f ca="1">OFFSET(Calcs!$A$1,Graphs!AZ$14+23,15)</f>
        <v>3629.1084205653524</v>
      </c>
      <c r="BA50" s="247">
        <f ca="1">OFFSET(Calcs!$A$1,Graphs!BA$14+23,15)</f>
        <v>3648.7783368810542</v>
      </c>
      <c r="BB50" s="247">
        <f ca="1">OFFSET(Calcs!$A$1,Graphs!BB$14+23,15)</f>
        <v>3648.7783368810542</v>
      </c>
      <c r="BC50" s="247">
        <f ca="1">OFFSET(Calcs!$A$1,Graphs!BC$14+23,15)</f>
        <v>3648.7783368810542</v>
      </c>
      <c r="BD50" s="247">
        <f ca="1">OFFSET(Calcs!$A$1,Graphs!BD$14+23,15)</f>
        <v>3648.7783368810542</v>
      </c>
      <c r="BE50" s="247">
        <f ca="1">OFFSET(Calcs!$A$1,Graphs!BE$14+23,15)</f>
        <v>3675.9066758476574</v>
      </c>
      <c r="BF50" s="247">
        <f ca="1">OFFSET(Calcs!$A$1,Graphs!BF$14+23,15)</f>
        <v>3700.4945889975306</v>
      </c>
      <c r="BG50" s="247">
        <f ca="1">OFFSET(Calcs!$A$1,Graphs!BG$14+23,15)</f>
        <v>3722.3263523436012</v>
      </c>
      <c r="BH50" s="247">
        <f ca="1">OFFSET(Calcs!$A$1,Graphs!BH$14+23,15)</f>
        <v>3742.5015136684656</v>
      </c>
      <c r="BI50" s="247">
        <f ca="1">OFFSET(Calcs!$A$1,Graphs!BI$14+23,15)</f>
        <v>3765.2522128990026</v>
      </c>
      <c r="BJ50" s="247">
        <f ca="1">OFFSET(Calcs!$A$1,Graphs!BJ$14+23,15)</f>
        <v>3765.2522128990026</v>
      </c>
      <c r="BK50" s="247">
        <f ca="1">OFFSET(Calcs!$A$1,Graphs!BK$14+23,15)</f>
        <v>3789.6226925786123</v>
      </c>
      <c r="BL50" s="247">
        <f ca="1">OFFSET(Calcs!$A$1,Graphs!BL$14+23,15)</f>
        <v>3789.6226925786123</v>
      </c>
      <c r="BM50" s="247">
        <f ca="1">OFFSET(Calcs!$A$1,Graphs!BM$14+23,15)</f>
        <v>3842.2555008465247</v>
      </c>
      <c r="BN50" s="247">
        <f ca="1">OFFSET(Calcs!$A$1,Graphs!BN$14+23,15)</f>
        <v>3865.6126054321553</v>
      </c>
      <c r="BO50" s="247">
        <f ca="1">OFFSET(Calcs!$A$1,Graphs!BO$14+23,15)</f>
        <v>3936.5393052730274</v>
      </c>
      <c r="BP50" s="247">
        <f ca="1">OFFSET(Calcs!$A$1,Graphs!BP$14+23,15)</f>
        <v>3961.219721893076</v>
      </c>
      <c r="BQ50" s="247">
        <f ca="1">OFFSET(Calcs!$A$1,Graphs!BQ$14+23,15)</f>
        <v>4008.0975179093543</v>
      </c>
      <c r="BR50" s="247">
        <f ca="1">OFFSET(Calcs!$A$1,Graphs!BR$14+23,15)</f>
        <v>4034.9074351235481</v>
      </c>
      <c r="BS50" s="247">
        <f ca="1">OFFSET(Calcs!$A$1,Graphs!BS$14+23,15)</f>
        <v>4034.9074351235481</v>
      </c>
      <c r="BT50" s="247">
        <f ca="1">OFFSET(Calcs!$A$1,Graphs!BT$14+23,15)</f>
        <v>4008.9595670549529</v>
      </c>
      <c r="BU50" s="247">
        <f ca="1">OFFSET(Calcs!$A$1,Graphs!BU$14+23,15)</f>
        <v>3955.8615462678154</v>
      </c>
      <c r="BV50" s="247">
        <f ca="1">OFFSET(Calcs!$A$1,Graphs!BV$14+23,15)</f>
        <v>3955.8615462678154</v>
      </c>
      <c r="BW50" s="247">
        <f ca="1">OFFSET(Calcs!$A$1,Graphs!BW$14+23,15)</f>
        <v>3955.8615462678154</v>
      </c>
      <c r="BX50" s="247">
        <f ca="1">OFFSET(Calcs!$A$1,Graphs!BX$14+23,15)</f>
        <v>3982.3220602878368</v>
      </c>
      <c r="BY50" s="247">
        <f ca="1">OFFSET(Calcs!$A$1,Graphs!BY$14+23,15)</f>
        <v>4044.0622603885718</v>
      </c>
      <c r="BZ50" s="247">
        <f ca="1">OFFSET(Calcs!$A$1,Graphs!BZ$14+23,15)</f>
        <v>4044.0622603885718</v>
      </c>
      <c r="CA50" s="247">
        <f ca="1">OFFSET(Calcs!$A$1,Graphs!CA$14+23,15)</f>
        <v>3999.3769467401376</v>
      </c>
      <c r="CB50" s="247">
        <f ca="1">OFFSET(Calcs!$A$1,Graphs!CB$14+23,15)</f>
        <v>4028.0461932041308</v>
      </c>
      <c r="CC50" s="247">
        <f ca="1">OFFSET(Calcs!$A$1,Graphs!CC$14+23,15)</f>
        <v>4083.9903861171588</v>
      </c>
      <c r="CD50" s="247">
        <f ca="1">OFFSET(Calcs!$A$1,Graphs!CD$14+23,15)</f>
        <v>4083.9903861171588</v>
      </c>
      <c r="CE50" s="247">
        <f ca="1">OFFSET(Calcs!$A$1,Graphs!CE$14+23,15)</f>
        <v>4113.2661779455848</v>
      </c>
      <c r="CF50" s="247">
        <f ca="1">OFFSET(Calcs!$A$1,Graphs!CF$14+23,15)</f>
        <v>4113.2661779455848</v>
      </c>
      <c r="CG50" s="247">
        <f ca="1">OFFSET(Calcs!$A$1,Graphs!CG$14+23,15)</f>
        <v>4143.8479422603104</v>
      </c>
      <c r="CH50" s="247">
        <f ca="1">OFFSET(Calcs!$A$1,Graphs!CH$14+23,15)</f>
        <v>4181.6910406464822</v>
      </c>
      <c r="CI50" s="247">
        <f ca="1">OFFSET(Calcs!$A$1,Graphs!CI$14+23,15)</f>
        <v>4210.6299638928112</v>
      </c>
      <c r="CJ50" s="247">
        <f ca="1">OFFSET(Calcs!$A$1,Graphs!CJ$14+23,15)</f>
        <v>4210.6299638928112</v>
      </c>
      <c r="CK50" s="247">
        <f ca="1">OFFSET(Calcs!$A$1,Graphs!CK$14+23,15)</f>
        <v>4210.6299638928112</v>
      </c>
      <c r="CL50" s="247">
        <f ca="1">OFFSET(Calcs!$A$1,Graphs!CL$14+23,15)</f>
        <v>4275.9097510585189</v>
      </c>
      <c r="CM50" s="247">
        <f ca="1">OFFSET(Calcs!$A$1,Graphs!CM$14+23,15)</f>
        <v>4350.9238043144369</v>
      </c>
      <c r="CN50" s="247">
        <f ca="1">OFFSET(Calcs!$A$1,Graphs!CN$14+23,15)</f>
        <v>4399.5369751771386</v>
      </c>
      <c r="CO50" s="247">
        <f ca="1">OFFSET(Calcs!$A$1,Graphs!CO$14+23,15)</f>
        <v>4436.3529702277119</v>
      </c>
      <c r="CP50" s="247">
        <f ca="1">OFFSET(Calcs!$A$1,Graphs!CP$14+23,15)</f>
        <v>4475.0981658087985</v>
      </c>
      <c r="CQ50" s="247">
        <f ca="1">OFFSET(Calcs!$A$1,Graphs!CQ$14+23,15)</f>
        <v>4511.0425369165923</v>
      </c>
      <c r="CR50" s="247">
        <f ca="1">OFFSET(Calcs!$A$1,Graphs!CR$14+23,15)</f>
        <v>4468.2841615445604</v>
      </c>
      <c r="CS50" s="247">
        <f ca="1">OFFSET(Calcs!$A$1,Graphs!CS$14+23,15)</f>
        <v>4468.2841615445604</v>
      </c>
      <c r="CT50" s="247">
        <f ca="1">OFFSET(Calcs!$A$1,Graphs!CT$14+23,15)</f>
        <v>4568.6908632240766</v>
      </c>
      <c r="CU50" s="247">
        <f ca="1">OFFSET(Calcs!$A$1,Graphs!CU$14+23,15)</f>
        <v>4603.9701547168643</v>
      </c>
      <c r="CV50" s="247">
        <f ca="1">OFFSET(Calcs!$A$1,Graphs!CV$14+23,15)</f>
        <v>4603.9701547168643</v>
      </c>
      <c r="CW50" s="247">
        <f ca="1">OFFSET(Calcs!$A$1,Graphs!CW$14+23,15)</f>
        <v>4603.9701547168643</v>
      </c>
      <c r="CX50" s="247">
        <f ca="1">OFFSET(Calcs!$A$1,Graphs!CX$14+23,15)</f>
        <v>4603.9701547168643</v>
      </c>
      <c r="CY50" s="247" t="e">
        <f ca="1">OFFSET(Calcs!$A$1,Graphs!CY$14+23,15)</f>
        <v>#N/A</v>
      </c>
      <c r="CZ50" s="247" t="e">
        <f ca="1">OFFSET(Calcs!$A$1,Graphs!CZ$14+23,15)</f>
        <v>#N/A</v>
      </c>
      <c r="DA50" s="247" t="e">
        <f ca="1">OFFSET(Calcs!$A$1,Graphs!DA$14+23,15)</f>
        <v>#N/A</v>
      </c>
      <c r="DC50" s="193" t="str">
        <f t="shared" si="7"/>
        <v>Target: Counterparties</v>
      </c>
    </row>
    <row r="51" spans="1:107" s="247" customFormat="1" x14ac:dyDescent="0.3">
      <c r="A51" s="202" t="s">
        <v>211</v>
      </c>
      <c r="B51" s="190">
        <v>0</v>
      </c>
      <c r="C51" s="190">
        <v>0</v>
      </c>
      <c r="D51" s="190">
        <v>0</v>
      </c>
      <c r="E51" s="190">
        <v>0</v>
      </c>
      <c r="F51" s="190">
        <v>0</v>
      </c>
      <c r="G51" s="190">
        <v>0</v>
      </c>
      <c r="H51" s="190">
        <v>0</v>
      </c>
      <c r="I51" s="190">
        <v>0</v>
      </c>
      <c r="J51" s="190">
        <v>0</v>
      </c>
      <c r="K51" s="190">
        <v>0</v>
      </c>
      <c r="L51" s="190">
        <v>0</v>
      </c>
      <c r="M51" s="190">
        <v>0</v>
      </c>
      <c r="N51" s="190">
        <v>0</v>
      </c>
      <c r="O51" s="247">
        <v>0</v>
      </c>
      <c r="P51" s="247">
        <v>0</v>
      </c>
      <c r="Q51" s="247">
        <v>0</v>
      </c>
      <c r="R51" s="247">
        <v>0</v>
      </c>
      <c r="S51" s="247">
        <v>0</v>
      </c>
      <c r="T51" s="247">
        <v>0</v>
      </c>
      <c r="U51" s="247">
        <v>0</v>
      </c>
      <c r="V51" s="247">
        <v>0</v>
      </c>
      <c r="W51" s="247">
        <v>0</v>
      </c>
      <c r="X51" s="247">
        <v>0</v>
      </c>
      <c r="Y51" s="247">
        <v>0</v>
      </c>
      <c r="Z51" s="247">
        <v>0</v>
      </c>
      <c r="AA51" s="247">
        <v>1000</v>
      </c>
      <c r="AB51" s="247">
        <v>1005.628023047493</v>
      </c>
      <c r="AC51" s="247">
        <v>1011.3909186280831</v>
      </c>
      <c r="AD51" s="247">
        <v>1014.2574001847328</v>
      </c>
      <c r="AE51" s="247">
        <v>1014.2574001847328</v>
      </c>
      <c r="AF51" s="247">
        <v>1017.3670269816038</v>
      </c>
      <c r="AG51" s="247">
        <v>1019.064052488332</v>
      </c>
      <c r="AH51" s="247">
        <v>1032.2130848033689</v>
      </c>
      <c r="AI51" s="247">
        <v>1036.5229452974168</v>
      </c>
      <c r="AJ51" s="247">
        <v>1045.6019206014746</v>
      </c>
      <c r="AK51" s="247">
        <v>1060.3691586920945</v>
      </c>
      <c r="AL51" s="247">
        <v>1088.4774676484062</v>
      </c>
      <c r="AM51" s="247">
        <v>1101.5427743124544</v>
      </c>
      <c r="AN51" s="247">
        <v>1103.5596357104357</v>
      </c>
      <c r="AO51" s="247">
        <v>1101.1973969365174</v>
      </c>
      <c r="AP51" s="247">
        <v>1110.4123843645266</v>
      </c>
      <c r="AQ51" s="247">
        <v>1131.0923471971896</v>
      </c>
      <c r="AR51" s="247">
        <v>1147.8489666371654</v>
      </c>
      <c r="AS51" s="247">
        <v>1159.2324999118175</v>
      </c>
      <c r="AT51" s="247">
        <f ca="1">OFFSET(Calcs!$A$1,Graphs!AT$14+24,15)</f>
        <v>1171.4993966260608</v>
      </c>
      <c r="AU51" s="247">
        <f ca="1">OFFSET(Calcs!$A$1,Graphs!AU$14+24,15)</f>
        <v>1171.4993966260608</v>
      </c>
      <c r="AV51" s="247">
        <f ca="1">OFFSET(Calcs!$A$1,Graphs!AV$14+24,15)</f>
        <v>1171.4993966260608</v>
      </c>
      <c r="AW51" s="247">
        <f ca="1">OFFSET(Calcs!$A$1,Graphs!AW$14+24,15)</f>
        <v>1171.4993966260608</v>
      </c>
      <c r="AX51" s="247">
        <f ca="1">OFFSET(Calcs!$A$1,Graphs!AX$14+24,15)</f>
        <v>1165.3498076526269</v>
      </c>
      <c r="AY51" s="247">
        <f ca="1">OFFSET(Calcs!$A$1,Graphs!AY$14+24,15)</f>
        <v>1165.3498076526269</v>
      </c>
      <c r="AZ51" s="247">
        <f ca="1">OFFSET(Calcs!$A$1,Graphs!AZ$14+24,15)</f>
        <v>1165.3498076526269</v>
      </c>
      <c r="BA51" s="247">
        <f ca="1">OFFSET(Calcs!$A$1,Graphs!BA$14+24,15)</f>
        <v>1165.3498076526269</v>
      </c>
      <c r="BB51" s="247">
        <f ca="1">OFFSET(Calcs!$A$1,Graphs!BB$14+24,15)</f>
        <v>1165.3498076526269</v>
      </c>
      <c r="BC51" s="247">
        <f ca="1">OFFSET(Calcs!$A$1,Graphs!BC$14+24,15)</f>
        <v>1165.3498076526269</v>
      </c>
      <c r="BD51" s="247">
        <f ca="1">OFFSET(Calcs!$A$1,Graphs!BD$14+24,15)</f>
        <v>1165.3498076526269</v>
      </c>
      <c r="BE51" s="247">
        <f ca="1">OFFSET(Calcs!$A$1,Graphs!BE$14+24,15)</f>
        <v>1174.0140787258019</v>
      </c>
      <c r="BF51" s="247">
        <f ca="1">OFFSET(Calcs!$A$1,Graphs!BF$14+24,15)</f>
        <v>1166.2133495232069</v>
      </c>
      <c r="BG51" s="247">
        <f ca="1">OFFSET(Calcs!$A$1,Graphs!BG$14+24,15)</f>
        <v>1166.2133495232069</v>
      </c>
      <c r="BH51" s="247">
        <f ca="1">OFFSET(Calcs!$A$1,Graphs!BH$14+24,15)</f>
        <v>1166.2133495232069</v>
      </c>
      <c r="BI51" s="247">
        <f ca="1">OFFSET(Calcs!$A$1,Graphs!BI$14+24,15)</f>
        <v>1173.3027706114117</v>
      </c>
      <c r="BJ51" s="247">
        <f ca="1">OFFSET(Calcs!$A$1,Graphs!BJ$14+24,15)</f>
        <v>1180.0265503753844</v>
      </c>
      <c r="BK51" s="247">
        <f ca="1">OFFSET(Calcs!$A$1,Graphs!BK$14+24,15)</f>
        <v>1180.0265503753844</v>
      </c>
      <c r="BL51" s="247">
        <f ca="1">OFFSET(Calcs!$A$1,Graphs!BL$14+24,15)</f>
        <v>1180.0265503753844</v>
      </c>
      <c r="BM51" s="247">
        <f ca="1">OFFSET(Calcs!$A$1,Graphs!BM$14+24,15)</f>
        <v>1180.0265503753844</v>
      </c>
      <c r="BN51" s="247">
        <f ca="1">OFFSET(Calcs!$A$1,Graphs!BN$14+24,15)</f>
        <v>1180.0265503753844</v>
      </c>
      <c r="BO51" s="247">
        <f ca="1">OFFSET(Calcs!$A$1,Graphs!BO$14+24,15)</f>
        <v>1187.1999420316306</v>
      </c>
      <c r="BP51" s="247">
        <f ca="1">OFFSET(Calcs!$A$1,Graphs!BP$14+24,15)</f>
        <v>1209.6699388682357</v>
      </c>
      <c r="BQ51" s="247">
        <f ca="1">OFFSET(Calcs!$A$1,Graphs!BQ$14+24,15)</f>
        <v>1202.5751209150492</v>
      </c>
      <c r="BR51" s="247">
        <f ca="1">OFFSET(Calcs!$A$1,Graphs!BR$14+24,15)</f>
        <v>1210.6190717649274</v>
      </c>
      <c r="BS51" s="247">
        <f ca="1">OFFSET(Calcs!$A$1,Graphs!BS$14+24,15)</f>
        <v>1226.3411778210502</v>
      </c>
      <c r="BT51" s="247">
        <f ca="1">OFFSET(Calcs!$A$1,Graphs!BT$14+24,15)</f>
        <v>1250.3080023531768</v>
      </c>
      <c r="BU51" s="247">
        <f ca="1">OFFSET(Calcs!$A$1,Graphs!BU$14+24,15)</f>
        <v>1225.5502451314032</v>
      </c>
      <c r="BV51" s="247">
        <f ca="1">OFFSET(Calcs!$A$1,Graphs!BV$14+24,15)</f>
        <v>1225.5502451314032</v>
      </c>
      <c r="BW51" s="247">
        <f ca="1">OFFSET(Calcs!$A$1,Graphs!BW$14+24,15)</f>
        <v>1225.5502451314032</v>
      </c>
      <c r="BX51" s="247">
        <f ca="1">OFFSET(Calcs!$A$1,Graphs!BX$14+24,15)</f>
        <v>1233.7478751708406</v>
      </c>
      <c r="BY51" s="247">
        <f ca="1">OFFSET(Calcs!$A$1,Graphs!BY$14+24,15)</f>
        <v>1233.7478751708406</v>
      </c>
      <c r="BZ51" s="247">
        <f ca="1">OFFSET(Calcs!$A$1,Graphs!BZ$14+24,15)</f>
        <v>1233.7478751708406</v>
      </c>
      <c r="CA51" s="247">
        <f ca="1">OFFSET(Calcs!$A$1,Graphs!CA$14+24,15)</f>
        <v>1233.7478751708406</v>
      </c>
      <c r="CB51" s="247">
        <f ca="1">OFFSET(Calcs!$A$1,Graphs!CB$14+24,15)</f>
        <v>1242.5919082236717</v>
      </c>
      <c r="CC51" s="247">
        <f ca="1">OFFSET(Calcs!$A$1,Graphs!CC$14+24,15)</f>
        <v>1234.0517913843973</v>
      </c>
      <c r="CD51" s="247">
        <f ca="1">OFFSET(Calcs!$A$1,Graphs!CD$14+24,15)</f>
        <v>1234.0517913843973</v>
      </c>
      <c r="CE51" s="247">
        <f ca="1">OFFSET(Calcs!$A$1,Graphs!CE$14+24,15)</f>
        <v>1234.0517913843973</v>
      </c>
      <c r="CF51" s="247">
        <f ca="1">OFFSET(Calcs!$A$1,Graphs!CF$14+24,15)</f>
        <v>1224.2187616151687</v>
      </c>
      <c r="CG51" s="247">
        <f ca="1">OFFSET(Calcs!$A$1,Graphs!CG$14+24,15)</f>
        <v>1233.3207180696568</v>
      </c>
      <c r="CH51" s="247">
        <f ca="1">OFFSET(Calcs!$A$1,Graphs!CH$14+24,15)</f>
        <v>1233.3207180696568</v>
      </c>
      <c r="CI51" s="247">
        <f ca="1">OFFSET(Calcs!$A$1,Graphs!CI$14+24,15)</f>
        <v>1241.8557755981556</v>
      </c>
      <c r="CJ51" s="247">
        <f ca="1">OFFSET(Calcs!$A$1,Graphs!CJ$14+24,15)</f>
        <v>1241.8557755981556</v>
      </c>
      <c r="CK51" s="247">
        <f ca="1">OFFSET(Calcs!$A$1,Graphs!CK$14+24,15)</f>
        <v>1241.8557755981556</v>
      </c>
      <c r="CL51" s="247">
        <f ca="1">OFFSET(Calcs!$A$1,Graphs!CL$14+24,15)</f>
        <v>1241.8557755981556</v>
      </c>
      <c r="CM51" s="247">
        <f ca="1">OFFSET(Calcs!$A$1,Graphs!CM$14+24,15)</f>
        <v>1241.8557755981556</v>
      </c>
      <c r="CN51" s="247">
        <f ca="1">OFFSET(Calcs!$A$1,Graphs!CN$14+24,15)</f>
        <v>1241.8557755981556</v>
      </c>
      <c r="CO51" s="247">
        <f ca="1">OFFSET(Calcs!$A$1,Graphs!CO$14+24,15)</f>
        <v>1252.2478137480582</v>
      </c>
      <c r="CP51" s="247">
        <f ca="1">OFFSET(Calcs!$A$1,Graphs!CP$14+24,15)</f>
        <v>1252.2478137480582</v>
      </c>
      <c r="CQ51" s="247">
        <f ca="1">OFFSET(Calcs!$A$1,Graphs!CQ$14+24,15)</f>
        <v>1242.2697965230091</v>
      </c>
      <c r="CR51" s="247">
        <f ca="1">OFFSET(Calcs!$A$1,Graphs!CR$14+24,15)</f>
        <v>1230.4948159418293</v>
      </c>
      <c r="CS51" s="247">
        <f ca="1">OFFSET(Calcs!$A$1,Graphs!CS$14+24,15)</f>
        <v>1221.7368828251685</v>
      </c>
      <c r="CT51" s="247">
        <f ca="1">OFFSET(Calcs!$A$1,Graphs!CT$14+24,15)</f>
        <v>1228.5431988795115</v>
      </c>
      <c r="CU51" s="247">
        <f ca="1">OFFSET(Calcs!$A$1,Graphs!CU$14+24,15)</f>
        <v>1228.5431988795115</v>
      </c>
      <c r="CV51" s="247">
        <f ca="1">OFFSET(Calcs!$A$1,Graphs!CV$14+24,15)</f>
        <v>1228.5431988795115</v>
      </c>
      <c r="CW51" s="247">
        <f ca="1">OFFSET(Calcs!$A$1,Graphs!CW$14+24,15)</f>
        <v>1219.799156216902</v>
      </c>
      <c r="CX51" s="247">
        <f ca="1">OFFSET(Calcs!$A$1,Graphs!CX$14+24,15)</f>
        <v>1219.799156216902</v>
      </c>
      <c r="CY51" s="247" t="e">
        <f ca="1">OFFSET(Calcs!$A$1,Graphs!CY$14+24,15)</f>
        <v>#N/A</v>
      </c>
      <c r="CZ51" s="247" t="e">
        <f ca="1">OFFSET(Calcs!$A$1,Graphs!CZ$14+24,15)</f>
        <v>#N/A</v>
      </c>
      <c r="DA51" s="247" t="e">
        <f ca="1">OFFSET(Calcs!$A$1,Graphs!DA$14+24,15)</f>
        <v>#N/A</v>
      </c>
      <c r="DC51" s="193" t="str">
        <f>A51</f>
        <v>Target: Autonomous network connected devices</v>
      </c>
    </row>
    <row r="52" spans="1:107" s="247" customFormat="1" x14ac:dyDescent="0.3">
      <c r="A52" s="189" t="s">
        <v>2693</v>
      </c>
      <c r="B52" s="257" t="e">
        <f>IF(AND(ISNA(C45),B45&lt;&gt;""),B45,NA())</f>
        <v>#N/A</v>
      </c>
      <c r="C52" s="257" t="e">
        <f t="shared" ref="C52:BN53" si="194">IF(AND(ISNA(D45),C45&lt;&gt;""),C45,NA())</f>
        <v>#N/A</v>
      </c>
      <c r="D52" s="257" t="e">
        <f t="shared" si="194"/>
        <v>#N/A</v>
      </c>
      <c r="E52" s="257" t="e">
        <f t="shared" si="194"/>
        <v>#N/A</v>
      </c>
      <c r="F52" s="257" t="e">
        <f t="shared" si="194"/>
        <v>#N/A</v>
      </c>
      <c r="G52" s="257" t="e">
        <f t="shared" si="194"/>
        <v>#N/A</v>
      </c>
      <c r="H52" s="257" t="e">
        <f t="shared" si="194"/>
        <v>#N/A</v>
      </c>
      <c r="I52" s="257" t="e">
        <f t="shared" si="194"/>
        <v>#N/A</v>
      </c>
      <c r="J52" s="257" t="e">
        <f t="shared" si="194"/>
        <v>#N/A</v>
      </c>
      <c r="K52" s="257" t="e">
        <f t="shared" si="194"/>
        <v>#N/A</v>
      </c>
      <c r="L52" s="257" t="e">
        <f t="shared" si="194"/>
        <v>#N/A</v>
      </c>
      <c r="M52" s="257" t="e">
        <f t="shared" si="194"/>
        <v>#N/A</v>
      </c>
      <c r="N52" s="257" t="e">
        <f t="shared" si="194"/>
        <v>#N/A</v>
      </c>
      <c r="O52" s="257" t="e">
        <f t="shared" si="194"/>
        <v>#N/A</v>
      </c>
      <c r="P52" s="257" t="e">
        <f t="shared" si="194"/>
        <v>#N/A</v>
      </c>
      <c r="Q52" s="257" t="e">
        <f t="shared" si="194"/>
        <v>#N/A</v>
      </c>
      <c r="R52" s="257" t="e">
        <f t="shared" si="194"/>
        <v>#N/A</v>
      </c>
      <c r="S52" s="257" t="e">
        <f t="shared" si="194"/>
        <v>#N/A</v>
      </c>
      <c r="T52" s="257" t="e">
        <f t="shared" si="194"/>
        <v>#N/A</v>
      </c>
      <c r="U52" s="257" t="e">
        <f t="shared" si="194"/>
        <v>#N/A</v>
      </c>
      <c r="V52" s="257" t="e">
        <f t="shared" si="194"/>
        <v>#N/A</v>
      </c>
      <c r="W52" s="257" t="e">
        <f t="shared" si="194"/>
        <v>#N/A</v>
      </c>
      <c r="X52" s="257" t="e">
        <f t="shared" si="194"/>
        <v>#N/A</v>
      </c>
      <c r="Y52" s="257" t="e">
        <f t="shared" si="194"/>
        <v>#N/A</v>
      </c>
      <c r="Z52" s="257" t="e">
        <f t="shared" si="194"/>
        <v>#N/A</v>
      </c>
      <c r="AA52" s="257" t="e">
        <f t="shared" si="194"/>
        <v>#N/A</v>
      </c>
      <c r="AB52" s="257" t="e">
        <f t="shared" si="194"/>
        <v>#N/A</v>
      </c>
      <c r="AC52" s="257" t="e">
        <f t="shared" si="194"/>
        <v>#N/A</v>
      </c>
      <c r="AD52" s="257" t="e">
        <f t="shared" si="194"/>
        <v>#N/A</v>
      </c>
      <c r="AE52" s="257" t="e">
        <f t="shared" si="194"/>
        <v>#N/A</v>
      </c>
      <c r="AF52" s="257" t="e">
        <f t="shared" si="194"/>
        <v>#N/A</v>
      </c>
      <c r="AG52" s="257" t="e">
        <f t="shared" si="194"/>
        <v>#N/A</v>
      </c>
      <c r="AH52" s="257" t="e">
        <f t="shared" si="194"/>
        <v>#N/A</v>
      </c>
      <c r="AI52" s="257" t="e">
        <f t="shared" si="194"/>
        <v>#N/A</v>
      </c>
      <c r="AJ52" s="257" t="e">
        <f t="shared" si="194"/>
        <v>#N/A</v>
      </c>
      <c r="AK52" s="257" t="e">
        <f t="shared" si="194"/>
        <v>#N/A</v>
      </c>
      <c r="AL52" s="257" t="e">
        <f t="shared" si="194"/>
        <v>#N/A</v>
      </c>
      <c r="AM52" s="257" t="e">
        <f t="shared" si="194"/>
        <v>#N/A</v>
      </c>
      <c r="AN52" s="257" t="e">
        <f t="shared" si="194"/>
        <v>#N/A</v>
      </c>
      <c r="AO52" s="257" t="e">
        <f t="shared" si="194"/>
        <v>#N/A</v>
      </c>
      <c r="AP52" s="257" t="e">
        <f t="shared" si="194"/>
        <v>#N/A</v>
      </c>
      <c r="AQ52" s="257" t="e">
        <f t="shared" si="194"/>
        <v>#N/A</v>
      </c>
      <c r="AR52" s="257" t="e">
        <f t="shared" si="194"/>
        <v>#N/A</v>
      </c>
      <c r="AS52" s="257" t="e">
        <f t="shared" ca="1" si="194"/>
        <v>#N/A</v>
      </c>
      <c r="AT52" s="257" t="e">
        <f t="shared" ca="1" si="194"/>
        <v>#N/A</v>
      </c>
      <c r="AU52" s="257" t="e">
        <f t="shared" ca="1" si="194"/>
        <v>#N/A</v>
      </c>
      <c r="AV52" s="257" t="e">
        <f t="shared" ca="1" si="194"/>
        <v>#N/A</v>
      </c>
      <c r="AW52" s="257" t="e">
        <f t="shared" ca="1" si="194"/>
        <v>#N/A</v>
      </c>
      <c r="AX52" s="257" t="e">
        <f t="shared" ca="1" si="194"/>
        <v>#N/A</v>
      </c>
      <c r="AY52" s="257" t="e">
        <f t="shared" ca="1" si="194"/>
        <v>#N/A</v>
      </c>
      <c r="AZ52" s="257" t="e">
        <f t="shared" ca="1" si="194"/>
        <v>#N/A</v>
      </c>
      <c r="BA52" s="257" t="e">
        <f t="shared" ca="1" si="194"/>
        <v>#N/A</v>
      </c>
      <c r="BB52" s="257" t="e">
        <f t="shared" ca="1" si="194"/>
        <v>#N/A</v>
      </c>
      <c r="BC52" s="257" t="e">
        <f t="shared" ca="1" si="194"/>
        <v>#N/A</v>
      </c>
      <c r="BD52" s="257" t="e">
        <f t="shared" ca="1" si="194"/>
        <v>#N/A</v>
      </c>
      <c r="BE52" s="257" t="e">
        <f t="shared" ca="1" si="194"/>
        <v>#N/A</v>
      </c>
      <c r="BF52" s="257" t="e">
        <f t="shared" ca="1" si="194"/>
        <v>#N/A</v>
      </c>
      <c r="BG52" s="257" t="e">
        <f t="shared" ca="1" si="194"/>
        <v>#N/A</v>
      </c>
      <c r="BH52" s="257" t="e">
        <f t="shared" ca="1" si="194"/>
        <v>#N/A</v>
      </c>
      <c r="BI52" s="257" t="e">
        <f t="shared" ca="1" si="194"/>
        <v>#N/A</v>
      </c>
      <c r="BJ52" s="257" t="e">
        <f t="shared" ca="1" si="194"/>
        <v>#N/A</v>
      </c>
      <c r="BK52" s="257" t="e">
        <f t="shared" ca="1" si="194"/>
        <v>#N/A</v>
      </c>
      <c r="BL52" s="257" t="e">
        <f t="shared" ca="1" si="194"/>
        <v>#N/A</v>
      </c>
      <c r="BM52" s="257" t="e">
        <f t="shared" ca="1" si="194"/>
        <v>#N/A</v>
      </c>
      <c r="BN52" s="257" t="e">
        <f t="shared" ca="1" si="194"/>
        <v>#N/A</v>
      </c>
      <c r="BO52" s="257" t="e">
        <f t="shared" ref="BO52:DA56" ca="1" si="195">IF(AND(ISNA(BP45),BO45&lt;&gt;""),BO45,NA())</f>
        <v>#N/A</v>
      </c>
      <c r="BP52" s="257" t="e">
        <f t="shared" ca="1" si="195"/>
        <v>#N/A</v>
      </c>
      <c r="BQ52" s="257" t="e">
        <f t="shared" ca="1" si="195"/>
        <v>#N/A</v>
      </c>
      <c r="BR52" s="257" t="e">
        <f t="shared" ca="1" si="195"/>
        <v>#N/A</v>
      </c>
      <c r="BS52" s="257" t="e">
        <f t="shared" ca="1" si="195"/>
        <v>#N/A</v>
      </c>
      <c r="BT52" s="257" t="e">
        <f t="shared" ca="1" si="195"/>
        <v>#N/A</v>
      </c>
      <c r="BU52" s="257" t="e">
        <f t="shared" ca="1" si="195"/>
        <v>#N/A</v>
      </c>
      <c r="BV52" s="257" t="e">
        <f t="shared" ca="1" si="195"/>
        <v>#N/A</v>
      </c>
      <c r="BW52" s="257" t="e">
        <f t="shared" ca="1" si="195"/>
        <v>#N/A</v>
      </c>
      <c r="BX52" s="257" t="e">
        <f t="shared" ca="1" si="195"/>
        <v>#N/A</v>
      </c>
      <c r="BY52" s="257" t="e">
        <f t="shared" ca="1" si="195"/>
        <v>#N/A</v>
      </c>
      <c r="BZ52" s="257" t="e">
        <f t="shared" ca="1" si="195"/>
        <v>#N/A</v>
      </c>
      <c r="CA52" s="257" t="e">
        <f t="shared" ca="1" si="195"/>
        <v>#N/A</v>
      </c>
      <c r="CB52" s="257" t="e">
        <f t="shared" ca="1" si="195"/>
        <v>#N/A</v>
      </c>
      <c r="CC52" s="257" t="e">
        <f t="shared" ca="1" si="195"/>
        <v>#N/A</v>
      </c>
      <c r="CD52" s="257" t="e">
        <f t="shared" ca="1" si="195"/>
        <v>#N/A</v>
      </c>
      <c r="CE52" s="257" t="e">
        <f t="shared" ca="1" si="195"/>
        <v>#N/A</v>
      </c>
      <c r="CF52" s="257" t="e">
        <f t="shared" ca="1" si="195"/>
        <v>#N/A</v>
      </c>
      <c r="CG52" s="257" t="e">
        <f t="shared" ca="1" si="195"/>
        <v>#N/A</v>
      </c>
      <c r="CH52" s="257" t="e">
        <f t="shared" ca="1" si="195"/>
        <v>#N/A</v>
      </c>
      <c r="CI52" s="257" t="e">
        <f t="shared" ca="1" si="195"/>
        <v>#N/A</v>
      </c>
      <c r="CJ52" s="257" t="e">
        <f t="shared" ca="1" si="195"/>
        <v>#N/A</v>
      </c>
      <c r="CK52" s="257" t="e">
        <f t="shared" ca="1" si="195"/>
        <v>#N/A</v>
      </c>
      <c r="CL52" s="257" t="e">
        <f t="shared" ca="1" si="195"/>
        <v>#N/A</v>
      </c>
      <c r="CM52" s="257" t="e">
        <f t="shared" ca="1" si="195"/>
        <v>#N/A</v>
      </c>
      <c r="CN52" s="257" t="e">
        <f t="shared" ca="1" si="195"/>
        <v>#N/A</v>
      </c>
      <c r="CO52" s="257" t="e">
        <f t="shared" ca="1" si="195"/>
        <v>#N/A</v>
      </c>
      <c r="CP52" s="257" t="e">
        <f t="shared" ca="1" si="195"/>
        <v>#N/A</v>
      </c>
      <c r="CQ52" s="257" t="e">
        <f t="shared" ca="1" si="195"/>
        <v>#N/A</v>
      </c>
      <c r="CR52" s="257" t="e">
        <f t="shared" ca="1" si="195"/>
        <v>#N/A</v>
      </c>
      <c r="CS52" s="257" t="e">
        <f t="shared" ca="1" si="195"/>
        <v>#N/A</v>
      </c>
      <c r="CT52" s="257" t="e">
        <f t="shared" ca="1" si="195"/>
        <v>#N/A</v>
      </c>
      <c r="CU52" s="257" t="e">
        <f t="shared" ca="1" si="195"/>
        <v>#N/A</v>
      </c>
      <c r="CV52" s="257" t="e">
        <f t="shared" ca="1" si="195"/>
        <v>#N/A</v>
      </c>
      <c r="CW52" s="257" t="e">
        <f t="shared" ca="1" si="195"/>
        <v>#N/A</v>
      </c>
      <c r="CX52" s="257">
        <f t="shared" ca="1" si="195"/>
        <v>4205.837133259186</v>
      </c>
      <c r="CY52" s="257" t="e">
        <f t="shared" ca="1" si="195"/>
        <v>#N/A</v>
      </c>
      <c r="CZ52" s="257" t="e">
        <f t="shared" ca="1" si="195"/>
        <v>#N/A</v>
      </c>
      <c r="DA52" s="257" t="e">
        <f t="shared" ca="1" si="195"/>
        <v>#N/A</v>
      </c>
      <c r="DC52" s="193"/>
    </row>
    <row r="53" spans="1:107" s="247" customFormat="1" x14ac:dyDescent="0.3">
      <c r="A53" s="189" t="s">
        <v>2694</v>
      </c>
      <c r="B53" s="257" t="e">
        <f t="shared" ref="B53:Q58" si="196">IF(AND(ISNA(C46),B46&lt;&gt;""),B46,NA())</f>
        <v>#N/A</v>
      </c>
      <c r="C53" s="257" t="e">
        <f t="shared" si="196"/>
        <v>#N/A</v>
      </c>
      <c r="D53" s="257" t="e">
        <f t="shared" si="196"/>
        <v>#N/A</v>
      </c>
      <c r="E53" s="257" t="e">
        <f t="shared" si="196"/>
        <v>#N/A</v>
      </c>
      <c r="F53" s="257" t="e">
        <f t="shared" si="196"/>
        <v>#N/A</v>
      </c>
      <c r="G53" s="257" t="e">
        <f t="shared" si="196"/>
        <v>#N/A</v>
      </c>
      <c r="H53" s="257" t="e">
        <f t="shared" si="196"/>
        <v>#N/A</v>
      </c>
      <c r="I53" s="257" t="e">
        <f t="shared" si="196"/>
        <v>#N/A</v>
      </c>
      <c r="J53" s="257" t="e">
        <f t="shared" si="196"/>
        <v>#N/A</v>
      </c>
      <c r="K53" s="257" t="e">
        <f t="shared" si="196"/>
        <v>#N/A</v>
      </c>
      <c r="L53" s="257" t="e">
        <f t="shared" si="196"/>
        <v>#N/A</v>
      </c>
      <c r="M53" s="257" t="e">
        <f t="shared" si="196"/>
        <v>#N/A</v>
      </c>
      <c r="N53" s="257" t="e">
        <f t="shared" si="196"/>
        <v>#N/A</v>
      </c>
      <c r="O53" s="257" t="e">
        <f t="shared" si="196"/>
        <v>#N/A</v>
      </c>
      <c r="P53" s="257" t="e">
        <f t="shared" si="196"/>
        <v>#N/A</v>
      </c>
      <c r="Q53" s="257" t="e">
        <f t="shared" si="196"/>
        <v>#N/A</v>
      </c>
      <c r="R53" s="257" t="e">
        <f t="shared" si="194"/>
        <v>#N/A</v>
      </c>
      <c r="S53" s="257" t="e">
        <f t="shared" si="194"/>
        <v>#N/A</v>
      </c>
      <c r="T53" s="257" t="e">
        <f t="shared" si="194"/>
        <v>#N/A</v>
      </c>
      <c r="U53" s="257" t="e">
        <f t="shared" si="194"/>
        <v>#N/A</v>
      </c>
      <c r="V53" s="257" t="e">
        <f t="shared" si="194"/>
        <v>#N/A</v>
      </c>
      <c r="W53" s="257" t="e">
        <f t="shared" si="194"/>
        <v>#N/A</v>
      </c>
      <c r="X53" s="257" t="e">
        <f t="shared" si="194"/>
        <v>#N/A</v>
      </c>
      <c r="Y53" s="257" t="e">
        <f t="shared" si="194"/>
        <v>#N/A</v>
      </c>
      <c r="Z53" s="257" t="e">
        <f t="shared" si="194"/>
        <v>#N/A</v>
      </c>
      <c r="AA53" s="257" t="e">
        <f t="shared" si="194"/>
        <v>#N/A</v>
      </c>
      <c r="AB53" s="257" t="e">
        <f t="shared" si="194"/>
        <v>#N/A</v>
      </c>
      <c r="AC53" s="257" t="e">
        <f t="shared" si="194"/>
        <v>#N/A</v>
      </c>
      <c r="AD53" s="257" t="e">
        <f t="shared" si="194"/>
        <v>#N/A</v>
      </c>
      <c r="AE53" s="257" t="e">
        <f t="shared" si="194"/>
        <v>#N/A</v>
      </c>
      <c r="AF53" s="257" t="e">
        <f t="shared" si="194"/>
        <v>#N/A</v>
      </c>
      <c r="AG53" s="257" t="e">
        <f t="shared" si="194"/>
        <v>#N/A</v>
      </c>
      <c r="AH53" s="257" t="e">
        <f t="shared" si="194"/>
        <v>#N/A</v>
      </c>
      <c r="AI53" s="257" t="e">
        <f t="shared" si="194"/>
        <v>#N/A</v>
      </c>
      <c r="AJ53" s="257" t="e">
        <f t="shared" si="194"/>
        <v>#N/A</v>
      </c>
      <c r="AK53" s="257" t="e">
        <f t="shared" si="194"/>
        <v>#N/A</v>
      </c>
      <c r="AL53" s="257" t="e">
        <f t="shared" si="194"/>
        <v>#N/A</v>
      </c>
      <c r="AM53" s="257" t="e">
        <f t="shared" si="194"/>
        <v>#N/A</v>
      </c>
      <c r="AN53" s="257" t="e">
        <f t="shared" si="194"/>
        <v>#N/A</v>
      </c>
      <c r="AO53" s="257" t="e">
        <f t="shared" si="194"/>
        <v>#N/A</v>
      </c>
      <c r="AP53" s="257" t="e">
        <f t="shared" si="194"/>
        <v>#N/A</v>
      </c>
      <c r="AQ53" s="257" t="e">
        <f t="shared" si="194"/>
        <v>#N/A</v>
      </c>
      <c r="AR53" s="257" t="e">
        <f t="shared" si="194"/>
        <v>#N/A</v>
      </c>
      <c r="AS53" s="257" t="e">
        <f t="shared" ca="1" si="194"/>
        <v>#N/A</v>
      </c>
      <c r="AT53" s="257" t="e">
        <f t="shared" ca="1" si="194"/>
        <v>#N/A</v>
      </c>
      <c r="AU53" s="257" t="e">
        <f t="shared" ca="1" si="194"/>
        <v>#N/A</v>
      </c>
      <c r="AV53" s="257" t="e">
        <f t="shared" ca="1" si="194"/>
        <v>#N/A</v>
      </c>
      <c r="AW53" s="257" t="e">
        <f t="shared" ca="1" si="194"/>
        <v>#N/A</v>
      </c>
      <c r="AX53" s="257" t="e">
        <f t="shared" ca="1" si="194"/>
        <v>#N/A</v>
      </c>
      <c r="AY53" s="257" t="e">
        <f t="shared" ca="1" si="194"/>
        <v>#N/A</v>
      </c>
      <c r="AZ53" s="257" t="e">
        <f t="shared" ca="1" si="194"/>
        <v>#N/A</v>
      </c>
      <c r="BA53" s="257" t="e">
        <f t="shared" ca="1" si="194"/>
        <v>#N/A</v>
      </c>
      <c r="BB53" s="257" t="e">
        <f t="shared" ca="1" si="194"/>
        <v>#N/A</v>
      </c>
      <c r="BC53" s="257" t="e">
        <f t="shared" ca="1" si="194"/>
        <v>#N/A</v>
      </c>
      <c r="BD53" s="257" t="e">
        <f t="shared" ca="1" si="194"/>
        <v>#N/A</v>
      </c>
      <c r="BE53" s="257" t="e">
        <f t="shared" ca="1" si="194"/>
        <v>#N/A</v>
      </c>
      <c r="BF53" s="257" t="e">
        <f t="shared" ca="1" si="194"/>
        <v>#N/A</v>
      </c>
      <c r="BG53" s="257" t="e">
        <f t="shared" ca="1" si="194"/>
        <v>#N/A</v>
      </c>
      <c r="BH53" s="257" t="e">
        <f t="shared" ca="1" si="194"/>
        <v>#N/A</v>
      </c>
      <c r="BI53" s="257" t="e">
        <f t="shared" ca="1" si="194"/>
        <v>#N/A</v>
      </c>
      <c r="BJ53" s="257" t="e">
        <f t="shared" ca="1" si="194"/>
        <v>#N/A</v>
      </c>
      <c r="BK53" s="257" t="e">
        <f t="shared" ca="1" si="194"/>
        <v>#N/A</v>
      </c>
      <c r="BL53" s="257" t="e">
        <f t="shared" ca="1" si="194"/>
        <v>#N/A</v>
      </c>
      <c r="BM53" s="257" t="e">
        <f t="shared" ca="1" si="194"/>
        <v>#N/A</v>
      </c>
      <c r="BN53" s="257" t="e">
        <f t="shared" ca="1" si="194"/>
        <v>#N/A</v>
      </c>
      <c r="BO53" s="257" t="e">
        <f t="shared" ca="1" si="195"/>
        <v>#N/A</v>
      </c>
      <c r="BP53" s="257" t="e">
        <f t="shared" ca="1" si="195"/>
        <v>#N/A</v>
      </c>
      <c r="BQ53" s="257" t="e">
        <f t="shared" ca="1" si="195"/>
        <v>#N/A</v>
      </c>
      <c r="BR53" s="257" t="e">
        <f t="shared" ca="1" si="195"/>
        <v>#N/A</v>
      </c>
      <c r="BS53" s="257" t="e">
        <f t="shared" ca="1" si="195"/>
        <v>#N/A</v>
      </c>
      <c r="BT53" s="257" t="e">
        <f t="shared" ca="1" si="195"/>
        <v>#N/A</v>
      </c>
      <c r="BU53" s="257" t="e">
        <f t="shared" ca="1" si="195"/>
        <v>#N/A</v>
      </c>
      <c r="BV53" s="257" t="e">
        <f t="shared" ca="1" si="195"/>
        <v>#N/A</v>
      </c>
      <c r="BW53" s="257" t="e">
        <f t="shared" ca="1" si="195"/>
        <v>#N/A</v>
      </c>
      <c r="BX53" s="257" t="e">
        <f t="shared" ca="1" si="195"/>
        <v>#N/A</v>
      </c>
      <c r="BY53" s="257" t="e">
        <f t="shared" ca="1" si="195"/>
        <v>#N/A</v>
      </c>
      <c r="BZ53" s="257" t="e">
        <f t="shared" ca="1" si="195"/>
        <v>#N/A</v>
      </c>
      <c r="CA53" s="257" t="e">
        <f t="shared" ca="1" si="195"/>
        <v>#N/A</v>
      </c>
      <c r="CB53" s="257" t="e">
        <f t="shared" ca="1" si="195"/>
        <v>#N/A</v>
      </c>
      <c r="CC53" s="257" t="e">
        <f t="shared" ca="1" si="195"/>
        <v>#N/A</v>
      </c>
      <c r="CD53" s="257" t="e">
        <f t="shared" ca="1" si="195"/>
        <v>#N/A</v>
      </c>
      <c r="CE53" s="257" t="e">
        <f t="shared" ca="1" si="195"/>
        <v>#N/A</v>
      </c>
      <c r="CF53" s="257" t="e">
        <f t="shared" ca="1" si="195"/>
        <v>#N/A</v>
      </c>
      <c r="CG53" s="257" t="e">
        <f t="shared" ca="1" si="195"/>
        <v>#N/A</v>
      </c>
      <c r="CH53" s="257" t="e">
        <f t="shared" ca="1" si="195"/>
        <v>#N/A</v>
      </c>
      <c r="CI53" s="257" t="e">
        <f t="shared" ca="1" si="195"/>
        <v>#N/A</v>
      </c>
      <c r="CJ53" s="257" t="e">
        <f t="shared" ca="1" si="195"/>
        <v>#N/A</v>
      </c>
      <c r="CK53" s="257" t="e">
        <f t="shared" ca="1" si="195"/>
        <v>#N/A</v>
      </c>
      <c r="CL53" s="257" t="e">
        <f t="shared" ca="1" si="195"/>
        <v>#N/A</v>
      </c>
      <c r="CM53" s="257" t="e">
        <f t="shared" ca="1" si="195"/>
        <v>#N/A</v>
      </c>
      <c r="CN53" s="257" t="e">
        <f t="shared" ca="1" si="195"/>
        <v>#N/A</v>
      </c>
      <c r="CO53" s="257" t="e">
        <f t="shared" ca="1" si="195"/>
        <v>#N/A</v>
      </c>
      <c r="CP53" s="257" t="e">
        <f t="shared" ca="1" si="195"/>
        <v>#N/A</v>
      </c>
      <c r="CQ53" s="257" t="e">
        <f t="shared" ca="1" si="195"/>
        <v>#N/A</v>
      </c>
      <c r="CR53" s="257" t="e">
        <f t="shared" ca="1" si="195"/>
        <v>#N/A</v>
      </c>
      <c r="CS53" s="257" t="e">
        <f t="shared" ca="1" si="195"/>
        <v>#N/A</v>
      </c>
      <c r="CT53" s="257" t="e">
        <f t="shared" ca="1" si="195"/>
        <v>#N/A</v>
      </c>
      <c r="CU53" s="257" t="e">
        <f t="shared" ca="1" si="195"/>
        <v>#N/A</v>
      </c>
      <c r="CV53" s="257" t="e">
        <f t="shared" ca="1" si="195"/>
        <v>#N/A</v>
      </c>
      <c r="CW53" s="257" t="e">
        <f t="shared" ca="1" si="195"/>
        <v>#N/A</v>
      </c>
      <c r="CX53" s="257">
        <f t="shared" ca="1" si="195"/>
        <v>2156.8685236203673</v>
      </c>
      <c r="CY53" s="257" t="e">
        <f t="shared" ca="1" si="195"/>
        <v>#N/A</v>
      </c>
      <c r="CZ53" s="257" t="e">
        <f t="shared" ca="1" si="195"/>
        <v>#N/A</v>
      </c>
      <c r="DA53" s="257" t="e">
        <f t="shared" ca="1" si="195"/>
        <v>#N/A</v>
      </c>
      <c r="DC53" s="193"/>
    </row>
    <row r="54" spans="1:107" s="247" customFormat="1" x14ac:dyDescent="0.3">
      <c r="A54" s="189" t="s">
        <v>2695</v>
      </c>
      <c r="B54" s="257" t="e">
        <f t="shared" si="196"/>
        <v>#N/A</v>
      </c>
      <c r="C54" s="257" t="e">
        <f t="shared" ref="C54:BN57" si="197">IF(AND(ISNA(D47),C47&lt;&gt;""),C47,NA())</f>
        <v>#N/A</v>
      </c>
      <c r="D54" s="257" t="e">
        <f t="shared" si="197"/>
        <v>#N/A</v>
      </c>
      <c r="E54" s="257" t="e">
        <f t="shared" si="197"/>
        <v>#N/A</v>
      </c>
      <c r="F54" s="257" t="e">
        <f t="shared" si="197"/>
        <v>#N/A</v>
      </c>
      <c r="G54" s="257" t="e">
        <f t="shared" si="197"/>
        <v>#N/A</v>
      </c>
      <c r="H54" s="257" t="e">
        <f t="shared" si="197"/>
        <v>#N/A</v>
      </c>
      <c r="I54" s="257" t="e">
        <f t="shared" si="197"/>
        <v>#N/A</v>
      </c>
      <c r="J54" s="257" t="e">
        <f t="shared" si="197"/>
        <v>#N/A</v>
      </c>
      <c r="K54" s="257" t="e">
        <f t="shared" si="197"/>
        <v>#N/A</v>
      </c>
      <c r="L54" s="257" t="e">
        <f t="shared" si="197"/>
        <v>#N/A</v>
      </c>
      <c r="M54" s="257" t="e">
        <f t="shared" si="197"/>
        <v>#N/A</v>
      </c>
      <c r="N54" s="257" t="e">
        <f t="shared" si="197"/>
        <v>#N/A</v>
      </c>
      <c r="O54" s="257" t="e">
        <f t="shared" si="197"/>
        <v>#N/A</v>
      </c>
      <c r="P54" s="257" t="e">
        <f t="shared" si="197"/>
        <v>#N/A</v>
      </c>
      <c r="Q54" s="257" t="e">
        <f t="shared" si="197"/>
        <v>#N/A</v>
      </c>
      <c r="R54" s="257" t="e">
        <f t="shared" si="197"/>
        <v>#N/A</v>
      </c>
      <c r="S54" s="257" t="e">
        <f t="shared" si="197"/>
        <v>#N/A</v>
      </c>
      <c r="T54" s="257" t="e">
        <f t="shared" si="197"/>
        <v>#N/A</v>
      </c>
      <c r="U54" s="257" t="e">
        <f t="shared" si="197"/>
        <v>#N/A</v>
      </c>
      <c r="V54" s="257" t="e">
        <f t="shared" si="197"/>
        <v>#N/A</v>
      </c>
      <c r="W54" s="257" t="e">
        <f t="shared" si="197"/>
        <v>#N/A</v>
      </c>
      <c r="X54" s="257" t="e">
        <f t="shared" si="197"/>
        <v>#N/A</v>
      </c>
      <c r="Y54" s="257" t="e">
        <f t="shared" si="197"/>
        <v>#N/A</v>
      </c>
      <c r="Z54" s="257" t="e">
        <f t="shared" si="197"/>
        <v>#N/A</v>
      </c>
      <c r="AA54" s="257" t="e">
        <f t="shared" si="197"/>
        <v>#N/A</v>
      </c>
      <c r="AB54" s="257" t="e">
        <f t="shared" si="197"/>
        <v>#N/A</v>
      </c>
      <c r="AC54" s="257" t="e">
        <f t="shared" si="197"/>
        <v>#N/A</v>
      </c>
      <c r="AD54" s="257" t="e">
        <f t="shared" si="197"/>
        <v>#N/A</v>
      </c>
      <c r="AE54" s="257" t="e">
        <f t="shared" si="197"/>
        <v>#N/A</v>
      </c>
      <c r="AF54" s="257" t="e">
        <f t="shared" si="197"/>
        <v>#N/A</v>
      </c>
      <c r="AG54" s="257" t="e">
        <f t="shared" si="197"/>
        <v>#N/A</v>
      </c>
      <c r="AH54" s="257" t="e">
        <f t="shared" si="197"/>
        <v>#N/A</v>
      </c>
      <c r="AI54" s="257" t="e">
        <f t="shared" si="197"/>
        <v>#N/A</v>
      </c>
      <c r="AJ54" s="257" t="e">
        <f t="shared" si="197"/>
        <v>#N/A</v>
      </c>
      <c r="AK54" s="257" t="e">
        <f t="shared" si="197"/>
        <v>#N/A</v>
      </c>
      <c r="AL54" s="257" t="e">
        <f t="shared" si="197"/>
        <v>#N/A</v>
      </c>
      <c r="AM54" s="257" t="e">
        <f t="shared" si="197"/>
        <v>#N/A</v>
      </c>
      <c r="AN54" s="257" t="e">
        <f t="shared" si="197"/>
        <v>#N/A</v>
      </c>
      <c r="AO54" s="257" t="e">
        <f t="shared" si="197"/>
        <v>#N/A</v>
      </c>
      <c r="AP54" s="257" t="e">
        <f t="shared" si="197"/>
        <v>#N/A</v>
      </c>
      <c r="AQ54" s="257" t="e">
        <f t="shared" si="197"/>
        <v>#N/A</v>
      </c>
      <c r="AR54" s="257" t="e">
        <f t="shared" si="197"/>
        <v>#N/A</v>
      </c>
      <c r="AS54" s="257" t="e">
        <f t="shared" ca="1" si="197"/>
        <v>#N/A</v>
      </c>
      <c r="AT54" s="257" t="e">
        <f t="shared" ca="1" si="197"/>
        <v>#N/A</v>
      </c>
      <c r="AU54" s="257" t="e">
        <f t="shared" ca="1" si="197"/>
        <v>#N/A</v>
      </c>
      <c r="AV54" s="257" t="e">
        <f t="shared" ca="1" si="197"/>
        <v>#N/A</v>
      </c>
      <c r="AW54" s="257" t="e">
        <f t="shared" ca="1" si="197"/>
        <v>#N/A</v>
      </c>
      <c r="AX54" s="257" t="e">
        <f t="shared" ca="1" si="197"/>
        <v>#N/A</v>
      </c>
      <c r="AY54" s="257" t="e">
        <f t="shared" ca="1" si="197"/>
        <v>#N/A</v>
      </c>
      <c r="AZ54" s="257" t="e">
        <f t="shared" ca="1" si="197"/>
        <v>#N/A</v>
      </c>
      <c r="BA54" s="257" t="e">
        <f t="shared" ca="1" si="197"/>
        <v>#N/A</v>
      </c>
      <c r="BB54" s="257" t="e">
        <f t="shared" ca="1" si="197"/>
        <v>#N/A</v>
      </c>
      <c r="BC54" s="257" t="e">
        <f t="shared" ca="1" si="197"/>
        <v>#N/A</v>
      </c>
      <c r="BD54" s="257" t="e">
        <f t="shared" ca="1" si="197"/>
        <v>#N/A</v>
      </c>
      <c r="BE54" s="257" t="e">
        <f t="shared" ca="1" si="197"/>
        <v>#N/A</v>
      </c>
      <c r="BF54" s="257" t="e">
        <f t="shared" ca="1" si="197"/>
        <v>#N/A</v>
      </c>
      <c r="BG54" s="257" t="e">
        <f t="shared" ca="1" si="197"/>
        <v>#N/A</v>
      </c>
      <c r="BH54" s="257" t="e">
        <f t="shared" ca="1" si="197"/>
        <v>#N/A</v>
      </c>
      <c r="BI54" s="257" t="e">
        <f t="shared" ca="1" si="197"/>
        <v>#N/A</v>
      </c>
      <c r="BJ54" s="257" t="e">
        <f t="shared" ca="1" si="197"/>
        <v>#N/A</v>
      </c>
      <c r="BK54" s="257" t="e">
        <f t="shared" ca="1" si="197"/>
        <v>#N/A</v>
      </c>
      <c r="BL54" s="257" t="e">
        <f t="shared" ca="1" si="197"/>
        <v>#N/A</v>
      </c>
      <c r="BM54" s="257" t="e">
        <f t="shared" ca="1" si="197"/>
        <v>#N/A</v>
      </c>
      <c r="BN54" s="257" t="e">
        <f t="shared" ca="1" si="197"/>
        <v>#N/A</v>
      </c>
      <c r="BO54" s="257" t="e">
        <f t="shared" ca="1" si="195"/>
        <v>#N/A</v>
      </c>
      <c r="BP54" s="257" t="e">
        <f t="shared" ca="1" si="195"/>
        <v>#N/A</v>
      </c>
      <c r="BQ54" s="257" t="e">
        <f t="shared" ca="1" si="195"/>
        <v>#N/A</v>
      </c>
      <c r="BR54" s="257" t="e">
        <f t="shared" ca="1" si="195"/>
        <v>#N/A</v>
      </c>
      <c r="BS54" s="257" t="e">
        <f t="shared" ca="1" si="195"/>
        <v>#N/A</v>
      </c>
      <c r="BT54" s="257" t="e">
        <f t="shared" ca="1" si="195"/>
        <v>#N/A</v>
      </c>
      <c r="BU54" s="257" t="e">
        <f t="shared" ca="1" si="195"/>
        <v>#N/A</v>
      </c>
      <c r="BV54" s="257" t="e">
        <f t="shared" ca="1" si="195"/>
        <v>#N/A</v>
      </c>
      <c r="BW54" s="257" t="e">
        <f t="shared" ca="1" si="195"/>
        <v>#N/A</v>
      </c>
      <c r="BX54" s="257" t="e">
        <f t="shared" ca="1" si="195"/>
        <v>#N/A</v>
      </c>
      <c r="BY54" s="257" t="e">
        <f t="shared" ca="1" si="195"/>
        <v>#N/A</v>
      </c>
      <c r="BZ54" s="257" t="e">
        <f t="shared" ca="1" si="195"/>
        <v>#N/A</v>
      </c>
      <c r="CA54" s="257" t="e">
        <f t="shared" ca="1" si="195"/>
        <v>#N/A</v>
      </c>
      <c r="CB54" s="257" t="e">
        <f t="shared" ca="1" si="195"/>
        <v>#N/A</v>
      </c>
      <c r="CC54" s="257" t="e">
        <f t="shared" ca="1" si="195"/>
        <v>#N/A</v>
      </c>
      <c r="CD54" s="257" t="e">
        <f t="shared" ca="1" si="195"/>
        <v>#N/A</v>
      </c>
      <c r="CE54" s="257" t="e">
        <f t="shared" ca="1" si="195"/>
        <v>#N/A</v>
      </c>
      <c r="CF54" s="257" t="e">
        <f t="shared" ca="1" si="195"/>
        <v>#N/A</v>
      </c>
      <c r="CG54" s="257" t="e">
        <f t="shared" ca="1" si="195"/>
        <v>#N/A</v>
      </c>
      <c r="CH54" s="257" t="e">
        <f t="shared" ca="1" si="195"/>
        <v>#N/A</v>
      </c>
      <c r="CI54" s="257" t="e">
        <f t="shared" ca="1" si="195"/>
        <v>#N/A</v>
      </c>
      <c r="CJ54" s="257" t="e">
        <f t="shared" ca="1" si="195"/>
        <v>#N/A</v>
      </c>
      <c r="CK54" s="257" t="e">
        <f t="shared" ca="1" si="195"/>
        <v>#N/A</v>
      </c>
      <c r="CL54" s="257" t="e">
        <f t="shared" ca="1" si="195"/>
        <v>#N/A</v>
      </c>
      <c r="CM54" s="257" t="e">
        <f t="shared" ca="1" si="195"/>
        <v>#N/A</v>
      </c>
      <c r="CN54" s="257" t="e">
        <f t="shared" ca="1" si="195"/>
        <v>#N/A</v>
      </c>
      <c r="CO54" s="257" t="e">
        <f t="shared" ca="1" si="195"/>
        <v>#N/A</v>
      </c>
      <c r="CP54" s="257" t="e">
        <f t="shared" ca="1" si="195"/>
        <v>#N/A</v>
      </c>
      <c r="CQ54" s="257" t="e">
        <f t="shared" ca="1" si="195"/>
        <v>#N/A</v>
      </c>
      <c r="CR54" s="257" t="e">
        <f t="shared" ca="1" si="195"/>
        <v>#N/A</v>
      </c>
      <c r="CS54" s="257" t="e">
        <f t="shared" ca="1" si="195"/>
        <v>#N/A</v>
      </c>
      <c r="CT54" s="257" t="e">
        <f t="shared" ca="1" si="195"/>
        <v>#N/A</v>
      </c>
      <c r="CU54" s="257" t="e">
        <f t="shared" ca="1" si="195"/>
        <v>#N/A</v>
      </c>
      <c r="CV54" s="257" t="e">
        <f t="shared" ca="1" si="195"/>
        <v>#N/A</v>
      </c>
      <c r="CW54" s="257" t="e">
        <f t="shared" ca="1" si="195"/>
        <v>#N/A</v>
      </c>
      <c r="CX54" s="257">
        <f t="shared" ca="1" si="195"/>
        <v>1755.7127879827153</v>
      </c>
      <c r="CY54" s="257" t="e">
        <f t="shared" ca="1" si="195"/>
        <v>#N/A</v>
      </c>
      <c r="CZ54" s="257" t="e">
        <f t="shared" ca="1" si="195"/>
        <v>#N/A</v>
      </c>
      <c r="DA54" s="257" t="e">
        <f t="shared" ca="1" si="195"/>
        <v>#N/A</v>
      </c>
      <c r="DC54" s="193"/>
    </row>
    <row r="55" spans="1:107" s="247" customFormat="1" x14ac:dyDescent="0.3">
      <c r="A55" s="189" t="s">
        <v>2696</v>
      </c>
      <c r="B55" s="257" t="e">
        <f t="shared" si="196"/>
        <v>#N/A</v>
      </c>
      <c r="C55" s="257" t="e">
        <f t="shared" si="197"/>
        <v>#N/A</v>
      </c>
      <c r="D55" s="257" t="e">
        <f t="shared" si="197"/>
        <v>#N/A</v>
      </c>
      <c r="E55" s="257" t="e">
        <f t="shared" si="197"/>
        <v>#N/A</v>
      </c>
      <c r="F55" s="257" t="e">
        <f t="shared" si="197"/>
        <v>#N/A</v>
      </c>
      <c r="G55" s="257" t="e">
        <f t="shared" si="197"/>
        <v>#N/A</v>
      </c>
      <c r="H55" s="257" t="e">
        <f t="shared" si="197"/>
        <v>#N/A</v>
      </c>
      <c r="I55" s="257" t="e">
        <f t="shared" si="197"/>
        <v>#N/A</v>
      </c>
      <c r="J55" s="257" t="e">
        <f t="shared" si="197"/>
        <v>#N/A</v>
      </c>
      <c r="K55" s="257" t="e">
        <f t="shared" si="197"/>
        <v>#N/A</v>
      </c>
      <c r="L55" s="257" t="e">
        <f t="shared" si="197"/>
        <v>#N/A</v>
      </c>
      <c r="M55" s="257" t="e">
        <f t="shared" si="197"/>
        <v>#N/A</v>
      </c>
      <c r="N55" s="257" t="e">
        <f t="shared" si="197"/>
        <v>#N/A</v>
      </c>
      <c r="O55" s="257" t="e">
        <f t="shared" si="197"/>
        <v>#N/A</v>
      </c>
      <c r="P55" s="257" t="e">
        <f t="shared" si="197"/>
        <v>#N/A</v>
      </c>
      <c r="Q55" s="257" t="e">
        <f t="shared" si="197"/>
        <v>#N/A</v>
      </c>
      <c r="R55" s="257" t="e">
        <f t="shared" si="197"/>
        <v>#N/A</v>
      </c>
      <c r="S55" s="257" t="e">
        <f t="shared" si="197"/>
        <v>#N/A</v>
      </c>
      <c r="T55" s="257" t="e">
        <f t="shared" si="197"/>
        <v>#N/A</v>
      </c>
      <c r="U55" s="257" t="e">
        <f t="shared" si="197"/>
        <v>#N/A</v>
      </c>
      <c r="V55" s="257" t="e">
        <f t="shared" si="197"/>
        <v>#N/A</v>
      </c>
      <c r="W55" s="257" t="e">
        <f t="shared" si="197"/>
        <v>#N/A</v>
      </c>
      <c r="X55" s="257" t="e">
        <f t="shared" si="197"/>
        <v>#N/A</v>
      </c>
      <c r="Y55" s="257" t="e">
        <f t="shared" si="197"/>
        <v>#N/A</v>
      </c>
      <c r="Z55" s="257" t="e">
        <f t="shared" si="197"/>
        <v>#N/A</v>
      </c>
      <c r="AA55" s="257" t="e">
        <f t="shared" si="197"/>
        <v>#N/A</v>
      </c>
      <c r="AB55" s="257" t="e">
        <f t="shared" si="197"/>
        <v>#N/A</v>
      </c>
      <c r="AC55" s="257" t="e">
        <f t="shared" si="197"/>
        <v>#N/A</v>
      </c>
      <c r="AD55" s="257" t="e">
        <f t="shared" si="197"/>
        <v>#N/A</v>
      </c>
      <c r="AE55" s="257" t="e">
        <f t="shared" si="197"/>
        <v>#N/A</v>
      </c>
      <c r="AF55" s="257" t="e">
        <f t="shared" si="197"/>
        <v>#N/A</v>
      </c>
      <c r="AG55" s="257" t="e">
        <f t="shared" si="197"/>
        <v>#N/A</v>
      </c>
      <c r="AH55" s="257" t="e">
        <f t="shared" si="197"/>
        <v>#N/A</v>
      </c>
      <c r="AI55" s="257" t="e">
        <f t="shared" si="197"/>
        <v>#N/A</v>
      </c>
      <c r="AJ55" s="257" t="e">
        <f t="shared" si="197"/>
        <v>#N/A</v>
      </c>
      <c r="AK55" s="257" t="e">
        <f t="shared" si="197"/>
        <v>#N/A</v>
      </c>
      <c r="AL55" s="257" t="e">
        <f t="shared" si="197"/>
        <v>#N/A</v>
      </c>
      <c r="AM55" s="257" t="e">
        <f t="shared" si="197"/>
        <v>#N/A</v>
      </c>
      <c r="AN55" s="257" t="e">
        <f t="shared" si="197"/>
        <v>#N/A</v>
      </c>
      <c r="AO55" s="257" t="e">
        <f t="shared" si="197"/>
        <v>#N/A</v>
      </c>
      <c r="AP55" s="257" t="e">
        <f t="shared" si="197"/>
        <v>#N/A</v>
      </c>
      <c r="AQ55" s="257" t="e">
        <f t="shared" si="197"/>
        <v>#N/A</v>
      </c>
      <c r="AR55" s="257" t="e">
        <f t="shared" si="197"/>
        <v>#N/A</v>
      </c>
      <c r="AS55" s="257" t="e">
        <f t="shared" ca="1" si="197"/>
        <v>#N/A</v>
      </c>
      <c r="AT55" s="257" t="e">
        <f t="shared" ca="1" si="197"/>
        <v>#N/A</v>
      </c>
      <c r="AU55" s="257" t="e">
        <f t="shared" ca="1" si="197"/>
        <v>#N/A</v>
      </c>
      <c r="AV55" s="257" t="e">
        <f t="shared" ca="1" si="197"/>
        <v>#N/A</v>
      </c>
      <c r="AW55" s="257" t="e">
        <f t="shared" ca="1" si="197"/>
        <v>#N/A</v>
      </c>
      <c r="AX55" s="257" t="e">
        <f t="shared" ca="1" si="197"/>
        <v>#N/A</v>
      </c>
      <c r="AY55" s="257" t="e">
        <f t="shared" ca="1" si="197"/>
        <v>#N/A</v>
      </c>
      <c r="AZ55" s="257" t="e">
        <f t="shared" ca="1" si="197"/>
        <v>#N/A</v>
      </c>
      <c r="BA55" s="257" t="e">
        <f t="shared" ca="1" si="197"/>
        <v>#N/A</v>
      </c>
      <c r="BB55" s="257" t="e">
        <f t="shared" ca="1" si="197"/>
        <v>#N/A</v>
      </c>
      <c r="BC55" s="257" t="e">
        <f t="shared" ca="1" si="197"/>
        <v>#N/A</v>
      </c>
      <c r="BD55" s="257" t="e">
        <f t="shared" ca="1" si="197"/>
        <v>#N/A</v>
      </c>
      <c r="BE55" s="257" t="e">
        <f t="shared" ca="1" si="197"/>
        <v>#N/A</v>
      </c>
      <c r="BF55" s="257" t="e">
        <f t="shared" ca="1" si="197"/>
        <v>#N/A</v>
      </c>
      <c r="BG55" s="257" t="e">
        <f t="shared" ca="1" si="197"/>
        <v>#N/A</v>
      </c>
      <c r="BH55" s="257" t="e">
        <f t="shared" ca="1" si="197"/>
        <v>#N/A</v>
      </c>
      <c r="BI55" s="257" t="e">
        <f t="shared" ca="1" si="197"/>
        <v>#N/A</v>
      </c>
      <c r="BJ55" s="257" t="e">
        <f t="shared" ca="1" si="197"/>
        <v>#N/A</v>
      </c>
      <c r="BK55" s="257" t="e">
        <f t="shared" ca="1" si="197"/>
        <v>#N/A</v>
      </c>
      <c r="BL55" s="257" t="e">
        <f t="shared" ca="1" si="197"/>
        <v>#N/A</v>
      </c>
      <c r="BM55" s="257" t="e">
        <f t="shared" ca="1" si="197"/>
        <v>#N/A</v>
      </c>
      <c r="BN55" s="257" t="e">
        <f t="shared" ca="1" si="197"/>
        <v>#N/A</v>
      </c>
      <c r="BO55" s="257" t="e">
        <f t="shared" ca="1" si="195"/>
        <v>#N/A</v>
      </c>
      <c r="BP55" s="257" t="e">
        <f t="shared" ca="1" si="195"/>
        <v>#N/A</v>
      </c>
      <c r="BQ55" s="257" t="e">
        <f t="shared" ca="1" si="195"/>
        <v>#N/A</v>
      </c>
      <c r="BR55" s="257" t="e">
        <f t="shared" ca="1" si="195"/>
        <v>#N/A</v>
      </c>
      <c r="BS55" s="257" t="e">
        <f t="shared" ca="1" si="195"/>
        <v>#N/A</v>
      </c>
      <c r="BT55" s="257" t="e">
        <f t="shared" ca="1" si="195"/>
        <v>#N/A</v>
      </c>
      <c r="BU55" s="257" t="e">
        <f t="shared" ca="1" si="195"/>
        <v>#N/A</v>
      </c>
      <c r="BV55" s="257" t="e">
        <f t="shared" ca="1" si="195"/>
        <v>#N/A</v>
      </c>
      <c r="BW55" s="257" t="e">
        <f t="shared" ca="1" si="195"/>
        <v>#N/A</v>
      </c>
      <c r="BX55" s="257" t="e">
        <f t="shared" ca="1" si="195"/>
        <v>#N/A</v>
      </c>
      <c r="BY55" s="257" t="e">
        <f t="shared" ca="1" si="195"/>
        <v>#N/A</v>
      </c>
      <c r="BZ55" s="257" t="e">
        <f t="shared" ca="1" si="195"/>
        <v>#N/A</v>
      </c>
      <c r="CA55" s="257" t="e">
        <f t="shared" ca="1" si="195"/>
        <v>#N/A</v>
      </c>
      <c r="CB55" s="257" t="e">
        <f t="shared" ca="1" si="195"/>
        <v>#N/A</v>
      </c>
      <c r="CC55" s="257" t="e">
        <f t="shared" ca="1" si="195"/>
        <v>#N/A</v>
      </c>
      <c r="CD55" s="257" t="e">
        <f t="shared" ca="1" si="195"/>
        <v>#N/A</v>
      </c>
      <c r="CE55" s="257" t="e">
        <f t="shared" ca="1" si="195"/>
        <v>#N/A</v>
      </c>
      <c r="CF55" s="257" t="e">
        <f t="shared" ca="1" si="195"/>
        <v>#N/A</v>
      </c>
      <c r="CG55" s="257" t="e">
        <f t="shared" ca="1" si="195"/>
        <v>#N/A</v>
      </c>
      <c r="CH55" s="257" t="e">
        <f t="shared" ca="1" si="195"/>
        <v>#N/A</v>
      </c>
      <c r="CI55" s="257" t="e">
        <f t="shared" ca="1" si="195"/>
        <v>#N/A</v>
      </c>
      <c r="CJ55" s="257" t="e">
        <f t="shared" ca="1" si="195"/>
        <v>#N/A</v>
      </c>
      <c r="CK55" s="257" t="e">
        <f t="shared" ca="1" si="195"/>
        <v>#N/A</v>
      </c>
      <c r="CL55" s="257" t="e">
        <f t="shared" ca="1" si="195"/>
        <v>#N/A</v>
      </c>
      <c r="CM55" s="257" t="e">
        <f t="shared" ca="1" si="195"/>
        <v>#N/A</v>
      </c>
      <c r="CN55" s="257" t="e">
        <f t="shared" ca="1" si="195"/>
        <v>#N/A</v>
      </c>
      <c r="CO55" s="257" t="e">
        <f t="shared" ca="1" si="195"/>
        <v>#N/A</v>
      </c>
      <c r="CP55" s="257" t="e">
        <f t="shared" ca="1" si="195"/>
        <v>#N/A</v>
      </c>
      <c r="CQ55" s="257" t="e">
        <f t="shared" ca="1" si="195"/>
        <v>#N/A</v>
      </c>
      <c r="CR55" s="257" t="e">
        <f t="shared" ca="1" si="195"/>
        <v>#N/A</v>
      </c>
      <c r="CS55" s="257" t="e">
        <f t="shared" ca="1" si="195"/>
        <v>#N/A</v>
      </c>
      <c r="CT55" s="257" t="e">
        <f t="shared" ca="1" si="195"/>
        <v>#N/A</v>
      </c>
      <c r="CU55" s="257" t="e">
        <f t="shared" ca="1" si="195"/>
        <v>#N/A</v>
      </c>
      <c r="CV55" s="257" t="e">
        <f t="shared" ca="1" si="195"/>
        <v>#N/A</v>
      </c>
      <c r="CW55" s="257" t="e">
        <f t="shared" ca="1" si="195"/>
        <v>#N/A</v>
      </c>
      <c r="CX55" s="257">
        <f t="shared" ca="1" si="195"/>
        <v>1927.7544333118972</v>
      </c>
      <c r="CY55" s="257" t="e">
        <f t="shared" ca="1" si="195"/>
        <v>#N/A</v>
      </c>
      <c r="CZ55" s="257" t="e">
        <f t="shared" ca="1" si="195"/>
        <v>#N/A</v>
      </c>
      <c r="DA55" s="257" t="e">
        <f t="shared" ca="1" si="195"/>
        <v>#N/A</v>
      </c>
      <c r="DC55" s="193"/>
    </row>
    <row r="56" spans="1:107" s="247" customFormat="1" x14ac:dyDescent="0.3">
      <c r="A56" s="189" t="s">
        <v>2697</v>
      </c>
      <c r="B56" s="257" t="e">
        <f t="shared" si="196"/>
        <v>#N/A</v>
      </c>
      <c r="C56" s="257" t="e">
        <f t="shared" si="197"/>
        <v>#N/A</v>
      </c>
      <c r="D56" s="257" t="e">
        <f t="shared" si="197"/>
        <v>#N/A</v>
      </c>
      <c r="E56" s="257" t="e">
        <f t="shared" si="197"/>
        <v>#N/A</v>
      </c>
      <c r="F56" s="257" t="e">
        <f t="shared" si="197"/>
        <v>#N/A</v>
      </c>
      <c r="G56" s="257" t="e">
        <f t="shared" si="197"/>
        <v>#N/A</v>
      </c>
      <c r="H56" s="257" t="e">
        <f t="shared" si="197"/>
        <v>#N/A</v>
      </c>
      <c r="I56" s="257" t="e">
        <f t="shared" si="197"/>
        <v>#N/A</v>
      </c>
      <c r="J56" s="257" t="e">
        <f t="shared" si="197"/>
        <v>#N/A</v>
      </c>
      <c r="K56" s="257" t="e">
        <f t="shared" si="197"/>
        <v>#N/A</v>
      </c>
      <c r="L56" s="257" t="e">
        <f t="shared" si="197"/>
        <v>#N/A</v>
      </c>
      <c r="M56" s="257" t="e">
        <f t="shared" si="197"/>
        <v>#N/A</v>
      </c>
      <c r="N56" s="257" t="e">
        <f t="shared" si="197"/>
        <v>#N/A</v>
      </c>
      <c r="O56" s="257" t="e">
        <f t="shared" si="197"/>
        <v>#N/A</v>
      </c>
      <c r="P56" s="257" t="e">
        <f t="shared" si="197"/>
        <v>#N/A</v>
      </c>
      <c r="Q56" s="257" t="e">
        <f t="shared" si="197"/>
        <v>#N/A</v>
      </c>
      <c r="R56" s="257" t="e">
        <f t="shared" si="197"/>
        <v>#N/A</v>
      </c>
      <c r="S56" s="257" t="e">
        <f t="shared" si="197"/>
        <v>#N/A</v>
      </c>
      <c r="T56" s="257" t="e">
        <f t="shared" si="197"/>
        <v>#N/A</v>
      </c>
      <c r="U56" s="257" t="e">
        <f t="shared" si="197"/>
        <v>#N/A</v>
      </c>
      <c r="V56" s="257" t="e">
        <f t="shared" si="197"/>
        <v>#N/A</v>
      </c>
      <c r="W56" s="257" t="e">
        <f t="shared" si="197"/>
        <v>#N/A</v>
      </c>
      <c r="X56" s="257" t="e">
        <f t="shared" si="197"/>
        <v>#N/A</v>
      </c>
      <c r="Y56" s="257" t="e">
        <f t="shared" si="197"/>
        <v>#N/A</v>
      </c>
      <c r="Z56" s="257" t="e">
        <f t="shared" si="197"/>
        <v>#N/A</v>
      </c>
      <c r="AA56" s="257" t="e">
        <f t="shared" si="197"/>
        <v>#N/A</v>
      </c>
      <c r="AB56" s="257" t="e">
        <f t="shared" si="197"/>
        <v>#N/A</v>
      </c>
      <c r="AC56" s="257" t="e">
        <f t="shared" si="197"/>
        <v>#N/A</v>
      </c>
      <c r="AD56" s="257" t="e">
        <f t="shared" si="197"/>
        <v>#N/A</v>
      </c>
      <c r="AE56" s="257" t="e">
        <f t="shared" si="197"/>
        <v>#N/A</v>
      </c>
      <c r="AF56" s="257" t="e">
        <f t="shared" si="197"/>
        <v>#N/A</v>
      </c>
      <c r="AG56" s="257" t="e">
        <f t="shared" si="197"/>
        <v>#N/A</v>
      </c>
      <c r="AH56" s="257" t="e">
        <f t="shared" si="197"/>
        <v>#N/A</v>
      </c>
      <c r="AI56" s="257" t="e">
        <f t="shared" si="197"/>
        <v>#N/A</v>
      </c>
      <c r="AJ56" s="257" t="e">
        <f t="shared" si="197"/>
        <v>#N/A</v>
      </c>
      <c r="AK56" s="257" t="e">
        <f t="shared" si="197"/>
        <v>#N/A</v>
      </c>
      <c r="AL56" s="257" t="e">
        <f t="shared" si="197"/>
        <v>#N/A</v>
      </c>
      <c r="AM56" s="257" t="e">
        <f t="shared" si="197"/>
        <v>#N/A</v>
      </c>
      <c r="AN56" s="257" t="e">
        <f t="shared" si="197"/>
        <v>#N/A</v>
      </c>
      <c r="AO56" s="257" t="e">
        <f t="shared" si="197"/>
        <v>#N/A</v>
      </c>
      <c r="AP56" s="257" t="e">
        <f t="shared" si="197"/>
        <v>#N/A</v>
      </c>
      <c r="AQ56" s="257" t="e">
        <f t="shared" si="197"/>
        <v>#N/A</v>
      </c>
      <c r="AR56" s="257" t="e">
        <f t="shared" si="197"/>
        <v>#N/A</v>
      </c>
      <c r="AS56" s="257" t="e">
        <f t="shared" ca="1" si="197"/>
        <v>#N/A</v>
      </c>
      <c r="AT56" s="257" t="e">
        <f t="shared" ca="1" si="197"/>
        <v>#N/A</v>
      </c>
      <c r="AU56" s="257" t="e">
        <f t="shared" ca="1" si="197"/>
        <v>#N/A</v>
      </c>
      <c r="AV56" s="257" t="e">
        <f t="shared" ca="1" si="197"/>
        <v>#N/A</v>
      </c>
      <c r="AW56" s="257" t="e">
        <f t="shared" ca="1" si="197"/>
        <v>#N/A</v>
      </c>
      <c r="AX56" s="257" t="e">
        <f t="shared" ca="1" si="197"/>
        <v>#N/A</v>
      </c>
      <c r="AY56" s="257" t="e">
        <f t="shared" ca="1" si="197"/>
        <v>#N/A</v>
      </c>
      <c r="AZ56" s="257" t="e">
        <f t="shared" ca="1" si="197"/>
        <v>#N/A</v>
      </c>
      <c r="BA56" s="257" t="e">
        <f t="shared" ca="1" si="197"/>
        <v>#N/A</v>
      </c>
      <c r="BB56" s="257" t="e">
        <f t="shared" ca="1" si="197"/>
        <v>#N/A</v>
      </c>
      <c r="BC56" s="257" t="e">
        <f t="shared" ca="1" si="197"/>
        <v>#N/A</v>
      </c>
      <c r="BD56" s="257" t="e">
        <f t="shared" ca="1" si="197"/>
        <v>#N/A</v>
      </c>
      <c r="BE56" s="257" t="e">
        <f t="shared" ca="1" si="197"/>
        <v>#N/A</v>
      </c>
      <c r="BF56" s="257" t="e">
        <f t="shared" ca="1" si="197"/>
        <v>#N/A</v>
      </c>
      <c r="BG56" s="257" t="e">
        <f t="shared" ca="1" si="197"/>
        <v>#N/A</v>
      </c>
      <c r="BH56" s="257" t="e">
        <f t="shared" ca="1" si="197"/>
        <v>#N/A</v>
      </c>
      <c r="BI56" s="257" t="e">
        <f t="shared" ca="1" si="197"/>
        <v>#N/A</v>
      </c>
      <c r="BJ56" s="257" t="e">
        <f t="shared" ca="1" si="197"/>
        <v>#N/A</v>
      </c>
      <c r="BK56" s="257" t="e">
        <f t="shared" ca="1" si="197"/>
        <v>#N/A</v>
      </c>
      <c r="BL56" s="257" t="e">
        <f t="shared" ca="1" si="197"/>
        <v>#N/A</v>
      </c>
      <c r="BM56" s="257" t="e">
        <f t="shared" ca="1" si="197"/>
        <v>#N/A</v>
      </c>
      <c r="BN56" s="257" t="e">
        <f t="shared" ca="1" si="197"/>
        <v>#N/A</v>
      </c>
      <c r="BO56" s="257" t="e">
        <f t="shared" ca="1" si="195"/>
        <v>#N/A</v>
      </c>
      <c r="BP56" s="257" t="e">
        <f t="shared" ca="1" si="195"/>
        <v>#N/A</v>
      </c>
      <c r="BQ56" s="257" t="e">
        <f t="shared" ca="1" si="195"/>
        <v>#N/A</v>
      </c>
      <c r="BR56" s="257" t="e">
        <f t="shared" ca="1" si="195"/>
        <v>#N/A</v>
      </c>
      <c r="BS56" s="257" t="e">
        <f t="shared" ca="1" si="195"/>
        <v>#N/A</v>
      </c>
      <c r="BT56" s="257" t="e">
        <f t="shared" ca="1" si="195"/>
        <v>#N/A</v>
      </c>
      <c r="BU56" s="257" t="e">
        <f t="shared" ca="1" si="195"/>
        <v>#N/A</v>
      </c>
      <c r="BV56" s="257" t="e">
        <f t="shared" ca="1" si="195"/>
        <v>#N/A</v>
      </c>
      <c r="BW56" s="257" t="e">
        <f t="shared" ca="1" si="195"/>
        <v>#N/A</v>
      </c>
      <c r="BX56" s="257" t="e">
        <f t="shared" ca="1" si="195"/>
        <v>#N/A</v>
      </c>
      <c r="BY56" s="257" t="e">
        <f t="shared" ca="1" si="195"/>
        <v>#N/A</v>
      </c>
      <c r="BZ56" s="257" t="e">
        <f t="shared" ca="1" si="195"/>
        <v>#N/A</v>
      </c>
      <c r="CA56" s="257" t="e">
        <f t="shared" ca="1" si="195"/>
        <v>#N/A</v>
      </c>
      <c r="CB56" s="257" t="e">
        <f t="shared" ca="1" si="195"/>
        <v>#N/A</v>
      </c>
      <c r="CC56" s="257" t="e">
        <f t="shared" ca="1" si="195"/>
        <v>#N/A</v>
      </c>
      <c r="CD56" s="257" t="e">
        <f t="shared" ca="1" si="195"/>
        <v>#N/A</v>
      </c>
      <c r="CE56" s="257" t="e">
        <f t="shared" ca="1" si="195"/>
        <v>#N/A</v>
      </c>
      <c r="CF56" s="257" t="e">
        <f t="shared" ca="1" si="195"/>
        <v>#N/A</v>
      </c>
      <c r="CG56" s="257" t="e">
        <f t="shared" ca="1" si="195"/>
        <v>#N/A</v>
      </c>
      <c r="CH56" s="257" t="e">
        <f t="shared" ca="1" si="195"/>
        <v>#N/A</v>
      </c>
      <c r="CI56" s="257" t="e">
        <f t="shared" ca="1" si="195"/>
        <v>#N/A</v>
      </c>
      <c r="CJ56" s="257" t="e">
        <f t="shared" ca="1" si="195"/>
        <v>#N/A</v>
      </c>
      <c r="CK56" s="257" t="e">
        <f t="shared" ca="1" si="195"/>
        <v>#N/A</v>
      </c>
      <c r="CL56" s="257" t="e">
        <f t="shared" ca="1" si="195"/>
        <v>#N/A</v>
      </c>
      <c r="CM56" s="257" t="e">
        <f t="shared" ca="1" si="195"/>
        <v>#N/A</v>
      </c>
      <c r="CN56" s="257" t="e">
        <f t="shared" ca="1" si="195"/>
        <v>#N/A</v>
      </c>
      <c r="CO56" s="257" t="e">
        <f t="shared" ca="1" si="195"/>
        <v>#N/A</v>
      </c>
      <c r="CP56" s="257" t="e">
        <f t="shared" ca="1" si="195"/>
        <v>#N/A</v>
      </c>
      <c r="CQ56" s="257" t="e">
        <f t="shared" ca="1" si="195"/>
        <v>#N/A</v>
      </c>
      <c r="CR56" s="257" t="e">
        <f t="shared" ca="1" si="195"/>
        <v>#N/A</v>
      </c>
      <c r="CS56" s="257" t="e">
        <f t="shared" ca="1" si="195"/>
        <v>#N/A</v>
      </c>
      <c r="CT56" s="257" t="e">
        <f t="shared" ca="1" si="195"/>
        <v>#N/A</v>
      </c>
      <c r="CU56" s="257" t="e">
        <f t="shared" ca="1" si="195"/>
        <v>#N/A</v>
      </c>
      <c r="CV56" s="257" t="e">
        <f t="shared" ca="1" si="195"/>
        <v>#N/A</v>
      </c>
      <c r="CW56" s="257" t="e">
        <f t="shared" ca="1" si="195"/>
        <v>#N/A</v>
      </c>
      <c r="CX56" s="257">
        <f t="shared" ca="1" si="195"/>
        <v>2276.8193395393578</v>
      </c>
      <c r="CY56" s="257" t="e">
        <f t="shared" ca="1" si="195"/>
        <v>#N/A</v>
      </c>
      <c r="CZ56" s="257" t="e">
        <f t="shared" ca="1" si="195"/>
        <v>#N/A</v>
      </c>
      <c r="DA56" s="257" t="e">
        <f t="shared" ca="1" si="195"/>
        <v>#N/A</v>
      </c>
      <c r="DC56" s="193"/>
    </row>
    <row r="57" spans="1:107" s="247" customFormat="1" x14ac:dyDescent="0.3">
      <c r="A57" s="189" t="s">
        <v>2698</v>
      </c>
      <c r="B57" s="257" t="e">
        <f t="shared" si="196"/>
        <v>#N/A</v>
      </c>
      <c r="C57" s="257" t="e">
        <f t="shared" si="197"/>
        <v>#N/A</v>
      </c>
      <c r="D57" s="257" t="e">
        <f t="shared" si="197"/>
        <v>#N/A</v>
      </c>
      <c r="E57" s="257" t="e">
        <f t="shared" si="197"/>
        <v>#N/A</v>
      </c>
      <c r="F57" s="257" t="e">
        <f t="shared" si="197"/>
        <v>#N/A</v>
      </c>
      <c r="G57" s="257" t="e">
        <f t="shared" si="197"/>
        <v>#N/A</v>
      </c>
      <c r="H57" s="257" t="e">
        <f t="shared" si="197"/>
        <v>#N/A</v>
      </c>
      <c r="I57" s="257" t="e">
        <f t="shared" si="197"/>
        <v>#N/A</v>
      </c>
      <c r="J57" s="257" t="e">
        <f t="shared" si="197"/>
        <v>#N/A</v>
      </c>
      <c r="K57" s="257" t="e">
        <f t="shared" si="197"/>
        <v>#N/A</v>
      </c>
      <c r="L57" s="257" t="e">
        <f t="shared" si="197"/>
        <v>#N/A</v>
      </c>
      <c r="M57" s="257" t="e">
        <f t="shared" si="197"/>
        <v>#N/A</v>
      </c>
      <c r="N57" s="257" t="e">
        <f t="shared" si="197"/>
        <v>#N/A</v>
      </c>
      <c r="O57" s="257" t="e">
        <f t="shared" si="197"/>
        <v>#N/A</v>
      </c>
      <c r="P57" s="257" t="e">
        <f t="shared" si="197"/>
        <v>#N/A</v>
      </c>
      <c r="Q57" s="257" t="e">
        <f t="shared" si="197"/>
        <v>#N/A</v>
      </c>
      <c r="R57" s="257" t="e">
        <f t="shared" si="197"/>
        <v>#N/A</v>
      </c>
      <c r="S57" s="257" t="e">
        <f t="shared" si="197"/>
        <v>#N/A</v>
      </c>
      <c r="T57" s="257" t="e">
        <f t="shared" si="197"/>
        <v>#N/A</v>
      </c>
      <c r="U57" s="257" t="e">
        <f t="shared" si="197"/>
        <v>#N/A</v>
      </c>
      <c r="V57" s="257" t="e">
        <f t="shared" si="197"/>
        <v>#N/A</v>
      </c>
      <c r="W57" s="257" t="e">
        <f t="shared" si="197"/>
        <v>#N/A</v>
      </c>
      <c r="X57" s="257" t="e">
        <f t="shared" si="197"/>
        <v>#N/A</v>
      </c>
      <c r="Y57" s="257" t="e">
        <f t="shared" si="197"/>
        <v>#N/A</v>
      </c>
      <c r="Z57" s="257" t="e">
        <f t="shared" si="197"/>
        <v>#N/A</v>
      </c>
      <c r="AA57" s="257" t="e">
        <f t="shared" si="197"/>
        <v>#N/A</v>
      </c>
      <c r="AB57" s="257" t="e">
        <f t="shared" si="197"/>
        <v>#N/A</v>
      </c>
      <c r="AC57" s="257" t="e">
        <f t="shared" si="197"/>
        <v>#N/A</v>
      </c>
      <c r="AD57" s="257" t="e">
        <f t="shared" si="197"/>
        <v>#N/A</v>
      </c>
      <c r="AE57" s="257" t="e">
        <f t="shared" si="197"/>
        <v>#N/A</v>
      </c>
      <c r="AF57" s="257" t="e">
        <f t="shared" si="197"/>
        <v>#N/A</v>
      </c>
      <c r="AG57" s="257" t="e">
        <f t="shared" si="197"/>
        <v>#N/A</v>
      </c>
      <c r="AH57" s="257" t="e">
        <f t="shared" si="197"/>
        <v>#N/A</v>
      </c>
      <c r="AI57" s="257" t="e">
        <f t="shared" si="197"/>
        <v>#N/A</v>
      </c>
      <c r="AJ57" s="257" t="e">
        <f t="shared" si="197"/>
        <v>#N/A</v>
      </c>
      <c r="AK57" s="257" t="e">
        <f t="shared" si="197"/>
        <v>#N/A</v>
      </c>
      <c r="AL57" s="257" t="e">
        <f t="shared" si="197"/>
        <v>#N/A</v>
      </c>
      <c r="AM57" s="257" t="e">
        <f t="shared" si="197"/>
        <v>#N/A</v>
      </c>
      <c r="AN57" s="257" t="e">
        <f t="shared" si="197"/>
        <v>#N/A</v>
      </c>
      <c r="AO57" s="257" t="e">
        <f t="shared" si="197"/>
        <v>#N/A</v>
      </c>
      <c r="AP57" s="257" t="e">
        <f t="shared" si="197"/>
        <v>#N/A</v>
      </c>
      <c r="AQ57" s="257" t="e">
        <f t="shared" si="197"/>
        <v>#N/A</v>
      </c>
      <c r="AR57" s="257" t="e">
        <f t="shared" si="197"/>
        <v>#N/A</v>
      </c>
      <c r="AS57" s="257" t="e">
        <f t="shared" ca="1" si="197"/>
        <v>#N/A</v>
      </c>
      <c r="AT57" s="257" t="e">
        <f t="shared" ca="1" si="197"/>
        <v>#N/A</v>
      </c>
      <c r="AU57" s="257" t="e">
        <f t="shared" ca="1" si="197"/>
        <v>#N/A</v>
      </c>
      <c r="AV57" s="257" t="e">
        <f t="shared" ca="1" si="197"/>
        <v>#N/A</v>
      </c>
      <c r="AW57" s="257" t="e">
        <f t="shared" ca="1" si="197"/>
        <v>#N/A</v>
      </c>
      <c r="AX57" s="257" t="e">
        <f t="shared" ca="1" si="197"/>
        <v>#N/A</v>
      </c>
      <c r="AY57" s="257" t="e">
        <f t="shared" ca="1" si="197"/>
        <v>#N/A</v>
      </c>
      <c r="AZ57" s="257" t="e">
        <f t="shared" ca="1" si="197"/>
        <v>#N/A</v>
      </c>
      <c r="BA57" s="257" t="e">
        <f t="shared" ca="1" si="197"/>
        <v>#N/A</v>
      </c>
      <c r="BB57" s="257" t="e">
        <f t="shared" ca="1" si="197"/>
        <v>#N/A</v>
      </c>
      <c r="BC57" s="257" t="e">
        <f t="shared" ca="1" si="197"/>
        <v>#N/A</v>
      </c>
      <c r="BD57" s="257" t="e">
        <f t="shared" ca="1" si="197"/>
        <v>#N/A</v>
      </c>
      <c r="BE57" s="257" t="e">
        <f t="shared" ca="1" si="197"/>
        <v>#N/A</v>
      </c>
      <c r="BF57" s="257" t="e">
        <f t="shared" ca="1" si="197"/>
        <v>#N/A</v>
      </c>
      <c r="BG57" s="257" t="e">
        <f t="shared" ca="1" si="197"/>
        <v>#N/A</v>
      </c>
      <c r="BH57" s="257" t="e">
        <f t="shared" ca="1" si="197"/>
        <v>#N/A</v>
      </c>
      <c r="BI57" s="257" t="e">
        <f t="shared" ca="1" si="197"/>
        <v>#N/A</v>
      </c>
      <c r="BJ57" s="257" t="e">
        <f t="shared" ca="1" si="197"/>
        <v>#N/A</v>
      </c>
      <c r="BK57" s="257" t="e">
        <f t="shared" ca="1" si="197"/>
        <v>#N/A</v>
      </c>
      <c r="BL57" s="257" t="e">
        <f t="shared" ca="1" si="197"/>
        <v>#N/A</v>
      </c>
      <c r="BM57" s="257" t="e">
        <f t="shared" ca="1" si="197"/>
        <v>#N/A</v>
      </c>
      <c r="BN57" s="257" t="e">
        <f t="shared" ref="BN57:DA58" ca="1" si="198">IF(AND(ISNA(BO50),BN50&lt;&gt;""),BN50,NA())</f>
        <v>#N/A</v>
      </c>
      <c r="BO57" s="257" t="e">
        <f t="shared" ca="1" si="198"/>
        <v>#N/A</v>
      </c>
      <c r="BP57" s="257" t="e">
        <f t="shared" ca="1" si="198"/>
        <v>#N/A</v>
      </c>
      <c r="BQ57" s="257" t="e">
        <f t="shared" ca="1" si="198"/>
        <v>#N/A</v>
      </c>
      <c r="BR57" s="257" t="e">
        <f t="shared" ca="1" si="198"/>
        <v>#N/A</v>
      </c>
      <c r="BS57" s="257" t="e">
        <f t="shared" ca="1" si="198"/>
        <v>#N/A</v>
      </c>
      <c r="BT57" s="257" t="e">
        <f t="shared" ca="1" si="198"/>
        <v>#N/A</v>
      </c>
      <c r="BU57" s="257" t="e">
        <f t="shared" ca="1" si="198"/>
        <v>#N/A</v>
      </c>
      <c r="BV57" s="257" t="e">
        <f t="shared" ca="1" si="198"/>
        <v>#N/A</v>
      </c>
      <c r="BW57" s="257" t="e">
        <f t="shared" ca="1" si="198"/>
        <v>#N/A</v>
      </c>
      <c r="BX57" s="257" t="e">
        <f t="shared" ca="1" si="198"/>
        <v>#N/A</v>
      </c>
      <c r="BY57" s="257" t="e">
        <f t="shared" ca="1" si="198"/>
        <v>#N/A</v>
      </c>
      <c r="BZ57" s="257" t="e">
        <f t="shared" ca="1" si="198"/>
        <v>#N/A</v>
      </c>
      <c r="CA57" s="257" t="e">
        <f t="shared" ca="1" si="198"/>
        <v>#N/A</v>
      </c>
      <c r="CB57" s="257" t="e">
        <f t="shared" ca="1" si="198"/>
        <v>#N/A</v>
      </c>
      <c r="CC57" s="257" t="e">
        <f t="shared" ca="1" si="198"/>
        <v>#N/A</v>
      </c>
      <c r="CD57" s="257" t="e">
        <f t="shared" ca="1" si="198"/>
        <v>#N/A</v>
      </c>
      <c r="CE57" s="257" t="e">
        <f t="shared" ca="1" si="198"/>
        <v>#N/A</v>
      </c>
      <c r="CF57" s="257" t="e">
        <f t="shared" ca="1" si="198"/>
        <v>#N/A</v>
      </c>
      <c r="CG57" s="257" t="e">
        <f t="shared" ca="1" si="198"/>
        <v>#N/A</v>
      </c>
      <c r="CH57" s="257" t="e">
        <f t="shared" ca="1" si="198"/>
        <v>#N/A</v>
      </c>
      <c r="CI57" s="257" t="e">
        <f t="shared" ca="1" si="198"/>
        <v>#N/A</v>
      </c>
      <c r="CJ57" s="257" t="e">
        <f t="shared" ca="1" si="198"/>
        <v>#N/A</v>
      </c>
      <c r="CK57" s="257" t="e">
        <f t="shared" ca="1" si="198"/>
        <v>#N/A</v>
      </c>
      <c r="CL57" s="257" t="e">
        <f t="shared" ca="1" si="198"/>
        <v>#N/A</v>
      </c>
      <c r="CM57" s="257" t="e">
        <f t="shared" ca="1" si="198"/>
        <v>#N/A</v>
      </c>
      <c r="CN57" s="257" t="e">
        <f t="shared" ca="1" si="198"/>
        <v>#N/A</v>
      </c>
      <c r="CO57" s="257" t="e">
        <f t="shared" ca="1" si="198"/>
        <v>#N/A</v>
      </c>
      <c r="CP57" s="257" t="e">
        <f t="shared" ca="1" si="198"/>
        <v>#N/A</v>
      </c>
      <c r="CQ57" s="257" t="e">
        <f t="shared" ca="1" si="198"/>
        <v>#N/A</v>
      </c>
      <c r="CR57" s="257" t="e">
        <f t="shared" ca="1" si="198"/>
        <v>#N/A</v>
      </c>
      <c r="CS57" s="257" t="e">
        <f t="shared" ca="1" si="198"/>
        <v>#N/A</v>
      </c>
      <c r="CT57" s="257" t="e">
        <f t="shared" ca="1" si="198"/>
        <v>#N/A</v>
      </c>
      <c r="CU57" s="257" t="e">
        <f t="shared" ca="1" si="198"/>
        <v>#N/A</v>
      </c>
      <c r="CV57" s="257" t="e">
        <f t="shared" ca="1" si="198"/>
        <v>#N/A</v>
      </c>
      <c r="CW57" s="257" t="e">
        <f t="shared" ca="1" si="198"/>
        <v>#N/A</v>
      </c>
      <c r="CX57" s="257">
        <f t="shared" ca="1" si="198"/>
        <v>4603.9701547168643</v>
      </c>
      <c r="CY57" s="257" t="e">
        <f t="shared" ca="1" si="198"/>
        <v>#N/A</v>
      </c>
      <c r="CZ57" s="257" t="e">
        <f t="shared" ca="1" si="198"/>
        <v>#N/A</v>
      </c>
      <c r="DA57" s="257" t="e">
        <f t="shared" ca="1" si="198"/>
        <v>#N/A</v>
      </c>
      <c r="DC57" s="193"/>
    </row>
    <row r="58" spans="1:107" s="247" customFormat="1" x14ac:dyDescent="0.3">
      <c r="A58" s="202" t="s">
        <v>2699</v>
      </c>
      <c r="B58" s="257" t="e">
        <f t="shared" si="196"/>
        <v>#N/A</v>
      </c>
      <c r="C58" s="257" t="e">
        <f t="shared" ref="C58:BN58" si="199">IF(AND(ISNA(D51),C51&lt;&gt;""),C51,NA())</f>
        <v>#N/A</v>
      </c>
      <c r="D58" s="257" t="e">
        <f t="shared" si="199"/>
        <v>#N/A</v>
      </c>
      <c r="E58" s="257" t="e">
        <f t="shared" si="199"/>
        <v>#N/A</v>
      </c>
      <c r="F58" s="257" t="e">
        <f t="shared" si="199"/>
        <v>#N/A</v>
      </c>
      <c r="G58" s="257" t="e">
        <f t="shared" si="199"/>
        <v>#N/A</v>
      </c>
      <c r="H58" s="257" t="e">
        <f t="shared" si="199"/>
        <v>#N/A</v>
      </c>
      <c r="I58" s="257" t="e">
        <f t="shared" si="199"/>
        <v>#N/A</v>
      </c>
      <c r="J58" s="257" t="e">
        <f t="shared" si="199"/>
        <v>#N/A</v>
      </c>
      <c r="K58" s="257" t="e">
        <f t="shared" si="199"/>
        <v>#N/A</v>
      </c>
      <c r="L58" s="257" t="e">
        <f t="shared" si="199"/>
        <v>#N/A</v>
      </c>
      <c r="M58" s="257" t="e">
        <f t="shared" si="199"/>
        <v>#N/A</v>
      </c>
      <c r="N58" s="257" t="e">
        <f t="shared" si="199"/>
        <v>#N/A</v>
      </c>
      <c r="O58" s="257" t="e">
        <f t="shared" si="199"/>
        <v>#N/A</v>
      </c>
      <c r="P58" s="257" t="e">
        <f t="shared" si="199"/>
        <v>#N/A</v>
      </c>
      <c r="Q58" s="257" t="e">
        <f t="shared" si="199"/>
        <v>#N/A</v>
      </c>
      <c r="R58" s="257" t="e">
        <f t="shared" si="199"/>
        <v>#N/A</v>
      </c>
      <c r="S58" s="257" t="e">
        <f t="shared" si="199"/>
        <v>#N/A</v>
      </c>
      <c r="T58" s="257" t="e">
        <f t="shared" si="199"/>
        <v>#N/A</v>
      </c>
      <c r="U58" s="257" t="e">
        <f t="shared" si="199"/>
        <v>#N/A</v>
      </c>
      <c r="V58" s="257" t="e">
        <f t="shared" si="199"/>
        <v>#N/A</v>
      </c>
      <c r="W58" s="257" t="e">
        <f t="shared" si="199"/>
        <v>#N/A</v>
      </c>
      <c r="X58" s="257" t="e">
        <f t="shared" si="199"/>
        <v>#N/A</v>
      </c>
      <c r="Y58" s="257" t="e">
        <f t="shared" si="199"/>
        <v>#N/A</v>
      </c>
      <c r="Z58" s="257" t="e">
        <f t="shared" si="199"/>
        <v>#N/A</v>
      </c>
      <c r="AA58" s="257" t="e">
        <f t="shared" si="199"/>
        <v>#N/A</v>
      </c>
      <c r="AB58" s="257" t="e">
        <f t="shared" si="199"/>
        <v>#N/A</v>
      </c>
      <c r="AC58" s="257" t="e">
        <f t="shared" si="199"/>
        <v>#N/A</v>
      </c>
      <c r="AD58" s="257" t="e">
        <f t="shared" si="199"/>
        <v>#N/A</v>
      </c>
      <c r="AE58" s="257" t="e">
        <f t="shared" si="199"/>
        <v>#N/A</v>
      </c>
      <c r="AF58" s="257" t="e">
        <f t="shared" si="199"/>
        <v>#N/A</v>
      </c>
      <c r="AG58" s="257" t="e">
        <f t="shared" si="199"/>
        <v>#N/A</v>
      </c>
      <c r="AH58" s="257" t="e">
        <f t="shared" si="199"/>
        <v>#N/A</v>
      </c>
      <c r="AI58" s="257" t="e">
        <f t="shared" si="199"/>
        <v>#N/A</v>
      </c>
      <c r="AJ58" s="257" t="e">
        <f t="shared" si="199"/>
        <v>#N/A</v>
      </c>
      <c r="AK58" s="257" t="e">
        <f t="shared" si="199"/>
        <v>#N/A</v>
      </c>
      <c r="AL58" s="257" t="e">
        <f t="shared" si="199"/>
        <v>#N/A</v>
      </c>
      <c r="AM58" s="257" t="e">
        <f t="shared" si="199"/>
        <v>#N/A</v>
      </c>
      <c r="AN58" s="257" t="e">
        <f t="shared" si="199"/>
        <v>#N/A</v>
      </c>
      <c r="AO58" s="257" t="e">
        <f t="shared" si="199"/>
        <v>#N/A</v>
      </c>
      <c r="AP58" s="257" t="e">
        <f t="shared" si="199"/>
        <v>#N/A</v>
      </c>
      <c r="AQ58" s="257" t="e">
        <f t="shared" si="199"/>
        <v>#N/A</v>
      </c>
      <c r="AR58" s="257" t="e">
        <f t="shared" si="199"/>
        <v>#N/A</v>
      </c>
      <c r="AS58" s="257" t="e">
        <f t="shared" ca="1" si="199"/>
        <v>#N/A</v>
      </c>
      <c r="AT58" s="257" t="e">
        <f t="shared" ca="1" si="199"/>
        <v>#N/A</v>
      </c>
      <c r="AU58" s="257" t="e">
        <f t="shared" ca="1" si="199"/>
        <v>#N/A</v>
      </c>
      <c r="AV58" s="257" t="e">
        <f t="shared" ca="1" si="199"/>
        <v>#N/A</v>
      </c>
      <c r="AW58" s="257" t="e">
        <f t="shared" ca="1" si="199"/>
        <v>#N/A</v>
      </c>
      <c r="AX58" s="257" t="e">
        <f t="shared" ca="1" si="199"/>
        <v>#N/A</v>
      </c>
      <c r="AY58" s="257" t="e">
        <f t="shared" ca="1" si="199"/>
        <v>#N/A</v>
      </c>
      <c r="AZ58" s="257" t="e">
        <f t="shared" ca="1" si="199"/>
        <v>#N/A</v>
      </c>
      <c r="BA58" s="257" t="e">
        <f t="shared" ca="1" si="199"/>
        <v>#N/A</v>
      </c>
      <c r="BB58" s="257" t="e">
        <f t="shared" ca="1" si="199"/>
        <v>#N/A</v>
      </c>
      <c r="BC58" s="257" t="e">
        <f t="shared" ca="1" si="199"/>
        <v>#N/A</v>
      </c>
      <c r="BD58" s="257" t="e">
        <f t="shared" ca="1" si="199"/>
        <v>#N/A</v>
      </c>
      <c r="BE58" s="257" t="e">
        <f t="shared" ca="1" si="199"/>
        <v>#N/A</v>
      </c>
      <c r="BF58" s="257" t="e">
        <f t="shared" ca="1" si="199"/>
        <v>#N/A</v>
      </c>
      <c r="BG58" s="257" t="e">
        <f t="shared" ca="1" si="199"/>
        <v>#N/A</v>
      </c>
      <c r="BH58" s="257" t="e">
        <f t="shared" ca="1" si="199"/>
        <v>#N/A</v>
      </c>
      <c r="BI58" s="257" t="e">
        <f t="shared" ca="1" si="199"/>
        <v>#N/A</v>
      </c>
      <c r="BJ58" s="257" t="e">
        <f t="shared" ca="1" si="199"/>
        <v>#N/A</v>
      </c>
      <c r="BK58" s="257" t="e">
        <f t="shared" ca="1" si="199"/>
        <v>#N/A</v>
      </c>
      <c r="BL58" s="257" t="e">
        <f t="shared" ca="1" si="199"/>
        <v>#N/A</v>
      </c>
      <c r="BM58" s="257" t="e">
        <f t="shared" ca="1" si="199"/>
        <v>#N/A</v>
      </c>
      <c r="BN58" s="257" t="e">
        <f t="shared" ca="1" si="199"/>
        <v>#N/A</v>
      </c>
      <c r="BO58" s="257" t="e">
        <f t="shared" ca="1" si="198"/>
        <v>#N/A</v>
      </c>
      <c r="BP58" s="257" t="e">
        <f t="shared" ca="1" si="198"/>
        <v>#N/A</v>
      </c>
      <c r="BQ58" s="257" t="e">
        <f t="shared" ca="1" si="198"/>
        <v>#N/A</v>
      </c>
      <c r="BR58" s="257" t="e">
        <f t="shared" ca="1" si="198"/>
        <v>#N/A</v>
      </c>
      <c r="BS58" s="257" t="e">
        <f t="shared" ca="1" si="198"/>
        <v>#N/A</v>
      </c>
      <c r="BT58" s="257" t="e">
        <f t="shared" ca="1" si="198"/>
        <v>#N/A</v>
      </c>
      <c r="BU58" s="257" t="e">
        <f t="shared" ca="1" si="198"/>
        <v>#N/A</v>
      </c>
      <c r="BV58" s="257" t="e">
        <f t="shared" ca="1" si="198"/>
        <v>#N/A</v>
      </c>
      <c r="BW58" s="257" t="e">
        <f t="shared" ca="1" si="198"/>
        <v>#N/A</v>
      </c>
      <c r="BX58" s="257" t="e">
        <f t="shared" ca="1" si="198"/>
        <v>#N/A</v>
      </c>
      <c r="BY58" s="257" t="e">
        <f t="shared" ca="1" si="198"/>
        <v>#N/A</v>
      </c>
      <c r="BZ58" s="257" t="e">
        <f t="shared" ca="1" si="198"/>
        <v>#N/A</v>
      </c>
      <c r="CA58" s="257" t="e">
        <f t="shared" ca="1" si="198"/>
        <v>#N/A</v>
      </c>
      <c r="CB58" s="257" t="e">
        <f t="shared" ca="1" si="198"/>
        <v>#N/A</v>
      </c>
      <c r="CC58" s="257" t="e">
        <f t="shared" ca="1" si="198"/>
        <v>#N/A</v>
      </c>
      <c r="CD58" s="257" t="e">
        <f t="shared" ca="1" si="198"/>
        <v>#N/A</v>
      </c>
      <c r="CE58" s="257" t="e">
        <f t="shared" ca="1" si="198"/>
        <v>#N/A</v>
      </c>
      <c r="CF58" s="257" t="e">
        <f t="shared" ca="1" si="198"/>
        <v>#N/A</v>
      </c>
      <c r="CG58" s="257" t="e">
        <f t="shared" ca="1" si="198"/>
        <v>#N/A</v>
      </c>
      <c r="CH58" s="257" t="e">
        <f t="shared" ca="1" si="198"/>
        <v>#N/A</v>
      </c>
      <c r="CI58" s="257" t="e">
        <f t="shared" ca="1" si="198"/>
        <v>#N/A</v>
      </c>
      <c r="CJ58" s="257" t="e">
        <f t="shared" ca="1" si="198"/>
        <v>#N/A</v>
      </c>
      <c r="CK58" s="257" t="e">
        <f t="shared" ca="1" si="198"/>
        <v>#N/A</v>
      </c>
      <c r="CL58" s="257" t="e">
        <f t="shared" ca="1" si="198"/>
        <v>#N/A</v>
      </c>
      <c r="CM58" s="257" t="e">
        <f t="shared" ca="1" si="198"/>
        <v>#N/A</v>
      </c>
      <c r="CN58" s="257" t="e">
        <f t="shared" ca="1" si="198"/>
        <v>#N/A</v>
      </c>
      <c r="CO58" s="257" t="e">
        <f t="shared" ca="1" si="198"/>
        <v>#N/A</v>
      </c>
      <c r="CP58" s="257" t="e">
        <f t="shared" ca="1" si="198"/>
        <v>#N/A</v>
      </c>
      <c r="CQ58" s="257" t="e">
        <f t="shared" ca="1" si="198"/>
        <v>#N/A</v>
      </c>
      <c r="CR58" s="257" t="e">
        <f t="shared" ca="1" si="198"/>
        <v>#N/A</v>
      </c>
      <c r="CS58" s="257" t="e">
        <f t="shared" ca="1" si="198"/>
        <v>#N/A</v>
      </c>
      <c r="CT58" s="257" t="e">
        <f t="shared" ca="1" si="198"/>
        <v>#N/A</v>
      </c>
      <c r="CU58" s="257" t="e">
        <f t="shared" ca="1" si="198"/>
        <v>#N/A</v>
      </c>
      <c r="CV58" s="257" t="e">
        <f t="shared" ca="1" si="198"/>
        <v>#N/A</v>
      </c>
      <c r="CW58" s="257" t="e">
        <f t="shared" ca="1" si="198"/>
        <v>#N/A</v>
      </c>
      <c r="CX58" s="257">
        <f t="shared" ca="1" si="198"/>
        <v>1219.799156216902</v>
      </c>
      <c r="CY58" s="257" t="e">
        <f t="shared" ca="1" si="198"/>
        <v>#N/A</v>
      </c>
      <c r="CZ58" s="257" t="e">
        <f t="shared" ca="1" si="198"/>
        <v>#N/A</v>
      </c>
      <c r="DA58" s="257" t="e">
        <f t="shared" ca="1" si="198"/>
        <v>#N/A</v>
      </c>
      <c r="DC58" s="193"/>
    </row>
    <row r="59" spans="1:107" s="252" customFormat="1" x14ac:dyDescent="0.3">
      <c r="A59" s="258"/>
      <c r="B59" s="259">
        <v>39172</v>
      </c>
      <c r="C59" s="259">
        <v>39202</v>
      </c>
      <c r="D59" s="260" t="s">
        <v>70</v>
      </c>
      <c r="E59" s="260" t="s">
        <v>75</v>
      </c>
      <c r="F59" s="260" t="s">
        <v>77</v>
      </c>
      <c r="G59" s="260" t="s">
        <v>84</v>
      </c>
      <c r="H59" s="260" t="s">
        <v>86</v>
      </c>
      <c r="I59" s="260" t="s">
        <v>88</v>
      </c>
      <c r="J59" s="260" t="s">
        <v>92</v>
      </c>
      <c r="K59" s="260">
        <v>39458</v>
      </c>
      <c r="L59" s="260" t="s">
        <v>96</v>
      </c>
      <c r="M59" s="260" t="s">
        <v>98</v>
      </c>
      <c r="N59" s="260" t="s">
        <v>115</v>
      </c>
      <c r="O59" s="254" t="s">
        <v>119</v>
      </c>
      <c r="P59" s="254" t="s">
        <v>187</v>
      </c>
      <c r="Q59" s="254" t="s">
        <v>189</v>
      </c>
      <c r="R59" s="254" t="s">
        <v>191</v>
      </c>
      <c r="S59" s="254" t="s">
        <v>192</v>
      </c>
      <c r="T59" s="261" t="s">
        <v>193</v>
      </c>
      <c r="U59" s="261" t="s">
        <v>194</v>
      </c>
      <c r="V59" s="261" t="s">
        <v>195</v>
      </c>
      <c r="W59" s="261" t="s">
        <v>196</v>
      </c>
      <c r="X59" s="262" t="s">
        <v>197</v>
      </c>
      <c r="Y59" s="262" t="s">
        <v>198</v>
      </c>
      <c r="Z59" s="262" t="s">
        <v>200</v>
      </c>
      <c r="AA59" s="262" t="s">
        <v>205</v>
      </c>
      <c r="AB59" s="262" t="s">
        <v>208</v>
      </c>
      <c r="AC59" s="262" t="s">
        <v>213</v>
      </c>
      <c r="AD59" s="262" t="s">
        <v>215</v>
      </c>
      <c r="AE59" s="262" t="s">
        <v>216</v>
      </c>
      <c r="AF59" s="262" t="s">
        <v>217</v>
      </c>
      <c r="AG59" s="262" t="s">
        <v>218</v>
      </c>
      <c r="AH59" s="262" t="s">
        <v>226</v>
      </c>
      <c r="AI59" s="262" t="s">
        <v>227</v>
      </c>
      <c r="AJ59" s="262" t="s">
        <v>228</v>
      </c>
      <c r="AK59" s="262" t="s">
        <v>229</v>
      </c>
      <c r="AL59" s="262" t="s">
        <v>230</v>
      </c>
      <c r="AM59" s="262" t="s">
        <v>231</v>
      </c>
      <c r="AN59" s="262" t="s">
        <v>232</v>
      </c>
      <c r="AO59" s="262" t="s">
        <v>233</v>
      </c>
      <c r="AP59" s="262" t="s">
        <v>234</v>
      </c>
      <c r="AQ59" s="262" t="s">
        <v>235</v>
      </c>
      <c r="AR59" s="262" t="s">
        <v>236</v>
      </c>
      <c r="AS59" s="262" t="s">
        <v>237</v>
      </c>
      <c r="AT59" s="263">
        <v>40542</v>
      </c>
      <c r="AU59" s="263">
        <v>40573</v>
      </c>
      <c r="AV59" s="263">
        <v>40601</v>
      </c>
      <c r="AW59" s="263">
        <f t="shared" ref="AW59" si="200">EOMONTH(AV59,1)</f>
        <v>40632</v>
      </c>
      <c r="AX59" s="263">
        <f t="shared" ref="AX59" si="201">EOMONTH(AW59,1)</f>
        <v>40662</v>
      </c>
      <c r="AY59" s="263">
        <f t="shared" ref="AY59" si="202">EOMONTH(AX59,1)</f>
        <v>40693</v>
      </c>
      <c r="AZ59" s="263">
        <f t="shared" ref="AZ59" si="203">EOMONTH(AY59,1)</f>
        <v>40723</v>
      </c>
      <c r="BA59" s="263">
        <f t="shared" ref="BA59" si="204">EOMONTH(AZ59,1)</f>
        <v>40754</v>
      </c>
      <c r="BB59" s="263">
        <f t="shared" ref="BB59" si="205">EOMONTH(BA59,1)</f>
        <v>40785</v>
      </c>
      <c r="BC59" s="263">
        <f t="shared" ref="BC59" si="206">EOMONTH(BB59,1)</f>
        <v>40815</v>
      </c>
      <c r="BD59" s="263">
        <f t="shared" ref="BD59" si="207">EOMONTH(BC59,1)</f>
        <v>40846</v>
      </c>
      <c r="BE59" s="263">
        <f t="shared" ref="BE59" si="208">EOMONTH(BD59,1)</f>
        <v>40876</v>
      </c>
      <c r="BF59" s="263">
        <f t="shared" ref="BF59" si="209">EOMONTH(BE59,1)</f>
        <v>40907</v>
      </c>
      <c r="BG59" s="263">
        <f t="shared" ref="BG59" si="210">EOMONTH(BF59,1)</f>
        <v>40938</v>
      </c>
      <c r="BH59" s="263">
        <f t="shared" ref="BH59" si="211">EOMONTH(BG59,1)</f>
        <v>40967</v>
      </c>
      <c r="BI59" s="263">
        <f t="shared" ref="BI59" si="212">EOMONTH(BH59,1)</f>
        <v>40998</v>
      </c>
      <c r="BJ59" s="263">
        <f t="shared" ref="BJ59" si="213">EOMONTH(BI59,1)</f>
        <v>41028</v>
      </c>
      <c r="BK59" s="263">
        <f t="shared" ref="BK59" si="214">EOMONTH(BJ59,1)</f>
        <v>41059</v>
      </c>
      <c r="BL59" s="263">
        <f t="shared" ref="BL59" si="215">EOMONTH(BK59,1)</f>
        <v>41089</v>
      </c>
      <c r="BM59" s="263">
        <f t="shared" ref="BM59" si="216">EOMONTH(BL59,1)</f>
        <v>41120</v>
      </c>
      <c r="BN59" s="263">
        <f t="shared" ref="BN59" si="217">EOMONTH(BM59,1)</f>
        <v>41151</v>
      </c>
      <c r="BO59" s="263">
        <f t="shared" ref="BO59" si="218">EOMONTH(BN59,1)</f>
        <v>41181</v>
      </c>
      <c r="BP59" s="263">
        <f t="shared" ref="BP59" si="219">EOMONTH(BO59,1)</f>
        <v>41212</v>
      </c>
      <c r="BQ59" s="263">
        <f t="shared" ref="BQ59" si="220">EOMONTH(BP59,1)</f>
        <v>41242</v>
      </c>
      <c r="BR59" s="263">
        <f t="shared" ref="BR59" si="221">EOMONTH(BQ59,1)</f>
        <v>41273</v>
      </c>
      <c r="BS59" s="263">
        <f t="shared" ref="BS59" si="222">EOMONTH(BR59,1)</f>
        <v>41304</v>
      </c>
      <c r="BT59" s="263">
        <f t="shared" ref="BT59" si="223">EOMONTH(BS59,1)</f>
        <v>41332</v>
      </c>
      <c r="BU59" s="263">
        <f t="shared" ref="BU59" si="224">EOMONTH(BT59,1)</f>
        <v>41363</v>
      </c>
      <c r="BV59" s="263">
        <f t="shared" ref="BV59" si="225">EOMONTH(BU59,1)</f>
        <v>41393</v>
      </c>
      <c r="BW59" s="263">
        <f t="shared" ref="BW59" si="226">EOMONTH(BV59,1)</f>
        <v>41424</v>
      </c>
      <c r="BX59" s="263">
        <f t="shared" ref="BX59" si="227">EOMONTH(BW59,1)</f>
        <v>41454</v>
      </c>
      <c r="BY59" s="263">
        <f t="shared" ref="BY59" si="228">EOMONTH(BX59,1)</f>
        <v>41485</v>
      </c>
      <c r="BZ59" s="263">
        <f t="shared" ref="BZ59" si="229">EOMONTH(BY59,1)</f>
        <v>41516</v>
      </c>
      <c r="CA59" s="263">
        <f t="shared" ref="CA59" si="230">EOMONTH(BZ59,1)</f>
        <v>41546</v>
      </c>
      <c r="CB59" s="263">
        <f t="shared" ref="CB59" si="231">EOMONTH(CA59,1)</f>
        <v>41577</v>
      </c>
      <c r="CC59" s="263">
        <f t="shared" ref="CC59" si="232">EOMONTH(CB59,1)</f>
        <v>41607</v>
      </c>
      <c r="CD59" s="263">
        <f t="shared" ref="CD59" si="233">EOMONTH(CC59,1)</f>
        <v>41638</v>
      </c>
      <c r="CE59" s="263">
        <f t="shared" ref="CE59" si="234">EOMONTH(CD59,1)</f>
        <v>41669</v>
      </c>
      <c r="CF59" s="263">
        <f t="shared" ref="CF59" si="235">EOMONTH(CE59,1)</f>
        <v>41697</v>
      </c>
      <c r="CG59" s="263">
        <f t="shared" ref="CG59" si="236">EOMONTH(CF59,1)</f>
        <v>41728</v>
      </c>
      <c r="CH59" s="263">
        <f t="shared" ref="CH59" si="237">EOMONTH(CG59,1)</f>
        <v>41758</v>
      </c>
      <c r="CI59" s="263">
        <f t="shared" ref="CI59" si="238">EOMONTH(CH59,1)</f>
        <v>41789</v>
      </c>
      <c r="CJ59" s="263">
        <f t="shared" ref="CJ59" si="239">EOMONTH(CI59,1)</f>
        <v>41819</v>
      </c>
      <c r="CK59" s="263">
        <f t="shared" ref="CK59" si="240">EOMONTH(CJ59,1)</f>
        <v>41850</v>
      </c>
      <c r="CL59" s="263">
        <f t="shared" ref="CL59" si="241">EOMONTH(CK59,1)</f>
        <v>41881</v>
      </c>
      <c r="CM59" s="263">
        <f t="shared" ref="CM59" si="242">EOMONTH(CL59,1)</f>
        <v>41911</v>
      </c>
      <c r="CN59" s="263">
        <f t="shared" ref="CN59" si="243">EOMONTH(CM59,1)</f>
        <v>41942</v>
      </c>
      <c r="CO59" s="263">
        <f t="shared" ref="CO59" si="244">EOMONTH(CN59,1)</f>
        <v>41972</v>
      </c>
      <c r="CP59" s="263">
        <f t="shared" ref="CP59" si="245">EOMONTH(CO59,1)</f>
        <v>42003</v>
      </c>
      <c r="CQ59" s="263">
        <f t="shared" ref="CQ59" si="246">EOMONTH(CP59,1)</f>
        <v>42034</v>
      </c>
      <c r="CR59" s="263">
        <f t="shared" ref="CR59" si="247">EOMONTH(CQ59,1)</f>
        <v>42062</v>
      </c>
      <c r="CS59" s="263">
        <f t="shared" ref="CS59" si="248">EOMONTH(CR59,1)</f>
        <v>42093</v>
      </c>
      <c r="CT59" s="263">
        <f t="shared" ref="CT59" si="249">EOMONTH(CS59,1)</f>
        <v>42123</v>
      </c>
      <c r="CU59" s="263">
        <f t="shared" ref="CU59" si="250">EOMONTH(CT59,1)</f>
        <v>42154</v>
      </c>
      <c r="CV59" s="263">
        <f t="shared" ref="CV59" si="251">EOMONTH(CU59,1)</f>
        <v>42184</v>
      </c>
      <c r="CW59" s="263">
        <f t="shared" ref="CW59" si="252">EOMONTH(CV59,1)</f>
        <v>42215</v>
      </c>
      <c r="CX59" s="263">
        <f t="shared" ref="CX59" si="253">EOMONTH(CW59,1)</f>
        <v>42246</v>
      </c>
      <c r="CY59" s="263">
        <f t="shared" ref="CY59" si="254">EOMONTH(CX59,1)</f>
        <v>42276</v>
      </c>
      <c r="CZ59" s="263">
        <f t="shared" ref="CZ59" si="255">EOMONTH(CY59,1)</f>
        <v>42307</v>
      </c>
      <c r="DA59" s="263">
        <f t="shared" ref="DA59" si="256">EOMONTH(CZ59,1)</f>
        <v>42337</v>
      </c>
      <c r="DB59" s="262"/>
      <c r="DC59" s="256"/>
    </row>
    <row r="60" spans="1:107" s="252" customFormat="1" x14ac:dyDescent="0.3">
      <c r="A60" s="250" t="s">
        <v>170</v>
      </c>
      <c r="B60" s="251">
        <v>1010.6193697555466</v>
      </c>
      <c r="C60" s="251">
        <v>1013.8730154304494</v>
      </c>
      <c r="D60" s="251">
        <v>1013.8730154304494</v>
      </c>
      <c r="E60" s="251">
        <v>1008.7308133854847</v>
      </c>
      <c r="F60" s="251">
        <v>1012.4584122392997</v>
      </c>
      <c r="G60" s="251">
        <v>1017.9960014561888</v>
      </c>
      <c r="H60" s="251">
        <v>1022.564412661091</v>
      </c>
      <c r="I60" s="251">
        <v>1018.464137607309</v>
      </c>
      <c r="J60" s="251">
        <v>1021.4062563276769</v>
      </c>
      <c r="K60" s="251">
        <v>1023.9210016892142</v>
      </c>
      <c r="L60" s="251">
        <v>1019.9565889205263</v>
      </c>
      <c r="M60" s="251">
        <v>1019.9565889205263</v>
      </c>
      <c r="N60" s="251">
        <v>1029.271196522438</v>
      </c>
      <c r="O60" s="252">
        <v>1038.6301689737084</v>
      </c>
      <c r="P60" s="252">
        <v>1061.0655801529399</v>
      </c>
      <c r="Q60" s="252">
        <v>1072.6398119144401</v>
      </c>
      <c r="R60" s="252">
        <v>1088.2226847846321</v>
      </c>
      <c r="S60" s="252">
        <v>1109.1207009991726</v>
      </c>
      <c r="T60" s="252">
        <v>1124.8278932064832</v>
      </c>
      <c r="U60" s="252">
        <v>1137.7906702325708</v>
      </c>
      <c r="V60" s="252">
        <v>1146.5019132788304</v>
      </c>
      <c r="W60" s="252">
        <v>1160.530994518605</v>
      </c>
      <c r="X60" s="252">
        <v>1183.2610234404865</v>
      </c>
      <c r="Y60" s="252">
        <v>1201.7808628249968</v>
      </c>
      <c r="Z60" s="252">
        <v>1204.9476089866916</v>
      </c>
      <c r="AA60" s="252">
        <v>1214.2045234964073</v>
      </c>
      <c r="AB60" s="252">
        <v>1214.2045234964073</v>
      </c>
      <c r="AC60" s="252">
        <v>1228.1607445525708</v>
      </c>
      <c r="AD60" s="252">
        <v>1235.1323100553905</v>
      </c>
      <c r="AE60" s="252">
        <v>1241.4825907559634</v>
      </c>
      <c r="AF60" s="252">
        <v>1247.1963844860604</v>
      </c>
      <c r="AG60" s="252">
        <v>1255.5388042172435</v>
      </c>
      <c r="AH60" s="252">
        <v>1274.1870867652169</v>
      </c>
      <c r="AI60" s="252">
        <v>1276.1795603028693</v>
      </c>
      <c r="AJ60" s="252">
        <v>1292.6076264795395</v>
      </c>
      <c r="AK60" s="252">
        <v>1295.7641758932257</v>
      </c>
      <c r="AL60" s="252">
        <v>1330.8858915546882</v>
      </c>
      <c r="AM60" s="252">
        <v>1326.3565054918492</v>
      </c>
      <c r="AN60" s="252">
        <v>1328.7849878878758</v>
      </c>
      <c r="AO60" s="252">
        <v>1320.2701969746945</v>
      </c>
      <c r="AP60" s="252">
        <v>1328.9431859932768</v>
      </c>
      <c r="AQ60" s="252">
        <v>1358.5362575122685</v>
      </c>
      <c r="AR60" s="252">
        <v>1367.5563840697255</v>
      </c>
      <c r="AS60" s="252">
        <v>1374.7730237471837</v>
      </c>
      <c r="AT60" s="252">
        <f ca="1">OFFSET(Calcs!$A$1,Graphs!AT$14+25,15)</f>
        <v>1382.0277458677799</v>
      </c>
      <c r="AU60" s="252">
        <f ca="1">OFFSET(Calcs!$A$1,Graphs!AU$14+25,15)</f>
        <v>1388.3239889699576</v>
      </c>
      <c r="AV60" s="252">
        <f ca="1">OFFSET(Calcs!$A$1,Graphs!AV$14+25,15)</f>
        <v>1381.0362157805628</v>
      </c>
      <c r="AW60" s="252">
        <f ca="1">OFFSET(Calcs!$A$1,Graphs!AW$14+25,15)</f>
        <v>1381.0362157805628</v>
      </c>
      <c r="AX60" s="252">
        <f ca="1">OFFSET(Calcs!$A$1,Graphs!AX$14+25,15)</f>
        <v>1388.3239889699576</v>
      </c>
      <c r="AY60" s="252">
        <f ca="1">OFFSET(Calcs!$A$1,Graphs!AY$14+25,15)</f>
        <v>1388.3239889699576</v>
      </c>
      <c r="AZ60" s="252">
        <f ca="1">OFFSET(Calcs!$A$1,Graphs!AZ$14+25,15)</f>
        <v>1388.3239889699576</v>
      </c>
      <c r="BA60" s="252">
        <f ca="1">OFFSET(Calcs!$A$1,Graphs!BA$14+25,15)</f>
        <v>1403.4143193406555</v>
      </c>
      <c r="BB60" s="252">
        <f ca="1">OFFSET(Calcs!$A$1,Graphs!BB$14+25,15)</f>
        <v>1395.1831739772081</v>
      </c>
      <c r="BC60" s="252">
        <f ca="1">OFFSET(Calcs!$A$1,Graphs!BC$14+25,15)</f>
        <v>1395.1831739772081</v>
      </c>
      <c r="BD60" s="252">
        <f ca="1">OFFSET(Calcs!$A$1,Graphs!BD$14+25,15)</f>
        <v>1395.1831739772081</v>
      </c>
      <c r="BE60" s="252">
        <f ca="1">OFFSET(Calcs!$A$1,Graphs!BE$14+25,15)</f>
        <v>1395.1831739772081</v>
      </c>
      <c r="BF60" s="252">
        <f ca="1">OFFSET(Calcs!$A$1,Graphs!BF$14+25,15)</f>
        <v>1395.1831739772081</v>
      </c>
      <c r="BG60" s="252">
        <f ca="1">OFFSET(Calcs!$A$1,Graphs!BG$14+25,15)</f>
        <v>1395.1831739772081</v>
      </c>
      <c r="BH60" s="252">
        <f ca="1">OFFSET(Calcs!$A$1,Graphs!BH$14+25,15)</f>
        <v>1387.661989146708</v>
      </c>
      <c r="BI60" s="252">
        <f ca="1">OFFSET(Calcs!$A$1,Graphs!BI$14+25,15)</f>
        <v>1387.661989146708</v>
      </c>
      <c r="BJ60" s="252">
        <f ca="1">OFFSET(Calcs!$A$1,Graphs!BJ$14+25,15)</f>
        <v>1387.661989146708</v>
      </c>
      <c r="BK60" s="252">
        <f ca="1">OFFSET(Calcs!$A$1,Graphs!BK$14+25,15)</f>
        <v>1387.661989146708</v>
      </c>
      <c r="BL60" s="252">
        <f ca="1">OFFSET(Calcs!$A$1,Graphs!BL$14+25,15)</f>
        <v>1387.661989146708</v>
      </c>
      <c r="BM60" s="252">
        <f ca="1">OFFSET(Calcs!$A$1,Graphs!BM$14+25,15)</f>
        <v>1387.661989146708</v>
      </c>
      <c r="BN60" s="252">
        <f ca="1">OFFSET(Calcs!$A$1,Graphs!BN$14+25,15)</f>
        <v>1396.0975984399638</v>
      </c>
      <c r="BO60" s="252">
        <f ca="1">OFFSET(Calcs!$A$1,Graphs!BO$14+25,15)</f>
        <v>1396.0975984399638</v>
      </c>
      <c r="BP60" s="252">
        <f ca="1">OFFSET(Calcs!$A$1,Graphs!BP$14+25,15)</f>
        <v>1396.0975984399638</v>
      </c>
      <c r="BQ60" s="252">
        <f ca="1">OFFSET(Calcs!$A$1,Graphs!BQ$14+25,15)</f>
        <v>1387.9093662722044</v>
      </c>
      <c r="BR60" s="252">
        <f ca="1">OFFSET(Calcs!$A$1,Graphs!BR$14+25,15)</f>
        <v>1387.9093662722044</v>
      </c>
      <c r="BS60" s="252">
        <f ca="1">OFFSET(Calcs!$A$1,Graphs!BS$14+25,15)</f>
        <v>1387.9093662722044</v>
      </c>
      <c r="BT60" s="252">
        <f ca="1">OFFSET(Calcs!$A$1,Graphs!BT$14+25,15)</f>
        <v>1387.9093662722044</v>
      </c>
      <c r="BU60" s="252">
        <f ca="1">OFFSET(Calcs!$A$1,Graphs!BU$14+25,15)</f>
        <v>1387.9093662722044</v>
      </c>
      <c r="BV60" s="252">
        <f ca="1">OFFSET(Calcs!$A$1,Graphs!BV$14+25,15)</f>
        <v>1396.8925671563318</v>
      </c>
      <c r="BW60" s="252">
        <f ca="1">OFFSET(Calcs!$A$1,Graphs!BW$14+25,15)</f>
        <v>1396.8925671563318</v>
      </c>
      <c r="BX60" s="252">
        <f ca="1">OFFSET(Calcs!$A$1,Graphs!BX$14+25,15)</f>
        <v>1396.8925671563318</v>
      </c>
      <c r="BY60" s="252">
        <f ca="1">OFFSET(Calcs!$A$1,Graphs!BY$14+25,15)</f>
        <v>1396.8925671563318</v>
      </c>
      <c r="BZ60" s="252">
        <f ca="1">OFFSET(Calcs!$A$1,Graphs!BZ$14+25,15)</f>
        <v>1396.8925671563318</v>
      </c>
      <c r="CA60" s="252">
        <f ca="1">OFFSET(Calcs!$A$1,Graphs!CA$14+25,15)</f>
        <v>1381.4574480910408</v>
      </c>
      <c r="CB60" s="252">
        <f ca="1">OFFSET(Calcs!$A$1,Graphs!CB$14+25,15)</f>
        <v>1381.4574480910408</v>
      </c>
      <c r="CC60" s="252">
        <f ca="1">OFFSET(Calcs!$A$1,Graphs!CC$14+25,15)</f>
        <v>1381.4574480910408</v>
      </c>
      <c r="CD60" s="252">
        <f ca="1">OFFSET(Calcs!$A$1,Graphs!CD$14+25,15)</f>
        <v>1381.4574480910408</v>
      </c>
      <c r="CE60" s="252">
        <f ca="1">OFFSET(Calcs!$A$1,Graphs!CE$14+25,15)</f>
        <v>1391.3603266109369</v>
      </c>
      <c r="CF60" s="252">
        <f ca="1">OFFSET(Calcs!$A$1,Graphs!CF$14+25,15)</f>
        <v>1380.2738490361658</v>
      </c>
      <c r="CG60" s="252">
        <f ca="1">OFFSET(Calcs!$A$1,Graphs!CG$14+25,15)</f>
        <v>1380.2738490361658</v>
      </c>
      <c r="CH60" s="252">
        <f ca="1">OFFSET(Calcs!$A$1,Graphs!CH$14+25,15)</f>
        <v>1380.2738490361658</v>
      </c>
      <c r="CI60" s="252">
        <f ca="1">OFFSET(Calcs!$A$1,Graphs!CI$14+25,15)</f>
        <v>1380.2738490361658</v>
      </c>
      <c r="CJ60" s="252">
        <f ca="1">OFFSET(Calcs!$A$1,Graphs!CJ$14+25,15)</f>
        <v>1368.8193602848023</v>
      </c>
      <c r="CK60" s="252">
        <f ca="1">OFFSET(Calcs!$A$1,Graphs!CK$14+25,15)</f>
        <v>1357.9124910493729</v>
      </c>
      <c r="CL60" s="252">
        <f ca="1">OFFSET(Calcs!$A$1,Graphs!CL$14+25,15)</f>
        <v>1347.5070824599304</v>
      </c>
      <c r="CM60" s="252">
        <f ca="1">OFFSET(Calcs!$A$1,Graphs!CM$14+25,15)</f>
        <v>1347.5070824599304</v>
      </c>
      <c r="CN60" s="252">
        <f ca="1">OFFSET(Calcs!$A$1,Graphs!CN$14+25,15)</f>
        <v>1362.5628717553825</v>
      </c>
      <c r="CO60" s="252">
        <f ca="1">OFFSET(Calcs!$A$1,Graphs!CO$14+25,15)</f>
        <v>1351.2553612215518</v>
      </c>
      <c r="CP60" s="252">
        <f ca="1">OFFSET(Calcs!$A$1,Graphs!CP$14+25,15)</f>
        <v>1339.5562540040771</v>
      </c>
      <c r="CQ60" s="252">
        <f ca="1">OFFSET(Calcs!$A$1,Graphs!CQ$14+25,15)</f>
        <v>1328.8825556916247</v>
      </c>
      <c r="CR60" s="252">
        <f ca="1">OFFSET(Calcs!$A$1,Graphs!CR$14+25,15)</f>
        <v>1316.2866072658212</v>
      </c>
      <c r="CS60" s="252">
        <f ca="1">OFFSET(Calcs!$A$1,Graphs!CS$14+25,15)</f>
        <v>1306.9180590042288</v>
      </c>
      <c r="CT60" s="252">
        <f ca="1">OFFSET(Calcs!$A$1,Graphs!CT$14+25,15)</f>
        <v>1299.6775343121999</v>
      </c>
      <c r="CU60" s="252">
        <f ca="1">OFFSET(Calcs!$A$1,Graphs!CU$14+25,15)</f>
        <v>1289.7183684099946</v>
      </c>
      <c r="CV60" s="252">
        <f ca="1">OFFSET(Calcs!$A$1,Graphs!CV$14+25,15)</f>
        <v>1289.7183684099946</v>
      </c>
      <c r="CW60" s="252">
        <f ca="1">OFFSET(Calcs!$A$1,Graphs!CW$14+25,15)</f>
        <v>1280.5389171327308</v>
      </c>
      <c r="CX60" s="252">
        <f ca="1">OFFSET(Calcs!$A$1,Graphs!CX$14+25,15)</f>
        <v>1280.5389171327308</v>
      </c>
      <c r="CY60" s="252" t="e">
        <f ca="1">OFFSET(Calcs!$A$1,Graphs!CY$14+25,15)</f>
        <v>#N/A</v>
      </c>
      <c r="CZ60" s="252" t="e">
        <f ca="1">OFFSET(Calcs!$A$1,Graphs!CZ$14+25,15)</f>
        <v>#N/A</v>
      </c>
      <c r="DA60" s="252" t="e">
        <f ca="1">OFFSET(Calcs!$A$1,Graphs!DA$14+25,15)</f>
        <v>#N/A</v>
      </c>
      <c r="DC60" s="253" t="str">
        <f>A60</f>
        <v>Defenses: Vulnerability to known threats</v>
      </c>
    </row>
    <row r="61" spans="1:107" s="252" customFormat="1" x14ac:dyDescent="0.3">
      <c r="A61" s="250" t="s">
        <v>171</v>
      </c>
      <c r="B61" s="251">
        <v>1028.9317485995875</v>
      </c>
      <c r="C61" s="251">
        <v>1044.4820606013377</v>
      </c>
      <c r="D61" s="251">
        <v>1057.6200275856736</v>
      </c>
      <c r="E61" s="251">
        <v>1058.0682666243504</v>
      </c>
      <c r="F61" s="251">
        <v>1071.1576050422977</v>
      </c>
      <c r="G61" s="251">
        <v>1100.2727673242191</v>
      </c>
      <c r="H61" s="251">
        <v>1106.4482765120074</v>
      </c>
      <c r="I61" s="251">
        <v>1112.3915833513161</v>
      </c>
      <c r="J61" s="251">
        <v>1120.4426333753265</v>
      </c>
      <c r="K61" s="251">
        <v>1139.4288114923786</v>
      </c>
      <c r="L61" s="251">
        <v>1146.8196752503163</v>
      </c>
      <c r="M61" s="251">
        <v>1155.7157907391804</v>
      </c>
      <c r="N61" s="251">
        <v>1182.2828131493418</v>
      </c>
      <c r="O61" s="252">
        <v>1211.1678846359309</v>
      </c>
      <c r="P61" s="252">
        <v>1259.4788083826684</v>
      </c>
      <c r="Q61" s="252">
        <v>1289.5365585775</v>
      </c>
      <c r="R61" s="252">
        <v>1326.6384764879849</v>
      </c>
      <c r="S61" s="252">
        <v>1371.3565815722384</v>
      </c>
      <c r="T61" s="252">
        <v>1405.3404998950787</v>
      </c>
      <c r="U61" s="252">
        <v>1424.5005894790531</v>
      </c>
      <c r="V61" s="252">
        <v>1452.5386434780287</v>
      </c>
      <c r="W61" s="252">
        <v>1487.2986126864892</v>
      </c>
      <c r="X61" s="252">
        <v>1538.1527023957028</v>
      </c>
      <c r="Y61" s="252">
        <v>1587.8808591976187</v>
      </c>
      <c r="Z61" s="252">
        <v>1608.2065798509991</v>
      </c>
      <c r="AA61" s="252">
        <v>1643.0400320762794</v>
      </c>
      <c r="AB61" s="252">
        <v>1676.0606071231173</v>
      </c>
      <c r="AC61" s="252">
        <v>1690.4885867624514</v>
      </c>
      <c r="AD61" s="252">
        <v>1727.5698412884965</v>
      </c>
      <c r="AE61" s="252">
        <v>1753.2291123627906</v>
      </c>
      <c r="AF61" s="252">
        <v>1784.8179791262214</v>
      </c>
      <c r="AG61" s="252">
        <v>1820.8736940084173</v>
      </c>
      <c r="AH61" s="252">
        <v>1840.825060291935</v>
      </c>
      <c r="AI61" s="252">
        <v>1858.1639442571657</v>
      </c>
      <c r="AJ61" s="252">
        <v>1871.1732071328136</v>
      </c>
      <c r="AK61" s="252">
        <v>1905.7169711189615</v>
      </c>
      <c r="AL61" s="252">
        <v>1942.6331509259078</v>
      </c>
      <c r="AM61" s="252">
        <v>1972.6646759642992</v>
      </c>
      <c r="AN61" s="252">
        <v>1983.5200335947718</v>
      </c>
      <c r="AO61" s="252">
        <v>2009.1870829108684</v>
      </c>
      <c r="AP61" s="252">
        <v>2064.9606205565105</v>
      </c>
      <c r="AQ61" s="252">
        <v>2132.4125971030562</v>
      </c>
      <c r="AR61" s="252">
        <v>2183.1819554425833</v>
      </c>
      <c r="AS61" s="252">
        <v>2250.2618406890979</v>
      </c>
      <c r="AT61" s="252">
        <f ca="1">OFFSET(Calcs!$A$1,Graphs!AT$14+26,15)</f>
        <v>2262.1365458737282</v>
      </c>
      <c r="AU61" s="252">
        <f ca="1">OFFSET(Calcs!$A$1,Graphs!AU$14+26,15)</f>
        <v>2272.4423893459216</v>
      </c>
      <c r="AV61" s="252">
        <f ca="1">OFFSET(Calcs!$A$1,Graphs!AV$14+26,15)</f>
        <v>2308.6078238835171</v>
      </c>
      <c r="AW61" s="252">
        <f ca="1">OFFSET(Calcs!$A$1,Graphs!AW$14+26,15)</f>
        <v>2308.6078238835171</v>
      </c>
      <c r="AX61" s="252">
        <f ca="1">OFFSET(Calcs!$A$1,Graphs!AX$14+26,15)</f>
        <v>2320.7904227259492</v>
      </c>
      <c r="AY61" s="252">
        <f ca="1">OFFSET(Calcs!$A$1,Graphs!AY$14+26,15)</f>
        <v>2320.7904227259492</v>
      </c>
      <c r="AZ61" s="252">
        <f ca="1">OFFSET(Calcs!$A$1,Graphs!AZ$14+26,15)</f>
        <v>2332.1390085913845</v>
      </c>
      <c r="BA61" s="252">
        <f ca="1">OFFSET(Calcs!$A$1,Graphs!BA$14+26,15)</f>
        <v>2332.1390085913845</v>
      </c>
      <c r="BB61" s="252">
        <f ca="1">OFFSET(Calcs!$A$1,Graphs!BB$14+26,15)</f>
        <v>2304.8628417222267</v>
      </c>
      <c r="BC61" s="252">
        <f ca="1">OFFSET(Calcs!$A$1,Graphs!BC$14+26,15)</f>
        <v>2304.8628417222267</v>
      </c>
      <c r="BD61" s="252">
        <f ca="1">OFFSET(Calcs!$A$1,Graphs!BD$14+26,15)</f>
        <v>2317.025678171553</v>
      </c>
      <c r="BE61" s="252">
        <f ca="1">OFFSET(Calcs!$A$1,Graphs!BE$14+26,15)</f>
        <v>2317.025678171553</v>
      </c>
      <c r="BF61" s="252">
        <f ca="1">OFFSET(Calcs!$A$1,Graphs!BF$14+26,15)</f>
        <v>2317.025678171553</v>
      </c>
      <c r="BG61" s="252">
        <f ca="1">OFFSET(Calcs!$A$1,Graphs!BG$14+26,15)</f>
        <v>2303.4361238218221</v>
      </c>
      <c r="BH61" s="252">
        <f ca="1">OFFSET(Calcs!$A$1,Graphs!BH$14+26,15)</f>
        <v>2291.0187085636321</v>
      </c>
      <c r="BI61" s="252">
        <f ca="1">OFFSET(Calcs!$A$1,Graphs!BI$14+26,15)</f>
        <v>2291.0187085636321</v>
      </c>
      <c r="BJ61" s="252">
        <f ca="1">OFFSET(Calcs!$A$1,Graphs!BJ$14+26,15)</f>
        <v>2291.0187085636321</v>
      </c>
      <c r="BK61" s="252">
        <f ca="1">OFFSET(Calcs!$A$1,Graphs!BK$14+26,15)</f>
        <v>2276.2855202195797</v>
      </c>
      <c r="BL61" s="252">
        <f ca="1">OFFSET(Calcs!$A$1,Graphs!BL$14+26,15)</f>
        <v>2276.2855202195797</v>
      </c>
      <c r="BM61" s="252">
        <f ca="1">OFFSET(Calcs!$A$1,Graphs!BM$14+26,15)</f>
        <v>2276.2855202195797</v>
      </c>
      <c r="BN61" s="252">
        <f ca="1">OFFSET(Calcs!$A$1,Graphs!BN$14+26,15)</f>
        <v>2290.123079681935</v>
      </c>
      <c r="BO61" s="252">
        <f ca="1">OFFSET(Calcs!$A$1,Graphs!BO$14+26,15)</f>
        <v>2290.123079681935</v>
      </c>
      <c r="BP61" s="252">
        <f ca="1">OFFSET(Calcs!$A$1,Graphs!BP$14+26,15)</f>
        <v>2290.123079681935</v>
      </c>
      <c r="BQ61" s="252">
        <f ca="1">OFFSET(Calcs!$A$1,Graphs!BQ$14+26,15)</f>
        <v>2290.123079681935</v>
      </c>
      <c r="BR61" s="252">
        <f ca="1">OFFSET(Calcs!$A$1,Graphs!BR$14+26,15)</f>
        <v>2290.123079681935</v>
      </c>
      <c r="BS61" s="252">
        <f ca="1">OFFSET(Calcs!$A$1,Graphs!BS$14+26,15)</f>
        <v>2290.123079681935</v>
      </c>
      <c r="BT61" s="252">
        <f ca="1">OFFSET(Calcs!$A$1,Graphs!BT$14+26,15)</f>
        <v>2290.123079681935</v>
      </c>
      <c r="BU61" s="252">
        <f ca="1">OFFSET(Calcs!$A$1,Graphs!BU$14+26,15)</f>
        <v>2290.123079681935</v>
      </c>
      <c r="BV61" s="252">
        <f ca="1">OFFSET(Calcs!$A$1,Graphs!BV$14+26,15)</f>
        <v>2304.9458312059883</v>
      </c>
      <c r="BW61" s="252">
        <f ca="1">OFFSET(Calcs!$A$1,Graphs!BW$14+26,15)</f>
        <v>2319.8645225355012</v>
      </c>
      <c r="BX61" s="252">
        <f ca="1">OFFSET(Calcs!$A$1,Graphs!BX$14+26,15)</f>
        <v>2319.8645225355012</v>
      </c>
      <c r="BY61" s="252">
        <f ca="1">OFFSET(Calcs!$A$1,Graphs!BY$14+26,15)</f>
        <v>2337.7784456186118</v>
      </c>
      <c r="BZ61" s="252">
        <f ca="1">OFFSET(Calcs!$A$1,Graphs!BZ$14+26,15)</f>
        <v>2324.0671745076961</v>
      </c>
      <c r="CA61" s="252">
        <f ca="1">OFFSET(Calcs!$A$1,Graphs!CA$14+26,15)</f>
        <v>2298.3871369746121</v>
      </c>
      <c r="CB61" s="252">
        <f ca="1">OFFSET(Calcs!$A$1,Graphs!CB$14+26,15)</f>
        <v>2298.3871369746121</v>
      </c>
      <c r="CC61" s="252">
        <f ca="1">OFFSET(Calcs!$A$1,Graphs!CC$14+26,15)</f>
        <v>2282.5907242008411</v>
      </c>
      <c r="CD61" s="252">
        <f ca="1">OFFSET(Calcs!$A$1,Graphs!CD$14+26,15)</f>
        <v>2282.5907242008411</v>
      </c>
      <c r="CE61" s="252">
        <f ca="1">OFFSET(Calcs!$A$1,Graphs!CE$14+26,15)</f>
        <v>2282.5907242008411</v>
      </c>
      <c r="CF61" s="252">
        <f ca="1">OFFSET(Calcs!$A$1,Graphs!CF$14+26,15)</f>
        <v>2264.4028469182736</v>
      </c>
      <c r="CG61" s="252">
        <f ca="1">OFFSET(Calcs!$A$1,Graphs!CG$14+26,15)</f>
        <v>2264.4028469182736</v>
      </c>
      <c r="CH61" s="252">
        <f ca="1">OFFSET(Calcs!$A$1,Graphs!CH$14+26,15)</f>
        <v>2285.0821819025382</v>
      </c>
      <c r="CI61" s="252">
        <f ca="1">OFFSET(Calcs!$A$1,Graphs!CI$14+26,15)</f>
        <v>2316.8189277775377</v>
      </c>
      <c r="CJ61" s="252">
        <f ca="1">OFFSET(Calcs!$A$1,Graphs!CJ$14+26,15)</f>
        <v>2297.5923254871987</v>
      </c>
      <c r="CK61" s="252">
        <f ca="1">OFFSET(Calcs!$A$1,Graphs!CK$14+26,15)</f>
        <v>2297.5923254871987</v>
      </c>
      <c r="CL61" s="252">
        <f ca="1">OFFSET(Calcs!$A$1,Graphs!CL$14+26,15)</f>
        <v>2279.9863405093402</v>
      </c>
      <c r="CM61" s="252">
        <f ca="1">OFFSET(Calcs!$A$1,Graphs!CM$14+26,15)</f>
        <v>2279.9863405093402</v>
      </c>
      <c r="CN61" s="252">
        <f ca="1">OFFSET(Calcs!$A$1,Graphs!CN$14+26,15)</f>
        <v>2305.4607846781619</v>
      </c>
      <c r="CO61" s="252">
        <f ca="1">OFFSET(Calcs!$A$1,Graphs!CO$14+26,15)</f>
        <v>2305.4607846781619</v>
      </c>
      <c r="CP61" s="252">
        <f ca="1">OFFSET(Calcs!$A$1,Graphs!CP$14+26,15)</f>
        <v>2285.5002104745931</v>
      </c>
      <c r="CQ61" s="252">
        <f ca="1">OFFSET(Calcs!$A$1,Graphs!CQ$14+26,15)</f>
        <v>2267.2891501576159</v>
      </c>
      <c r="CR61" s="252">
        <f ca="1">OFFSET(Calcs!$A$1,Graphs!CR$14+26,15)</f>
        <v>2245.7984194083469</v>
      </c>
      <c r="CS61" s="252">
        <f ca="1">OFFSET(Calcs!$A$1,Graphs!CS$14+26,15)</f>
        <v>2229.81415673949</v>
      </c>
      <c r="CT61" s="252">
        <f ca="1">OFFSET(Calcs!$A$1,Graphs!CT$14+26,15)</f>
        <v>2229.81415673949</v>
      </c>
      <c r="CU61" s="252">
        <f ca="1">OFFSET(Calcs!$A$1,Graphs!CU$14+26,15)</f>
        <v>2212.727542151044</v>
      </c>
      <c r="CV61" s="252">
        <f ca="1">OFFSET(Calcs!$A$1,Graphs!CV$14+26,15)</f>
        <v>2212.727542151044</v>
      </c>
      <c r="CW61" s="252">
        <f ca="1">OFFSET(Calcs!$A$1,Graphs!CW$14+26,15)</f>
        <v>2196.9786583942937</v>
      </c>
      <c r="CX61" s="252">
        <f ca="1">OFFSET(Calcs!$A$1,Graphs!CX$14+26,15)</f>
        <v>2196.9786583942937</v>
      </c>
      <c r="CY61" s="252" t="e">
        <f ca="1">OFFSET(Calcs!$A$1,Graphs!CY$14+26,15)</f>
        <v>#N/A</v>
      </c>
      <c r="CZ61" s="252" t="e">
        <f ca="1">OFFSET(Calcs!$A$1,Graphs!CZ$14+26,15)</f>
        <v>#N/A</v>
      </c>
      <c r="DA61" s="252" t="e">
        <f ca="1">OFFSET(Calcs!$A$1,Graphs!DA$14+26,15)</f>
        <v>#N/A</v>
      </c>
      <c r="DC61" s="253" t="str">
        <f>A61</f>
        <v>Defenses: Vulnerability to unknown threats</v>
      </c>
    </row>
    <row r="62" spans="1:107" s="252" customFormat="1" x14ac:dyDescent="0.3">
      <c r="A62" s="250" t="s">
        <v>2703</v>
      </c>
      <c r="B62" s="251" t="e">
        <f>IF(AND(ISNA(C60),B60&lt;&gt;""),B60,NA())</f>
        <v>#N/A</v>
      </c>
      <c r="C62" s="251" t="e">
        <f t="shared" ref="C62:BN62" si="257">IF(AND(ISNA(D60),C60&lt;&gt;""),C60,NA())</f>
        <v>#N/A</v>
      </c>
      <c r="D62" s="251" t="e">
        <f t="shared" si="257"/>
        <v>#N/A</v>
      </c>
      <c r="E62" s="251" t="e">
        <f t="shared" si="257"/>
        <v>#N/A</v>
      </c>
      <c r="F62" s="251" t="e">
        <f t="shared" si="257"/>
        <v>#N/A</v>
      </c>
      <c r="G62" s="251" t="e">
        <f t="shared" si="257"/>
        <v>#N/A</v>
      </c>
      <c r="H62" s="251" t="e">
        <f t="shared" si="257"/>
        <v>#N/A</v>
      </c>
      <c r="I62" s="251" t="e">
        <f t="shared" si="257"/>
        <v>#N/A</v>
      </c>
      <c r="J62" s="251" t="e">
        <f t="shared" si="257"/>
        <v>#N/A</v>
      </c>
      <c r="K62" s="251" t="e">
        <f t="shared" si="257"/>
        <v>#N/A</v>
      </c>
      <c r="L62" s="251" t="e">
        <f t="shared" si="257"/>
        <v>#N/A</v>
      </c>
      <c r="M62" s="251" t="e">
        <f t="shared" si="257"/>
        <v>#N/A</v>
      </c>
      <c r="N62" s="251" t="e">
        <f t="shared" si="257"/>
        <v>#N/A</v>
      </c>
      <c r="O62" s="251" t="e">
        <f t="shared" si="257"/>
        <v>#N/A</v>
      </c>
      <c r="P62" s="251" t="e">
        <f t="shared" si="257"/>
        <v>#N/A</v>
      </c>
      <c r="Q62" s="251" t="e">
        <f t="shared" si="257"/>
        <v>#N/A</v>
      </c>
      <c r="R62" s="251" t="e">
        <f t="shared" si="257"/>
        <v>#N/A</v>
      </c>
      <c r="S62" s="251" t="e">
        <f t="shared" si="257"/>
        <v>#N/A</v>
      </c>
      <c r="T62" s="251" t="e">
        <f t="shared" si="257"/>
        <v>#N/A</v>
      </c>
      <c r="U62" s="251" t="e">
        <f t="shared" si="257"/>
        <v>#N/A</v>
      </c>
      <c r="V62" s="251" t="e">
        <f t="shared" si="257"/>
        <v>#N/A</v>
      </c>
      <c r="W62" s="251" t="e">
        <f t="shared" si="257"/>
        <v>#N/A</v>
      </c>
      <c r="X62" s="251" t="e">
        <f t="shared" si="257"/>
        <v>#N/A</v>
      </c>
      <c r="Y62" s="251" t="e">
        <f t="shared" si="257"/>
        <v>#N/A</v>
      </c>
      <c r="Z62" s="251" t="e">
        <f t="shared" si="257"/>
        <v>#N/A</v>
      </c>
      <c r="AA62" s="251" t="e">
        <f t="shared" si="257"/>
        <v>#N/A</v>
      </c>
      <c r="AB62" s="251" t="e">
        <f t="shared" si="257"/>
        <v>#N/A</v>
      </c>
      <c r="AC62" s="251" t="e">
        <f t="shared" si="257"/>
        <v>#N/A</v>
      </c>
      <c r="AD62" s="251" t="e">
        <f t="shared" si="257"/>
        <v>#N/A</v>
      </c>
      <c r="AE62" s="251" t="e">
        <f t="shared" si="257"/>
        <v>#N/A</v>
      </c>
      <c r="AF62" s="251" t="e">
        <f t="shared" si="257"/>
        <v>#N/A</v>
      </c>
      <c r="AG62" s="251" t="e">
        <f t="shared" si="257"/>
        <v>#N/A</v>
      </c>
      <c r="AH62" s="251" t="e">
        <f t="shared" si="257"/>
        <v>#N/A</v>
      </c>
      <c r="AI62" s="251" t="e">
        <f t="shared" si="257"/>
        <v>#N/A</v>
      </c>
      <c r="AJ62" s="251" t="e">
        <f t="shared" si="257"/>
        <v>#N/A</v>
      </c>
      <c r="AK62" s="251" t="e">
        <f t="shared" si="257"/>
        <v>#N/A</v>
      </c>
      <c r="AL62" s="251" t="e">
        <f t="shared" si="257"/>
        <v>#N/A</v>
      </c>
      <c r="AM62" s="251" t="e">
        <f t="shared" si="257"/>
        <v>#N/A</v>
      </c>
      <c r="AN62" s="251" t="e">
        <f t="shared" si="257"/>
        <v>#N/A</v>
      </c>
      <c r="AO62" s="251" t="e">
        <f t="shared" si="257"/>
        <v>#N/A</v>
      </c>
      <c r="AP62" s="251" t="e">
        <f t="shared" si="257"/>
        <v>#N/A</v>
      </c>
      <c r="AQ62" s="251" t="e">
        <f t="shared" si="257"/>
        <v>#N/A</v>
      </c>
      <c r="AR62" s="251" t="e">
        <f t="shared" si="257"/>
        <v>#N/A</v>
      </c>
      <c r="AS62" s="251" t="e">
        <f t="shared" ca="1" si="257"/>
        <v>#N/A</v>
      </c>
      <c r="AT62" s="251" t="e">
        <f t="shared" ca="1" si="257"/>
        <v>#N/A</v>
      </c>
      <c r="AU62" s="251" t="e">
        <f t="shared" ca="1" si="257"/>
        <v>#N/A</v>
      </c>
      <c r="AV62" s="251" t="e">
        <f t="shared" ca="1" si="257"/>
        <v>#N/A</v>
      </c>
      <c r="AW62" s="251" t="e">
        <f t="shared" ca="1" si="257"/>
        <v>#N/A</v>
      </c>
      <c r="AX62" s="251" t="e">
        <f t="shared" ca="1" si="257"/>
        <v>#N/A</v>
      </c>
      <c r="AY62" s="251" t="e">
        <f t="shared" ca="1" si="257"/>
        <v>#N/A</v>
      </c>
      <c r="AZ62" s="251" t="e">
        <f t="shared" ca="1" si="257"/>
        <v>#N/A</v>
      </c>
      <c r="BA62" s="251" t="e">
        <f t="shared" ca="1" si="257"/>
        <v>#N/A</v>
      </c>
      <c r="BB62" s="251" t="e">
        <f t="shared" ca="1" si="257"/>
        <v>#N/A</v>
      </c>
      <c r="BC62" s="251" t="e">
        <f t="shared" ca="1" si="257"/>
        <v>#N/A</v>
      </c>
      <c r="BD62" s="251" t="e">
        <f t="shared" ca="1" si="257"/>
        <v>#N/A</v>
      </c>
      <c r="BE62" s="251" t="e">
        <f t="shared" ca="1" si="257"/>
        <v>#N/A</v>
      </c>
      <c r="BF62" s="251" t="e">
        <f t="shared" ca="1" si="257"/>
        <v>#N/A</v>
      </c>
      <c r="BG62" s="251" t="e">
        <f t="shared" ca="1" si="257"/>
        <v>#N/A</v>
      </c>
      <c r="BH62" s="251" t="e">
        <f t="shared" ca="1" si="257"/>
        <v>#N/A</v>
      </c>
      <c r="BI62" s="251" t="e">
        <f t="shared" ca="1" si="257"/>
        <v>#N/A</v>
      </c>
      <c r="BJ62" s="251" t="e">
        <f t="shared" ca="1" si="257"/>
        <v>#N/A</v>
      </c>
      <c r="BK62" s="251" t="e">
        <f t="shared" ca="1" si="257"/>
        <v>#N/A</v>
      </c>
      <c r="BL62" s="251" t="e">
        <f t="shared" ca="1" si="257"/>
        <v>#N/A</v>
      </c>
      <c r="BM62" s="251" t="e">
        <f t="shared" ca="1" si="257"/>
        <v>#N/A</v>
      </c>
      <c r="BN62" s="251" t="e">
        <f t="shared" ca="1" si="257"/>
        <v>#N/A</v>
      </c>
      <c r="BO62" s="251" t="e">
        <f t="shared" ref="BO62:DA62" ca="1" si="258">IF(AND(ISNA(BP60),BO60&lt;&gt;""),BO60,NA())</f>
        <v>#N/A</v>
      </c>
      <c r="BP62" s="251" t="e">
        <f t="shared" ca="1" si="258"/>
        <v>#N/A</v>
      </c>
      <c r="BQ62" s="251" t="e">
        <f t="shared" ca="1" si="258"/>
        <v>#N/A</v>
      </c>
      <c r="BR62" s="251" t="e">
        <f t="shared" ca="1" si="258"/>
        <v>#N/A</v>
      </c>
      <c r="BS62" s="251" t="e">
        <f t="shared" ca="1" si="258"/>
        <v>#N/A</v>
      </c>
      <c r="BT62" s="251" t="e">
        <f t="shared" ca="1" si="258"/>
        <v>#N/A</v>
      </c>
      <c r="BU62" s="251" t="e">
        <f t="shared" ca="1" si="258"/>
        <v>#N/A</v>
      </c>
      <c r="BV62" s="251" t="e">
        <f t="shared" ca="1" si="258"/>
        <v>#N/A</v>
      </c>
      <c r="BW62" s="251" t="e">
        <f t="shared" ca="1" si="258"/>
        <v>#N/A</v>
      </c>
      <c r="BX62" s="251" t="e">
        <f t="shared" ca="1" si="258"/>
        <v>#N/A</v>
      </c>
      <c r="BY62" s="251" t="e">
        <f t="shared" ca="1" si="258"/>
        <v>#N/A</v>
      </c>
      <c r="BZ62" s="251" t="e">
        <f t="shared" ca="1" si="258"/>
        <v>#N/A</v>
      </c>
      <c r="CA62" s="251" t="e">
        <f t="shared" ca="1" si="258"/>
        <v>#N/A</v>
      </c>
      <c r="CB62" s="251" t="e">
        <f t="shared" ca="1" si="258"/>
        <v>#N/A</v>
      </c>
      <c r="CC62" s="251" t="e">
        <f t="shared" ca="1" si="258"/>
        <v>#N/A</v>
      </c>
      <c r="CD62" s="251" t="e">
        <f t="shared" ca="1" si="258"/>
        <v>#N/A</v>
      </c>
      <c r="CE62" s="251" t="e">
        <f t="shared" ca="1" si="258"/>
        <v>#N/A</v>
      </c>
      <c r="CF62" s="251" t="e">
        <f t="shared" ca="1" si="258"/>
        <v>#N/A</v>
      </c>
      <c r="CG62" s="251" t="e">
        <f t="shared" ca="1" si="258"/>
        <v>#N/A</v>
      </c>
      <c r="CH62" s="251" t="e">
        <f t="shared" ca="1" si="258"/>
        <v>#N/A</v>
      </c>
      <c r="CI62" s="251" t="e">
        <f t="shared" ca="1" si="258"/>
        <v>#N/A</v>
      </c>
      <c r="CJ62" s="251" t="e">
        <f t="shared" ca="1" si="258"/>
        <v>#N/A</v>
      </c>
      <c r="CK62" s="251" t="e">
        <f t="shared" ca="1" si="258"/>
        <v>#N/A</v>
      </c>
      <c r="CL62" s="251" t="e">
        <f t="shared" ca="1" si="258"/>
        <v>#N/A</v>
      </c>
      <c r="CM62" s="251" t="e">
        <f t="shared" ca="1" si="258"/>
        <v>#N/A</v>
      </c>
      <c r="CN62" s="251" t="e">
        <f t="shared" ca="1" si="258"/>
        <v>#N/A</v>
      </c>
      <c r="CO62" s="251" t="e">
        <f t="shared" ca="1" si="258"/>
        <v>#N/A</v>
      </c>
      <c r="CP62" s="251" t="e">
        <f t="shared" ca="1" si="258"/>
        <v>#N/A</v>
      </c>
      <c r="CQ62" s="251" t="e">
        <f t="shared" ca="1" si="258"/>
        <v>#N/A</v>
      </c>
      <c r="CR62" s="251" t="e">
        <f t="shared" ca="1" si="258"/>
        <v>#N/A</v>
      </c>
      <c r="CS62" s="251" t="e">
        <f t="shared" ca="1" si="258"/>
        <v>#N/A</v>
      </c>
      <c r="CT62" s="251" t="e">
        <f t="shared" ca="1" si="258"/>
        <v>#N/A</v>
      </c>
      <c r="CU62" s="251" t="e">
        <f t="shared" ca="1" si="258"/>
        <v>#N/A</v>
      </c>
      <c r="CV62" s="251" t="e">
        <f t="shared" ca="1" si="258"/>
        <v>#N/A</v>
      </c>
      <c r="CW62" s="251" t="e">
        <f t="shared" ca="1" si="258"/>
        <v>#N/A</v>
      </c>
      <c r="CX62" s="251">
        <f t="shared" ca="1" si="258"/>
        <v>1280.5389171327308</v>
      </c>
      <c r="CY62" s="251" t="e">
        <f t="shared" ca="1" si="258"/>
        <v>#N/A</v>
      </c>
      <c r="CZ62" s="251" t="e">
        <f t="shared" ca="1" si="258"/>
        <v>#N/A</v>
      </c>
      <c r="DA62" s="251" t="e">
        <f t="shared" ca="1" si="258"/>
        <v>#N/A</v>
      </c>
      <c r="DC62" s="253"/>
    </row>
    <row r="63" spans="1:107" s="252" customFormat="1" x14ac:dyDescent="0.3">
      <c r="A63" s="250" t="s">
        <v>2704</v>
      </c>
      <c r="B63" s="251" t="e">
        <f>IF(AND(ISNA(C61),B61&lt;&gt;""),B61,NA())</f>
        <v>#N/A</v>
      </c>
      <c r="C63" s="251" t="e">
        <f t="shared" ref="C63:BN63" si="259">IF(AND(ISNA(D61),C61&lt;&gt;""),C61,NA())</f>
        <v>#N/A</v>
      </c>
      <c r="D63" s="251" t="e">
        <f t="shared" si="259"/>
        <v>#N/A</v>
      </c>
      <c r="E63" s="251" t="e">
        <f t="shared" si="259"/>
        <v>#N/A</v>
      </c>
      <c r="F63" s="251" t="e">
        <f t="shared" si="259"/>
        <v>#N/A</v>
      </c>
      <c r="G63" s="251" t="e">
        <f t="shared" si="259"/>
        <v>#N/A</v>
      </c>
      <c r="H63" s="251" t="e">
        <f t="shared" si="259"/>
        <v>#N/A</v>
      </c>
      <c r="I63" s="251" t="e">
        <f t="shared" si="259"/>
        <v>#N/A</v>
      </c>
      <c r="J63" s="251" t="e">
        <f t="shared" si="259"/>
        <v>#N/A</v>
      </c>
      <c r="K63" s="251" t="e">
        <f t="shared" si="259"/>
        <v>#N/A</v>
      </c>
      <c r="L63" s="251" t="e">
        <f t="shared" si="259"/>
        <v>#N/A</v>
      </c>
      <c r="M63" s="251" t="e">
        <f t="shared" si="259"/>
        <v>#N/A</v>
      </c>
      <c r="N63" s="251" t="e">
        <f t="shared" si="259"/>
        <v>#N/A</v>
      </c>
      <c r="O63" s="251" t="e">
        <f t="shared" si="259"/>
        <v>#N/A</v>
      </c>
      <c r="P63" s="251" t="e">
        <f t="shared" si="259"/>
        <v>#N/A</v>
      </c>
      <c r="Q63" s="251" t="e">
        <f t="shared" si="259"/>
        <v>#N/A</v>
      </c>
      <c r="R63" s="251" t="e">
        <f t="shared" si="259"/>
        <v>#N/A</v>
      </c>
      <c r="S63" s="251" t="e">
        <f t="shared" si="259"/>
        <v>#N/A</v>
      </c>
      <c r="T63" s="251" t="e">
        <f t="shared" si="259"/>
        <v>#N/A</v>
      </c>
      <c r="U63" s="251" t="e">
        <f t="shared" si="259"/>
        <v>#N/A</v>
      </c>
      <c r="V63" s="251" t="e">
        <f t="shared" si="259"/>
        <v>#N/A</v>
      </c>
      <c r="W63" s="251" t="e">
        <f t="shared" si="259"/>
        <v>#N/A</v>
      </c>
      <c r="X63" s="251" t="e">
        <f t="shared" si="259"/>
        <v>#N/A</v>
      </c>
      <c r="Y63" s="251" t="e">
        <f t="shared" si="259"/>
        <v>#N/A</v>
      </c>
      <c r="Z63" s="251" t="e">
        <f t="shared" si="259"/>
        <v>#N/A</v>
      </c>
      <c r="AA63" s="251" t="e">
        <f t="shared" si="259"/>
        <v>#N/A</v>
      </c>
      <c r="AB63" s="251" t="e">
        <f t="shared" si="259"/>
        <v>#N/A</v>
      </c>
      <c r="AC63" s="251" t="e">
        <f t="shared" si="259"/>
        <v>#N/A</v>
      </c>
      <c r="AD63" s="251" t="e">
        <f t="shared" si="259"/>
        <v>#N/A</v>
      </c>
      <c r="AE63" s="251" t="e">
        <f t="shared" si="259"/>
        <v>#N/A</v>
      </c>
      <c r="AF63" s="251" t="e">
        <f t="shared" si="259"/>
        <v>#N/A</v>
      </c>
      <c r="AG63" s="251" t="e">
        <f t="shared" si="259"/>
        <v>#N/A</v>
      </c>
      <c r="AH63" s="251" t="e">
        <f t="shared" si="259"/>
        <v>#N/A</v>
      </c>
      <c r="AI63" s="251" t="e">
        <f t="shared" si="259"/>
        <v>#N/A</v>
      </c>
      <c r="AJ63" s="251" t="e">
        <f t="shared" si="259"/>
        <v>#N/A</v>
      </c>
      <c r="AK63" s="251" t="e">
        <f t="shared" si="259"/>
        <v>#N/A</v>
      </c>
      <c r="AL63" s="251" t="e">
        <f t="shared" si="259"/>
        <v>#N/A</v>
      </c>
      <c r="AM63" s="251" t="e">
        <f t="shared" si="259"/>
        <v>#N/A</v>
      </c>
      <c r="AN63" s="251" t="e">
        <f t="shared" si="259"/>
        <v>#N/A</v>
      </c>
      <c r="AO63" s="251" t="e">
        <f t="shared" si="259"/>
        <v>#N/A</v>
      </c>
      <c r="AP63" s="251" t="e">
        <f t="shared" si="259"/>
        <v>#N/A</v>
      </c>
      <c r="AQ63" s="251" t="e">
        <f t="shared" si="259"/>
        <v>#N/A</v>
      </c>
      <c r="AR63" s="251" t="e">
        <f t="shared" si="259"/>
        <v>#N/A</v>
      </c>
      <c r="AS63" s="251" t="e">
        <f t="shared" ca="1" si="259"/>
        <v>#N/A</v>
      </c>
      <c r="AT63" s="251" t="e">
        <f t="shared" ca="1" si="259"/>
        <v>#N/A</v>
      </c>
      <c r="AU63" s="251" t="e">
        <f t="shared" ca="1" si="259"/>
        <v>#N/A</v>
      </c>
      <c r="AV63" s="251" t="e">
        <f t="shared" ca="1" si="259"/>
        <v>#N/A</v>
      </c>
      <c r="AW63" s="251" t="e">
        <f t="shared" ca="1" si="259"/>
        <v>#N/A</v>
      </c>
      <c r="AX63" s="251" t="e">
        <f t="shared" ca="1" si="259"/>
        <v>#N/A</v>
      </c>
      <c r="AY63" s="251" t="e">
        <f t="shared" ca="1" si="259"/>
        <v>#N/A</v>
      </c>
      <c r="AZ63" s="251" t="e">
        <f t="shared" ca="1" si="259"/>
        <v>#N/A</v>
      </c>
      <c r="BA63" s="251" t="e">
        <f t="shared" ca="1" si="259"/>
        <v>#N/A</v>
      </c>
      <c r="BB63" s="251" t="e">
        <f t="shared" ca="1" si="259"/>
        <v>#N/A</v>
      </c>
      <c r="BC63" s="251" t="e">
        <f t="shared" ca="1" si="259"/>
        <v>#N/A</v>
      </c>
      <c r="BD63" s="251" t="e">
        <f t="shared" ca="1" si="259"/>
        <v>#N/A</v>
      </c>
      <c r="BE63" s="251" t="e">
        <f t="shared" ca="1" si="259"/>
        <v>#N/A</v>
      </c>
      <c r="BF63" s="251" t="e">
        <f t="shared" ca="1" si="259"/>
        <v>#N/A</v>
      </c>
      <c r="BG63" s="251" t="e">
        <f t="shared" ca="1" si="259"/>
        <v>#N/A</v>
      </c>
      <c r="BH63" s="251" t="e">
        <f t="shared" ca="1" si="259"/>
        <v>#N/A</v>
      </c>
      <c r="BI63" s="251" t="e">
        <f t="shared" ca="1" si="259"/>
        <v>#N/A</v>
      </c>
      <c r="BJ63" s="251" t="e">
        <f t="shared" ca="1" si="259"/>
        <v>#N/A</v>
      </c>
      <c r="BK63" s="251" t="e">
        <f t="shared" ca="1" si="259"/>
        <v>#N/A</v>
      </c>
      <c r="BL63" s="251" t="e">
        <f t="shared" ca="1" si="259"/>
        <v>#N/A</v>
      </c>
      <c r="BM63" s="251" t="e">
        <f t="shared" ca="1" si="259"/>
        <v>#N/A</v>
      </c>
      <c r="BN63" s="251" t="e">
        <f t="shared" ca="1" si="259"/>
        <v>#N/A</v>
      </c>
      <c r="BO63" s="251" t="e">
        <f t="shared" ref="BO63:DA63" ca="1" si="260">IF(AND(ISNA(BP61),BO61&lt;&gt;""),BO61,NA())</f>
        <v>#N/A</v>
      </c>
      <c r="BP63" s="251" t="e">
        <f t="shared" ca="1" si="260"/>
        <v>#N/A</v>
      </c>
      <c r="BQ63" s="251" t="e">
        <f t="shared" ca="1" si="260"/>
        <v>#N/A</v>
      </c>
      <c r="BR63" s="251" t="e">
        <f t="shared" ca="1" si="260"/>
        <v>#N/A</v>
      </c>
      <c r="BS63" s="251" t="e">
        <f t="shared" ca="1" si="260"/>
        <v>#N/A</v>
      </c>
      <c r="BT63" s="251" t="e">
        <f t="shared" ca="1" si="260"/>
        <v>#N/A</v>
      </c>
      <c r="BU63" s="251" t="e">
        <f t="shared" ca="1" si="260"/>
        <v>#N/A</v>
      </c>
      <c r="BV63" s="251" t="e">
        <f t="shared" ca="1" si="260"/>
        <v>#N/A</v>
      </c>
      <c r="BW63" s="251" t="e">
        <f t="shared" ca="1" si="260"/>
        <v>#N/A</v>
      </c>
      <c r="BX63" s="251" t="e">
        <f t="shared" ca="1" si="260"/>
        <v>#N/A</v>
      </c>
      <c r="BY63" s="251" t="e">
        <f t="shared" ca="1" si="260"/>
        <v>#N/A</v>
      </c>
      <c r="BZ63" s="251" t="e">
        <f t="shared" ca="1" si="260"/>
        <v>#N/A</v>
      </c>
      <c r="CA63" s="251" t="e">
        <f t="shared" ca="1" si="260"/>
        <v>#N/A</v>
      </c>
      <c r="CB63" s="251" t="e">
        <f t="shared" ca="1" si="260"/>
        <v>#N/A</v>
      </c>
      <c r="CC63" s="251" t="e">
        <f t="shared" ca="1" si="260"/>
        <v>#N/A</v>
      </c>
      <c r="CD63" s="251" t="e">
        <f t="shared" ca="1" si="260"/>
        <v>#N/A</v>
      </c>
      <c r="CE63" s="251" t="e">
        <f t="shared" ca="1" si="260"/>
        <v>#N/A</v>
      </c>
      <c r="CF63" s="251" t="e">
        <f t="shared" ca="1" si="260"/>
        <v>#N/A</v>
      </c>
      <c r="CG63" s="251" t="e">
        <f t="shared" ca="1" si="260"/>
        <v>#N/A</v>
      </c>
      <c r="CH63" s="251" t="e">
        <f t="shared" ca="1" si="260"/>
        <v>#N/A</v>
      </c>
      <c r="CI63" s="251" t="e">
        <f t="shared" ca="1" si="260"/>
        <v>#N/A</v>
      </c>
      <c r="CJ63" s="251" t="e">
        <f t="shared" ca="1" si="260"/>
        <v>#N/A</v>
      </c>
      <c r="CK63" s="251" t="e">
        <f t="shared" ca="1" si="260"/>
        <v>#N/A</v>
      </c>
      <c r="CL63" s="251" t="e">
        <f t="shared" ca="1" si="260"/>
        <v>#N/A</v>
      </c>
      <c r="CM63" s="251" t="e">
        <f t="shared" ca="1" si="260"/>
        <v>#N/A</v>
      </c>
      <c r="CN63" s="251" t="e">
        <f t="shared" ca="1" si="260"/>
        <v>#N/A</v>
      </c>
      <c r="CO63" s="251" t="e">
        <f t="shared" ca="1" si="260"/>
        <v>#N/A</v>
      </c>
      <c r="CP63" s="251" t="e">
        <f t="shared" ca="1" si="260"/>
        <v>#N/A</v>
      </c>
      <c r="CQ63" s="251" t="e">
        <f t="shared" ca="1" si="260"/>
        <v>#N/A</v>
      </c>
      <c r="CR63" s="251" t="e">
        <f t="shared" ca="1" si="260"/>
        <v>#N/A</v>
      </c>
      <c r="CS63" s="251" t="e">
        <f t="shared" ca="1" si="260"/>
        <v>#N/A</v>
      </c>
      <c r="CT63" s="251" t="e">
        <f t="shared" ca="1" si="260"/>
        <v>#N/A</v>
      </c>
      <c r="CU63" s="251" t="e">
        <f t="shared" ca="1" si="260"/>
        <v>#N/A</v>
      </c>
      <c r="CV63" s="251" t="e">
        <f t="shared" ca="1" si="260"/>
        <v>#N/A</v>
      </c>
      <c r="CW63" s="251" t="e">
        <f t="shared" ca="1" si="260"/>
        <v>#N/A</v>
      </c>
      <c r="CX63" s="251">
        <f t="shared" ca="1" si="260"/>
        <v>2196.9786583942937</v>
      </c>
      <c r="CY63" s="251" t="e">
        <f t="shared" ca="1" si="260"/>
        <v>#N/A</v>
      </c>
      <c r="CZ63" s="251" t="e">
        <f t="shared" ca="1" si="260"/>
        <v>#N/A</v>
      </c>
      <c r="DA63" s="251" t="e">
        <f t="shared" ca="1" si="260"/>
        <v>#N/A</v>
      </c>
      <c r="DC63" s="253"/>
    </row>
    <row r="64" spans="1:107" s="247" customFormat="1" x14ac:dyDescent="0.3">
      <c r="A64" s="192"/>
      <c r="B64" s="106">
        <v>39172</v>
      </c>
      <c r="C64" s="106">
        <v>39202</v>
      </c>
      <c r="D64" s="107" t="s">
        <v>70</v>
      </c>
      <c r="E64" s="107" t="s">
        <v>75</v>
      </c>
      <c r="F64" s="107" t="s">
        <v>77</v>
      </c>
      <c r="G64" s="107" t="s">
        <v>84</v>
      </c>
      <c r="H64" s="107" t="s">
        <v>86</v>
      </c>
      <c r="I64" s="107" t="s">
        <v>88</v>
      </c>
      <c r="J64" s="107" t="s">
        <v>92</v>
      </c>
      <c r="K64" s="107">
        <v>39458</v>
      </c>
      <c r="L64" s="107" t="s">
        <v>96</v>
      </c>
      <c r="M64" s="107" t="s">
        <v>98</v>
      </c>
      <c r="N64" s="107" t="s">
        <v>115</v>
      </c>
      <c r="O64" s="20" t="s">
        <v>119</v>
      </c>
      <c r="P64" s="20" t="s">
        <v>187</v>
      </c>
      <c r="Q64" s="20" t="s">
        <v>189</v>
      </c>
      <c r="R64" s="20" t="s">
        <v>191</v>
      </c>
      <c r="S64" s="20" t="s">
        <v>192</v>
      </c>
      <c r="T64" s="108" t="s">
        <v>193</v>
      </c>
      <c r="U64" s="108" t="s">
        <v>194</v>
      </c>
      <c r="V64" s="108" t="s">
        <v>195</v>
      </c>
      <c r="W64" s="108" t="s">
        <v>196</v>
      </c>
      <c r="X64" s="109" t="s">
        <v>197</v>
      </c>
      <c r="Y64" s="109" t="s">
        <v>198</v>
      </c>
      <c r="Z64" s="109" t="s">
        <v>200</v>
      </c>
      <c r="AA64" s="109" t="s">
        <v>205</v>
      </c>
      <c r="AB64" s="109" t="s">
        <v>208</v>
      </c>
      <c r="AC64" s="109" t="s">
        <v>213</v>
      </c>
      <c r="AD64" s="109" t="s">
        <v>215</v>
      </c>
      <c r="AE64" s="109" t="s">
        <v>216</v>
      </c>
      <c r="AF64" s="109" t="s">
        <v>217</v>
      </c>
      <c r="AG64" s="109" t="s">
        <v>218</v>
      </c>
      <c r="AH64" s="109" t="s">
        <v>226</v>
      </c>
      <c r="AI64" s="109" t="s">
        <v>227</v>
      </c>
      <c r="AJ64" s="109" t="s">
        <v>228</v>
      </c>
      <c r="AK64" s="109" t="s">
        <v>229</v>
      </c>
      <c r="AL64" s="109" t="s">
        <v>230</v>
      </c>
      <c r="AM64" s="109" t="s">
        <v>231</v>
      </c>
      <c r="AN64" s="109" t="s">
        <v>232</v>
      </c>
      <c r="AO64" s="109" t="s">
        <v>233</v>
      </c>
      <c r="AP64" s="109" t="s">
        <v>234</v>
      </c>
      <c r="AQ64" s="109" t="s">
        <v>235</v>
      </c>
      <c r="AR64" s="109" t="s">
        <v>236</v>
      </c>
      <c r="AS64" s="109" t="s">
        <v>237</v>
      </c>
      <c r="AT64" s="155">
        <v>40542</v>
      </c>
      <c r="AU64" s="155">
        <v>40573</v>
      </c>
      <c r="AV64" s="155">
        <v>40601</v>
      </c>
      <c r="AW64" s="155">
        <f t="shared" ref="AW64" si="261">EOMONTH(AV64,1)</f>
        <v>40632</v>
      </c>
      <c r="AX64" s="155">
        <f t="shared" ref="AX64" si="262">EOMONTH(AW64,1)</f>
        <v>40662</v>
      </c>
      <c r="AY64" s="155">
        <f t="shared" ref="AY64" si="263">EOMONTH(AX64,1)</f>
        <v>40693</v>
      </c>
      <c r="AZ64" s="155">
        <f t="shared" ref="AZ64" si="264">EOMONTH(AY64,1)</f>
        <v>40723</v>
      </c>
      <c r="BA64" s="155">
        <f t="shared" ref="BA64" si="265">EOMONTH(AZ64,1)</f>
        <v>40754</v>
      </c>
      <c r="BB64" s="155">
        <f t="shared" ref="BB64" si="266">EOMONTH(BA64,1)</f>
        <v>40785</v>
      </c>
      <c r="BC64" s="155">
        <f t="shared" ref="BC64" si="267">EOMONTH(BB64,1)</f>
        <v>40815</v>
      </c>
      <c r="BD64" s="155">
        <f t="shared" ref="BD64" si="268">EOMONTH(BC64,1)</f>
        <v>40846</v>
      </c>
      <c r="BE64" s="155">
        <f t="shared" ref="BE64" si="269">EOMONTH(BD64,1)</f>
        <v>40876</v>
      </c>
      <c r="BF64" s="155">
        <f t="shared" ref="BF64" si="270">EOMONTH(BE64,1)</f>
        <v>40907</v>
      </c>
      <c r="BG64" s="155">
        <f t="shared" ref="BG64" si="271">EOMONTH(BF64,1)</f>
        <v>40938</v>
      </c>
      <c r="BH64" s="155">
        <f t="shared" ref="BH64" si="272">EOMONTH(BG64,1)</f>
        <v>40967</v>
      </c>
      <c r="BI64" s="155">
        <f t="shared" ref="BI64" si="273">EOMONTH(BH64,1)</f>
        <v>40998</v>
      </c>
      <c r="BJ64" s="155">
        <f t="shared" ref="BJ64" si="274">EOMONTH(BI64,1)</f>
        <v>41028</v>
      </c>
      <c r="BK64" s="155">
        <f t="shared" ref="BK64" si="275">EOMONTH(BJ64,1)</f>
        <v>41059</v>
      </c>
      <c r="BL64" s="155">
        <f t="shared" ref="BL64" si="276">EOMONTH(BK64,1)</f>
        <v>41089</v>
      </c>
      <c r="BM64" s="155">
        <f t="shared" ref="BM64" si="277">EOMONTH(BL64,1)</f>
        <v>41120</v>
      </c>
      <c r="BN64" s="155">
        <f t="shared" ref="BN64" si="278">EOMONTH(BM64,1)</f>
        <v>41151</v>
      </c>
      <c r="BO64" s="155">
        <f t="shared" ref="BO64" si="279">EOMONTH(BN64,1)</f>
        <v>41181</v>
      </c>
      <c r="BP64" s="155">
        <f t="shared" ref="BP64" si="280">EOMONTH(BO64,1)</f>
        <v>41212</v>
      </c>
      <c r="BQ64" s="155">
        <f t="shared" ref="BQ64" si="281">EOMONTH(BP64,1)</f>
        <v>41242</v>
      </c>
      <c r="BR64" s="155">
        <f t="shared" ref="BR64" si="282">EOMONTH(BQ64,1)</f>
        <v>41273</v>
      </c>
      <c r="BS64" s="155">
        <f t="shared" ref="BS64" si="283">EOMONTH(BR64,1)</f>
        <v>41304</v>
      </c>
      <c r="BT64" s="155">
        <f t="shared" ref="BT64" si="284">EOMONTH(BS64,1)</f>
        <v>41332</v>
      </c>
      <c r="BU64" s="155">
        <f t="shared" ref="BU64" si="285">EOMONTH(BT64,1)</f>
        <v>41363</v>
      </c>
      <c r="BV64" s="155">
        <f t="shared" ref="BV64" si="286">EOMONTH(BU64,1)</f>
        <v>41393</v>
      </c>
      <c r="BW64" s="155">
        <f t="shared" ref="BW64" si="287">EOMONTH(BV64,1)</f>
        <v>41424</v>
      </c>
      <c r="BX64" s="155">
        <f t="shared" ref="BX64" si="288">EOMONTH(BW64,1)</f>
        <v>41454</v>
      </c>
      <c r="BY64" s="155">
        <f t="shared" ref="BY64" si="289">EOMONTH(BX64,1)</f>
        <v>41485</v>
      </c>
      <c r="BZ64" s="155">
        <f t="shared" ref="BZ64" si="290">EOMONTH(BY64,1)</f>
        <v>41516</v>
      </c>
      <c r="CA64" s="155">
        <f t="shared" ref="CA64" si="291">EOMONTH(BZ64,1)</f>
        <v>41546</v>
      </c>
      <c r="CB64" s="155">
        <f t="shared" ref="CB64" si="292">EOMONTH(CA64,1)</f>
        <v>41577</v>
      </c>
      <c r="CC64" s="155">
        <f t="shared" ref="CC64" si="293">EOMONTH(CB64,1)</f>
        <v>41607</v>
      </c>
      <c r="CD64" s="155">
        <f t="shared" ref="CD64" si="294">EOMONTH(CC64,1)</f>
        <v>41638</v>
      </c>
      <c r="CE64" s="155">
        <f t="shared" ref="CE64" si="295">EOMONTH(CD64,1)</f>
        <v>41669</v>
      </c>
      <c r="CF64" s="155">
        <f t="shared" ref="CF64" si="296">EOMONTH(CE64,1)</f>
        <v>41697</v>
      </c>
      <c r="CG64" s="155">
        <f t="shared" ref="CG64" si="297">EOMONTH(CF64,1)</f>
        <v>41728</v>
      </c>
      <c r="CH64" s="155">
        <f t="shared" ref="CH64" si="298">EOMONTH(CG64,1)</f>
        <v>41758</v>
      </c>
      <c r="CI64" s="155">
        <f t="shared" ref="CI64" si="299">EOMONTH(CH64,1)</f>
        <v>41789</v>
      </c>
      <c r="CJ64" s="155">
        <f t="shared" ref="CJ64" si="300">EOMONTH(CI64,1)</f>
        <v>41819</v>
      </c>
      <c r="CK64" s="155">
        <f t="shared" ref="CK64" si="301">EOMONTH(CJ64,1)</f>
        <v>41850</v>
      </c>
      <c r="CL64" s="155">
        <f t="shared" ref="CL64" si="302">EOMONTH(CK64,1)</f>
        <v>41881</v>
      </c>
      <c r="CM64" s="155">
        <f t="shared" ref="CM64" si="303">EOMONTH(CL64,1)</f>
        <v>41911</v>
      </c>
      <c r="CN64" s="155">
        <f t="shared" ref="CN64" si="304">EOMONTH(CM64,1)</f>
        <v>41942</v>
      </c>
      <c r="CO64" s="155">
        <f t="shared" ref="CO64" si="305">EOMONTH(CN64,1)</f>
        <v>41972</v>
      </c>
      <c r="CP64" s="155">
        <f t="shared" ref="CP64" si="306">EOMONTH(CO64,1)</f>
        <v>42003</v>
      </c>
      <c r="CQ64" s="155">
        <f t="shared" ref="CQ64" si="307">EOMONTH(CP64,1)</f>
        <v>42034</v>
      </c>
      <c r="CR64" s="155">
        <f t="shared" ref="CR64" si="308">EOMONTH(CQ64,1)</f>
        <v>42062</v>
      </c>
      <c r="CS64" s="155">
        <f t="shared" ref="CS64" si="309">EOMONTH(CR64,1)</f>
        <v>42093</v>
      </c>
      <c r="CT64" s="155">
        <f t="shared" ref="CT64" si="310">EOMONTH(CS64,1)</f>
        <v>42123</v>
      </c>
      <c r="CU64" s="155">
        <f t="shared" ref="CU64" si="311">EOMONTH(CT64,1)</f>
        <v>42154</v>
      </c>
      <c r="CV64" s="155">
        <f t="shared" ref="CV64" si="312">EOMONTH(CU64,1)</f>
        <v>42184</v>
      </c>
      <c r="CW64" s="155">
        <f t="shared" ref="CW64" si="313">EOMONTH(CV64,1)</f>
        <v>42215</v>
      </c>
      <c r="CX64" s="155">
        <f t="shared" ref="CX64" si="314">EOMONTH(CW64,1)</f>
        <v>42246</v>
      </c>
      <c r="CY64" s="155">
        <f t="shared" ref="CY64" si="315">EOMONTH(CX64,1)</f>
        <v>42276</v>
      </c>
      <c r="CZ64" s="155">
        <f t="shared" ref="CZ64" si="316">EOMONTH(CY64,1)</f>
        <v>42307</v>
      </c>
      <c r="DA64" s="155">
        <f t="shared" ref="DA64" si="317">EOMONTH(CZ64,1)</f>
        <v>42337</v>
      </c>
      <c r="DB64" s="109"/>
      <c r="DC64" s="180"/>
    </row>
    <row r="65" spans="1:107" s="247" customFormat="1" x14ac:dyDescent="0.3">
      <c r="A65" s="202" t="s">
        <v>212</v>
      </c>
      <c r="B65" s="190">
        <v>0</v>
      </c>
      <c r="C65" s="190">
        <v>0</v>
      </c>
      <c r="D65" s="190">
        <v>0</v>
      </c>
      <c r="E65" s="190">
        <v>0</v>
      </c>
      <c r="F65" s="190">
        <v>0</v>
      </c>
      <c r="G65" s="190">
        <v>0</v>
      </c>
      <c r="H65" s="190">
        <v>0</v>
      </c>
      <c r="I65" s="190">
        <v>0</v>
      </c>
      <c r="J65" s="190">
        <v>0</v>
      </c>
      <c r="K65" s="190">
        <v>0</v>
      </c>
      <c r="L65" s="190">
        <v>0</v>
      </c>
      <c r="M65" s="190">
        <v>0</v>
      </c>
      <c r="N65" s="190">
        <v>0</v>
      </c>
      <c r="O65" s="247">
        <v>0</v>
      </c>
      <c r="P65" s="247">
        <v>0</v>
      </c>
      <c r="Q65" s="247">
        <v>0</v>
      </c>
      <c r="R65" s="247">
        <v>0</v>
      </c>
      <c r="S65" s="247">
        <v>0</v>
      </c>
      <c r="T65" s="247">
        <v>0</v>
      </c>
      <c r="U65" s="247">
        <v>0</v>
      </c>
      <c r="V65" s="247">
        <v>0</v>
      </c>
      <c r="W65" s="247">
        <v>0</v>
      </c>
      <c r="X65" s="247">
        <v>0</v>
      </c>
      <c r="Y65" s="247">
        <v>0</v>
      </c>
      <c r="Z65" s="247">
        <v>0</v>
      </c>
      <c r="AA65" s="247">
        <v>1000</v>
      </c>
      <c r="AB65" s="247">
        <v>1009.2259727871328</v>
      </c>
      <c r="AC65" s="247">
        <v>1009.2259727871328</v>
      </c>
      <c r="AD65" s="247">
        <v>1014.9547709168886</v>
      </c>
      <c r="AE65" s="247">
        <v>1028.0507809748431</v>
      </c>
      <c r="AF65" s="247">
        <v>1037.5355495039078</v>
      </c>
      <c r="AG65" s="247">
        <v>1042.7362180881662</v>
      </c>
      <c r="AH65" s="247">
        <v>1050.7881953589722</v>
      </c>
      <c r="AI65" s="247">
        <v>1058.4781950017762</v>
      </c>
      <c r="AJ65" s="247">
        <v>1070.8579166295483</v>
      </c>
      <c r="AK65" s="247">
        <v>1076.7507304453347</v>
      </c>
      <c r="AL65" s="247">
        <v>1077.3769303290835</v>
      </c>
      <c r="AM65" s="247">
        <v>1086.5983601238859</v>
      </c>
      <c r="AN65" s="247">
        <v>1096.5823486419915</v>
      </c>
      <c r="AO65" s="247">
        <v>1119.5341632662598</v>
      </c>
      <c r="AP65" s="247">
        <v>1132.2674294088413</v>
      </c>
      <c r="AQ65" s="247">
        <v>1142.4222264829784</v>
      </c>
      <c r="AR65" s="247">
        <v>1156.7921290977383</v>
      </c>
      <c r="AS65" s="247">
        <v>1161.3674380920518</v>
      </c>
      <c r="AT65" s="247">
        <f ca="1">OFFSET(Calcs!$A$1,Graphs!AT$14+27,15)</f>
        <v>1167.4960119713251</v>
      </c>
      <c r="AU65" s="247">
        <f ca="1">OFFSET(Calcs!$A$1,Graphs!AU$14+27,15)</f>
        <v>1167.4960119713251</v>
      </c>
      <c r="AV65" s="247">
        <f ca="1">OFFSET(Calcs!$A$1,Graphs!AV$14+27,15)</f>
        <v>1173.6569265350035</v>
      </c>
      <c r="AW65" s="247">
        <f ca="1">OFFSET(Calcs!$A$1,Graphs!AW$14+27,15)</f>
        <v>1173.6569265350035</v>
      </c>
      <c r="AX65" s="247">
        <f ca="1">OFFSET(Calcs!$A$1,Graphs!AX$14+27,15)</f>
        <v>1173.6569265350035</v>
      </c>
      <c r="AY65" s="247">
        <f ca="1">OFFSET(Calcs!$A$1,Graphs!AY$14+27,15)</f>
        <v>1173.6569265350035</v>
      </c>
      <c r="AZ65" s="247">
        <f ca="1">OFFSET(Calcs!$A$1,Graphs!AZ$14+27,15)</f>
        <v>1173.6569265350035</v>
      </c>
      <c r="BA65" s="247">
        <f ca="1">OFFSET(Calcs!$A$1,Graphs!BA$14+27,15)</f>
        <v>1173.6569265350035</v>
      </c>
      <c r="BB65" s="247">
        <f ca="1">OFFSET(Calcs!$A$1,Graphs!BB$14+27,15)</f>
        <v>1166.7733279882357</v>
      </c>
      <c r="BC65" s="247">
        <f ca="1">OFFSET(Calcs!$A$1,Graphs!BC$14+27,15)</f>
        <v>1166.7733279882357</v>
      </c>
      <c r="BD65" s="247">
        <f ca="1">OFFSET(Calcs!$A$1,Graphs!BD$14+27,15)</f>
        <v>1166.7733279882357</v>
      </c>
      <c r="BE65" s="247">
        <f ca="1">OFFSET(Calcs!$A$1,Graphs!BE$14+27,15)</f>
        <v>1158.1624939464391</v>
      </c>
      <c r="BF65" s="247">
        <f ca="1">OFFSET(Calcs!$A$1,Graphs!BF$14+27,15)</f>
        <v>1158.1624939464391</v>
      </c>
      <c r="BG65" s="247">
        <f ca="1">OFFSET(Calcs!$A$1,Graphs!BG$14+27,15)</f>
        <v>1158.1624939464391</v>
      </c>
      <c r="BH65" s="247">
        <f ca="1">OFFSET(Calcs!$A$1,Graphs!BH$14+27,15)</f>
        <v>1158.1624939464391</v>
      </c>
      <c r="BI65" s="247">
        <f ca="1">OFFSET(Calcs!$A$1,Graphs!BI$14+27,15)</f>
        <v>1151.1645546132922</v>
      </c>
      <c r="BJ65" s="247">
        <f ca="1">OFFSET(Calcs!$A$1,Graphs!BJ$14+27,15)</f>
        <v>1138.0832807918787</v>
      </c>
      <c r="BK65" s="247">
        <f ca="1">OFFSET(Calcs!$A$1,Graphs!BK$14+27,15)</f>
        <v>1138.0832807918787</v>
      </c>
      <c r="BL65" s="247">
        <f ca="1">OFFSET(Calcs!$A$1,Graphs!BL$14+27,15)</f>
        <v>1138.0832807918787</v>
      </c>
      <c r="BM65" s="247">
        <f ca="1">OFFSET(Calcs!$A$1,Graphs!BM$14+27,15)</f>
        <v>1138.0832807918787</v>
      </c>
      <c r="BN65" s="247">
        <f ca="1">OFFSET(Calcs!$A$1,Graphs!BN$14+27,15)</f>
        <v>1138.0832807918787</v>
      </c>
      <c r="BO65" s="247">
        <f ca="1">OFFSET(Calcs!$A$1,Graphs!BO$14+27,15)</f>
        <v>1145.0016989477658</v>
      </c>
      <c r="BP65" s="247">
        <f ca="1">OFFSET(Calcs!$A$1,Graphs!BP$14+27,15)</f>
        <v>1145.0016989477658</v>
      </c>
      <c r="BQ65" s="247">
        <f ca="1">OFFSET(Calcs!$A$1,Graphs!BQ$14+27,15)</f>
        <v>1145.0016989477658</v>
      </c>
      <c r="BR65" s="247">
        <f ca="1">OFFSET(Calcs!$A$1,Graphs!BR$14+27,15)</f>
        <v>1152.660544727275</v>
      </c>
      <c r="BS65" s="247">
        <f ca="1">OFFSET(Calcs!$A$1,Graphs!BS$14+27,15)</f>
        <v>1152.660544727275</v>
      </c>
      <c r="BT65" s="247">
        <f ca="1">OFFSET(Calcs!$A$1,Graphs!BT$14+27,15)</f>
        <v>1152.660544727275</v>
      </c>
      <c r="BU65" s="247">
        <f ca="1">OFFSET(Calcs!$A$1,Graphs!BU$14+27,15)</f>
        <v>1152.660544727275</v>
      </c>
      <c r="BV65" s="247">
        <f ca="1">OFFSET(Calcs!$A$1,Graphs!BV$14+27,15)</f>
        <v>1152.660544727275</v>
      </c>
      <c r="BW65" s="247">
        <f ca="1">OFFSET(Calcs!$A$1,Graphs!BW$14+27,15)</f>
        <v>1152.660544727275</v>
      </c>
      <c r="BX65" s="247">
        <f ca="1">OFFSET(Calcs!$A$1,Graphs!BX$14+27,15)</f>
        <v>1152.660544727275</v>
      </c>
      <c r="BY65" s="247">
        <f ca="1">OFFSET(Calcs!$A$1,Graphs!BY$14+27,15)</f>
        <v>1152.660544727275</v>
      </c>
      <c r="BZ65" s="247">
        <f ca="1">OFFSET(Calcs!$A$1,Graphs!BZ$14+27,15)</f>
        <v>1145.9000917608137</v>
      </c>
      <c r="CA65" s="247">
        <f ca="1">OFFSET(Calcs!$A$1,Graphs!CA$14+27,15)</f>
        <v>1145.9000917608137</v>
      </c>
      <c r="CB65" s="247">
        <f ca="1">OFFSET(Calcs!$A$1,Graphs!CB$14+27,15)</f>
        <v>1154.1143942862559</v>
      </c>
      <c r="CC65" s="247">
        <f ca="1">OFFSET(Calcs!$A$1,Graphs!CC$14+27,15)</f>
        <v>1154.1143942862559</v>
      </c>
      <c r="CD65" s="247">
        <f ca="1">OFFSET(Calcs!$A$1,Graphs!CD$14+27,15)</f>
        <v>1154.1143942862559</v>
      </c>
      <c r="CE65" s="247">
        <f ca="1">OFFSET(Calcs!$A$1,Graphs!CE$14+27,15)</f>
        <v>1154.1143942862559</v>
      </c>
      <c r="CF65" s="247">
        <f ca="1">OFFSET(Calcs!$A$1,Graphs!CF$14+27,15)</f>
        <v>1154.1143942862559</v>
      </c>
      <c r="CG65" s="247">
        <f ca="1">OFFSET(Calcs!$A$1,Graphs!CG$14+27,15)</f>
        <v>1154.1143942862559</v>
      </c>
      <c r="CH65" s="247">
        <f ca="1">OFFSET(Calcs!$A$1,Graphs!CH$14+27,15)</f>
        <v>1143.6699917353874</v>
      </c>
      <c r="CI65" s="247">
        <f ca="1">OFFSET(Calcs!$A$1,Graphs!CI$14+27,15)</f>
        <v>1143.6699917353874</v>
      </c>
      <c r="CJ65" s="247">
        <f ca="1">OFFSET(Calcs!$A$1,Graphs!CJ$14+27,15)</f>
        <v>1143.6699917353874</v>
      </c>
      <c r="CK65" s="247">
        <f ca="1">OFFSET(Calcs!$A$1,Graphs!CK$14+27,15)</f>
        <v>1143.6699917353874</v>
      </c>
      <c r="CL65" s="247">
        <f ca="1">OFFSET(Calcs!$A$1,Graphs!CL$14+27,15)</f>
        <v>1143.6699917353874</v>
      </c>
      <c r="CM65" s="247">
        <f ca="1">OFFSET(Calcs!$A$1,Graphs!CM$14+27,15)</f>
        <v>1143.6699917353874</v>
      </c>
      <c r="CN65" s="247">
        <f ca="1">OFFSET(Calcs!$A$1,Graphs!CN$14+27,15)</f>
        <v>1143.6699917353874</v>
      </c>
      <c r="CO65" s="247">
        <f ca="1">OFFSET(Calcs!$A$1,Graphs!CO$14+27,15)</f>
        <v>1143.6699917353874</v>
      </c>
      <c r="CP65" s="247">
        <f ca="1">OFFSET(Calcs!$A$1,Graphs!CP$14+27,15)</f>
        <v>1143.6699917353874</v>
      </c>
      <c r="CQ65" s="247">
        <f ca="1">OFFSET(Calcs!$A$1,Graphs!CQ$14+27,15)</f>
        <v>1152.8560468976777</v>
      </c>
      <c r="CR65" s="247">
        <f ca="1">OFFSET(Calcs!$A$1,Graphs!CR$14+27,15)</f>
        <v>1152.8560468976777</v>
      </c>
      <c r="CS65" s="247">
        <f ca="1">OFFSET(Calcs!$A$1,Graphs!CS$14+27,15)</f>
        <v>1152.8560468976777</v>
      </c>
      <c r="CT65" s="247">
        <f ca="1">OFFSET(Calcs!$A$1,Graphs!CT$14+27,15)</f>
        <v>1152.8560468976777</v>
      </c>
      <c r="CU65" s="247">
        <f ca="1">OFFSET(Calcs!$A$1,Graphs!CU$14+27,15)</f>
        <v>1152.8560468976777</v>
      </c>
      <c r="CV65" s="247">
        <f ca="1">OFFSET(Calcs!$A$1,Graphs!CV$14+27,15)</f>
        <v>1152.8560468976777</v>
      </c>
      <c r="CW65" s="247">
        <f ca="1">OFFSET(Calcs!$A$1,Graphs!CW$14+27,15)</f>
        <v>1152.8560468976777</v>
      </c>
      <c r="CX65" s="247">
        <f ca="1">OFFSET(Calcs!$A$1,Graphs!CX$14+27,15)</f>
        <v>1152.8560468976777</v>
      </c>
      <c r="CY65" s="247" t="e">
        <f ca="1">OFFSET(Calcs!$A$1,Graphs!CY$14+27,15)</f>
        <v>#N/A</v>
      </c>
      <c r="CZ65" s="247" t="e">
        <f ca="1">OFFSET(Calcs!$A$1,Graphs!CZ$14+27,15)</f>
        <v>#N/A</v>
      </c>
      <c r="DA65" s="247" t="e">
        <f ca="1">OFFSET(Calcs!$A$1,Graphs!DA$14+27,15)</f>
        <v>#N/A</v>
      </c>
      <c r="DC65" s="193" t="str">
        <f>A65</f>
        <v>Overall: False claims of digital identity</v>
      </c>
    </row>
    <row r="66" spans="1:107" s="247" customFormat="1" x14ac:dyDescent="0.3">
      <c r="A66" s="189" t="s">
        <v>172</v>
      </c>
      <c r="B66" s="190">
        <v>1028.5695124658184</v>
      </c>
      <c r="C66" s="190">
        <v>1055.7384161887585</v>
      </c>
      <c r="D66" s="190">
        <v>1108.1869384878678</v>
      </c>
      <c r="E66" s="190">
        <v>1141.5492237994727</v>
      </c>
      <c r="F66" s="190">
        <v>1169.9680865964463</v>
      </c>
      <c r="G66" s="190">
        <v>1200.1313600111916</v>
      </c>
      <c r="H66" s="190">
        <v>1215.0004538295789</v>
      </c>
      <c r="I66" s="190">
        <v>1224.8031835521952</v>
      </c>
      <c r="J66" s="190">
        <v>1264.8982739067767</v>
      </c>
      <c r="K66" s="190">
        <v>1282.6472795067928</v>
      </c>
      <c r="L66" s="190">
        <v>1306.0790764012095</v>
      </c>
      <c r="M66" s="190">
        <v>1327.6271006647587</v>
      </c>
      <c r="N66" s="190">
        <v>1363.3001830042147</v>
      </c>
      <c r="O66" s="247">
        <v>1409.914487096017</v>
      </c>
      <c r="P66" s="247">
        <v>1488.7912349039511</v>
      </c>
      <c r="Q66" s="247">
        <v>1558.4928865985678</v>
      </c>
      <c r="R66" s="247">
        <v>1605.6472531197646</v>
      </c>
      <c r="S66" s="247">
        <v>1676.9978639890169</v>
      </c>
      <c r="T66" s="247">
        <v>1775.8814226184659</v>
      </c>
      <c r="U66" s="247">
        <v>1836.0751250247663</v>
      </c>
      <c r="V66" s="247">
        <v>1896.1653291711934</v>
      </c>
      <c r="W66" s="247">
        <v>1967.291892744722</v>
      </c>
      <c r="X66" s="247">
        <v>2134.2673805887748</v>
      </c>
      <c r="Y66" s="247">
        <v>2277.085117485768</v>
      </c>
      <c r="Z66" s="247">
        <v>2382.3123851547857</v>
      </c>
      <c r="AA66" s="247">
        <v>2463.8990522653257</v>
      </c>
      <c r="AB66" s="247">
        <v>2594.1935251555024</v>
      </c>
      <c r="AC66" s="247">
        <v>2682.7626861513477</v>
      </c>
      <c r="AD66" s="247">
        <v>2799.1056257722189</v>
      </c>
      <c r="AE66" s="247">
        <v>2936.9653954398609</v>
      </c>
      <c r="AF66" s="247">
        <v>3079.6804741894789</v>
      </c>
      <c r="AG66" s="247">
        <v>3171.7081581170337</v>
      </c>
      <c r="AH66" s="247">
        <v>3327.9191106817002</v>
      </c>
      <c r="AI66" s="247">
        <v>3588.9800385645631</v>
      </c>
      <c r="AJ66" s="247">
        <v>3759.8523131743123</v>
      </c>
      <c r="AK66" s="247">
        <v>3883.3444398628553</v>
      </c>
      <c r="AL66" s="247">
        <v>4207.7552449864788</v>
      </c>
      <c r="AM66" s="247">
        <v>4504.6541943858947</v>
      </c>
      <c r="AN66" s="247">
        <v>4644.1062037069578</v>
      </c>
      <c r="AO66" s="247">
        <v>4868.2853442695096</v>
      </c>
      <c r="AP66" s="247">
        <v>5060.3328710228079</v>
      </c>
      <c r="AQ66" s="247">
        <v>5399.5370494067256</v>
      </c>
      <c r="AR66" s="247">
        <v>5777.4376839948782</v>
      </c>
      <c r="AS66" s="247">
        <v>6021.9290340914531</v>
      </c>
      <c r="AT66" s="247">
        <f ca="1">OFFSET(Calcs!$A$1,Graphs!AT$14+28,15)</f>
        <v>6482.4067670472577</v>
      </c>
      <c r="AU66" s="247">
        <f ca="1">OFFSET(Calcs!$A$1,Graphs!AU$14+28,15)</f>
        <v>6601.346703854867</v>
      </c>
      <c r="AV66" s="247">
        <f ca="1">OFFSET(Calcs!$A$1,Graphs!AV$14+28,15)</f>
        <v>6671.2015761063412</v>
      </c>
      <c r="AW66" s="247">
        <f ca="1">OFFSET(Calcs!$A$1,Graphs!AW$14+28,15)</f>
        <v>6671.2015761063412</v>
      </c>
      <c r="AX66" s="247">
        <f ca="1">OFFSET(Calcs!$A$1,Graphs!AX$14+28,15)</f>
        <v>6706.4057245796785</v>
      </c>
      <c r="AY66" s="247">
        <f ca="1">OFFSET(Calcs!$A$1,Graphs!AY$14+28,15)</f>
        <v>6838.547416429994</v>
      </c>
      <c r="AZ66" s="247">
        <f ca="1">OFFSET(Calcs!$A$1,Graphs!AZ$14+28,15)</f>
        <v>6973.2928020385125</v>
      </c>
      <c r="BA66" s="247">
        <f ca="1">OFFSET(Calcs!$A$1,Graphs!BA$14+28,15)</f>
        <v>7049.0887207076448</v>
      </c>
      <c r="BB66" s="247">
        <f ca="1">OFFSET(Calcs!$A$1,Graphs!BB$14+28,15)</f>
        <v>7132.5089211382492</v>
      </c>
      <c r="BC66" s="247">
        <f ca="1">OFFSET(Calcs!$A$1,Graphs!BC$14+28,15)</f>
        <v>7172.24424439822</v>
      </c>
      <c r="BD66" s="247">
        <f ca="1">OFFSET(Calcs!$A$1,Graphs!BD$14+28,15)</f>
        <v>7286.3889773624242</v>
      </c>
      <c r="BE66" s="247">
        <f ca="1">OFFSET(Calcs!$A$1,Graphs!BE$14+28,15)</f>
        <v>7450.1212419008652</v>
      </c>
      <c r="BF66" s="247">
        <f ca="1">OFFSET(Calcs!$A$1,Graphs!BF$14+28,15)</f>
        <v>7450.1212419008652</v>
      </c>
      <c r="BG66" s="247">
        <f ca="1">OFFSET(Calcs!$A$1,Graphs!BG$14+28,15)</f>
        <v>7450.1212419008652</v>
      </c>
      <c r="BH66" s="247">
        <f ca="1">OFFSET(Calcs!$A$1,Graphs!BH$14+28,15)</f>
        <v>7490.5012042463259</v>
      </c>
      <c r="BI66" s="247">
        <f ca="1">OFFSET(Calcs!$A$1,Graphs!BI$14+28,15)</f>
        <v>7536.036026172621</v>
      </c>
      <c r="BJ66" s="247">
        <f ca="1">OFFSET(Calcs!$A$1,Graphs!BJ$14+28,15)</f>
        <v>7579.2223611941808</v>
      </c>
      <c r="BK66" s="247">
        <f ca="1">OFFSET(Calcs!$A$1,Graphs!BK$14+28,15)</f>
        <v>7579.2223611941808</v>
      </c>
      <c r="BL66" s="247">
        <f ca="1">OFFSET(Calcs!$A$1,Graphs!BL$14+28,15)</f>
        <v>7684.4876579578458</v>
      </c>
      <c r="BM66" s="247">
        <f ca="1">OFFSET(Calcs!$A$1,Graphs!BM$14+28,15)</f>
        <v>7791.2149493925572</v>
      </c>
      <c r="BN66" s="247">
        <f ca="1">OFFSET(Calcs!$A$1,Graphs!BN$14+28,15)</f>
        <v>7934.1690476213171</v>
      </c>
      <c r="BO66" s="247">
        <f ca="1">OFFSET(Calcs!$A$1,Graphs!BO$14+28,15)</f>
        <v>7982.4009302237455</v>
      </c>
      <c r="BP66" s="247">
        <f ca="1">OFFSET(Calcs!$A$1,Graphs!BP$14+28,15)</f>
        <v>8082.8071735024796</v>
      </c>
      <c r="BQ66" s="247">
        <f ca="1">OFFSET(Calcs!$A$1,Graphs!BQ$14+28,15)</f>
        <v>8130.4932136087109</v>
      </c>
      <c r="BR66" s="247">
        <f ca="1">OFFSET(Calcs!$A$1,Graphs!BR$14+28,15)</f>
        <v>8130.4932136087109</v>
      </c>
      <c r="BS66" s="247">
        <f ca="1">OFFSET(Calcs!$A$1,Graphs!BS$14+28,15)</f>
        <v>8183.1175820291455</v>
      </c>
      <c r="BT66" s="247">
        <f ca="1">OFFSET(Calcs!$A$1,Graphs!BT$14+28,15)</f>
        <v>8236.0825600631542</v>
      </c>
      <c r="BU66" s="247">
        <f ca="1">OFFSET(Calcs!$A$1,Graphs!BU$14+28,15)</f>
        <v>8236.0825600631542</v>
      </c>
      <c r="BV66" s="247">
        <f ca="1">OFFSET(Calcs!$A$1,Graphs!BV$14+28,15)</f>
        <v>8289.3903522960336</v>
      </c>
      <c r="BW66" s="247">
        <f ca="1">OFFSET(Calcs!$A$1,Graphs!BW$14+28,15)</f>
        <v>8343.0431775821889</v>
      </c>
      <c r="BX66" s="247">
        <f ca="1">OFFSET(Calcs!$A$1,Graphs!BX$14+28,15)</f>
        <v>8455.0286641544353</v>
      </c>
      <c r="BY66" s="247">
        <f ca="1">OFFSET(Calcs!$A$1,Graphs!BY$14+28,15)</f>
        <v>8586.1117743799841</v>
      </c>
      <c r="BZ66" s="247">
        <f ca="1">OFFSET(Calcs!$A$1,Graphs!BZ$14+28,15)</f>
        <v>8687.7213857094957</v>
      </c>
      <c r="CA66" s="247">
        <f ca="1">OFFSET(Calcs!$A$1,Graphs!CA$14+28,15)</f>
        <v>8784.7898941748117</v>
      </c>
      <c r="CB66" s="247">
        <f ca="1">OFFSET(Calcs!$A$1,Graphs!CB$14+28,15)</f>
        <v>8847.7630297317828</v>
      </c>
      <c r="CC66" s="247">
        <f ca="1">OFFSET(Calcs!$A$1,Graphs!CC$14+28,15)</f>
        <v>8970.6466656292996</v>
      </c>
      <c r="CD66" s="247">
        <f ca="1">OFFSET(Calcs!$A$1,Graphs!CD$14+28,15)</f>
        <v>9039.9177255609411</v>
      </c>
      <c r="CE66" s="247">
        <f ca="1">OFFSET(Calcs!$A$1,Graphs!CE$14+28,15)</f>
        <v>9104.7197266575295</v>
      </c>
      <c r="CF66" s="247">
        <f ca="1">OFFSET(Calcs!$A$1,Graphs!CF$14+28,15)</f>
        <v>9177.8496139944873</v>
      </c>
      <c r="CG66" s="247">
        <f ca="1">OFFSET(Calcs!$A$1,Graphs!CG$14+28,15)</f>
        <v>9314.8299200112669</v>
      </c>
      <c r="CH66" s="247">
        <f ca="1">OFFSET(Calcs!$A$1,Graphs!CH$14+28,15)</f>
        <v>9399.8962713892979</v>
      </c>
      <c r="CI66" s="247">
        <f ca="1">OFFSET(Calcs!$A$1,Graphs!CI$14+28,15)</f>
        <v>9464.9471979348273</v>
      </c>
      <c r="CJ66" s="247">
        <f ca="1">OFFSET(Calcs!$A$1,Graphs!CJ$14+28,15)</f>
        <v>9624.0182276318337</v>
      </c>
      <c r="CK66" s="247">
        <f ca="1">OFFSET(Calcs!$A$1,Graphs!CK$14+28,15)</f>
        <v>9779.2409899678314</v>
      </c>
      <c r="CL66" s="247">
        <f ca="1">OFFSET(Calcs!$A$1,Graphs!CL$14+28,15)</f>
        <v>9854.7559906084789</v>
      </c>
      <c r="CM66" s="247">
        <f ca="1">OFFSET(Calcs!$A$1,Graphs!CM$14+28,15)</f>
        <v>10115.219156408226</v>
      </c>
      <c r="CN66" s="247">
        <f ca="1">OFFSET(Calcs!$A$1,Graphs!CN$14+28,15)</f>
        <v>10228.237195629354</v>
      </c>
      <c r="CO66" s="247">
        <f ca="1">OFFSET(Calcs!$A$1,Graphs!CO$14+28,15)</f>
        <v>10400.136329208142</v>
      </c>
      <c r="CP66" s="247">
        <f ca="1">OFFSET(Calcs!$A$1,Graphs!CP$14+28,15)</f>
        <v>10582.590222271459</v>
      </c>
      <c r="CQ66" s="247">
        <f ca="1">OFFSET(Calcs!$A$1,Graphs!CQ$14+28,15)</f>
        <v>10753.273490748092</v>
      </c>
      <c r="CR66" s="247">
        <f ca="1">OFFSET(Calcs!$A$1,Graphs!CR$14+28,15)</f>
        <v>10856.174847907208</v>
      </c>
      <c r="CS66" s="247">
        <f ca="1">OFFSET(Calcs!$A$1,Graphs!CS$14+28,15)</f>
        <v>10933.996557767427</v>
      </c>
      <c r="CT66" s="247">
        <f ca="1">OFFSET(Calcs!$A$1,Graphs!CT$14+28,15)</f>
        <v>11056.162853198262</v>
      </c>
      <c r="CU66" s="247">
        <f ca="1">OFFSET(Calcs!$A$1,Graphs!CU$14+28,15)</f>
        <v>11141.538205518435</v>
      </c>
      <c r="CV66" s="247">
        <f ca="1">OFFSET(Calcs!$A$1,Graphs!CV$14+28,15)</f>
        <v>11209.267713109421</v>
      </c>
      <c r="CW66" s="247">
        <f ca="1">OFFSET(Calcs!$A$1,Graphs!CW$14+28,15)</f>
        <v>11289.620543819703</v>
      </c>
      <c r="CX66" s="247">
        <f ca="1">OFFSET(Calcs!$A$1,Graphs!CX$14+28,15)</f>
        <v>11289.620543819703</v>
      </c>
      <c r="CY66" s="247" t="e">
        <f ca="1">OFFSET(Calcs!$A$1,Graphs!CY$14+28,15)</f>
        <v>#N/A</v>
      </c>
      <c r="CZ66" s="247" t="e">
        <f ca="1">OFFSET(Calcs!$A$1,Graphs!CZ$14+28,15)</f>
        <v>#N/A</v>
      </c>
      <c r="DA66" s="247" t="e">
        <f ca="1">OFFSET(Calcs!$A$1,Graphs!DA$14+28,15)</f>
        <v>#N/A</v>
      </c>
      <c r="DC66" s="193" t="str">
        <f t="shared" si="7"/>
        <v>Overall: Media &amp; public perception</v>
      </c>
    </row>
    <row r="67" spans="1:107" s="247" customFormat="1" x14ac:dyDescent="0.3">
      <c r="A67" s="189" t="s">
        <v>173</v>
      </c>
      <c r="B67" s="190">
        <v>1013.8271167856134</v>
      </c>
      <c r="C67" s="190">
        <v>1032.4624530225403</v>
      </c>
      <c r="D67" s="190">
        <v>1057.7976989417766</v>
      </c>
      <c r="E67" s="190">
        <v>1060.9398922181988</v>
      </c>
      <c r="F67" s="190">
        <v>1074.5050361397721</v>
      </c>
      <c r="G67" s="190">
        <v>1100.2049577629436</v>
      </c>
      <c r="H67" s="190">
        <v>1111.3451345248029</v>
      </c>
      <c r="I67" s="190">
        <v>1120.3115640828773</v>
      </c>
      <c r="J67" s="190">
        <v>1144.2629008513709</v>
      </c>
      <c r="K67" s="190">
        <v>1162.6992964006292</v>
      </c>
      <c r="L67" s="190">
        <v>1188.0294446443952</v>
      </c>
      <c r="M67" s="190">
        <v>1212.0292314174544</v>
      </c>
      <c r="N67" s="190">
        <v>1225.8808441533192</v>
      </c>
      <c r="O67" s="247">
        <v>1248.2756142634635</v>
      </c>
      <c r="P67" s="247">
        <v>1283.4935178833066</v>
      </c>
      <c r="Q67" s="247">
        <v>1314.7444008314585</v>
      </c>
      <c r="R67" s="247">
        <v>1337.6976533204925</v>
      </c>
      <c r="S67" s="247">
        <v>1376.041414243163</v>
      </c>
      <c r="T67" s="247">
        <v>1410.1414285347573</v>
      </c>
      <c r="U67" s="247">
        <v>1432.3479248173353</v>
      </c>
      <c r="V67" s="247">
        <v>1468.6079851670017</v>
      </c>
      <c r="W67" s="247">
        <v>1491.1053729996265</v>
      </c>
      <c r="X67" s="247">
        <v>1521.6211714899075</v>
      </c>
      <c r="Y67" s="247">
        <v>1567.8426546635474</v>
      </c>
      <c r="Z67" s="247">
        <v>1582.3500183614847</v>
      </c>
      <c r="AA67" s="247">
        <v>1599.3949174609174</v>
      </c>
      <c r="AB67" s="247">
        <v>1624.8925778572739</v>
      </c>
      <c r="AC67" s="247">
        <v>1645.9189336403495</v>
      </c>
      <c r="AD67" s="247">
        <v>1668.5885606464697</v>
      </c>
      <c r="AE67" s="247">
        <v>1690.1184388232809</v>
      </c>
      <c r="AF67" s="247">
        <v>1725.8453285220091</v>
      </c>
      <c r="AG67" s="247">
        <v>1753.8758091492316</v>
      </c>
      <c r="AH67" s="247">
        <v>1815.6498935488466</v>
      </c>
      <c r="AI67" s="247">
        <v>1878.1695113799476</v>
      </c>
      <c r="AJ67" s="247">
        <v>1907.8850269184595</v>
      </c>
      <c r="AK67" s="247">
        <v>1941.922068602945</v>
      </c>
      <c r="AL67" s="247">
        <v>2026.1148658063726</v>
      </c>
      <c r="AM67" s="247">
        <v>2073.8681907339105</v>
      </c>
      <c r="AN67" s="247">
        <v>2100.5945688302759</v>
      </c>
      <c r="AO67" s="247">
        <v>2114.1418893620416</v>
      </c>
      <c r="AP67" s="247">
        <v>2147.1152447751469</v>
      </c>
      <c r="AQ67" s="247">
        <v>2191.0114572074831</v>
      </c>
      <c r="AR67" s="247">
        <v>2233.3013949821716</v>
      </c>
      <c r="AS67" s="247">
        <v>2270.3370605478103</v>
      </c>
      <c r="AT67" s="247">
        <f ca="1">OFFSET(Calcs!$A$1,Graphs!AT$14+29,15)</f>
        <v>2282.3177033229149</v>
      </c>
      <c r="AU67" s="247">
        <f ca="1">OFFSET(Calcs!$A$1,Graphs!AU$14+29,15)</f>
        <v>2292.7154881282422</v>
      </c>
      <c r="AV67" s="247">
        <f ca="1">OFFSET(Calcs!$A$1,Graphs!AV$14+29,15)</f>
        <v>2292.7154881282422</v>
      </c>
      <c r="AW67" s="247">
        <f ca="1">OFFSET(Calcs!$A$1,Graphs!AW$14+29,15)</f>
        <v>2292.7154881282422</v>
      </c>
      <c r="AX67" s="247">
        <f ca="1">OFFSET(Calcs!$A$1,Graphs!AX$14+29,15)</f>
        <v>2292.7154881282422</v>
      </c>
      <c r="AY67" s="247">
        <f ca="1">OFFSET(Calcs!$A$1,Graphs!AY$14+29,15)</f>
        <v>2303.9267885228187</v>
      </c>
      <c r="AZ67" s="247">
        <f ca="1">OFFSET(Calcs!$A$1,Graphs!AZ$14+29,15)</f>
        <v>2315.1929117932332</v>
      </c>
      <c r="BA67" s="247">
        <f ca="1">OFFSET(Calcs!$A$1,Graphs!BA$14+29,15)</f>
        <v>2315.1929117932332</v>
      </c>
      <c r="BB67" s="247">
        <f ca="1">OFFSET(Calcs!$A$1,Graphs!BB$14+29,15)</f>
        <v>2315.1929117932332</v>
      </c>
      <c r="BC67" s="247">
        <f ca="1">OFFSET(Calcs!$A$1,Graphs!BC$14+29,15)</f>
        <v>2315.1929117932332</v>
      </c>
      <c r="BD67" s="247">
        <f ca="1">OFFSET(Calcs!$A$1,Graphs!BD$14+29,15)</f>
        <v>2315.1929117932332</v>
      </c>
      <c r="BE67" s="247">
        <f ca="1">OFFSET(Calcs!$A$1,Graphs!BE$14+29,15)</f>
        <v>2315.1929117932332</v>
      </c>
      <c r="BF67" s="247">
        <f ca="1">OFFSET(Calcs!$A$1,Graphs!BF$14+29,15)</f>
        <v>2299.8096269724342</v>
      </c>
      <c r="BG67" s="247">
        <f ca="1">OFFSET(Calcs!$A$1,Graphs!BG$14+29,15)</f>
        <v>2272.9115771900224</v>
      </c>
      <c r="BH67" s="247">
        <f ca="1">OFFSET(Calcs!$A$1,Graphs!BH$14+29,15)</f>
        <v>2272.9115771900224</v>
      </c>
      <c r="BI67" s="247">
        <f ca="1">OFFSET(Calcs!$A$1,Graphs!BI$14+29,15)</f>
        <v>2272.9115771900224</v>
      </c>
      <c r="BJ67" s="247">
        <f ca="1">OFFSET(Calcs!$A$1,Graphs!BJ$14+29,15)</f>
        <v>2272.9115771900224</v>
      </c>
      <c r="BK67" s="247">
        <f ca="1">OFFSET(Calcs!$A$1,Graphs!BK$14+29,15)</f>
        <v>2287.6229277911048</v>
      </c>
      <c r="BL67" s="247">
        <f ca="1">OFFSET(Calcs!$A$1,Graphs!BL$14+29,15)</f>
        <v>2271.9004955442479</v>
      </c>
      <c r="BM67" s="247">
        <f ca="1">OFFSET(Calcs!$A$1,Graphs!BM$14+29,15)</f>
        <v>2287.6229277911043</v>
      </c>
      <c r="BN67" s="247">
        <f ca="1">OFFSET(Calcs!$A$1,Graphs!BN$14+29,15)</f>
        <v>2287.6229277911043</v>
      </c>
      <c r="BO67" s="247">
        <f ca="1">OFFSET(Calcs!$A$1,Graphs!BO$14+29,15)</f>
        <v>2287.6229277911043</v>
      </c>
      <c r="BP67" s="247">
        <f ca="1">OFFSET(Calcs!$A$1,Graphs!BP$14+29,15)</f>
        <v>2287.6229277911043</v>
      </c>
      <c r="BQ67" s="247">
        <f ca="1">OFFSET(Calcs!$A$1,Graphs!BQ$14+29,15)</f>
        <v>2287.6229277911043</v>
      </c>
      <c r="BR67" s="247">
        <f ca="1">OFFSET(Calcs!$A$1,Graphs!BR$14+29,15)</f>
        <v>2287.6229277911043</v>
      </c>
      <c r="BS67" s="247">
        <f ca="1">OFFSET(Calcs!$A$1,Graphs!BS$14+29,15)</f>
        <v>2287.6229277911043</v>
      </c>
      <c r="BT67" s="247">
        <f ca="1">OFFSET(Calcs!$A$1,Graphs!BT$14+29,15)</f>
        <v>2302.4294971585832</v>
      </c>
      <c r="BU67" s="247">
        <f ca="1">OFFSET(Calcs!$A$1,Graphs!BU$14+29,15)</f>
        <v>2287.131018766489</v>
      </c>
      <c r="BV67" s="247">
        <f ca="1">OFFSET(Calcs!$A$1,Graphs!BV$14+29,15)</f>
        <v>2272.422831556557</v>
      </c>
      <c r="BW67" s="247">
        <f ca="1">OFFSET(Calcs!$A$1,Graphs!BW$14+29,15)</f>
        <v>2272.422831556557</v>
      </c>
      <c r="BX67" s="247">
        <f ca="1">OFFSET(Calcs!$A$1,Graphs!BX$14+29,15)</f>
        <v>2287.6229277911048</v>
      </c>
      <c r="BY67" s="247">
        <f ca="1">OFFSET(Calcs!$A$1,Graphs!BY$14+29,15)</f>
        <v>2287.6229277911048</v>
      </c>
      <c r="BZ67" s="247">
        <f ca="1">OFFSET(Calcs!$A$1,Graphs!BZ$14+29,15)</f>
        <v>2287.6229277911048</v>
      </c>
      <c r="CA67" s="247">
        <f ca="1">OFFSET(Calcs!$A$1,Graphs!CA$14+29,15)</f>
        <v>2339.0280454071126</v>
      </c>
      <c r="CB67" s="247">
        <f ca="1">OFFSET(Calcs!$A$1,Graphs!CB$14+29,15)</f>
        <v>2372.6825487259393</v>
      </c>
      <c r="CC67" s="247">
        <f ca="1">OFFSET(Calcs!$A$1,Graphs!CC$14+29,15)</f>
        <v>2356.3755165824632</v>
      </c>
      <c r="CD67" s="247">
        <f ca="1">OFFSET(Calcs!$A$1,Graphs!CD$14+29,15)</f>
        <v>2356.3755165824632</v>
      </c>
      <c r="CE67" s="247">
        <f ca="1">OFFSET(Calcs!$A$1,Graphs!CE$14+29,15)</f>
        <v>2356.3755165824632</v>
      </c>
      <c r="CF67" s="247">
        <f ca="1">OFFSET(Calcs!$A$1,Graphs!CF$14+29,15)</f>
        <v>2356.3755165824632</v>
      </c>
      <c r="CG67" s="247">
        <f ca="1">OFFSET(Calcs!$A$1,Graphs!CG$14+29,15)</f>
        <v>2373.8949567469472</v>
      </c>
      <c r="CH67" s="247">
        <f ca="1">OFFSET(Calcs!$A$1,Graphs!CH$14+29,15)</f>
        <v>2373.8949567469472</v>
      </c>
      <c r="CI67" s="247">
        <f ca="1">OFFSET(Calcs!$A$1,Graphs!CI$14+29,15)</f>
        <v>2373.8949567469472</v>
      </c>
      <c r="CJ67" s="247">
        <f ca="1">OFFSET(Calcs!$A$1,Graphs!CJ$14+29,15)</f>
        <v>2373.8949567469472</v>
      </c>
      <c r="CK67" s="247">
        <f ca="1">OFFSET(Calcs!$A$1,Graphs!CK$14+29,15)</f>
        <v>2373.8949567469472</v>
      </c>
      <c r="CL67" s="247">
        <f ca="1">OFFSET(Calcs!$A$1,Graphs!CL$14+29,15)</f>
        <v>2392.2261011950159</v>
      </c>
      <c r="CM67" s="247">
        <f ca="1">OFFSET(Calcs!$A$1,Graphs!CM$14+29,15)</f>
        <v>2392.2261011950159</v>
      </c>
      <c r="CN67" s="247">
        <f ca="1">OFFSET(Calcs!$A$1,Graphs!CN$14+29,15)</f>
        <v>2392.2261011950159</v>
      </c>
      <c r="CO67" s="247">
        <f ca="1">OFFSET(Calcs!$A$1,Graphs!CO$14+29,15)</f>
        <v>2392.2261011950159</v>
      </c>
      <c r="CP67" s="247">
        <f ca="1">OFFSET(Calcs!$A$1,Graphs!CP$14+29,15)</f>
        <v>2392.2261011950159</v>
      </c>
      <c r="CQ67" s="247">
        <f ca="1">OFFSET(Calcs!$A$1,Graphs!CQ$14+29,15)</f>
        <v>2392.2261011950159</v>
      </c>
      <c r="CR67" s="247">
        <f ca="1">OFFSET(Calcs!$A$1,Graphs!CR$14+29,15)</f>
        <v>2392.2261011950159</v>
      </c>
      <c r="CS67" s="247">
        <f ca="1">OFFSET(Calcs!$A$1,Graphs!CS$14+29,15)</f>
        <v>2392.2261011950159</v>
      </c>
      <c r="CT67" s="247">
        <f ca="1">OFFSET(Calcs!$A$1,Graphs!CT$14+29,15)</f>
        <v>2392.2261011950159</v>
      </c>
      <c r="CU67" s="247">
        <f ca="1">OFFSET(Calcs!$A$1,Graphs!CU$14+29,15)</f>
        <v>2392.2261011950159</v>
      </c>
      <c r="CV67" s="247">
        <f ca="1">OFFSET(Calcs!$A$1,Graphs!CV$14+29,15)</f>
        <v>2392.2261011950159</v>
      </c>
      <c r="CW67" s="247">
        <f ca="1">OFFSET(Calcs!$A$1,Graphs!CW$14+29,15)</f>
        <v>2392.2261011950159</v>
      </c>
      <c r="CX67" s="247">
        <f ca="1">OFFSET(Calcs!$A$1,Graphs!CX$14+29,15)</f>
        <v>2392.2261011950159</v>
      </c>
      <c r="CY67" s="247" t="e">
        <f ca="1">OFFSET(Calcs!$A$1,Graphs!CY$14+29,15)</f>
        <v>#N/A</v>
      </c>
      <c r="CZ67" s="247" t="e">
        <f ca="1">OFFSET(Calcs!$A$1,Graphs!CZ$14+29,15)</f>
        <v>#N/A</v>
      </c>
      <c r="DA67" s="247" t="e">
        <f ca="1">OFFSET(Calcs!$A$1,Graphs!DA$14+29,15)</f>
        <v>#N/A</v>
      </c>
      <c r="DC67" s="193" t="str">
        <f t="shared" si="7"/>
        <v>Overall: Personal risk</v>
      </c>
    </row>
    <row r="68" spans="1:107" s="247" customFormat="1" x14ac:dyDescent="0.3">
      <c r="A68" s="202" t="s">
        <v>2705</v>
      </c>
      <c r="B68" s="257" t="e">
        <f>IF(AND(ISNA(C65),B65&lt;&gt;""),B65,NA())</f>
        <v>#N/A</v>
      </c>
      <c r="C68" s="257" t="e">
        <f t="shared" ref="C68:BN69" si="318">IF(AND(ISNA(D65),C65&lt;&gt;""),C65,NA())</f>
        <v>#N/A</v>
      </c>
      <c r="D68" s="257" t="e">
        <f t="shared" si="318"/>
        <v>#N/A</v>
      </c>
      <c r="E68" s="257" t="e">
        <f t="shared" si="318"/>
        <v>#N/A</v>
      </c>
      <c r="F68" s="257" t="e">
        <f t="shared" si="318"/>
        <v>#N/A</v>
      </c>
      <c r="G68" s="257" t="e">
        <f t="shared" si="318"/>
        <v>#N/A</v>
      </c>
      <c r="H68" s="257" t="e">
        <f t="shared" si="318"/>
        <v>#N/A</v>
      </c>
      <c r="I68" s="257" t="e">
        <f t="shared" si="318"/>
        <v>#N/A</v>
      </c>
      <c r="J68" s="257" t="e">
        <f t="shared" si="318"/>
        <v>#N/A</v>
      </c>
      <c r="K68" s="257" t="e">
        <f t="shared" si="318"/>
        <v>#N/A</v>
      </c>
      <c r="L68" s="257" t="e">
        <f t="shared" si="318"/>
        <v>#N/A</v>
      </c>
      <c r="M68" s="257" t="e">
        <f t="shared" si="318"/>
        <v>#N/A</v>
      </c>
      <c r="N68" s="257" t="e">
        <f t="shared" si="318"/>
        <v>#N/A</v>
      </c>
      <c r="O68" s="257" t="e">
        <f t="shared" si="318"/>
        <v>#N/A</v>
      </c>
      <c r="P68" s="257" t="e">
        <f t="shared" si="318"/>
        <v>#N/A</v>
      </c>
      <c r="Q68" s="257" t="e">
        <f t="shared" si="318"/>
        <v>#N/A</v>
      </c>
      <c r="R68" s="257" t="e">
        <f t="shared" si="318"/>
        <v>#N/A</v>
      </c>
      <c r="S68" s="257" t="e">
        <f t="shared" si="318"/>
        <v>#N/A</v>
      </c>
      <c r="T68" s="257" t="e">
        <f t="shared" si="318"/>
        <v>#N/A</v>
      </c>
      <c r="U68" s="257" t="e">
        <f t="shared" si="318"/>
        <v>#N/A</v>
      </c>
      <c r="V68" s="257" t="e">
        <f t="shared" si="318"/>
        <v>#N/A</v>
      </c>
      <c r="W68" s="257" t="e">
        <f t="shared" si="318"/>
        <v>#N/A</v>
      </c>
      <c r="X68" s="257" t="e">
        <f t="shared" si="318"/>
        <v>#N/A</v>
      </c>
      <c r="Y68" s="257" t="e">
        <f t="shared" si="318"/>
        <v>#N/A</v>
      </c>
      <c r="Z68" s="257" t="e">
        <f t="shared" si="318"/>
        <v>#N/A</v>
      </c>
      <c r="AA68" s="257" t="e">
        <f t="shared" si="318"/>
        <v>#N/A</v>
      </c>
      <c r="AB68" s="257" t="e">
        <f t="shared" si="318"/>
        <v>#N/A</v>
      </c>
      <c r="AC68" s="257" t="e">
        <f t="shared" si="318"/>
        <v>#N/A</v>
      </c>
      <c r="AD68" s="257" t="e">
        <f t="shared" si="318"/>
        <v>#N/A</v>
      </c>
      <c r="AE68" s="257" t="e">
        <f t="shared" si="318"/>
        <v>#N/A</v>
      </c>
      <c r="AF68" s="257" t="e">
        <f t="shared" si="318"/>
        <v>#N/A</v>
      </c>
      <c r="AG68" s="257" t="e">
        <f t="shared" si="318"/>
        <v>#N/A</v>
      </c>
      <c r="AH68" s="257" t="e">
        <f t="shared" si="318"/>
        <v>#N/A</v>
      </c>
      <c r="AI68" s="257" t="e">
        <f t="shared" si="318"/>
        <v>#N/A</v>
      </c>
      <c r="AJ68" s="257" t="e">
        <f t="shared" si="318"/>
        <v>#N/A</v>
      </c>
      <c r="AK68" s="257" t="e">
        <f t="shared" si="318"/>
        <v>#N/A</v>
      </c>
      <c r="AL68" s="257" t="e">
        <f t="shared" si="318"/>
        <v>#N/A</v>
      </c>
      <c r="AM68" s="257" t="e">
        <f t="shared" si="318"/>
        <v>#N/A</v>
      </c>
      <c r="AN68" s="257" t="e">
        <f t="shared" si="318"/>
        <v>#N/A</v>
      </c>
      <c r="AO68" s="257" t="e">
        <f t="shared" si="318"/>
        <v>#N/A</v>
      </c>
      <c r="AP68" s="257" t="e">
        <f t="shared" si="318"/>
        <v>#N/A</v>
      </c>
      <c r="AQ68" s="257" t="e">
        <f t="shared" si="318"/>
        <v>#N/A</v>
      </c>
      <c r="AR68" s="257" t="e">
        <f t="shared" si="318"/>
        <v>#N/A</v>
      </c>
      <c r="AS68" s="257" t="e">
        <f t="shared" ca="1" si="318"/>
        <v>#N/A</v>
      </c>
      <c r="AT68" s="257" t="e">
        <f t="shared" ca="1" si="318"/>
        <v>#N/A</v>
      </c>
      <c r="AU68" s="257" t="e">
        <f t="shared" ca="1" si="318"/>
        <v>#N/A</v>
      </c>
      <c r="AV68" s="257" t="e">
        <f t="shared" ca="1" si="318"/>
        <v>#N/A</v>
      </c>
      <c r="AW68" s="257" t="e">
        <f t="shared" ca="1" si="318"/>
        <v>#N/A</v>
      </c>
      <c r="AX68" s="257" t="e">
        <f t="shared" ca="1" si="318"/>
        <v>#N/A</v>
      </c>
      <c r="AY68" s="257" t="e">
        <f t="shared" ca="1" si="318"/>
        <v>#N/A</v>
      </c>
      <c r="AZ68" s="257" t="e">
        <f t="shared" ca="1" si="318"/>
        <v>#N/A</v>
      </c>
      <c r="BA68" s="257" t="e">
        <f t="shared" ca="1" si="318"/>
        <v>#N/A</v>
      </c>
      <c r="BB68" s="257" t="e">
        <f t="shared" ca="1" si="318"/>
        <v>#N/A</v>
      </c>
      <c r="BC68" s="257" t="e">
        <f t="shared" ca="1" si="318"/>
        <v>#N/A</v>
      </c>
      <c r="BD68" s="257" t="e">
        <f t="shared" ca="1" si="318"/>
        <v>#N/A</v>
      </c>
      <c r="BE68" s="257" t="e">
        <f t="shared" ca="1" si="318"/>
        <v>#N/A</v>
      </c>
      <c r="BF68" s="257" t="e">
        <f t="shared" ca="1" si="318"/>
        <v>#N/A</v>
      </c>
      <c r="BG68" s="257" t="e">
        <f t="shared" ca="1" si="318"/>
        <v>#N/A</v>
      </c>
      <c r="BH68" s="257" t="e">
        <f t="shared" ca="1" si="318"/>
        <v>#N/A</v>
      </c>
      <c r="BI68" s="257" t="e">
        <f t="shared" ca="1" si="318"/>
        <v>#N/A</v>
      </c>
      <c r="BJ68" s="257" t="e">
        <f t="shared" ca="1" si="318"/>
        <v>#N/A</v>
      </c>
      <c r="BK68" s="257" t="e">
        <f t="shared" ca="1" si="318"/>
        <v>#N/A</v>
      </c>
      <c r="BL68" s="257" t="e">
        <f t="shared" ca="1" si="318"/>
        <v>#N/A</v>
      </c>
      <c r="BM68" s="257" t="e">
        <f t="shared" ca="1" si="318"/>
        <v>#N/A</v>
      </c>
      <c r="BN68" s="257" t="e">
        <f t="shared" ca="1" si="318"/>
        <v>#N/A</v>
      </c>
      <c r="BO68" s="257" t="e">
        <f t="shared" ref="BO68:DA70" ca="1" si="319">IF(AND(ISNA(BP65),BO65&lt;&gt;""),BO65,NA())</f>
        <v>#N/A</v>
      </c>
      <c r="BP68" s="257" t="e">
        <f t="shared" ca="1" si="319"/>
        <v>#N/A</v>
      </c>
      <c r="BQ68" s="257" t="e">
        <f t="shared" ca="1" si="319"/>
        <v>#N/A</v>
      </c>
      <c r="BR68" s="257" t="e">
        <f t="shared" ca="1" si="319"/>
        <v>#N/A</v>
      </c>
      <c r="BS68" s="257" t="e">
        <f t="shared" ca="1" si="319"/>
        <v>#N/A</v>
      </c>
      <c r="BT68" s="257" t="e">
        <f t="shared" ca="1" si="319"/>
        <v>#N/A</v>
      </c>
      <c r="BU68" s="257" t="e">
        <f t="shared" ca="1" si="319"/>
        <v>#N/A</v>
      </c>
      <c r="BV68" s="257" t="e">
        <f t="shared" ca="1" si="319"/>
        <v>#N/A</v>
      </c>
      <c r="BW68" s="257" t="e">
        <f t="shared" ca="1" si="319"/>
        <v>#N/A</v>
      </c>
      <c r="BX68" s="257" t="e">
        <f t="shared" ca="1" si="319"/>
        <v>#N/A</v>
      </c>
      <c r="BY68" s="257" t="e">
        <f t="shared" ca="1" si="319"/>
        <v>#N/A</v>
      </c>
      <c r="BZ68" s="257" t="e">
        <f t="shared" ca="1" si="319"/>
        <v>#N/A</v>
      </c>
      <c r="CA68" s="257" t="e">
        <f t="shared" ca="1" si="319"/>
        <v>#N/A</v>
      </c>
      <c r="CB68" s="257" t="e">
        <f t="shared" ca="1" si="319"/>
        <v>#N/A</v>
      </c>
      <c r="CC68" s="257" t="e">
        <f t="shared" ca="1" si="319"/>
        <v>#N/A</v>
      </c>
      <c r="CD68" s="257" t="e">
        <f t="shared" ca="1" si="319"/>
        <v>#N/A</v>
      </c>
      <c r="CE68" s="257" t="e">
        <f t="shared" ca="1" si="319"/>
        <v>#N/A</v>
      </c>
      <c r="CF68" s="257" t="e">
        <f t="shared" ca="1" si="319"/>
        <v>#N/A</v>
      </c>
      <c r="CG68" s="257" t="e">
        <f t="shared" ca="1" si="319"/>
        <v>#N/A</v>
      </c>
      <c r="CH68" s="257" t="e">
        <f t="shared" ca="1" si="319"/>
        <v>#N/A</v>
      </c>
      <c r="CI68" s="257" t="e">
        <f t="shared" ca="1" si="319"/>
        <v>#N/A</v>
      </c>
      <c r="CJ68" s="257" t="e">
        <f t="shared" ca="1" si="319"/>
        <v>#N/A</v>
      </c>
      <c r="CK68" s="257" t="e">
        <f t="shared" ca="1" si="319"/>
        <v>#N/A</v>
      </c>
      <c r="CL68" s="257" t="e">
        <f t="shared" ca="1" si="319"/>
        <v>#N/A</v>
      </c>
      <c r="CM68" s="257" t="e">
        <f t="shared" ca="1" si="319"/>
        <v>#N/A</v>
      </c>
      <c r="CN68" s="257" t="e">
        <f t="shared" ca="1" si="319"/>
        <v>#N/A</v>
      </c>
      <c r="CO68" s="257" t="e">
        <f t="shared" ca="1" si="319"/>
        <v>#N/A</v>
      </c>
      <c r="CP68" s="257" t="e">
        <f t="shared" ca="1" si="319"/>
        <v>#N/A</v>
      </c>
      <c r="CQ68" s="257" t="e">
        <f t="shared" ca="1" si="319"/>
        <v>#N/A</v>
      </c>
      <c r="CR68" s="257" t="e">
        <f t="shared" ca="1" si="319"/>
        <v>#N/A</v>
      </c>
      <c r="CS68" s="257" t="e">
        <f t="shared" ca="1" si="319"/>
        <v>#N/A</v>
      </c>
      <c r="CT68" s="257" t="e">
        <f t="shared" ca="1" si="319"/>
        <v>#N/A</v>
      </c>
      <c r="CU68" s="257" t="e">
        <f t="shared" ca="1" si="319"/>
        <v>#N/A</v>
      </c>
      <c r="CV68" s="257" t="e">
        <f t="shared" ca="1" si="319"/>
        <v>#N/A</v>
      </c>
      <c r="CW68" s="257" t="e">
        <f t="shared" ca="1" si="319"/>
        <v>#N/A</v>
      </c>
      <c r="CX68" s="257">
        <f t="shared" ca="1" si="319"/>
        <v>1152.8560468976777</v>
      </c>
      <c r="CY68" s="257" t="e">
        <f t="shared" ca="1" si="319"/>
        <v>#N/A</v>
      </c>
      <c r="CZ68" s="257" t="e">
        <f t="shared" ca="1" si="319"/>
        <v>#N/A</v>
      </c>
      <c r="DA68" s="257" t="e">
        <f t="shared" ca="1" si="319"/>
        <v>#N/A</v>
      </c>
      <c r="DC68" s="193"/>
    </row>
    <row r="69" spans="1:107" s="247" customFormat="1" x14ac:dyDescent="0.3">
      <c r="A69" s="189" t="s">
        <v>2706</v>
      </c>
      <c r="B69" s="257" t="e">
        <f t="shared" ref="B69:Q70" si="320">IF(AND(ISNA(C66),B66&lt;&gt;""),B66,NA())</f>
        <v>#N/A</v>
      </c>
      <c r="C69" s="257" t="e">
        <f t="shared" si="320"/>
        <v>#N/A</v>
      </c>
      <c r="D69" s="257" t="e">
        <f t="shared" si="320"/>
        <v>#N/A</v>
      </c>
      <c r="E69" s="257" t="e">
        <f t="shared" si="320"/>
        <v>#N/A</v>
      </c>
      <c r="F69" s="257" t="e">
        <f t="shared" si="320"/>
        <v>#N/A</v>
      </c>
      <c r="G69" s="257" t="e">
        <f t="shared" si="320"/>
        <v>#N/A</v>
      </c>
      <c r="H69" s="257" t="e">
        <f t="shared" si="320"/>
        <v>#N/A</v>
      </c>
      <c r="I69" s="257" t="e">
        <f t="shared" si="320"/>
        <v>#N/A</v>
      </c>
      <c r="J69" s="257" t="e">
        <f t="shared" si="320"/>
        <v>#N/A</v>
      </c>
      <c r="K69" s="257" t="e">
        <f t="shared" si="320"/>
        <v>#N/A</v>
      </c>
      <c r="L69" s="257" t="e">
        <f t="shared" si="320"/>
        <v>#N/A</v>
      </c>
      <c r="M69" s="257" t="e">
        <f t="shared" si="320"/>
        <v>#N/A</v>
      </c>
      <c r="N69" s="257" t="e">
        <f t="shared" si="320"/>
        <v>#N/A</v>
      </c>
      <c r="O69" s="257" t="e">
        <f t="shared" si="320"/>
        <v>#N/A</v>
      </c>
      <c r="P69" s="257" t="e">
        <f t="shared" si="320"/>
        <v>#N/A</v>
      </c>
      <c r="Q69" s="257" t="e">
        <f t="shared" si="320"/>
        <v>#N/A</v>
      </c>
      <c r="R69" s="257" t="e">
        <f t="shared" si="318"/>
        <v>#N/A</v>
      </c>
      <c r="S69" s="257" t="e">
        <f t="shared" si="318"/>
        <v>#N/A</v>
      </c>
      <c r="T69" s="257" t="e">
        <f t="shared" si="318"/>
        <v>#N/A</v>
      </c>
      <c r="U69" s="257" t="e">
        <f t="shared" si="318"/>
        <v>#N/A</v>
      </c>
      <c r="V69" s="257" t="e">
        <f t="shared" si="318"/>
        <v>#N/A</v>
      </c>
      <c r="W69" s="257" t="e">
        <f t="shared" si="318"/>
        <v>#N/A</v>
      </c>
      <c r="X69" s="257" t="e">
        <f t="shared" si="318"/>
        <v>#N/A</v>
      </c>
      <c r="Y69" s="257" t="e">
        <f t="shared" si="318"/>
        <v>#N/A</v>
      </c>
      <c r="Z69" s="257" t="e">
        <f t="shared" si="318"/>
        <v>#N/A</v>
      </c>
      <c r="AA69" s="257" t="e">
        <f t="shared" si="318"/>
        <v>#N/A</v>
      </c>
      <c r="AB69" s="257" t="e">
        <f t="shared" si="318"/>
        <v>#N/A</v>
      </c>
      <c r="AC69" s="257" t="e">
        <f t="shared" si="318"/>
        <v>#N/A</v>
      </c>
      <c r="AD69" s="257" t="e">
        <f t="shared" si="318"/>
        <v>#N/A</v>
      </c>
      <c r="AE69" s="257" t="e">
        <f t="shared" si="318"/>
        <v>#N/A</v>
      </c>
      <c r="AF69" s="257" t="e">
        <f t="shared" si="318"/>
        <v>#N/A</v>
      </c>
      <c r="AG69" s="257" t="e">
        <f t="shared" si="318"/>
        <v>#N/A</v>
      </c>
      <c r="AH69" s="257" t="e">
        <f t="shared" si="318"/>
        <v>#N/A</v>
      </c>
      <c r="AI69" s="257" t="e">
        <f t="shared" si="318"/>
        <v>#N/A</v>
      </c>
      <c r="AJ69" s="257" t="e">
        <f t="shared" si="318"/>
        <v>#N/A</v>
      </c>
      <c r="AK69" s="257" t="e">
        <f t="shared" si="318"/>
        <v>#N/A</v>
      </c>
      <c r="AL69" s="257" t="e">
        <f t="shared" si="318"/>
        <v>#N/A</v>
      </c>
      <c r="AM69" s="257" t="e">
        <f t="shared" si="318"/>
        <v>#N/A</v>
      </c>
      <c r="AN69" s="257" t="e">
        <f t="shared" si="318"/>
        <v>#N/A</v>
      </c>
      <c r="AO69" s="257" t="e">
        <f t="shared" si="318"/>
        <v>#N/A</v>
      </c>
      <c r="AP69" s="257" t="e">
        <f t="shared" si="318"/>
        <v>#N/A</v>
      </c>
      <c r="AQ69" s="257" t="e">
        <f t="shared" si="318"/>
        <v>#N/A</v>
      </c>
      <c r="AR69" s="257" t="e">
        <f t="shared" si="318"/>
        <v>#N/A</v>
      </c>
      <c r="AS69" s="257" t="e">
        <f t="shared" ca="1" si="318"/>
        <v>#N/A</v>
      </c>
      <c r="AT69" s="257" t="e">
        <f t="shared" ca="1" si="318"/>
        <v>#N/A</v>
      </c>
      <c r="AU69" s="257" t="e">
        <f t="shared" ca="1" si="318"/>
        <v>#N/A</v>
      </c>
      <c r="AV69" s="257" t="e">
        <f t="shared" ca="1" si="318"/>
        <v>#N/A</v>
      </c>
      <c r="AW69" s="257" t="e">
        <f t="shared" ca="1" si="318"/>
        <v>#N/A</v>
      </c>
      <c r="AX69" s="257" t="e">
        <f t="shared" ca="1" si="318"/>
        <v>#N/A</v>
      </c>
      <c r="AY69" s="257" t="e">
        <f t="shared" ca="1" si="318"/>
        <v>#N/A</v>
      </c>
      <c r="AZ69" s="257" t="e">
        <f t="shared" ca="1" si="318"/>
        <v>#N/A</v>
      </c>
      <c r="BA69" s="257" t="e">
        <f t="shared" ca="1" si="318"/>
        <v>#N/A</v>
      </c>
      <c r="BB69" s="257" t="e">
        <f t="shared" ca="1" si="318"/>
        <v>#N/A</v>
      </c>
      <c r="BC69" s="257" t="e">
        <f t="shared" ca="1" si="318"/>
        <v>#N/A</v>
      </c>
      <c r="BD69" s="257" t="e">
        <f t="shared" ca="1" si="318"/>
        <v>#N/A</v>
      </c>
      <c r="BE69" s="257" t="e">
        <f t="shared" ca="1" si="318"/>
        <v>#N/A</v>
      </c>
      <c r="BF69" s="257" t="e">
        <f t="shared" ca="1" si="318"/>
        <v>#N/A</v>
      </c>
      <c r="BG69" s="257" t="e">
        <f t="shared" ca="1" si="318"/>
        <v>#N/A</v>
      </c>
      <c r="BH69" s="257" t="e">
        <f t="shared" ca="1" si="318"/>
        <v>#N/A</v>
      </c>
      <c r="BI69" s="257" t="e">
        <f t="shared" ca="1" si="318"/>
        <v>#N/A</v>
      </c>
      <c r="BJ69" s="257" t="e">
        <f t="shared" ca="1" si="318"/>
        <v>#N/A</v>
      </c>
      <c r="BK69" s="257" t="e">
        <f t="shared" ca="1" si="318"/>
        <v>#N/A</v>
      </c>
      <c r="BL69" s="257" t="e">
        <f t="shared" ca="1" si="318"/>
        <v>#N/A</v>
      </c>
      <c r="BM69" s="257" t="e">
        <f t="shared" ca="1" si="318"/>
        <v>#N/A</v>
      </c>
      <c r="BN69" s="257" t="e">
        <f t="shared" ca="1" si="318"/>
        <v>#N/A</v>
      </c>
      <c r="BO69" s="257" t="e">
        <f t="shared" ca="1" si="319"/>
        <v>#N/A</v>
      </c>
      <c r="BP69" s="257" t="e">
        <f t="shared" ca="1" si="319"/>
        <v>#N/A</v>
      </c>
      <c r="BQ69" s="257" t="e">
        <f t="shared" ca="1" si="319"/>
        <v>#N/A</v>
      </c>
      <c r="BR69" s="257" t="e">
        <f t="shared" ca="1" si="319"/>
        <v>#N/A</v>
      </c>
      <c r="BS69" s="257" t="e">
        <f t="shared" ca="1" si="319"/>
        <v>#N/A</v>
      </c>
      <c r="BT69" s="257" t="e">
        <f t="shared" ca="1" si="319"/>
        <v>#N/A</v>
      </c>
      <c r="BU69" s="257" t="e">
        <f t="shared" ca="1" si="319"/>
        <v>#N/A</v>
      </c>
      <c r="BV69" s="257" t="e">
        <f t="shared" ca="1" si="319"/>
        <v>#N/A</v>
      </c>
      <c r="BW69" s="257" t="e">
        <f t="shared" ca="1" si="319"/>
        <v>#N/A</v>
      </c>
      <c r="BX69" s="257" t="e">
        <f t="shared" ca="1" si="319"/>
        <v>#N/A</v>
      </c>
      <c r="BY69" s="257" t="e">
        <f t="shared" ca="1" si="319"/>
        <v>#N/A</v>
      </c>
      <c r="BZ69" s="257" t="e">
        <f t="shared" ca="1" si="319"/>
        <v>#N/A</v>
      </c>
      <c r="CA69" s="257" t="e">
        <f t="shared" ca="1" si="319"/>
        <v>#N/A</v>
      </c>
      <c r="CB69" s="257" t="e">
        <f t="shared" ca="1" si="319"/>
        <v>#N/A</v>
      </c>
      <c r="CC69" s="257" t="e">
        <f t="shared" ca="1" si="319"/>
        <v>#N/A</v>
      </c>
      <c r="CD69" s="257" t="e">
        <f t="shared" ca="1" si="319"/>
        <v>#N/A</v>
      </c>
      <c r="CE69" s="257" t="e">
        <f t="shared" ca="1" si="319"/>
        <v>#N/A</v>
      </c>
      <c r="CF69" s="257" t="e">
        <f t="shared" ca="1" si="319"/>
        <v>#N/A</v>
      </c>
      <c r="CG69" s="257" t="e">
        <f t="shared" ca="1" si="319"/>
        <v>#N/A</v>
      </c>
      <c r="CH69" s="257" t="e">
        <f t="shared" ca="1" si="319"/>
        <v>#N/A</v>
      </c>
      <c r="CI69" s="257" t="e">
        <f t="shared" ca="1" si="319"/>
        <v>#N/A</v>
      </c>
      <c r="CJ69" s="257" t="e">
        <f t="shared" ca="1" si="319"/>
        <v>#N/A</v>
      </c>
      <c r="CK69" s="257" t="e">
        <f t="shared" ca="1" si="319"/>
        <v>#N/A</v>
      </c>
      <c r="CL69" s="257" t="e">
        <f t="shared" ca="1" si="319"/>
        <v>#N/A</v>
      </c>
      <c r="CM69" s="257" t="e">
        <f t="shared" ca="1" si="319"/>
        <v>#N/A</v>
      </c>
      <c r="CN69" s="257" t="e">
        <f t="shared" ca="1" si="319"/>
        <v>#N/A</v>
      </c>
      <c r="CO69" s="257" t="e">
        <f t="shared" ca="1" si="319"/>
        <v>#N/A</v>
      </c>
      <c r="CP69" s="257" t="e">
        <f t="shared" ca="1" si="319"/>
        <v>#N/A</v>
      </c>
      <c r="CQ69" s="257" t="e">
        <f t="shared" ca="1" si="319"/>
        <v>#N/A</v>
      </c>
      <c r="CR69" s="257" t="e">
        <f t="shared" ca="1" si="319"/>
        <v>#N/A</v>
      </c>
      <c r="CS69" s="257" t="e">
        <f t="shared" ca="1" si="319"/>
        <v>#N/A</v>
      </c>
      <c r="CT69" s="257" t="e">
        <f t="shared" ca="1" si="319"/>
        <v>#N/A</v>
      </c>
      <c r="CU69" s="257" t="e">
        <f t="shared" ca="1" si="319"/>
        <v>#N/A</v>
      </c>
      <c r="CV69" s="257" t="e">
        <f t="shared" ca="1" si="319"/>
        <v>#N/A</v>
      </c>
      <c r="CW69" s="257" t="e">
        <f t="shared" ca="1" si="319"/>
        <v>#N/A</v>
      </c>
      <c r="CX69" s="257">
        <f t="shared" ca="1" si="319"/>
        <v>11289.620543819703</v>
      </c>
      <c r="CY69" s="257" t="e">
        <f t="shared" ca="1" si="319"/>
        <v>#N/A</v>
      </c>
      <c r="CZ69" s="257" t="e">
        <f t="shared" ca="1" si="319"/>
        <v>#N/A</v>
      </c>
      <c r="DA69" s="257" t="e">
        <f t="shared" ca="1" si="319"/>
        <v>#N/A</v>
      </c>
      <c r="DC69" s="193"/>
    </row>
    <row r="70" spans="1:107" s="247" customFormat="1" x14ac:dyDescent="0.3">
      <c r="A70" s="189" t="s">
        <v>2707</v>
      </c>
      <c r="B70" s="257" t="e">
        <f t="shared" si="320"/>
        <v>#N/A</v>
      </c>
      <c r="C70" s="257" t="e">
        <f t="shared" ref="C70:BN70" si="321">IF(AND(ISNA(D67),C67&lt;&gt;""),C67,NA())</f>
        <v>#N/A</v>
      </c>
      <c r="D70" s="257" t="e">
        <f t="shared" si="321"/>
        <v>#N/A</v>
      </c>
      <c r="E70" s="257" t="e">
        <f t="shared" si="321"/>
        <v>#N/A</v>
      </c>
      <c r="F70" s="257" t="e">
        <f t="shared" si="321"/>
        <v>#N/A</v>
      </c>
      <c r="G70" s="257" t="e">
        <f t="shared" si="321"/>
        <v>#N/A</v>
      </c>
      <c r="H70" s="257" t="e">
        <f t="shared" si="321"/>
        <v>#N/A</v>
      </c>
      <c r="I70" s="257" t="e">
        <f t="shared" si="321"/>
        <v>#N/A</v>
      </c>
      <c r="J70" s="257" t="e">
        <f t="shared" si="321"/>
        <v>#N/A</v>
      </c>
      <c r="K70" s="257" t="e">
        <f t="shared" si="321"/>
        <v>#N/A</v>
      </c>
      <c r="L70" s="257" t="e">
        <f t="shared" si="321"/>
        <v>#N/A</v>
      </c>
      <c r="M70" s="257" t="e">
        <f t="shared" si="321"/>
        <v>#N/A</v>
      </c>
      <c r="N70" s="257" t="e">
        <f t="shared" si="321"/>
        <v>#N/A</v>
      </c>
      <c r="O70" s="257" t="e">
        <f t="shared" si="321"/>
        <v>#N/A</v>
      </c>
      <c r="P70" s="257" t="e">
        <f t="shared" si="321"/>
        <v>#N/A</v>
      </c>
      <c r="Q70" s="257" t="e">
        <f t="shared" si="321"/>
        <v>#N/A</v>
      </c>
      <c r="R70" s="257" t="e">
        <f t="shared" si="321"/>
        <v>#N/A</v>
      </c>
      <c r="S70" s="257" t="e">
        <f t="shared" si="321"/>
        <v>#N/A</v>
      </c>
      <c r="T70" s="257" t="e">
        <f t="shared" si="321"/>
        <v>#N/A</v>
      </c>
      <c r="U70" s="257" t="e">
        <f t="shared" si="321"/>
        <v>#N/A</v>
      </c>
      <c r="V70" s="257" t="e">
        <f t="shared" si="321"/>
        <v>#N/A</v>
      </c>
      <c r="W70" s="257" t="e">
        <f t="shared" si="321"/>
        <v>#N/A</v>
      </c>
      <c r="X70" s="257" t="e">
        <f t="shared" si="321"/>
        <v>#N/A</v>
      </c>
      <c r="Y70" s="257" t="e">
        <f t="shared" si="321"/>
        <v>#N/A</v>
      </c>
      <c r="Z70" s="257" t="e">
        <f t="shared" si="321"/>
        <v>#N/A</v>
      </c>
      <c r="AA70" s="257" t="e">
        <f t="shared" si="321"/>
        <v>#N/A</v>
      </c>
      <c r="AB70" s="257" t="e">
        <f t="shared" si="321"/>
        <v>#N/A</v>
      </c>
      <c r="AC70" s="257" t="e">
        <f t="shared" si="321"/>
        <v>#N/A</v>
      </c>
      <c r="AD70" s="257" t="e">
        <f t="shared" si="321"/>
        <v>#N/A</v>
      </c>
      <c r="AE70" s="257" t="e">
        <f t="shared" si="321"/>
        <v>#N/A</v>
      </c>
      <c r="AF70" s="257" t="e">
        <f t="shared" si="321"/>
        <v>#N/A</v>
      </c>
      <c r="AG70" s="257" t="e">
        <f t="shared" si="321"/>
        <v>#N/A</v>
      </c>
      <c r="AH70" s="257" t="e">
        <f t="shared" si="321"/>
        <v>#N/A</v>
      </c>
      <c r="AI70" s="257" t="e">
        <f t="shared" si="321"/>
        <v>#N/A</v>
      </c>
      <c r="AJ70" s="257" t="e">
        <f t="shared" si="321"/>
        <v>#N/A</v>
      </c>
      <c r="AK70" s="257" t="e">
        <f t="shared" si="321"/>
        <v>#N/A</v>
      </c>
      <c r="AL70" s="257" t="e">
        <f t="shared" si="321"/>
        <v>#N/A</v>
      </c>
      <c r="AM70" s="257" t="e">
        <f t="shared" si="321"/>
        <v>#N/A</v>
      </c>
      <c r="AN70" s="257" t="e">
        <f t="shared" si="321"/>
        <v>#N/A</v>
      </c>
      <c r="AO70" s="257" t="e">
        <f t="shared" si="321"/>
        <v>#N/A</v>
      </c>
      <c r="AP70" s="257" t="e">
        <f t="shared" si="321"/>
        <v>#N/A</v>
      </c>
      <c r="AQ70" s="257" t="e">
        <f t="shared" si="321"/>
        <v>#N/A</v>
      </c>
      <c r="AR70" s="257" t="e">
        <f t="shared" si="321"/>
        <v>#N/A</v>
      </c>
      <c r="AS70" s="257" t="e">
        <f t="shared" ca="1" si="321"/>
        <v>#N/A</v>
      </c>
      <c r="AT70" s="257" t="e">
        <f t="shared" ca="1" si="321"/>
        <v>#N/A</v>
      </c>
      <c r="AU70" s="257" t="e">
        <f t="shared" ca="1" si="321"/>
        <v>#N/A</v>
      </c>
      <c r="AV70" s="257" t="e">
        <f t="shared" ca="1" si="321"/>
        <v>#N/A</v>
      </c>
      <c r="AW70" s="257" t="e">
        <f t="shared" ca="1" si="321"/>
        <v>#N/A</v>
      </c>
      <c r="AX70" s="257" t="e">
        <f t="shared" ca="1" si="321"/>
        <v>#N/A</v>
      </c>
      <c r="AY70" s="257" t="e">
        <f t="shared" ca="1" si="321"/>
        <v>#N/A</v>
      </c>
      <c r="AZ70" s="257" t="e">
        <f t="shared" ca="1" si="321"/>
        <v>#N/A</v>
      </c>
      <c r="BA70" s="257" t="e">
        <f t="shared" ca="1" si="321"/>
        <v>#N/A</v>
      </c>
      <c r="BB70" s="257" t="e">
        <f t="shared" ca="1" si="321"/>
        <v>#N/A</v>
      </c>
      <c r="BC70" s="257" t="e">
        <f t="shared" ca="1" si="321"/>
        <v>#N/A</v>
      </c>
      <c r="BD70" s="257" t="e">
        <f t="shared" ca="1" si="321"/>
        <v>#N/A</v>
      </c>
      <c r="BE70" s="257" t="e">
        <f t="shared" ca="1" si="321"/>
        <v>#N/A</v>
      </c>
      <c r="BF70" s="257" t="e">
        <f t="shared" ca="1" si="321"/>
        <v>#N/A</v>
      </c>
      <c r="BG70" s="257" t="e">
        <f t="shared" ca="1" si="321"/>
        <v>#N/A</v>
      </c>
      <c r="BH70" s="257" t="e">
        <f t="shared" ca="1" si="321"/>
        <v>#N/A</v>
      </c>
      <c r="BI70" s="257" t="e">
        <f t="shared" ca="1" si="321"/>
        <v>#N/A</v>
      </c>
      <c r="BJ70" s="257" t="e">
        <f t="shared" ca="1" si="321"/>
        <v>#N/A</v>
      </c>
      <c r="BK70" s="257" t="e">
        <f t="shared" ca="1" si="321"/>
        <v>#N/A</v>
      </c>
      <c r="BL70" s="257" t="e">
        <f t="shared" ca="1" si="321"/>
        <v>#N/A</v>
      </c>
      <c r="BM70" s="257" t="e">
        <f t="shared" ca="1" si="321"/>
        <v>#N/A</v>
      </c>
      <c r="BN70" s="257" t="e">
        <f t="shared" ca="1" si="321"/>
        <v>#N/A</v>
      </c>
      <c r="BO70" s="257" t="e">
        <f t="shared" ca="1" si="319"/>
        <v>#N/A</v>
      </c>
      <c r="BP70" s="257" t="e">
        <f t="shared" ca="1" si="319"/>
        <v>#N/A</v>
      </c>
      <c r="BQ70" s="257" t="e">
        <f t="shared" ca="1" si="319"/>
        <v>#N/A</v>
      </c>
      <c r="BR70" s="257" t="e">
        <f t="shared" ca="1" si="319"/>
        <v>#N/A</v>
      </c>
      <c r="BS70" s="257" t="e">
        <f t="shared" ca="1" si="319"/>
        <v>#N/A</v>
      </c>
      <c r="BT70" s="257" t="e">
        <f t="shared" ca="1" si="319"/>
        <v>#N/A</v>
      </c>
      <c r="BU70" s="257" t="e">
        <f t="shared" ca="1" si="319"/>
        <v>#N/A</v>
      </c>
      <c r="BV70" s="257" t="e">
        <f t="shared" ca="1" si="319"/>
        <v>#N/A</v>
      </c>
      <c r="BW70" s="257" t="e">
        <f t="shared" ca="1" si="319"/>
        <v>#N/A</v>
      </c>
      <c r="BX70" s="257" t="e">
        <f t="shared" ca="1" si="319"/>
        <v>#N/A</v>
      </c>
      <c r="BY70" s="257" t="e">
        <f t="shared" ca="1" si="319"/>
        <v>#N/A</v>
      </c>
      <c r="BZ70" s="257" t="e">
        <f t="shared" ca="1" si="319"/>
        <v>#N/A</v>
      </c>
      <c r="CA70" s="257" t="e">
        <f t="shared" ca="1" si="319"/>
        <v>#N/A</v>
      </c>
      <c r="CB70" s="257" t="e">
        <f t="shared" ca="1" si="319"/>
        <v>#N/A</v>
      </c>
      <c r="CC70" s="257" t="e">
        <f t="shared" ca="1" si="319"/>
        <v>#N/A</v>
      </c>
      <c r="CD70" s="257" t="e">
        <f t="shared" ca="1" si="319"/>
        <v>#N/A</v>
      </c>
      <c r="CE70" s="257" t="e">
        <f t="shared" ca="1" si="319"/>
        <v>#N/A</v>
      </c>
      <c r="CF70" s="257" t="e">
        <f t="shared" ca="1" si="319"/>
        <v>#N/A</v>
      </c>
      <c r="CG70" s="257" t="e">
        <f t="shared" ca="1" si="319"/>
        <v>#N/A</v>
      </c>
      <c r="CH70" s="257" t="e">
        <f t="shared" ca="1" si="319"/>
        <v>#N/A</v>
      </c>
      <c r="CI70" s="257" t="e">
        <f t="shared" ca="1" si="319"/>
        <v>#N/A</v>
      </c>
      <c r="CJ70" s="257" t="e">
        <f t="shared" ca="1" si="319"/>
        <v>#N/A</v>
      </c>
      <c r="CK70" s="257" t="e">
        <f t="shared" ca="1" si="319"/>
        <v>#N/A</v>
      </c>
      <c r="CL70" s="257" t="e">
        <f t="shared" ca="1" si="319"/>
        <v>#N/A</v>
      </c>
      <c r="CM70" s="257" t="e">
        <f t="shared" ca="1" si="319"/>
        <v>#N/A</v>
      </c>
      <c r="CN70" s="257" t="e">
        <f t="shared" ca="1" si="319"/>
        <v>#N/A</v>
      </c>
      <c r="CO70" s="257" t="e">
        <f t="shared" ca="1" si="319"/>
        <v>#N/A</v>
      </c>
      <c r="CP70" s="257" t="e">
        <f t="shared" ca="1" si="319"/>
        <v>#N/A</v>
      </c>
      <c r="CQ70" s="257" t="e">
        <f t="shared" ca="1" si="319"/>
        <v>#N/A</v>
      </c>
      <c r="CR70" s="257" t="e">
        <f t="shared" ca="1" si="319"/>
        <v>#N/A</v>
      </c>
      <c r="CS70" s="257" t="e">
        <f t="shared" ca="1" si="319"/>
        <v>#N/A</v>
      </c>
      <c r="CT70" s="257" t="e">
        <f t="shared" ca="1" si="319"/>
        <v>#N/A</v>
      </c>
      <c r="CU70" s="257" t="e">
        <f t="shared" ca="1" si="319"/>
        <v>#N/A</v>
      </c>
      <c r="CV70" s="257" t="e">
        <f t="shared" ca="1" si="319"/>
        <v>#N/A</v>
      </c>
      <c r="CW70" s="257" t="e">
        <f t="shared" ca="1" si="319"/>
        <v>#N/A</v>
      </c>
      <c r="CX70" s="257">
        <f t="shared" ca="1" si="319"/>
        <v>2392.2261011950159</v>
      </c>
      <c r="CY70" s="257" t="e">
        <f t="shared" ca="1" si="319"/>
        <v>#N/A</v>
      </c>
      <c r="CZ70" s="257" t="e">
        <f t="shared" ca="1" si="319"/>
        <v>#N/A</v>
      </c>
      <c r="DA70" s="257" t="e">
        <f t="shared" ca="1" si="319"/>
        <v>#N/A</v>
      </c>
      <c r="DC70" s="193"/>
    </row>
    <row r="71" spans="1:107" s="252" customFormat="1" x14ac:dyDescent="0.3">
      <c r="A71" s="250" t="s">
        <v>293</v>
      </c>
      <c r="B71" s="254">
        <v>1021.6</v>
      </c>
      <c r="C71" s="255">
        <v>1043.2</v>
      </c>
      <c r="D71" s="255">
        <v>1069.5</v>
      </c>
      <c r="E71" s="255">
        <v>1089.5</v>
      </c>
      <c r="F71" s="255">
        <v>1109.3</v>
      </c>
      <c r="G71" s="255">
        <v>1132.2</v>
      </c>
      <c r="H71" s="255">
        <v>1153.0999999999999</v>
      </c>
      <c r="I71" s="255">
        <v>1166.8</v>
      </c>
      <c r="J71" s="255">
        <v>1192.2560174247362</v>
      </c>
      <c r="K71" s="255">
        <v>1216.7345117069915</v>
      </c>
      <c r="L71" s="255">
        <v>1241.6114644573483</v>
      </c>
      <c r="M71" s="255">
        <v>1263.8372484064614</v>
      </c>
      <c r="N71" s="255">
        <v>1291.954121772281</v>
      </c>
      <c r="O71" s="255">
        <v>1320.9733833573141</v>
      </c>
      <c r="P71" s="255">
        <v>1358.9727609702948</v>
      </c>
      <c r="Q71" s="255">
        <v>1388.7548449125165</v>
      </c>
      <c r="R71" s="255">
        <v>1414.8695815673807</v>
      </c>
      <c r="S71" s="255">
        <v>1453.2188864900245</v>
      </c>
      <c r="T71" s="255">
        <v>1497.7879970747615</v>
      </c>
      <c r="U71" s="255">
        <v>1524.6468181743567</v>
      </c>
      <c r="V71" s="255">
        <v>1565.4806060155393</v>
      </c>
      <c r="W71" s="255">
        <v>1599.1570667306562</v>
      </c>
      <c r="X71" s="255">
        <v>1648.0539895661518</v>
      </c>
      <c r="Y71" s="255">
        <v>1687.9621269591769</v>
      </c>
      <c r="Z71" s="255">
        <v>1718.4333644783312</v>
      </c>
      <c r="AA71" s="255">
        <v>1746.2741650195942</v>
      </c>
      <c r="AB71" s="255">
        <v>1774.0047683103246</v>
      </c>
      <c r="AC71" s="255">
        <v>1800.249535371677</v>
      </c>
      <c r="AD71" s="255">
        <v>1834.8159082243142</v>
      </c>
      <c r="AE71" s="255">
        <v>1863.7877106606745</v>
      </c>
      <c r="AF71" s="255">
        <v>1897.8332894230011</v>
      </c>
      <c r="AG71" s="255">
        <v>1922.9652909559802</v>
      </c>
      <c r="AH71" s="255">
        <v>1966.1930009282819</v>
      </c>
      <c r="AI71" s="255">
        <v>2007.5013773011312</v>
      </c>
      <c r="AJ71" s="255">
        <v>2044.6291622782524</v>
      </c>
      <c r="AK71" s="255">
        <v>2079.9893547158995</v>
      </c>
      <c r="AL71" s="255">
        <v>2139.4003221570006</v>
      </c>
      <c r="AM71" s="255">
        <v>2172.819355585284</v>
      </c>
      <c r="AN71" s="255">
        <v>2197.4953826670535</v>
      </c>
      <c r="AO71" s="255">
        <v>2222.2456738611081</v>
      </c>
      <c r="AP71" s="255">
        <v>2265.3034547996785</v>
      </c>
      <c r="AQ71" s="255">
        <v>2334.4589568921333</v>
      </c>
      <c r="AR71" s="255">
        <v>2394.9644550933554</v>
      </c>
      <c r="AS71" s="255">
        <v>2446.3698492065882</v>
      </c>
      <c r="AT71" s="255">
        <f ca="1">OFFSET(Calcs!$A$1,Graphs!AT$14+30,15)</f>
        <v>2474.3398981101286</v>
      </c>
      <c r="AU71" s="255">
        <f ca="1">OFFSET(Calcs!$A$1,Graphs!AU$14+30,15)</f>
        <v>2485.6124977829641</v>
      </c>
      <c r="AV71" s="255">
        <f ca="1">OFFSET(Calcs!$A$1,Graphs!AV$14+30,15)</f>
        <v>2496.1002987021789</v>
      </c>
      <c r="AW71" s="255">
        <f ca="1">OFFSET(Calcs!$A$1,Graphs!AW$14+30,15)</f>
        <v>2503.5998432905103</v>
      </c>
      <c r="AX71" s="255">
        <f ca="1">OFFSET(Calcs!$A$1,Graphs!AX$14+30,15)</f>
        <v>2510.461185678937</v>
      </c>
      <c r="AY71" s="255">
        <f ca="1">OFFSET(Calcs!$A$1,Graphs!AY$14+30,15)</f>
        <v>2515.8552793266954</v>
      </c>
      <c r="AZ71" s="255">
        <f ca="1">OFFSET(Calcs!$A$1,Graphs!AZ$14+30,15)</f>
        <v>2532.6013178400613</v>
      </c>
      <c r="BA71" s="255">
        <f ca="1">OFFSET(Calcs!$A$1,Graphs!BA$14+30,15)</f>
        <v>2543.5768210370493</v>
      </c>
      <c r="BB71" s="255">
        <f ca="1">OFFSET(Calcs!$A$1,Graphs!BB$14+30,15)</f>
        <v>2552.5700119951453</v>
      </c>
      <c r="BC71" s="255">
        <f ca="1">OFFSET(Calcs!$A$1,Graphs!BC$14+30,15)</f>
        <v>2555.4077771416037</v>
      </c>
      <c r="BD71" s="255">
        <f ca="1">OFFSET(Calcs!$A$1,Graphs!BD$14+30,15)</f>
        <v>2562.4111038705155</v>
      </c>
      <c r="BE71" s="255">
        <f ca="1">OFFSET(Calcs!$A$1,Graphs!BE$14+30,15)</f>
        <v>2575.3506245691565</v>
      </c>
      <c r="BF71" s="255">
        <f ca="1">OFFSET(Calcs!$A$1,Graphs!BF$14+30,15)</f>
        <v>2580.1624353612174</v>
      </c>
      <c r="BG71" s="255">
        <f ca="1">OFFSET(Calcs!$A$1,Graphs!BG$14+30,15)</f>
        <v>2585.6320981173453</v>
      </c>
      <c r="BH71" s="255">
        <f ca="1">OFFSET(Calcs!$A$1,Graphs!BH$14+30,15)</f>
        <v>2591.789028446618</v>
      </c>
      <c r="BI71" s="255">
        <f ca="1">OFFSET(Calcs!$A$1,Graphs!BI$14+30,15)</f>
        <v>2597.4500142475131</v>
      </c>
      <c r="BJ71" s="255">
        <f ca="1">OFFSET(Calcs!$A$1,Graphs!BJ$14+30,15)</f>
        <v>2606.9666512575968</v>
      </c>
      <c r="BK71" s="255">
        <f ca="1">OFFSET(Calcs!$A$1,Graphs!BK$14+30,15)</f>
        <v>2612.354335523873</v>
      </c>
      <c r="BL71" s="255">
        <f ca="1">OFFSET(Calcs!$A$1,Graphs!BL$14+30,15)</f>
        <v>2625.3582849659269</v>
      </c>
      <c r="BM71" s="255">
        <f ca="1">OFFSET(Calcs!$A$1,Graphs!BM$14+30,15)</f>
        <v>2642.7976339607558</v>
      </c>
      <c r="BN71" s="255">
        <f ca="1">OFFSET(Calcs!$A$1,Graphs!BN$14+30,15)</f>
        <v>2647.9280329994463</v>
      </c>
      <c r="BO71" s="255">
        <f ca="1">OFFSET(Calcs!$A$1,Graphs!BO$14+30,15)</f>
        <v>2654.3550396368601</v>
      </c>
      <c r="BP71" s="255">
        <f ca="1">OFFSET(Calcs!$A$1,Graphs!BP$14+30,15)</f>
        <v>2673.6690423347254</v>
      </c>
      <c r="BQ71" s="255">
        <f ca="1">OFFSET(Calcs!$A$1,Graphs!BQ$14+30,15)</f>
        <v>2679.9674352849156</v>
      </c>
      <c r="BR71" s="255">
        <f ca="1">OFFSET(Calcs!$A$1,Graphs!BR$14+30,15)</f>
        <v>2679.9674352849156</v>
      </c>
      <c r="BS71" s="255">
        <f ca="1">OFFSET(Calcs!$A$1,Graphs!BS$14+30,15)</f>
        <v>2689.6674102611514</v>
      </c>
      <c r="BT71" s="255">
        <f ca="1">OFFSET(Calcs!$A$1,Graphs!BT$14+30,15)</f>
        <v>2688.973392096957</v>
      </c>
      <c r="BU71" s="255">
        <f ca="1">OFFSET(Calcs!$A$1,Graphs!BU$14+30,15)</f>
        <v>2676.8109683758216</v>
      </c>
      <c r="BV71" s="255">
        <f ca="1">OFFSET(Calcs!$A$1,Graphs!BV$14+30,15)</f>
        <v>2679.5755547229032</v>
      </c>
      <c r="BW71" s="255">
        <f ca="1">OFFSET(Calcs!$A$1,Graphs!BW$14+30,15)</f>
        <v>2694.1365454214911</v>
      </c>
      <c r="BX71" s="255">
        <f ca="1">OFFSET(Calcs!$A$1,Graphs!BX$14+30,15)</f>
        <v>2697.0118242793792</v>
      </c>
      <c r="BY71" s="255">
        <f ca="1">OFFSET(Calcs!$A$1,Graphs!BY$14+30,15)</f>
        <v>2706.1556374086172</v>
      </c>
      <c r="BZ71" s="255">
        <f ca="1">OFFSET(Calcs!$A$1,Graphs!BZ$14+30,15)</f>
        <v>2706.7924548282954</v>
      </c>
      <c r="CA71" s="255">
        <f ca="1">OFFSET(Calcs!$A$1,Graphs!CA$14+30,15)</f>
        <v>2691.1983026878206</v>
      </c>
      <c r="CB71" s="255">
        <f ca="1">OFFSET(Calcs!$A$1,Graphs!CB$14+30,15)</f>
        <v>2692.7365697523746</v>
      </c>
      <c r="CC71" s="255">
        <f ca="1">OFFSET(Calcs!$A$1,Graphs!CC$14+30,15)</f>
        <v>2703.1562118276292</v>
      </c>
      <c r="CD71" s="255">
        <f ca="1">OFFSET(Calcs!$A$1,Graphs!CD$14+30,15)</f>
        <v>2699.8312968573823</v>
      </c>
      <c r="CE71" s="255">
        <f ca="1">OFFSET(Calcs!$A$1,Graphs!CE$14+30,15)</f>
        <v>2701.3744984711984</v>
      </c>
      <c r="CF71" s="255">
        <f ca="1">OFFSET(Calcs!$A$1,Graphs!CF$14+30,15)</f>
        <v>2703.1039315097614</v>
      </c>
      <c r="CG71" s="255">
        <f ca="1">OFFSET(Calcs!$A$1,Graphs!CG$14+30,15)</f>
        <v>2710.3218282454964</v>
      </c>
      <c r="CH71" s="255">
        <f ca="1">OFFSET(Calcs!$A$1,Graphs!CH$14+30,15)</f>
        <v>2727.1284391866229</v>
      </c>
      <c r="CI71" s="255">
        <f ca="1">OFFSET(Calcs!$A$1,Graphs!CI$14+30,15)</f>
        <v>2741.4598792115489</v>
      </c>
      <c r="CJ71" s="255">
        <f ca="1">OFFSET(Calcs!$A$1,Graphs!CJ$14+30,15)</f>
        <v>2742.3738514915367</v>
      </c>
      <c r="CK71" s="255">
        <f ca="1">OFFSET(Calcs!$A$1,Graphs!CK$14+30,15)</f>
        <v>2749.4033224351347</v>
      </c>
      <c r="CL71" s="255">
        <f ca="1">OFFSET(Calcs!$A$1,Graphs!CL$14+30,15)</f>
        <v>2748.557482318</v>
      </c>
      <c r="CM71" s="255">
        <f ca="1">OFFSET(Calcs!$A$1,Graphs!CM$14+30,15)</f>
        <v>2760.0536976556182</v>
      </c>
      <c r="CN71" s="255">
        <f ca="1">OFFSET(Calcs!$A$1,Graphs!CN$14+30,15)</f>
        <v>2768.6539025413572</v>
      </c>
      <c r="CO71" s="255">
        <f ca="1">OFFSET(Calcs!$A$1,Graphs!CO$14+30,15)</f>
        <v>2772.3479031979246</v>
      </c>
      <c r="CP71" s="255">
        <f ca="1">OFFSET(Calcs!$A$1,Graphs!CP$14+30,15)</f>
        <v>2774.277164013065</v>
      </c>
      <c r="CQ71" s="255">
        <f ca="1">OFFSET(Calcs!$A$1,Graphs!CQ$14+30,15)</f>
        <v>2783.1690704003677</v>
      </c>
      <c r="CR71" s="255">
        <f ca="1">OFFSET(Calcs!$A$1,Graphs!CR$14+30,15)</f>
        <v>2769.4198307463785</v>
      </c>
      <c r="CS71" s="255">
        <f ca="1">OFFSET(Calcs!$A$1,Graphs!CS$14+30,15)</f>
        <v>2759.9409358604985</v>
      </c>
      <c r="CT71" s="255">
        <f ca="1">OFFSET(Calcs!$A$1,Graphs!CT$14+30,15)</f>
        <v>2767.3106002080485</v>
      </c>
      <c r="CU71" s="255">
        <f ca="1">OFFSET(Calcs!$A$1,Graphs!CU$14+30,15)</f>
        <v>2763.0564725296367</v>
      </c>
      <c r="CV71" s="255">
        <f ca="1">OFFSET(Calcs!$A$1,Graphs!CV$14+30,15)</f>
        <v>2766.407662504198</v>
      </c>
      <c r="CW71" s="255">
        <f ca="1">OFFSET(Calcs!$A$1,Graphs!CW$14+30,15)</f>
        <v>2757.7268867864263</v>
      </c>
      <c r="CX71" s="255">
        <f ca="1">OFFSET(Calcs!$A$1,Graphs!CX$14+30,15)</f>
        <v>2754.786879723044</v>
      </c>
      <c r="CY71" s="255" t="e">
        <f ca="1">OFFSET(Calcs!$A$1,Graphs!CY$14+30,15)</f>
        <v>#N/A</v>
      </c>
      <c r="CZ71" s="255" t="e">
        <f ca="1">OFFSET(Calcs!$A$1,Graphs!CZ$14+30,15)</f>
        <v>#N/A</v>
      </c>
      <c r="DA71" s="255" t="e">
        <f ca="1">OFFSET(Calcs!$A$1,Graphs!DA$14+30,15)</f>
        <v>#N/A</v>
      </c>
      <c r="DB71" s="255"/>
      <c r="DC71" s="256" t="str">
        <f t="shared" si="7"/>
        <v>Total Index</v>
      </c>
    </row>
    <row r="72" spans="1:107" s="252" customFormat="1" x14ac:dyDescent="0.3">
      <c r="A72" s="250" t="s">
        <v>293</v>
      </c>
      <c r="B72" s="257" t="e">
        <f>IF(AND(ISNA(C71),B71&lt;&gt;""),B71,NA())</f>
        <v>#N/A</v>
      </c>
      <c r="C72" s="257" t="e">
        <f t="shared" ref="C72:BN72" si="322">IF(AND(ISNA(D71),C71&lt;&gt;""),C71,NA())</f>
        <v>#N/A</v>
      </c>
      <c r="D72" s="257" t="e">
        <f t="shared" si="322"/>
        <v>#N/A</v>
      </c>
      <c r="E72" s="257" t="e">
        <f t="shared" si="322"/>
        <v>#N/A</v>
      </c>
      <c r="F72" s="257" t="e">
        <f t="shared" si="322"/>
        <v>#N/A</v>
      </c>
      <c r="G72" s="257" t="e">
        <f t="shared" si="322"/>
        <v>#N/A</v>
      </c>
      <c r="H72" s="257" t="e">
        <f t="shared" si="322"/>
        <v>#N/A</v>
      </c>
      <c r="I72" s="257" t="e">
        <f t="shared" si="322"/>
        <v>#N/A</v>
      </c>
      <c r="J72" s="257" t="e">
        <f t="shared" si="322"/>
        <v>#N/A</v>
      </c>
      <c r="K72" s="257" t="e">
        <f t="shared" si="322"/>
        <v>#N/A</v>
      </c>
      <c r="L72" s="257" t="e">
        <f t="shared" si="322"/>
        <v>#N/A</v>
      </c>
      <c r="M72" s="257" t="e">
        <f t="shared" si="322"/>
        <v>#N/A</v>
      </c>
      <c r="N72" s="257" t="e">
        <f t="shared" si="322"/>
        <v>#N/A</v>
      </c>
      <c r="O72" s="257" t="e">
        <f t="shared" si="322"/>
        <v>#N/A</v>
      </c>
      <c r="P72" s="257" t="e">
        <f t="shared" si="322"/>
        <v>#N/A</v>
      </c>
      <c r="Q72" s="257" t="e">
        <f t="shared" si="322"/>
        <v>#N/A</v>
      </c>
      <c r="R72" s="257" t="e">
        <f t="shared" si="322"/>
        <v>#N/A</v>
      </c>
      <c r="S72" s="257" t="e">
        <f t="shared" si="322"/>
        <v>#N/A</v>
      </c>
      <c r="T72" s="257" t="e">
        <f t="shared" si="322"/>
        <v>#N/A</v>
      </c>
      <c r="U72" s="257" t="e">
        <f t="shared" si="322"/>
        <v>#N/A</v>
      </c>
      <c r="V72" s="257" t="e">
        <f t="shared" si="322"/>
        <v>#N/A</v>
      </c>
      <c r="W72" s="257" t="e">
        <f t="shared" si="322"/>
        <v>#N/A</v>
      </c>
      <c r="X72" s="257" t="e">
        <f t="shared" si="322"/>
        <v>#N/A</v>
      </c>
      <c r="Y72" s="257" t="e">
        <f t="shared" si="322"/>
        <v>#N/A</v>
      </c>
      <c r="Z72" s="257" t="e">
        <f t="shared" si="322"/>
        <v>#N/A</v>
      </c>
      <c r="AA72" s="257" t="e">
        <f t="shared" si="322"/>
        <v>#N/A</v>
      </c>
      <c r="AB72" s="257" t="e">
        <f t="shared" si="322"/>
        <v>#N/A</v>
      </c>
      <c r="AC72" s="257" t="e">
        <f t="shared" si="322"/>
        <v>#N/A</v>
      </c>
      <c r="AD72" s="257" t="e">
        <f t="shared" si="322"/>
        <v>#N/A</v>
      </c>
      <c r="AE72" s="257" t="e">
        <f t="shared" si="322"/>
        <v>#N/A</v>
      </c>
      <c r="AF72" s="257" t="e">
        <f t="shared" si="322"/>
        <v>#N/A</v>
      </c>
      <c r="AG72" s="257" t="e">
        <f t="shared" si="322"/>
        <v>#N/A</v>
      </c>
      <c r="AH72" s="257" t="e">
        <f t="shared" si="322"/>
        <v>#N/A</v>
      </c>
      <c r="AI72" s="257" t="e">
        <f t="shared" si="322"/>
        <v>#N/A</v>
      </c>
      <c r="AJ72" s="257" t="e">
        <f t="shared" si="322"/>
        <v>#N/A</v>
      </c>
      <c r="AK72" s="257" t="e">
        <f t="shared" si="322"/>
        <v>#N/A</v>
      </c>
      <c r="AL72" s="257" t="e">
        <f t="shared" si="322"/>
        <v>#N/A</v>
      </c>
      <c r="AM72" s="257" t="e">
        <f t="shared" si="322"/>
        <v>#N/A</v>
      </c>
      <c r="AN72" s="257" t="e">
        <f t="shared" si="322"/>
        <v>#N/A</v>
      </c>
      <c r="AO72" s="257" t="e">
        <f t="shared" si="322"/>
        <v>#N/A</v>
      </c>
      <c r="AP72" s="257" t="e">
        <f t="shared" si="322"/>
        <v>#N/A</v>
      </c>
      <c r="AQ72" s="257" t="e">
        <f t="shared" si="322"/>
        <v>#N/A</v>
      </c>
      <c r="AR72" s="257" t="e">
        <f t="shared" si="322"/>
        <v>#N/A</v>
      </c>
      <c r="AS72" s="257" t="e">
        <f t="shared" ca="1" si="322"/>
        <v>#N/A</v>
      </c>
      <c r="AT72" s="257" t="e">
        <f t="shared" ca="1" si="322"/>
        <v>#N/A</v>
      </c>
      <c r="AU72" s="257" t="e">
        <f t="shared" ca="1" si="322"/>
        <v>#N/A</v>
      </c>
      <c r="AV72" s="257" t="e">
        <f t="shared" ca="1" si="322"/>
        <v>#N/A</v>
      </c>
      <c r="AW72" s="257" t="e">
        <f t="shared" ca="1" si="322"/>
        <v>#N/A</v>
      </c>
      <c r="AX72" s="257" t="e">
        <f t="shared" ca="1" si="322"/>
        <v>#N/A</v>
      </c>
      <c r="AY72" s="257" t="e">
        <f t="shared" ca="1" si="322"/>
        <v>#N/A</v>
      </c>
      <c r="AZ72" s="257" t="e">
        <f t="shared" ca="1" si="322"/>
        <v>#N/A</v>
      </c>
      <c r="BA72" s="257" t="e">
        <f t="shared" ca="1" si="322"/>
        <v>#N/A</v>
      </c>
      <c r="BB72" s="257" t="e">
        <f t="shared" ca="1" si="322"/>
        <v>#N/A</v>
      </c>
      <c r="BC72" s="257" t="e">
        <f t="shared" ca="1" si="322"/>
        <v>#N/A</v>
      </c>
      <c r="BD72" s="257" t="e">
        <f t="shared" ca="1" si="322"/>
        <v>#N/A</v>
      </c>
      <c r="BE72" s="257" t="e">
        <f t="shared" ca="1" si="322"/>
        <v>#N/A</v>
      </c>
      <c r="BF72" s="257" t="e">
        <f t="shared" ca="1" si="322"/>
        <v>#N/A</v>
      </c>
      <c r="BG72" s="257" t="e">
        <f t="shared" ca="1" si="322"/>
        <v>#N/A</v>
      </c>
      <c r="BH72" s="257" t="e">
        <f t="shared" ca="1" si="322"/>
        <v>#N/A</v>
      </c>
      <c r="BI72" s="257" t="e">
        <f t="shared" ca="1" si="322"/>
        <v>#N/A</v>
      </c>
      <c r="BJ72" s="257" t="e">
        <f t="shared" ca="1" si="322"/>
        <v>#N/A</v>
      </c>
      <c r="BK72" s="257" t="e">
        <f t="shared" ca="1" si="322"/>
        <v>#N/A</v>
      </c>
      <c r="BL72" s="257" t="e">
        <f t="shared" ca="1" si="322"/>
        <v>#N/A</v>
      </c>
      <c r="BM72" s="257" t="e">
        <f t="shared" ca="1" si="322"/>
        <v>#N/A</v>
      </c>
      <c r="BN72" s="257" t="e">
        <f t="shared" ca="1" si="322"/>
        <v>#N/A</v>
      </c>
      <c r="BO72" s="257" t="e">
        <f t="shared" ref="BO72:DA72" ca="1" si="323">IF(AND(ISNA(BP71),BO71&lt;&gt;""),BO71,NA())</f>
        <v>#N/A</v>
      </c>
      <c r="BP72" s="257" t="e">
        <f t="shared" ca="1" si="323"/>
        <v>#N/A</v>
      </c>
      <c r="BQ72" s="257" t="e">
        <f t="shared" ca="1" si="323"/>
        <v>#N/A</v>
      </c>
      <c r="BR72" s="257" t="e">
        <f t="shared" ca="1" si="323"/>
        <v>#N/A</v>
      </c>
      <c r="BS72" s="257" t="e">
        <f t="shared" ca="1" si="323"/>
        <v>#N/A</v>
      </c>
      <c r="BT72" s="257" t="e">
        <f t="shared" ca="1" si="323"/>
        <v>#N/A</v>
      </c>
      <c r="BU72" s="257" t="e">
        <f t="shared" ca="1" si="323"/>
        <v>#N/A</v>
      </c>
      <c r="BV72" s="257" t="e">
        <f t="shared" ca="1" si="323"/>
        <v>#N/A</v>
      </c>
      <c r="BW72" s="257" t="e">
        <f t="shared" ca="1" si="323"/>
        <v>#N/A</v>
      </c>
      <c r="BX72" s="257" t="e">
        <f t="shared" ca="1" si="323"/>
        <v>#N/A</v>
      </c>
      <c r="BY72" s="257" t="e">
        <f t="shared" ca="1" si="323"/>
        <v>#N/A</v>
      </c>
      <c r="BZ72" s="257" t="e">
        <f t="shared" ca="1" si="323"/>
        <v>#N/A</v>
      </c>
      <c r="CA72" s="257" t="e">
        <f t="shared" ca="1" si="323"/>
        <v>#N/A</v>
      </c>
      <c r="CB72" s="257" t="e">
        <f t="shared" ca="1" si="323"/>
        <v>#N/A</v>
      </c>
      <c r="CC72" s="257" t="e">
        <f t="shared" ca="1" si="323"/>
        <v>#N/A</v>
      </c>
      <c r="CD72" s="257" t="e">
        <f t="shared" ca="1" si="323"/>
        <v>#N/A</v>
      </c>
      <c r="CE72" s="257" t="e">
        <f t="shared" ca="1" si="323"/>
        <v>#N/A</v>
      </c>
      <c r="CF72" s="257" t="e">
        <f t="shared" ca="1" si="323"/>
        <v>#N/A</v>
      </c>
      <c r="CG72" s="257" t="e">
        <f t="shared" ca="1" si="323"/>
        <v>#N/A</v>
      </c>
      <c r="CH72" s="257" t="e">
        <f t="shared" ca="1" si="323"/>
        <v>#N/A</v>
      </c>
      <c r="CI72" s="257" t="e">
        <f t="shared" ca="1" si="323"/>
        <v>#N/A</v>
      </c>
      <c r="CJ72" s="257" t="e">
        <f t="shared" ca="1" si="323"/>
        <v>#N/A</v>
      </c>
      <c r="CK72" s="257" t="e">
        <f t="shared" ca="1" si="323"/>
        <v>#N/A</v>
      </c>
      <c r="CL72" s="257" t="e">
        <f t="shared" ca="1" si="323"/>
        <v>#N/A</v>
      </c>
      <c r="CM72" s="257" t="e">
        <f t="shared" ca="1" si="323"/>
        <v>#N/A</v>
      </c>
      <c r="CN72" s="257" t="e">
        <f t="shared" ca="1" si="323"/>
        <v>#N/A</v>
      </c>
      <c r="CO72" s="257" t="e">
        <f t="shared" ca="1" si="323"/>
        <v>#N/A</v>
      </c>
      <c r="CP72" s="257" t="e">
        <f t="shared" ca="1" si="323"/>
        <v>#N/A</v>
      </c>
      <c r="CQ72" s="257" t="e">
        <f t="shared" ca="1" si="323"/>
        <v>#N/A</v>
      </c>
      <c r="CR72" s="257" t="e">
        <f t="shared" ca="1" si="323"/>
        <v>#N/A</v>
      </c>
      <c r="CS72" s="257" t="e">
        <f t="shared" ca="1" si="323"/>
        <v>#N/A</v>
      </c>
      <c r="CT72" s="257" t="e">
        <f t="shared" ca="1" si="323"/>
        <v>#N/A</v>
      </c>
      <c r="CU72" s="257" t="e">
        <f t="shared" ca="1" si="323"/>
        <v>#N/A</v>
      </c>
      <c r="CV72" s="257" t="e">
        <f t="shared" ca="1" si="323"/>
        <v>#N/A</v>
      </c>
      <c r="CW72" s="257" t="e">
        <f t="shared" ca="1" si="323"/>
        <v>#N/A</v>
      </c>
      <c r="CX72" s="257">
        <f t="shared" ca="1" si="323"/>
        <v>2754.786879723044</v>
      </c>
      <c r="CY72" s="257" t="e">
        <f t="shared" ca="1" si="323"/>
        <v>#N/A</v>
      </c>
      <c r="CZ72" s="257" t="e">
        <f t="shared" ca="1" si="323"/>
        <v>#N/A</v>
      </c>
      <c r="DA72" s="257" t="e">
        <f t="shared" ca="1" si="323"/>
        <v>#N/A</v>
      </c>
      <c r="DB72" s="255"/>
      <c r="DC72" s="256" t="str">
        <f t="shared" ref="DC72" si="324">A72</f>
        <v>Total Index</v>
      </c>
    </row>
  </sheetData>
  <conditionalFormatting sqref="DC15:DC20 DC22:DC25 DC27:DC36 DC38:DC43 DC45:DC58 DC60:DC63 DC65:DC71">
    <cfRule type="cellIs" dxfId="6" priority="7" operator="lessThan">
      <formula>4</formula>
    </cfRule>
  </conditionalFormatting>
  <conditionalFormatting sqref="DC26">
    <cfRule type="cellIs" dxfId="5" priority="6" operator="lessThan">
      <formula>4</formula>
    </cfRule>
  </conditionalFormatting>
  <conditionalFormatting sqref="DC37">
    <cfRule type="cellIs" dxfId="4" priority="5" operator="lessThan">
      <formula>4</formula>
    </cfRule>
  </conditionalFormatting>
  <conditionalFormatting sqref="DC44">
    <cfRule type="cellIs" dxfId="3" priority="4" operator="lessThan">
      <formula>4</formula>
    </cfRule>
  </conditionalFormatting>
  <conditionalFormatting sqref="DC59">
    <cfRule type="cellIs" dxfId="2" priority="3" operator="lessThan">
      <formula>4</formula>
    </cfRule>
  </conditionalFormatting>
  <conditionalFormatting sqref="DC64">
    <cfRule type="cellIs" dxfId="1" priority="2" operator="lessThan">
      <formula>4</formula>
    </cfRule>
  </conditionalFormatting>
  <conditionalFormatting sqref="DC72">
    <cfRule type="cellIs" dxfId="0" priority="1" operator="lessThan">
      <formula>4</formula>
    </cfRule>
  </conditionalFormatting>
  <pageMargins left="0.7" right="0.7" top="0.75" bottom="0.75" header="0.3" footer="0.3"/>
  <pageSetup orientation="portrait" horizontalDpi="4294967293" verticalDpi="4294967293"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B178"/>
  <sheetViews>
    <sheetView workbookViewId="0">
      <pane xSplit="3" ySplit="3" topLeftCell="D43" activePane="bottomRight" state="frozen"/>
      <selection pane="topRight" activeCell="D1" sqref="D1"/>
      <selection pane="bottomLeft" activeCell="A4" sqref="A4"/>
      <selection pane="bottomRight" activeCell="A67" sqref="A67"/>
    </sheetView>
  </sheetViews>
  <sheetFormatPr defaultColWidth="9.109375" defaultRowHeight="14.4" x14ac:dyDescent="0.3"/>
  <cols>
    <col min="1" max="2" width="9.109375" style="165"/>
    <col min="3" max="3" width="192" style="165" bestFit="1" customWidth="1"/>
    <col min="4" max="4" width="44.77734375" style="165" bestFit="1" customWidth="1"/>
    <col min="5" max="5" width="11.33203125" style="165" customWidth="1"/>
    <col min="6" max="6" width="9.6640625" style="165" bestFit="1" customWidth="1"/>
    <col min="7" max="7" width="10.44140625" style="165" bestFit="1" customWidth="1"/>
    <col min="8" max="8" width="12.33203125" style="165" bestFit="1" customWidth="1"/>
    <col min="9" max="9" width="9.6640625" style="165" bestFit="1" customWidth="1"/>
    <col min="10" max="10" width="10" style="165" bestFit="1" customWidth="1"/>
    <col min="11" max="11" width="9.77734375" style="165" bestFit="1" customWidth="1"/>
    <col min="12" max="12" width="12" style="165" bestFit="1" customWidth="1"/>
    <col min="13" max="14" width="10.6640625" style="165" bestFit="1" customWidth="1"/>
    <col min="15" max="15" width="9.6640625" style="165" bestFit="1" customWidth="1"/>
    <col min="16" max="16" width="9.77734375" style="165" bestFit="1" customWidth="1"/>
    <col min="17" max="17" width="10.109375" style="165" bestFit="1" customWidth="1"/>
    <col min="18" max="18" width="9.6640625" style="165" bestFit="1" customWidth="1"/>
    <col min="19" max="19" width="10.44140625" style="165" bestFit="1" customWidth="1"/>
    <col min="20" max="20" width="10.6640625" style="165" bestFit="1" customWidth="1"/>
    <col min="21" max="21" width="9.6640625" style="165" bestFit="1" customWidth="1"/>
    <col min="22" max="22" width="10" style="165" bestFit="1" customWidth="1"/>
    <col min="23" max="23" width="9.77734375" style="165" bestFit="1" customWidth="1"/>
    <col min="24" max="26" width="10.6640625" style="165" bestFit="1" customWidth="1"/>
    <col min="27" max="27" width="9.6640625" style="165" bestFit="1" customWidth="1"/>
    <col min="28" max="28" width="9.77734375" style="165" bestFit="1" customWidth="1"/>
    <col min="29" max="29" width="10.109375" style="165" bestFit="1" customWidth="1"/>
    <col min="30" max="30" width="9.6640625" style="165" bestFit="1" customWidth="1"/>
    <col min="31" max="31" width="10.44140625" style="165" bestFit="1" customWidth="1"/>
    <col min="32" max="33" width="9.6640625" style="165" bestFit="1" customWidth="1"/>
    <col min="34" max="34" width="10" style="165" bestFit="1" customWidth="1"/>
    <col min="35" max="35" width="9.77734375" style="165" bestFit="1" customWidth="1"/>
    <col min="36" max="38" width="10.6640625" style="165" bestFit="1" customWidth="1"/>
    <col min="39" max="39" width="9.6640625" style="165" bestFit="1" customWidth="1"/>
    <col min="40" max="40" width="9.77734375" style="165" bestFit="1" customWidth="1"/>
    <col min="41" max="41" width="10.109375" style="165" bestFit="1" customWidth="1"/>
    <col min="42" max="42" width="9.6640625" style="165" bestFit="1" customWidth="1"/>
    <col min="43" max="43" width="10.44140625" style="165" bestFit="1" customWidth="1"/>
    <col min="44" max="45" width="9.6640625" style="165" bestFit="1" customWidth="1"/>
    <col min="46" max="46" width="10" style="165" bestFit="1" customWidth="1"/>
    <col min="47" max="47" width="9.77734375" style="165" bestFit="1" customWidth="1"/>
    <col min="48" max="50" width="10.6640625" style="165" bestFit="1" customWidth="1"/>
    <col min="51" max="51" width="9.6640625" style="165" bestFit="1" customWidth="1"/>
    <col min="52" max="52" width="9.77734375" style="165" bestFit="1" customWidth="1"/>
    <col min="53" max="53" width="10.109375" style="165" bestFit="1" customWidth="1"/>
    <col min="54" max="54" width="9.6640625" style="165" bestFit="1" customWidth="1"/>
    <col min="55" max="55" width="10.44140625" style="165" bestFit="1" customWidth="1"/>
    <col min="56" max="57" width="9.6640625" style="165" bestFit="1" customWidth="1"/>
    <col min="58" max="58" width="10" style="165" bestFit="1" customWidth="1"/>
    <col min="59" max="59" width="9.77734375" style="165" bestFit="1" customWidth="1"/>
    <col min="60" max="62" width="10.6640625" style="165" bestFit="1" customWidth="1"/>
    <col min="63" max="63" width="9.6640625" style="165" bestFit="1" customWidth="1"/>
    <col min="64" max="64" width="9.77734375" style="165" bestFit="1" customWidth="1"/>
    <col min="65" max="65" width="10.109375" style="165" bestFit="1" customWidth="1"/>
    <col min="66" max="66" width="9.6640625" style="165" bestFit="1" customWidth="1"/>
    <col min="67" max="67" width="10.44140625" style="165" bestFit="1" customWidth="1"/>
    <col min="68" max="69" width="9.6640625" style="165" bestFit="1" customWidth="1"/>
    <col min="70" max="71" width="9.44140625" style="165" bestFit="1" customWidth="1"/>
    <col min="72" max="72" width="10.6640625" style="165" bestFit="1" customWidth="1"/>
    <col min="73" max="73" width="12.6640625" style="165" customWidth="1"/>
    <col min="74" max="74" width="10.6640625" style="165" bestFit="1" customWidth="1"/>
    <col min="75" max="76" width="9.6640625" style="165" bestFit="1" customWidth="1"/>
    <col min="77" max="77" width="12.44140625" style="165" customWidth="1"/>
    <col min="78" max="78" width="13" style="165" customWidth="1"/>
    <col min="79" max="79" width="15.6640625" style="165" customWidth="1"/>
    <col min="80" max="80" width="14.44140625" style="165" customWidth="1"/>
    <col min="81" max="82" width="12.44140625" style="165" customWidth="1"/>
    <col min="83" max="84" width="14.33203125" style="165" customWidth="1"/>
    <col min="85" max="85" width="12.6640625" style="165" bestFit="1" customWidth="1"/>
    <col min="86" max="86" width="14.33203125" style="165" customWidth="1"/>
    <col min="87" max="87" width="13.77734375" style="165" customWidth="1"/>
    <col min="88" max="88" width="17.33203125" style="165" customWidth="1"/>
    <col min="89" max="89" width="15.44140625" style="165" customWidth="1"/>
    <col min="90" max="93" width="16.109375" style="165" customWidth="1"/>
    <col min="94" max="94" width="12.6640625" style="165" bestFit="1" customWidth="1"/>
    <col min="95" max="95" width="13.77734375" style="165" customWidth="1"/>
    <col min="96" max="96" width="15.6640625" style="165" customWidth="1"/>
    <col min="97" max="97" width="12.6640625" style="165" bestFit="1" customWidth="1"/>
    <col min="98" max="98" width="10.6640625" style="165" bestFit="1" customWidth="1"/>
    <col min="99" max="100" width="9.6640625" style="165" bestFit="1" customWidth="1"/>
    <col min="101" max="101" width="9.6640625" style="247" bestFit="1" customWidth="1"/>
    <col min="102" max="102" width="10.33203125" style="165" customWidth="1"/>
    <col min="103" max="104" width="9.6640625" style="165" bestFit="1" customWidth="1"/>
    <col min="105" max="105" width="9.6640625" style="247" bestFit="1" customWidth="1"/>
    <col min="106" max="106" width="9.6640625" style="165" bestFit="1" customWidth="1"/>
    <col min="107" max="16384" width="9.109375" style="165"/>
  </cols>
  <sheetData>
    <row r="1" spans="3:106" x14ac:dyDescent="0.3">
      <c r="CV1" s="247"/>
      <c r="CX1" s="247"/>
      <c r="DB1" s="247"/>
    </row>
    <row r="2" spans="3:106" x14ac:dyDescent="0.3">
      <c r="BM2" s="166">
        <v>75</v>
      </c>
      <c r="BN2" s="166">
        <v>76</v>
      </c>
      <c r="BO2" s="166">
        <v>77</v>
      </c>
      <c r="BP2" s="166">
        <f>1+BO2</f>
        <v>78</v>
      </c>
      <c r="BQ2" s="166">
        <f t="shared" ref="BQ2:DB2" si="0">1+BP2</f>
        <v>79</v>
      </c>
      <c r="BR2" s="166">
        <f t="shared" si="0"/>
        <v>80</v>
      </c>
      <c r="BS2" s="166">
        <f t="shared" si="0"/>
        <v>81</v>
      </c>
      <c r="BT2" s="166">
        <f t="shared" si="0"/>
        <v>82</v>
      </c>
      <c r="BU2" s="166">
        <f t="shared" si="0"/>
        <v>83</v>
      </c>
      <c r="BV2" s="166">
        <f t="shared" si="0"/>
        <v>84</v>
      </c>
      <c r="BW2" s="166">
        <f t="shared" si="0"/>
        <v>85</v>
      </c>
      <c r="BX2" s="166">
        <f t="shared" si="0"/>
        <v>86</v>
      </c>
      <c r="BY2" s="166">
        <f t="shared" si="0"/>
        <v>87</v>
      </c>
      <c r="BZ2" s="166">
        <f t="shared" si="0"/>
        <v>88</v>
      </c>
      <c r="CA2" s="166">
        <f t="shared" si="0"/>
        <v>89</v>
      </c>
      <c r="CB2" s="166">
        <f t="shared" si="0"/>
        <v>90</v>
      </c>
      <c r="CC2" s="166">
        <f t="shared" si="0"/>
        <v>91</v>
      </c>
      <c r="CD2" s="166">
        <f t="shared" si="0"/>
        <v>92</v>
      </c>
      <c r="CE2" s="166">
        <f t="shared" si="0"/>
        <v>93</v>
      </c>
      <c r="CF2" s="166">
        <f t="shared" si="0"/>
        <v>94</v>
      </c>
      <c r="CG2" s="166">
        <f t="shared" si="0"/>
        <v>95</v>
      </c>
      <c r="CH2" s="166">
        <f t="shared" si="0"/>
        <v>96</v>
      </c>
      <c r="CI2" s="166">
        <f t="shared" si="0"/>
        <v>97</v>
      </c>
      <c r="CJ2" s="166">
        <f t="shared" si="0"/>
        <v>98</v>
      </c>
      <c r="CK2" s="166">
        <f t="shared" si="0"/>
        <v>99</v>
      </c>
      <c r="CL2" s="166">
        <f t="shared" si="0"/>
        <v>100</v>
      </c>
      <c r="CM2" s="166">
        <f t="shared" si="0"/>
        <v>101</v>
      </c>
      <c r="CN2" s="166">
        <f t="shared" si="0"/>
        <v>102</v>
      </c>
      <c r="CO2" s="166">
        <f t="shared" si="0"/>
        <v>103</v>
      </c>
      <c r="CP2" s="166">
        <f t="shared" si="0"/>
        <v>104</v>
      </c>
      <c r="CQ2" s="166">
        <f t="shared" si="0"/>
        <v>105</v>
      </c>
      <c r="CR2" s="166">
        <f t="shared" si="0"/>
        <v>106</v>
      </c>
      <c r="CS2" s="166">
        <f t="shared" si="0"/>
        <v>107</v>
      </c>
      <c r="CT2" s="166">
        <f t="shared" si="0"/>
        <v>108</v>
      </c>
      <c r="CU2" s="166">
        <f t="shared" si="0"/>
        <v>109</v>
      </c>
      <c r="CV2" s="166">
        <f t="shared" si="0"/>
        <v>110</v>
      </c>
      <c r="CW2" s="166">
        <f t="shared" si="0"/>
        <v>111</v>
      </c>
      <c r="CX2" s="166">
        <f t="shared" si="0"/>
        <v>112</v>
      </c>
      <c r="CY2" s="166">
        <f t="shared" si="0"/>
        <v>113</v>
      </c>
      <c r="CZ2" s="166">
        <f t="shared" si="0"/>
        <v>114</v>
      </c>
      <c r="DA2" s="166">
        <f t="shared" si="0"/>
        <v>115</v>
      </c>
      <c r="DB2" s="166">
        <f t="shared" si="0"/>
        <v>116</v>
      </c>
    </row>
    <row r="3" spans="3:106" x14ac:dyDescent="0.3">
      <c r="C3" s="171" t="s">
        <v>1178</v>
      </c>
      <c r="D3" s="171" t="s">
        <v>1179</v>
      </c>
      <c r="E3" s="139">
        <v>42093</v>
      </c>
      <c r="F3" s="139">
        <v>39201</v>
      </c>
      <c r="G3" s="139">
        <v>39232</v>
      </c>
      <c r="H3" s="157">
        <v>39262</v>
      </c>
      <c r="I3" s="157">
        <v>39293</v>
      </c>
      <c r="J3" s="157">
        <v>39324</v>
      </c>
      <c r="K3" s="157">
        <v>39354</v>
      </c>
      <c r="L3" s="157">
        <v>39385</v>
      </c>
      <c r="M3" s="157">
        <v>39415</v>
      </c>
      <c r="N3" s="157">
        <v>39446</v>
      </c>
      <c r="O3" s="139">
        <v>39477</v>
      </c>
      <c r="P3" s="157">
        <v>39506</v>
      </c>
      <c r="Q3" s="157">
        <v>39537</v>
      </c>
      <c r="R3" s="157">
        <v>39567</v>
      </c>
      <c r="S3" s="157">
        <v>39598</v>
      </c>
      <c r="T3" s="157">
        <v>39628</v>
      </c>
      <c r="U3" s="157">
        <v>39659</v>
      </c>
      <c r="V3" s="157">
        <v>39690</v>
      </c>
      <c r="W3" s="157">
        <v>39720</v>
      </c>
      <c r="X3" s="157">
        <v>39751</v>
      </c>
      <c r="Y3" s="157">
        <v>39781</v>
      </c>
      <c r="Z3" s="157">
        <v>39812</v>
      </c>
      <c r="AA3" s="157">
        <v>39843</v>
      </c>
      <c r="AB3" s="157">
        <v>39871</v>
      </c>
      <c r="AC3" s="157">
        <v>39902</v>
      </c>
      <c r="AD3" s="157">
        <v>39932</v>
      </c>
      <c r="AE3" s="157">
        <v>39963</v>
      </c>
      <c r="AF3" s="157">
        <v>39993</v>
      </c>
      <c r="AG3" s="157">
        <v>40024</v>
      </c>
      <c r="AH3" s="157">
        <v>40055</v>
      </c>
      <c r="AI3" s="157">
        <v>40085</v>
      </c>
      <c r="AJ3" s="157">
        <v>40116</v>
      </c>
      <c r="AK3" s="157">
        <v>40146</v>
      </c>
      <c r="AL3" s="157">
        <v>40177</v>
      </c>
      <c r="AM3" s="157">
        <v>40208</v>
      </c>
      <c r="AN3" s="157">
        <v>40236</v>
      </c>
      <c r="AO3" s="157">
        <v>40267</v>
      </c>
      <c r="AP3" s="157">
        <v>40297</v>
      </c>
      <c r="AQ3" s="157">
        <v>40328</v>
      </c>
      <c r="AR3" s="157">
        <v>40358</v>
      </c>
      <c r="AS3" s="157">
        <v>40389</v>
      </c>
      <c r="AT3" s="157">
        <v>40420</v>
      </c>
      <c r="AU3" s="157">
        <v>40450</v>
      </c>
      <c r="AV3" s="139">
        <v>40481</v>
      </c>
      <c r="AW3" s="139">
        <v>40511</v>
      </c>
      <c r="AX3" s="139">
        <v>40542</v>
      </c>
      <c r="AY3" s="139">
        <v>40573</v>
      </c>
      <c r="AZ3" s="139">
        <v>40601</v>
      </c>
      <c r="BA3" s="139">
        <v>40632</v>
      </c>
      <c r="BB3" s="139">
        <v>40662</v>
      </c>
      <c r="BC3" s="139">
        <v>40693</v>
      </c>
      <c r="BD3" s="139">
        <v>40723</v>
      </c>
      <c r="BE3" s="139">
        <v>40754</v>
      </c>
      <c r="BF3" s="139">
        <v>40785</v>
      </c>
      <c r="BG3" s="139">
        <v>40815</v>
      </c>
      <c r="BH3" s="139">
        <v>40846</v>
      </c>
      <c r="BI3" s="139">
        <v>40876</v>
      </c>
      <c r="BJ3" s="139">
        <v>40907</v>
      </c>
      <c r="BK3" s="139">
        <v>40938</v>
      </c>
      <c r="BL3" s="139">
        <v>40967</v>
      </c>
      <c r="BM3" s="139">
        <v>40998</v>
      </c>
      <c r="BN3" s="139">
        <v>41028</v>
      </c>
      <c r="BO3" s="139">
        <v>41059</v>
      </c>
      <c r="BP3" s="139">
        <v>41089</v>
      </c>
      <c r="BQ3" s="139">
        <v>41120</v>
      </c>
      <c r="BR3" s="213">
        <v>41151</v>
      </c>
      <c r="BS3" s="213">
        <v>41181</v>
      </c>
      <c r="BT3" s="213">
        <v>41212</v>
      </c>
      <c r="BU3" s="213">
        <v>41242</v>
      </c>
      <c r="BV3" s="213">
        <v>41273</v>
      </c>
      <c r="BW3" s="213">
        <v>41304</v>
      </c>
      <c r="BX3" s="213">
        <v>41332</v>
      </c>
      <c r="BY3" s="213">
        <v>41363</v>
      </c>
      <c r="BZ3" s="213">
        <v>41393</v>
      </c>
      <c r="CA3" s="213">
        <v>41424</v>
      </c>
      <c r="CB3" s="213">
        <v>41454</v>
      </c>
      <c r="CC3" s="213">
        <v>41485</v>
      </c>
      <c r="CD3" s="213">
        <v>41516</v>
      </c>
      <c r="CE3" s="213">
        <v>41546</v>
      </c>
      <c r="CF3" s="213">
        <v>41577</v>
      </c>
      <c r="CG3" s="213">
        <v>41607</v>
      </c>
      <c r="CH3" s="213">
        <v>41638</v>
      </c>
      <c r="CI3" s="213">
        <v>41669</v>
      </c>
      <c r="CJ3" s="213">
        <v>41697</v>
      </c>
      <c r="CK3" s="213">
        <v>41728</v>
      </c>
      <c r="CL3" s="213">
        <v>41758</v>
      </c>
      <c r="CM3" s="213">
        <v>41789</v>
      </c>
      <c r="CN3" s="213">
        <v>41819</v>
      </c>
      <c r="CO3" s="213">
        <v>41850</v>
      </c>
      <c r="CP3" s="213">
        <v>41881</v>
      </c>
      <c r="CQ3" s="213">
        <v>41911</v>
      </c>
      <c r="CR3" s="213">
        <v>41942</v>
      </c>
      <c r="CS3" s="213">
        <v>41972</v>
      </c>
      <c r="CT3" s="213">
        <v>42003</v>
      </c>
      <c r="CU3" s="213">
        <v>42034</v>
      </c>
      <c r="CV3" s="213">
        <v>42062</v>
      </c>
      <c r="CW3" s="213">
        <v>42093</v>
      </c>
      <c r="CX3" s="213">
        <v>42123</v>
      </c>
      <c r="CY3" s="213">
        <v>42154</v>
      </c>
      <c r="CZ3" s="213">
        <v>42184</v>
      </c>
      <c r="DA3" s="213">
        <v>42215</v>
      </c>
      <c r="DB3" s="213">
        <v>42246</v>
      </c>
    </row>
    <row r="4" spans="3:106" x14ac:dyDescent="0.3">
      <c r="C4" s="165" t="s">
        <v>124</v>
      </c>
      <c r="D4" s="165" t="s">
        <v>152</v>
      </c>
      <c r="E4" s="165">
        <v>1000</v>
      </c>
      <c r="F4" s="165">
        <v>1012.4001963784259</v>
      </c>
      <c r="G4" s="165">
        <v>1038.7709436846849</v>
      </c>
      <c r="H4" s="165">
        <v>1052.6342218415105</v>
      </c>
      <c r="I4" s="165">
        <v>1085.243384892394</v>
      </c>
      <c r="J4" s="165">
        <v>1114.0853873638068</v>
      </c>
      <c r="K4" s="165">
        <v>1136.5914050927829</v>
      </c>
      <c r="L4" s="165">
        <v>1153.2522871934073</v>
      </c>
      <c r="M4" s="165">
        <v>1171.4133681390579</v>
      </c>
      <c r="N4" s="165">
        <v>1191.2914250136018</v>
      </c>
      <c r="O4" s="165">
        <v>1224.4563703399263</v>
      </c>
      <c r="P4" s="165">
        <v>1246.8251177222246</v>
      </c>
      <c r="Q4" s="165">
        <v>1267.3955551287481</v>
      </c>
      <c r="R4" s="165">
        <v>1294.0765916386404</v>
      </c>
      <c r="S4" s="165">
        <v>1297.4276728715008</v>
      </c>
      <c r="T4" s="165">
        <v>1320.6519636716441</v>
      </c>
      <c r="U4" s="165">
        <v>1344.5374557526609</v>
      </c>
      <c r="V4" s="165">
        <v>1363.4147010543693</v>
      </c>
      <c r="W4" s="165">
        <v>1394.1361431374614</v>
      </c>
      <c r="X4" s="165">
        <v>1436.8932312205573</v>
      </c>
      <c r="Y4" s="165">
        <v>1473.2683565496418</v>
      </c>
      <c r="Z4" s="165">
        <v>1500.9937253901428</v>
      </c>
      <c r="AA4" s="165">
        <v>1533.8010393480292</v>
      </c>
      <c r="AB4" s="165">
        <v>1567.8915462419136</v>
      </c>
      <c r="AC4" s="165">
        <v>1573.2457523608466</v>
      </c>
      <c r="AD4" s="165">
        <v>1587.1068591448627</v>
      </c>
      <c r="AE4" s="165">
        <v>1605.8407756998938</v>
      </c>
      <c r="AF4" s="165">
        <v>1624.7958239496616</v>
      </c>
      <c r="AG4" s="165">
        <v>1645.8209277225351</v>
      </c>
      <c r="AH4" s="165">
        <v>1666.129805021068</v>
      </c>
      <c r="AI4" s="165">
        <v>1687.6279577561918</v>
      </c>
      <c r="AJ4" s="165">
        <v>1721.5446271874346</v>
      </c>
      <c r="AK4" s="165">
        <v>1754.3717502809986</v>
      </c>
      <c r="AL4" s="165">
        <v>1780.4291050863878</v>
      </c>
      <c r="AM4" s="165">
        <v>1824.5503483136558</v>
      </c>
      <c r="AN4" s="165">
        <v>1852.3402715039199</v>
      </c>
      <c r="AO4" s="165">
        <v>1865.9436887137954</v>
      </c>
      <c r="AP4" s="165">
        <v>1885.5735415801728</v>
      </c>
      <c r="AQ4" s="165">
        <v>1895.2403742772603</v>
      </c>
      <c r="AR4" s="165">
        <v>1922.0072205257909</v>
      </c>
      <c r="AS4" s="165">
        <v>1926.1302233522663</v>
      </c>
      <c r="AT4" s="165">
        <v>1934.1725090762443</v>
      </c>
      <c r="AU4" s="165">
        <v>1963.1700585507006</v>
      </c>
      <c r="AV4" s="165">
        <v>2001.0623020367548</v>
      </c>
      <c r="AW4" s="165">
        <v>2020.9073861566831</v>
      </c>
      <c r="AX4" s="165">
        <v>2051.7194353897062</v>
      </c>
      <c r="AY4" s="165">
        <v>2038.9361782093472</v>
      </c>
      <c r="AZ4" s="165">
        <v>2063.2250066424922</v>
      </c>
      <c r="BA4" s="165">
        <v>2067.0971825604433</v>
      </c>
      <c r="BB4" s="165">
        <v>2083.4809585480657</v>
      </c>
      <c r="BC4" s="165">
        <v>2106.4743850988384</v>
      </c>
      <c r="BD4" s="165">
        <v>2098.7818517824116</v>
      </c>
      <c r="BE4" s="165">
        <v>2128.7741445002598</v>
      </c>
      <c r="BF4" s="165">
        <v>2155.5508269178117</v>
      </c>
      <c r="BG4" s="165">
        <v>2173.588804328348</v>
      </c>
      <c r="BH4" s="165">
        <v>2208.181005205754</v>
      </c>
      <c r="BI4" s="165">
        <v>2243.2144124557472</v>
      </c>
      <c r="BJ4" s="165">
        <v>2292.3477470848948</v>
      </c>
      <c r="BK4" s="165">
        <v>2326.3078378919549</v>
      </c>
      <c r="BL4" s="165">
        <v>2331.0281091950642</v>
      </c>
      <c r="BM4" s="165">
        <f ca="1">VLOOKUP($D4,Index_CALCULATION!$B$14:$DD$41,BM$2,0)</f>
        <v>2087.9102825847767</v>
      </c>
      <c r="BN4" s="165">
        <f ca="1">VLOOKUP($D4,Index_CALCULATION!$B$14:$DD$41,BN$2,0)</f>
        <v>2087.9102825847767</v>
      </c>
      <c r="BO4" s="165">
        <f ca="1">VLOOKUP($D4,Index_CALCULATION!$B$14:$DD$41,BO$2,0)</f>
        <v>2101.4242179701046</v>
      </c>
      <c r="BP4" s="165">
        <f ca="1">VLOOKUP($D4,Index_CALCULATION!$B$14:$DD$41,BP$2,0)</f>
        <v>2086.9814968872024</v>
      </c>
      <c r="BQ4" s="165">
        <f ca="1">VLOOKUP($D4,Index_CALCULATION!$B$14:$DD$41,BQ$2,0)</f>
        <v>2086.9814968872024</v>
      </c>
      <c r="BR4" s="165">
        <f ca="1">VLOOKUP($D4,Index_CALCULATION!$B$14:$DD$41,BR$2,0)</f>
        <v>2099.6682755463339</v>
      </c>
      <c r="BS4" s="165">
        <f ca="1">VLOOKUP($D4,Index_CALCULATION!$B$14:$DD$41,BS$2,0)</f>
        <v>2099.6682755463339</v>
      </c>
      <c r="BT4" s="165">
        <f ca="1">VLOOKUP($D4,Index_CALCULATION!$B$14:$DD$41,BT$2,0)</f>
        <v>2139.4084556449857</v>
      </c>
      <c r="BU4" s="165">
        <f ca="1">VLOOKUP($D4,Index_CALCULATION!$B$14:$DD$41,BU$2,0)</f>
        <v>2177.4978166331675</v>
      </c>
      <c r="BV4" s="165">
        <f ca="1">VLOOKUP($D4,Index_CALCULATION!$B$14:$DD$41,BV$2,0)</f>
        <v>2163.0294460108721</v>
      </c>
      <c r="BW4" s="165">
        <f ca="1">VLOOKUP($D4,Index_CALCULATION!$B$14:$DD$41,BW$2,0)</f>
        <v>2163.0294460108721</v>
      </c>
      <c r="BX4" s="165">
        <f ca="1">VLOOKUP($D4,Index_CALCULATION!$B$14:$DD$41,BX$2,0)</f>
        <v>2149.1193368953559</v>
      </c>
      <c r="BY4" s="165">
        <f ca="1">VLOOKUP($D4,Index_CALCULATION!$B$14:$DD$41,BY$2,0)</f>
        <v>2149.1193368953559</v>
      </c>
      <c r="BZ4" s="165">
        <f ca="1">VLOOKUP($D4,Index_CALCULATION!$B$14:$DD$41,BZ$2,0)</f>
        <v>2135.2986815484705</v>
      </c>
      <c r="CA4" s="165">
        <f ca="1">VLOOKUP($D4,Index_CALCULATION!$B$14:$DD$41,CA$2,0)</f>
        <v>2121.5669047068122</v>
      </c>
      <c r="CB4" s="165">
        <f ca="1">VLOOKUP($D4,Index_CALCULATION!$B$14:$DD$41,CB$2,0)</f>
        <v>2107.470166678962</v>
      </c>
      <c r="CC4" s="165">
        <f ca="1">VLOOKUP($D4,Index_CALCULATION!$B$14:$DD$41,CC$2,0)</f>
        <v>2091.321049325009</v>
      </c>
      <c r="CD4" s="165">
        <f ca="1">VLOOKUP($D4,Index_CALCULATION!$B$14:$DD$41,CD$2,0)</f>
        <v>2091.321049325009</v>
      </c>
      <c r="CE4" s="165">
        <f ca="1">VLOOKUP($D4,Index_CALCULATION!$B$14:$DD$41,CE$2,0)</f>
        <v>2068.2127658685417</v>
      </c>
      <c r="CF4" s="165">
        <f ca="1">VLOOKUP($D4,Index_CALCULATION!$B$14:$DD$41,CF$2,0)</f>
        <v>2068.2127658685417</v>
      </c>
      <c r="CG4" s="165">
        <f ca="1">VLOOKUP($D4,Index_CALCULATION!$B$14:$DD$41,CG$2,0)</f>
        <v>2082.5256000561421</v>
      </c>
      <c r="CH4" s="165">
        <f ca="1">VLOOKUP($D4,Index_CALCULATION!$B$14:$DD$41,CH$2,0)</f>
        <v>2066.5676278676601</v>
      </c>
      <c r="CI4" s="165">
        <f ca="1">VLOOKUP($D4,Index_CALCULATION!$B$14:$DD$41,CI$2,0)</f>
        <v>2051.8590237911217</v>
      </c>
      <c r="CJ4" s="165">
        <f ca="1">VLOOKUP($D4,Index_CALCULATION!$B$14:$DD$41,CJ$2,0)</f>
        <v>2051.8590237911217</v>
      </c>
      <c r="CK4" s="165">
        <f ca="1">VLOOKUP($D4,Index_CALCULATION!$B$14:$DD$41,CK$2,0)</f>
        <v>2051.8590237911217</v>
      </c>
      <c r="CL4" s="165">
        <f ca="1">VLOOKUP($D4,Index_CALCULATION!$B$14:$DD$41,CL$2,0)</f>
        <v>2051.8590237911217</v>
      </c>
      <c r="CM4" s="165">
        <f ca="1">VLOOKUP($D4,Index_CALCULATION!$B$14:$DD$41,CM$2,0)</f>
        <v>2066.058683743187</v>
      </c>
      <c r="CN4" s="165">
        <f ca="1">VLOOKUP($D4,Index_CALCULATION!$B$14:$DD$41,CN$2,0)</f>
        <v>2066.058683743187</v>
      </c>
      <c r="CO4" s="165">
        <f ca="1">VLOOKUP($D4,Index_CALCULATION!$B$14:$DD$41,CO$2,0)</f>
        <v>2082.653443747859</v>
      </c>
      <c r="CP4" s="165">
        <f ca="1">VLOOKUP($D4,Index_CALCULATION!$B$14:$DD$41,CP$2,0)</f>
        <v>2114.9420026365851</v>
      </c>
      <c r="CQ4" s="165">
        <f ca="1">VLOOKUP($D4,Index_CALCULATION!$B$14:$DD$41,CQ$2,0)</f>
        <v>2133.4129949324492</v>
      </c>
      <c r="CR4" s="247">
        <f ca="1">VLOOKUP($D4,Index_CALCULATION!$B$14:$DD$41,CR$2,0)</f>
        <v>2181.3528650026956</v>
      </c>
      <c r="CS4" s="247">
        <f ca="1">VLOOKUP($D4,Index_CALCULATION!$B$14:$DD$41,CS$2,0)</f>
        <v>2218.0134019409475</v>
      </c>
      <c r="CT4" s="247">
        <f ca="1">VLOOKUP($D4,Index_CALCULATION!$B$14:$FP$41,CT$2,0)</f>
        <v>2218.0134019409475</v>
      </c>
      <c r="CU4" s="247">
        <f ca="1">VLOOKUP($D4,Index_CALCULATION!$B$14:$FP$41,CU$2,0)</f>
        <v>2235.8286752349618</v>
      </c>
      <c r="CV4" s="247">
        <f ca="1">VLOOKUP($D4,Index_CALCULATION!$B$14:$FP$41,CV$2,0)</f>
        <v>2235.8286752349618</v>
      </c>
      <c r="CW4" s="247">
        <f ca="1">VLOOKUP($D4,Index_CALCULATION!$B$14:$FP$41,CW$2,0)</f>
        <v>2219.9153712987463</v>
      </c>
      <c r="CX4" s="247">
        <f ca="1">VLOOKUP($D4,Index_CALCULATION!$B$14:$FP$41,CX$2,0)</f>
        <v>2232.2825559547532</v>
      </c>
      <c r="CY4" s="247">
        <f ca="1">VLOOKUP($D4,Index_CALCULATION!$B$14:$FP$41,CY$2,0)</f>
        <v>2249.5201737633297</v>
      </c>
      <c r="CZ4" s="247">
        <f ca="1">VLOOKUP($D4,Index_CALCULATION!$B$14:$FP$41,CZ$2,0)</f>
        <v>2263.1950264519392</v>
      </c>
      <c r="DA4" s="247">
        <f ca="1">VLOOKUP($D4,Index_CALCULATION!$B$14:$FP$41,DA$2,0)</f>
        <v>2279.4185774883877</v>
      </c>
      <c r="DB4" s="247">
        <f ca="1">VLOOKUP($D4,Index_CALCULATION!$B$14:$FP$41,DB$2,0)</f>
        <v>2310.0143436936673</v>
      </c>
    </row>
    <row r="5" spans="3:106" x14ac:dyDescent="0.3">
      <c r="C5" s="165" t="s">
        <v>125</v>
      </c>
      <c r="D5" s="165" t="s">
        <v>153</v>
      </c>
      <c r="E5" s="165">
        <v>1000</v>
      </c>
      <c r="F5" s="165">
        <v>1037.2984802053893</v>
      </c>
      <c r="G5" s="165">
        <v>1067.3630280002481</v>
      </c>
      <c r="H5" s="165">
        <v>1103.1234900394613</v>
      </c>
      <c r="I5" s="165">
        <v>1121.9798465675817</v>
      </c>
      <c r="J5" s="165">
        <v>1137.7234261032913</v>
      </c>
      <c r="K5" s="165">
        <v>1167.0553909364069</v>
      </c>
      <c r="L5" s="165">
        <v>1198.8340844588611</v>
      </c>
      <c r="M5" s="165">
        <v>1203.6605180156464</v>
      </c>
      <c r="N5" s="165">
        <v>1237.6964628659964</v>
      </c>
      <c r="O5" s="165">
        <v>1272.1533007644705</v>
      </c>
      <c r="P5" s="165">
        <v>1298.7478815665488</v>
      </c>
      <c r="Q5" s="165">
        <v>1321.9764204830865</v>
      </c>
      <c r="R5" s="165">
        <v>1358.0119712058395</v>
      </c>
      <c r="S5" s="165">
        <v>1379.2489140169057</v>
      </c>
      <c r="T5" s="165">
        <v>1405.6371656944104</v>
      </c>
      <c r="U5" s="165">
        <v>1431.0597117652421</v>
      </c>
      <c r="V5" s="165">
        <v>1463.7642641952425</v>
      </c>
      <c r="W5" s="165">
        <v>1491.8741076630536</v>
      </c>
      <c r="X5" s="165">
        <v>1529.6410805058185</v>
      </c>
      <c r="Y5" s="165">
        <v>1546.4633589569003</v>
      </c>
      <c r="Z5" s="165">
        <v>1592.3452159668955</v>
      </c>
      <c r="AA5" s="165">
        <v>1617.8308758326816</v>
      </c>
      <c r="AB5" s="165">
        <v>1654.5020370505977</v>
      </c>
      <c r="AC5" s="165">
        <v>1685.4973537091828</v>
      </c>
      <c r="AD5" s="165">
        <v>1707.8214977562252</v>
      </c>
      <c r="AE5" s="165">
        <v>1728.8621551823189</v>
      </c>
      <c r="AF5" s="165">
        <v>1743.0330774373178</v>
      </c>
      <c r="AG5" s="165">
        <v>1764.3275050352186</v>
      </c>
      <c r="AH5" s="165">
        <v>1801.3282650259996</v>
      </c>
      <c r="AI5" s="165">
        <v>1836.3044245179185</v>
      </c>
      <c r="AJ5" s="165">
        <v>1881.8303298592998</v>
      </c>
      <c r="AK5" s="165">
        <v>1897.5777724881527</v>
      </c>
      <c r="AL5" s="165">
        <v>1928.2326486431334</v>
      </c>
      <c r="AM5" s="165">
        <v>1946.3948319347335</v>
      </c>
      <c r="AN5" s="165">
        <v>1962.3022321615913</v>
      </c>
      <c r="AO5" s="165">
        <v>1970.6958128071681</v>
      </c>
      <c r="AP5" s="165">
        <v>1997.225121413855</v>
      </c>
      <c r="AQ5" s="165">
        <v>2007.4643619851608</v>
      </c>
      <c r="AR5" s="165">
        <v>2011.1399136513576</v>
      </c>
      <c r="AS5" s="165">
        <v>2024.1103161501296</v>
      </c>
      <c r="AT5" s="165">
        <v>2034.9828611582102</v>
      </c>
      <c r="AU5" s="165">
        <v>2052.0119074799281</v>
      </c>
      <c r="AV5" s="165">
        <v>2070.1980097135761</v>
      </c>
      <c r="AW5" s="165">
        <v>2089.3537045559938</v>
      </c>
      <c r="AX5" s="165">
        <v>2131.0005857554788</v>
      </c>
      <c r="AY5" s="165">
        <v>2149.2401375233312</v>
      </c>
      <c r="AZ5" s="165">
        <v>2170.5547419110426</v>
      </c>
      <c r="BA5" s="165">
        <v>2178.7096030012776</v>
      </c>
      <c r="BB5" s="165">
        <v>2194.53376982808</v>
      </c>
      <c r="BC5" s="165">
        <v>2201.2346311025035</v>
      </c>
      <c r="BD5" s="165">
        <v>2225.5275945700191</v>
      </c>
      <c r="BE5" s="165">
        <v>2246.6797689679615</v>
      </c>
      <c r="BF5" s="165">
        <v>2259.9344785347171</v>
      </c>
      <c r="BG5" s="165">
        <v>2269.3705169569857</v>
      </c>
      <c r="BH5" s="165">
        <v>2294.8940990845836</v>
      </c>
      <c r="BI5" s="165">
        <v>2331.3032337430645</v>
      </c>
      <c r="BJ5" s="165">
        <v>2358.6610484144749</v>
      </c>
      <c r="BK5" s="165">
        <v>2372.5764125865189</v>
      </c>
      <c r="BL5" s="165">
        <v>2362.9773303087541</v>
      </c>
      <c r="BM5" s="165">
        <f ca="1">VLOOKUP($D5,Index_CALCULATION!$B$14:$DD$41,BM$2,0)</f>
        <v>2223.9676034778731</v>
      </c>
      <c r="BN5" s="165">
        <f ca="1">VLOOKUP($D5,Index_CALCULATION!$B$14:$DD$41,BN$2,0)</f>
        <v>2236.7123687188205</v>
      </c>
      <c r="BO5" s="165">
        <f ca="1">VLOOKUP($D5,Index_CALCULATION!$B$14:$DD$41,BO$2,0)</f>
        <v>2236.7123687188205</v>
      </c>
      <c r="BP5" s="165">
        <f ca="1">VLOOKUP($D5,Index_CALCULATION!$B$14:$DD$41,BP$2,0)</f>
        <v>2221.3398358395298</v>
      </c>
      <c r="BQ5" s="165">
        <f ca="1">VLOOKUP($D5,Index_CALCULATION!$B$14:$DD$41,BQ$2,0)</f>
        <v>2206.0729556898568</v>
      </c>
      <c r="BR5" s="165">
        <f ca="1">VLOOKUP($D5,Index_CALCULATION!$B$14:$DD$41,BR$2,0)</f>
        <v>2192.7432504117928</v>
      </c>
      <c r="BS5" s="165">
        <f ca="1">VLOOKUP($D5,Index_CALCULATION!$B$14:$DD$41,BS$2,0)</f>
        <v>2179.4940869137918</v>
      </c>
      <c r="BT5" s="165">
        <f ca="1">VLOOKUP($D5,Index_CALCULATION!$B$14:$DD$41,BT$2,0)</f>
        <v>2179.4940869137918</v>
      </c>
      <c r="BU5" s="165">
        <f ca="1">VLOOKUP($D5,Index_CALCULATION!$B$14:$DD$41,BU$2,0)</f>
        <v>2179.4940869137918</v>
      </c>
      <c r="BV5" s="165">
        <f ca="1">VLOOKUP($D5,Index_CALCULATION!$B$14:$DD$41,BV$2,0)</f>
        <v>2179.4940869137918</v>
      </c>
      <c r="BW5" s="165">
        <f ca="1">VLOOKUP($D5,Index_CALCULATION!$B$14:$DD$41,BW$2,0)</f>
        <v>2193.6007956689182</v>
      </c>
      <c r="BX5" s="165">
        <f ca="1">VLOOKUP($D5,Index_CALCULATION!$B$14:$DD$41,BX$2,0)</f>
        <v>2179.4940869137918</v>
      </c>
      <c r="BY5" s="165">
        <f ca="1">VLOOKUP($D5,Index_CALCULATION!$B$14:$DD$41,BY$2,0)</f>
        <v>2165.0124520861036</v>
      </c>
      <c r="BZ5" s="165">
        <f ca="1">VLOOKUP($D5,Index_CALCULATION!$B$14:$DD$41,BZ$2,0)</f>
        <v>2151.0895905640336</v>
      </c>
      <c r="CA5" s="165">
        <f ca="1">VLOOKUP($D5,Index_CALCULATION!$B$14:$DD$41,CA$2,0)</f>
        <v>2151.0895905640336</v>
      </c>
      <c r="CB5" s="165">
        <f ca="1">VLOOKUP($D5,Index_CALCULATION!$B$14:$DD$41,CB$2,0)</f>
        <v>2136.7966892346703</v>
      </c>
      <c r="CC5" s="165">
        <f ca="1">VLOOKUP($D5,Index_CALCULATION!$B$14:$DD$41,CC$2,0)</f>
        <v>2136.7966892346703</v>
      </c>
      <c r="CD5" s="165">
        <f ca="1">VLOOKUP($D5,Index_CALCULATION!$B$14:$DD$41,CD$2,0)</f>
        <v>2136.7966892346703</v>
      </c>
      <c r="CE5" s="165">
        <f ca="1">VLOOKUP($D5,Index_CALCULATION!$B$14:$DD$41,CE$2,0)</f>
        <v>2113.1859176605917</v>
      </c>
      <c r="CF5" s="165">
        <f ca="1">VLOOKUP($D5,Index_CALCULATION!$B$14:$DD$41,CF$2,0)</f>
        <v>2098.1455122154252</v>
      </c>
      <c r="CG5" s="165">
        <f ca="1">VLOOKUP($D5,Index_CALCULATION!$B$14:$DD$41,CG$2,0)</f>
        <v>2083.7253251036855</v>
      </c>
      <c r="CH5" s="165">
        <f ca="1">VLOOKUP($D5,Index_CALCULATION!$B$14:$DD$41,CH$2,0)</f>
        <v>2067.7581596649779</v>
      </c>
      <c r="CI5" s="165">
        <f ca="1">VLOOKUP($D5,Index_CALCULATION!$B$14:$DD$41,CI$2,0)</f>
        <v>2053.0410820884144</v>
      </c>
      <c r="CJ5" s="165">
        <f ca="1">VLOOKUP($D5,Index_CALCULATION!$B$14:$DD$41,CJ$2,0)</f>
        <v>2069.5312836035346</v>
      </c>
      <c r="CK5" s="165">
        <f ca="1">VLOOKUP($D5,Index_CALCULATION!$B$14:$DD$41,CK$2,0)</f>
        <v>2054.258059576257</v>
      </c>
      <c r="CL5" s="165">
        <f ca="1">VLOOKUP($D5,Index_CALCULATION!$B$14:$DD$41,CL$2,0)</f>
        <v>2073.0182773599063</v>
      </c>
      <c r="CM5" s="165">
        <f ca="1">VLOOKUP($D5,Index_CALCULATION!$B$14:$DD$41,CM$2,0)</f>
        <v>2087.3643675501276</v>
      </c>
      <c r="CN5" s="165">
        <f ca="1">VLOOKUP($D5,Index_CALCULATION!$B$14:$DD$41,CN$2,0)</f>
        <v>2087.3643675501276</v>
      </c>
      <c r="CO5" s="165">
        <f ca="1">VLOOKUP($D5,Index_CALCULATION!$B$14:$DD$41,CO$2,0)</f>
        <v>2121.0308107622359</v>
      </c>
      <c r="CP5" s="165">
        <f ca="1">VLOOKUP($D5,Index_CALCULATION!$B$14:$DD$41,CP$2,0)</f>
        <v>2121.0308107622359</v>
      </c>
      <c r="CQ5" s="165">
        <f ca="1">VLOOKUP($D5,Index_CALCULATION!$B$14:$DD$41,CQ$2,0)</f>
        <v>2102.6670228515318</v>
      </c>
      <c r="CR5" s="247">
        <f ca="1">VLOOKUP($D5,Index_CALCULATION!$B$14:$DD$41,CR$2,0)</f>
        <v>2102.6670228515318</v>
      </c>
      <c r="CS5" s="247">
        <f ca="1">VLOOKUP($D5,Index_CALCULATION!$B$14:$DD$41,CS$2,0)</f>
        <v>2085.2176045510009</v>
      </c>
      <c r="CT5" s="247">
        <f ca="1">VLOOKUP($D5,Index_CALCULATION!$B$14:$FP$41,CT$2,0)</f>
        <v>2085.2176045510009</v>
      </c>
      <c r="CU5" s="247">
        <f ca="1">VLOOKUP($D5,Index_CALCULATION!$B$14:$FP$41,CU$2,0)</f>
        <v>2068.602413094678</v>
      </c>
      <c r="CV5" s="247">
        <f ca="1">VLOOKUP($D5,Index_CALCULATION!$B$14:$FP$41,CV$2,0)</f>
        <v>2048.9949547852625</v>
      </c>
      <c r="CW5" s="247">
        <f ca="1">VLOOKUP($D5,Index_CALCULATION!$B$14:$FP$41,CW$2,0)</f>
        <v>2034.4114225851292</v>
      </c>
      <c r="CX5" s="247">
        <f ca="1">VLOOKUP($D5,Index_CALCULATION!$B$14:$FP$41,CX$2,0)</f>
        <v>2034.4114225851292</v>
      </c>
      <c r="CY5" s="247">
        <f ca="1">VLOOKUP($D5,Index_CALCULATION!$B$14:$FP$41,CY$2,0)</f>
        <v>2018.8221396007241</v>
      </c>
      <c r="CZ5" s="247">
        <f ca="1">VLOOKUP($D5,Index_CALCULATION!$B$14:$FP$41,CZ$2,0)</f>
        <v>2006.6238557405725</v>
      </c>
      <c r="DA5" s="247">
        <f ca="1">VLOOKUP($D5,Index_CALCULATION!$B$14:$FP$41,DA$2,0)</f>
        <v>1992.3418959214889</v>
      </c>
      <c r="DB5" s="247">
        <f ca="1">VLOOKUP($D5,Index_CALCULATION!$B$14:$FP$41,DB$2,0)</f>
        <v>1979.1037926562058</v>
      </c>
    </row>
    <row r="6" spans="3:106" x14ac:dyDescent="0.3">
      <c r="C6" s="165" t="s">
        <v>126</v>
      </c>
      <c r="D6" s="165" t="s">
        <v>154</v>
      </c>
      <c r="E6" s="165">
        <v>1000</v>
      </c>
      <c r="F6" s="165">
        <v>1028.2074038575311</v>
      </c>
      <c r="G6" s="165">
        <v>1058.7644506703687</v>
      </c>
      <c r="H6" s="165">
        <v>1130.8976598402246</v>
      </c>
      <c r="I6" s="165">
        <v>1175.3559391240976</v>
      </c>
      <c r="J6" s="165">
        <v>1208.5724637536086</v>
      </c>
      <c r="K6" s="165">
        <v>1237.4789989020869</v>
      </c>
      <c r="L6" s="165">
        <v>1280.2193988733789</v>
      </c>
      <c r="M6" s="165">
        <v>1300.960577245407</v>
      </c>
      <c r="N6" s="165">
        <v>1335.8198255129453</v>
      </c>
      <c r="O6" s="165">
        <v>1391.1336292547369</v>
      </c>
      <c r="P6" s="165">
        <v>1427.5804872687295</v>
      </c>
      <c r="Q6" s="165">
        <v>1471.7255998566509</v>
      </c>
      <c r="R6" s="165">
        <v>1508.9825107959093</v>
      </c>
      <c r="S6" s="165">
        <v>1574.768068882694</v>
      </c>
      <c r="T6" s="165">
        <v>1602.956824479041</v>
      </c>
      <c r="U6" s="165">
        <v>1621.9715117709204</v>
      </c>
      <c r="V6" s="165">
        <v>1640.794955627932</v>
      </c>
      <c r="W6" s="165">
        <v>1689.6622882377744</v>
      </c>
      <c r="X6" s="165">
        <v>1777.2185198978816</v>
      </c>
      <c r="Y6" s="165">
        <v>1826.0092469151766</v>
      </c>
      <c r="Z6" s="165">
        <v>1929.4164350780879</v>
      </c>
      <c r="AA6" s="165">
        <v>1990.3264550219703</v>
      </c>
      <c r="AB6" s="165">
        <v>2063.7104864407434</v>
      </c>
      <c r="AC6" s="165">
        <v>2119.1619863918495</v>
      </c>
      <c r="AD6" s="165">
        <v>2187.1507480465548</v>
      </c>
      <c r="AE6" s="165">
        <v>2228.8309703809268</v>
      </c>
      <c r="AF6" s="165">
        <v>2259.7467052760039</v>
      </c>
      <c r="AG6" s="165">
        <v>2279.1992115369421</v>
      </c>
      <c r="AH6" s="165">
        <v>2337.9999843969363</v>
      </c>
      <c r="AI6" s="165">
        <v>2369.6858528891271</v>
      </c>
      <c r="AJ6" s="165">
        <v>2392.7689992159962</v>
      </c>
      <c r="AK6" s="165">
        <v>2415.4744243887253</v>
      </c>
      <c r="AL6" s="165">
        <v>2459.2205122228825</v>
      </c>
      <c r="AM6" s="165">
        <v>2474.6387722973923</v>
      </c>
      <c r="AN6" s="165">
        <v>2481.8429557823943</v>
      </c>
      <c r="AO6" s="165">
        <v>2504.6468661172557</v>
      </c>
      <c r="AP6" s="165">
        <v>2525.1167211911456</v>
      </c>
      <c r="AQ6" s="165">
        <v>2562.6964761530753</v>
      </c>
      <c r="AR6" s="165">
        <v>2554.8952752576693</v>
      </c>
      <c r="AS6" s="165">
        <v>2593.5075726390332</v>
      </c>
      <c r="AT6" s="165">
        <v>2638.6650843850202</v>
      </c>
      <c r="AU6" s="165">
        <v>2689.4070948080653</v>
      </c>
      <c r="AV6" s="165">
        <v>2741.3168455837172</v>
      </c>
      <c r="AW6" s="165">
        <v>2761.2272801959684</v>
      </c>
      <c r="AX6" s="165">
        <v>2900.8893224504914</v>
      </c>
      <c r="AY6" s="165">
        <v>2981.0932038282299</v>
      </c>
      <c r="AZ6" s="165">
        <v>3018.590740230698</v>
      </c>
      <c r="BA6" s="165">
        <v>3052.7416245985132</v>
      </c>
      <c r="BB6" s="165">
        <v>3060.7857349029646</v>
      </c>
      <c r="BC6" s="165">
        <v>3088.9091434733296</v>
      </c>
      <c r="BD6" s="165">
        <v>3087.0262364036571</v>
      </c>
      <c r="BE6" s="165">
        <v>3145.985398704523</v>
      </c>
      <c r="BF6" s="165">
        <v>3187.9002062892018</v>
      </c>
      <c r="BG6" s="165">
        <v>3174.6449231134779</v>
      </c>
      <c r="BH6" s="165">
        <v>3212.4628826444018</v>
      </c>
      <c r="BI6" s="165">
        <v>3239.345261007144</v>
      </c>
      <c r="BJ6" s="165">
        <v>3285.5625852909898</v>
      </c>
      <c r="BK6" s="165">
        <v>3319.5592356248335</v>
      </c>
      <c r="BL6" s="165">
        <v>3275.002067050526</v>
      </c>
      <c r="BM6" s="165">
        <f ca="1">VLOOKUP($D6,Index_CALCULATION!$B$14:$DD$41,BM$2,0)</f>
        <v>2843.1887075278792</v>
      </c>
      <c r="BN6" s="165">
        <f ca="1">VLOOKUP($D6,Index_CALCULATION!$B$14:$DD$41,BN$2,0)</f>
        <v>2875.8686797556093</v>
      </c>
      <c r="BO6" s="165">
        <f ca="1">VLOOKUP($D6,Index_CALCULATION!$B$14:$DD$41,BO$2,0)</f>
        <v>2875.8686797556093</v>
      </c>
      <c r="BP6" s="165">
        <f ca="1">VLOOKUP($D6,Index_CALCULATION!$B$14:$DD$41,BP$2,0)</f>
        <v>2895.7708059961701</v>
      </c>
      <c r="BQ6" s="165">
        <f ca="1">VLOOKUP($D6,Index_CALCULATION!$B$14:$DD$41,BQ$2,0)</f>
        <v>2895.7708059961701</v>
      </c>
      <c r="BR6" s="165">
        <f ca="1">VLOOKUP($D6,Index_CALCULATION!$B$14:$DD$41,BR$2,0)</f>
        <v>2878.2737548233176</v>
      </c>
      <c r="BS6" s="165">
        <f ca="1">VLOOKUP($D6,Index_CALCULATION!$B$14:$DD$41,BS$2,0)</f>
        <v>2843.5961797985524</v>
      </c>
      <c r="BT6" s="165">
        <f ca="1">VLOOKUP($D6,Index_CALCULATION!$B$14:$DD$41,BT$2,0)</f>
        <v>2843.5961797985524</v>
      </c>
      <c r="BU6" s="165">
        <f ca="1">VLOOKUP($D6,Index_CALCULATION!$B$14:$DD$41,BU$2,0)</f>
        <v>2843.5961797985524</v>
      </c>
      <c r="BV6" s="165">
        <f ca="1">VLOOKUP($D6,Index_CALCULATION!$B$14:$DD$41,BV$2,0)</f>
        <v>2824.7019227686728</v>
      </c>
      <c r="BW6" s="165">
        <f ca="1">VLOOKUP($D6,Index_CALCULATION!$B$14:$DD$41,BW$2,0)</f>
        <v>2824.7019227686728</v>
      </c>
      <c r="BX6" s="165">
        <f ca="1">VLOOKUP($D6,Index_CALCULATION!$B$14:$DD$41,BX$2,0)</f>
        <v>2824.7019227686728</v>
      </c>
      <c r="BY6" s="165">
        <f ca="1">VLOOKUP($D6,Index_CALCULATION!$B$14:$DD$41,BY$2,0)</f>
        <v>2824.7019227686728</v>
      </c>
      <c r="BZ6" s="165">
        <f ca="1">VLOOKUP($D6,Index_CALCULATION!$B$14:$DD$41,BZ$2,0)</f>
        <v>2824.7019227686728</v>
      </c>
      <c r="CA6" s="165">
        <f ca="1">VLOOKUP($D6,Index_CALCULATION!$B$14:$DD$41,CA$2,0)</f>
        <v>2842.9847194891577</v>
      </c>
      <c r="CB6" s="165">
        <f ca="1">VLOOKUP($D6,Index_CALCULATION!$B$14:$DD$41,CB$2,0)</f>
        <v>2824.0945253034793</v>
      </c>
      <c r="CC6" s="165">
        <f ca="1">VLOOKUP($D6,Index_CALCULATION!$B$14:$DD$41,CC$2,0)</f>
        <v>2824.0945253034793</v>
      </c>
      <c r="CD6" s="165">
        <f ca="1">VLOOKUP($D6,Index_CALCULATION!$B$14:$DD$41,CD$2,0)</f>
        <v>2824.0945253034793</v>
      </c>
      <c r="CE6" s="165">
        <f ca="1">VLOOKUP($D6,Index_CALCULATION!$B$14:$DD$41,CE$2,0)</f>
        <v>2792.8893802017105</v>
      </c>
      <c r="CF6" s="165">
        <f ca="1">VLOOKUP($D6,Index_CALCULATION!$B$14:$DD$41,CF$2,0)</f>
        <v>2773.0112481875444</v>
      </c>
      <c r="CG6" s="165">
        <f ca="1">VLOOKUP($D6,Index_CALCULATION!$B$14:$DD$41,CG$2,0)</f>
        <v>2773.0112481875444</v>
      </c>
      <c r="CH6" s="165">
        <f ca="1">VLOOKUP($D6,Index_CALCULATION!$B$14:$DD$41,CH$2,0)</f>
        <v>2751.7622242256148</v>
      </c>
      <c r="CI6" s="165">
        <f ca="1">VLOOKUP($D6,Index_CALCULATION!$B$14:$DD$41,CI$2,0)</f>
        <v>2732.1768109426866</v>
      </c>
      <c r="CJ6" s="165">
        <f ca="1">VLOOKUP($D6,Index_CALCULATION!$B$14:$DD$41,CJ$2,0)</f>
        <v>2732.1768109426866</v>
      </c>
      <c r="CK6" s="165">
        <f ca="1">VLOOKUP($D6,Index_CALCULATION!$B$14:$DD$41,CK$2,0)</f>
        <v>2732.1768109426866</v>
      </c>
      <c r="CL6" s="165">
        <f ca="1">VLOOKUP($D6,Index_CALCULATION!$B$14:$DD$41,CL$2,0)</f>
        <v>2757.1280247192531</v>
      </c>
      <c r="CM6" s="165">
        <f ca="1">VLOOKUP($D6,Index_CALCULATION!$B$14:$DD$41,CM$2,0)</f>
        <v>2738.1787660639311</v>
      </c>
      <c r="CN6" s="165">
        <f ca="1">VLOOKUP($D6,Index_CALCULATION!$B$14:$DD$41,CN$2,0)</f>
        <v>2738.1787660639311</v>
      </c>
      <c r="CO6" s="165">
        <f ca="1">VLOOKUP($D6,Index_CALCULATION!$B$14:$DD$41,CO$2,0)</f>
        <v>2738.1787660639311</v>
      </c>
      <c r="CP6" s="165">
        <f ca="1">VLOOKUP($D6,Index_CALCULATION!$B$14:$DD$41,CP$2,0)</f>
        <v>2696.3753283215738</v>
      </c>
      <c r="CQ6" s="165">
        <f ca="1">VLOOKUP($D6,Index_CALCULATION!$B$14:$DD$41,CQ$2,0)</f>
        <v>2673.0302338487791</v>
      </c>
      <c r="CR6" s="247">
        <f ca="1">VLOOKUP($D6,Index_CALCULATION!$B$14:$DD$41,CR$2,0)</f>
        <v>2673.0302338487791</v>
      </c>
      <c r="CS6" s="247">
        <f ca="1">VLOOKUP($D6,Index_CALCULATION!$B$14:$DD$41,CS$2,0)</f>
        <v>2650.8475381706312</v>
      </c>
      <c r="CT6" s="247">
        <f ca="1">VLOOKUP($D6,Index_CALCULATION!$B$14:$FP$41,CT$2,0)</f>
        <v>2650.8475381706312</v>
      </c>
      <c r="CU6" s="247">
        <f ca="1">VLOOKUP($D6,Index_CALCULATION!$B$14:$FP$41,CU$2,0)</f>
        <v>2629.7253592325196</v>
      </c>
      <c r="CV6" s="247">
        <f ca="1">VLOOKUP($D6,Index_CALCULATION!$B$14:$FP$41,CV$2,0)</f>
        <v>2604.799240022774</v>
      </c>
      <c r="CW6" s="247">
        <f ca="1">VLOOKUP($D6,Index_CALCULATION!$B$14:$FP$41,CW$2,0)</f>
        <v>2586.2598221959811</v>
      </c>
      <c r="CX6" s="247">
        <f ca="1">VLOOKUP($D6,Index_CALCULATION!$B$14:$FP$41,CX$2,0)</f>
        <v>2571.9315496821864</v>
      </c>
      <c r="CY6" s="247">
        <f ca="1">VLOOKUP($D6,Index_CALCULATION!$B$14:$FP$41,CY$2,0)</f>
        <v>2552.2233587531523</v>
      </c>
      <c r="CZ6" s="247">
        <f ca="1">VLOOKUP($D6,Index_CALCULATION!$B$14:$FP$41,CZ$2,0)</f>
        <v>2536.8021166368271</v>
      </c>
      <c r="DA6" s="247">
        <f ca="1">VLOOKUP($D6,Index_CALCULATION!$B$14:$FP$41,DA$2,0)</f>
        <v>2518.7466620506948</v>
      </c>
      <c r="DB6" s="247">
        <f ca="1">VLOOKUP($D6,Index_CALCULATION!$B$14:$FP$41,DB$2,0)</f>
        <v>2502.0108656095463</v>
      </c>
    </row>
    <row r="7" spans="3:106" x14ac:dyDescent="0.3">
      <c r="C7" s="165" t="s">
        <v>127</v>
      </c>
      <c r="D7" s="165" t="s">
        <v>155</v>
      </c>
      <c r="E7" s="165">
        <v>0</v>
      </c>
      <c r="F7" s="165">
        <v>0</v>
      </c>
      <c r="G7" s="165">
        <v>0</v>
      </c>
      <c r="H7" s="165">
        <v>0</v>
      </c>
      <c r="I7" s="165">
        <v>0</v>
      </c>
      <c r="J7" s="165">
        <v>0</v>
      </c>
      <c r="K7" s="165">
        <v>0</v>
      </c>
      <c r="L7" s="165">
        <v>0</v>
      </c>
      <c r="M7" s="165">
        <v>0</v>
      </c>
      <c r="N7" s="165">
        <v>0</v>
      </c>
      <c r="O7" s="165">
        <v>0</v>
      </c>
      <c r="P7" s="165">
        <v>0</v>
      </c>
      <c r="Q7" s="165">
        <v>0</v>
      </c>
      <c r="R7" s="165">
        <v>1000</v>
      </c>
      <c r="S7" s="165">
        <v>1023.1077691270353</v>
      </c>
      <c r="T7" s="165">
        <v>1056.6493299534172</v>
      </c>
      <c r="U7" s="165">
        <v>1093.6676389976083</v>
      </c>
      <c r="V7" s="165">
        <v>1112.7612585947879</v>
      </c>
      <c r="W7" s="165">
        <v>1132.8984279727015</v>
      </c>
      <c r="X7" s="165">
        <v>1164.6067727843697</v>
      </c>
      <c r="Y7" s="165">
        <v>1181.7150663220482</v>
      </c>
      <c r="Z7" s="165">
        <v>1221.4243487705992</v>
      </c>
      <c r="AA7" s="165">
        <v>1261.6874981559488</v>
      </c>
      <c r="AB7" s="165">
        <v>1299.2152833268499</v>
      </c>
      <c r="AC7" s="165">
        <v>1340.2029531395733</v>
      </c>
      <c r="AD7" s="165">
        <v>1366.3176927607101</v>
      </c>
      <c r="AE7" s="165">
        <v>1393.7769116664201</v>
      </c>
      <c r="AF7" s="165">
        <v>1433.4419200676473</v>
      </c>
      <c r="AG7" s="165">
        <v>1456.1453528747693</v>
      </c>
      <c r="AH7" s="165">
        <v>1485.2811721064247</v>
      </c>
      <c r="AI7" s="165">
        <v>1520.9300831510745</v>
      </c>
      <c r="AJ7" s="165">
        <v>1557.0475506323294</v>
      </c>
      <c r="AK7" s="165">
        <v>1595.577718696177</v>
      </c>
      <c r="AL7" s="165">
        <v>1652.8354820438581</v>
      </c>
      <c r="AM7" s="165">
        <v>1725.8530563361774</v>
      </c>
      <c r="AN7" s="165">
        <v>1761.3319117186904</v>
      </c>
      <c r="AO7" s="165">
        <v>1805.9202413473718</v>
      </c>
      <c r="AP7" s="165">
        <v>1880.9330657442763</v>
      </c>
      <c r="AQ7" s="165">
        <v>1914.3566279171368</v>
      </c>
      <c r="AR7" s="165">
        <v>1942.57759419076</v>
      </c>
      <c r="AS7" s="165">
        <v>1987.4907050844711</v>
      </c>
      <c r="AT7" s="165">
        <v>2035.3797578078556</v>
      </c>
      <c r="AU7" s="165">
        <v>2121.9788673889343</v>
      </c>
      <c r="AV7" s="165">
        <v>2206.3061009302028</v>
      </c>
      <c r="AW7" s="165">
        <v>2265.1374898959471</v>
      </c>
      <c r="AX7" s="165">
        <v>2350.1462594817108</v>
      </c>
      <c r="AY7" s="165">
        <v>2416.4957979145647</v>
      </c>
      <c r="AZ7" s="165">
        <v>2537.0517636919594</v>
      </c>
      <c r="BA7" s="165">
        <v>2633.9975782825959</v>
      </c>
      <c r="BB7" s="165">
        <v>2670.6408795071839</v>
      </c>
      <c r="BC7" s="165">
        <v>2710.0107989309927</v>
      </c>
      <c r="BD7" s="165">
        <v>2787.0993631066367</v>
      </c>
      <c r="BE7" s="165">
        <v>2848.0171686181143</v>
      </c>
      <c r="BF7" s="165">
        <v>2952.5004857270546</v>
      </c>
      <c r="BG7" s="165">
        <v>2995.8732757196726</v>
      </c>
      <c r="BH7" s="165">
        <v>3059.6128810957707</v>
      </c>
      <c r="BI7" s="165">
        <v>3108.1544924211366</v>
      </c>
      <c r="BJ7" s="165">
        <v>3168.3020260793064</v>
      </c>
      <c r="BK7" s="165">
        <v>3255.681709439536</v>
      </c>
      <c r="BL7" s="165">
        <v>3282.1864350910482</v>
      </c>
      <c r="BM7" s="165">
        <f ca="1">VLOOKUP($D7,Index_CALCULATION!$B$14:$DD$41,BM$2,0)</f>
        <v>2564.746845350568</v>
      </c>
      <c r="BN7" s="165">
        <f ca="1">VLOOKUP($D7,Index_CALCULATION!$B$14:$DD$41,BN$2,0)</f>
        <v>2609.0929576399953</v>
      </c>
      <c r="BO7" s="165">
        <f ca="1">VLOOKUP($D7,Index_CALCULATION!$B$14:$DD$41,BO$2,0)</f>
        <v>2625.9802319342775</v>
      </c>
      <c r="BP7" s="165">
        <f ca="1">VLOOKUP($D7,Index_CALCULATION!$B$14:$DD$41,BP$2,0)</f>
        <v>2680.8767946526777</v>
      </c>
      <c r="BQ7" s="165">
        <f ca="1">VLOOKUP($D7,Index_CALCULATION!$B$14:$DD$41,BQ$2,0)</f>
        <v>2736.9209793377809</v>
      </c>
      <c r="BR7" s="165">
        <f ca="1">VLOOKUP($D7,Index_CALCULATION!$B$14:$DD$41,BR$2,0)</f>
        <v>2736.9209793377809</v>
      </c>
      <c r="BS7" s="165">
        <f ca="1">VLOOKUP($D7,Index_CALCULATION!$B$14:$DD$41,BS$2,0)</f>
        <v>2753.5587457598513</v>
      </c>
      <c r="BT7" s="165">
        <f ca="1">VLOOKUP($D7,Index_CALCULATION!$B$14:$DD$41,BT$2,0)</f>
        <v>2788.1942510076815</v>
      </c>
      <c r="BU7" s="165">
        <f ca="1">VLOOKUP($D7,Index_CALCULATION!$B$14:$DD$41,BU$2,0)</f>
        <v>2788.1942510076815</v>
      </c>
      <c r="BV7" s="165">
        <f ca="1">VLOOKUP($D7,Index_CALCULATION!$B$14:$DD$41,BV$2,0)</f>
        <v>2788.1942510076815</v>
      </c>
      <c r="BW7" s="165">
        <f ca="1">VLOOKUP($D7,Index_CALCULATION!$B$14:$DD$41,BW$2,0)</f>
        <v>2806.240752940329</v>
      </c>
      <c r="BX7" s="165">
        <f ca="1">VLOOKUP($D7,Index_CALCULATION!$B$14:$DD$41,BX$2,0)</f>
        <v>2806.240752940329</v>
      </c>
      <c r="BY7" s="165">
        <f ca="1">VLOOKUP($D7,Index_CALCULATION!$B$14:$DD$41,BY$2,0)</f>
        <v>2787.5947038105496</v>
      </c>
      <c r="BZ7" s="165">
        <f ca="1">VLOOKUP($D7,Index_CALCULATION!$B$14:$DD$41,BZ$2,0)</f>
        <v>2805.6373251923183</v>
      </c>
      <c r="CA7" s="165">
        <f ca="1">VLOOKUP($D7,Index_CALCULATION!$B$14:$DD$41,CA$2,0)</f>
        <v>2842.0736647564909</v>
      </c>
      <c r="CB7" s="165">
        <f ca="1">VLOOKUP($D7,Index_CALCULATION!$B$14:$DD$41,CB$2,0)</f>
        <v>2861.0841202976289</v>
      </c>
      <c r="CC7" s="165">
        <f ca="1">VLOOKUP($D7,Index_CALCULATION!$B$14:$DD$41,CC$2,0)</f>
        <v>2883.1773246065181</v>
      </c>
      <c r="CD7" s="165">
        <f ca="1">VLOOKUP($D7,Index_CALCULATION!$B$14:$DD$41,CD$2,0)</f>
        <v>2917.2973704486285</v>
      </c>
      <c r="CE7" s="165">
        <f ca="1">VLOOKUP($D7,Index_CALCULATION!$B$14:$DD$41,CE$2,0)</f>
        <v>2917.2973704486285</v>
      </c>
      <c r="CF7" s="165">
        <f ca="1">VLOOKUP($D7,Index_CALCULATION!$B$14:$DD$41,CF$2,0)</f>
        <v>2896.5337760630287</v>
      </c>
      <c r="CG7" s="165">
        <f ca="1">VLOOKUP($D7,Index_CALCULATION!$B$14:$DD$41,CG$2,0)</f>
        <v>2936.7627696184063</v>
      </c>
      <c r="CH7" s="165">
        <f ca="1">VLOOKUP($D7,Index_CALCULATION!$B$14:$DD$41,CH$2,0)</f>
        <v>2936.7627696184063</v>
      </c>
      <c r="CI7" s="165">
        <f ca="1">VLOOKUP($D7,Index_CALCULATION!$B$14:$DD$41,CI$2,0)</f>
        <v>2915.8606320534209</v>
      </c>
      <c r="CJ7" s="165">
        <f ca="1">VLOOKUP($D7,Index_CALCULATION!$B$14:$DD$41,CJ$2,0)</f>
        <v>2939.2810739686188</v>
      </c>
      <c r="CK7" s="165">
        <f ca="1">VLOOKUP($D7,Index_CALCULATION!$B$14:$DD$41,CK$2,0)</f>
        <v>2939.2810739686188</v>
      </c>
      <c r="CL7" s="165">
        <f ca="1">VLOOKUP($D7,Index_CALCULATION!$B$14:$DD$41,CL$2,0)</f>
        <v>2939.2810739686188</v>
      </c>
      <c r="CM7" s="165">
        <f ca="1">VLOOKUP($D7,Index_CALCULATION!$B$14:$DD$41,CM$2,0)</f>
        <v>2939.2810739686188</v>
      </c>
      <c r="CN7" s="165">
        <f ca="1">VLOOKUP($D7,Index_CALCULATION!$B$14:$DD$41,CN$2,0)</f>
        <v>2939.2810739686188</v>
      </c>
      <c r="CO7" s="165">
        <f ca="1">VLOOKUP($D7,Index_CALCULATION!$B$14:$DD$41,CO$2,0)</f>
        <v>2986.6878137307476</v>
      </c>
      <c r="CP7" s="165">
        <f ca="1">VLOOKUP($D7,Index_CALCULATION!$B$14:$DD$41,CP$2,0)</f>
        <v>2986.6878137307476</v>
      </c>
      <c r="CQ7" s="165">
        <f ca="1">VLOOKUP($D7,Index_CALCULATION!$B$14:$DD$41,CQ$2,0)</f>
        <v>2986.6878137307476</v>
      </c>
      <c r="CR7" s="247">
        <f ca="1">VLOOKUP($D7,Index_CALCULATION!$B$14:$DD$41,CR$2,0)</f>
        <v>2986.6878137307476</v>
      </c>
      <c r="CS7" s="247">
        <f ca="1">VLOOKUP($D7,Index_CALCULATION!$B$14:$DD$41,CS$2,0)</f>
        <v>3011.6808719521737</v>
      </c>
      <c r="CT7" s="247">
        <f ca="1">VLOOKUP($D7,Index_CALCULATION!$B$14:$FP$41,CT$2,0)</f>
        <v>3011.6808719521737</v>
      </c>
      <c r="CU7" s="247">
        <f ca="1">VLOOKUP($D7,Index_CALCULATION!$B$14:$FP$41,CU$2,0)</f>
        <v>3035.8709502272786</v>
      </c>
      <c r="CV7" s="247">
        <f ca="1">VLOOKUP($D7,Index_CALCULATION!$B$14:$FP$41,CV$2,0)</f>
        <v>3007.0951387361301</v>
      </c>
      <c r="CW7" s="247">
        <f ca="1">VLOOKUP($D7,Index_CALCULATION!$B$14:$FP$41,CW$2,0)</f>
        <v>3007.0951387361301</v>
      </c>
      <c r="CX7" s="247">
        <f ca="1">VLOOKUP($D7,Index_CALCULATION!$B$14:$FP$41,CX$2,0)</f>
        <v>3007.0951387361301</v>
      </c>
      <c r="CY7" s="247">
        <f ca="1">VLOOKUP($D7,Index_CALCULATION!$B$14:$FP$41,CY$2,0)</f>
        <v>3007.0951387361301</v>
      </c>
      <c r="CZ7" s="247">
        <f ca="1">VLOOKUP($D7,Index_CALCULATION!$B$14:$FP$41,CZ$2,0)</f>
        <v>2988.9254350374972</v>
      </c>
      <c r="DA7" s="247">
        <f ca="1">VLOOKUP($D7,Index_CALCULATION!$B$14:$FP$41,DA$2,0)</f>
        <v>2967.6520345228364</v>
      </c>
      <c r="DB7" s="247">
        <f ca="1">VLOOKUP($D7,Index_CALCULATION!$B$14:$FP$41,DB$2,0)</f>
        <v>2987.5024760379401</v>
      </c>
    </row>
    <row r="8" spans="3:106" x14ac:dyDescent="0.3">
      <c r="C8" s="165" t="s">
        <v>214</v>
      </c>
      <c r="D8" s="165" t="s">
        <v>156</v>
      </c>
      <c r="E8" s="165">
        <v>1000</v>
      </c>
      <c r="F8" s="165">
        <v>1046.1015264363746</v>
      </c>
      <c r="G8" s="165">
        <v>1074.8845706534476</v>
      </c>
      <c r="H8" s="165">
        <v>1107.5357719031097</v>
      </c>
      <c r="I8" s="165">
        <v>1130.7716027225174</v>
      </c>
      <c r="J8" s="165">
        <v>1160.8235872029941</v>
      </c>
      <c r="K8" s="165">
        <v>1194.003039181435</v>
      </c>
      <c r="L8" s="165">
        <v>1232.0196860586145</v>
      </c>
      <c r="M8" s="165">
        <v>1245.8469231622257</v>
      </c>
      <c r="N8" s="165">
        <v>1279.229400661902</v>
      </c>
      <c r="O8" s="165">
        <v>1321.8664975935235</v>
      </c>
      <c r="P8" s="165">
        <v>1351.2465135101652</v>
      </c>
      <c r="Q8" s="165">
        <v>1377.2908518959659</v>
      </c>
      <c r="R8" s="165">
        <v>1415.9064603495915</v>
      </c>
      <c r="S8" s="165">
        <v>1461.1670288568619</v>
      </c>
      <c r="T8" s="165">
        <v>1514.5563352148338</v>
      </c>
      <c r="U8" s="165">
        <v>1561.712421618774</v>
      </c>
      <c r="V8" s="165">
        <v>1593.567531101379</v>
      </c>
      <c r="W8" s="165">
        <v>1643.7060746661521</v>
      </c>
      <c r="X8" s="165">
        <v>1729.7816049318762</v>
      </c>
      <c r="Y8" s="165">
        <v>1767.1168625469963</v>
      </c>
      <c r="Z8" s="165">
        <v>1818.003930587226</v>
      </c>
      <c r="AA8" s="165">
        <v>1872.2315276051791</v>
      </c>
      <c r="AB8" s="165">
        <v>1951.3283777866923</v>
      </c>
      <c r="AC8" s="165">
        <v>2026.6600609553759</v>
      </c>
      <c r="AD8" s="165">
        <v>2094.4351204005411</v>
      </c>
      <c r="AE8" s="165">
        <v>2132.1716783303937</v>
      </c>
      <c r="AF8" s="165">
        <v>2166.1629013656052</v>
      </c>
      <c r="AG8" s="165">
        <v>2219.4137144670922</v>
      </c>
      <c r="AH8" s="165">
        <v>2264.8897614094199</v>
      </c>
      <c r="AI8" s="165">
        <v>2313.3112355405369</v>
      </c>
      <c r="AJ8" s="165">
        <v>2362.2116045635075</v>
      </c>
      <c r="AK8" s="165">
        <v>2395.2489943112951</v>
      </c>
      <c r="AL8" s="165">
        <v>2463.7690655595866</v>
      </c>
      <c r="AM8" s="165">
        <v>2519.5697459678127</v>
      </c>
      <c r="AN8" s="165">
        <v>2583.3529577566924</v>
      </c>
      <c r="AO8" s="165">
        <v>2661.7031503840808</v>
      </c>
      <c r="AP8" s="165">
        <v>2706.9611669663841</v>
      </c>
      <c r="AQ8" s="165">
        <v>2767.614495018066</v>
      </c>
      <c r="AR8" s="165">
        <v>2772.6818378118851</v>
      </c>
      <c r="AS8" s="165">
        <v>2836.7872651714038</v>
      </c>
      <c r="AT8" s="165">
        <v>2913.7994470275657</v>
      </c>
      <c r="AU8" s="165">
        <v>2996.4674312806878</v>
      </c>
      <c r="AV8" s="165">
        <v>3043.0954832080238</v>
      </c>
      <c r="AW8" s="165">
        <v>3095.596171213143</v>
      </c>
      <c r="AX8" s="165">
        <v>3290.9119739385847</v>
      </c>
      <c r="AY8" s="165">
        <v>3410.8453937911854</v>
      </c>
      <c r="AZ8" s="165">
        <v>3534.1983284466696</v>
      </c>
      <c r="BA8" s="165">
        <v>3632.7374859531155</v>
      </c>
      <c r="BB8" s="165">
        <v>3654.3109214995015</v>
      </c>
      <c r="BC8" s="165">
        <v>3762.8469473390464</v>
      </c>
      <c r="BD8" s="165">
        <v>3917.3669832797195</v>
      </c>
      <c r="BE8" s="165">
        <v>4016.5356005998638</v>
      </c>
      <c r="BF8" s="165">
        <v>4094.0610010538076</v>
      </c>
      <c r="BG8" s="165">
        <v>4119.7290112877081</v>
      </c>
      <c r="BH8" s="165">
        <v>4174.2941660062097</v>
      </c>
      <c r="BI8" s="165">
        <v>4276.0058277090257</v>
      </c>
      <c r="BJ8" s="165">
        <v>4329.7913598003342</v>
      </c>
      <c r="BK8" s="165">
        <v>4368.1644452744804</v>
      </c>
      <c r="BL8" s="165">
        <v>4385.9091647752457</v>
      </c>
      <c r="BM8" s="165">
        <f ca="1">VLOOKUP($D8,Index_CALCULATION!$B$14:$DD$41,BM$2,0)</f>
        <v>3455.5553129788896</v>
      </c>
      <c r="BN8" s="165">
        <f ca="1">VLOOKUP($D8,Index_CALCULATION!$B$14:$DD$41,BN$2,0)</f>
        <v>3475.3578681834497</v>
      </c>
      <c r="BO8" s="165">
        <f ca="1">VLOOKUP($D8,Index_CALCULATION!$B$14:$DD$41,BO$2,0)</f>
        <v>3475.3578681834497</v>
      </c>
      <c r="BP8" s="165">
        <f ca="1">VLOOKUP($D8,Index_CALCULATION!$B$14:$DD$41,BP$2,0)</f>
        <v>3475.3578681834497</v>
      </c>
      <c r="BQ8" s="165">
        <f ca="1">VLOOKUP($D8,Index_CALCULATION!$B$14:$DD$41,BQ$2,0)</f>
        <v>3523.6259569028612</v>
      </c>
      <c r="BR8" s="165">
        <f ca="1">VLOOKUP($D8,Index_CALCULATION!$B$14:$DD$41,BR$2,0)</f>
        <v>3588.2778468117349</v>
      </c>
      <c r="BS8" s="165">
        <f ca="1">VLOOKUP($D8,Index_CALCULATION!$B$14:$DD$41,BS$2,0)</f>
        <v>3588.2778468117349</v>
      </c>
      <c r="BT8" s="165">
        <f ca="1">VLOOKUP($D8,Index_CALCULATION!$B$14:$DD$41,BT$2,0)</f>
        <v>3633.4128258221881</v>
      </c>
      <c r="BU8" s="165">
        <f ca="1">VLOOKUP($D8,Index_CALCULATION!$B$14:$DD$41,BU$2,0)</f>
        <v>3633.4128258221881</v>
      </c>
      <c r="BV8" s="165">
        <f ca="1">VLOOKUP($D8,Index_CALCULATION!$B$14:$DD$41,BV$2,0)</f>
        <v>3657.7165002288161</v>
      </c>
      <c r="BW8" s="165">
        <f ca="1">VLOOKUP($D8,Index_CALCULATION!$B$14:$DD$41,BW$2,0)</f>
        <v>3681.3909583002364</v>
      </c>
      <c r="BX8" s="165">
        <f ca="1">VLOOKUP($D8,Index_CALCULATION!$B$14:$DD$41,BX$2,0)</f>
        <v>3705.2186485767606</v>
      </c>
      <c r="BY8" s="165">
        <f ca="1">VLOOKUP($D8,Index_CALCULATION!$B$14:$DD$41,BY$2,0)</f>
        <v>3730.0026277052539</v>
      </c>
      <c r="BZ8" s="165">
        <f ca="1">VLOOKUP($D8,Index_CALCULATION!$B$14:$DD$41,BZ$2,0)</f>
        <v>3730.0026277052539</v>
      </c>
      <c r="CA8" s="165">
        <f ca="1">VLOOKUP($D8,Index_CALCULATION!$B$14:$DD$41,CA$2,0)</f>
        <v>3754.1449555238178</v>
      </c>
      <c r="CB8" s="165">
        <f ca="1">VLOOKUP($D8,Index_CALCULATION!$B$14:$DD$41,CB$2,0)</f>
        <v>3779.2561997033695</v>
      </c>
      <c r="CC8" s="165">
        <f ca="1">VLOOKUP($D8,Index_CALCULATION!$B$14:$DD$41,CC$2,0)</f>
        <v>3779.2561997033695</v>
      </c>
      <c r="CD8" s="165">
        <f ca="1">VLOOKUP($D8,Index_CALCULATION!$B$14:$DD$41,CD$2,0)</f>
        <v>3779.2561997033695</v>
      </c>
      <c r="CE8" s="165">
        <f ca="1">VLOOKUP($D8,Index_CALCULATION!$B$14:$DD$41,CE$2,0)</f>
        <v>3779.2561997033695</v>
      </c>
      <c r="CF8" s="165">
        <f ca="1">VLOOKUP($D8,Index_CALCULATION!$B$14:$DD$41,CF$2,0)</f>
        <v>3779.2561997033695</v>
      </c>
      <c r="CG8" s="165">
        <f ca="1">VLOOKUP($D8,Index_CALCULATION!$B$14:$DD$41,CG$2,0)</f>
        <v>3779.2561997033695</v>
      </c>
      <c r="CH8" s="165">
        <f ca="1">VLOOKUP($D8,Index_CALCULATION!$B$14:$DD$41,CH$2,0)</f>
        <v>3808.4395008035822</v>
      </c>
      <c r="CI8" s="165">
        <f ca="1">VLOOKUP($D8,Index_CALCULATION!$B$14:$DD$41,CI$2,0)</f>
        <v>3808.4395008035822</v>
      </c>
      <c r="CJ8" s="165">
        <f ca="1">VLOOKUP($D8,Index_CALCULATION!$B$14:$DD$41,CJ$2,0)</f>
        <v>3839.029212511889</v>
      </c>
      <c r="CK8" s="165">
        <f ca="1">VLOOKUP($D8,Index_CALCULATION!$B$14:$DD$41,CK$2,0)</f>
        <v>3839.029212511889</v>
      </c>
      <c r="CL8" s="165">
        <f ca="1">VLOOKUP($D8,Index_CALCULATION!$B$14:$DD$41,CL$2,0)</f>
        <v>3874.0885974653897</v>
      </c>
      <c r="CM8" s="165">
        <f ca="1">VLOOKUP($D8,Index_CALCULATION!$B$14:$DD$41,CM$2,0)</f>
        <v>3900.8987925471856</v>
      </c>
      <c r="CN8" s="165">
        <f ca="1">VLOOKUP($D8,Index_CALCULATION!$B$14:$DD$41,CN$2,0)</f>
        <v>3933.5421073890666</v>
      </c>
      <c r="CO8" s="165">
        <f ca="1">VLOOKUP($D8,Index_CALCULATION!$B$14:$DD$41,CO$2,0)</f>
        <v>3965.1366539302758</v>
      </c>
      <c r="CP8" s="165">
        <f ca="1">VLOOKUP($D8,Index_CALCULATION!$B$14:$DD$41,CP$2,0)</f>
        <v>3965.1366539302758</v>
      </c>
      <c r="CQ8" s="165">
        <f ca="1">VLOOKUP($D8,Index_CALCULATION!$B$14:$DD$41,CQ$2,0)</f>
        <v>4069.9360063135841</v>
      </c>
      <c r="CR8" s="247">
        <f ca="1">VLOOKUP($D8,Index_CALCULATION!$B$14:$DD$41,CR$2,0)</f>
        <v>4115.4096811867203</v>
      </c>
      <c r="CS8" s="247">
        <f ca="1">VLOOKUP($D8,Index_CALCULATION!$B$14:$DD$41,CS$2,0)</f>
        <v>4115.4096811867203</v>
      </c>
      <c r="CT8" s="247">
        <f ca="1">VLOOKUP($D8,Index_CALCULATION!$B$14:$FP$41,CT$2,0)</f>
        <v>4115.4096811867203</v>
      </c>
      <c r="CU8" s="247">
        <f ca="1">VLOOKUP($D8,Index_CALCULATION!$B$14:$FP$41,CU$2,0)</f>
        <v>4148.4650036311268</v>
      </c>
      <c r="CV8" s="247">
        <f ca="1">VLOOKUP($D8,Index_CALCULATION!$B$14:$FP$41,CV$2,0)</f>
        <v>4148.4650036311268</v>
      </c>
      <c r="CW8" s="247">
        <f ca="1">VLOOKUP($D8,Index_CALCULATION!$B$14:$FP$41,CW$2,0)</f>
        <v>4148.4650036311268</v>
      </c>
      <c r="CX8" s="247">
        <f ca="1">VLOOKUP($D8,Index_CALCULATION!$B$14:$FP$41,CX$2,0)</f>
        <v>4194.8160883914434</v>
      </c>
      <c r="CY8" s="247">
        <f ca="1">VLOOKUP($D8,Index_CALCULATION!$B$14:$FP$41,CY$2,0)</f>
        <v>4194.8160883914434</v>
      </c>
      <c r="CZ8" s="247">
        <f ca="1">VLOOKUP($D8,Index_CALCULATION!$B$14:$FP$41,CZ$2,0)</f>
        <v>4220.3164118531331</v>
      </c>
      <c r="DA8" s="247">
        <f ca="1">VLOOKUP($D8,Index_CALCULATION!$B$14:$FP$41,DA$2,0)</f>
        <v>4190.2786998796255</v>
      </c>
      <c r="DB8" s="247">
        <f ca="1">VLOOKUP($D8,Index_CALCULATION!$B$14:$FP$41,DB$2,0)</f>
        <v>4218.3072157892811</v>
      </c>
    </row>
    <row r="9" spans="3:106" x14ac:dyDescent="0.3">
      <c r="C9" s="165" t="s">
        <v>128</v>
      </c>
      <c r="D9" s="165" t="s">
        <v>157</v>
      </c>
      <c r="E9" s="165">
        <v>0</v>
      </c>
      <c r="F9" s="165">
        <v>0</v>
      </c>
      <c r="G9" s="165">
        <v>0</v>
      </c>
      <c r="H9" s="165">
        <v>0</v>
      </c>
      <c r="I9" s="165">
        <v>0</v>
      </c>
      <c r="J9" s="165">
        <v>0</v>
      </c>
      <c r="K9" s="165">
        <v>0</v>
      </c>
      <c r="L9" s="165">
        <v>0</v>
      </c>
      <c r="M9" s="165">
        <v>0</v>
      </c>
      <c r="N9" s="165">
        <v>0</v>
      </c>
      <c r="O9" s="165">
        <v>0</v>
      </c>
      <c r="P9" s="165">
        <v>0</v>
      </c>
      <c r="Q9" s="165">
        <v>0</v>
      </c>
      <c r="R9" s="165">
        <v>1000</v>
      </c>
      <c r="S9" s="165">
        <v>1011.7059152296835</v>
      </c>
      <c r="T9" s="165">
        <v>1041.9285958270304</v>
      </c>
      <c r="U9" s="165">
        <v>1045.8678296912065</v>
      </c>
      <c r="V9" s="165">
        <v>1053.4374071146342</v>
      </c>
      <c r="W9" s="165">
        <v>1080.6924753352998</v>
      </c>
      <c r="X9" s="165">
        <v>1124.3278043876705</v>
      </c>
      <c r="Y9" s="165">
        <v>1138.4701071909487</v>
      </c>
      <c r="Z9" s="165">
        <v>1177.7238735002259</v>
      </c>
      <c r="AA9" s="165">
        <v>1207.5380953023812</v>
      </c>
      <c r="AB9" s="165">
        <v>1234.3770298880768</v>
      </c>
      <c r="AC9" s="165">
        <v>1267.5445009370499</v>
      </c>
      <c r="AD9" s="165">
        <v>1304.2006664989281</v>
      </c>
      <c r="AE9" s="165">
        <v>1324.9923204675947</v>
      </c>
      <c r="AF9" s="165">
        <v>1329.0546340623723</v>
      </c>
      <c r="AG9" s="165">
        <v>1337.6260782615725</v>
      </c>
      <c r="AH9" s="165">
        <v>1352.2170654065844</v>
      </c>
      <c r="AI9" s="165">
        <v>1357.4279147139564</v>
      </c>
      <c r="AJ9" s="165">
        <v>1357.4279147139564</v>
      </c>
      <c r="AK9" s="165">
        <v>1371.0702920615454</v>
      </c>
      <c r="AL9" s="165">
        <v>1380.7722608633167</v>
      </c>
      <c r="AM9" s="165">
        <v>1405.4412146969087</v>
      </c>
      <c r="AN9" s="165">
        <v>1417.7515703310301</v>
      </c>
      <c r="AO9" s="165">
        <v>1425.5533019251664</v>
      </c>
      <c r="AP9" s="165">
        <v>1420.5891050864723</v>
      </c>
      <c r="AQ9" s="165">
        <v>1423.0126287046173</v>
      </c>
      <c r="AR9" s="165">
        <v>1432.5893066090514</v>
      </c>
      <c r="AS9" s="165">
        <v>1417.3220702839276</v>
      </c>
      <c r="AT9" s="165">
        <v>1441.1420532608586</v>
      </c>
      <c r="AU9" s="165">
        <v>1475.8667076171982</v>
      </c>
      <c r="AV9" s="165">
        <v>1487.8522704967388</v>
      </c>
      <c r="AW9" s="165">
        <v>1518.5081729542653</v>
      </c>
      <c r="AX9" s="165">
        <v>1535.5868155885219</v>
      </c>
      <c r="AY9" s="165">
        <v>1557.5547814244094</v>
      </c>
      <c r="AZ9" s="165">
        <v>1564.7442731198278</v>
      </c>
      <c r="BA9" s="165">
        <v>1577.5096092912293</v>
      </c>
      <c r="BB9" s="165">
        <v>1582.7073298331657</v>
      </c>
      <c r="BC9" s="165">
        <v>1584.6386381108498</v>
      </c>
      <c r="BD9" s="165">
        <v>1603.1040140110742</v>
      </c>
      <c r="BE9" s="165">
        <v>1619.4343048928324</v>
      </c>
      <c r="BF9" s="165">
        <v>1632.585785030165</v>
      </c>
      <c r="BG9" s="165">
        <v>1625.7974963483098</v>
      </c>
      <c r="BH9" s="165">
        <v>1632.2278010857535</v>
      </c>
      <c r="BI9" s="165">
        <v>1648.9372936919669</v>
      </c>
      <c r="BJ9" s="165">
        <v>1668.2875524796975</v>
      </c>
      <c r="BK9" s="165">
        <v>1668.2875524796975</v>
      </c>
      <c r="BL9" s="165">
        <v>1677.3297393600471</v>
      </c>
      <c r="BM9" s="165">
        <f ca="1">VLOOKUP($D9,Index_CALCULATION!$B$14:$DD$41,BM$2,0)</f>
        <v>1629.2813687772227</v>
      </c>
      <c r="BN9" s="165">
        <f ca="1">VLOOKUP($D9,Index_CALCULATION!$B$14:$DD$41,BN$2,0)</f>
        <v>1619.9977394438681</v>
      </c>
      <c r="BO9" s="165">
        <f ca="1">VLOOKUP($D9,Index_CALCULATION!$B$14:$DD$41,BO$2,0)</f>
        <v>1630.4831252182605</v>
      </c>
      <c r="BP9" s="165">
        <f ca="1">VLOOKUP($D9,Index_CALCULATION!$B$14:$DD$41,BP$2,0)</f>
        <v>1641.7667005844194</v>
      </c>
      <c r="BQ9" s="165">
        <f ca="1">VLOOKUP($D9,Index_CALCULATION!$B$14:$DD$41,BQ$2,0)</f>
        <v>1641.7667005844194</v>
      </c>
      <c r="BR9" s="165">
        <f ca="1">VLOOKUP($D9,Index_CALCULATION!$B$14:$DD$41,BR$2,0)</f>
        <v>1631.8466903700307</v>
      </c>
      <c r="BS9" s="165">
        <f ca="1">VLOOKUP($D9,Index_CALCULATION!$B$14:$DD$41,BS$2,0)</f>
        <v>1641.7667005844191</v>
      </c>
      <c r="BT9" s="165">
        <f ca="1">VLOOKUP($D9,Index_CALCULATION!$B$14:$DD$41,BT$2,0)</f>
        <v>1683.3282224827076</v>
      </c>
      <c r="BU9" s="165">
        <f ca="1">VLOOKUP($D9,Index_CALCULATION!$B$14:$DD$41,BU$2,0)</f>
        <v>1693.259333717479</v>
      </c>
      <c r="BV9" s="165">
        <f ca="1">VLOOKUP($D9,Index_CALCULATION!$B$14:$DD$41,BV$2,0)</f>
        <v>1682.0084826659886</v>
      </c>
      <c r="BW9" s="165">
        <f ca="1">VLOOKUP($D9,Index_CALCULATION!$B$14:$DD$41,BW$2,0)</f>
        <v>1682.0084826659886</v>
      </c>
      <c r="BX9" s="165">
        <f ca="1">VLOOKUP($D9,Index_CALCULATION!$B$14:$DD$41,BX$2,0)</f>
        <v>1671.191745256215</v>
      </c>
      <c r="BY9" s="165">
        <f ca="1">VLOOKUP($D9,Index_CALCULATION!$B$14:$DD$41,BY$2,0)</f>
        <v>1660.0875221582219</v>
      </c>
      <c r="BZ9" s="165">
        <f ca="1">VLOOKUP($D9,Index_CALCULATION!$B$14:$DD$41,BZ$2,0)</f>
        <v>1660.0875221582219</v>
      </c>
      <c r="CA9" s="165">
        <f ca="1">VLOOKUP($D9,Index_CALCULATION!$B$14:$DD$41,CA$2,0)</f>
        <v>1660.0875221582219</v>
      </c>
      <c r="CB9" s="165">
        <f ca="1">VLOOKUP($D9,Index_CALCULATION!$B$14:$DD$41,CB$2,0)</f>
        <v>1660.0875221582219</v>
      </c>
      <c r="CC9" s="165">
        <f ca="1">VLOOKUP($D9,Index_CALCULATION!$B$14:$DD$41,CC$2,0)</f>
        <v>1660.0875221582219</v>
      </c>
      <c r="CD9" s="165">
        <f ca="1">VLOOKUP($D9,Index_CALCULATION!$B$14:$DD$41,CD$2,0)</f>
        <v>1660.0875221582219</v>
      </c>
      <c r="CE9" s="165">
        <f ca="1">VLOOKUP($D9,Index_CALCULATION!$B$14:$DD$41,CE$2,0)</f>
        <v>1641.7442013003565</v>
      </c>
      <c r="CF9" s="165">
        <f ca="1">VLOOKUP($D9,Index_CALCULATION!$B$14:$DD$41,CF$2,0)</f>
        <v>1630.059238695578</v>
      </c>
      <c r="CG9" s="165">
        <f ca="1">VLOOKUP($D9,Index_CALCULATION!$B$14:$DD$41,CG$2,0)</f>
        <v>1641.3398806026587</v>
      </c>
      <c r="CH9" s="165">
        <f ca="1">VLOOKUP($D9,Index_CALCULATION!$B$14:$DD$41,CH$2,0)</f>
        <v>1616.2817469398037</v>
      </c>
      <c r="CI9" s="165">
        <f ca="1">VLOOKUP($D9,Index_CALCULATION!$B$14:$DD$41,CI$2,0)</f>
        <v>1627.8679465842358</v>
      </c>
      <c r="CJ9" s="165">
        <f ca="1">VLOOKUP($D9,Index_CALCULATION!$B$14:$DD$41,CJ$2,0)</f>
        <v>1640.9431211208664</v>
      </c>
      <c r="CK9" s="165">
        <f ca="1">VLOOKUP($D9,Index_CALCULATION!$B$14:$DD$41,CK$2,0)</f>
        <v>1628.8328949534903</v>
      </c>
      <c r="CL9" s="165">
        <f ca="1">VLOOKUP($D9,Index_CALCULATION!$B$14:$DD$41,CL$2,0)</f>
        <v>1614.0924268272679</v>
      </c>
      <c r="CM9" s="165">
        <f ca="1">VLOOKUP($D9,Index_CALCULATION!$B$14:$DD$41,CM$2,0)</f>
        <v>1602.9990519040412</v>
      </c>
      <c r="CN9" s="165">
        <f ca="1">VLOOKUP($D9,Index_CALCULATION!$B$14:$DD$41,CN$2,0)</f>
        <v>1602.9990519040412</v>
      </c>
      <c r="CO9" s="165">
        <f ca="1">VLOOKUP($D9,Index_CALCULATION!$B$14:$DD$41,CO$2,0)</f>
        <v>1590.2262189423586</v>
      </c>
      <c r="CP9" s="165">
        <f ca="1">VLOOKUP($D9,Index_CALCULATION!$B$14:$DD$41,CP$2,0)</f>
        <v>1578.0406372743143</v>
      </c>
      <c r="CQ9" s="165">
        <f ca="1">VLOOKUP($D9,Index_CALCULATION!$B$14:$DD$41,CQ$2,0)</f>
        <v>1564.3780334920696</v>
      </c>
      <c r="CR9" s="247">
        <f ca="1">VLOOKUP($D9,Index_CALCULATION!$B$14:$DD$41,CR$2,0)</f>
        <v>1547.0922652248428</v>
      </c>
      <c r="CS9" s="247">
        <f ca="1">VLOOKUP($D9,Index_CALCULATION!$B$14:$DD$41,CS$2,0)</f>
        <v>1534.2533992550834</v>
      </c>
      <c r="CT9" s="247">
        <f ca="1">VLOOKUP($D9,Index_CALCULATION!$B$14:$FP$41,CT$2,0)</f>
        <v>1520.9699033802301</v>
      </c>
      <c r="CU9" s="247">
        <f ca="1">VLOOKUP($D9,Index_CALCULATION!$B$14:$FP$41,CU$2,0)</f>
        <v>1520.9699033802301</v>
      </c>
      <c r="CV9" s="247">
        <f ca="1">VLOOKUP($D9,Index_CALCULATION!$B$14:$FP$41,CV$2,0)</f>
        <v>1506.5532354977881</v>
      </c>
      <c r="CW9" s="247">
        <f ca="1">VLOOKUP($D9,Index_CALCULATION!$B$14:$FP$41,CW$2,0)</f>
        <v>1495.8304820962799</v>
      </c>
      <c r="CX9" s="247">
        <f ca="1">VLOOKUP($D9,Index_CALCULATION!$B$14:$FP$41,CX$2,0)</f>
        <v>1479.3021375868316</v>
      </c>
      <c r="CY9" s="247">
        <f ca="1">VLOOKUP($D9,Index_CALCULATION!$B$14:$FP$41,CY$2,0)</f>
        <v>1467.9665447041625</v>
      </c>
      <c r="CZ9" s="247">
        <f ca="1">VLOOKUP($D9,Index_CALCULATION!$B$14:$FP$41,CZ$2,0)</f>
        <v>1467.9665447041625</v>
      </c>
      <c r="DA9" s="247">
        <f ca="1">VLOOKUP($D9,Index_CALCULATION!$B$14:$FP$41,DA$2,0)</f>
        <v>1457.5184285077735</v>
      </c>
      <c r="DB9" s="247">
        <f ca="1">VLOOKUP($D9,Index_CALCULATION!$B$14:$FP$41,DB$2,0)</f>
        <v>1438.2138327591576</v>
      </c>
    </row>
    <row r="10" spans="3:106" x14ac:dyDescent="0.3">
      <c r="C10" s="165" t="s">
        <v>129</v>
      </c>
      <c r="D10" s="165" t="s">
        <v>158</v>
      </c>
      <c r="E10" s="165">
        <v>1000</v>
      </c>
      <c r="F10" s="165">
        <v>1047.9448766671974</v>
      </c>
      <c r="G10" s="165">
        <v>1080.2452824966854</v>
      </c>
      <c r="H10" s="165">
        <v>1108.4312246480806</v>
      </c>
      <c r="I10" s="165">
        <v>1127.378309491789</v>
      </c>
      <c r="J10" s="165">
        <v>1159.7141421831629</v>
      </c>
      <c r="K10" s="165">
        <v>1192.8618832469015</v>
      </c>
      <c r="L10" s="165">
        <v>1217.1409410260942</v>
      </c>
      <c r="M10" s="165">
        <v>1239.6241005467175</v>
      </c>
      <c r="N10" s="165">
        <v>1266.7351017770673</v>
      </c>
      <c r="O10" s="165">
        <v>1303.0680114760471</v>
      </c>
      <c r="P10" s="165">
        <v>1341.2483747146998</v>
      </c>
      <c r="Q10" s="165">
        <v>1376.452991265038</v>
      </c>
      <c r="R10" s="165">
        <v>1437.1927220758905</v>
      </c>
      <c r="S10" s="165">
        <v>1458.4101217909965</v>
      </c>
      <c r="T10" s="165">
        <v>1503.7951999174243</v>
      </c>
      <c r="U10" s="165">
        <v>1524.507323448516</v>
      </c>
      <c r="V10" s="165">
        <v>1554.8558334609293</v>
      </c>
      <c r="W10" s="165">
        <v>1597.6866556253408</v>
      </c>
      <c r="X10" s="165">
        <v>1626.2310140726381</v>
      </c>
      <c r="Y10" s="165">
        <v>1657.0105015440311</v>
      </c>
      <c r="Z10" s="165">
        <v>1697.5187371618842</v>
      </c>
      <c r="AA10" s="165">
        <v>1731.1089471723812</v>
      </c>
      <c r="AB10" s="165">
        <v>1776.4629524796533</v>
      </c>
      <c r="AC10" s="165">
        <v>1804.2673066337316</v>
      </c>
      <c r="AD10" s="165">
        <v>1837.8118237440658</v>
      </c>
      <c r="AE10" s="165">
        <v>1866.1579780074526</v>
      </c>
      <c r="AF10" s="165">
        <v>1874.7467748488298</v>
      </c>
      <c r="AG10" s="165">
        <v>1894.9413394163928</v>
      </c>
      <c r="AH10" s="165">
        <v>1907.4965131134056</v>
      </c>
      <c r="AI10" s="165">
        <v>1925.9262884340626</v>
      </c>
      <c r="AJ10" s="165">
        <v>1943.694831961179</v>
      </c>
      <c r="AK10" s="165">
        <v>1966.5040668221436</v>
      </c>
      <c r="AL10" s="165">
        <v>1988.0511093568878</v>
      </c>
      <c r="AM10" s="165">
        <v>2023.5697407964292</v>
      </c>
      <c r="AN10" s="165">
        <v>2030.6410314843351</v>
      </c>
      <c r="AO10" s="165">
        <v>2059.3201673941671</v>
      </c>
      <c r="AP10" s="165">
        <v>2097.9917206682235</v>
      </c>
      <c r="AQ10" s="165">
        <v>2111.1452308242492</v>
      </c>
      <c r="AR10" s="165">
        <v>2121.4686588648874</v>
      </c>
      <c r="AS10" s="165">
        <v>2130.5801781408441</v>
      </c>
      <c r="AT10" s="165">
        <v>2159.9494160482536</v>
      </c>
      <c r="AU10" s="165">
        <v>2230.5042033418472</v>
      </c>
      <c r="AV10" s="165">
        <v>2281.9304600207461</v>
      </c>
      <c r="AW10" s="165">
        <v>2355.141298623565</v>
      </c>
      <c r="AX10" s="165">
        <v>2417.9413941090438</v>
      </c>
      <c r="AY10" s="165">
        <v>2465.1057233593874</v>
      </c>
      <c r="AZ10" s="165">
        <v>2504.3373536459821</v>
      </c>
      <c r="BA10" s="165">
        <v>2529.5063624852473</v>
      </c>
      <c r="BB10" s="165">
        <v>2524.5188392341747</v>
      </c>
      <c r="BC10" s="165">
        <v>2541.5085013772505</v>
      </c>
      <c r="BD10" s="165">
        <v>2590.0061285576603</v>
      </c>
      <c r="BE10" s="165">
        <v>2632.3486175368766</v>
      </c>
      <c r="BF10" s="165">
        <v>2665.4594870606202</v>
      </c>
      <c r="BG10" s="165">
        <v>2676.5887380950185</v>
      </c>
      <c r="BH10" s="165">
        <v>2667.7986352098696</v>
      </c>
      <c r="BI10" s="165">
        <v>2672.7435802925411</v>
      </c>
      <c r="BJ10" s="165">
        <v>2704.1081932161223</v>
      </c>
      <c r="BK10" s="165">
        <v>2728.0735454021469</v>
      </c>
      <c r="BL10" s="165">
        <v>2780.1770646516129</v>
      </c>
      <c r="BM10" s="165">
        <f ca="1">VLOOKUP($D10,Index_CALCULATION!$B$14:$DD$41,BM$2,0)</f>
        <v>2540.6419423254629</v>
      </c>
      <c r="BN10" s="165">
        <f ca="1">VLOOKUP($D10,Index_CALCULATION!$B$14:$DD$41,BN$2,0)</f>
        <v>2526.1653893412317</v>
      </c>
      <c r="BO10" s="165">
        <f ca="1">VLOOKUP($D10,Index_CALCULATION!$B$14:$DD$41,BO$2,0)</f>
        <v>2542.5159174884216</v>
      </c>
      <c r="BP10" s="165">
        <f ca="1">VLOOKUP($D10,Index_CALCULATION!$B$14:$DD$41,BP$2,0)</f>
        <v>2560.1111133729537</v>
      </c>
      <c r="BQ10" s="165">
        <f ca="1">VLOOKUP($D10,Index_CALCULATION!$B$14:$DD$41,BQ$2,0)</f>
        <v>2560.1111133729537</v>
      </c>
      <c r="BR10" s="165">
        <f ca="1">VLOOKUP($D10,Index_CALCULATION!$B$14:$DD$41,BR$2,0)</f>
        <v>2544.6422112533105</v>
      </c>
      <c r="BS10" s="165">
        <f ca="1">VLOOKUP($D10,Index_CALCULATION!$B$14:$DD$41,BS$2,0)</f>
        <v>2560.1111133729532</v>
      </c>
      <c r="BT10" s="165">
        <f ca="1">VLOOKUP($D10,Index_CALCULATION!$B$14:$DD$41,BT$2,0)</f>
        <v>2560.1111133729532</v>
      </c>
      <c r="BU10" s="165">
        <f ca="1">VLOOKUP($D10,Index_CALCULATION!$B$14:$DD$41,BU$2,0)</f>
        <v>2575.2149700663217</v>
      </c>
      <c r="BV10" s="165">
        <f ca="1">VLOOKUP($D10,Index_CALCULATION!$B$14:$DD$41,BV$2,0)</f>
        <v>2575.2149700663217</v>
      </c>
      <c r="BW10" s="165">
        <f ca="1">VLOOKUP($D10,Index_CALCULATION!$B$14:$DD$41,BW$2,0)</f>
        <v>2575.2149700663217</v>
      </c>
      <c r="BX10" s="165">
        <f ca="1">VLOOKUP($D10,Index_CALCULATION!$B$14:$DD$41,BX$2,0)</f>
        <v>2558.6541593498532</v>
      </c>
      <c r="BY10" s="165">
        <f ca="1">VLOOKUP($D10,Index_CALCULATION!$B$14:$DD$41,BY$2,0)</f>
        <v>2558.6541593498532</v>
      </c>
      <c r="BZ10" s="165">
        <f ca="1">VLOOKUP($D10,Index_CALCULATION!$B$14:$DD$41,BZ$2,0)</f>
        <v>2558.6541593498532</v>
      </c>
      <c r="CA10" s="165">
        <f ca="1">VLOOKUP($D10,Index_CALCULATION!$B$14:$DD$41,CA$2,0)</f>
        <v>2625.543317867337</v>
      </c>
      <c r="CB10" s="165">
        <f ca="1">VLOOKUP($D10,Index_CALCULATION!$B$14:$DD$41,CB$2,0)</f>
        <v>2608.0979117146312</v>
      </c>
      <c r="CC10" s="165">
        <f ca="1">VLOOKUP($D10,Index_CALCULATION!$B$14:$DD$41,CC$2,0)</f>
        <v>2648.5327345425799</v>
      </c>
      <c r="CD10" s="165">
        <f ca="1">VLOOKUP($D10,Index_CALCULATION!$B$14:$DD$41,CD$2,0)</f>
        <v>2632.9988628715887</v>
      </c>
      <c r="CE10" s="165">
        <f ca="1">VLOOKUP($D10,Index_CALCULATION!$B$14:$DD$41,CE$2,0)</f>
        <v>2603.9052504473125</v>
      </c>
      <c r="CF10" s="165">
        <f ca="1">VLOOKUP($D10,Index_CALCULATION!$B$14:$DD$41,CF$2,0)</f>
        <v>2585.3721955086908</v>
      </c>
      <c r="CG10" s="165">
        <f ca="1">VLOOKUP($D10,Index_CALCULATION!$B$14:$DD$41,CG$2,0)</f>
        <v>2585.3721955086908</v>
      </c>
      <c r="CH10" s="165">
        <f ca="1">VLOOKUP($D10,Index_CALCULATION!$B$14:$DD$41,CH$2,0)</f>
        <v>2565.5610116309558</v>
      </c>
      <c r="CI10" s="165">
        <f ca="1">VLOOKUP($D10,Index_CALCULATION!$B$14:$DD$41,CI$2,0)</f>
        <v>2583.9520515205095</v>
      </c>
      <c r="CJ10" s="165">
        <f ca="1">VLOOKUP($D10,Index_CALCULATION!$B$14:$DD$41,CJ$2,0)</f>
        <v>2583.9520515205095</v>
      </c>
      <c r="CK10" s="165">
        <f ca="1">VLOOKUP($D10,Index_CALCULATION!$B$14:$DD$41,CK$2,0)</f>
        <v>2583.9520515205095</v>
      </c>
      <c r="CL10" s="165">
        <f ca="1">VLOOKUP($D10,Index_CALCULATION!$B$14:$DD$41,CL$2,0)</f>
        <v>2560.5680303768227</v>
      </c>
      <c r="CM10" s="165">
        <f ca="1">VLOOKUP($D10,Index_CALCULATION!$B$14:$DD$41,CM$2,0)</f>
        <v>2560.5680303768227</v>
      </c>
      <c r="CN10" s="165">
        <f ca="1">VLOOKUP($D10,Index_CALCULATION!$B$14:$DD$41,CN$2,0)</f>
        <v>2560.5680303768227</v>
      </c>
      <c r="CO10" s="165">
        <f ca="1">VLOOKUP($D10,Index_CALCULATION!$B$14:$DD$41,CO$2,0)</f>
        <v>2560.5680303768227</v>
      </c>
      <c r="CP10" s="165">
        <f ca="1">VLOOKUP($D10,Index_CALCULATION!$B$14:$DD$41,CP$2,0)</f>
        <v>2560.5680303768227</v>
      </c>
      <c r="CQ10" s="165">
        <f ca="1">VLOOKUP($D10,Index_CALCULATION!$B$14:$DD$41,CQ$2,0)</f>
        <v>2538.3987492885053</v>
      </c>
      <c r="CR10" s="247">
        <f ca="1">VLOOKUP($D10,Index_CALCULATION!$B$14:$DD$41,CR$2,0)</f>
        <v>2510.3504312920727</v>
      </c>
      <c r="CS10" s="247">
        <f ca="1">VLOOKUP($D10,Index_CALCULATION!$B$14:$DD$41,CS$2,0)</f>
        <v>2489.5177676889084</v>
      </c>
      <c r="CT10" s="247">
        <f ca="1">VLOOKUP($D10,Index_CALCULATION!$B$14:$FP$41,CT$2,0)</f>
        <v>2467.963636530701</v>
      </c>
      <c r="CU10" s="247">
        <f ca="1">VLOOKUP($D10,Index_CALCULATION!$B$14:$FP$41,CU$2,0)</f>
        <v>2487.7865314807532</v>
      </c>
      <c r="CV10" s="247">
        <f ca="1">VLOOKUP($D10,Index_CALCULATION!$B$14:$FP$41,CV$2,0)</f>
        <v>2464.2057938822895</v>
      </c>
      <c r="CW10" s="247">
        <f ca="1">VLOOKUP($D10,Index_CALCULATION!$B$14:$FP$41,CW$2,0)</f>
        <v>2446.6670369132157</v>
      </c>
      <c r="CX10" s="247">
        <f ca="1">VLOOKUP($D10,Index_CALCULATION!$B$14:$FP$41,CX$2,0)</f>
        <v>2419.6323186279319</v>
      </c>
      <c r="CY10" s="247">
        <f ca="1">VLOOKUP($D10,Index_CALCULATION!$B$14:$FP$41,CY$2,0)</f>
        <v>2401.0911658824502</v>
      </c>
      <c r="CZ10" s="247">
        <f ca="1">VLOOKUP($D10,Index_CALCULATION!$B$14:$FP$41,CZ$2,0)</f>
        <v>2401.0911658824502</v>
      </c>
      <c r="DA10" s="247">
        <f ca="1">VLOOKUP($D10,Index_CALCULATION!$B$14:$FP$41,DA$2,0)</f>
        <v>2384.0016214444204</v>
      </c>
      <c r="DB10" s="247">
        <f ca="1">VLOOKUP($D10,Index_CALCULATION!$B$14:$FP$41,DB$2,0)</f>
        <v>2352.4259057170061</v>
      </c>
    </row>
    <row r="11" spans="3:106" x14ac:dyDescent="0.3">
      <c r="C11" s="165" t="s">
        <v>130</v>
      </c>
      <c r="D11" s="165" t="s">
        <v>159</v>
      </c>
      <c r="E11" s="165">
        <v>0</v>
      </c>
      <c r="F11" s="165">
        <v>0</v>
      </c>
      <c r="G11" s="165">
        <v>0</v>
      </c>
      <c r="H11" s="165">
        <v>0</v>
      </c>
      <c r="I11" s="165">
        <v>0</v>
      </c>
      <c r="J11" s="165">
        <v>0</v>
      </c>
      <c r="K11" s="165">
        <v>0</v>
      </c>
      <c r="L11" s="165">
        <v>0</v>
      </c>
      <c r="M11" s="165">
        <v>0</v>
      </c>
      <c r="N11" s="165">
        <v>0</v>
      </c>
      <c r="O11" s="165">
        <v>0</v>
      </c>
      <c r="P11" s="165">
        <v>0</v>
      </c>
      <c r="Q11" s="165">
        <v>0</v>
      </c>
      <c r="R11" s="165">
        <v>1000</v>
      </c>
      <c r="S11" s="165">
        <v>1020.4652193217524</v>
      </c>
      <c r="T11" s="165">
        <v>1074.5172854217869</v>
      </c>
      <c r="U11" s="165">
        <v>1105.3625831648267</v>
      </c>
      <c r="V11" s="165">
        <v>1121.9601133411236</v>
      </c>
      <c r="W11" s="165">
        <v>1168.0020600735822</v>
      </c>
      <c r="X11" s="165">
        <v>1207.5916224838647</v>
      </c>
      <c r="Y11" s="165">
        <v>1224.0556492940045</v>
      </c>
      <c r="Z11" s="165">
        <v>1242.3442967394099</v>
      </c>
      <c r="AA11" s="165">
        <v>1271.2149918245259</v>
      </c>
      <c r="AB11" s="165">
        <v>1327.7789878233498</v>
      </c>
      <c r="AC11" s="165">
        <v>1359.845715375656</v>
      </c>
      <c r="AD11" s="165">
        <v>1393.6589855474729</v>
      </c>
      <c r="AE11" s="165">
        <v>1417.3222996162435</v>
      </c>
      <c r="AF11" s="165">
        <v>1444.3320101358456</v>
      </c>
      <c r="AG11" s="165">
        <v>1466.1602931315799</v>
      </c>
      <c r="AH11" s="165">
        <v>1498.3208551320099</v>
      </c>
      <c r="AI11" s="165">
        <v>1512.7972730591214</v>
      </c>
      <c r="AJ11" s="165">
        <v>1535.3469079184435</v>
      </c>
      <c r="AK11" s="165">
        <v>1563.7545422055773</v>
      </c>
      <c r="AL11" s="165">
        <v>1611.5845581671533</v>
      </c>
      <c r="AM11" s="165">
        <v>1669.6842877038362</v>
      </c>
      <c r="AN11" s="165">
        <v>1709.9630610904921</v>
      </c>
      <c r="AO11" s="165">
        <v>1735.1709085586417</v>
      </c>
      <c r="AP11" s="165">
        <v>1819.8977779065001</v>
      </c>
      <c r="AQ11" s="165">
        <v>1851.1846547523789</v>
      </c>
      <c r="AR11" s="165">
        <v>1878.4743556086173</v>
      </c>
      <c r="AS11" s="165">
        <v>1897.3533367458087</v>
      </c>
      <c r="AT11" s="165">
        <v>1955.8347360477737</v>
      </c>
      <c r="AU11" s="165">
        <v>2075.7880958291139</v>
      </c>
      <c r="AV11" s="165">
        <v>2161.4559882851104</v>
      </c>
      <c r="AW11" s="165">
        <v>2233.7388594564472</v>
      </c>
      <c r="AX11" s="165">
        <v>2267.7958737376316</v>
      </c>
      <c r="AY11" s="165">
        <v>2302.8541494247588</v>
      </c>
      <c r="AZ11" s="165">
        <v>2321.1065309937799</v>
      </c>
      <c r="BA11" s="165">
        <v>2369.4764533560856</v>
      </c>
      <c r="BB11" s="165">
        <v>2426.2654795536791</v>
      </c>
      <c r="BC11" s="165">
        <v>2457.5332760599572</v>
      </c>
      <c r="BD11" s="165">
        <v>2495.2826665706098</v>
      </c>
      <c r="BE11" s="165">
        <v>2579.2795715563543</v>
      </c>
      <c r="BF11" s="165">
        <v>2644.5743447765008</v>
      </c>
      <c r="BG11" s="165">
        <v>2683.4236415777546</v>
      </c>
      <c r="BH11" s="165">
        <v>2717.1769558163332</v>
      </c>
      <c r="BI11" s="165">
        <v>2762.8427294537173</v>
      </c>
      <c r="BJ11" s="165">
        <v>2816.3079534209469</v>
      </c>
      <c r="BK11" s="165">
        <v>2858.0302767292001</v>
      </c>
      <c r="BL11" s="165">
        <v>2900.8318421841213</v>
      </c>
      <c r="BM11" s="165">
        <f ca="1">VLOOKUP($D11,Index_CALCULATION!$B$14:$DD$41,BM$2,0)</f>
        <v>2323.6797506358766</v>
      </c>
      <c r="BN11" s="165">
        <f ca="1">VLOOKUP($D11,Index_CALCULATION!$B$14:$DD$41,BN$2,0)</f>
        <v>2323.6797506358766</v>
      </c>
      <c r="BO11" s="165">
        <f ca="1">VLOOKUP($D11,Index_CALCULATION!$B$14:$DD$41,BO$2,0)</f>
        <v>2323.6797506358766</v>
      </c>
      <c r="BP11" s="165">
        <f ca="1">VLOOKUP($D11,Index_CALCULATION!$B$14:$DD$41,BP$2,0)</f>
        <v>2323.6797506358766</v>
      </c>
      <c r="BQ11" s="165">
        <f ca="1">VLOOKUP($D11,Index_CALCULATION!$B$14:$DD$41,BQ$2,0)</f>
        <v>2339.760515402827</v>
      </c>
      <c r="BR11" s="165">
        <f ca="1">VLOOKUP($D11,Index_CALCULATION!$B$14:$DD$41,BR$2,0)</f>
        <v>2325.6230327728304</v>
      </c>
      <c r="BS11" s="165">
        <f ca="1">VLOOKUP($D11,Index_CALCULATION!$B$14:$DD$41,BS$2,0)</f>
        <v>2339.760515402827</v>
      </c>
      <c r="BT11" s="165">
        <f ca="1">VLOOKUP($D11,Index_CALCULATION!$B$14:$DD$41,BT$2,0)</f>
        <v>2354.4298124257043</v>
      </c>
      <c r="BU11" s="165">
        <f ca="1">VLOOKUP($D11,Index_CALCULATION!$B$14:$DD$41,BU$2,0)</f>
        <v>2340.6208796201627</v>
      </c>
      <c r="BV11" s="165">
        <f ca="1">VLOOKUP($D11,Index_CALCULATION!$B$14:$DD$41,BV$2,0)</f>
        <v>2356.2771483940728</v>
      </c>
      <c r="BW11" s="165">
        <f ca="1">VLOOKUP($D11,Index_CALCULATION!$B$14:$DD$41,BW$2,0)</f>
        <v>2371.5280801026433</v>
      </c>
      <c r="BX11" s="165">
        <f ca="1">VLOOKUP($D11,Index_CALCULATION!$B$14:$DD$41,BX$2,0)</f>
        <v>2371.5280801026433</v>
      </c>
      <c r="BY11" s="165">
        <f ca="1">VLOOKUP($D11,Index_CALCULATION!$B$14:$DD$41,BY$2,0)</f>
        <v>2371.5280801026433</v>
      </c>
      <c r="BZ11" s="165">
        <f ca="1">VLOOKUP($D11,Index_CALCULATION!$B$14:$DD$41,BZ$2,0)</f>
        <v>2402.3267159907182</v>
      </c>
      <c r="CA11" s="165">
        <f ca="1">VLOOKUP($D11,Index_CALCULATION!$B$14:$DD$41,CA$2,0)</f>
        <v>2497.1433290270447</v>
      </c>
      <c r="CB11" s="165">
        <f ca="1">VLOOKUP($D11,Index_CALCULATION!$B$14:$DD$41,CB$2,0)</f>
        <v>2530.6615315329527</v>
      </c>
      <c r="CC11" s="165">
        <f ca="1">VLOOKUP($D11,Index_CALCULATION!$B$14:$DD$41,CC$2,0)</f>
        <v>2530.6615315329527</v>
      </c>
      <c r="CD11" s="165">
        <f ca="1">VLOOKUP($D11,Index_CALCULATION!$B$14:$DD$41,CD$2,0)</f>
        <v>2545.5916448831249</v>
      </c>
      <c r="CE11" s="165">
        <f ca="1">VLOOKUP($D11,Index_CALCULATION!$B$14:$DD$41,CE$2,0)</f>
        <v>2517.4638481905226</v>
      </c>
      <c r="CF11" s="165">
        <f ca="1">VLOOKUP($D11,Index_CALCULATION!$B$14:$DD$41,CF$2,0)</f>
        <v>2517.4638481905226</v>
      </c>
      <c r="CG11" s="165">
        <f ca="1">VLOOKUP($D11,Index_CALCULATION!$B$14:$DD$41,CG$2,0)</f>
        <v>2552.4280656844426</v>
      </c>
      <c r="CH11" s="165">
        <f ca="1">VLOOKUP($D11,Index_CALCULATION!$B$14:$DD$41,CH$2,0)</f>
        <v>2532.8693260059508</v>
      </c>
      <c r="CI11" s="165">
        <f ca="1">VLOOKUP($D11,Index_CALCULATION!$B$14:$DD$41,CI$2,0)</f>
        <v>2569.3128647252079</v>
      </c>
      <c r="CJ11" s="165">
        <f ca="1">VLOOKUP($D11,Index_CALCULATION!$B$14:$DD$41,CJ$2,0)</f>
        <v>2569.3128647252079</v>
      </c>
      <c r="CK11" s="165">
        <f ca="1">VLOOKUP($D11,Index_CALCULATION!$B$14:$DD$41,CK$2,0)</f>
        <v>2569.3128647252079</v>
      </c>
      <c r="CL11" s="165">
        <f ca="1">VLOOKUP($D11,Index_CALCULATION!$B$14:$DD$41,CL$2,0)</f>
        <v>2569.3128647252079</v>
      </c>
      <c r="CM11" s="165">
        <f ca="1">VLOOKUP($D11,Index_CALCULATION!$B$14:$DD$41,CM$2,0)</f>
        <v>2569.3128647252079</v>
      </c>
      <c r="CN11" s="165">
        <f ca="1">VLOOKUP($D11,Index_CALCULATION!$B$14:$DD$41,CN$2,0)</f>
        <v>2569.3128647252079</v>
      </c>
      <c r="CO11" s="165">
        <f ca="1">VLOOKUP($D11,Index_CALCULATION!$B$14:$DD$41,CO$2,0)</f>
        <v>2569.3128647252079</v>
      </c>
      <c r="CP11" s="165">
        <f ca="1">VLOOKUP($D11,Index_CALCULATION!$B$14:$DD$41,CP$2,0)</f>
        <v>2549.6247402490003</v>
      </c>
      <c r="CQ11" s="165">
        <f ca="1">VLOOKUP($D11,Index_CALCULATION!$B$14:$DD$41,CQ$2,0)</f>
        <v>2549.6247402490003</v>
      </c>
      <c r="CR11" s="247">
        <f ca="1">VLOOKUP($D11,Index_CALCULATION!$B$14:$DD$41,CR$2,0)</f>
        <v>2521.4523794226643</v>
      </c>
      <c r="CS11" s="247">
        <f ca="1">VLOOKUP($D11,Index_CALCULATION!$B$14:$DD$41,CS$2,0)</f>
        <v>2500.5275840008258</v>
      </c>
      <c r="CT11" s="247">
        <f ca="1">VLOOKUP($D11,Index_CALCULATION!$B$14:$FP$41,CT$2,0)</f>
        <v>2478.8781303557112</v>
      </c>
      <c r="CU11" s="247">
        <f ca="1">VLOOKUP($D11,Index_CALCULATION!$B$14:$FP$41,CU$2,0)</f>
        <v>2478.8781303557112</v>
      </c>
      <c r="CV11" s="247">
        <f ca="1">VLOOKUP($D11,Index_CALCULATION!$B$14:$FP$41,CV$2,0)</f>
        <v>2455.3818319431234</v>
      </c>
      <c r="CW11" s="247">
        <f ca="1">VLOOKUP($D11,Index_CALCULATION!$B$14:$FP$41,CW$2,0)</f>
        <v>2437.9058787075446</v>
      </c>
      <c r="CX11" s="247">
        <f ca="1">VLOOKUP($D11,Index_CALCULATION!$B$14:$FP$41,CX$2,0)</f>
        <v>2437.9058787075446</v>
      </c>
      <c r="CY11" s="247">
        <f ca="1">VLOOKUP($D11,Index_CALCULATION!$B$14:$FP$41,CY$2,0)</f>
        <v>2456.7313135425488</v>
      </c>
      <c r="CZ11" s="247">
        <f ca="1">VLOOKUP($D11,Index_CALCULATION!$B$14:$FP$41,CZ$2,0)</f>
        <v>2456.7313135425488</v>
      </c>
      <c r="DA11" s="247">
        <f ca="1">VLOOKUP($D11,Index_CALCULATION!$B$14:$FP$41,DA$2,0)</f>
        <v>2439.2457554964199</v>
      </c>
      <c r="DB11" s="247">
        <f ca="1">VLOOKUP($D11,Index_CALCULATION!$B$14:$FP$41,DB$2,0)</f>
        <v>2439.2457554964199</v>
      </c>
    </row>
    <row r="12" spans="3:106" x14ac:dyDescent="0.3">
      <c r="C12" s="165" t="s">
        <v>131</v>
      </c>
      <c r="D12" s="165" t="s">
        <v>160</v>
      </c>
      <c r="E12" s="165">
        <v>0</v>
      </c>
      <c r="F12" s="165">
        <v>0</v>
      </c>
      <c r="G12" s="165">
        <v>0</v>
      </c>
      <c r="H12" s="165">
        <v>0</v>
      </c>
      <c r="I12" s="165">
        <v>0</v>
      </c>
      <c r="J12" s="165">
        <v>0</v>
      </c>
      <c r="K12" s="165">
        <v>0</v>
      </c>
      <c r="L12" s="165">
        <v>0</v>
      </c>
      <c r="M12" s="165">
        <v>0</v>
      </c>
      <c r="N12" s="165">
        <v>0</v>
      </c>
      <c r="O12" s="165">
        <v>0</v>
      </c>
      <c r="P12" s="165">
        <v>0</v>
      </c>
      <c r="Q12" s="165">
        <v>0</v>
      </c>
      <c r="R12" s="165">
        <v>1000</v>
      </c>
      <c r="S12" s="165">
        <v>1045.8475258241865</v>
      </c>
      <c r="T12" s="165">
        <v>1088.4415919530147</v>
      </c>
      <c r="U12" s="165">
        <v>1129.2338499469809</v>
      </c>
      <c r="V12" s="165">
        <v>1182.5737887006619</v>
      </c>
      <c r="W12" s="165">
        <v>1232.4420256986964</v>
      </c>
      <c r="X12" s="165">
        <v>1283.5409013386691</v>
      </c>
      <c r="Y12" s="165">
        <v>1337.4548218869177</v>
      </c>
      <c r="Z12" s="165">
        <v>1402.4574907191536</v>
      </c>
      <c r="AA12" s="165">
        <v>1459.4956242220144</v>
      </c>
      <c r="AB12" s="165">
        <v>1532.3428055857883</v>
      </c>
      <c r="AC12" s="165">
        <v>1599.3556670244416</v>
      </c>
      <c r="AD12" s="165">
        <v>1644.8858923617217</v>
      </c>
      <c r="AE12" s="165">
        <v>1688.2482005904544</v>
      </c>
      <c r="AF12" s="165">
        <v>1730.9864072635519</v>
      </c>
      <c r="AG12" s="165">
        <v>1778.6137713771911</v>
      </c>
      <c r="AH12" s="165">
        <v>1840.9251479073762</v>
      </c>
      <c r="AI12" s="165">
        <v>1885.1100322714167</v>
      </c>
      <c r="AJ12" s="165">
        <v>1979.7405159956827</v>
      </c>
      <c r="AK12" s="165">
        <v>2050.2582966742648</v>
      </c>
      <c r="AL12" s="165">
        <v>2130.6504784694584</v>
      </c>
      <c r="AM12" s="165">
        <v>2208.6132326932175</v>
      </c>
      <c r="AN12" s="165">
        <v>2284.3596680779392</v>
      </c>
      <c r="AO12" s="165">
        <v>2378.1661244533284</v>
      </c>
      <c r="AP12" s="165">
        <v>2488.4959502602765</v>
      </c>
      <c r="AQ12" s="165">
        <v>2570.4085510928185</v>
      </c>
      <c r="AR12" s="165">
        <v>2662.9398232615586</v>
      </c>
      <c r="AS12" s="165">
        <v>2720.6185992810997</v>
      </c>
      <c r="AT12" s="165">
        <v>2807.8158392619357</v>
      </c>
      <c r="AU12" s="165">
        <v>2887.4769414776561</v>
      </c>
      <c r="AV12" s="165">
        <v>3046.7015937647825</v>
      </c>
      <c r="AW12" s="165">
        <v>3198.6977418188444</v>
      </c>
      <c r="AX12" s="165">
        <v>3334.061197423855</v>
      </c>
      <c r="AY12" s="165">
        <v>3453.6043072784828</v>
      </c>
      <c r="AZ12" s="165">
        <v>3597.3874947971849</v>
      </c>
      <c r="BA12" s="165">
        <v>3725.525389801267</v>
      </c>
      <c r="BB12" s="165">
        <v>3817.3252895450692</v>
      </c>
      <c r="BC12" s="165">
        <v>3937.8998663978414</v>
      </c>
      <c r="BD12" s="165">
        <v>4064.7606860226279</v>
      </c>
      <c r="BE12" s="165">
        <v>4218.6578464756958</v>
      </c>
      <c r="BF12" s="165">
        <v>4431.69326320452</v>
      </c>
      <c r="BG12" s="165">
        <v>4540.7277339977591</v>
      </c>
      <c r="BH12" s="165">
        <v>4695.6658543566255</v>
      </c>
      <c r="BI12" s="165">
        <v>4801.1820443704</v>
      </c>
      <c r="BJ12" s="165">
        <v>4992.9594669358139</v>
      </c>
      <c r="BK12" s="165">
        <v>5157.1378980390609</v>
      </c>
      <c r="BL12" s="165">
        <v>5345.1658099118586</v>
      </c>
      <c r="BM12" s="165">
        <f ca="1">VLOOKUP($D12,Index_CALCULATION!$B$14:$DD$41,BM$2,0)</f>
        <v>3705.7930191984897</v>
      </c>
      <c r="BN12" s="165">
        <f ca="1">VLOOKUP($D12,Index_CALCULATION!$B$14:$DD$41,BN$2,0)</f>
        <v>3791.4723214400751</v>
      </c>
      <c r="BO12" s="165">
        <f ca="1">VLOOKUP($D12,Index_CALCULATION!$B$14:$DD$41,BO$2,0)</f>
        <v>3865.5704219440672</v>
      </c>
      <c r="BP12" s="165">
        <f ca="1">VLOOKUP($D12,Index_CALCULATION!$B$14:$DD$41,BP$2,0)</f>
        <v>3946.380828104031</v>
      </c>
      <c r="BQ12" s="165">
        <f ca="1">VLOOKUP($D12,Index_CALCULATION!$B$14:$DD$41,BQ$2,0)</f>
        <v>4084.8363710946546</v>
      </c>
      <c r="BR12" s="165">
        <f ca="1">VLOOKUP($D12,Index_CALCULATION!$B$14:$DD$41,BR$2,0)</f>
        <v>4084.8363710946546</v>
      </c>
      <c r="BS12" s="165">
        <f ca="1">VLOOKUP($D12,Index_CALCULATION!$B$14:$DD$41,BS$2,0)</f>
        <v>4084.8363710946546</v>
      </c>
      <c r="BT12" s="165">
        <f ca="1">VLOOKUP($D12,Index_CALCULATION!$B$14:$DD$41,BT$2,0)</f>
        <v>4136.2172874398893</v>
      </c>
      <c r="BU12" s="165">
        <f ca="1">VLOOKUP($D12,Index_CALCULATION!$B$14:$DD$41,BU$2,0)</f>
        <v>4185.166036535521</v>
      </c>
      <c r="BV12" s="165">
        <f ca="1">VLOOKUP($D12,Index_CALCULATION!$B$14:$DD$41,BV$2,0)</f>
        <v>4185.166036535521</v>
      </c>
      <c r="BW12" s="165">
        <f ca="1">VLOOKUP($D12,Index_CALCULATION!$B$14:$DD$41,BW$2,0)</f>
        <v>4212.2543955834935</v>
      </c>
      <c r="BX12" s="165">
        <f ca="1">VLOOKUP($D12,Index_CALCULATION!$B$14:$DD$41,BX$2,0)</f>
        <v>4212.2543955834935</v>
      </c>
      <c r="BY12" s="165">
        <f ca="1">VLOOKUP($D12,Index_CALCULATION!$B$14:$DD$41,BY$2,0)</f>
        <v>4184.2660975998351</v>
      </c>
      <c r="BZ12" s="165">
        <f ca="1">VLOOKUP($D12,Index_CALCULATION!$B$14:$DD$41,BZ$2,0)</f>
        <v>4184.2660975998351</v>
      </c>
      <c r="CA12" s="165">
        <f ca="1">VLOOKUP($D12,Index_CALCULATION!$B$14:$DD$41,CA$2,0)</f>
        <v>4211.3486318205969</v>
      </c>
      <c r="CB12" s="165">
        <f ca="1">VLOOKUP($D12,Index_CALCULATION!$B$14:$DD$41,CB$2,0)</f>
        <v>4239.5180832061287</v>
      </c>
      <c r="CC12" s="165">
        <f ca="1">VLOOKUP($D12,Index_CALCULATION!$B$14:$DD$41,CC$2,0)</f>
        <v>4272.2555125319604</v>
      </c>
      <c r="CD12" s="165">
        <f ca="1">VLOOKUP($D12,Index_CALCULATION!$B$14:$DD$41,CD$2,0)</f>
        <v>4297.4604869104833</v>
      </c>
      <c r="CE12" s="165">
        <f ca="1">VLOOKUP($D12,Index_CALCULATION!$B$14:$DD$41,CE$2,0)</f>
        <v>4345.4763084513534</v>
      </c>
      <c r="CF12" s="165">
        <f ca="1">VLOOKUP($D12,Index_CALCULATION!$B$14:$DD$41,CF$2,0)</f>
        <v>4376.6265433378103</v>
      </c>
      <c r="CG12" s="165">
        <f ca="1">VLOOKUP($D12,Index_CALCULATION!$B$14:$DD$41,CG$2,0)</f>
        <v>4437.4120527150017</v>
      </c>
      <c r="CH12" s="165">
        <f ca="1">VLOOKUP($D12,Index_CALCULATION!$B$14:$DD$41,CH$2,0)</f>
        <v>4437.4120527150017</v>
      </c>
      <c r="CI12" s="165">
        <f ca="1">VLOOKUP($D12,Index_CALCULATION!$B$14:$DD$41,CI$2,0)</f>
        <v>4437.4120527150017</v>
      </c>
      <c r="CJ12" s="165">
        <f ca="1">VLOOKUP($D12,Index_CALCULATION!$B$14:$DD$41,CJ$2,0)</f>
        <v>4508.9816757304561</v>
      </c>
      <c r="CK12" s="165">
        <f ca="1">VLOOKUP($D12,Index_CALCULATION!$B$14:$DD$41,CK$2,0)</f>
        <v>4508.9816757304561</v>
      </c>
      <c r="CL12" s="165">
        <f ca="1">VLOOKUP($D12,Index_CALCULATION!$B$14:$DD$41,CL$2,0)</f>
        <v>4633.6461462622701</v>
      </c>
      <c r="CM12" s="165">
        <f ca="1">VLOOKUP($D12,Index_CALCULATION!$B$14:$DD$41,CM$2,0)</f>
        <v>4796.213830718455</v>
      </c>
      <c r="CN12" s="165">
        <f ca="1">VLOOKUP($D12,Index_CALCULATION!$B$14:$DD$41,CN$2,0)</f>
        <v>4836.3492780733695</v>
      </c>
      <c r="CO12" s="165">
        <f ca="1">VLOOKUP($D12,Index_CALCULATION!$B$14:$DD$41,CO$2,0)</f>
        <v>4875.1952490033864</v>
      </c>
      <c r="CP12" s="165">
        <f ca="1">VLOOKUP($D12,Index_CALCULATION!$B$14:$DD$41,CP$2,0)</f>
        <v>4912.8413580142442</v>
      </c>
      <c r="CQ12" s="165">
        <f ca="1">VLOOKUP($D12,Index_CALCULATION!$B$14:$DD$41,CQ$2,0)</f>
        <v>5042.6887346920421</v>
      </c>
      <c r="CR12" s="247">
        <f ca="1">VLOOKUP($D12,Index_CALCULATION!$B$14:$DD$41,CR$2,0)</f>
        <v>5099.0310426919932</v>
      </c>
      <c r="CS12" s="247">
        <f ca="1">VLOOKUP($D12,Index_CALCULATION!$B$14:$DD$41,CS$2,0)</f>
        <v>5141.7005105677372</v>
      </c>
      <c r="CT12" s="247">
        <f ca="1">VLOOKUP($D12,Index_CALCULATION!$B$14:$FP$41,CT$2,0)</f>
        <v>5231.9034892040909</v>
      </c>
      <c r="CU12" s="247">
        <f ca="1">VLOOKUP($D12,Index_CALCULATION!$B$14:$FP$41,CU$2,0)</f>
        <v>5402.0319386701522</v>
      </c>
      <c r="CV12" s="247">
        <f ca="1">VLOOKUP($D12,Index_CALCULATION!$B$14:$FP$41,CV$2,0)</f>
        <v>5453.7256316078719</v>
      </c>
      <c r="CW12" s="247">
        <f ca="1">VLOOKUP($D12,Index_CALCULATION!$B$14:$FP$41,CW$2,0)</f>
        <v>5453.7256316078719</v>
      </c>
      <c r="CX12" s="247">
        <f ca="1">VLOOKUP($D12,Index_CALCULATION!$B$14:$FP$41,CX$2,0)</f>
        <v>5545.3827464086935</v>
      </c>
      <c r="CY12" s="247">
        <f ca="1">VLOOKUP($D12,Index_CALCULATION!$B$14:$FP$41,CY$2,0)</f>
        <v>5545.3827464086935</v>
      </c>
      <c r="CZ12" s="247">
        <f ca="1">VLOOKUP($D12,Index_CALCULATION!$B$14:$FP$41,CZ$2,0)</f>
        <v>5647.1300598887283</v>
      </c>
      <c r="DA12" s="247">
        <f ca="1">VLOOKUP($D12,Index_CALCULATION!$B$14:$FP$41,DA$2,0)</f>
        <v>5647.1300598887283</v>
      </c>
      <c r="DB12" s="247">
        <f ca="1">VLOOKUP($D12,Index_CALCULATION!$B$14:$FP$41,DB$2,0)</f>
        <v>5722.929332891732</v>
      </c>
    </row>
    <row r="13" spans="3:106" x14ac:dyDescent="0.3">
      <c r="C13" s="165" t="s">
        <v>132</v>
      </c>
      <c r="D13" s="165" t="s">
        <v>161</v>
      </c>
      <c r="E13" s="165">
        <v>0</v>
      </c>
      <c r="F13" s="165">
        <v>0</v>
      </c>
      <c r="G13" s="165">
        <v>0</v>
      </c>
      <c r="H13" s="165">
        <v>0</v>
      </c>
      <c r="I13" s="165">
        <v>0</v>
      </c>
      <c r="J13" s="165">
        <v>0</v>
      </c>
      <c r="K13" s="165">
        <v>0</v>
      </c>
      <c r="L13" s="165">
        <v>0</v>
      </c>
      <c r="M13" s="165">
        <v>0</v>
      </c>
      <c r="N13" s="165">
        <v>0</v>
      </c>
      <c r="O13" s="165">
        <v>0</v>
      </c>
      <c r="P13" s="165">
        <v>0</v>
      </c>
      <c r="Q13" s="165">
        <v>0</v>
      </c>
      <c r="R13" s="165">
        <v>1000</v>
      </c>
      <c r="S13" s="165">
        <v>1039.5553809752741</v>
      </c>
      <c r="T13" s="165">
        <v>1079.2788681594968</v>
      </c>
      <c r="U13" s="165">
        <v>1118.6718797943499</v>
      </c>
      <c r="V13" s="165">
        <v>1141.4900470271002</v>
      </c>
      <c r="W13" s="165">
        <v>1163.4109992779991</v>
      </c>
      <c r="X13" s="165">
        <v>1198.4675594200671</v>
      </c>
      <c r="Y13" s="165">
        <v>1231.3695930620011</v>
      </c>
      <c r="Z13" s="165">
        <v>1280.8626802594508</v>
      </c>
      <c r="AA13" s="165">
        <v>1306.2081715831323</v>
      </c>
      <c r="AB13" s="165">
        <v>1346.8006120329501</v>
      </c>
      <c r="AC13" s="165">
        <v>1376.7168352475803</v>
      </c>
      <c r="AD13" s="165">
        <v>1392.5060931225594</v>
      </c>
      <c r="AE13" s="165">
        <v>1408.9429781379679</v>
      </c>
      <c r="AF13" s="165">
        <v>1425.5738811116059</v>
      </c>
      <c r="AG13" s="165">
        <v>1434.7678048681007</v>
      </c>
      <c r="AH13" s="165">
        <v>1458.6516208537289</v>
      </c>
      <c r="AI13" s="165">
        <v>1468.9733327310225</v>
      </c>
      <c r="AJ13" s="165">
        <v>1516.9573735889883</v>
      </c>
      <c r="AK13" s="165">
        <v>1539.0279952940803</v>
      </c>
      <c r="AL13" s="165">
        <v>1569.917138807094</v>
      </c>
      <c r="AM13" s="165">
        <v>1605.4734114117566</v>
      </c>
      <c r="AN13" s="165">
        <v>1641.3378914414757</v>
      </c>
      <c r="AO13" s="165">
        <v>1667.5664619642273</v>
      </c>
      <c r="AP13" s="165">
        <v>1698.8813523309257</v>
      </c>
      <c r="AQ13" s="165">
        <v>1709.532611295213</v>
      </c>
      <c r="AR13" s="165">
        <v>1728.3991204287354</v>
      </c>
      <c r="AS13" s="165">
        <v>1721.0075460285293</v>
      </c>
      <c r="AT13" s="165">
        <v>1745.7698203771731</v>
      </c>
      <c r="AU13" s="165">
        <v>1811.4006360337569</v>
      </c>
      <c r="AV13" s="165">
        <v>1843.6502480879969</v>
      </c>
      <c r="AW13" s="165">
        <v>1854.5989802633883</v>
      </c>
      <c r="AX13" s="165">
        <v>1887.8368455490418</v>
      </c>
      <c r="AY13" s="165">
        <v>1903.9951226062221</v>
      </c>
      <c r="AZ13" s="165">
        <v>1944.5041450460255</v>
      </c>
      <c r="BA13" s="165">
        <v>1970.1939827208928</v>
      </c>
      <c r="BB13" s="165">
        <v>2005.5035255822729</v>
      </c>
      <c r="BC13" s="165">
        <v>2035.0681566085561</v>
      </c>
      <c r="BD13" s="165">
        <v>2063.8098176624972</v>
      </c>
      <c r="BE13" s="165">
        <v>2077.8016952174739</v>
      </c>
      <c r="BF13" s="165">
        <v>2122.5835172078791</v>
      </c>
      <c r="BG13" s="165">
        <v>2143.3203867343395</v>
      </c>
      <c r="BH13" s="165">
        <v>2197.5788006469847</v>
      </c>
      <c r="BI13" s="165">
        <v>2267.8623474077722</v>
      </c>
      <c r="BJ13" s="165">
        <v>2296.3885440454701</v>
      </c>
      <c r="BK13" s="165">
        <v>2345.881459195627</v>
      </c>
      <c r="BL13" s="165">
        <v>2369.7781784777007</v>
      </c>
      <c r="BM13" s="165">
        <f ca="1">VLOOKUP($D13,Index_CALCULATION!$B$14:$DD$41,BM$2,0)</f>
        <v>1934.4102989295495</v>
      </c>
      <c r="BN13" s="165">
        <f ca="1">VLOOKUP($D13,Index_CALCULATION!$B$14:$DD$41,BN$2,0)</f>
        <v>1979.1345789426484</v>
      </c>
      <c r="BO13" s="165">
        <f ca="1">VLOOKUP($D13,Index_CALCULATION!$B$14:$DD$41,BO$2,0)</f>
        <v>1991.9444669161817</v>
      </c>
      <c r="BP13" s="165">
        <f ca="1">VLOOKUP($D13,Index_CALCULATION!$B$14:$DD$41,BP$2,0)</f>
        <v>2005.7294949057496</v>
      </c>
      <c r="BQ13" s="165">
        <f ca="1">VLOOKUP($D13,Index_CALCULATION!$B$14:$DD$41,BQ$2,0)</f>
        <v>2033.5864042886831</v>
      </c>
      <c r="BR13" s="165">
        <f ca="1">VLOOKUP($D13,Index_CALCULATION!$B$14:$DD$41,BR$2,0)</f>
        <v>2058.385932999915</v>
      </c>
      <c r="BS13" s="165">
        <f ca="1">VLOOKUP($D13,Index_CALCULATION!$B$14:$DD$41,BS$2,0)</f>
        <v>2058.385932999915</v>
      </c>
      <c r="BT13" s="165">
        <f ca="1">VLOOKUP($D13,Index_CALCULATION!$B$14:$DD$41,BT$2,0)</f>
        <v>2084.2772407100779</v>
      </c>
      <c r="BU13" s="165">
        <f ca="1">VLOOKUP($D13,Index_CALCULATION!$B$14:$DD$41,BU$2,0)</f>
        <v>2096.5738260373678</v>
      </c>
      <c r="BV13" s="165">
        <f ca="1">VLOOKUP($D13,Index_CALCULATION!$B$14:$DD$41,BV$2,0)</f>
        <v>2096.5738260373678</v>
      </c>
      <c r="BW13" s="165">
        <f ca="1">VLOOKUP($D13,Index_CALCULATION!$B$14:$DD$41,BW$2,0)</f>
        <v>2110.1438359424692</v>
      </c>
      <c r="BX13" s="165">
        <f ca="1">VLOOKUP($D13,Index_CALCULATION!$B$14:$DD$41,BX$2,0)</f>
        <v>2096.5738260373678</v>
      </c>
      <c r="BY13" s="165">
        <f ca="1">VLOOKUP($D13,Index_CALCULATION!$B$14:$DD$41,BY$2,0)</f>
        <v>2082.6431543644039</v>
      </c>
      <c r="BZ13" s="165">
        <f ca="1">VLOOKUP($D13,Index_CALCULATION!$B$14:$DD$41,BZ$2,0)</f>
        <v>2082.6431543644039</v>
      </c>
      <c r="CA13" s="165">
        <f ca="1">VLOOKUP($D13,Index_CALCULATION!$B$14:$DD$41,CA$2,0)</f>
        <v>2082.6431543644039</v>
      </c>
      <c r="CB13" s="165">
        <f ca="1">VLOOKUP($D13,Index_CALCULATION!$B$14:$DD$41,CB$2,0)</f>
        <v>2068.8050449522343</v>
      </c>
      <c r="CC13" s="165">
        <f ca="1">VLOOKUP($D13,Index_CALCULATION!$B$14:$DD$41,CC$2,0)</f>
        <v>2084.7802944071982</v>
      </c>
      <c r="CD13" s="165">
        <f ca="1">VLOOKUP($D13,Index_CALCULATION!$B$14:$DD$41,CD$2,0)</f>
        <v>2084.7802944071982</v>
      </c>
      <c r="CE13" s="165">
        <f ca="1">VLOOKUP($D13,Index_CALCULATION!$B$14:$DD$41,CE$2,0)</f>
        <v>2038.9628120354191</v>
      </c>
      <c r="CF13" s="165">
        <f ca="1">VLOOKUP($D13,Index_CALCULATION!$B$14:$DD$41,CF$2,0)</f>
        <v>2038.9628120354191</v>
      </c>
      <c r="CG13" s="165">
        <f ca="1">VLOOKUP($D13,Index_CALCULATION!$B$14:$DD$41,CG$2,0)</f>
        <v>2067.2812878988411</v>
      </c>
      <c r="CH13" s="165">
        <f ca="1">VLOOKUP($D13,Index_CALCULATION!$B$14:$DD$41,CH$2,0)</f>
        <v>2067.2812878988411</v>
      </c>
      <c r="CI13" s="165">
        <f ca="1">VLOOKUP($D13,Index_CALCULATION!$B$14:$DD$41,CI$2,0)</f>
        <v>2052.567604412995</v>
      </c>
      <c r="CJ13" s="165">
        <f ca="1">VLOOKUP($D13,Index_CALCULATION!$B$14:$DD$41,CJ$2,0)</f>
        <v>2085.6728215793141</v>
      </c>
      <c r="CK13" s="165">
        <f ca="1">VLOOKUP($D13,Index_CALCULATION!$B$14:$DD$41,CK$2,0)</f>
        <v>2101.1796115383886</v>
      </c>
      <c r="CL13" s="165">
        <f ca="1">VLOOKUP($D13,Index_CALCULATION!$B$14:$DD$41,CL$2,0)</f>
        <v>2139.732294083432</v>
      </c>
      <c r="CM13" s="165">
        <f ca="1">VLOOKUP($D13,Index_CALCULATION!$B$14:$DD$41,CM$2,0)</f>
        <v>2154.5400711344596</v>
      </c>
      <c r="CN13" s="165">
        <f ca="1">VLOOKUP($D13,Index_CALCULATION!$B$14:$DD$41,CN$2,0)</f>
        <v>2154.5400711344596</v>
      </c>
      <c r="CO13" s="165">
        <f ca="1">VLOOKUP($D13,Index_CALCULATION!$B$14:$DD$41,CO$2,0)</f>
        <v>2154.5400711344596</v>
      </c>
      <c r="CP13" s="165">
        <f ca="1">VLOOKUP($D13,Index_CALCULATION!$B$14:$DD$41,CP$2,0)</f>
        <v>2138.0302666291959</v>
      </c>
      <c r="CQ13" s="165">
        <f ca="1">VLOOKUP($D13,Index_CALCULATION!$B$14:$DD$41,CQ$2,0)</f>
        <v>2194.5388328841718</v>
      </c>
      <c r="CR13" s="247">
        <f ca="1">VLOOKUP($D13,Index_CALCULATION!$B$14:$DD$41,CR$2,0)</f>
        <v>2219.0585661743853</v>
      </c>
      <c r="CS13" s="247">
        <f ca="1">VLOOKUP($D13,Index_CALCULATION!$B$14:$DD$41,CS$2,0)</f>
        <v>2237.6279860133718</v>
      </c>
      <c r="CT13" s="247">
        <f ca="1">VLOOKUP($D13,Index_CALCULATION!$B$14:$FP$41,CT$2,0)</f>
        <v>2276.8836192428121</v>
      </c>
      <c r="CU13" s="247">
        <f ca="1">VLOOKUP($D13,Index_CALCULATION!$B$14:$FP$41,CU$2,0)</f>
        <v>2313.60675884387</v>
      </c>
      <c r="CV13" s="247">
        <f ca="1">VLOOKUP($D13,Index_CALCULATION!$B$14:$FP$41,CV$2,0)</f>
        <v>2291.6770019310625</v>
      </c>
      <c r="CW13" s="247">
        <f ca="1">VLOOKUP($D13,Index_CALCULATION!$B$14:$FP$41,CW$2,0)</f>
        <v>2291.6770019310625</v>
      </c>
      <c r="CX13" s="247">
        <f ca="1">VLOOKUP($D13,Index_CALCULATION!$B$14:$FP$41,CX$2,0)</f>
        <v>2330.1916827641116</v>
      </c>
      <c r="CY13" s="247">
        <f ca="1">VLOOKUP($D13,Index_CALCULATION!$B$14:$FP$41,CY$2,0)</f>
        <v>2330.1916827641116</v>
      </c>
      <c r="CZ13" s="247">
        <f ca="1">VLOOKUP($D13,Index_CALCULATION!$B$14:$FP$41,CZ$2,0)</f>
        <v>2344.356938257115</v>
      </c>
      <c r="DA13" s="247">
        <f ca="1">VLOOKUP($D13,Index_CALCULATION!$B$14:$FP$41,DA$2,0)</f>
        <v>2344.356938257115</v>
      </c>
      <c r="DB13" s="247">
        <f ca="1">VLOOKUP($D13,Index_CALCULATION!$B$14:$FP$41,DB$2,0)</f>
        <v>2344.356938257115</v>
      </c>
    </row>
    <row r="14" spans="3:106" x14ac:dyDescent="0.3">
      <c r="C14" s="165" t="s">
        <v>133</v>
      </c>
      <c r="D14" s="165" t="s">
        <v>162</v>
      </c>
      <c r="E14" s="165">
        <v>0</v>
      </c>
      <c r="F14" s="165">
        <v>0</v>
      </c>
      <c r="G14" s="165">
        <v>0</v>
      </c>
      <c r="H14" s="165">
        <v>0</v>
      </c>
      <c r="I14" s="165">
        <v>0</v>
      </c>
      <c r="J14" s="165">
        <v>0</v>
      </c>
      <c r="K14" s="165">
        <v>0</v>
      </c>
      <c r="L14" s="165">
        <v>0</v>
      </c>
      <c r="M14" s="165">
        <v>0</v>
      </c>
      <c r="N14" s="165">
        <v>0</v>
      </c>
      <c r="O14" s="165">
        <v>0</v>
      </c>
      <c r="P14" s="165">
        <v>0</v>
      </c>
      <c r="Q14" s="165">
        <v>0</v>
      </c>
      <c r="R14" s="165">
        <v>1000</v>
      </c>
      <c r="S14" s="165">
        <v>1027.5272342746637</v>
      </c>
      <c r="T14" s="165">
        <v>1068.9440600556579</v>
      </c>
      <c r="U14" s="165">
        <v>1103.2662243631335</v>
      </c>
      <c r="V14" s="165">
        <v>1135.008862923831</v>
      </c>
      <c r="W14" s="165">
        <v>1169.447908065622</v>
      </c>
      <c r="X14" s="165">
        <v>1212.2392437423694</v>
      </c>
      <c r="Y14" s="165">
        <v>1237.1146388239222</v>
      </c>
      <c r="Z14" s="165">
        <v>1272.7394116579389</v>
      </c>
      <c r="AA14" s="165">
        <v>1313.3623304509504</v>
      </c>
      <c r="AB14" s="165">
        <v>1373.5767438128141</v>
      </c>
      <c r="AC14" s="165">
        <v>1421.7489896954003</v>
      </c>
      <c r="AD14" s="165">
        <v>1450.0885719979167</v>
      </c>
      <c r="AE14" s="165">
        <v>1479.9862570690029</v>
      </c>
      <c r="AF14" s="165">
        <v>1517.4522875412031</v>
      </c>
      <c r="AG14" s="165">
        <v>1564.7828927369253</v>
      </c>
      <c r="AH14" s="165">
        <v>1602.1267948224474</v>
      </c>
      <c r="AI14" s="165">
        <v>1643.7381683966114</v>
      </c>
      <c r="AJ14" s="165">
        <v>1681.0557162390921</v>
      </c>
      <c r="AK14" s="165">
        <v>1697.9506070650907</v>
      </c>
      <c r="AL14" s="165">
        <v>1778.1541728649293</v>
      </c>
      <c r="AM14" s="165">
        <v>1820.3218838880521</v>
      </c>
      <c r="AN14" s="165">
        <v>1870.7490761249394</v>
      </c>
      <c r="AO14" s="165">
        <v>1918.1073144580062</v>
      </c>
      <c r="AP14" s="165">
        <v>2001.2676136026332</v>
      </c>
      <c r="AQ14" s="165">
        <v>2035.6725203630876</v>
      </c>
      <c r="AR14" s="165">
        <v>2073.253109283693</v>
      </c>
      <c r="AS14" s="165">
        <v>2116.6469511528389</v>
      </c>
      <c r="AT14" s="165">
        <v>2168.9387045729004</v>
      </c>
      <c r="AU14" s="165">
        <v>2277.4297295946621</v>
      </c>
      <c r="AV14" s="165">
        <v>2387.1646410400058</v>
      </c>
      <c r="AW14" s="165">
        <v>2475.1240835884087</v>
      </c>
      <c r="AX14" s="165">
        <v>2561.2644334321999</v>
      </c>
      <c r="AY14" s="165">
        <v>2630.5832806564736</v>
      </c>
      <c r="AZ14" s="165">
        <v>2732.900490844846</v>
      </c>
      <c r="BA14" s="165">
        <v>2847.9900391504925</v>
      </c>
      <c r="BB14" s="165">
        <v>2925.8562715835556</v>
      </c>
      <c r="BC14" s="165">
        <v>2990.79249200505</v>
      </c>
      <c r="BD14" s="165">
        <v>3090.909020521498</v>
      </c>
      <c r="BE14" s="165">
        <v>3197.1155504644116</v>
      </c>
      <c r="BF14" s="165">
        <v>3292.5448537027837</v>
      </c>
      <c r="BG14" s="165">
        <v>3366.5315467912296</v>
      </c>
      <c r="BH14" s="165">
        <v>3479.1142537303699</v>
      </c>
      <c r="BI14" s="165">
        <v>3554.0010774420493</v>
      </c>
      <c r="BJ14" s="165">
        <v>3677.527677222291</v>
      </c>
      <c r="BK14" s="165">
        <v>3734.753712689143</v>
      </c>
      <c r="BL14" s="165">
        <v>3824.1282189283788</v>
      </c>
      <c r="BM14" s="165">
        <f ca="1">VLOOKUP($D14,Index_CALCULATION!$B$14:$DD$41,BM$2,0)</f>
        <v>2801.1882378146352</v>
      </c>
      <c r="BN14" s="165">
        <f ca="1">VLOOKUP($D14,Index_CALCULATION!$B$14:$DD$41,BN$2,0)</f>
        <v>2817.2408486668892</v>
      </c>
      <c r="BO14" s="165">
        <f ca="1">VLOOKUP($D14,Index_CALCULATION!$B$14:$DD$41,BO$2,0)</f>
        <v>2817.2408486668892</v>
      </c>
      <c r="BP14" s="165">
        <f ca="1">VLOOKUP($D14,Index_CALCULATION!$B$14:$DD$41,BP$2,0)</f>
        <v>2876.1357470598455</v>
      </c>
      <c r="BQ14" s="165">
        <f ca="1">VLOOKUP($D14,Index_CALCULATION!$B$14:$DD$41,BQ$2,0)</f>
        <v>2936.261853305818</v>
      </c>
      <c r="BR14" s="165">
        <f ca="1">VLOOKUP($D14,Index_CALCULATION!$B$14:$DD$41,BR$2,0)</f>
        <v>2954.1114146333643</v>
      </c>
      <c r="BS14" s="165">
        <f ca="1">VLOOKUP($D14,Index_CALCULATION!$B$14:$DD$41,BS$2,0)</f>
        <v>2954.1114146333643</v>
      </c>
      <c r="BT14" s="165">
        <f ca="1">VLOOKUP($D14,Index_CALCULATION!$B$14:$DD$41,BT$2,0)</f>
        <v>2972.6324288545434</v>
      </c>
      <c r="BU14" s="165">
        <f ca="1">VLOOKUP($D14,Index_CALCULATION!$B$14:$DD$41,BU$2,0)</f>
        <v>2972.6324288545434</v>
      </c>
      <c r="BV14" s="165">
        <f ca="1">VLOOKUP($D14,Index_CALCULATION!$B$14:$DD$41,BV$2,0)</f>
        <v>2992.5161839203106</v>
      </c>
      <c r="BW14" s="165">
        <f ca="1">VLOOKUP($D14,Index_CALCULATION!$B$14:$DD$41,BW$2,0)</f>
        <v>3011.8851533086804</v>
      </c>
      <c r="BX14" s="165">
        <f ca="1">VLOOKUP($D14,Index_CALCULATION!$B$14:$DD$41,BX$2,0)</f>
        <v>3031.3794877584605</v>
      </c>
      <c r="BY14" s="165">
        <f ca="1">VLOOKUP($D14,Index_CALCULATION!$B$14:$DD$41,BY$2,0)</f>
        <v>3011.2375057134327</v>
      </c>
      <c r="BZ14" s="165">
        <f ca="1">VLOOKUP($D14,Index_CALCULATION!$B$14:$DD$41,BZ$2,0)</f>
        <v>3011.2375057134327</v>
      </c>
      <c r="CA14" s="165">
        <f ca="1">VLOOKUP($D14,Index_CALCULATION!$B$14:$DD$41,CA$2,0)</f>
        <v>3011.2375057134327</v>
      </c>
      <c r="CB14" s="165">
        <f ca="1">VLOOKUP($D14,Index_CALCULATION!$B$14:$DD$41,CB$2,0)</f>
        <v>3011.2375057134327</v>
      </c>
      <c r="CC14" s="165">
        <f ca="1">VLOOKUP($D14,Index_CALCULATION!$B$14:$DD$41,CC$2,0)</f>
        <v>3011.2375057134327</v>
      </c>
      <c r="CD14" s="165">
        <f ca="1">VLOOKUP($D14,Index_CALCULATION!$B$14:$DD$41,CD$2,0)</f>
        <v>3011.2375057134327</v>
      </c>
      <c r="CE14" s="165">
        <f ca="1">VLOOKUP($D14,Index_CALCULATION!$B$14:$DD$41,CE$2,0)</f>
        <v>2977.964503531759</v>
      </c>
      <c r="CF14" s="165">
        <f ca="1">VLOOKUP($D14,Index_CALCULATION!$B$14:$DD$41,CF$2,0)</f>
        <v>2999.3118282400151</v>
      </c>
      <c r="CG14" s="165">
        <f ca="1">VLOOKUP($D14,Index_CALCULATION!$B$14:$DD$41,CG$2,0)</f>
        <v>3020.0682289270985</v>
      </c>
      <c r="CH14" s="165">
        <f ca="1">VLOOKUP($D14,Index_CALCULATION!$B$14:$DD$41,CH$2,0)</f>
        <v>3020.0682289270985</v>
      </c>
      <c r="CI14" s="165">
        <f ca="1">VLOOKUP($D14,Index_CALCULATION!$B$14:$DD$41,CI$2,0)</f>
        <v>3020.0682289270985</v>
      </c>
      <c r="CJ14" s="165">
        <f ca="1">VLOOKUP($D14,Index_CALCULATION!$B$14:$DD$41,CJ$2,0)</f>
        <v>3020.0682289270985</v>
      </c>
      <c r="CK14" s="165">
        <f ca="1">VLOOKUP($D14,Index_CALCULATION!$B$14:$DD$41,CK$2,0)</f>
        <v>3065.143043572044</v>
      </c>
      <c r="CL14" s="165">
        <f ca="1">VLOOKUP($D14,Index_CALCULATION!$B$14:$DD$41,CL$2,0)</f>
        <v>3093.1350238236932</v>
      </c>
      <c r="CM14" s="165">
        <f ca="1">VLOOKUP($D14,Index_CALCULATION!$B$14:$DD$41,CM$2,0)</f>
        <v>3157.7975368033672</v>
      </c>
      <c r="CN14" s="165">
        <f ca="1">VLOOKUP($D14,Index_CALCULATION!$B$14:$DD$41,CN$2,0)</f>
        <v>3184.2224672316393</v>
      </c>
      <c r="CO14" s="165">
        <f ca="1">VLOOKUP($D14,Index_CALCULATION!$B$14:$DD$41,CO$2,0)</f>
        <v>3209.7984143530725</v>
      </c>
      <c r="CP14" s="165">
        <f ca="1">VLOOKUP($D14,Index_CALCULATION!$B$14:$DD$41,CP$2,0)</f>
        <v>3234.5843798042647</v>
      </c>
      <c r="CQ14" s="165">
        <f ca="1">VLOOKUP($D14,Index_CALCULATION!$B$14:$DD$41,CQ$2,0)</f>
        <v>3262.8338462601791</v>
      </c>
      <c r="CR14" s="247">
        <f ca="1">VLOOKUP($D14,Index_CALCULATION!$B$14:$DD$41,CR$2,0)</f>
        <v>3299.2897131975787</v>
      </c>
      <c r="CS14" s="247">
        <f ca="1">VLOOKUP($D14,Index_CALCULATION!$B$14:$DD$41,CS$2,0)</f>
        <v>3326.8986716940803</v>
      </c>
      <c r="CT14" s="247">
        <f ca="1">VLOOKUP($D14,Index_CALCULATION!$B$14:$FP$41,CT$2,0)</f>
        <v>3326.8986716940803</v>
      </c>
      <c r="CU14" s="247">
        <f ca="1">VLOOKUP($D14,Index_CALCULATION!$B$14:$FP$41,CU$2,0)</f>
        <v>3380.5571737477894</v>
      </c>
      <c r="CV14" s="247">
        <f ca="1">VLOOKUP($D14,Index_CALCULATION!$B$14:$FP$41,CV$2,0)</f>
        <v>3380.5571737477894</v>
      </c>
      <c r="CW14" s="247">
        <f ca="1">VLOOKUP($D14,Index_CALCULATION!$B$14:$FP$41,CW$2,0)</f>
        <v>3380.5571737477894</v>
      </c>
      <c r="CX14" s="247">
        <f ca="1">VLOOKUP($D14,Index_CALCULATION!$B$14:$FP$41,CX$2,0)</f>
        <v>3418.3283715186103</v>
      </c>
      <c r="CY14" s="247">
        <f ca="1">VLOOKUP($D14,Index_CALCULATION!$B$14:$FP$41,CY$2,0)</f>
        <v>3444.7245989385078</v>
      </c>
      <c r="CZ14" s="247">
        <f ca="1">VLOOKUP($D14,Index_CALCULATION!$B$14:$FP$41,CZ$2,0)</f>
        <v>3444.7245989385078</v>
      </c>
      <c r="DA14" s="247">
        <f ca="1">VLOOKUP($D14,Index_CALCULATION!$B$14:$FP$41,DA$2,0)</f>
        <v>3469.4178598745757</v>
      </c>
      <c r="DB14" s="247">
        <f ca="1">VLOOKUP($D14,Index_CALCULATION!$B$14:$FP$41,DB$2,0)</f>
        <v>3469.4178598745757</v>
      </c>
    </row>
    <row r="15" spans="3:106" x14ac:dyDescent="0.3">
      <c r="C15" s="165" t="s">
        <v>134</v>
      </c>
      <c r="D15" s="165" t="s">
        <v>163</v>
      </c>
      <c r="E15" s="165">
        <v>0</v>
      </c>
      <c r="F15" s="165">
        <v>0</v>
      </c>
      <c r="G15" s="165">
        <v>0</v>
      </c>
      <c r="H15" s="165">
        <v>0</v>
      </c>
      <c r="I15" s="165">
        <v>0</v>
      </c>
      <c r="J15" s="165">
        <v>0</v>
      </c>
      <c r="K15" s="165">
        <v>0</v>
      </c>
      <c r="L15" s="165">
        <v>0</v>
      </c>
      <c r="M15" s="165">
        <v>0</v>
      </c>
      <c r="N15" s="165">
        <v>0</v>
      </c>
      <c r="O15" s="165">
        <v>0</v>
      </c>
      <c r="P15" s="165">
        <v>0</v>
      </c>
      <c r="Q15" s="165">
        <v>0</v>
      </c>
      <c r="R15" s="165">
        <v>1000</v>
      </c>
      <c r="S15" s="165">
        <v>1007.3544986609897</v>
      </c>
      <c r="T15" s="165">
        <v>1017.1504137216882</v>
      </c>
      <c r="U15" s="165">
        <v>1028.2456135330174</v>
      </c>
      <c r="V15" s="165">
        <v>1036.6839807675424</v>
      </c>
      <c r="W15" s="165">
        <v>1036.6839807675424</v>
      </c>
      <c r="X15" s="165">
        <v>1048.0849471854165</v>
      </c>
      <c r="Y15" s="165">
        <v>1051.365335582655</v>
      </c>
      <c r="Z15" s="165">
        <v>1054.0416990155525</v>
      </c>
      <c r="AA15" s="165">
        <v>1053.6856639914038</v>
      </c>
      <c r="AB15" s="165">
        <v>1065.1014322772382</v>
      </c>
      <c r="AC15" s="165">
        <v>1067.5248702141957</v>
      </c>
      <c r="AD15" s="165">
        <v>1071.2771506115819</v>
      </c>
      <c r="AE15" s="165">
        <v>1085.5826435524295</v>
      </c>
      <c r="AF15" s="165">
        <v>1085.0289161257479</v>
      </c>
      <c r="AG15" s="165">
        <v>1085.0289161257479</v>
      </c>
      <c r="AH15" s="165">
        <v>1089.6449622367472</v>
      </c>
      <c r="AI15" s="165">
        <v>1083.3766480548154</v>
      </c>
      <c r="AJ15" s="165">
        <v>1090.0299126619852</v>
      </c>
      <c r="AK15" s="165">
        <v>1091.8481439549457</v>
      </c>
      <c r="AL15" s="165">
        <v>1101.6908812126451</v>
      </c>
      <c r="AM15" s="165">
        <v>1102.2648279989446</v>
      </c>
      <c r="AN15" s="165">
        <v>1106.1166522561939</v>
      </c>
      <c r="AO15" s="165">
        <v>1112.2034910319694</v>
      </c>
      <c r="AP15" s="165">
        <v>1116.0900455848634</v>
      </c>
      <c r="AQ15" s="165">
        <v>1117.9940941065413</v>
      </c>
      <c r="AR15" s="165">
        <v>1127.5787982462768</v>
      </c>
      <c r="AS15" s="165">
        <v>1137.2852992365761</v>
      </c>
      <c r="AT15" s="165">
        <v>1142.7138584014795</v>
      </c>
      <c r="AU15" s="165">
        <v>1156.3988917189838</v>
      </c>
      <c r="AV15" s="165">
        <v>1158.9525871675442</v>
      </c>
      <c r="AW15" s="165">
        <v>1161.2422523843593</v>
      </c>
      <c r="AX15" s="165">
        <v>1168.1384250316876</v>
      </c>
      <c r="AY15" s="165">
        <v>1168.1384250316876</v>
      </c>
      <c r="AZ15" s="165">
        <v>1172.7586105500825</v>
      </c>
      <c r="BA15" s="165">
        <v>1170.5617483572189</v>
      </c>
      <c r="BB15" s="165">
        <v>1170.5617483572189</v>
      </c>
      <c r="BC15" s="165">
        <v>1179.1582465696647</v>
      </c>
      <c r="BD15" s="165">
        <v>1187.0938182560767</v>
      </c>
      <c r="BE15" s="165">
        <v>1198.3763633621163</v>
      </c>
      <c r="BF15" s="165">
        <v>1206.3330935569993</v>
      </c>
      <c r="BG15" s="165">
        <v>1196.3220882335304</v>
      </c>
      <c r="BH15" s="165">
        <v>1191.6090723258492</v>
      </c>
      <c r="BI15" s="165">
        <v>1185.00737694642</v>
      </c>
      <c r="BJ15" s="165">
        <v>1179.0971279970747</v>
      </c>
      <c r="BK15" s="165">
        <v>1179.0971279970747</v>
      </c>
      <c r="BL15" s="165">
        <v>1171.9486998735547</v>
      </c>
      <c r="BM15" s="165">
        <f ca="1">VLOOKUP($D15,Index_CALCULATION!$B$14:$DD$41,BM$2,0)</f>
        <v>1173.2454452500563</v>
      </c>
      <c r="BN15" s="165">
        <f ca="1">VLOOKUP($D15,Index_CALCULATION!$B$14:$DD$41,BN$2,0)</f>
        <v>1179.9688965028261</v>
      </c>
      <c r="BO15" s="165">
        <f ca="1">VLOOKUP($D15,Index_CALCULATION!$B$14:$DD$41,BO$2,0)</f>
        <v>1172.3806983238601</v>
      </c>
      <c r="BP15" s="165">
        <f ca="1">VLOOKUP($D15,Index_CALCULATION!$B$14:$DD$41,BP$2,0)</f>
        <v>1172.3806983238601</v>
      </c>
      <c r="BQ15" s="165">
        <f ca="1">VLOOKUP($D15,Index_CALCULATION!$B$14:$DD$41,BQ$2,0)</f>
        <v>1180.494027289222</v>
      </c>
      <c r="BR15" s="165">
        <f ca="1">VLOOKUP($D15,Index_CALCULATION!$B$14:$DD$41,BR$2,0)</f>
        <v>1187.6702607416908</v>
      </c>
      <c r="BS15" s="165">
        <f ca="1">VLOOKUP($D15,Index_CALCULATION!$B$14:$DD$41,BS$2,0)</f>
        <v>1180.494027289222</v>
      </c>
      <c r="BT15" s="165">
        <f ca="1">VLOOKUP($D15,Index_CALCULATION!$B$14:$DD$41,BT$2,0)</f>
        <v>1180.494027289222</v>
      </c>
      <c r="BU15" s="165">
        <f ca="1">VLOOKUP($D15,Index_CALCULATION!$B$14:$DD$41,BU$2,0)</f>
        <v>1180.494027289222</v>
      </c>
      <c r="BV15" s="165">
        <f ca="1">VLOOKUP($D15,Index_CALCULATION!$B$14:$DD$41,BV$2,0)</f>
        <v>1180.494027289222</v>
      </c>
      <c r="BW15" s="165">
        <f ca="1">VLOOKUP($D15,Index_CALCULATION!$B$14:$DD$41,BW$2,0)</f>
        <v>1180.494027289222</v>
      </c>
      <c r="BX15" s="165">
        <f ca="1">VLOOKUP($D15,Index_CALCULATION!$B$14:$DD$41,BX$2,0)</f>
        <v>1180.494027289222</v>
      </c>
      <c r="BY15" s="165">
        <f ca="1">VLOOKUP($D15,Index_CALCULATION!$B$14:$DD$41,BY$2,0)</f>
        <v>1172.6502421089297</v>
      </c>
      <c r="BZ15" s="165">
        <f ca="1">VLOOKUP($D15,Index_CALCULATION!$B$14:$DD$41,BZ$2,0)</f>
        <v>1172.6502421089297</v>
      </c>
      <c r="CA15" s="165">
        <f ca="1">VLOOKUP($D15,Index_CALCULATION!$B$14:$DD$41,CA$2,0)</f>
        <v>1172.6502421089297</v>
      </c>
      <c r="CB15" s="165">
        <f ca="1">VLOOKUP($D15,Index_CALCULATION!$B$14:$DD$41,CB$2,0)</f>
        <v>1164.8585749102044</v>
      </c>
      <c r="CC15" s="165">
        <f ca="1">VLOOKUP($D15,Index_CALCULATION!$B$14:$DD$41,CC$2,0)</f>
        <v>1164.8585749102044</v>
      </c>
      <c r="CD15" s="165">
        <f ca="1">VLOOKUP($D15,Index_CALCULATION!$B$14:$DD$41,CD$2,0)</f>
        <v>1164.8585749102044</v>
      </c>
      <c r="CE15" s="165">
        <f ca="1">VLOOKUP($D15,Index_CALCULATION!$B$14:$DD$41,CE$2,0)</f>
        <v>1151.9873411298101</v>
      </c>
      <c r="CF15" s="165">
        <f ca="1">VLOOKUP($D15,Index_CALCULATION!$B$14:$DD$41,CF$2,0)</f>
        <v>1143.7881777086034</v>
      </c>
      <c r="CG15" s="165">
        <f ca="1">VLOOKUP($D15,Index_CALCULATION!$B$14:$DD$41,CG$2,0)</f>
        <v>1143.7881777086034</v>
      </c>
      <c r="CH15" s="165">
        <f ca="1">VLOOKUP($D15,Index_CALCULATION!$B$14:$DD$41,CH$2,0)</f>
        <v>1143.7881777086034</v>
      </c>
      <c r="CI15" s="165">
        <f ca="1">VLOOKUP($D15,Index_CALCULATION!$B$14:$DD$41,CI$2,0)</f>
        <v>1135.6473710751907</v>
      </c>
      <c r="CJ15" s="165">
        <f ca="1">VLOOKUP($D15,Index_CALCULATION!$B$14:$DD$41,CJ$2,0)</f>
        <v>1135.6473710751907</v>
      </c>
      <c r="CK15" s="165">
        <f ca="1">VLOOKUP($D15,Index_CALCULATION!$B$14:$DD$41,CK$2,0)</f>
        <v>1144.0908072021971</v>
      </c>
      <c r="CL15" s="165">
        <f ca="1">VLOOKUP($D15,Index_CALCULATION!$B$14:$DD$41,CL$2,0)</f>
        <v>1154.5390527901013</v>
      </c>
      <c r="CM15" s="165">
        <f ca="1">VLOOKUP($D15,Index_CALCULATION!$B$14:$DD$41,CM$2,0)</f>
        <v>1154.5390527901013</v>
      </c>
      <c r="CN15" s="165">
        <f ca="1">VLOOKUP($D15,Index_CALCULATION!$B$14:$DD$41,CN$2,0)</f>
        <v>1154.5390527901013</v>
      </c>
      <c r="CO15" s="165">
        <f ca="1">VLOOKUP($D15,Index_CALCULATION!$B$14:$DD$41,CO$2,0)</f>
        <v>1145.3395872935305</v>
      </c>
      <c r="CP15" s="165">
        <f ca="1">VLOOKUP($D15,Index_CALCULATION!$B$14:$DD$41,CP$2,0)</f>
        <v>1145.3395872935305</v>
      </c>
      <c r="CQ15" s="165">
        <f ca="1">VLOOKUP($D15,Index_CALCULATION!$B$14:$DD$41,CQ$2,0)</f>
        <v>1155.3424898159985</v>
      </c>
      <c r="CR15" s="247">
        <f ca="1">VLOOKUP($D15,Index_CALCULATION!$B$14:$DD$41,CR$2,0)</f>
        <v>1155.3424898159985</v>
      </c>
      <c r="CS15" s="247">
        <f ca="1">VLOOKUP($D15,Index_CALCULATION!$B$14:$DD$41,CS$2,0)</f>
        <v>1145.7546405911432</v>
      </c>
      <c r="CT15" s="247">
        <f ca="1">VLOOKUP($D15,Index_CALCULATION!$B$14:$FP$41,CT$2,0)</f>
        <v>1145.7546405911432</v>
      </c>
      <c r="CU15" s="247">
        <f ca="1">VLOOKUP($D15,Index_CALCULATION!$B$14:$FP$41,CU$2,0)</f>
        <v>1145.7546405911432</v>
      </c>
      <c r="CV15" s="247">
        <f ca="1">VLOOKUP($D15,Index_CALCULATION!$B$14:$FP$41,CV$2,0)</f>
        <v>1145.7546405911432</v>
      </c>
      <c r="CW15" s="247">
        <f ca="1">VLOOKUP($D15,Index_CALCULATION!$B$14:$FP$41,CW$2,0)</f>
        <v>1145.7546405911432</v>
      </c>
      <c r="CX15" s="247">
        <f ca="1">VLOOKUP($D15,Index_CALCULATION!$B$14:$FP$41,CX$2,0)</f>
        <v>1145.7546405911432</v>
      </c>
      <c r="CY15" s="247">
        <f ca="1">VLOOKUP($D15,Index_CALCULATION!$B$14:$FP$41,CY$2,0)</f>
        <v>1145.7546405911432</v>
      </c>
      <c r="CZ15" s="247">
        <f ca="1">VLOOKUP($D15,Index_CALCULATION!$B$14:$FP$41,CZ$2,0)</f>
        <v>1145.7546405911432</v>
      </c>
      <c r="DA15" s="247">
        <f ca="1">VLOOKUP($D15,Index_CALCULATION!$B$14:$FP$41,DA$2,0)</f>
        <v>1145.7546405911432</v>
      </c>
      <c r="DB15" s="247">
        <f ca="1">VLOOKUP($D15,Index_CALCULATION!$B$14:$FP$41,DB$2,0)</f>
        <v>1138.1416810484702</v>
      </c>
    </row>
    <row r="16" spans="3:106" x14ac:dyDescent="0.3">
      <c r="C16" s="165" t="s">
        <v>135</v>
      </c>
      <c r="D16" s="165" t="s">
        <v>164</v>
      </c>
      <c r="E16" s="165">
        <v>0</v>
      </c>
      <c r="F16" s="165">
        <v>0</v>
      </c>
      <c r="G16" s="165">
        <v>0</v>
      </c>
      <c r="H16" s="165">
        <v>0</v>
      </c>
      <c r="I16" s="165">
        <v>0</v>
      </c>
      <c r="J16" s="165">
        <v>0</v>
      </c>
      <c r="K16" s="165">
        <v>0</v>
      </c>
      <c r="L16" s="165">
        <v>0</v>
      </c>
      <c r="M16" s="165">
        <v>0</v>
      </c>
      <c r="N16" s="165">
        <v>0</v>
      </c>
      <c r="O16" s="165">
        <v>0</v>
      </c>
      <c r="P16" s="165">
        <v>0</v>
      </c>
      <c r="Q16" s="165">
        <v>0</v>
      </c>
      <c r="R16" s="165">
        <v>1000</v>
      </c>
      <c r="S16" s="165">
        <v>1025.757161957775</v>
      </c>
      <c r="T16" s="165">
        <v>1039.497565264882</v>
      </c>
      <c r="U16" s="165">
        <v>1050.8365305097605</v>
      </c>
      <c r="V16" s="165">
        <v>1060.4794933749367</v>
      </c>
      <c r="W16" s="165">
        <v>1103.3986199468548</v>
      </c>
      <c r="X16" s="165">
        <v>1161.1800096796171</v>
      </c>
      <c r="Y16" s="165">
        <v>1168.4601113596325</v>
      </c>
      <c r="Z16" s="165">
        <v>1211.824912721067</v>
      </c>
      <c r="AA16" s="165">
        <v>1247.1284043129112</v>
      </c>
      <c r="AB16" s="165">
        <v>1277.0471879090219</v>
      </c>
      <c r="AC16" s="165">
        <v>1319.8328159357536</v>
      </c>
      <c r="AD16" s="165">
        <v>1363.9703352371196</v>
      </c>
      <c r="AE16" s="165">
        <v>1393.513676313105</v>
      </c>
      <c r="AF16" s="165">
        <v>1417.1745231369573</v>
      </c>
      <c r="AG16" s="165">
        <v>1429.3739418681805</v>
      </c>
      <c r="AH16" s="165">
        <v>1472.4880582313294</v>
      </c>
      <c r="AI16" s="165">
        <v>1481.007734001256</v>
      </c>
      <c r="AJ16" s="165">
        <v>1496.1974244383869</v>
      </c>
      <c r="AK16" s="165">
        <v>1503.6971452381663</v>
      </c>
      <c r="AL16" s="165">
        <v>1528.9687762619162</v>
      </c>
      <c r="AM16" s="165">
        <v>1537.7536341376806</v>
      </c>
      <c r="AN16" s="165">
        <v>1561.1753256342909</v>
      </c>
      <c r="AO16" s="165">
        <v>1591.936415445512</v>
      </c>
      <c r="AP16" s="165">
        <v>1604.0140778377929</v>
      </c>
      <c r="AQ16" s="165">
        <v>1615.9057732218205</v>
      </c>
      <c r="AR16" s="165">
        <v>1621.8284511724412</v>
      </c>
      <c r="AS16" s="165">
        <v>1628.7940601779776</v>
      </c>
      <c r="AT16" s="165">
        <v>1654.1976557035409</v>
      </c>
      <c r="AU16" s="165">
        <v>1668.0402334676703</v>
      </c>
      <c r="AV16" s="165">
        <v>1685.2999200777676</v>
      </c>
      <c r="AW16" s="165">
        <v>1708.7452539438107</v>
      </c>
      <c r="AX16" s="165">
        <v>1740.513847320954</v>
      </c>
      <c r="AY16" s="165">
        <v>1785.5894164146134</v>
      </c>
      <c r="AZ16" s="165">
        <v>1806.8602513975027</v>
      </c>
      <c r="BA16" s="165">
        <v>1817.0524790779411</v>
      </c>
      <c r="BB16" s="165">
        <v>1848.4009877985525</v>
      </c>
      <c r="BC16" s="165">
        <v>1868.8000570460774</v>
      </c>
      <c r="BD16" s="165">
        <v>1897.5061029934452</v>
      </c>
      <c r="BE16" s="165">
        <v>1927.2246969146595</v>
      </c>
      <c r="BF16" s="165">
        <v>1957.21425472039</v>
      </c>
      <c r="BG16" s="165">
        <v>1961.2960347956309</v>
      </c>
      <c r="BH16" s="165">
        <v>1987.273088454788</v>
      </c>
      <c r="BI16" s="165">
        <v>1998.3442191675122</v>
      </c>
      <c r="BJ16" s="165">
        <v>2018.4279124618267</v>
      </c>
      <c r="BK16" s="165">
        <v>2055.8744903795864</v>
      </c>
      <c r="BL16" s="165">
        <v>2076.8170044964859</v>
      </c>
      <c r="BM16" s="165">
        <f ca="1">VLOOKUP($D16,Index_CALCULATION!$B$14:$DD$41,BM$2,0)</f>
        <v>1806.3602869864335</v>
      </c>
      <c r="BN16" s="165">
        <f ca="1">VLOOKUP($D16,Index_CALCULATION!$B$14:$DD$41,BN$2,0)</f>
        <v>1806.3602869864335</v>
      </c>
      <c r="BO16" s="165">
        <f ca="1">VLOOKUP($D16,Index_CALCULATION!$B$14:$DD$41,BO$2,0)</f>
        <v>1818.0518986445441</v>
      </c>
      <c r="BP16" s="165">
        <f ca="1">VLOOKUP($D16,Index_CALCULATION!$B$14:$DD$41,BP$2,0)</f>
        <v>1843.3022163581952</v>
      </c>
      <c r="BQ16" s="165">
        <f ca="1">VLOOKUP($D16,Index_CALCULATION!$B$14:$DD$41,BQ$2,0)</f>
        <v>1843.3022163581952</v>
      </c>
      <c r="BR16" s="165">
        <f ca="1">VLOOKUP($D16,Index_CALCULATION!$B$14:$DD$41,BR$2,0)</f>
        <v>1854.5076665529878</v>
      </c>
      <c r="BS16" s="165">
        <f ca="1">VLOOKUP($D16,Index_CALCULATION!$B$14:$DD$41,BS$2,0)</f>
        <v>1865.7812347769095</v>
      </c>
      <c r="BT16" s="165">
        <f ca="1">VLOOKUP($D16,Index_CALCULATION!$B$14:$DD$41,BT$2,0)</f>
        <v>1889.2498736239759</v>
      </c>
      <c r="BU16" s="165">
        <f ca="1">VLOOKUP($D16,Index_CALCULATION!$B$14:$DD$41,BU$2,0)</f>
        <v>1889.2498736239759</v>
      </c>
      <c r="BV16" s="165">
        <f ca="1">VLOOKUP($D16,Index_CALCULATION!$B$14:$DD$41,BV$2,0)</f>
        <v>1876.6967646560045</v>
      </c>
      <c r="BW16" s="165">
        <f ca="1">VLOOKUP($D16,Index_CALCULATION!$B$14:$DD$41,BW$2,0)</f>
        <v>1876.6967646560045</v>
      </c>
      <c r="BX16" s="165">
        <f ca="1">VLOOKUP($D16,Index_CALCULATION!$B$14:$DD$41,BX$2,0)</f>
        <v>1864.6280168998214</v>
      </c>
      <c r="BY16" s="165">
        <f ca="1">VLOOKUP($D16,Index_CALCULATION!$B$14:$DD$41,BY$2,0)</f>
        <v>1864.6280168998214</v>
      </c>
      <c r="BZ16" s="165">
        <f ca="1">VLOOKUP($D16,Index_CALCULATION!$B$14:$DD$41,BZ$2,0)</f>
        <v>1864.6280168998214</v>
      </c>
      <c r="CA16" s="165">
        <f ca="1">VLOOKUP($D16,Index_CALCULATION!$B$14:$DD$41,CA$2,0)</f>
        <v>1901.0691095638779</v>
      </c>
      <c r="CB16" s="165">
        <f ca="1">VLOOKUP($D16,Index_CALCULATION!$B$14:$DD$41,CB$2,0)</f>
        <v>1926.5864351620507</v>
      </c>
      <c r="CC16" s="165">
        <f ca="1">VLOOKUP($D16,Index_CALCULATION!$B$14:$DD$41,CC$2,0)</f>
        <v>1926.5864351620507</v>
      </c>
      <c r="CD16" s="165">
        <f ca="1">VLOOKUP($D16,Index_CALCULATION!$B$14:$DD$41,CD$2,0)</f>
        <v>1915.2868404632343</v>
      </c>
      <c r="CE16" s="165">
        <f ca="1">VLOOKUP($D16,Index_CALCULATION!$B$14:$DD$41,CE$2,0)</f>
        <v>1894.1236664856419</v>
      </c>
      <c r="CF16" s="165">
        <f ca="1">VLOOKUP($D16,Index_CALCULATION!$B$14:$DD$41,CF$2,0)</f>
        <v>1880.6424163650809</v>
      </c>
      <c r="CG16" s="165">
        <f ca="1">VLOOKUP($D16,Index_CALCULATION!$B$14:$DD$41,CG$2,0)</f>
        <v>1880.6424163650809</v>
      </c>
      <c r="CH16" s="165">
        <f ca="1">VLOOKUP($D16,Index_CALCULATION!$B$14:$DD$41,CH$2,0)</f>
        <v>1880.6424163650809</v>
      </c>
      <c r="CI16" s="165">
        <f ca="1">VLOOKUP($D16,Index_CALCULATION!$B$14:$DD$41,CI$2,0)</f>
        <v>1867.2571177961681</v>
      </c>
      <c r="CJ16" s="165">
        <f ca="1">VLOOKUP($D16,Index_CALCULATION!$B$14:$DD$41,CJ$2,0)</f>
        <v>1867.2571177961681</v>
      </c>
      <c r="CK16" s="165">
        <f ca="1">VLOOKUP($D16,Index_CALCULATION!$B$14:$DD$41,CK$2,0)</f>
        <v>1867.2571177961681</v>
      </c>
      <c r="CL16" s="165">
        <f ca="1">VLOOKUP($D16,Index_CALCULATION!$B$14:$DD$41,CL$2,0)</f>
        <v>1901.5177638147452</v>
      </c>
      <c r="CM16" s="165">
        <f ca="1">VLOOKUP($D16,Index_CALCULATION!$B$14:$DD$41,CM$2,0)</f>
        <v>1927.9273111495991</v>
      </c>
      <c r="CN16" s="165">
        <f ca="1">VLOOKUP($D16,Index_CALCULATION!$B$14:$DD$41,CN$2,0)</f>
        <v>1927.9273111495991</v>
      </c>
      <c r="CO16" s="165">
        <f ca="1">VLOOKUP($D16,Index_CALCULATION!$B$14:$DD$41,CO$2,0)</f>
        <v>1943.4125881587768</v>
      </c>
      <c r="CP16" s="165">
        <f ca="1">VLOOKUP($D16,Index_CALCULATION!$B$14:$DD$41,CP$2,0)</f>
        <v>1928.5206108252221</v>
      </c>
      <c r="CQ16" s="165">
        <f ca="1">VLOOKUP($D16,Index_CALCULATION!$B$14:$DD$41,CQ$2,0)</f>
        <v>1911.8235674353202</v>
      </c>
      <c r="CR16" s="247">
        <f ca="1">VLOOKUP($D16,Index_CALCULATION!$B$14:$DD$41,CR$2,0)</f>
        <v>1911.8235674353202</v>
      </c>
      <c r="CS16" s="247">
        <f ca="1">VLOOKUP($D16,Index_CALCULATION!$B$14:$DD$41,CS$2,0)</f>
        <v>1895.9579031230744</v>
      </c>
      <c r="CT16" s="247">
        <f ca="1">VLOOKUP($D16,Index_CALCULATION!$B$14:$FP$41,CT$2,0)</f>
        <v>1895.9579031230744</v>
      </c>
      <c r="CU16" s="247">
        <f ca="1">VLOOKUP($D16,Index_CALCULATION!$B$14:$FP$41,CU$2,0)</f>
        <v>1895.9579031230744</v>
      </c>
      <c r="CV16" s="247">
        <f ca="1">VLOOKUP($D16,Index_CALCULATION!$B$14:$FP$41,CV$2,0)</f>
        <v>1877.9868733560356</v>
      </c>
      <c r="CW16" s="247">
        <f ca="1">VLOOKUP($D16,Index_CALCULATION!$B$14:$FP$41,CW$2,0)</f>
        <v>1864.6204753690354</v>
      </c>
      <c r="CX16" s="247">
        <f ca="1">VLOOKUP($D16,Index_CALCULATION!$B$14:$FP$41,CX$2,0)</f>
        <v>1854.2901945223091</v>
      </c>
      <c r="CY16" s="247">
        <f ca="1">VLOOKUP($D16,Index_CALCULATION!$B$14:$FP$41,CY$2,0)</f>
        <v>1825.9809746628607</v>
      </c>
      <c r="CZ16" s="247">
        <f ca="1">VLOOKUP($D16,Index_CALCULATION!$B$14:$FP$41,CZ$2,0)</f>
        <v>1825.9809746628607</v>
      </c>
      <c r="DA16" s="247">
        <f ca="1">VLOOKUP($D16,Index_CALCULATION!$B$14:$FP$41,DA$2,0)</f>
        <v>1812.9847238528546</v>
      </c>
      <c r="DB16" s="247">
        <f ca="1">VLOOKUP($D16,Index_CALCULATION!$B$14:$FP$41,DB$2,0)</f>
        <v>1800.9383581954962</v>
      </c>
    </row>
    <row r="17" spans="3:106" x14ac:dyDescent="0.3">
      <c r="C17" s="165" t="s">
        <v>136</v>
      </c>
      <c r="D17" s="165" t="s">
        <v>165</v>
      </c>
      <c r="E17" s="165">
        <v>1000</v>
      </c>
      <c r="F17" s="165">
        <v>1026.3987721275282</v>
      </c>
      <c r="G17" s="165">
        <v>1049.7545112536357</v>
      </c>
      <c r="H17" s="165">
        <v>1082.872187626333</v>
      </c>
      <c r="I17" s="165">
        <v>1114.5274499904863</v>
      </c>
      <c r="J17" s="165">
        <v>1137.601736687262</v>
      </c>
      <c r="K17" s="165">
        <v>1156.3701790176733</v>
      </c>
      <c r="L17" s="165">
        <v>1187.4147683937433</v>
      </c>
      <c r="M17" s="165">
        <v>1211.5103036167807</v>
      </c>
      <c r="N17" s="165">
        <v>1240.9860033324157</v>
      </c>
      <c r="O17" s="165">
        <v>1271.3591886743361</v>
      </c>
      <c r="P17" s="165">
        <v>1308.6104719557054</v>
      </c>
      <c r="Q17" s="165">
        <v>1340.518896129533</v>
      </c>
      <c r="R17" s="165">
        <v>1385.4310523878414</v>
      </c>
      <c r="S17" s="165">
        <v>1424.1818767560319</v>
      </c>
      <c r="T17" s="165">
        <v>1463.7723167718364</v>
      </c>
      <c r="U17" s="165">
        <v>1510.059354371956</v>
      </c>
      <c r="V17" s="165">
        <v>1527.5840255955222</v>
      </c>
      <c r="W17" s="165">
        <v>1567.9583759813572</v>
      </c>
      <c r="X17" s="165">
        <v>1640.6407645915931</v>
      </c>
      <c r="Y17" s="165">
        <v>1686.5601531186312</v>
      </c>
      <c r="Z17" s="165">
        <v>1743.2337924715609</v>
      </c>
      <c r="AA17" s="165">
        <v>1805.5712521587359</v>
      </c>
      <c r="AB17" s="165">
        <v>1866.503099708365</v>
      </c>
      <c r="AC17" s="165">
        <v>1925.387576928623</v>
      </c>
      <c r="AD17" s="165">
        <v>1970.6686475726426</v>
      </c>
      <c r="AE17" s="165">
        <v>2014.380443041551</v>
      </c>
      <c r="AF17" s="165">
        <v>2063.2682764101646</v>
      </c>
      <c r="AG17" s="165">
        <v>2133.7109547913151</v>
      </c>
      <c r="AH17" s="165">
        <v>2192.8919255305345</v>
      </c>
      <c r="AI17" s="165">
        <v>2234.0384912586323</v>
      </c>
      <c r="AJ17" s="165">
        <v>2289.425072875536</v>
      </c>
      <c r="AK17" s="165">
        <v>2335.6745272384746</v>
      </c>
      <c r="AL17" s="165">
        <v>2422.5947771309116</v>
      </c>
      <c r="AM17" s="165">
        <v>2474.8835746550299</v>
      </c>
      <c r="AN17" s="165">
        <v>2539.011290950707</v>
      </c>
      <c r="AO17" s="165">
        <v>2620.8064265139769</v>
      </c>
      <c r="AP17" s="165">
        <v>2793.8918584512176</v>
      </c>
      <c r="AQ17" s="165">
        <v>2864.6195675801305</v>
      </c>
      <c r="AR17" s="165">
        <v>2910.3961725929739</v>
      </c>
      <c r="AS17" s="165">
        <v>2977.6856061966564</v>
      </c>
      <c r="AT17" s="165">
        <v>3074.9517611405863</v>
      </c>
      <c r="AU17" s="165">
        <v>3242.2430970753799</v>
      </c>
      <c r="AV17" s="165">
        <v>3403.4676738347562</v>
      </c>
      <c r="AW17" s="165">
        <v>3457.6331338420046</v>
      </c>
      <c r="AX17" s="165">
        <v>3545.1635333544737</v>
      </c>
      <c r="AY17" s="165">
        <v>3606.1104152140438</v>
      </c>
      <c r="AZ17" s="165">
        <v>3699.832835033541</v>
      </c>
      <c r="BA17" s="165">
        <v>3774.5744161762095</v>
      </c>
      <c r="BB17" s="165">
        <v>3859.9570634700226</v>
      </c>
      <c r="BC17" s="165">
        <v>3952.8488538148003</v>
      </c>
      <c r="BD17" s="165">
        <v>4028.2779896642123</v>
      </c>
      <c r="BE17" s="165">
        <v>4083.0836532256062</v>
      </c>
      <c r="BF17" s="165">
        <v>4161.8935348698751</v>
      </c>
      <c r="BG17" s="165">
        <v>4170.5731845632772</v>
      </c>
      <c r="BH17" s="165">
        <v>4267.720297447634</v>
      </c>
      <c r="BI17" s="165">
        <v>4339.4450147626903</v>
      </c>
      <c r="BJ17" s="165">
        <v>4467.8760085202439</v>
      </c>
      <c r="BK17" s="165">
        <v>4544.0782170281545</v>
      </c>
      <c r="BL17" s="165">
        <v>4659.1121047646538</v>
      </c>
      <c r="BM17" s="165">
        <f ca="1">VLOOKUP($D17,Index_CALCULATION!$B$14:$DD$41,BM$2,0)</f>
        <v>3710.0323918264025</v>
      </c>
      <c r="BN17" s="165">
        <f ca="1">VLOOKUP($D17,Index_CALCULATION!$B$14:$DD$41,BN$2,0)</f>
        <v>3710.0323918264025</v>
      </c>
      <c r="BO17" s="165">
        <f ca="1">VLOOKUP($D17,Index_CALCULATION!$B$14:$DD$41,BO$2,0)</f>
        <v>3710.0323918264025</v>
      </c>
      <c r="BP17" s="165">
        <f ca="1">VLOOKUP($D17,Index_CALCULATION!$B$14:$DD$41,BP$2,0)</f>
        <v>3735.7072543604504</v>
      </c>
      <c r="BQ17" s="165">
        <f ca="1">VLOOKUP($D17,Index_CALCULATION!$B$14:$DD$41,BQ$2,0)</f>
        <v>3761.5597968973993</v>
      </c>
      <c r="BR17" s="165">
        <f ca="1">VLOOKUP($D17,Index_CALCULATION!$B$14:$DD$41,BR$2,0)</f>
        <v>3761.5597968973993</v>
      </c>
      <c r="BS17" s="165">
        <f ca="1">VLOOKUP($D17,Index_CALCULATION!$B$14:$DD$41,BS$2,0)</f>
        <v>3807.431912282043</v>
      </c>
      <c r="BT17" s="165">
        <f ca="1">VLOOKUP($D17,Index_CALCULATION!$B$14:$DD$41,BT$2,0)</f>
        <v>3807.431912282043</v>
      </c>
      <c r="BU17" s="165">
        <f ca="1">VLOOKUP($D17,Index_CALCULATION!$B$14:$DD$41,BU$2,0)</f>
        <v>3829.8945724659989</v>
      </c>
      <c r="BV17" s="165">
        <f ca="1">VLOOKUP($D17,Index_CALCULATION!$B$14:$DD$41,BV$2,0)</f>
        <v>3804.4468619353711</v>
      </c>
      <c r="BW17" s="165">
        <f ca="1">VLOOKUP($D17,Index_CALCULATION!$B$14:$DD$41,BW$2,0)</f>
        <v>3829.0710277809744</v>
      </c>
      <c r="BX17" s="165">
        <f ca="1">VLOOKUP($D17,Index_CALCULATION!$B$14:$DD$41,BX$2,0)</f>
        <v>3829.0710277809744</v>
      </c>
      <c r="BY17" s="165">
        <f ca="1">VLOOKUP($D17,Index_CALCULATION!$B$14:$DD$41,BY$2,0)</f>
        <v>3829.0710277809744</v>
      </c>
      <c r="BZ17" s="165">
        <f ca="1">VLOOKUP($D17,Index_CALCULATION!$B$14:$DD$41,BZ$2,0)</f>
        <v>3853.8545727861765</v>
      </c>
      <c r="CA17" s="165">
        <f ca="1">VLOOKUP($D17,Index_CALCULATION!$B$14:$DD$41,CA$2,0)</f>
        <v>3878.7985285277082</v>
      </c>
      <c r="CB17" s="165">
        <f ca="1">VLOOKUP($D17,Index_CALCULATION!$B$14:$DD$41,CB$2,0)</f>
        <v>3878.7985285277082</v>
      </c>
      <c r="CC17" s="165">
        <f ca="1">VLOOKUP($D17,Index_CALCULATION!$B$14:$DD$41,CC$2,0)</f>
        <v>3938.9337445339261</v>
      </c>
      <c r="CD17" s="165">
        <f ca="1">VLOOKUP($D17,Index_CALCULATION!$B$14:$DD$41,CD$2,0)</f>
        <v>3962.1722244933881</v>
      </c>
      <c r="CE17" s="165">
        <f ca="1">VLOOKUP($D17,Index_CALCULATION!$B$14:$DD$41,CE$2,0)</f>
        <v>3918.3917638623025</v>
      </c>
      <c r="CF17" s="165">
        <f ca="1">VLOOKUP($D17,Index_CALCULATION!$B$14:$DD$41,CF$2,0)</f>
        <v>3946.4804738580469</v>
      </c>
      <c r="CG17" s="165">
        <f ca="1">VLOOKUP($D17,Index_CALCULATION!$B$14:$DD$41,CG$2,0)</f>
        <v>4001.2918276427936</v>
      </c>
      <c r="CH17" s="165">
        <f ca="1">VLOOKUP($D17,Index_CALCULATION!$B$14:$DD$41,CH$2,0)</f>
        <v>4063.3261268180454</v>
      </c>
      <c r="CI17" s="165">
        <f ca="1">VLOOKUP($D17,Index_CALCULATION!$B$14:$DD$41,CI$2,0)</f>
        <v>4063.3261268180454</v>
      </c>
      <c r="CJ17" s="165">
        <f ca="1">VLOOKUP($D17,Index_CALCULATION!$B$14:$DD$41,CJ$2,0)</f>
        <v>4063.3261268180454</v>
      </c>
      <c r="CK17" s="165">
        <f ca="1">VLOOKUP($D17,Index_CALCULATION!$B$14:$DD$41,CK$2,0)</f>
        <v>4093.5365913414671</v>
      </c>
      <c r="CL17" s="165">
        <f ca="1">VLOOKUP($D17,Index_CALCULATION!$B$14:$DD$41,CL$2,0)</f>
        <v>4130.9202285144638</v>
      </c>
      <c r="CM17" s="165">
        <f ca="1">VLOOKUP($D17,Index_CALCULATION!$B$14:$DD$41,CM$2,0)</f>
        <v>4159.507798056954</v>
      </c>
      <c r="CN17" s="165">
        <f ca="1">VLOOKUP($D17,Index_CALCULATION!$B$14:$DD$41,CN$2,0)</f>
        <v>4159.507798056954</v>
      </c>
      <c r="CO17" s="165">
        <f ca="1">VLOOKUP($D17,Index_CALCULATION!$B$14:$DD$41,CO$2,0)</f>
        <v>4159.507798056954</v>
      </c>
      <c r="CP17" s="165">
        <f ca="1">VLOOKUP($D17,Index_CALCULATION!$B$14:$DD$41,CP$2,0)</f>
        <v>4159.507798056954</v>
      </c>
      <c r="CQ17" s="165">
        <f ca="1">VLOOKUP($D17,Index_CALCULATION!$B$14:$DD$41,CQ$2,0)</f>
        <v>4159.507798056954</v>
      </c>
      <c r="CR17" s="247">
        <f ca="1">VLOOKUP($D17,Index_CALCULATION!$B$14:$DD$41,CR$2,0)</f>
        <v>4205.982264718763</v>
      </c>
      <c r="CS17" s="247">
        <f ca="1">VLOOKUP($D17,Index_CALCULATION!$B$14:$DD$41,CS$2,0)</f>
        <v>4205.982264718763</v>
      </c>
      <c r="CT17" s="247">
        <f ca="1">VLOOKUP($D17,Index_CALCULATION!$B$14:$FP$41,CT$2,0)</f>
        <v>4242.7155018057902</v>
      </c>
      <c r="CU17" s="247">
        <f ca="1">VLOOKUP($D17,Index_CALCULATION!$B$14:$FP$41,CU$2,0)</f>
        <v>4242.7155018057902</v>
      </c>
      <c r="CV17" s="247">
        <f ca="1">VLOOKUP($D17,Index_CALCULATION!$B$14:$FP$41,CV$2,0)</f>
        <v>4242.7155018057902</v>
      </c>
      <c r="CW17" s="247">
        <f ca="1">VLOOKUP($D17,Index_CALCULATION!$B$14:$FP$41,CW$2,0)</f>
        <v>4212.5183663799135</v>
      </c>
      <c r="CX17" s="247">
        <f ca="1">VLOOKUP($D17,Index_CALCULATION!$B$14:$FP$41,CX$2,0)</f>
        <v>4235.9863747451882</v>
      </c>
      <c r="CY17" s="247">
        <f ca="1">VLOOKUP($D17,Index_CALCULATION!$B$14:$FP$41,CY$2,0)</f>
        <v>4235.9863747451882</v>
      </c>
      <c r="CZ17" s="247">
        <f ca="1">VLOOKUP($D17,Index_CALCULATION!$B$14:$FP$41,CZ$2,0)</f>
        <v>4235.9863747451882</v>
      </c>
      <c r="DA17" s="247">
        <f ca="1">VLOOKUP($D17,Index_CALCULATION!$B$14:$FP$41,DA$2,0)</f>
        <v>4205.837133259186</v>
      </c>
      <c r="DB17" s="247">
        <f ca="1">VLOOKUP($D17,Index_CALCULATION!$B$14:$FP$41,DB$2,0)</f>
        <v>4205.837133259186</v>
      </c>
    </row>
    <row r="18" spans="3:106" x14ac:dyDescent="0.3">
      <c r="C18" s="165" t="s">
        <v>137</v>
      </c>
      <c r="D18" s="165" t="s">
        <v>166</v>
      </c>
      <c r="E18" s="165">
        <v>0</v>
      </c>
      <c r="F18" s="165">
        <v>0</v>
      </c>
      <c r="G18" s="165">
        <v>0</v>
      </c>
      <c r="H18" s="165">
        <v>0</v>
      </c>
      <c r="I18" s="165">
        <v>0</v>
      </c>
      <c r="J18" s="165">
        <v>0</v>
      </c>
      <c r="K18" s="165">
        <v>0</v>
      </c>
      <c r="L18" s="165">
        <v>0</v>
      </c>
      <c r="M18" s="165">
        <v>0</v>
      </c>
      <c r="N18" s="165">
        <v>0</v>
      </c>
      <c r="O18" s="165">
        <v>0</v>
      </c>
      <c r="P18" s="165">
        <v>0</v>
      </c>
      <c r="Q18" s="165">
        <v>0</v>
      </c>
      <c r="R18" s="165">
        <v>1000</v>
      </c>
      <c r="S18" s="165">
        <v>1019.585887002794</v>
      </c>
      <c r="T18" s="165">
        <v>1044.9753806134643</v>
      </c>
      <c r="U18" s="165">
        <v>1063.3732388317592</v>
      </c>
      <c r="V18" s="165">
        <v>1081.4179310772863</v>
      </c>
      <c r="W18" s="165">
        <v>1113.0204289863555</v>
      </c>
      <c r="X18" s="165">
        <v>1155.5511623707937</v>
      </c>
      <c r="Y18" s="165">
        <v>1182.3383068912306</v>
      </c>
      <c r="Z18" s="165">
        <v>1207.6550865383706</v>
      </c>
      <c r="AA18" s="165">
        <v>1225.7408040530904</v>
      </c>
      <c r="AB18" s="165">
        <v>1256.7705802394048</v>
      </c>
      <c r="AC18" s="165">
        <v>1284.6869836565891</v>
      </c>
      <c r="AD18" s="165">
        <v>1306.85091209241</v>
      </c>
      <c r="AE18" s="165">
        <v>1335.1570571998082</v>
      </c>
      <c r="AF18" s="165">
        <v>1361.9900332356194</v>
      </c>
      <c r="AG18" s="165">
        <v>1390.4969144576612</v>
      </c>
      <c r="AH18" s="165">
        <v>1420.9977829086176</v>
      </c>
      <c r="AI18" s="165">
        <v>1450.44747082395</v>
      </c>
      <c r="AJ18" s="165">
        <v>1467.5682851719596</v>
      </c>
      <c r="AK18" s="165">
        <v>1477.3847589617887</v>
      </c>
      <c r="AL18" s="165">
        <v>1496.4475253206817</v>
      </c>
      <c r="AM18" s="165">
        <v>1539.9343968828368</v>
      </c>
      <c r="AN18" s="165">
        <v>1567.9406522873571</v>
      </c>
      <c r="AO18" s="165">
        <v>1603.716980037444</v>
      </c>
      <c r="AP18" s="165">
        <v>1676.1677625321802</v>
      </c>
      <c r="AQ18" s="165">
        <v>1710.8060598537065</v>
      </c>
      <c r="AR18" s="165">
        <v>1720.2204382031405</v>
      </c>
      <c r="AS18" s="165">
        <v>1733.789693914425</v>
      </c>
      <c r="AT18" s="165">
        <v>1788.2937771864717</v>
      </c>
      <c r="AU18" s="165">
        <v>1861.0538634972497</v>
      </c>
      <c r="AV18" s="165">
        <v>1947.8596528708129</v>
      </c>
      <c r="AW18" s="165">
        <v>2011.6755825295436</v>
      </c>
      <c r="AX18" s="165">
        <v>2050.4247059308641</v>
      </c>
      <c r="AY18" s="165">
        <v>2093.9865149808084</v>
      </c>
      <c r="AZ18" s="165">
        <v>2121.7210329200525</v>
      </c>
      <c r="BA18" s="165">
        <v>2152.4410438484597</v>
      </c>
      <c r="BB18" s="165">
        <v>2189.5758088652224</v>
      </c>
      <c r="BC18" s="165">
        <v>2217.7933355141449</v>
      </c>
      <c r="BD18" s="165">
        <v>2260.1137583223617</v>
      </c>
      <c r="BE18" s="165">
        <v>2283.13679037561</v>
      </c>
      <c r="BF18" s="165">
        <v>2303.371253407633</v>
      </c>
      <c r="BG18" s="165">
        <v>2308.1749456275147</v>
      </c>
      <c r="BH18" s="165">
        <v>2340.2855103862048</v>
      </c>
      <c r="BI18" s="165">
        <v>2384.0279030418992</v>
      </c>
      <c r="BJ18" s="165">
        <v>2418.041995958431</v>
      </c>
      <c r="BK18" s="165">
        <v>2418.041995958431</v>
      </c>
      <c r="BL18" s="165">
        <v>2442.6737907847123</v>
      </c>
      <c r="BM18" s="165">
        <f ca="1">VLOOKUP($D18,Index_CALCULATION!$B$14:$DD$41,BM$2,0)</f>
        <v>2122.6781131465646</v>
      </c>
      <c r="BN18" s="165">
        <f ca="1">VLOOKUP($D18,Index_CALCULATION!$B$14:$DD$41,BN$2,0)</f>
        <v>2122.6781131465646</v>
      </c>
      <c r="BO18" s="165">
        <f ca="1">VLOOKUP($D18,Index_CALCULATION!$B$14:$DD$41,BO$2,0)</f>
        <v>2122.6781131465646</v>
      </c>
      <c r="BP18" s="165">
        <f ca="1">VLOOKUP($D18,Index_CALCULATION!$B$14:$DD$41,BP$2,0)</f>
        <v>2122.6781131465646</v>
      </c>
      <c r="BQ18" s="165">
        <f ca="1">VLOOKUP($D18,Index_CALCULATION!$B$14:$DD$41,BQ$2,0)</f>
        <v>2122.6781131465646</v>
      </c>
      <c r="BR18" s="165">
        <f ca="1">VLOOKUP($D18,Index_CALCULATION!$B$14:$DD$41,BR$2,0)</f>
        <v>2109.8523026603502</v>
      </c>
      <c r="BS18" s="165">
        <f ca="1">VLOOKUP($D18,Index_CALCULATION!$B$14:$DD$41,BS$2,0)</f>
        <v>2109.8523026603502</v>
      </c>
      <c r="BT18" s="165">
        <f ca="1">VLOOKUP($D18,Index_CALCULATION!$B$14:$DD$41,BT$2,0)</f>
        <v>2136.3909776072592</v>
      </c>
      <c r="BU18" s="165">
        <f ca="1">VLOOKUP($D18,Index_CALCULATION!$B$14:$DD$41,BU$2,0)</f>
        <v>2136.3909776072592</v>
      </c>
      <c r="BV18" s="165">
        <f ca="1">VLOOKUP($D18,Index_CALCULATION!$B$14:$DD$41,BV$2,0)</f>
        <v>2122.1957411197468</v>
      </c>
      <c r="BW18" s="165">
        <f ca="1">VLOOKUP($D18,Index_CALCULATION!$B$14:$DD$41,BW$2,0)</f>
        <v>2149.7563399009096</v>
      </c>
      <c r="BX18" s="165">
        <f ca="1">VLOOKUP($D18,Index_CALCULATION!$B$14:$DD$41,BX$2,0)</f>
        <v>2149.7563399009096</v>
      </c>
      <c r="BY18" s="165">
        <f ca="1">VLOOKUP($D18,Index_CALCULATION!$B$14:$DD$41,BY$2,0)</f>
        <v>2135.4722973472381</v>
      </c>
      <c r="BZ18" s="165">
        <f ca="1">VLOOKUP($D18,Index_CALCULATION!$B$14:$DD$41,BZ$2,0)</f>
        <v>2135.4722973472381</v>
      </c>
      <c r="CA18" s="165">
        <f ca="1">VLOOKUP($D18,Index_CALCULATION!$B$14:$DD$41,CA$2,0)</f>
        <v>2149.2940764170658</v>
      </c>
      <c r="CB18" s="165">
        <f ca="1">VLOOKUP($D18,Index_CALCULATION!$B$14:$DD$41,CB$2,0)</f>
        <v>2149.2940764170658</v>
      </c>
      <c r="CC18" s="165">
        <f ca="1">VLOOKUP($D18,Index_CALCULATION!$B$14:$DD$41,CC$2,0)</f>
        <v>2165.8908597179452</v>
      </c>
      <c r="CD18" s="165">
        <f ca="1">VLOOKUP($D18,Index_CALCULATION!$B$14:$DD$41,CD$2,0)</f>
        <v>2165.8908597179452</v>
      </c>
      <c r="CE18" s="165">
        <f ca="1">VLOOKUP($D18,Index_CALCULATION!$B$14:$DD$41,CE$2,0)</f>
        <v>2165.8908597179452</v>
      </c>
      <c r="CF18" s="165">
        <f ca="1">VLOOKUP($D18,Index_CALCULATION!$B$14:$DD$41,CF$2,0)</f>
        <v>2165.8908597179452</v>
      </c>
      <c r="CG18" s="165">
        <f ca="1">VLOOKUP($D18,Index_CALCULATION!$B$14:$DD$41,CG$2,0)</f>
        <v>2180.8796641848608</v>
      </c>
      <c r="CH18" s="165">
        <f ca="1">VLOOKUP($D18,Index_CALCULATION!$B$14:$DD$41,CH$2,0)</f>
        <v>2197.7203504310678</v>
      </c>
      <c r="CI18" s="165">
        <f ca="1">VLOOKUP($D18,Index_CALCULATION!$B$14:$DD$41,CI$2,0)</f>
        <v>2213.4745509539262</v>
      </c>
      <c r="CJ18" s="165">
        <f ca="1">VLOOKUP($D18,Index_CALCULATION!$B$14:$DD$41,CJ$2,0)</f>
        <v>2195.8373972259265</v>
      </c>
      <c r="CK18" s="165">
        <f ca="1">VLOOKUP($D18,Index_CALCULATION!$B$14:$DD$41,CK$2,0)</f>
        <v>2212.1632509028609</v>
      </c>
      <c r="CL18" s="165">
        <f ca="1">VLOOKUP($D18,Index_CALCULATION!$B$14:$DD$41,CL$2,0)</f>
        <v>2232.3655152515203</v>
      </c>
      <c r="CM18" s="165">
        <f ca="1">VLOOKUP($D18,Index_CALCULATION!$B$14:$DD$41,CM$2,0)</f>
        <v>2263.3700968892199</v>
      </c>
      <c r="CN18" s="165">
        <f ca="1">VLOOKUP($D18,Index_CALCULATION!$B$14:$DD$41,CN$2,0)</f>
        <v>2263.3700968892199</v>
      </c>
      <c r="CO18" s="165">
        <f ca="1">VLOOKUP($D18,Index_CALCULATION!$B$14:$DD$41,CO$2,0)</f>
        <v>2263.3700968892199</v>
      </c>
      <c r="CP18" s="165">
        <f ca="1">VLOOKUP($D18,Index_CALCULATION!$B$14:$DD$41,CP$2,0)</f>
        <v>2263.3700968892199</v>
      </c>
      <c r="CQ18" s="165">
        <f ca="1">VLOOKUP($D18,Index_CALCULATION!$B$14:$DD$41,CQ$2,0)</f>
        <v>2243.7739419386153</v>
      </c>
      <c r="CR18" s="247">
        <f ca="1">VLOOKUP($D18,Index_CALCULATION!$B$14:$DD$41,CR$2,0)</f>
        <v>2243.7739419386153</v>
      </c>
      <c r="CS18" s="247">
        <f ca="1">VLOOKUP($D18,Index_CALCULATION!$B$14:$DD$41,CS$2,0)</f>
        <v>2243.7739419386153</v>
      </c>
      <c r="CT18" s="247">
        <f ca="1">VLOOKUP($D18,Index_CALCULATION!$B$14:$FP$41,CT$2,0)</f>
        <v>2243.7739419386153</v>
      </c>
      <c r="CU18" s="247">
        <f ca="1">VLOOKUP($D18,Index_CALCULATION!$B$14:$FP$41,CU$2,0)</f>
        <v>2225.8953600828645</v>
      </c>
      <c r="CV18" s="247">
        <f ca="1">VLOOKUP($D18,Index_CALCULATION!$B$14:$FP$41,CV$2,0)</f>
        <v>2204.7969845817674</v>
      </c>
      <c r="CW18" s="247">
        <f ca="1">VLOOKUP($D18,Index_CALCULATION!$B$14:$FP$41,CW$2,0)</f>
        <v>2189.1045458354874</v>
      </c>
      <c r="CX18" s="247">
        <f ca="1">VLOOKUP($D18,Index_CALCULATION!$B$14:$FP$41,CX$2,0)</f>
        <v>2189.1045458354874</v>
      </c>
      <c r="CY18" s="247">
        <f ca="1">VLOOKUP($D18,Index_CALCULATION!$B$14:$FP$41,CY$2,0)</f>
        <v>2172.3298807561337</v>
      </c>
      <c r="CZ18" s="247">
        <f ca="1">VLOOKUP($D18,Index_CALCULATION!$B$14:$FP$41,CZ$2,0)</f>
        <v>2172.3298807561337</v>
      </c>
      <c r="DA18" s="247">
        <f ca="1">VLOOKUP($D18,Index_CALCULATION!$B$14:$FP$41,DA$2,0)</f>
        <v>2156.8685236203673</v>
      </c>
      <c r="DB18" s="247">
        <f ca="1">VLOOKUP($D18,Index_CALCULATION!$B$14:$FP$41,DB$2,0)</f>
        <v>2156.8685236203673</v>
      </c>
    </row>
    <row r="19" spans="3:106" x14ac:dyDescent="0.3">
      <c r="C19" s="165" t="s">
        <v>138</v>
      </c>
      <c r="D19" s="165" t="s">
        <v>167</v>
      </c>
      <c r="E19" s="165">
        <v>0</v>
      </c>
      <c r="F19" s="165">
        <v>0</v>
      </c>
      <c r="G19" s="165">
        <v>0</v>
      </c>
      <c r="H19" s="165">
        <v>0</v>
      </c>
      <c r="I19" s="165">
        <v>0</v>
      </c>
      <c r="J19" s="165">
        <v>0</v>
      </c>
      <c r="K19" s="165">
        <v>0</v>
      </c>
      <c r="L19" s="165">
        <v>0</v>
      </c>
      <c r="M19" s="165">
        <v>0</v>
      </c>
      <c r="N19" s="165">
        <v>0</v>
      </c>
      <c r="O19" s="165">
        <v>0</v>
      </c>
      <c r="P19" s="165">
        <v>0</v>
      </c>
      <c r="Q19" s="165">
        <v>0</v>
      </c>
      <c r="R19" s="165">
        <v>1000</v>
      </c>
      <c r="S19" s="165">
        <v>1023.5488589107315</v>
      </c>
      <c r="T19" s="165">
        <v>1060.9481175317599</v>
      </c>
      <c r="U19" s="165">
        <v>1086.267887323994</v>
      </c>
      <c r="V19" s="165">
        <v>1116.4474345856088</v>
      </c>
      <c r="W19" s="165">
        <v>1162.2631571781924</v>
      </c>
      <c r="X19" s="165">
        <v>1184.2611783543093</v>
      </c>
      <c r="Y19" s="165">
        <v>1202.2842254822369</v>
      </c>
      <c r="Z19" s="165">
        <v>1237.4302224233422</v>
      </c>
      <c r="AA19" s="165">
        <v>1268.3273562847967</v>
      </c>
      <c r="AB19" s="165">
        <v>1316.2252167776542</v>
      </c>
      <c r="AC19" s="165">
        <v>1344.4433710074625</v>
      </c>
      <c r="AD19" s="165">
        <v>1356.2886107626834</v>
      </c>
      <c r="AE19" s="165">
        <v>1372.9983219751625</v>
      </c>
      <c r="AF19" s="165">
        <v>1382.8405618569118</v>
      </c>
      <c r="AG19" s="165">
        <v>1383.8286579648372</v>
      </c>
      <c r="AH19" s="165">
        <v>1400.243990427266</v>
      </c>
      <c r="AI19" s="165">
        <v>1426.517620566859</v>
      </c>
      <c r="AJ19" s="165">
        <v>1450.7388503154323</v>
      </c>
      <c r="AK19" s="165">
        <v>1462.8788538281285</v>
      </c>
      <c r="AL19" s="165">
        <v>1496.0708070767737</v>
      </c>
      <c r="AM19" s="165">
        <v>1517.2579255764388</v>
      </c>
      <c r="AN19" s="165">
        <v>1545.7502026047648</v>
      </c>
      <c r="AO19" s="165">
        <v>1567.5811315852297</v>
      </c>
      <c r="AP19" s="165">
        <v>1601.6676675891749</v>
      </c>
      <c r="AQ19" s="165">
        <v>1622.7359138873423</v>
      </c>
      <c r="AR19" s="165">
        <v>1650.6790211527527</v>
      </c>
      <c r="AS19" s="165">
        <v>1668.4599527005234</v>
      </c>
      <c r="AT19" s="165">
        <v>1705.6134256459725</v>
      </c>
      <c r="AU19" s="165">
        <v>1767.629020531306</v>
      </c>
      <c r="AV19" s="165">
        <v>1816.3790648266449</v>
      </c>
      <c r="AW19" s="165">
        <v>1887.02759358611</v>
      </c>
      <c r="AX19" s="165">
        <v>1941.1728707682366</v>
      </c>
      <c r="AY19" s="165">
        <v>1977.9132265593789</v>
      </c>
      <c r="AZ19" s="165">
        <v>2019.9949159121352</v>
      </c>
      <c r="BA19" s="165">
        <v>2058.2271274912819</v>
      </c>
      <c r="BB19" s="165">
        <v>2070.4501495088243</v>
      </c>
      <c r="BC19" s="165">
        <v>2108.6727688992059</v>
      </c>
      <c r="BD19" s="165">
        <v>2163.3728018557231</v>
      </c>
      <c r="BE19" s="165">
        <v>2234.6864303952166</v>
      </c>
      <c r="BF19" s="165">
        <v>2284.5286938003583</v>
      </c>
      <c r="BG19" s="165">
        <v>2313.2645272685149</v>
      </c>
      <c r="BH19" s="165">
        <v>2331.5994213096042</v>
      </c>
      <c r="BI19" s="165">
        <v>2368.5908961379896</v>
      </c>
      <c r="BJ19" s="165">
        <v>2408.3982172883743</v>
      </c>
      <c r="BK19" s="165">
        <v>2444.0775431073666</v>
      </c>
      <c r="BL19" s="165">
        <v>2505.9496606821795</v>
      </c>
      <c r="BM19" s="165">
        <f ca="1">VLOOKUP($D19,Index_CALCULATION!$B$14:$DD$41,BM$2,0)</f>
        <v>2005.4946064001942</v>
      </c>
      <c r="BN19" s="165">
        <f ca="1">VLOOKUP($D19,Index_CALCULATION!$B$14:$DD$41,BN$2,0)</f>
        <v>2005.4946064001942</v>
      </c>
      <c r="BO19" s="165">
        <f ca="1">VLOOKUP($D19,Index_CALCULATION!$B$14:$DD$41,BO$2,0)</f>
        <v>2005.4946064001942</v>
      </c>
      <c r="BP19" s="165">
        <f ca="1">VLOOKUP($D19,Index_CALCULATION!$B$14:$DD$41,BP$2,0)</f>
        <v>2033.3482534948525</v>
      </c>
      <c r="BQ19" s="165">
        <f ca="1">VLOOKUP($D19,Index_CALCULATION!$B$14:$DD$41,BQ$2,0)</f>
        <v>2033.3482534948525</v>
      </c>
      <c r="BR19" s="165">
        <f ca="1">VLOOKUP($D19,Index_CALCULATION!$B$14:$DD$41,BR$2,0)</f>
        <v>2021.0621988216167</v>
      </c>
      <c r="BS19" s="165">
        <f ca="1">VLOOKUP($D19,Index_CALCULATION!$B$14:$DD$41,BS$2,0)</f>
        <v>2021.0621988216167</v>
      </c>
      <c r="BT19" s="165">
        <f ca="1">VLOOKUP($D19,Index_CALCULATION!$B$14:$DD$41,BT$2,0)</f>
        <v>2021.0621988216167</v>
      </c>
      <c r="BU19" s="165">
        <f ca="1">VLOOKUP($D19,Index_CALCULATION!$B$14:$DD$41,BU$2,0)</f>
        <v>2021.0621988216167</v>
      </c>
      <c r="BV19" s="165">
        <f ca="1">VLOOKUP($D19,Index_CALCULATION!$B$14:$DD$41,BV$2,0)</f>
        <v>2007.6332636833602</v>
      </c>
      <c r="BW19" s="165">
        <f ca="1">VLOOKUP($D19,Index_CALCULATION!$B$14:$DD$41,BW$2,0)</f>
        <v>2020.627608521427</v>
      </c>
      <c r="BX19" s="165">
        <f ca="1">VLOOKUP($D19,Index_CALCULATION!$B$14:$DD$41,BX$2,0)</f>
        <v>2020.627608521427</v>
      </c>
      <c r="BY19" s="165">
        <f ca="1">VLOOKUP($D19,Index_CALCULATION!$B$14:$DD$41,BY$2,0)</f>
        <v>2020.627608521427</v>
      </c>
      <c r="BZ19" s="165">
        <f ca="1">VLOOKUP($D19,Index_CALCULATION!$B$14:$DD$41,BZ$2,0)</f>
        <v>2020.627608521427</v>
      </c>
      <c r="CA19" s="165">
        <f ca="1">VLOOKUP($D19,Index_CALCULATION!$B$14:$DD$41,CA$2,0)</f>
        <v>2033.706058858653</v>
      </c>
      <c r="CB19" s="165">
        <f ca="1">VLOOKUP($D19,Index_CALCULATION!$B$14:$DD$41,CB$2,0)</f>
        <v>2020.1931116714682</v>
      </c>
      <c r="CC19" s="165">
        <f ca="1">VLOOKUP($D19,Index_CALCULATION!$B$14:$DD$41,CC$2,0)</f>
        <v>2004.712780725934</v>
      </c>
      <c r="CD19" s="165">
        <f ca="1">VLOOKUP($D19,Index_CALCULATION!$B$14:$DD$41,CD$2,0)</f>
        <v>1981.2661164703409</v>
      </c>
      <c r="CE19" s="165">
        <f ca="1">VLOOKUP($D19,Index_CALCULATION!$B$14:$DD$41,CE$2,0)</f>
        <v>1959.3738971782013</v>
      </c>
      <c r="CF19" s="165">
        <f ca="1">VLOOKUP($D19,Index_CALCULATION!$B$14:$DD$41,CF$2,0)</f>
        <v>1959.3738971782013</v>
      </c>
      <c r="CG19" s="165">
        <f ca="1">VLOOKUP($D19,Index_CALCULATION!$B$14:$DD$41,CG$2,0)</f>
        <v>1959.3738971782013</v>
      </c>
      <c r="CH19" s="165">
        <f ca="1">VLOOKUP($D19,Index_CALCULATION!$B$14:$DD$41,CH$2,0)</f>
        <v>1944.3596115640585</v>
      </c>
      <c r="CI19" s="165">
        <f ca="1">VLOOKUP($D19,Index_CALCULATION!$B$14:$DD$41,CI$2,0)</f>
        <v>1944.3596115640585</v>
      </c>
      <c r="CJ19" s="165">
        <f ca="1">VLOOKUP($D19,Index_CALCULATION!$B$14:$DD$41,CJ$2,0)</f>
        <v>1928.8667885917364</v>
      </c>
      <c r="CK19" s="165">
        <f ca="1">VLOOKUP($D19,Index_CALCULATION!$B$14:$DD$41,CK$2,0)</f>
        <v>1928.8667885917364</v>
      </c>
      <c r="CL19" s="165">
        <f ca="1">VLOOKUP($D19,Index_CALCULATION!$B$14:$DD$41,CL$2,0)</f>
        <v>1946.4818885354571</v>
      </c>
      <c r="CM19" s="165">
        <f ca="1">VLOOKUP($D19,Index_CALCULATION!$B$14:$DD$41,CM$2,0)</f>
        <v>1933.1040589812733</v>
      </c>
      <c r="CN19" s="165">
        <f ca="1">VLOOKUP($D19,Index_CALCULATION!$B$14:$DD$41,CN$2,0)</f>
        <v>1917.0617940971867</v>
      </c>
      <c r="CO19" s="165">
        <f ca="1">VLOOKUP($D19,Index_CALCULATION!$B$14:$DD$41,CO$2,0)</f>
        <v>1917.0617940971867</v>
      </c>
      <c r="CP19" s="165">
        <f ca="1">VLOOKUP($D19,Index_CALCULATION!$B$14:$DD$41,CP$2,0)</f>
        <v>1902.3717375653584</v>
      </c>
      <c r="CQ19" s="165">
        <f ca="1">VLOOKUP($D19,Index_CALCULATION!$B$14:$DD$41,CQ$2,0)</f>
        <v>1885.9010899261507</v>
      </c>
      <c r="CR19" s="247">
        <f ca="1">VLOOKUP($D19,Index_CALCULATION!$B$14:$DD$41,CR$2,0)</f>
        <v>1865.0626170522992</v>
      </c>
      <c r="CS19" s="247">
        <f ca="1">VLOOKUP($D19,Index_CALCULATION!$B$14:$DD$41,CS$2,0)</f>
        <v>1865.0626170522992</v>
      </c>
      <c r="CT19" s="247">
        <f ca="1">VLOOKUP($D19,Index_CALCULATION!$B$14:$FP$41,CT$2,0)</f>
        <v>1848.9149900749132</v>
      </c>
      <c r="CU19" s="247">
        <f ca="1">VLOOKUP($D19,Index_CALCULATION!$B$14:$FP$41,CU$2,0)</f>
        <v>1834.1826779749613</v>
      </c>
      <c r="CV19" s="247">
        <f ca="1">VLOOKUP($D19,Index_CALCULATION!$B$14:$FP$41,CV$2,0)</f>
        <v>1816.7971909608357</v>
      </c>
      <c r="CW19" s="247">
        <f ca="1">VLOOKUP($D19,Index_CALCULATION!$B$14:$FP$41,CW$2,0)</f>
        <v>1803.8663048824628</v>
      </c>
      <c r="CX19" s="247">
        <f ca="1">VLOOKUP($D19,Index_CALCULATION!$B$14:$FP$41,CX$2,0)</f>
        <v>1793.8726113745686</v>
      </c>
      <c r="CY19" s="247">
        <f ca="1">VLOOKUP($D19,Index_CALCULATION!$B$14:$FP$41,CY$2,0)</f>
        <v>1780.1265286175435</v>
      </c>
      <c r="CZ19" s="247">
        <f ca="1">VLOOKUP($D19,Index_CALCULATION!$B$14:$FP$41,CZ$2,0)</f>
        <v>1780.1265286175435</v>
      </c>
      <c r="DA19" s="247">
        <f ca="1">VLOOKUP($D19,Index_CALCULATION!$B$14:$FP$41,DA$2,0)</f>
        <v>1767.456642588895</v>
      </c>
      <c r="DB19" s="247">
        <f ca="1">VLOOKUP($D19,Index_CALCULATION!$B$14:$FP$41,DB$2,0)</f>
        <v>1755.7127879827153</v>
      </c>
    </row>
    <row r="20" spans="3:106" x14ac:dyDescent="0.3">
      <c r="C20" s="165" t="s">
        <v>139</v>
      </c>
      <c r="D20" s="165" t="s">
        <v>168</v>
      </c>
      <c r="E20" s="165">
        <v>0</v>
      </c>
      <c r="F20" s="165">
        <v>0</v>
      </c>
      <c r="G20" s="165">
        <v>0</v>
      </c>
      <c r="H20" s="165">
        <v>0</v>
      </c>
      <c r="I20" s="165">
        <v>0</v>
      </c>
      <c r="J20" s="165">
        <v>0</v>
      </c>
      <c r="K20" s="165">
        <v>0</v>
      </c>
      <c r="L20" s="165">
        <v>0</v>
      </c>
      <c r="M20" s="165">
        <v>0</v>
      </c>
      <c r="N20" s="165">
        <v>0</v>
      </c>
      <c r="O20" s="165">
        <v>0</v>
      </c>
      <c r="P20" s="165">
        <v>0</v>
      </c>
      <c r="Q20" s="165">
        <v>0</v>
      </c>
      <c r="R20" s="165">
        <v>1000</v>
      </c>
      <c r="S20" s="165">
        <v>1031.9657899548642</v>
      </c>
      <c r="T20" s="165">
        <v>1072.6960954214649</v>
      </c>
      <c r="U20" s="165">
        <v>1109.2296448076622</v>
      </c>
      <c r="V20" s="165">
        <v>1145.5413260882067</v>
      </c>
      <c r="W20" s="165">
        <v>1193.1992781938879</v>
      </c>
      <c r="X20" s="165">
        <v>1232.3585275435562</v>
      </c>
      <c r="Y20" s="165">
        <v>1260.9261644022947</v>
      </c>
      <c r="Z20" s="165">
        <v>1310.4961737533265</v>
      </c>
      <c r="AA20" s="165">
        <v>1337.3313446280679</v>
      </c>
      <c r="AB20" s="165">
        <v>1390.8293616864905</v>
      </c>
      <c r="AC20" s="165">
        <v>1427.6597938459108</v>
      </c>
      <c r="AD20" s="165">
        <v>1459.9541293638711</v>
      </c>
      <c r="AE20" s="165">
        <v>1484.7430866679167</v>
      </c>
      <c r="AF20" s="165">
        <v>1514.5823295113407</v>
      </c>
      <c r="AG20" s="165">
        <v>1542.9730996507415</v>
      </c>
      <c r="AH20" s="165">
        <v>1576.8185681638215</v>
      </c>
      <c r="AI20" s="165">
        <v>1626.0902004337788</v>
      </c>
      <c r="AJ20" s="165">
        <v>1651.1707897912756</v>
      </c>
      <c r="AK20" s="165">
        <v>1666.839053141096</v>
      </c>
      <c r="AL20" s="165">
        <v>1692.6810054289058</v>
      </c>
      <c r="AM20" s="165">
        <v>1721.1287616446923</v>
      </c>
      <c r="AN20" s="165">
        <v>1769.836747174787</v>
      </c>
      <c r="AO20" s="165">
        <v>1795.9272375376936</v>
      </c>
      <c r="AP20" s="165">
        <v>1839.2514436480496</v>
      </c>
      <c r="AQ20" s="165">
        <v>1858.158488727953</v>
      </c>
      <c r="AR20" s="165">
        <v>1885.5509960992117</v>
      </c>
      <c r="AS20" s="165">
        <v>1918.1533780270966</v>
      </c>
      <c r="AT20" s="165">
        <v>1944.5943932398343</v>
      </c>
      <c r="AU20" s="165">
        <v>1987.896862119695</v>
      </c>
      <c r="AV20" s="165">
        <v>2014.3821453979469</v>
      </c>
      <c r="AW20" s="165">
        <v>2077.6419514264135</v>
      </c>
      <c r="AX20" s="165">
        <v>2106.5454175839632</v>
      </c>
      <c r="AY20" s="165">
        <v>2142.7602137391709</v>
      </c>
      <c r="AZ20" s="165">
        <v>2172.5695835774309</v>
      </c>
      <c r="BA20" s="165">
        <v>2180.7320145084955</v>
      </c>
      <c r="BB20" s="165">
        <v>2176.4321828148391</v>
      </c>
      <c r="BC20" s="165">
        <v>2204.4803247743444</v>
      </c>
      <c r="BD20" s="165">
        <v>2235.6146266349447</v>
      </c>
      <c r="BE20" s="165">
        <v>2279.8525859382744</v>
      </c>
      <c r="BF20" s="165">
        <v>2318.7367899290889</v>
      </c>
      <c r="BG20" s="165">
        <v>2347.9029082766983</v>
      </c>
      <c r="BH20" s="165">
        <v>2361.8462037272338</v>
      </c>
      <c r="BI20" s="165">
        <v>2410.4512563987564</v>
      </c>
      <c r="BJ20" s="165">
        <v>2406.4371836279179</v>
      </c>
      <c r="BK20" s="165">
        <v>2402.9009062579535</v>
      </c>
      <c r="BL20" s="165">
        <v>2415.9247276112033</v>
      </c>
      <c r="BM20" s="165">
        <f ca="1">VLOOKUP($D20,Index_CALCULATION!$B$14:$DD$41,BM$2,0)</f>
        <v>2127.7616979352861</v>
      </c>
      <c r="BN20" s="165">
        <f ca="1">VLOOKUP($D20,Index_CALCULATION!$B$14:$DD$41,BN$2,0)</f>
        <v>2127.7616979352861</v>
      </c>
      <c r="BO20" s="165">
        <f ca="1">VLOOKUP($D20,Index_CALCULATION!$B$14:$DD$41,BO$2,0)</f>
        <v>2100.4830778562205</v>
      </c>
      <c r="BP20" s="165">
        <f ca="1">VLOOKUP($D20,Index_CALCULATION!$B$14:$DD$41,BP$2,0)</f>
        <v>2115.0192351140022</v>
      </c>
      <c r="BQ20" s="165">
        <f ca="1">VLOOKUP($D20,Index_CALCULATION!$B$14:$DD$41,BQ$2,0)</f>
        <v>2129.655988215688</v>
      </c>
      <c r="BR20" s="165">
        <f ca="1">VLOOKUP($D20,Index_CALCULATION!$B$14:$DD$41,BR$2,0)</f>
        <v>2116.7880154710142</v>
      </c>
      <c r="BS20" s="165">
        <f ca="1">VLOOKUP($D20,Index_CALCULATION!$B$14:$DD$41,BS$2,0)</f>
        <v>2116.7880154710142</v>
      </c>
      <c r="BT20" s="165">
        <f ca="1">VLOOKUP($D20,Index_CALCULATION!$B$14:$DD$41,BT$2,0)</f>
        <v>2116.7880154710142</v>
      </c>
      <c r="BU20" s="165">
        <f ca="1">VLOOKUP($D20,Index_CALCULATION!$B$14:$DD$41,BU$2,0)</f>
        <v>2116.7880154710142</v>
      </c>
      <c r="BV20" s="165">
        <f ca="1">VLOOKUP($D20,Index_CALCULATION!$B$14:$DD$41,BV$2,0)</f>
        <v>2116.7880154710142</v>
      </c>
      <c r="BW20" s="165">
        <f ca="1">VLOOKUP($D20,Index_CALCULATION!$B$14:$DD$41,BW$2,0)</f>
        <v>2116.7880154710142</v>
      </c>
      <c r="BX20" s="165">
        <f ca="1">VLOOKUP($D20,Index_CALCULATION!$B$14:$DD$41,BX$2,0)</f>
        <v>2103.1752778710143</v>
      </c>
      <c r="BY20" s="165">
        <f ca="1">VLOOKUP($D20,Index_CALCULATION!$B$14:$DD$41,BY$2,0)</f>
        <v>2075.3190616245065</v>
      </c>
      <c r="BZ20" s="165">
        <f ca="1">VLOOKUP($D20,Index_CALCULATION!$B$14:$DD$41,BZ$2,0)</f>
        <v>2075.3190616245065</v>
      </c>
      <c r="CA20" s="165">
        <f ca="1">VLOOKUP($D20,Index_CALCULATION!$B$14:$DD$41,CA$2,0)</f>
        <v>2061.9730044776902</v>
      </c>
      <c r="CB20" s="165">
        <f ca="1">VLOOKUP($D20,Index_CALCULATION!$B$14:$DD$41,CB$2,0)</f>
        <v>2048.2722377471505</v>
      </c>
      <c r="CC20" s="165">
        <f ca="1">VLOOKUP($D20,Index_CALCULATION!$B$14:$DD$41,CC$2,0)</f>
        <v>2048.2722377471505</v>
      </c>
      <c r="CD20" s="165">
        <f ca="1">VLOOKUP($D20,Index_CALCULATION!$B$14:$DD$41,CD$2,0)</f>
        <v>2048.2722377471505</v>
      </c>
      <c r="CE20" s="165">
        <f ca="1">VLOOKUP($D20,Index_CALCULATION!$B$14:$DD$41,CE$2,0)</f>
        <v>2025.6396268999779</v>
      </c>
      <c r="CF20" s="165">
        <f ca="1">VLOOKUP($D20,Index_CALCULATION!$B$14:$DD$41,CF$2,0)</f>
        <v>2025.6396268999779</v>
      </c>
      <c r="CG20" s="165">
        <f ca="1">VLOOKUP($D20,Index_CALCULATION!$B$14:$DD$41,CG$2,0)</f>
        <v>2025.6396268999779</v>
      </c>
      <c r="CH20" s="165">
        <f ca="1">VLOOKUP($D20,Index_CALCULATION!$B$14:$DD$41,CH$2,0)</f>
        <v>2010.1175604105742</v>
      </c>
      <c r="CI20" s="165">
        <f ca="1">VLOOKUP($D20,Index_CALCULATION!$B$14:$DD$41,CI$2,0)</f>
        <v>2010.1175604105742</v>
      </c>
      <c r="CJ20" s="165">
        <f ca="1">VLOOKUP($D20,Index_CALCULATION!$B$14:$DD$41,CJ$2,0)</f>
        <v>1994.100772501703</v>
      </c>
      <c r="CK20" s="165">
        <f ca="1">VLOOKUP($D20,Index_CALCULATION!$B$14:$DD$41,CK$2,0)</f>
        <v>1994.100772501703</v>
      </c>
      <c r="CL20" s="165">
        <f ca="1">VLOOKUP($D20,Index_CALCULATION!$B$14:$DD$41,CL$2,0)</f>
        <v>2012.3116124690985</v>
      </c>
      <c r="CM20" s="165">
        <f ca="1">VLOOKUP($D20,Index_CALCULATION!$B$14:$DD$41,CM$2,0)</f>
        <v>1998.4813467368181</v>
      </c>
      <c r="CN20" s="165">
        <f ca="1">VLOOKUP($D20,Index_CALCULATION!$B$14:$DD$41,CN$2,0)</f>
        <v>1981.8965348735842</v>
      </c>
      <c r="CO20" s="165">
        <f ca="1">VLOOKUP($D20,Index_CALCULATION!$B$14:$DD$41,CO$2,0)</f>
        <v>1981.8965348735842</v>
      </c>
      <c r="CP20" s="165">
        <f ca="1">VLOOKUP($D20,Index_CALCULATION!$B$14:$DD$41,CP$2,0)</f>
        <v>1981.8965348735842</v>
      </c>
      <c r="CQ20" s="165">
        <f ca="1">VLOOKUP($D20,Index_CALCULATION!$B$14:$DD$41,CQ$2,0)</f>
        <v>1999.2055653723937</v>
      </c>
      <c r="CR20" s="247">
        <f ca="1">VLOOKUP($D20,Index_CALCULATION!$B$14:$DD$41,CR$2,0)</f>
        <v>1999.2055653723937</v>
      </c>
      <c r="CS20" s="247">
        <f ca="1">VLOOKUP($D20,Index_CALCULATION!$B$14:$DD$41,CS$2,0)</f>
        <v>2015.9352218374052</v>
      </c>
      <c r="CT20" s="247">
        <f ca="1">VLOOKUP($D20,Index_CALCULATION!$B$14:$FP$41,CT$2,0)</f>
        <v>1998.4813467368185</v>
      </c>
      <c r="CU20" s="247">
        <f ca="1">VLOOKUP($D20,Index_CALCULATION!$B$14:$FP$41,CU$2,0)</f>
        <v>1998.4813467368185</v>
      </c>
      <c r="CV20" s="247">
        <f ca="1">VLOOKUP($D20,Index_CALCULATION!$B$14:$FP$41,CV$2,0)</f>
        <v>1979.5385380848334</v>
      </c>
      <c r="CW20" s="247">
        <f ca="1">VLOOKUP($D20,Index_CALCULATION!$B$14:$FP$41,CW$2,0)</f>
        <v>1965.4493555106428</v>
      </c>
      <c r="CX20" s="247">
        <f ca="1">VLOOKUP($D20,Index_CALCULATION!$B$14:$FP$41,CX$2,0)</f>
        <v>1954.5604673424361</v>
      </c>
      <c r="CY20" s="247">
        <f ca="1">VLOOKUP($D20,Index_CALCULATION!$B$14:$FP$41,CY$2,0)</f>
        <v>1954.5604673424361</v>
      </c>
      <c r="CZ20" s="247">
        <f ca="1">VLOOKUP($D20,Index_CALCULATION!$B$14:$FP$41,CZ$2,0)</f>
        <v>1954.5604673424361</v>
      </c>
      <c r="DA20" s="247">
        <f ca="1">VLOOKUP($D20,Index_CALCULATION!$B$14:$FP$41,DA$2,0)</f>
        <v>1940.6490638780078</v>
      </c>
      <c r="DB20" s="247">
        <f ca="1">VLOOKUP($D20,Index_CALCULATION!$B$14:$FP$41,DB$2,0)</f>
        <v>1927.7544333118972</v>
      </c>
    </row>
    <row r="21" spans="3:106" x14ac:dyDescent="0.3">
      <c r="C21" s="165" t="s">
        <v>140</v>
      </c>
      <c r="D21" s="165" t="s">
        <v>169</v>
      </c>
      <c r="E21" s="165">
        <v>0</v>
      </c>
      <c r="F21" s="165">
        <v>0</v>
      </c>
      <c r="G21" s="165">
        <v>0</v>
      </c>
      <c r="H21" s="165">
        <v>0</v>
      </c>
      <c r="I21" s="165">
        <v>0</v>
      </c>
      <c r="J21" s="165">
        <v>0</v>
      </c>
      <c r="K21" s="165">
        <v>0</v>
      </c>
      <c r="L21" s="165">
        <v>0</v>
      </c>
      <c r="M21" s="165">
        <v>0</v>
      </c>
      <c r="N21" s="165">
        <v>0</v>
      </c>
      <c r="O21" s="165">
        <v>0</v>
      </c>
      <c r="P21" s="165">
        <v>0</v>
      </c>
      <c r="Q21" s="165">
        <v>0</v>
      </c>
      <c r="R21" s="165">
        <v>1000</v>
      </c>
      <c r="S21" s="165">
        <v>1029.3003610727915</v>
      </c>
      <c r="T21" s="165">
        <v>1051.1103191546267</v>
      </c>
      <c r="U21" s="165">
        <v>1073.1537779409803</v>
      </c>
      <c r="V21" s="165">
        <v>1093.465236139217</v>
      </c>
      <c r="W21" s="165">
        <v>1112.6483490281028</v>
      </c>
      <c r="X21" s="165">
        <v>1147.9675989745058</v>
      </c>
      <c r="Y21" s="165">
        <v>1172.7451003187937</v>
      </c>
      <c r="Z21" s="165">
        <v>1202.9428974679149</v>
      </c>
      <c r="AA21" s="165">
        <v>1216.018235706033</v>
      </c>
      <c r="AB21" s="165">
        <v>1248.9533965426576</v>
      </c>
      <c r="AC21" s="165">
        <v>1279.116434713728</v>
      </c>
      <c r="AD21" s="165">
        <v>1306.9037398882863</v>
      </c>
      <c r="AE21" s="165">
        <v>1333.1689021360012</v>
      </c>
      <c r="AF21" s="165">
        <v>1357.1893193910901</v>
      </c>
      <c r="AG21" s="165">
        <v>1389.5602259548264</v>
      </c>
      <c r="AH21" s="165">
        <v>1434.1768866132627</v>
      </c>
      <c r="AI21" s="165">
        <v>1466.717607293027</v>
      </c>
      <c r="AJ21" s="165">
        <v>1482.5169268705997</v>
      </c>
      <c r="AK21" s="165">
        <v>1499.9142447079003</v>
      </c>
      <c r="AL21" s="165">
        <v>1528.0580484849388</v>
      </c>
      <c r="AM21" s="165">
        <v>1553.7390968971617</v>
      </c>
      <c r="AN21" s="165">
        <v>1592.1462538307508</v>
      </c>
      <c r="AO21" s="165">
        <v>1615.6172754140803</v>
      </c>
      <c r="AP21" s="165">
        <v>1687.6242128846388</v>
      </c>
      <c r="AQ21" s="165">
        <v>1727.3996810742901</v>
      </c>
      <c r="AR21" s="165">
        <v>1755.0035185243873</v>
      </c>
      <c r="AS21" s="165">
        <v>1760.024984398314</v>
      </c>
      <c r="AT21" s="165">
        <v>1793.8705855819039</v>
      </c>
      <c r="AU21" s="165">
        <v>1849.1623754555787</v>
      </c>
      <c r="AV21" s="165">
        <v>1880.7009088953459</v>
      </c>
      <c r="AW21" s="165">
        <v>1918.1887345103837</v>
      </c>
      <c r="AX21" s="165">
        <v>1955.1371036341484</v>
      </c>
      <c r="AY21" s="165">
        <v>1975.2354243305742</v>
      </c>
      <c r="AZ21" s="165">
        <v>1994.824376215083</v>
      </c>
      <c r="BA21" s="165">
        <v>2023.7070736511553</v>
      </c>
      <c r="BB21" s="165">
        <v>2035.7250943000447</v>
      </c>
      <c r="BC21" s="165">
        <v>2083.4450524809799</v>
      </c>
      <c r="BD21" s="165">
        <v>2116.7384930176408</v>
      </c>
      <c r="BE21" s="165">
        <v>2154.2529939780957</v>
      </c>
      <c r="BF21" s="165">
        <v>2205.5423374915677</v>
      </c>
      <c r="BG21" s="165">
        <v>2227.0896845414545</v>
      </c>
      <c r="BH21" s="165">
        <v>2269.9881388258136</v>
      </c>
      <c r="BI21" s="165">
        <v>2314.5587178694227</v>
      </c>
      <c r="BJ21" s="165">
        <v>2320.3523536913553</v>
      </c>
      <c r="BK21" s="165">
        <v>2346.0861285679471</v>
      </c>
      <c r="BL21" s="165">
        <v>2369.9849327492884</v>
      </c>
      <c r="BM21" s="165">
        <f ca="1">VLOOKUP($D21,Index_CALCULATION!$B$14:$DD$41,BM$2,0)</f>
        <v>2012.8823637206042</v>
      </c>
      <c r="BN21" s="165">
        <f ca="1">VLOOKUP($D21,Index_CALCULATION!$B$14:$DD$41,BN$2,0)</f>
        <v>2024.4174747281318</v>
      </c>
      <c r="BO21" s="165">
        <f ca="1">VLOOKUP($D21,Index_CALCULATION!$B$14:$DD$41,BO$2,0)</f>
        <v>2037.5204548583588</v>
      </c>
      <c r="BP21" s="165">
        <f ca="1">VLOOKUP($D21,Index_CALCULATION!$B$14:$DD$41,BP$2,0)</f>
        <v>2037.5204548583588</v>
      </c>
      <c r="BQ21" s="165">
        <f ca="1">VLOOKUP($D21,Index_CALCULATION!$B$14:$DD$41,BQ$2,0)</f>
        <v>2051.6208863543347</v>
      </c>
      <c r="BR21" s="165">
        <f ca="1">VLOOKUP($D21,Index_CALCULATION!$B$14:$DD$41,BR$2,0)</f>
        <v>2064.0927075546906</v>
      </c>
      <c r="BS21" s="165">
        <f ca="1">VLOOKUP($D21,Index_CALCULATION!$B$14:$DD$41,BS$2,0)</f>
        <v>2076.6403450645257</v>
      </c>
      <c r="BT21" s="165">
        <f ca="1">VLOOKUP($D21,Index_CALCULATION!$B$14:$DD$41,BT$2,0)</f>
        <v>2102.761265012246</v>
      </c>
      <c r="BU21" s="165">
        <f ca="1">VLOOKUP($D21,Index_CALCULATION!$B$14:$DD$41,BU$2,0)</f>
        <v>2115.1669003150305</v>
      </c>
      <c r="BV21" s="165">
        <f ca="1">VLOOKUP($D21,Index_CALCULATION!$B$14:$DD$41,BV$2,0)</f>
        <v>2129.3151213197002</v>
      </c>
      <c r="BW21" s="165">
        <f ca="1">VLOOKUP($D21,Index_CALCULATION!$B$14:$DD$41,BW$2,0)</f>
        <v>2129.3151213197002</v>
      </c>
      <c r="BX21" s="165">
        <f ca="1">VLOOKUP($D21,Index_CALCULATION!$B$14:$DD$41,BX$2,0)</f>
        <v>2129.3151213197002</v>
      </c>
      <c r="BY21" s="165">
        <f ca="1">VLOOKUP($D21,Index_CALCULATION!$B$14:$DD$41,BY$2,0)</f>
        <v>2101.1126870763292</v>
      </c>
      <c r="BZ21" s="165">
        <f ca="1">VLOOKUP($D21,Index_CALCULATION!$B$14:$DD$41,BZ$2,0)</f>
        <v>2101.1126870763292</v>
      </c>
      <c r="CA21" s="165">
        <f ca="1">VLOOKUP($D21,Index_CALCULATION!$B$14:$DD$41,CA$2,0)</f>
        <v>2101.1126870763292</v>
      </c>
      <c r="CB21" s="165">
        <f ca="1">VLOOKUP($D21,Index_CALCULATION!$B$14:$DD$41,CB$2,0)</f>
        <v>2101.1126870763292</v>
      </c>
      <c r="CC21" s="165">
        <f ca="1">VLOOKUP($D21,Index_CALCULATION!$B$14:$DD$41,CC$2,0)</f>
        <v>2101.1126870763292</v>
      </c>
      <c r="CD21" s="165">
        <f ca="1">VLOOKUP($D21,Index_CALCULATION!$B$14:$DD$41,CD$2,0)</f>
        <v>2101.1126870763292</v>
      </c>
      <c r="CE21" s="165">
        <f ca="1">VLOOKUP($D21,Index_CALCULATION!$B$14:$DD$41,CE$2,0)</f>
        <v>2101.1126870763292</v>
      </c>
      <c r="CF21" s="165">
        <f ca="1">VLOOKUP($D21,Index_CALCULATION!$B$14:$DD$41,CF$2,0)</f>
        <v>2101.1126870763292</v>
      </c>
      <c r="CG21" s="165">
        <f ca="1">VLOOKUP($D21,Index_CALCULATION!$B$14:$DD$41,CG$2,0)</f>
        <v>2101.1126870763292</v>
      </c>
      <c r="CH21" s="165">
        <f ca="1">VLOOKUP($D21,Index_CALCULATION!$B$14:$DD$41,CH$2,0)</f>
        <v>2101.1126870763292</v>
      </c>
      <c r="CI21" s="165">
        <f ca="1">VLOOKUP($D21,Index_CALCULATION!$B$14:$DD$41,CI$2,0)</f>
        <v>2116.174362501426</v>
      </c>
      <c r="CJ21" s="165">
        <f ca="1">VLOOKUP($D21,Index_CALCULATION!$B$14:$DD$41,CJ$2,0)</f>
        <v>2099.3125049613859</v>
      </c>
      <c r="CK21" s="165">
        <f ca="1">VLOOKUP($D21,Index_CALCULATION!$B$14:$DD$41,CK$2,0)</f>
        <v>2099.3125049613859</v>
      </c>
      <c r="CL21" s="165">
        <f ca="1">VLOOKUP($D21,Index_CALCULATION!$B$14:$DD$41,CL$2,0)</f>
        <v>2118.4841760206382</v>
      </c>
      <c r="CM21" s="165">
        <f ca="1">VLOOKUP($D21,Index_CALCULATION!$B$14:$DD$41,CM$2,0)</f>
        <v>2133.1449078567584</v>
      </c>
      <c r="CN21" s="165">
        <f ca="1">VLOOKUP($D21,Index_CALCULATION!$B$14:$DD$41,CN$2,0)</f>
        <v>2133.1449078567584</v>
      </c>
      <c r="CO21" s="165">
        <f ca="1">VLOOKUP($D21,Index_CALCULATION!$B$14:$DD$41,CO$2,0)</f>
        <v>2133.1449078567584</v>
      </c>
      <c r="CP21" s="165">
        <f ca="1">VLOOKUP($D21,Index_CALCULATION!$B$14:$DD$41,CP$2,0)</f>
        <v>2133.1449078567584</v>
      </c>
      <c r="CQ21" s="165">
        <f ca="1">VLOOKUP($D21,Index_CALCULATION!$B$14:$DD$41,CQ$2,0)</f>
        <v>2151.7748764846756</v>
      </c>
      <c r="CR21" s="247">
        <f ca="1">VLOOKUP($D21,Index_CALCULATION!$B$14:$DD$41,CR$2,0)</f>
        <v>2151.7748764846756</v>
      </c>
      <c r="CS21" s="247">
        <f ca="1">VLOOKUP($D21,Index_CALCULATION!$B$14:$DD$41,CS$2,0)</f>
        <v>2169.7812561672599</v>
      </c>
      <c r="CT21" s="247">
        <f ca="1">VLOOKUP($D21,Index_CALCULATION!$B$14:$FP$41,CT$2,0)</f>
        <v>2188.7311908777215</v>
      </c>
      <c r="CU21" s="247">
        <f ca="1">VLOOKUP($D21,Index_CALCULATION!$B$14:$FP$41,CU$2,0)</f>
        <v>2206.3112669487218</v>
      </c>
      <c r="CV21" s="247">
        <f ca="1">VLOOKUP($D21,Index_CALCULATION!$B$14:$FP$41,CV$2,0)</f>
        <v>2206.3112669487218</v>
      </c>
      <c r="CW21" s="247">
        <f ca="1">VLOOKUP($D21,Index_CALCULATION!$B$14:$FP$41,CW$2,0)</f>
        <v>2222.1270508397588</v>
      </c>
      <c r="CX21" s="247">
        <f ca="1">VLOOKUP($D21,Index_CALCULATION!$B$14:$FP$41,CX$2,0)</f>
        <v>2246.9550291863311</v>
      </c>
      <c r="CY21" s="247">
        <f ca="1">VLOOKUP($D21,Index_CALCULATION!$B$14:$FP$41,CY$2,0)</f>
        <v>2246.9550291863311</v>
      </c>
      <c r="CZ21" s="247">
        <f ca="1">VLOOKUP($D21,Index_CALCULATION!$B$14:$FP$41,CZ$2,0)</f>
        <v>2260.6142883387615</v>
      </c>
      <c r="DA21" s="247">
        <f ca="1">VLOOKUP($D21,Index_CALCULATION!$B$14:$FP$41,DA$2,0)</f>
        <v>2276.8193395393578</v>
      </c>
      <c r="DB21" s="247">
        <f ca="1">VLOOKUP($D21,Index_CALCULATION!$B$14:$FP$41,DB$2,0)</f>
        <v>2276.8193395393578</v>
      </c>
    </row>
    <row r="22" spans="3:106" x14ac:dyDescent="0.3">
      <c r="C22" s="165" t="s">
        <v>209</v>
      </c>
      <c r="D22" s="165" t="s">
        <v>211</v>
      </c>
      <c r="E22" s="165">
        <v>0</v>
      </c>
      <c r="F22" s="165">
        <v>0</v>
      </c>
      <c r="G22" s="165">
        <v>0</v>
      </c>
      <c r="H22" s="165">
        <v>0</v>
      </c>
      <c r="I22" s="165">
        <v>0</v>
      </c>
      <c r="J22" s="165">
        <v>0</v>
      </c>
      <c r="K22" s="165">
        <v>0</v>
      </c>
      <c r="L22" s="165">
        <v>0</v>
      </c>
      <c r="M22" s="165">
        <v>0</v>
      </c>
      <c r="N22" s="165">
        <v>0</v>
      </c>
      <c r="O22" s="165">
        <v>0</v>
      </c>
      <c r="P22" s="165">
        <v>0</v>
      </c>
      <c r="Q22" s="165">
        <v>0</v>
      </c>
      <c r="R22" s="165">
        <v>0</v>
      </c>
      <c r="S22" s="165">
        <v>0</v>
      </c>
      <c r="T22" s="165">
        <v>0</v>
      </c>
      <c r="U22" s="165">
        <v>0</v>
      </c>
      <c r="V22" s="165">
        <v>0</v>
      </c>
      <c r="W22" s="165">
        <v>0</v>
      </c>
      <c r="X22" s="165">
        <v>0</v>
      </c>
      <c r="Y22" s="165">
        <v>0</v>
      </c>
      <c r="Z22" s="165">
        <v>0</v>
      </c>
      <c r="AA22" s="165">
        <v>0</v>
      </c>
      <c r="AB22" s="165">
        <v>0</v>
      </c>
      <c r="AC22" s="165">
        <v>0</v>
      </c>
      <c r="AD22" s="165">
        <v>0</v>
      </c>
      <c r="AE22" s="165">
        <v>1000</v>
      </c>
      <c r="AF22" s="165">
        <v>1005.628023047493</v>
      </c>
      <c r="AG22" s="165">
        <v>1011.3909186280831</v>
      </c>
      <c r="AH22" s="165">
        <v>1014.2574001847328</v>
      </c>
      <c r="AI22" s="165">
        <v>1014.2574001847328</v>
      </c>
      <c r="AJ22" s="165">
        <v>1017.3670269816038</v>
      </c>
      <c r="AK22" s="165">
        <v>1019.064052488332</v>
      </c>
      <c r="AL22" s="165">
        <v>1032.2130848033689</v>
      </c>
      <c r="AM22" s="165">
        <v>1036.5229452974168</v>
      </c>
      <c r="AN22" s="165">
        <v>1045.6019206014746</v>
      </c>
      <c r="AO22" s="165">
        <v>1060.3691586920945</v>
      </c>
      <c r="AP22" s="165">
        <v>1088.4774676484062</v>
      </c>
      <c r="AQ22" s="165">
        <v>1101.5427743124544</v>
      </c>
      <c r="AR22" s="165">
        <v>1103.5596357104357</v>
      </c>
      <c r="AS22" s="165">
        <v>1101.1973969365174</v>
      </c>
      <c r="AT22" s="165">
        <v>1110.4123843645266</v>
      </c>
      <c r="AU22" s="165">
        <v>1131.0923471971896</v>
      </c>
      <c r="AV22" s="165">
        <v>1147.8489666371654</v>
      </c>
      <c r="AW22" s="165">
        <v>1159.2324999118175</v>
      </c>
      <c r="AX22" s="165">
        <v>1176.1328753569342</v>
      </c>
      <c r="AY22" s="165">
        <v>1176.1328753569342</v>
      </c>
      <c r="AZ22" s="165">
        <v>1178.4564825216062</v>
      </c>
      <c r="BA22" s="165">
        <v>1180.668161227168</v>
      </c>
      <c r="BB22" s="165">
        <v>1176.7907651734909</v>
      </c>
      <c r="BC22" s="165">
        <v>1189.7779018754748</v>
      </c>
      <c r="BD22" s="165">
        <v>1196.3251193438355</v>
      </c>
      <c r="BE22" s="165">
        <v>1201.1849303560882</v>
      </c>
      <c r="BF22" s="165">
        <v>1209.1603082901026</v>
      </c>
      <c r="BG22" s="165">
        <v>1204.1326219592661</v>
      </c>
      <c r="BH22" s="165">
        <v>1218.476852533078</v>
      </c>
      <c r="BI22" s="165">
        <v>1234.3747420997981</v>
      </c>
      <c r="BJ22" s="165">
        <v>1235.4038164396366</v>
      </c>
      <c r="BK22" s="165">
        <v>1235.4038164396366</v>
      </c>
      <c r="BL22" s="165">
        <v>1237.910553118036</v>
      </c>
      <c r="BM22" s="165">
        <f ca="1">VLOOKUP($D22,Index_CALCULATION!$B$14:$DD$41,BM$2,0)</f>
        <v>1173.3027706114117</v>
      </c>
      <c r="BN22" s="165">
        <f ca="1">VLOOKUP($D22,Index_CALCULATION!$B$14:$DD$41,BN$2,0)</f>
        <v>1180.0265503753844</v>
      </c>
      <c r="BO22" s="165">
        <f ca="1">VLOOKUP($D22,Index_CALCULATION!$B$14:$DD$41,BO$2,0)</f>
        <v>1180.0265503753844</v>
      </c>
      <c r="BP22" s="165">
        <f ca="1">VLOOKUP($D22,Index_CALCULATION!$B$14:$DD$41,BP$2,0)</f>
        <v>1180.0265503753844</v>
      </c>
      <c r="BQ22" s="165">
        <f ca="1">VLOOKUP($D22,Index_CALCULATION!$B$14:$DD$41,BQ$2,0)</f>
        <v>1180.0265503753844</v>
      </c>
      <c r="BR22" s="165">
        <f ca="1">VLOOKUP($D22,Index_CALCULATION!$B$14:$DD$41,BR$2,0)</f>
        <v>1180.0265503753844</v>
      </c>
      <c r="BS22" s="165">
        <f ca="1">VLOOKUP($D22,Index_CALCULATION!$B$14:$DD$41,BS$2,0)</f>
        <v>1187.1999420316306</v>
      </c>
      <c r="BT22" s="165">
        <f ca="1">VLOOKUP($D22,Index_CALCULATION!$B$14:$DD$41,BT$2,0)</f>
        <v>1209.6699388682357</v>
      </c>
      <c r="BU22" s="165">
        <f ca="1">VLOOKUP($D22,Index_CALCULATION!$B$14:$DD$41,BU$2,0)</f>
        <v>1202.5751209150492</v>
      </c>
      <c r="BV22" s="165">
        <f ca="1">VLOOKUP($D22,Index_CALCULATION!$B$14:$DD$41,BV$2,0)</f>
        <v>1210.6190717649274</v>
      </c>
      <c r="BW22" s="165">
        <f ca="1">VLOOKUP($D22,Index_CALCULATION!$B$14:$DD$41,BW$2,0)</f>
        <v>1226.3411778210502</v>
      </c>
      <c r="BX22" s="165">
        <f ca="1">VLOOKUP($D22,Index_CALCULATION!$B$14:$DD$41,BX$2,0)</f>
        <v>1250.3080023531768</v>
      </c>
      <c r="BY22" s="165">
        <f ca="1">VLOOKUP($D22,Index_CALCULATION!$B$14:$DD$41,BY$2,0)</f>
        <v>1225.5502451314032</v>
      </c>
      <c r="BZ22" s="165">
        <f ca="1">VLOOKUP($D22,Index_CALCULATION!$B$14:$DD$41,BZ$2,0)</f>
        <v>1225.5502451314032</v>
      </c>
      <c r="CA22" s="165">
        <f ca="1">VLOOKUP($D22,Index_CALCULATION!$B$14:$DD$41,CA$2,0)</f>
        <v>1225.5502451314032</v>
      </c>
      <c r="CB22" s="165">
        <f ca="1">VLOOKUP($D22,Index_CALCULATION!$B$14:$DD$41,CB$2,0)</f>
        <v>1233.7478751708406</v>
      </c>
      <c r="CC22" s="165">
        <f ca="1">VLOOKUP($D22,Index_CALCULATION!$B$14:$DD$41,CC$2,0)</f>
        <v>1233.7478751708406</v>
      </c>
      <c r="CD22" s="165">
        <f ca="1">VLOOKUP($D22,Index_CALCULATION!$B$14:$DD$41,CD$2,0)</f>
        <v>1233.7478751708406</v>
      </c>
      <c r="CE22" s="165">
        <f ca="1">VLOOKUP($D22,Index_CALCULATION!$B$14:$DD$41,CE$2,0)</f>
        <v>1233.7478751708406</v>
      </c>
      <c r="CF22" s="165">
        <f ca="1">VLOOKUP($D22,Index_CALCULATION!$B$14:$DD$41,CF$2,0)</f>
        <v>1242.5919082236717</v>
      </c>
      <c r="CG22" s="165">
        <f ca="1">VLOOKUP($D22,Index_CALCULATION!$B$14:$DD$41,CG$2,0)</f>
        <v>1234.0517913843973</v>
      </c>
      <c r="CH22" s="165">
        <f ca="1">VLOOKUP($D22,Index_CALCULATION!$B$14:$DD$41,CH$2,0)</f>
        <v>1234.0517913843973</v>
      </c>
      <c r="CI22" s="165">
        <f ca="1">VLOOKUP($D22,Index_CALCULATION!$B$14:$DD$41,CI$2,0)</f>
        <v>1234.0517913843973</v>
      </c>
      <c r="CJ22" s="165">
        <f ca="1">VLOOKUP($D22,Index_CALCULATION!$B$14:$DD$41,CJ$2,0)</f>
        <v>1224.2187616151687</v>
      </c>
      <c r="CK22" s="165">
        <f ca="1">VLOOKUP($D22,Index_CALCULATION!$B$14:$DD$41,CK$2,0)</f>
        <v>1233.3207180696568</v>
      </c>
      <c r="CL22" s="165">
        <f ca="1">VLOOKUP($D22,Index_CALCULATION!$B$14:$DD$41,CL$2,0)</f>
        <v>1233.3207180696568</v>
      </c>
      <c r="CM22" s="165">
        <f ca="1">VLOOKUP($D22,Index_CALCULATION!$B$14:$DD$41,CM$2,0)</f>
        <v>1241.8557755981556</v>
      </c>
      <c r="CN22" s="165">
        <f ca="1">VLOOKUP($D22,Index_CALCULATION!$B$14:$DD$41,CN$2,0)</f>
        <v>1241.8557755981556</v>
      </c>
      <c r="CO22" s="165">
        <f ca="1">VLOOKUP($D22,Index_CALCULATION!$B$14:$DD$41,CO$2,0)</f>
        <v>1241.8557755981556</v>
      </c>
      <c r="CP22" s="165">
        <f ca="1">VLOOKUP($D22,Index_CALCULATION!$B$14:$DD$41,CP$2,0)</f>
        <v>1241.8557755981556</v>
      </c>
      <c r="CQ22" s="165">
        <f ca="1">VLOOKUP($D22,Index_CALCULATION!$B$14:$DD$41,CQ$2,0)</f>
        <v>1241.8557755981556</v>
      </c>
      <c r="CR22" s="247">
        <f ca="1">VLOOKUP($D22,Index_CALCULATION!$B$14:$DD$41,CR$2,0)</f>
        <v>1241.8557755981556</v>
      </c>
      <c r="CS22" s="247">
        <f ca="1">VLOOKUP($D22,Index_CALCULATION!$B$14:$DD$41,CS$2,0)</f>
        <v>1252.2478137480582</v>
      </c>
      <c r="CT22" s="247">
        <f ca="1">VLOOKUP($D22,Index_CALCULATION!$B$14:$FP$41,CT$2,0)</f>
        <v>1252.2478137480582</v>
      </c>
      <c r="CU22" s="247">
        <f ca="1">VLOOKUP($D22,Index_CALCULATION!$B$14:$FP$41,CU$2,0)</f>
        <v>1242.2697965230091</v>
      </c>
      <c r="CV22" s="247">
        <f ca="1">VLOOKUP($D22,Index_CALCULATION!$B$14:$FP$41,CV$2,0)</f>
        <v>1230.4948159418293</v>
      </c>
      <c r="CW22" s="247">
        <f ca="1">VLOOKUP($D22,Index_CALCULATION!$B$14:$FP$41,CW$2,0)</f>
        <v>1221.7368828251685</v>
      </c>
      <c r="CX22" s="247">
        <f ca="1">VLOOKUP($D22,Index_CALCULATION!$B$14:$FP$41,CX$2,0)</f>
        <v>1228.5431988795115</v>
      </c>
      <c r="CY22" s="247">
        <f ca="1">VLOOKUP($D22,Index_CALCULATION!$B$14:$FP$41,CY$2,0)</f>
        <v>1228.5431988795115</v>
      </c>
      <c r="CZ22" s="247">
        <f ca="1">VLOOKUP($D22,Index_CALCULATION!$B$14:$FP$41,CZ$2,0)</f>
        <v>1228.5431988795115</v>
      </c>
      <c r="DA22" s="247">
        <f ca="1">VLOOKUP($D22,Index_CALCULATION!$B$14:$FP$41,DA$2,0)</f>
        <v>1219.799156216902</v>
      </c>
      <c r="DB22" s="247">
        <f ca="1">VLOOKUP($D22,Index_CALCULATION!$B$14:$FP$41,DB$2,0)</f>
        <v>1219.799156216902</v>
      </c>
    </row>
    <row r="23" spans="3:106" x14ac:dyDescent="0.3">
      <c r="C23" s="165" t="s">
        <v>186</v>
      </c>
      <c r="D23" s="165" t="s">
        <v>180</v>
      </c>
      <c r="E23" s="165">
        <v>1000</v>
      </c>
      <c r="F23" s="165">
        <v>1039.4922724379753</v>
      </c>
      <c r="G23" s="165">
        <v>1079.5988502931452</v>
      </c>
      <c r="H23" s="165">
        <v>1125.9588590213673</v>
      </c>
      <c r="I23" s="165">
        <v>1164.7812449994578</v>
      </c>
      <c r="J23" s="165">
        <v>1205.578489914775</v>
      </c>
      <c r="K23" s="165">
        <v>1244.5545916308945</v>
      </c>
      <c r="L23" s="165">
        <v>1279.8754682985934</v>
      </c>
      <c r="M23" s="165">
        <v>1315.2081284137432</v>
      </c>
      <c r="N23" s="165">
        <v>1351.0985504099492</v>
      </c>
      <c r="O23" s="165">
        <v>1391.5610844677647</v>
      </c>
      <c r="P23" s="165">
        <v>1433.5696300506459</v>
      </c>
      <c r="Q23" s="165">
        <v>1463.8598345496052</v>
      </c>
      <c r="R23" s="165">
        <v>1519.7968422756157</v>
      </c>
      <c r="S23" s="165">
        <v>1563.5311786916795</v>
      </c>
      <c r="T23" s="165">
        <v>1623.2768275291885</v>
      </c>
      <c r="U23" s="165">
        <v>1680.9388888061176</v>
      </c>
      <c r="V23" s="165">
        <v>1728.4708485737551</v>
      </c>
      <c r="W23" s="165">
        <v>1800.3804157289528</v>
      </c>
      <c r="X23" s="165">
        <v>1865.2864826721329</v>
      </c>
      <c r="Y23" s="165">
        <v>1910.5152778316187</v>
      </c>
      <c r="Z23" s="165">
        <v>1968.8659762080408</v>
      </c>
      <c r="AA23" s="165">
        <v>2020.0725085336039</v>
      </c>
      <c r="AB23" s="165">
        <v>2073.8909098956442</v>
      </c>
      <c r="AC23" s="165">
        <v>2135.2701576097024</v>
      </c>
      <c r="AD23" s="165">
        <v>2178.7876860380843</v>
      </c>
      <c r="AE23" s="165">
        <v>2223.7095682815784</v>
      </c>
      <c r="AF23" s="165">
        <v>2270.7158754391498</v>
      </c>
      <c r="AG23" s="165">
        <v>2314.9332644978617</v>
      </c>
      <c r="AH23" s="165">
        <v>2369.0619313554976</v>
      </c>
      <c r="AI23" s="165">
        <v>2410.4218159369966</v>
      </c>
      <c r="AJ23" s="165">
        <v>2479.0191651823143</v>
      </c>
      <c r="AK23" s="165">
        <v>2510.8987626362486</v>
      </c>
      <c r="AL23" s="165">
        <v>2589.3580622649747</v>
      </c>
      <c r="AM23" s="165">
        <v>2657.6749437113986</v>
      </c>
      <c r="AN23" s="165">
        <v>2744.0320873510714</v>
      </c>
      <c r="AO23" s="165">
        <v>2813.4975903652639</v>
      </c>
      <c r="AP23" s="165">
        <v>2933.7717109143919</v>
      </c>
      <c r="AQ23" s="165">
        <v>2984.2078152536642</v>
      </c>
      <c r="AR23" s="165">
        <v>3043.0080557603283</v>
      </c>
      <c r="AS23" s="165">
        <v>3093.4132398628772</v>
      </c>
      <c r="AT23" s="165">
        <v>3173.6118614341754</v>
      </c>
      <c r="AU23" s="165">
        <v>3312.5804261199164</v>
      </c>
      <c r="AV23" s="165">
        <v>3449.2908081993219</v>
      </c>
      <c r="AW23" s="165">
        <v>3538.9375033869401</v>
      </c>
      <c r="AX23" s="165">
        <v>3650.0745587478514</v>
      </c>
      <c r="AY23" s="165">
        <v>3706.501736185231</v>
      </c>
      <c r="AZ23" s="165">
        <v>3800.332274360765</v>
      </c>
      <c r="BA23" s="165">
        <v>3886.808965100091</v>
      </c>
      <c r="BB23" s="165">
        <v>3925.3555164953136</v>
      </c>
      <c r="BC23" s="165">
        <v>4081.5683531187642</v>
      </c>
      <c r="BD23" s="165">
        <v>4177.2454519907151</v>
      </c>
      <c r="BE23" s="165">
        <v>4259.9040694928444</v>
      </c>
      <c r="BF23" s="165">
        <v>4345.3207753320494</v>
      </c>
      <c r="BG23" s="165">
        <v>4363.4640508042221</v>
      </c>
      <c r="BH23" s="165">
        <v>4424.1671163326773</v>
      </c>
      <c r="BI23" s="165">
        <v>4531.9672308329164</v>
      </c>
      <c r="BJ23" s="165">
        <v>4596.6270254131477</v>
      </c>
      <c r="BK23" s="165">
        <v>4685.3490949571978</v>
      </c>
      <c r="BL23" s="165">
        <v>4749.0943644804938</v>
      </c>
      <c r="BM23" s="165">
        <f ca="1">VLOOKUP($D23,Index_CALCULATION!$B$14:$DD$41,BM$2,0)</f>
        <v>3765.2522128990026</v>
      </c>
      <c r="BN23" s="165">
        <f ca="1">VLOOKUP($D23,Index_CALCULATION!$B$14:$DD$41,BN$2,0)</f>
        <v>3765.2522128990026</v>
      </c>
      <c r="BO23" s="165">
        <f ca="1">VLOOKUP($D23,Index_CALCULATION!$B$14:$DD$41,BO$2,0)</f>
        <v>3789.6226925786123</v>
      </c>
      <c r="BP23" s="165">
        <f ca="1">VLOOKUP($D23,Index_CALCULATION!$B$14:$DD$41,BP$2,0)</f>
        <v>3789.6226925786123</v>
      </c>
      <c r="BQ23" s="165">
        <f ca="1">VLOOKUP($D23,Index_CALCULATION!$B$14:$DD$41,BQ$2,0)</f>
        <v>3842.2555008465247</v>
      </c>
      <c r="BR23" s="165">
        <f ca="1">VLOOKUP($D23,Index_CALCULATION!$B$14:$DD$41,BR$2,0)</f>
        <v>3865.6126054321553</v>
      </c>
      <c r="BS23" s="165">
        <f ca="1">VLOOKUP($D23,Index_CALCULATION!$B$14:$DD$41,BS$2,0)</f>
        <v>3936.5393052730274</v>
      </c>
      <c r="BT23" s="165">
        <f ca="1">VLOOKUP($D23,Index_CALCULATION!$B$14:$DD$41,BT$2,0)</f>
        <v>3961.219721893076</v>
      </c>
      <c r="BU23" s="165">
        <f ca="1">VLOOKUP($D23,Index_CALCULATION!$B$14:$DD$41,BU$2,0)</f>
        <v>4008.0975179093543</v>
      </c>
      <c r="BV23" s="165">
        <f ca="1">VLOOKUP($D23,Index_CALCULATION!$B$14:$DD$41,BV$2,0)</f>
        <v>4034.9074351235481</v>
      </c>
      <c r="BW23" s="165">
        <f ca="1">VLOOKUP($D23,Index_CALCULATION!$B$14:$DD$41,BW$2,0)</f>
        <v>4034.9074351235481</v>
      </c>
      <c r="BX23" s="165">
        <f ca="1">VLOOKUP($D23,Index_CALCULATION!$B$14:$DD$41,BX$2,0)</f>
        <v>4008.9595670549529</v>
      </c>
      <c r="BY23" s="165">
        <f ca="1">VLOOKUP($D23,Index_CALCULATION!$B$14:$DD$41,BY$2,0)</f>
        <v>3955.8615462678154</v>
      </c>
      <c r="BZ23" s="165">
        <f ca="1">VLOOKUP($D23,Index_CALCULATION!$B$14:$DD$41,BZ$2,0)</f>
        <v>3955.8615462678154</v>
      </c>
      <c r="CA23" s="165">
        <f ca="1">VLOOKUP($D23,Index_CALCULATION!$B$14:$DD$41,CA$2,0)</f>
        <v>3955.8615462678154</v>
      </c>
      <c r="CB23" s="165">
        <f ca="1">VLOOKUP($D23,Index_CALCULATION!$B$14:$DD$41,CB$2,0)</f>
        <v>3982.3220602878368</v>
      </c>
      <c r="CC23" s="165">
        <f ca="1">VLOOKUP($D23,Index_CALCULATION!$B$14:$DD$41,CC$2,0)</f>
        <v>4044.0622603885718</v>
      </c>
      <c r="CD23" s="165">
        <f ca="1">VLOOKUP($D23,Index_CALCULATION!$B$14:$DD$41,CD$2,0)</f>
        <v>4044.0622603885718</v>
      </c>
      <c r="CE23" s="165">
        <f ca="1">VLOOKUP($D23,Index_CALCULATION!$B$14:$DD$41,CE$2,0)</f>
        <v>3999.3769467401376</v>
      </c>
      <c r="CF23" s="165">
        <f ca="1">VLOOKUP($D23,Index_CALCULATION!$B$14:$DD$41,CF$2,0)</f>
        <v>4028.0461932041308</v>
      </c>
      <c r="CG23" s="165">
        <f ca="1">VLOOKUP($D23,Index_CALCULATION!$B$14:$DD$41,CG$2,0)</f>
        <v>4083.9903861171588</v>
      </c>
      <c r="CH23" s="165">
        <f ca="1">VLOOKUP($D23,Index_CALCULATION!$B$14:$DD$41,CH$2,0)</f>
        <v>4083.9903861171588</v>
      </c>
      <c r="CI23" s="165">
        <f ca="1">VLOOKUP($D23,Index_CALCULATION!$B$14:$DD$41,CI$2,0)</f>
        <v>4113.2661779455848</v>
      </c>
      <c r="CJ23" s="165">
        <f ca="1">VLOOKUP($D23,Index_CALCULATION!$B$14:$DD$41,CJ$2,0)</f>
        <v>4113.2661779455848</v>
      </c>
      <c r="CK23" s="165">
        <f ca="1">VLOOKUP($D23,Index_CALCULATION!$B$14:$DD$41,CK$2,0)</f>
        <v>4143.8479422603104</v>
      </c>
      <c r="CL23" s="165">
        <f ca="1">VLOOKUP($D23,Index_CALCULATION!$B$14:$DD$41,CL$2,0)</f>
        <v>4181.6910406464822</v>
      </c>
      <c r="CM23" s="165">
        <f ca="1">VLOOKUP($D23,Index_CALCULATION!$B$14:$DD$41,CM$2,0)</f>
        <v>4210.6299638928112</v>
      </c>
      <c r="CN23" s="165">
        <f ca="1">VLOOKUP($D23,Index_CALCULATION!$B$14:$DD$41,CN$2,0)</f>
        <v>4210.6299638928112</v>
      </c>
      <c r="CO23" s="165">
        <f ca="1">VLOOKUP($D23,Index_CALCULATION!$B$14:$DD$41,CO$2,0)</f>
        <v>4210.6299638928112</v>
      </c>
      <c r="CP23" s="165">
        <f ca="1">VLOOKUP($D23,Index_CALCULATION!$B$14:$DD$41,CP$2,0)</f>
        <v>4275.9097510585189</v>
      </c>
      <c r="CQ23" s="165">
        <f ca="1">VLOOKUP($D23,Index_CALCULATION!$B$14:$DD$41,CQ$2,0)</f>
        <v>4350.9238043144369</v>
      </c>
      <c r="CR23" s="247">
        <f ca="1">VLOOKUP($D23,Index_CALCULATION!$B$14:$DD$41,CR$2,0)</f>
        <v>4399.5369751771386</v>
      </c>
      <c r="CS23" s="247">
        <f ca="1">VLOOKUP($D23,Index_CALCULATION!$B$14:$DD$41,CS$2,0)</f>
        <v>4436.3529702277119</v>
      </c>
      <c r="CT23" s="247">
        <f ca="1">VLOOKUP($D23,Index_CALCULATION!$B$14:$FP$41,CT$2,0)</f>
        <v>4475.0981658087985</v>
      </c>
      <c r="CU23" s="247">
        <f ca="1">VLOOKUP($D23,Index_CALCULATION!$B$14:$FP$41,CU$2,0)</f>
        <v>4511.0425369165923</v>
      </c>
      <c r="CV23" s="247">
        <f ca="1">VLOOKUP($D23,Index_CALCULATION!$B$14:$FP$41,CV$2,0)</f>
        <v>4468.2841615445604</v>
      </c>
      <c r="CW23" s="247">
        <f ca="1">VLOOKUP($D23,Index_CALCULATION!$B$14:$FP$41,CW$2,0)</f>
        <v>4468.2841615445604</v>
      </c>
      <c r="CX23" s="247">
        <f ca="1">VLOOKUP($D23,Index_CALCULATION!$B$14:$FP$41,CX$2,0)</f>
        <v>4568.6908632240766</v>
      </c>
      <c r="CY23" s="247">
        <f ca="1">VLOOKUP($D23,Index_CALCULATION!$B$14:$FP$41,CY$2,0)</f>
        <v>4603.9701547168643</v>
      </c>
      <c r="CZ23" s="247">
        <f ca="1">VLOOKUP($D23,Index_CALCULATION!$B$14:$FP$41,CZ$2,0)</f>
        <v>4603.9701547168643</v>
      </c>
      <c r="DA23" s="247">
        <f ca="1">VLOOKUP($D23,Index_CALCULATION!$B$14:$FP$41,DA$2,0)</f>
        <v>4603.9701547168643</v>
      </c>
      <c r="DB23" s="247">
        <f ca="1">VLOOKUP($D23,Index_CALCULATION!$B$14:$FP$41,DB$2,0)</f>
        <v>4603.9701547168643</v>
      </c>
    </row>
    <row r="24" spans="3:106" x14ac:dyDescent="0.3">
      <c r="C24" s="165" t="s">
        <v>141</v>
      </c>
      <c r="D24" s="165" t="s">
        <v>170</v>
      </c>
      <c r="E24" s="165">
        <v>1000</v>
      </c>
      <c r="F24" s="165">
        <v>1010.6193697555466</v>
      </c>
      <c r="G24" s="165">
        <v>1013.8730154304494</v>
      </c>
      <c r="H24" s="165">
        <v>1013.8730154304494</v>
      </c>
      <c r="I24" s="165">
        <v>1008.7308133854847</v>
      </c>
      <c r="J24" s="165">
        <v>1012.4584122392997</v>
      </c>
      <c r="K24" s="165">
        <v>1017.9960014561888</v>
      </c>
      <c r="L24" s="165">
        <v>1022.564412661091</v>
      </c>
      <c r="M24" s="165">
        <v>1018.464137607309</v>
      </c>
      <c r="N24" s="165">
        <v>1021.4062563276769</v>
      </c>
      <c r="O24" s="165">
        <v>1023.9210016892142</v>
      </c>
      <c r="P24" s="165">
        <v>1019.9565889205263</v>
      </c>
      <c r="Q24" s="165">
        <v>1019.9565889205263</v>
      </c>
      <c r="R24" s="165">
        <v>1029.271196522438</v>
      </c>
      <c r="S24" s="165">
        <v>1038.6301689737084</v>
      </c>
      <c r="T24" s="165">
        <v>1061.0655801529399</v>
      </c>
      <c r="U24" s="165">
        <v>1072.6398119144401</v>
      </c>
      <c r="V24" s="165">
        <v>1088.2226847846321</v>
      </c>
      <c r="W24" s="165">
        <v>1109.1207009991726</v>
      </c>
      <c r="X24" s="165">
        <v>1124.8278932064832</v>
      </c>
      <c r="Y24" s="165">
        <v>1137.7906702325708</v>
      </c>
      <c r="Z24" s="165">
        <v>1146.5019132788304</v>
      </c>
      <c r="AA24" s="165">
        <v>1160.530994518605</v>
      </c>
      <c r="AB24" s="165">
        <v>1183.2610234404865</v>
      </c>
      <c r="AC24" s="165">
        <v>1201.7808628249968</v>
      </c>
      <c r="AD24" s="165">
        <v>1204.9476089866916</v>
      </c>
      <c r="AE24" s="165">
        <v>1214.2045234964073</v>
      </c>
      <c r="AF24" s="165">
        <v>1214.2045234964073</v>
      </c>
      <c r="AG24" s="165">
        <v>1228.1607445525708</v>
      </c>
      <c r="AH24" s="165">
        <v>1235.1323100553905</v>
      </c>
      <c r="AI24" s="165">
        <v>1241.4825907559634</v>
      </c>
      <c r="AJ24" s="165">
        <v>1247.1963844860604</v>
      </c>
      <c r="AK24" s="165">
        <v>1255.5388042172435</v>
      </c>
      <c r="AL24" s="165">
        <v>1274.1870867652169</v>
      </c>
      <c r="AM24" s="165">
        <v>1276.1795603028693</v>
      </c>
      <c r="AN24" s="165">
        <v>1292.6076264795395</v>
      </c>
      <c r="AO24" s="165">
        <v>1295.7641758932257</v>
      </c>
      <c r="AP24" s="165">
        <v>1330.8858915546882</v>
      </c>
      <c r="AQ24" s="165">
        <v>1326.3565054918492</v>
      </c>
      <c r="AR24" s="165">
        <v>1328.7849878878758</v>
      </c>
      <c r="AS24" s="165">
        <v>1320.2701969746945</v>
      </c>
      <c r="AT24" s="165">
        <v>1328.9431859932768</v>
      </c>
      <c r="AU24" s="165">
        <v>1358.5362575122685</v>
      </c>
      <c r="AV24" s="165">
        <v>1367.5563840697255</v>
      </c>
      <c r="AW24" s="165">
        <v>1374.7730237471837</v>
      </c>
      <c r="AX24" s="165">
        <v>1390.2350789365973</v>
      </c>
      <c r="AY24" s="165">
        <v>1396.5687130132878</v>
      </c>
      <c r="AZ24" s="165">
        <v>1383.7646367888483</v>
      </c>
      <c r="BA24" s="165">
        <v>1386.3616294025651</v>
      </c>
      <c r="BB24" s="165">
        <v>1396.4309005324685</v>
      </c>
      <c r="BC24" s="165">
        <v>1404.1153068161227</v>
      </c>
      <c r="BD24" s="165">
        <v>1404.1153068161227</v>
      </c>
      <c r="BE24" s="165">
        <v>1430.9325269898475</v>
      </c>
      <c r="BF24" s="165">
        <v>1431.9850701766777</v>
      </c>
      <c r="BG24" s="165">
        <v>1423.0630737697832</v>
      </c>
      <c r="BH24" s="165">
        <v>1434.342246715112</v>
      </c>
      <c r="BI24" s="165">
        <v>1442.332990711204</v>
      </c>
      <c r="BJ24" s="165">
        <v>1435.1393249089513</v>
      </c>
      <c r="BK24" s="165">
        <v>1422.5320330654363</v>
      </c>
      <c r="BL24" s="165">
        <v>1429.2761614937153</v>
      </c>
      <c r="BM24" s="165">
        <f ca="1">VLOOKUP($D24,Index_CALCULATION!$B$14:$DD$41,BM$2,0)</f>
        <v>1387.661989146708</v>
      </c>
      <c r="BN24" s="165">
        <f ca="1">VLOOKUP($D24,Index_CALCULATION!$B$14:$DD$41,BN$2,0)</f>
        <v>1387.661989146708</v>
      </c>
      <c r="BO24" s="165">
        <f ca="1">VLOOKUP($D24,Index_CALCULATION!$B$14:$DD$41,BO$2,0)</f>
        <v>1387.661989146708</v>
      </c>
      <c r="BP24" s="165">
        <f ca="1">VLOOKUP($D24,Index_CALCULATION!$B$14:$DD$41,BP$2,0)</f>
        <v>1387.661989146708</v>
      </c>
      <c r="BQ24" s="165">
        <f ca="1">VLOOKUP($D24,Index_CALCULATION!$B$14:$DD$41,BQ$2,0)</f>
        <v>1387.661989146708</v>
      </c>
      <c r="BR24" s="165">
        <f ca="1">VLOOKUP($D24,Index_CALCULATION!$B$14:$DD$41,BR$2,0)</f>
        <v>1396.0975984399638</v>
      </c>
      <c r="BS24" s="165">
        <f ca="1">VLOOKUP($D24,Index_CALCULATION!$B$14:$DD$41,BS$2,0)</f>
        <v>1396.0975984399638</v>
      </c>
      <c r="BT24" s="165">
        <f ca="1">VLOOKUP($D24,Index_CALCULATION!$B$14:$DD$41,BT$2,0)</f>
        <v>1396.0975984399638</v>
      </c>
      <c r="BU24" s="165">
        <f ca="1">VLOOKUP($D24,Index_CALCULATION!$B$14:$DD$41,BU$2,0)</f>
        <v>1387.9093662722044</v>
      </c>
      <c r="BV24" s="165">
        <f ca="1">VLOOKUP($D24,Index_CALCULATION!$B$14:$DD$41,BV$2,0)</f>
        <v>1387.9093662722044</v>
      </c>
      <c r="BW24" s="165">
        <f ca="1">VLOOKUP($D24,Index_CALCULATION!$B$14:$DD$41,BW$2,0)</f>
        <v>1387.9093662722044</v>
      </c>
      <c r="BX24" s="165">
        <f ca="1">VLOOKUP($D24,Index_CALCULATION!$B$14:$DD$41,BX$2,0)</f>
        <v>1387.9093662722044</v>
      </c>
      <c r="BY24" s="165">
        <f ca="1">VLOOKUP($D24,Index_CALCULATION!$B$14:$DD$41,BY$2,0)</f>
        <v>1387.9093662722044</v>
      </c>
      <c r="BZ24" s="165">
        <f ca="1">VLOOKUP($D24,Index_CALCULATION!$B$14:$DD$41,BZ$2,0)</f>
        <v>1396.8925671563318</v>
      </c>
      <c r="CA24" s="165">
        <f ca="1">VLOOKUP($D24,Index_CALCULATION!$B$14:$DD$41,CA$2,0)</f>
        <v>1396.8925671563318</v>
      </c>
      <c r="CB24" s="165">
        <f ca="1">VLOOKUP($D24,Index_CALCULATION!$B$14:$DD$41,CB$2,0)</f>
        <v>1396.8925671563318</v>
      </c>
      <c r="CC24" s="165">
        <f ca="1">VLOOKUP($D24,Index_CALCULATION!$B$14:$DD$41,CC$2,0)</f>
        <v>1396.8925671563318</v>
      </c>
      <c r="CD24" s="165">
        <f ca="1">VLOOKUP($D24,Index_CALCULATION!$B$14:$DD$41,CD$2,0)</f>
        <v>1396.8925671563318</v>
      </c>
      <c r="CE24" s="165">
        <f ca="1">VLOOKUP($D24,Index_CALCULATION!$B$14:$DD$41,CE$2,0)</f>
        <v>1381.4574480910408</v>
      </c>
      <c r="CF24" s="165">
        <f ca="1">VLOOKUP($D24,Index_CALCULATION!$B$14:$DD$41,CF$2,0)</f>
        <v>1381.4574480910408</v>
      </c>
      <c r="CG24" s="165">
        <f ca="1">VLOOKUP($D24,Index_CALCULATION!$B$14:$DD$41,CG$2,0)</f>
        <v>1381.4574480910408</v>
      </c>
      <c r="CH24" s="165">
        <f ca="1">VLOOKUP($D24,Index_CALCULATION!$B$14:$DD$41,CH$2,0)</f>
        <v>1381.4574480910408</v>
      </c>
      <c r="CI24" s="165">
        <f ca="1">VLOOKUP($D24,Index_CALCULATION!$B$14:$DD$41,CI$2,0)</f>
        <v>1391.3603266109369</v>
      </c>
      <c r="CJ24" s="165">
        <f ca="1">VLOOKUP($D24,Index_CALCULATION!$B$14:$DD$41,CJ$2,0)</f>
        <v>1380.2738490361658</v>
      </c>
      <c r="CK24" s="165">
        <f ca="1">VLOOKUP($D24,Index_CALCULATION!$B$14:$DD$41,CK$2,0)</f>
        <v>1380.2738490361658</v>
      </c>
      <c r="CL24" s="165">
        <f ca="1">VLOOKUP($D24,Index_CALCULATION!$B$14:$DD$41,CL$2,0)</f>
        <v>1380.2738490361658</v>
      </c>
      <c r="CM24" s="165">
        <f ca="1">VLOOKUP($D24,Index_CALCULATION!$B$14:$DD$41,CM$2,0)</f>
        <v>1380.2738490361658</v>
      </c>
      <c r="CN24" s="165">
        <f ca="1">VLOOKUP($D24,Index_CALCULATION!$B$14:$DD$41,CN$2,0)</f>
        <v>1368.8193602848023</v>
      </c>
      <c r="CO24" s="165">
        <f ca="1">VLOOKUP($D24,Index_CALCULATION!$B$14:$DD$41,CO$2,0)</f>
        <v>1357.9124910493729</v>
      </c>
      <c r="CP24" s="165">
        <f ca="1">VLOOKUP($D24,Index_CALCULATION!$B$14:$DD$41,CP$2,0)</f>
        <v>1347.5070824599304</v>
      </c>
      <c r="CQ24" s="165">
        <f ca="1">VLOOKUP($D24,Index_CALCULATION!$B$14:$DD$41,CQ$2,0)</f>
        <v>1347.5070824599304</v>
      </c>
      <c r="CR24" s="247">
        <f ca="1">VLOOKUP($D24,Index_CALCULATION!$B$14:$DD$41,CR$2,0)</f>
        <v>1362.5628717553825</v>
      </c>
      <c r="CS24" s="247">
        <f ca="1">VLOOKUP($D24,Index_CALCULATION!$B$14:$DD$41,CS$2,0)</f>
        <v>1351.2553612215518</v>
      </c>
      <c r="CT24" s="247">
        <f ca="1">VLOOKUP($D24,Index_CALCULATION!$B$14:$FP$41,CT$2,0)</f>
        <v>1339.5562540040771</v>
      </c>
      <c r="CU24" s="247">
        <f ca="1">VLOOKUP($D24,Index_CALCULATION!$B$14:$FP$41,CU$2,0)</f>
        <v>1328.8825556916247</v>
      </c>
      <c r="CV24" s="247">
        <f ca="1">VLOOKUP($D24,Index_CALCULATION!$B$14:$FP$41,CV$2,0)</f>
        <v>1316.2866072658212</v>
      </c>
      <c r="CW24" s="247">
        <f ca="1">VLOOKUP($D24,Index_CALCULATION!$B$14:$FP$41,CW$2,0)</f>
        <v>1306.9180590042288</v>
      </c>
      <c r="CX24" s="247">
        <f ca="1">VLOOKUP($D24,Index_CALCULATION!$B$14:$FP$41,CX$2,0)</f>
        <v>1299.6775343121999</v>
      </c>
      <c r="CY24" s="247">
        <f ca="1">VLOOKUP($D24,Index_CALCULATION!$B$14:$FP$41,CY$2,0)</f>
        <v>1289.7183684099946</v>
      </c>
      <c r="CZ24" s="247">
        <f ca="1">VLOOKUP($D24,Index_CALCULATION!$B$14:$FP$41,CZ$2,0)</f>
        <v>1289.7183684099946</v>
      </c>
      <c r="DA24" s="247">
        <f ca="1">VLOOKUP($D24,Index_CALCULATION!$B$14:$FP$41,DA$2,0)</f>
        <v>1280.5389171327308</v>
      </c>
      <c r="DB24" s="247">
        <f ca="1">VLOOKUP($D24,Index_CALCULATION!$B$14:$FP$41,DB$2,0)</f>
        <v>1280.5389171327308</v>
      </c>
    </row>
    <row r="25" spans="3:106" x14ac:dyDescent="0.3">
      <c r="C25" s="165" t="s">
        <v>142</v>
      </c>
      <c r="D25" s="165" t="s">
        <v>171</v>
      </c>
      <c r="E25" s="165">
        <v>1000</v>
      </c>
      <c r="F25" s="165">
        <v>1028.9317485995875</v>
      </c>
      <c r="G25" s="165">
        <v>1044.4820606013377</v>
      </c>
      <c r="H25" s="165">
        <v>1057.6200275856736</v>
      </c>
      <c r="I25" s="165">
        <v>1058.0682666243504</v>
      </c>
      <c r="J25" s="165">
        <v>1071.1576050422977</v>
      </c>
      <c r="K25" s="165">
        <v>1100.2727673242191</v>
      </c>
      <c r="L25" s="165">
        <v>1106.4482765120074</v>
      </c>
      <c r="M25" s="165">
        <v>1112.3915833513161</v>
      </c>
      <c r="N25" s="165">
        <v>1120.4426333753265</v>
      </c>
      <c r="O25" s="165">
        <v>1139.4288114923786</v>
      </c>
      <c r="P25" s="165">
        <v>1146.8196752503163</v>
      </c>
      <c r="Q25" s="165">
        <v>1155.7157907391804</v>
      </c>
      <c r="R25" s="165">
        <v>1182.2828131493418</v>
      </c>
      <c r="S25" s="165">
        <v>1211.1678846359309</v>
      </c>
      <c r="T25" s="165">
        <v>1259.4788083826684</v>
      </c>
      <c r="U25" s="165">
        <v>1289.5365585775</v>
      </c>
      <c r="V25" s="165">
        <v>1326.6384764879849</v>
      </c>
      <c r="W25" s="165">
        <v>1371.3565815722384</v>
      </c>
      <c r="X25" s="165">
        <v>1405.3404998950787</v>
      </c>
      <c r="Y25" s="165">
        <v>1424.5005894790531</v>
      </c>
      <c r="Z25" s="165">
        <v>1452.5386434780287</v>
      </c>
      <c r="AA25" s="165">
        <v>1487.2986126864892</v>
      </c>
      <c r="AB25" s="165">
        <v>1538.1527023957028</v>
      </c>
      <c r="AC25" s="165">
        <v>1587.8808591976187</v>
      </c>
      <c r="AD25" s="165">
        <v>1608.2065798509991</v>
      </c>
      <c r="AE25" s="165">
        <v>1643.0400320762794</v>
      </c>
      <c r="AF25" s="165">
        <v>1676.0606071231173</v>
      </c>
      <c r="AG25" s="165">
        <v>1690.4885867624514</v>
      </c>
      <c r="AH25" s="165">
        <v>1727.5698412884965</v>
      </c>
      <c r="AI25" s="165">
        <v>1753.2291123627906</v>
      </c>
      <c r="AJ25" s="165">
        <v>1784.8179791262214</v>
      </c>
      <c r="AK25" s="165">
        <v>1820.8736940084173</v>
      </c>
      <c r="AL25" s="165">
        <v>1840.825060291935</v>
      </c>
      <c r="AM25" s="165">
        <v>1858.1639442571657</v>
      </c>
      <c r="AN25" s="165">
        <v>1871.1732071328136</v>
      </c>
      <c r="AO25" s="165">
        <v>1905.7169711189615</v>
      </c>
      <c r="AP25" s="165">
        <v>1942.6331509259078</v>
      </c>
      <c r="AQ25" s="165">
        <v>1972.6646759642992</v>
      </c>
      <c r="AR25" s="165">
        <v>1983.5200335947718</v>
      </c>
      <c r="AS25" s="165">
        <v>2009.1870829108684</v>
      </c>
      <c r="AT25" s="165">
        <v>2064.9606205565105</v>
      </c>
      <c r="AU25" s="165">
        <v>2132.4125971030562</v>
      </c>
      <c r="AV25" s="165">
        <v>2183.1819554425833</v>
      </c>
      <c r="AW25" s="165">
        <v>2250.2618406890979</v>
      </c>
      <c r="AX25" s="165">
        <v>2298.1379651169445</v>
      </c>
      <c r="AY25" s="165">
        <v>2340.3044619396492</v>
      </c>
      <c r="AZ25" s="165">
        <v>2405.8724715229973</v>
      </c>
      <c r="BA25" s="165">
        <v>2469.8628228579901</v>
      </c>
      <c r="BB25" s="165">
        <v>2522.4111342094593</v>
      </c>
      <c r="BC25" s="165">
        <v>2559.5958878278002</v>
      </c>
      <c r="BD25" s="165">
        <v>2605.2595786164152</v>
      </c>
      <c r="BE25" s="165">
        <v>2664.0022941365792</v>
      </c>
      <c r="BF25" s="165">
        <v>2673.8144462101081</v>
      </c>
      <c r="BG25" s="165">
        <v>2696.1893324704652</v>
      </c>
      <c r="BH25" s="165">
        <v>2758.9929323230199</v>
      </c>
      <c r="BI25" s="165">
        <v>2805.3614790769993</v>
      </c>
      <c r="BJ25" s="165">
        <v>2826.4807885840578</v>
      </c>
      <c r="BK25" s="165">
        <v>2834.8062046313071</v>
      </c>
      <c r="BL25" s="165">
        <v>2877.2599687875086</v>
      </c>
      <c r="BM25" s="165">
        <f ca="1">VLOOKUP($D25,Index_CALCULATION!$B$14:$DD$41,BM$2,0)</f>
        <v>2291.0187085636321</v>
      </c>
      <c r="BN25" s="165">
        <f ca="1">VLOOKUP($D25,Index_CALCULATION!$B$14:$DD$41,BN$2,0)</f>
        <v>2291.0187085636321</v>
      </c>
      <c r="BO25" s="165">
        <f ca="1">VLOOKUP($D25,Index_CALCULATION!$B$14:$DD$41,BO$2,0)</f>
        <v>2276.2855202195797</v>
      </c>
      <c r="BP25" s="165">
        <f ca="1">VLOOKUP($D25,Index_CALCULATION!$B$14:$DD$41,BP$2,0)</f>
        <v>2276.2855202195797</v>
      </c>
      <c r="BQ25" s="165">
        <f ca="1">VLOOKUP($D25,Index_CALCULATION!$B$14:$DD$41,BQ$2,0)</f>
        <v>2276.2855202195797</v>
      </c>
      <c r="BR25" s="165">
        <f ca="1">VLOOKUP($D25,Index_CALCULATION!$B$14:$DD$41,BR$2,0)</f>
        <v>2290.123079681935</v>
      </c>
      <c r="BS25" s="165">
        <f ca="1">VLOOKUP($D25,Index_CALCULATION!$B$14:$DD$41,BS$2,0)</f>
        <v>2290.123079681935</v>
      </c>
      <c r="BT25" s="165">
        <f ca="1">VLOOKUP($D25,Index_CALCULATION!$B$14:$DD$41,BT$2,0)</f>
        <v>2290.123079681935</v>
      </c>
      <c r="BU25" s="165">
        <f ca="1">VLOOKUP($D25,Index_CALCULATION!$B$14:$DD$41,BU$2,0)</f>
        <v>2290.123079681935</v>
      </c>
      <c r="BV25" s="165">
        <f ca="1">VLOOKUP($D25,Index_CALCULATION!$B$14:$DD$41,BV$2,0)</f>
        <v>2290.123079681935</v>
      </c>
      <c r="BW25" s="165">
        <f ca="1">VLOOKUP($D25,Index_CALCULATION!$B$14:$DD$41,BW$2,0)</f>
        <v>2290.123079681935</v>
      </c>
      <c r="BX25" s="165">
        <f ca="1">VLOOKUP($D25,Index_CALCULATION!$B$14:$DD$41,BX$2,0)</f>
        <v>2290.123079681935</v>
      </c>
      <c r="BY25" s="165">
        <f ca="1">VLOOKUP($D25,Index_CALCULATION!$B$14:$DD$41,BY$2,0)</f>
        <v>2290.123079681935</v>
      </c>
      <c r="BZ25" s="165">
        <f ca="1">VLOOKUP($D25,Index_CALCULATION!$B$14:$DD$41,BZ$2,0)</f>
        <v>2304.9458312059883</v>
      </c>
      <c r="CA25" s="165">
        <f ca="1">VLOOKUP($D25,Index_CALCULATION!$B$14:$DD$41,CA$2,0)</f>
        <v>2319.8645225355012</v>
      </c>
      <c r="CB25" s="165">
        <f ca="1">VLOOKUP($D25,Index_CALCULATION!$B$14:$DD$41,CB$2,0)</f>
        <v>2319.8645225355012</v>
      </c>
      <c r="CC25" s="165">
        <f ca="1">VLOOKUP($D25,Index_CALCULATION!$B$14:$DD$41,CC$2,0)</f>
        <v>2337.7784456186118</v>
      </c>
      <c r="CD25" s="165">
        <f ca="1">VLOOKUP($D25,Index_CALCULATION!$B$14:$DD$41,CD$2,0)</f>
        <v>2324.0671745076961</v>
      </c>
      <c r="CE25" s="165">
        <f ca="1">VLOOKUP($D25,Index_CALCULATION!$B$14:$DD$41,CE$2,0)</f>
        <v>2298.3871369746121</v>
      </c>
      <c r="CF25" s="165">
        <f ca="1">VLOOKUP($D25,Index_CALCULATION!$B$14:$DD$41,CF$2,0)</f>
        <v>2298.3871369746121</v>
      </c>
      <c r="CG25" s="165">
        <f ca="1">VLOOKUP($D25,Index_CALCULATION!$B$14:$DD$41,CG$2,0)</f>
        <v>2282.5907242008411</v>
      </c>
      <c r="CH25" s="165">
        <f ca="1">VLOOKUP($D25,Index_CALCULATION!$B$14:$DD$41,CH$2,0)</f>
        <v>2282.5907242008411</v>
      </c>
      <c r="CI25" s="165">
        <f ca="1">VLOOKUP($D25,Index_CALCULATION!$B$14:$DD$41,CI$2,0)</f>
        <v>2282.5907242008411</v>
      </c>
      <c r="CJ25" s="165">
        <f ca="1">VLOOKUP($D25,Index_CALCULATION!$B$14:$DD$41,CJ$2,0)</f>
        <v>2264.4028469182736</v>
      </c>
      <c r="CK25" s="165">
        <f ca="1">VLOOKUP($D25,Index_CALCULATION!$B$14:$DD$41,CK$2,0)</f>
        <v>2264.4028469182736</v>
      </c>
      <c r="CL25" s="165">
        <f ca="1">VLOOKUP($D25,Index_CALCULATION!$B$14:$DD$41,CL$2,0)</f>
        <v>2285.0821819025382</v>
      </c>
      <c r="CM25" s="165">
        <f ca="1">VLOOKUP($D25,Index_CALCULATION!$B$14:$DD$41,CM$2,0)</f>
        <v>2316.8189277775377</v>
      </c>
      <c r="CN25" s="165">
        <f ca="1">VLOOKUP($D25,Index_CALCULATION!$B$14:$DD$41,CN$2,0)</f>
        <v>2297.5923254871987</v>
      </c>
      <c r="CO25" s="165">
        <f ca="1">VLOOKUP($D25,Index_CALCULATION!$B$14:$DD$41,CO$2,0)</f>
        <v>2297.5923254871987</v>
      </c>
      <c r="CP25" s="165">
        <f ca="1">VLOOKUP($D25,Index_CALCULATION!$B$14:$DD$41,CP$2,0)</f>
        <v>2279.9863405093402</v>
      </c>
      <c r="CQ25" s="165">
        <f ca="1">VLOOKUP($D25,Index_CALCULATION!$B$14:$DD$41,CQ$2,0)</f>
        <v>2279.9863405093402</v>
      </c>
      <c r="CR25" s="247">
        <f ca="1">VLOOKUP($D25,Index_CALCULATION!$B$14:$DD$41,CR$2,0)</f>
        <v>2305.4607846781619</v>
      </c>
      <c r="CS25" s="247">
        <f ca="1">VLOOKUP($D25,Index_CALCULATION!$B$14:$DD$41,CS$2,0)</f>
        <v>2305.4607846781619</v>
      </c>
      <c r="CT25" s="247">
        <f ca="1">VLOOKUP($D25,Index_CALCULATION!$B$14:$FP$41,CT$2,0)</f>
        <v>2285.5002104745931</v>
      </c>
      <c r="CU25" s="247">
        <f ca="1">VLOOKUP($D25,Index_CALCULATION!$B$14:$FP$41,CU$2,0)</f>
        <v>2267.2891501576159</v>
      </c>
      <c r="CV25" s="247">
        <f ca="1">VLOOKUP($D25,Index_CALCULATION!$B$14:$FP$41,CV$2,0)</f>
        <v>2245.7984194083469</v>
      </c>
      <c r="CW25" s="247">
        <f ca="1">VLOOKUP($D25,Index_CALCULATION!$B$14:$FP$41,CW$2,0)</f>
        <v>2229.81415673949</v>
      </c>
      <c r="CX25" s="247">
        <f ca="1">VLOOKUP($D25,Index_CALCULATION!$B$14:$FP$41,CX$2,0)</f>
        <v>2229.81415673949</v>
      </c>
      <c r="CY25" s="247">
        <f ca="1">VLOOKUP($D25,Index_CALCULATION!$B$14:$FP$41,CY$2,0)</f>
        <v>2212.727542151044</v>
      </c>
      <c r="CZ25" s="247">
        <f ca="1">VLOOKUP($D25,Index_CALCULATION!$B$14:$FP$41,CZ$2,0)</f>
        <v>2212.727542151044</v>
      </c>
      <c r="DA25" s="247">
        <f ca="1">VLOOKUP($D25,Index_CALCULATION!$B$14:$FP$41,DA$2,0)</f>
        <v>2196.9786583942937</v>
      </c>
      <c r="DB25" s="247">
        <f ca="1">VLOOKUP($D25,Index_CALCULATION!$B$14:$FP$41,DB$2,0)</f>
        <v>2196.9786583942937</v>
      </c>
    </row>
    <row r="26" spans="3:106" x14ac:dyDescent="0.3">
      <c r="C26" s="165" t="s">
        <v>210</v>
      </c>
      <c r="D26" s="165" t="s">
        <v>212</v>
      </c>
      <c r="E26" s="165">
        <v>0</v>
      </c>
      <c r="F26" s="165">
        <v>0</v>
      </c>
      <c r="G26" s="165">
        <v>0</v>
      </c>
      <c r="H26" s="165">
        <v>0</v>
      </c>
      <c r="I26" s="165">
        <v>0</v>
      </c>
      <c r="J26" s="165">
        <v>0</v>
      </c>
      <c r="K26" s="165">
        <v>0</v>
      </c>
      <c r="L26" s="165">
        <v>0</v>
      </c>
      <c r="M26" s="165">
        <v>0</v>
      </c>
      <c r="N26" s="165">
        <v>0</v>
      </c>
      <c r="O26" s="165">
        <v>0</v>
      </c>
      <c r="P26" s="165">
        <v>0</v>
      </c>
      <c r="Q26" s="165">
        <v>0</v>
      </c>
      <c r="R26" s="165">
        <v>0</v>
      </c>
      <c r="S26" s="165">
        <v>0</v>
      </c>
      <c r="T26" s="165">
        <v>0</v>
      </c>
      <c r="U26" s="165">
        <v>0</v>
      </c>
      <c r="V26" s="165">
        <v>0</v>
      </c>
      <c r="W26" s="165">
        <v>0</v>
      </c>
      <c r="X26" s="165">
        <v>0</v>
      </c>
      <c r="Y26" s="165">
        <v>0</v>
      </c>
      <c r="Z26" s="165">
        <v>0</v>
      </c>
      <c r="AA26" s="165">
        <v>0</v>
      </c>
      <c r="AB26" s="165">
        <v>0</v>
      </c>
      <c r="AC26" s="165">
        <v>0</v>
      </c>
      <c r="AD26" s="165">
        <v>0</v>
      </c>
      <c r="AE26" s="165">
        <v>1000</v>
      </c>
      <c r="AF26" s="165">
        <v>1009.2259727871328</v>
      </c>
      <c r="AG26" s="165">
        <v>1009.2259727871328</v>
      </c>
      <c r="AH26" s="165">
        <v>1014.9547709168886</v>
      </c>
      <c r="AI26" s="165">
        <v>1028.0507809748431</v>
      </c>
      <c r="AJ26" s="165">
        <v>1037.5355495039078</v>
      </c>
      <c r="AK26" s="165">
        <v>1042.7362180881662</v>
      </c>
      <c r="AL26" s="165">
        <v>1050.7881953589722</v>
      </c>
      <c r="AM26" s="165">
        <v>1058.4781950017762</v>
      </c>
      <c r="AN26" s="165">
        <v>1070.8579166295483</v>
      </c>
      <c r="AO26" s="165">
        <v>1076.7507304453347</v>
      </c>
      <c r="AP26" s="165">
        <v>1077.3769303290835</v>
      </c>
      <c r="AQ26" s="165">
        <v>1086.5983601238859</v>
      </c>
      <c r="AR26" s="165">
        <v>1096.5823486419915</v>
      </c>
      <c r="AS26" s="165">
        <v>1119.5341632662598</v>
      </c>
      <c r="AT26" s="165">
        <v>1132.2674294088413</v>
      </c>
      <c r="AU26" s="165">
        <v>1142.4222264829784</v>
      </c>
      <c r="AV26" s="165">
        <v>1156.7921290977383</v>
      </c>
      <c r="AW26" s="165">
        <v>1161.3674380920518</v>
      </c>
      <c r="AX26" s="165">
        <v>1172.1136566371511</v>
      </c>
      <c r="AY26" s="165">
        <v>1174.1132813842644</v>
      </c>
      <c r="AZ26" s="165">
        <v>1189.6642248274484</v>
      </c>
      <c r="BA26" s="165">
        <v>1203.1235139046764</v>
      </c>
      <c r="BB26" s="165">
        <v>1203.1235139046764</v>
      </c>
      <c r="BC26" s="165">
        <v>1200.9246899411344</v>
      </c>
      <c r="BD26" s="165">
        <v>1196.5390903567093</v>
      </c>
      <c r="BE26" s="165">
        <v>1208.7278387012595</v>
      </c>
      <c r="BF26" s="165">
        <v>1204.2921451976747</v>
      </c>
      <c r="BG26" s="165">
        <v>1211.8425415155566</v>
      </c>
      <c r="BH26" s="165">
        <v>1221.4475842295467</v>
      </c>
      <c r="BI26" s="165">
        <v>1222.5790779738013</v>
      </c>
      <c r="BJ26" s="165">
        <v>1231.7828922191861</v>
      </c>
      <c r="BK26" s="165">
        <v>1234.5030594452189</v>
      </c>
      <c r="BL26" s="165">
        <v>1242.0330446652733</v>
      </c>
      <c r="BM26" s="165">
        <f ca="1">VLOOKUP($D26,Index_CALCULATION!$B$14:$DD$41,BM$2,0)</f>
        <v>1151.1645546132922</v>
      </c>
      <c r="BN26" s="165">
        <f ca="1">VLOOKUP($D26,Index_CALCULATION!$B$14:$DD$41,BN$2,0)</f>
        <v>1138.0832807918787</v>
      </c>
      <c r="BO26" s="165">
        <f ca="1">VLOOKUP($D26,Index_CALCULATION!$B$14:$DD$41,BO$2,0)</f>
        <v>1138.0832807918787</v>
      </c>
      <c r="BP26" s="165">
        <f ca="1">VLOOKUP($D26,Index_CALCULATION!$B$14:$DD$41,BP$2,0)</f>
        <v>1138.0832807918787</v>
      </c>
      <c r="BQ26" s="165">
        <f ca="1">VLOOKUP($D26,Index_CALCULATION!$B$14:$DD$41,BQ$2,0)</f>
        <v>1138.0832807918787</v>
      </c>
      <c r="BR26" s="165">
        <f ca="1">VLOOKUP($D26,Index_CALCULATION!$B$14:$DD$41,BR$2,0)</f>
        <v>1138.0832807918787</v>
      </c>
      <c r="BS26" s="165">
        <f ca="1">VLOOKUP($D26,Index_CALCULATION!$B$14:$DD$41,BS$2,0)</f>
        <v>1145.0016989477658</v>
      </c>
      <c r="BT26" s="165">
        <f ca="1">VLOOKUP($D26,Index_CALCULATION!$B$14:$DD$41,BT$2,0)</f>
        <v>1145.0016989477658</v>
      </c>
      <c r="BU26" s="165">
        <f ca="1">VLOOKUP($D26,Index_CALCULATION!$B$14:$DD$41,BU$2,0)</f>
        <v>1145.0016989477658</v>
      </c>
      <c r="BV26" s="165">
        <f ca="1">VLOOKUP($D26,Index_CALCULATION!$B$14:$DD$41,BV$2,0)</f>
        <v>1152.660544727275</v>
      </c>
      <c r="BW26" s="165">
        <f ca="1">VLOOKUP($D26,Index_CALCULATION!$B$14:$DD$41,BW$2,0)</f>
        <v>1152.660544727275</v>
      </c>
      <c r="BX26" s="165">
        <f ca="1">VLOOKUP($D26,Index_CALCULATION!$B$14:$DD$41,BX$2,0)</f>
        <v>1152.660544727275</v>
      </c>
      <c r="BY26" s="165">
        <f ca="1">VLOOKUP($D26,Index_CALCULATION!$B$14:$DD$41,BY$2,0)</f>
        <v>1152.660544727275</v>
      </c>
      <c r="BZ26" s="165">
        <f ca="1">VLOOKUP($D26,Index_CALCULATION!$B$14:$DD$41,BZ$2,0)</f>
        <v>1152.660544727275</v>
      </c>
      <c r="CA26" s="165">
        <f ca="1">VLOOKUP($D26,Index_CALCULATION!$B$14:$DD$41,CA$2,0)</f>
        <v>1152.660544727275</v>
      </c>
      <c r="CB26" s="165">
        <f ca="1">VLOOKUP($D26,Index_CALCULATION!$B$14:$DD$41,CB$2,0)</f>
        <v>1152.660544727275</v>
      </c>
      <c r="CC26" s="165">
        <f ca="1">VLOOKUP($D26,Index_CALCULATION!$B$14:$DD$41,CC$2,0)</f>
        <v>1152.660544727275</v>
      </c>
      <c r="CD26" s="165">
        <f ca="1">VLOOKUP($D26,Index_CALCULATION!$B$14:$DD$41,CD$2,0)</f>
        <v>1145.9000917608137</v>
      </c>
      <c r="CE26" s="165">
        <f ca="1">VLOOKUP($D26,Index_CALCULATION!$B$14:$DD$41,CE$2,0)</f>
        <v>1145.9000917608137</v>
      </c>
      <c r="CF26" s="165">
        <f ca="1">VLOOKUP($D26,Index_CALCULATION!$B$14:$DD$41,CF$2,0)</f>
        <v>1154.1143942862559</v>
      </c>
      <c r="CG26" s="165">
        <f ca="1">VLOOKUP($D26,Index_CALCULATION!$B$14:$DD$41,CG$2,0)</f>
        <v>1154.1143942862559</v>
      </c>
      <c r="CH26" s="165">
        <f ca="1">VLOOKUP($D26,Index_CALCULATION!$B$14:$DD$41,CH$2,0)</f>
        <v>1154.1143942862559</v>
      </c>
      <c r="CI26" s="165">
        <f ca="1">VLOOKUP($D26,Index_CALCULATION!$B$14:$DD$41,CI$2,0)</f>
        <v>1154.1143942862559</v>
      </c>
      <c r="CJ26" s="165">
        <f ca="1">VLOOKUP($D26,Index_CALCULATION!$B$14:$DD$41,CJ$2,0)</f>
        <v>1154.1143942862559</v>
      </c>
      <c r="CK26" s="165">
        <f ca="1">VLOOKUP($D26,Index_CALCULATION!$B$14:$DD$41,CK$2,0)</f>
        <v>1154.1143942862559</v>
      </c>
      <c r="CL26" s="165">
        <f ca="1">VLOOKUP($D26,Index_CALCULATION!$B$14:$DD$41,CL$2,0)</f>
        <v>1143.6699917353874</v>
      </c>
      <c r="CM26" s="165">
        <f ca="1">VLOOKUP($D26,Index_CALCULATION!$B$14:$DD$41,CM$2,0)</f>
        <v>1143.6699917353874</v>
      </c>
      <c r="CN26" s="165">
        <f ca="1">VLOOKUP($D26,Index_CALCULATION!$B$14:$DD$41,CN$2,0)</f>
        <v>1143.6699917353874</v>
      </c>
      <c r="CO26" s="165">
        <f ca="1">VLOOKUP($D26,Index_CALCULATION!$B$14:$DD$41,CO$2,0)</f>
        <v>1143.6699917353874</v>
      </c>
      <c r="CP26" s="165">
        <f ca="1">VLOOKUP($D26,Index_CALCULATION!$B$14:$DD$41,CP$2,0)</f>
        <v>1143.6699917353874</v>
      </c>
      <c r="CQ26" s="165">
        <f ca="1">VLOOKUP($D26,Index_CALCULATION!$B$14:$DD$41,CQ$2,0)</f>
        <v>1143.6699917353874</v>
      </c>
      <c r="CR26" s="247">
        <f ca="1">VLOOKUP($D26,Index_CALCULATION!$B$14:$DD$41,CR$2,0)</f>
        <v>1143.6699917353874</v>
      </c>
      <c r="CS26" s="247">
        <f ca="1">VLOOKUP($D26,Index_CALCULATION!$B$14:$DD$41,CS$2,0)</f>
        <v>1143.6699917353874</v>
      </c>
      <c r="CT26" s="247">
        <f ca="1">VLOOKUP($D26,Index_CALCULATION!$B$14:$FP$41,CT$2,0)</f>
        <v>1143.6699917353874</v>
      </c>
      <c r="CU26" s="247">
        <f ca="1">VLOOKUP($D26,Index_CALCULATION!$B$14:$FP$41,CU$2,0)</f>
        <v>1152.8560468976777</v>
      </c>
      <c r="CV26" s="247">
        <f ca="1">VLOOKUP($D26,Index_CALCULATION!$B$14:$FP$41,CV$2,0)</f>
        <v>1152.8560468976777</v>
      </c>
      <c r="CW26" s="247">
        <f ca="1">VLOOKUP($D26,Index_CALCULATION!$B$14:$FP$41,CW$2,0)</f>
        <v>1152.8560468976777</v>
      </c>
      <c r="CX26" s="247">
        <f ca="1">VLOOKUP($D26,Index_CALCULATION!$B$14:$FP$41,CX$2,0)</f>
        <v>1152.8560468976777</v>
      </c>
      <c r="CY26" s="247">
        <f ca="1">VLOOKUP($D26,Index_CALCULATION!$B$14:$FP$41,CY$2,0)</f>
        <v>1152.8560468976777</v>
      </c>
      <c r="CZ26" s="247">
        <f ca="1">VLOOKUP($D26,Index_CALCULATION!$B$14:$FP$41,CZ$2,0)</f>
        <v>1152.8560468976777</v>
      </c>
      <c r="DA26" s="247">
        <f ca="1">VLOOKUP($D26,Index_CALCULATION!$B$14:$FP$41,DA$2,0)</f>
        <v>1152.8560468976777</v>
      </c>
      <c r="DB26" s="247">
        <f ca="1">VLOOKUP($D26,Index_CALCULATION!$B$14:$FP$41,DB$2,0)</f>
        <v>1152.8560468976777</v>
      </c>
    </row>
    <row r="27" spans="3:106" x14ac:dyDescent="0.3">
      <c r="C27" s="165" t="s">
        <v>143</v>
      </c>
      <c r="D27" s="165" t="s">
        <v>172</v>
      </c>
      <c r="E27" s="165">
        <v>1000</v>
      </c>
      <c r="F27" s="165">
        <v>1028.5695124658184</v>
      </c>
      <c r="G27" s="165">
        <v>1055.7384161887585</v>
      </c>
      <c r="H27" s="165">
        <v>1108.1869384878678</v>
      </c>
      <c r="I27" s="165">
        <v>1141.5492237994727</v>
      </c>
      <c r="J27" s="165">
        <v>1169.9680865964463</v>
      </c>
      <c r="K27" s="165">
        <v>1200.1313600111916</v>
      </c>
      <c r="L27" s="165">
        <v>1215.0004538295789</v>
      </c>
      <c r="M27" s="165">
        <v>1224.8031835521952</v>
      </c>
      <c r="N27" s="165">
        <v>1264.8982739067767</v>
      </c>
      <c r="O27" s="165">
        <v>1282.6472795067928</v>
      </c>
      <c r="P27" s="165">
        <v>1306.0790764012095</v>
      </c>
      <c r="Q27" s="165">
        <v>1327.6271006647587</v>
      </c>
      <c r="R27" s="165">
        <v>1363.3001830042147</v>
      </c>
      <c r="S27" s="165">
        <v>1409.914487096017</v>
      </c>
      <c r="T27" s="165">
        <v>1488.7912349039511</v>
      </c>
      <c r="U27" s="165">
        <v>1558.4928865985678</v>
      </c>
      <c r="V27" s="165">
        <v>1605.6472531197646</v>
      </c>
      <c r="W27" s="165">
        <v>1676.9978639890169</v>
      </c>
      <c r="X27" s="165">
        <v>1775.8814226184659</v>
      </c>
      <c r="Y27" s="165">
        <v>1836.0751250247663</v>
      </c>
      <c r="Z27" s="165">
        <v>1896.1653291711934</v>
      </c>
      <c r="AA27" s="165">
        <v>1967.291892744722</v>
      </c>
      <c r="AB27" s="165">
        <v>2134.2673805887748</v>
      </c>
      <c r="AC27" s="165">
        <v>2277.085117485768</v>
      </c>
      <c r="AD27" s="165">
        <v>2382.3123851547857</v>
      </c>
      <c r="AE27" s="165">
        <v>2463.8990522653257</v>
      </c>
      <c r="AF27" s="165">
        <v>2594.1935251555024</v>
      </c>
      <c r="AG27" s="165">
        <v>2682.7626861513477</v>
      </c>
      <c r="AH27" s="165">
        <v>2799.1056257722189</v>
      </c>
      <c r="AI27" s="165">
        <v>2936.9653954398609</v>
      </c>
      <c r="AJ27" s="165">
        <v>3079.6804741894789</v>
      </c>
      <c r="AK27" s="165">
        <v>3171.7081581170337</v>
      </c>
      <c r="AL27" s="165">
        <v>3327.9191106817002</v>
      </c>
      <c r="AM27" s="165">
        <v>3588.9800385645631</v>
      </c>
      <c r="AN27" s="165">
        <v>3759.8523131743123</v>
      </c>
      <c r="AO27" s="165">
        <v>3883.3444398628553</v>
      </c>
      <c r="AP27" s="165">
        <v>4207.7552449864788</v>
      </c>
      <c r="AQ27" s="165">
        <v>4504.6541943858947</v>
      </c>
      <c r="AR27" s="165">
        <v>4644.1062037069578</v>
      </c>
      <c r="AS27" s="165">
        <v>4868.2853442695096</v>
      </c>
      <c r="AT27" s="165">
        <v>5060.3328710228079</v>
      </c>
      <c r="AU27" s="165">
        <v>5399.5370494067256</v>
      </c>
      <c r="AV27" s="165">
        <v>5777.4376839948782</v>
      </c>
      <c r="AW27" s="165">
        <v>6021.9290340914531</v>
      </c>
      <c r="AX27" s="165">
        <v>6703.5986064891767</v>
      </c>
      <c r="AY27" s="165">
        <v>7027.3071312514221</v>
      </c>
      <c r="AZ27" s="165">
        <v>7329.5112945673782</v>
      </c>
      <c r="BA27" s="165">
        <v>7581.1040472582299</v>
      </c>
      <c r="BB27" s="165">
        <v>7788.3772475602655</v>
      </c>
      <c r="BC27" s="165">
        <v>8177.7169789847212</v>
      </c>
      <c r="BD27" s="165">
        <v>8570.827050376407</v>
      </c>
      <c r="BE27" s="165">
        <v>8949.5878101233575</v>
      </c>
      <c r="BF27" s="165">
        <v>9380.8117522078428</v>
      </c>
      <c r="BG27" s="165">
        <v>9591.6077385557746</v>
      </c>
      <c r="BH27" s="165">
        <v>10017.259696545274</v>
      </c>
      <c r="BI27" s="165">
        <v>10501.643797956822</v>
      </c>
      <c r="BJ27" s="165">
        <v>10767.494176406719</v>
      </c>
      <c r="BK27" s="165">
        <v>10959.195284973039</v>
      </c>
      <c r="BL27" s="165">
        <v>11221.454256440416</v>
      </c>
      <c r="BM27" s="165">
        <f ca="1">VLOOKUP($D27,Index_CALCULATION!$B$14:$DD$41,BM$2,0)</f>
        <v>7536.036026172621</v>
      </c>
      <c r="BN27" s="165">
        <f ca="1">VLOOKUP($D27,Index_CALCULATION!$B$14:$DD$41,BN$2,0)</f>
        <v>7579.2223611941808</v>
      </c>
      <c r="BO27" s="165">
        <f ca="1">VLOOKUP($D27,Index_CALCULATION!$B$14:$DD$41,BO$2,0)</f>
        <v>7579.2223611941808</v>
      </c>
      <c r="BP27" s="165">
        <f ca="1">VLOOKUP($D27,Index_CALCULATION!$B$14:$DD$41,BP$2,0)</f>
        <v>7684.4876579578458</v>
      </c>
      <c r="BQ27" s="165">
        <f ca="1">VLOOKUP($D27,Index_CALCULATION!$B$14:$DD$41,BQ$2,0)</f>
        <v>7791.2149493925572</v>
      </c>
      <c r="BR27" s="165">
        <f ca="1">VLOOKUP($D27,Index_CALCULATION!$B$14:$DD$41,BR$2,0)</f>
        <v>7934.1690476213171</v>
      </c>
      <c r="BS27" s="165">
        <f ca="1">VLOOKUP($D27,Index_CALCULATION!$B$14:$DD$41,BS$2,0)</f>
        <v>7982.4009302237455</v>
      </c>
      <c r="BT27" s="165">
        <f ca="1">VLOOKUP($D27,Index_CALCULATION!$B$14:$DD$41,BT$2,0)</f>
        <v>8082.8071735024796</v>
      </c>
      <c r="BU27" s="165">
        <f ca="1">VLOOKUP($D27,Index_CALCULATION!$B$14:$DD$41,BU$2,0)</f>
        <v>8130.4932136087109</v>
      </c>
      <c r="BV27" s="165">
        <f ca="1">VLOOKUP($D27,Index_CALCULATION!$B$14:$DD$41,BV$2,0)</f>
        <v>8130.4932136087109</v>
      </c>
      <c r="BW27" s="165">
        <f ca="1">VLOOKUP($D27,Index_CALCULATION!$B$14:$DD$41,BW$2,0)</f>
        <v>8183.1175820291455</v>
      </c>
      <c r="BX27" s="165">
        <f ca="1">VLOOKUP($D27,Index_CALCULATION!$B$14:$DD$41,BX$2,0)</f>
        <v>8236.0825600631542</v>
      </c>
      <c r="BY27" s="165">
        <f ca="1">VLOOKUP($D27,Index_CALCULATION!$B$14:$DD$41,BY$2,0)</f>
        <v>8236.0825600631542</v>
      </c>
      <c r="BZ27" s="165">
        <f ca="1">VLOOKUP($D27,Index_CALCULATION!$B$14:$DD$41,BZ$2,0)</f>
        <v>8289.3903522960336</v>
      </c>
      <c r="CA27" s="165">
        <f ca="1">VLOOKUP($D27,Index_CALCULATION!$B$14:$DD$41,CA$2,0)</f>
        <v>8343.0431775821889</v>
      </c>
      <c r="CB27" s="165">
        <f ca="1">VLOOKUP($D27,Index_CALCULATION!$B$14:$DD$41,CB$2,0)</f>
        <v>8455.0286641544353</v>
      </c>
      <c r="CC27" s="165">
        <f ca="1">VLOOKUP($D27,Index_CALCULATION!$B$14:$DD$41,CC$2,0)</f>
        <v>8586.1117743799841</v>
      </c>
      <c r="CD27" s="165">
        <f ca="1">VLOOKUP($D27,Index_CALCULATION!$B$14:$DD$41,CD$2,0)</f>
        <v>8687.7213857094957</v>
      </c>
      <c r="CE27" s="165">
        <f ca="1">VLOOKUP($D27,Index_CALCULATION!$B$14:$DD$41,CE$2,0)</f>
        <v>8784.7898941748117</v>
      </c>
      <c r="CF27" s="165">
        <f ca="1">VLOOKUP($D27,Index_CALCULATION!$B$14:$DD$41,CF$2,0)</f>
        <v>8847.7630297317828</v>
      </c>
      <c r="CG27" s="165">
        <f ca="1">VLOOKUP($D27,Index_CALCULATION!$B$14:$DD$41,CG$2,0)</f>
        <v>8970.6466656292996</v>
      </c>
      <c r="CH27" s="165">
        <f ca="1">VLOOKUP($D27,Index_CALCULATION!$B$14:$DD$41,CH$2,0)</f>
        <v>9039.9177255609411</v>
      </c>
      <c r="CI27" s="165">
        <f ca="1">VLOOKUP($D27,Index_CALCULATION!$B$14:$DD$41,CI$2,0)</f>
        <v>9104.7197266575295</v>
      </c>
      <c r="CJ27" s="165">
        <f ca="1">VLOOKUP($D27,Index_CALCULATION!$B$14:$DD$41,CJ$2,0)</f>
        <v>9177.8496139944873</v>
      </c>
      <c r="CK27" s="165">
        <f ca="1">VLOOKUP($D27,Index_CALCULATION!$B$14:$DD$41,CK$2,0)</f>
        <v>9314.8299200112669</v>
      </c>
      <c r="CL27" s="165">
        <f ca="1">VLOOKUP($D27,Index_CALCULATION!$B$14:$DD$41,CL$2,0)</f>
        <v>9399.8962713892979</v>
      </c>
      <c r="CM27" s="165">
        <f ca="1">VLOOKUP($D27,Index_CALCULATION!$B$14:$DD$41,CM$2,0)</f>
        <v>9464.9471979348273</v>
      </c>
      <c r="CN27" s="165">
        <f ca="1">VLOOKUP($D27,Index_CALCULATION!$B$14:$DD$41,CN$2,0)</f>
        <v>9624.0182276318337</v>
      </c>
      <c r="CO27" s="165">
        <f ca="1">VLOOKUP($D27,Index_CALCULATION!$B$14:$DD$41,CO$2,0)</f>
        <v>9779.2409899678314</v>
      </c>
      <c r="CP27" s="165">
        <f ca="1">VLOOKUP($D27,Index_CALCULATION!$B$14:$DD$41,CP$2,0)</f>
        <v>9854.7559906084789</v>
      </c>
      <c r="CQ27" s="165">
        <f ca="1">VLOOKUP($D27,Index_CALCULATION!$B$14:$DD$41,CQ$2,0)</f>
        <v>10115.219156408226</v>
      </c>
      <c r="CR27" s="247">
        <f ca="1">VLOOKUP($D27,Index_CALCULATION!$B$14:$DD$41,CR$2,0)</f>
        <v>10228.237195629354</v>
      </c>
      <c r="CS27" s="247">
        <f ca="1">VLOOKUP($D27,Index_CALCULATION!$B$14:$DD$41,CS$2,0)</f>
        <v>10400.136329208142</v>
      </c>
      <c r="CT27" s="247">
        <f ca="1">VLOOKUP($D27,Index_CALCULATION!$B$14:$FP$41,CT$2,0)</f>
        <v>10582.590222271459</v>
      </c>
      <c r="CU27" s="247">
        <f ca="1">VLOOKUP($D27,Index_CALCULATION!$B$14:$FP$41,CU$2,0)</f>
        <v>10753.273490748092</v>
      </c>
      <c r="CV27" s="247">
        <f ca="1">VLOOKUP($D27,Index_CALCULATION!$B$14:$FP$41,CV$2,0)</f>
        <v>10856.174847907208</v>
      </c>
      <c r="CW27" s="247">
        <f ca="1">VLOOKUP($D27,Index_CALCULATION!$B$14:$FP$41,CW$2,0)</f>
        <v>10933.996557767427</v>
      </c>
      <c r="CX27" s="247">
        <f ca="1">VLOOKUP($D27,Index_CALCULATION!$B$14:$FP$41,CX$2,0)</f>
        <v>11056.162853198262</v>
      </c>
      <c r="CY27" s="247">
        <f ca="1">VLOOKUP($D27,Index_CALCULATION!$B$14:$FP$41,CY$2,0)</f>
        <v>11141.538205518435</v>
      </c>
      <c r="CZ27" s="247">
        <f ca="1">VLOOKUP($D27,Index_CALCULATION!$B$14:$FP$41,CZ$2,0)</f>
        <v>11209.267713109421</v>
      </c>
      <c r="DA27" s="247">
        <f ca="1">VLOOKUP($D27,Index_CALCULATION!$B$14:$FP$41,DA$2,0)</f>
        <v>11289.620543819703</v>
      </c>
      <c r="DB27" s="247">
        <f ca="1">VLOOKUP($D27,Index_CALCULATION!$B$14:$FP$41,DB$2,0)</f>
        <v>11289.620543819703</v>
      </c>
    </row>
    <row r="28" spans="3:106" x14ac:dyDescent="0.3">
      <c r="C28" s="165" t="s">
        <v>144</v>
      </c>
      <c r="D28" s="165" t="s">
        <v>173</v>
      </c>
      <c r="E28" s="165">
        <v>1000</v>
      </c>
      <c r="F28" s="165">
        <v>1013.8271167856134</v>
      </c>
      <c r="G28" s="165">
        <v>1032.4624530225403</v>
      </c>
      <c r="H28" s="165">
        <v>1057.7976989417766</v>
      </c>
      <c r="I28" s="165">
        <v>1060.9398922181988</v>
      </c>
      <c r="J28" s="165">
        <v>1074.5050361397721</v>
      </c>
      <c r="K28" s="165">
        <v>1100.2049577629436</v>
      </c>
      <c r="L28" s="165">
        <v>1111.3451345248029</v>
      </c>
      <c r="M28" s="165">
        <v>1120.3115640828773</v>
      </c>
      <c r="N28" s="165">
        <v>1144.2629008513709</v>
      </c>
      <c r="O28" s="165">
        <v>1162.6992964006292</v>
      </c>
      <c r="P28" s="165">
        <v>1188.0294446443952</v>
      </c>
      <c r="Q28" s="165">
        <v>1212.0292314174544</v>
      </c>
      <c r="R28" s="165">
        <v>1225.8808441533192</v>
      </c>
      <c r="S28" s="165">
        <v>1248.2756142634635</v>
      </c>
      <c r="T28" s="165">
        <v>1283.4935178833066</v>
      </c>
      <c r="U28" s="165">
        <v>1314.7444008314585</v>
      </c>
      <c r="V28" s="165">
        <v>1337.6976533204925</v>
      </c>
      <c r="W28" s="165">
        <v>1376.041414243163</v>
      </c>
      <c r="X28" s="165">
        <v>1410.1414285347573</v>
      </c>
      <c r="Y28" s="165">
        <v>1432.3479248173353</v>
      </c>
      <c r="Z28" s="165">
        <v>1468.6079851670017</v>
      </c>
      <c r="AA28" s="165">
        <v>1491.1053729996265</v>
      </c>
      <c r="AB28" s="165">
        <v>1521.6211714899075</v>
      </c>
      <c r="AC28" s="165">
        <v>1567.8426546635474</v>
      </c>
      <c r="AD28" s="165">
        <v>1582.3500183614847</v>
      </c>
      <c r="AE28" s="165">
        <v>1599.3949174609174</v>
      </c>
      <c r="AF28" s="165">
        <v>1624.8925778572739</v>
      </c>
      <c r="AG28" s="165">
        <v>1645.9189336403495</v>
      </c>
      <c r="AH28" s="165">
        <v>1668.5885606464697</v>
      </c>
      <c r="AI28" s="165">
        <v>1690.1184388232809</v>
      </c>
      <c r="AJ28" s="165">
        <v>1725.8453285220091</v>
      </c>
      <c r="AK28" s="165">
        <v>1753.8758091492316</v>
      </c>
      <c r="AL28" s="165">
        <v>1815.6498935488466</v>
      </c>
      <c r="AM28" s="165">
        <v>1878.1695113799476</v>
      </c>
      <c r="AN28" s="165">
        <v>1907.8850269184595</v>
      </c>
      <c r="AO28" s="165">
        <v>1941.922068602945</v>
      </c>
      <c r="AP28" s="165">
        <v>2026.1148658063726</v>
      </c>
      <c r="AQ28" s="165">
        <v>2073.8681907339105</v>
      </c>
      <c r="AR28" s="165">
        <v>2100.5945688302759</v>
      </c>
      <c r="AS28" s="165">
        <v>2114.1418893620416</v>
      </c>
      <c r="AT28" s="165">
        <v>2147.1152447751469</v>
      </c>
      <c r="AU28" s="165">
        <v>2191.0114572074831</v>
      </c>
      <c r="AV28" s="165">
        <v>2233.3013949821716</v>
      </c>
      <c r="AW28" s="165">
        <v>2270.3370605478103</v>
      </c>
      <c r="AX28" s="165">
        <v>2323.2210841450783</v>
      </c>
      <c r="AY28" s="165">
        <v>2345.7700135643686</v>
      </c>
      <c r="AZ28" s="165">
        <v>2397.2547735433318</v>
      </c>
      <c r="BA28" s="165">
        <v>2428.9261310740048</v>
      </c>
      <c r="BB28" s="165">
        <v>2448.177756956783</v>
      </c>
      <c r="BC28" s="165">
        <v>2491.8537265193504</v>
      </c>
      <c r="BD28" s="165">
        <v>2545.6050575835829</v>
      </c>
      <c r="BE28" s="165">
        <v>2587.2216595320097</v>
      </c>
      <c r="BF28" s="165">
        <v>2627.4814349691906</v>
      </c>
      <c r="BG28" s="165">
        <v>2677.2114740651855</v>
      </c>
      <c r="BH28" s="165">
        <v>2682.50066195613</v>
      </c>
      <c r="BI28" s="165">
        <v>2704.9482357919564</v>
      </c>
      <c r="BJ28" s="165">
        <v>2707.2032988008691</v>
      </c>
      <c r="BK28" s="165">
        <v>2717.1745704173613</v>
      </c>
      <c r="BL28" s="165">
        <v>2744.8535299381538</v>
      </c>
      <c r="BM28" s="165">
        <f ca="1">VLOOKUP($D28,Index_CALCULATION!$B$14:$DD$41,BM$2,0)</f>
        <v>2272.9115771900224</v>
      </c>
      <c r="BN28" s="165">
        <f ca="1">VLOOKUP($D28,Index_CALCULATION!$B$14:$DD$41,BN$2,0)</f>
        <v>2272.9115771900224</v>
      </c>
      <c r="BO28" s="165">
        <f ca="1">VLOOKUP($D28,Index_CALCULATION!$B$14:$DD$41,BO$2,0)</f>
        <v>2287.6229277911048</v>
      </c>
      <c r="BP28" s="165">
        <f ca="1">VLOOKUP($D28,Index_CALCULATION!$B$14:$DD$41,BP$2,0)</f>
        <v>2271.9004955442479</v>
      </c>
      <c r="BQ28" s="165">
        <f ca="1">VLOOKUP($D28,Index_CALCULATION!$B$14:$DD$41,BQ$2,0)</f>
        <v>2287.6229277911043</v>
      </c>
      <c r="BR28" s="165">
        <f ca="1">VLOOKUP($D28,Index_CALCULATION!$B$14:$DD$41,BR$2,0)</f>
        <v>2287.6229277911043</v>
      </c>
      <c r="BS28" s="165">
        <f ca="1">VLOOKUP($D28,Index_CALCULATION!$B$14:$DD$41,BS$2,0)</f>
        <v>2287.6229277911043</v>
      </c>
      <c r="BT28" s="165">
        <f ca="1">VLOOKUP($D28,Index_CALCULATION!$B$14:$DD$41,BT$2,0)</f>
        <v>2287.6229277911043</v>
      </c>
      <c r="BU28" s="165">
        <f ca="1">VLOOKUP($D28,Index_CALCULATION!$B$14:$DD$41,BU$2,0)</f>
        <v>2287.6229277911043</v>
      </c>
      <c r="BV28" s="165">
        <f ca="1">VLOOKUP($D28,Index_CALCULATION!$B$14:$DD$41,BV$2,0)</f>
        <v>2287.6229277911043</v>
      </c>
      <c r="BW28" s="165">
        <f ca="1">VLOOKUP($D28,Index_CALCULATION!$B$14:$DD$41,BW$2,0)</f>
        <v>2287.6229277911043</v>
      </c>
      <c r="BX28" s="165">
        <f ca="1">VLOOKUP($D28,Index_CALCULATION!$B$14:$DD$41,BX$2,0)</f>
        <v>2302.4294971585832</v>
      </c>
      <c r="BY28" s="165">
        <f ca="1">VLOOKUP($D28,Index_CALCULATION!$B$14:$DD$41,BY$2,0)</f>
        <v>2287.131018766489</v>
      </c>
      <c r="BZ28" s="165">
        <f ca="1">VLOOKUP($D28,Index_CALCULATION!$B$14:$DD$41,BZ$2,0)</f>
        <v>2272.422831556557</v>
      </c>
      <c r="CA28" s="165">
        <f ca="1">VLOOKUP($D28,Index_CALCULATION!$B$14:$DD$41,CA$2,0)</f>
        <v>2272.422831556557</v>
      </c>
      <c r="CB28" s="165">
        <f ca="1">VLOOKUP($D28,Index_CALCULATION!$B$14:$DD$41,CB$2,0)</f>
        <v>2287.6229277911048</v>
      </c>
      <c r="CC28" s="165">
        <f ca="1">VLOOKUP($D28,Index_CALCULATION!$B$14:$DD$41,CC$2,0)</f>
        <v>2287.6229277911048</v>
      </c>
      <c r="CD28" s="165">
        <f ca="1">VLOOKUP($D28,Index_CALCULATION!$B$14:$DD$41,CD$2,0)</f>
        <v>2287.6229277911048</v>
      </c>
      <c r="CE28" s="165">
        <f ca="1">VLOOKUP($D28,Index_CALCULATION!$B$14:$DD$41,CE$2,0)</f>
        <v>2339.0280454071126</v>
      </c>
      <c r="CF28" s="165">
        <f ca="1">VLOOKUP($D28,Index_CALCULATION!$B$14:$DD$41,CF$2,0)</f>
        <v>2372.6825487259393</v>
      </c>
      <c r="CG28" s="165">
        <f ca="1">VLOOKUP($D28,Index_CALCULATION!$B$14:$DD$41,CG$2,0)</f>
        <v>2356.3755165824632</v>
      </c>
      <c r="CH28" s="165">
        <f ca="1">VLOOKUP($D28,Index_CALCULATION!$B$14:$DD$41,CH$2,0)</f>
        <v>2356.3755165824632</v>
      </c>
      <c r="CI28" s="165">
        <f ca="1">VLOOKUP($D28,Index_CALCULATION!$B$14:$DD$41,CI$2,0)</f>
        <v>2356.3755165824632</v>
      </c>
      <c r="CJ28" s="165">
        <f ca="1">VLOOKUP($D28,Index_CALCULATION!$B$14:$DD$41,CJ$2,0)</f>
        <v>2356.3755165824632</v>
      </c>
      <c r="CK28" s="165">
        <f ca="1">VLOOKUP($D28,Index_CALCULATION!$B$14:$DD$41,CK$2,0)</f>
        <v>2373.8949567469472</v>
      </c>
      <c r="CL28" s="165">
        <f ca="1">VLOOKUP($D28,Index_CALCULATION!$B$14:$DD$41,CL$2,0)</f>
        <v>2373.8949567469472</v>
      </c>
      <c r="CM28" s="165">
        <f ca="1">VLOOKUP($D28,Index_CALCULATION!$B$14:$DD$41,CM$2,0)</f>
        <v>2373.8949567469472</v>
      </c>
      <c r="CN28" s="165">
        <f ca="1">VLOOKUP($D28,Index_CALCULATION!$B$14:$DD$41,CN$2,0)</f>
        <v>2373.8949567469472</v>
      </c>
      <c r="CO28" s="165">
        <f ca="1">VLOOKUP($D28,Index_CALCULATION!$B$14:$DD$41,CO$2,0)</f>
        <v>2373.8949567469472</v>
      </c>
      <c r="CP28" s="165">
        <f ca="1">VLOOKUP($D28,Index_CALCULATION!$B$14:$DD$41,CP$2,0)</f>
        <v>2392.2261011950159</v>
      </c>
      <c r="CQ28" s="165">
        <f ca="1">VLOOKUP($D28,Index_CALCULATION!$B$14:$DD$41,CQ$2,0)</f>
        <v>2392.2261011950159</v>
      </c>
      <c r="CR28" s="247">
        <f ca="1">VLOOKUP($D28,Index_CALCULATION!$B$14:$DD$41,CR$2,0)</f>
        <v>2392.2261011950159</v>
      </c>
      <c r="CS28" s="247">
        <f ca="1">VLOOKUP($D28,Index_CALCULATION!$B$14:$DD$41,CS$2,0)</f>
        <v>2392.2261011950159</v>
      </c>
      <c r="CT28" s="247">
        <f ca="1">VLOOKUP($D28,Index_CALCULATION!$B$14:$FP$41,CT$2,0)</f>
        <v>2392.2261011950159</v>
      </c>
      <c r="CU28" s="247">
        <f ca="1">VLOOKUP($D28,Index_CALCULATION!$B$14:$FP$41,CU$2,0)</f>
        <v>2392.2261011950159</v>
      </c>
      <c r="CV28" s="247">
        <f ca="1">VLOOKUP($D28,Index_CALCULATION!$B$14:$FP$41,CV$2,0)</f>
        <v>2392.2261011950159</v>
      </c>
      <c r="CW28" s="247">
        <f ca="1">VLOOKUP($D28,Index_CALCULATION!$B$14:$FP$41,CW$2,0)</f>
        <v>2392.2261011950159</v>
      </c>
      <c r="CX28" s="247">
        <f ca="1">VLOOKUP($D28,Index_CALCULATION!$B$14:$FP$41,CX$2,0)</f>
        <v>2392.2261011950159</v>
      </c>
      <c r="CY28" s="247">
        <f ca="1">VLOOKUP($D28,Index_CALCULATION!$B$14:$FP$41,CY$2,0)</f>
        <v>2392.2261011950159</v>
      </c>
      <c r="CZ28" s="247">
        <f ca="1">VLOOKUP($D28,Index_CALCULATION!$B$14:$FP$41,CZ$2,0)</f>
        <v>2392.2261011950159</v>
      </c>
      <c r="DA28" s="247">
        <f ca="1">VLOOKUP($D28,Index_CALCULATION!$B$14:$FP$41,DA$2,0)</f>
        <v>2392.2261011950159</v>
      </c>
      <c r="DB28" s="247">
        <f ca="1">VLOOKUP($D28,Index_CALCULATION!$B$14:$FP$41,DB$2,0)</f>
        <v>2392.2261011950159</v>
      </c>
    </row>
    <row r="29" spans="3:106" x14ac:dyDescent="0.3">
      <c r="C29" s="165" t="s">
        <v>145</v>
      </c>
      <c r="D29" s="165" t="s">
        <v>174</v>
      </c>
      <c r="E29" s="165">
        <v>1000</v>
      </c>
      <c r="F29" s="165">
        <v>950.22513521396934</v>
      </c>
      <c r="G29" s="165">
        <v>922.47113348610469</v>
      </c>
      <c r="H29" s="165">
        <v>887.84618069831549</v>
      </c>
      <c r="I29" s="165">
        <v>867.02663266679826</v>
      </c>
      <c r="J29" s="165">
        <v>844.92682194881661</v>
      </c>
      <c r="K29" s="165">
        <v>822.56856473482264</v>
      </c>
      <c r="L29" s="165">
        <v>808.87208998952497</v>
      </c>
      <c r="M29" s="165">
        <v>797.04301853569427</v>
      </c>
      <c r="N29" s="165">
        <v>792.07703453514989</v>
      </c>
      <c r="O29" s="165">
        <v>776.64745517854135</v>
      </c>
      <c r="P29" s="165">
        <v>760.74397322131915</v>
      </c>
      <c r="Q29" s="165">
        <v>748.39673386087384</v>
      </c>
      <c r="R29" s="165">
        <v>731.85671142430544</v>
      </c>
      <c r="S29" s="165">
        <v>720.27743884457766</v>
      </c>
      <c r="T29" s="165">
        <v>705.04772938470376</v>
      </c>
      <c r="U29" s="165">
        <v>684.40409178347397</v>
      </c>
      <c r="V29" s="165">
        <v>672.98402850090042</v>
      </c>
      <c r="W29" s="165">
        <v>660.6626435328343</v>
      </c>
      <c r="X29" s="165">
        <v>635.35305511732201</v>
      </c>
      <c r="Y29" s="165">
        <v>620.95844909827292</v>
      </c>
      <c r="Z29" s="165">
        <v>609.48851305213782</v>
      </c>
      <c r="AA29" s="165">
        <v>594.03867493305017</v>
      </c>
      <c r="AB29" s="165">
        <v>581.87448990199493</v>
      </c>
      <c r="AC29" s="165">
        <v>559.60972429797266</v>
      </c>
      <c r="AD29" s="165">
        <v>545.07523466719124</v>
      </c>
      <c r="AE29" s="165">
        <v>533.2471724680945</v>
      </c>
      <c r="AF29" s="165">
        <v>0</v>
      </c>
      <c r="AG29" s="165">
        <v>0</v>
      </c>
      <c r="AH29" s="165">
        <v>0</v>
      </c>
      <c r="AI29" s="165">
        <v>0</v>
      </c>
      <c r="AJ29" s="165">
        <v>0</v>
      </c>
      <c r="AK29" s="165">
        <v>0</v>
      </c>
      <c r="AL29" s="165">
        <v>0</v>
      </c>
      <c r="AM29" s="165">
        <v>0</v>
      </c>
      <c r="AN29" s="165">
        <v>0</v>
      </c>
      <c r="AO29" s="165">
        <v>0</v>
      </c>
      <c r="AP29" s="165">
        <v>0</v>
      </c>
      <c r="AQ29" s="165">
        <v>0</v>
      </c>
      <c r="AR29" s="165">
        <v>0</v>
      </c>
      <c r="AS29" s="165">
        <v>0</v>
      </c>
      <c r="AT29" s="165">
        <v>0</v>
      </c>
      <c r="AU29" s="165">
        <v>0</v>
      </c>
      <c r="AV29" s="165">
        <v>0</v>
      </c>
      <c r="AW29" s="165">
        <v>0</v>
      </c>
      <c r="AX29" s="165">
        <v>0</v>
      </c>
      <c r="AY29" s="165">
        <v>0</v>
      </c>
      <c r="AZ29" s="165">
        <v>0</v>
      </c>
      <c r="BA29" s="165">
        <v>0</v>
      </c>
      <c r="BB29" s="165">
        <v>0</v>
      </c>
      <c r="BC29" s="165">
        <v>0</v>
      </c>
      <c r="BD29" s="165">
        <v>0</v>
      </c>
      <c r="BE29" s="165">
        <v>0</v>
      </c>
      <c r="BF29" s="165">
        <v>0</v>
      </c>
      <c r="BG29" s="165">
        <v>0</v>
      </c>
      <c r="BH29" s="165">
        <v>0</v>
      </c>
      <c r="BI29" s="165">
        <v>0</v>
      </c>
      <c r="BJ29" s="165">
        <v>0</v>
      </c>
      <c r="BK29" s="165">
        <v>0</v>
      </c>
      <c r="BL29" s="165">
        <v>0</v>
      </c>
      <c r="BM29" s="165">
        <v>0</v>
      </c>
      <c r="BN29" s="165">
        <v>0</v>
      </c>
      <c r="BO29" s="165">
        <v>0</v>
      </c>
      <c r="BP29" s="165">
        <v>0</v>
      </c>
      <c r="BQ29" s="165">
        <v>0</v>
      </c>
      <c r="BR29" s="165">
        <v>0</v>
      </c>
      <c r="BS29" s="165">
        <v>0</v>
      </c>
      <c r="BT29" s="165">
        <v>0</v>
      </c>
      <c r="BU29" s="165">
        <v>0</v>
      </c>
      <c r="BV29" s="165">
        <v>0</v>
      </c>
      <c r="BW29" s="165">
        <v>0</v>
      </c>
      <c r="BX29" s="165">
        <v>0</v>
      </c>
      <c r="BY29" s="165">
        <v>0</v>
      </c>
      <c r="BZ29" s="165">
        <v>0</v>
      </c>
      <c r="CA29" s="165">
        <v>0</v>
      </c>
      <c r="CB29" s="165">
        <v>0</v>
      </c>
      <c r="CC29" s="165">
        <v>0</v>
      </c>
      <c r="CD29" s="165">
        <v>0</v>
      </c>
      <c r="CE29" s="165">
        <v>0</v>
      </c>
      <c r="CF29" s="165">
        <v>0</v>
      </c>
      <c r="CG29" s="165">
        <v>0</v>
      </c>
      <c r="CH29" s="165">
        <v>0</v>
      </c>
      <c r="CI29" s="165">
        <v>0</v>
      </c>
      <c r="CJ29" s="165">
        <v>0</v>
      </c>
      <c r="CK29" s="165">
        <v>0</v>
      </c>
      <c r="CL29" s="165">
        <v>0</v>
      </c>
      <c r="CM29" s="165">
        <v>0</v>
      </c>
      <c r="CN29" s="165">
        <v>0</v>
      </c>
      <c r="CO29" s="165">
        <v>0</v>
      </c>
      <c r="CP29" s="165">
        <v>0</v>
      </c>
      <c r="CQ29" s="165">
        <v>0</v>
      </c>
      <c r="CR29" s="247">
        <v>0</v>
      </c>
      <c r="CS29" s="247">
        <v>0</v>
      </c>
      <c r="CT29" s="247">
        <v>0</v>
      </c>
      <c r="CU29" s="247">
        <v>0</v>
      </c>
      <c r="CV29" s="247">
        <v>0</v>
      </c>
      <c r="CW29" s="247">
        <v>0</v>
      </c>
      <c r="CX29" s="247">
        <v>0</v>
      </c>
      <c r="CY29" s="247">
        <v>1</v>
      </c>
      <c r="CZ29" s="247">
        <v>2</v>
      </c>
      <c r="DA29" s="247">
        <v>3</v>
      </c>
      <c r="DB29" s="247">
        <v>4</v>
      </c>
    </row>
    <row r="30" spans="3:106" x14ac:dyDescent="0.3">
      <c r="C30" s="165" t="s">
        <v>293</v>
      </c>
      <c r="D30" s="165" t="s">
        <v>293</v>
      </c>
      <c r="E30" s="165">
        <v>1000</v>
      </c>
      <c r="F30" s="165">
        <v>1021.6</v>
      </c>
      <c r="G30" s="165">
        <v>1043.2</v>
      </c>
      <c r="H30" s="165">
        <v>1069.5</v>
      </c>
      <c r="I30" s="165">
        <v>1089.5</v>
      </c>
      <c r="J30" s="165">
        <v>1109.3</v>
      </c>
      <c r="K30" s="165">
        <v>1132.2</v>
      </c>
      <c r="L30" s="165">
        <v>1153.0999999999999</v>
      </c>
      <c r="M30" s="165">
        <v>1166.8</v>
      </c>
      <c r="N30" s="165">
        <v>1192.2560174247362</v>
      </c>
      <c r="O30" s="165">
        <v>1216.7345117069915</v>
      </c>
      <c r="P30" s="165">
        <v>1241.6114644573483</v>
      </c>
      <c r="Q30" s="165">
        <v>1263.8372484064614</v>
      </c>
      <c r="R30" s="165">
        <v>1291.954121772281</v>
      </c>
      <c r="S30" s="165">
        <v>1320.9733833573141</v>
      </c>
      <c r="T30" s="165">
        <v>1358.9727609702948</v>
      </c>
      <c r="U30" s="165">
        <v>1388.7548449125165</v>
      </c>
      <c r="V30" s="165">
        <v>1414.8695815673807</v>
      </c>
      <c r="W30" s="165">
        <v>1453.2188864900245</v>
      </c>
      <c r="X30" s="165">
        <v>1497.7879970747615</v>
      </c>
      <c r="Y30" s="165">
        <v>1524.6468181743567</v>
      </c>
      <c r="Z30" s="165">
        <v>1565.4806060155393</v>
      </c>
      <c r="AA30" s="165">
        <v>1599.1570667306562</v>
      </c>
      <c r="AB30" s="165">
        <v>1648.0539895661518</v>
      </c>
      <c r="AC30" s="165">
        <v>1687.9621269591769</v>
      </c>
      <c r="AD30" s="165">
        <v>1718.4333644783312</v>
      </c>
      <c r="AE30" s="165">
        <v>1746.2741650195942</v>
      </c>
      <c r="AF30" s="165">
        <v>1774.0047683103246</v>
      </c>
      <c r="AG30" s="165">
        <v>1800.249535371677</v>
      </c>
      <c r="AH30" s="165">
        <v>1834.8159082243142</v>
      </c>
      <c r="AI30" s="165">
        <v>1863.7877106606745</v>
      </c>
      <c r="AJ30" s="165">
        <v>1897.8332894230011</v>
      </c>
      <c r="AK30" s="165">
        <v>1922.9652909559802</v>
      </c>
      <c r="AL30" s="165">
        <v>1966.1930009282819</v>
      </c>
      <c r="AM30" s="165">
        <v>2007.5013773011312</v>
      </c>
      <c r="AN30" s="165">
        <v>2044.6291622782524</v>
      </c>
      <c r="AO30" s="165">
        <v>2079.9893547158995</v>
      </c>
      <c r="AP30" s="165">
        <v>2139.4003221570006</v>
      </c>
      <c r="AQ30" s="165">
        <v>2172.819355585284</v>
      </c>
      <c r="AR30" s="165">
        <v>2197.4953826670535</v>
      </c>
      <c r="AS30" s="165">
        <v>2222.2456738611081</v>
      </c>
      <c r="AT30" s="165">
        <v>2265.3034547996785</v>
      </c>
      <c r="AU30" s="165">
        <v>2334.4589568921333</v>
      </c>
      <c r="AV30" s="165">
        <v>2394.9644550933554</v>
      </c>
      <c r="AW30" s="165">
        <v>2446.3698492065882</v>
      </c>
      <c r="AX30" s="165">
        <v>2513.3216167262212</v>
      </c>
      <c r="AY30" s="165">
        <v>2555.7743025017589</v>
      </c>
      <c r="AZ30" s="165">
        <v>2604.1128840754945</v>
      </c>
      <c r="BA30" s="165">
        <v>2645.6507721456901</v>
      </c>
      <c r="BB30" s="165">
        <v>2674.1393759942057</v>
      </c>
      <c r="BC30" s="165">
        <v>2717.2034546584582</v>
      </c>
      <c r="BD30" s="165">
        <v>2763.8581940652193</v>
      </c>
      <c r="BE30" s="165">
        <v>2817.3303781167069</v>
      </c>
      <c r="BF30" s="165">
        <v>2866.7303087889823</v>
      </c>
      <c r="BG30" s="165">
        <v>2887.6698391258487</v>
      </c>
      <c r="BH30" s="165">
        <v>2930.3087344573064</v>
      </c>
      <c r="BI30" s="165">
        <v>2976.3579248697365</v>
      </c>
      <c r="BJ30" s="165">
        <v>3015.2026651013389</v>
      </c>
      <c r="BK30" s="165">
        <v>3046.222629626142</v>
      </c>
      <c r="BL30" s="165">
        <v>3078.0852955336341</v>
      </c>
      <c r="BM30" s="165">
        <f ca="1">VLOOKUP($D30,Index_CALCULATION!$B$14:$DD$41,BM$2,0)</f>
        <v>2597.4500142475131</v>
      </c>
      <c r="BN30" s="165">
        <f ca="1">VLOOKUP($D30,Index_CALCULATION!$B$14:$DD$41,BN$2,0)</f>
        <v>2606.9666512575968</v>
      </c>
      <c r="BO30" s="165">
        <f ca="1">VLOOKUP($D30,Index_CALCULATION!$B$14:$DD$41,BO$2,0)</f>
        <v>2612.354335523873</v>
      </c>
      <c r="BP30" s="165">
        <f ca="1">VLOOKUP($D30,Index_CALCULATION!$B$14:$DD$41,BP$2,0)</f>
        <v>2625.3582849659269</v>
      </c>
      <c r="BQ30" s="165">
        <f ca="1">VLOOKUP($D30,Index_CALCULATION!$B$14:$DD$41,BQ$2,0)</f>
        <v>2642.7976339607558</v>
      </c>
      <c r="BR30" s="165">
        <f ca="1">VLOOKUP($D30,Index_CALCULATION!$B$14:$DD$41,BR$2,0)</f>
        <v>2647.9280329994463</v>
      </c>
      <c r="BS30" s="165">
        <f ca="1">VLOOKUP($D30,Index_CALCULATION!$B$14:$DD$41,BS$2,0)</f>
        <v>2654.3550396368601</v>
      </c>
      <c r="BT30" s="165">
        <f ca="1">VLOOKUP($D30,Index_CALCULATION!$B$14:$DD$41,BT$2,0)</f>
        <v>2673.6690423347254</v>
      </c>
      <c r="BU30" s="165">
        <f ca="1">VLOOKUP($D30,Index_CALCULATION!$B$14:$DD$41,BU$2,0)</f>
        <v>2679.9674352849156</v>
      </c>
      <c r="BV30" s="165">
        <f ca="1">VLOOKUP($D30,Index_CALCULATION!$B$14:$DD$41,BV$2,0)</f>
        <v>2679.9674352849156</v>
      </c>
      <c r="BW30" s="165">
        <f ca="1">VLOOKUP($D30,Index_CALCULATION!$B$14:$DD$41,BW$2,0)</f>
        <v>2689.6674102611514</v>
      </c>
      <c r="BX30" s="165">
        <f ca="1">VLOOKUP($D30,Index_CALCULATION!$B$14:$DD$41,BX$2,0)</f>
        <v>2688.973392096957</v>
      </c>
      <c r="BY30" s="165">
        <f ca="1">VLOOKUP($D30,Index_CALCULATION!$B$14:$DD$41,BY$2,0)</f>
        <v>2676.8109683758216</v>
      </c>
      <c r="BZ30" s="165">
        <f ca="1">VLOOKUP($D30,Index_CALCULATION!$B$14:$DD$41,BZ$2,0)</f>
        <v>2679.5755547229032</v>
      </c>
      <c r="CA30" s="165">
        <f ca="1">VLOOKUP($D30,Index_CALCULATION!$B$14:$DD$41,CA$2,0)</f>
        <v>2694.1365454214911</v>
      </c>
      <c r="CB30" s="165">
        <f ca="1">VLOOKUP($D30,Index_CALCULATION!$B$14:$DD$41,CB$2,0)</f>
        <v>2697.0118242793792</v>
      </c>
      <c r="CC30" s="165">
        <f ca="1">VLOOKUP($D30,Index_CALCULATION!$B$14:$DD$41,CC$2,0)</f>
        <v>2706.1556374086172</v>
      </c>
      <c r="CD30" s="165">
        <f ca="1">VLOOKUP($D30,Index_CALCULATION!$B$14:$DD$41,CD$2,0)</f>
        <v>2706.7924548282954</v>
      </c>
      <c r="CE30" s="165">
        <f ca="1">VLOOKUP($D30,Index_CALCULATION!$B$14:$DD$41,CE$2,0)</f>
        <v>2691.1983026878206</v>
      </c>
      <c r="CF30" s="165">
        <f ca="1">VLOOKUP($D30,Index_CALCULATION!$B$14:$DD$41,CF$2,0)</f>
        <v>2692.7365697523746</v>
      </c>
      <c r="CG30" s="165">
        <f ca="1">VLOOKUP($D30,Index_CALCULATION!$B$14:$DD$41,CG$2,0)</f>
        <v>2703.1562118276292</v>
      </c>
      <c r="CH30" s="165">
        <f ca="1">VLOOKUP($D30,Index_CALCULATION!$B$14:$DD$41,CH$2,0)</f>
        <v>2699.8312968573823</v>
      </c>
      <c r="CI30" s="165">
        <f ca="1">VLOOKUP($D30,Index_CALCULATION!$B$14:$DD$41,CI$2,0)</f>
        <v>2701.3744984711984</v>
      </c>
      <c r="CJ30" s="165">
        <f ca="1">VLOOKUP($D30,Index_CALCULATION!$B$14:$DD$41,CJ$2,0)</f>
        <v>2703.1039315097614</v>
      </c>
      <c r="CK30" s="165">
        <f ca="1">VLOOKUP($D30,Index_CALCULATION!$B$14:$DD$41,CK$2,0)</f>
        <v>2710.3218282454964</v>
      </c>
      <c r="CL30" s="165">
        <f ca="1">VLOOKUP($D30,Index_CALCULATION!$B$14:$DD$41,CL$2,0)</f>
        <v>2727.1284391866229</v>
      </c>
      <c r="CM30" s="165">
        <f ca="1">VLOOKUP($D30,Index_CALCULATION!$B$14:$DD$41,CM$2,0)</f>
        <v>2741.4598792115489</v>
      </c>
      <c r="CN30" s="165">
        <f ca="1">VLOOKUP($D30,Index_CALCULATION!$B$14:$DD$41,CN$2,0)</f>
        <v>2742.3738514915367</v>
      </c>
      <c r="CO30" s="165">
        <f ca="1">VLOOKUP($D30,Index_CALCULATION!$B$14:$DD$41,CO$2,0)</f>
        <v>2749.4033224351347</v>
      </c>
      <c r="CP30" s="165">
        <f ca="1">VLOOKUP($D30,Index_CALCULATION!$B$14:$DD$41,CP$2,0)</f>
        <v>2748.557482318</v>
      </c>
      <c r="CQ30" s="165">
        <f ca="1">VLOOKUP($D30,Index_CALCULATION!$B$14:$DD$41,CQ$2,0)</f>
        <v>2760.0536976556182</v>
      </c>
      <c r="CR30" s="247">
        <f ca="1">VLOOKUP($D30,Index_CALCULATION!$B$14:$DD$41,CR$2,0)</f>
        <v>2768.6539025413572</v>
      </c>
      <c r="CS30" s="247">
        <f ca="1">VLOOKUP($D30,Index_CALCULATION!$B$14:$DD$41,CS$2,0)</f>
        <v>2772.3479031979246</v>
      </c>
      <c r="CT30" s="247">
        <f ca="1">VLOOKUP($D30,Index_CALCULATION!$B$14:$FP$41,CT$2,0)</f>
        <v>2774.277164013065</v>
      </c>
      <c r="CU30" s="247">
        <f ca="1">VLOOKUP($D30,Index_CALCULATION!$B$14:$FP$41,CU$2,0)</f>
        <v>2783.1690704003677</v>
      </c>
      <c r="CV30" s="247">
        <f ca="1">VLOOKUP($D30,Index_CALCULATION!$B$14:$FP$41,CV$2,0)</f>
        <v>2769.4198307463785</v>
      </c>
      <c r="CW30" s="247">
        <f ca="1">VLOOKUP($D30,Index_CALCULATION!$B$14:$FP$41,CW$2,0)</f>
        <v>2759.9409358604985</v>
      </c>
      <c r="CX30" s="247">
        <f ca="1">VLOOKUP($D30,Index_CALCULATION!$B$14:$FP$41,CX$2,0)</f>
        <v>2767.3106002080485</v>
      </c>
      <c r="CY30" s="247">
        <f ca="1">VLOOKUP($D30,Index_CALCULATION!$B$14:$FP$41,CY$2,0)</f>
        <v>2763.0564725296367</v>
      </c>
      <c r="CZ30" s="247">
        <f ca="1">VLOOKUP($D30,Index_CALCULATION!$B$14:$FP$41,CZ$2,0)</f>
        <v>2766.407662504198</v>
      </c>
      <c r="DA30" s="247">
        <f ca="1">VLOOKUP($D30,Index_CALCULATION!$B$14:$FP$41,DA$2,0)</f>
        <v>2757.7268867864263</v>
      </c>
      <c r="DB30" s="247">
        <f ca="1">VLOOKUP($D30,Index_CALCULATION!$B$14:$FP$41,DB$2,0)</f>
        <v>2754.786879723044</v>
      </c>
    </row>
    <row r="31" spans="3:106" x14ac:dyDescent="0.3">
      <c r="D31" s="165" t="s">
        <v>108</v>
      </c>
      <c r="F31" s="34">
        <f>LN(F30)-LN(E30)</f>
        <v>2.1370025736192844E-2</v>
      </c>
      <c r="G31" s="34">
        <f t="shared" ref="G31:BJ31" si="1">LN(G30)-LN(F30)</f>
        <v>2.0922886454059153E-2</v>
      </c>
      <c r="H31" s="34">
        <f t="shared" si="1"/>
        <v>2.4898337350071742E-2</v>
      </c>
      <c r="I31" s="34">
        <f t="shared" si="1"/>
        <v>1.8527625862214236E-2</v>
      </c>
      <c r="J31" s="34">
        <f t="shared" si="1"/>
        <v>1.8010310359938941E-2</v>
      </c>
      <c r="K31" s="34">
        <f t="shared" si="1"/>
        <v>2.0433456857945842E-2</v>
      </c>
      <c r="L31" s="34">
        <f t="shared" si="1"/>
        <v>1.8291325174510931E-2</v>
      </c>
      <c r="M31" s="34">
        <f t="shared" si="1"/>
        <v>1.1810991216496092E-2</v>
      </c>
      <c r="N31" s="34">
        <f t="shared" si="1"/>
        <v>2.1582366288605215E-2</v>
      </c>
      <c r="O31" s="34">
        <f t="shared" si="1"/>
        <v>2.0323315118397467E-2</v>
      </c>
      <c r="P31" s="34">
        <f t="shared" si="1"/>
        <v>2.0239463601532393E-2</v>
      </c>
      <c r="Q31" s="34">
        <f t="shared" si="1"/>
        <v>1.774242424242356E-2</v>
      </c>
      <c r="R31" s="34">
        <f t="shared" si="1"/>
        <v>2.2003367003367025E-2</v>
      </c>
      <c r="S31" s="34">
        <f t="shared" si="1"/>
        <v>2.2212981212482497E-2</v>
      </c>
      <c r="T31" s="34">
        <f t="shared" si="1"/>
        <v>2.8360215053763405E-2</v>
      </c>
      <c r="U31" s="34">
        <f t="shared" si="1"/>
        <v>2.1678459119496729E-2</v>
      </c>
      <c r="V31" s="34">
        <f t="shared" si="1"/>
        <v>1.8629807692307487E-2</v>
      </c>
      <c r="W31" s="34">
        <f t="shared" si="1"/>
        <v>2.6743659420290555E-2</v>
      </c>
      <c r="X31" s="34">
        <f t="shared" si="1"/>
        <v>3.0208333333333393E-2</v>
      </c>
      <c r="Y31" s="34">
        <f t="shared" si="1"/>
        <v>1.7773437499999822E-2</v>
      </c>
      <c r="Z31" s="34">
        <f t="shared" si="1"/>
        <v>2.6430084745762805E-2</v>
      </c>
      <c r="AA31" s="34">
        <f t="shared" si="1"/>
        <v>2.128378378378315E-2</v>
      </c>
      <c r="AB31" s="34">
        <f t="shared" si="1"/>
        <v>3.0118534482759252E-2</v>
      </c>
      <c r="AC31" s="34">
        <f t="shared" si="1"/>
        <v>2.3926767676766936E-2</v>
      </c>
      <c r="AD31" s="34">
        <f t="shared" si="1"/>
        <v>1.7891081871344916E-2</v>
      </c>
      <c r="AE31" s="34">
        <f t="shared" si="1"/>
        <v>1.607142857142918E-2</v>
      </c>
      <c r="AF31" s="34">
        <f t="shared" si="1"/>
        <v>1.5755102040816205E-2</v>
      </c>
      <c r="AG31" s="34">
        <f t="shared" si="1"/>
        <v>1.4685714285714191E-2</v>
      </c>
      <c r="AH31" s="34">
        <f t="shared" si="1"/>
        <v>1.9018867924527783E-2</v>
      </c>
      <c r="AI31" s="34">
        <f t="shared" si="1"/>
        <v>1.5666666666667162E-2</v>
      </c>
      <c r="AJ31" s="34">
        <f t="shared" si="1"/>
        <v>1.8102040816326159E-2</v>
      </c>
      <c r="AK31" s="34">
        <f t="shared" si="1"/>
        <v>1.3155555555555587E-2</v>
      </c>
      <c r="AL31" s="34">
        <f t="shared" si="1"/>
        <v>2.2230769230769276E-2</v>
      </c>
      <c r="AM31" s="34">
        <f t="shared" si="1"/>
        <v>2.0791666666666764E-2</v>
      </c>
      <c r="AN31" s="34">
        <f t="shared" si="1"/>
        <v>1.8325581395348678E-2</v>
      </c>
      <c r="AO31" s="34">
        <f t="shared" si="1"/>
        <v>1.7146341463414316E-2</v>
      </c>
      <c r="AP31" s="34">
        <f t="shared" si="1"/>
        <v>2.8162790697674467E-2</v>
      </c>
      <c r="AQ31" s="34">
        <f t="shared" si="1"/>
        <v>1.5500000000000291E-2</v>
      </c>
      <c r="AR31" s="34">
        <f t="shared" si="1"/>
        <v>1.1292682926828945E-2</v>
      </c>
      <c r="AS31" s="34">
        <f t="shared" si="1"/>
        <v>1.1199999999999655E-2</v>
      </c>
      <c r="AT31" s="34">
        <f t="shared" si="1"/>
        <v>1.9190476190476424E-2</v>
      </c>
      <c r="AU31" s="34">
        <f t="shared" si="1"/>
        <v>3.0071428571428527E-2</v>
      </c>
      <c r="AV31" s="34">
        <f t="shared" si="1"/>
        <v>2.5588235294118356E-2</v>
      </c>
      <c r="AW31" s="34">
        <f t="shared" si="1"/>
        <v>2.1236842105262888E-2</v>
      </c>
      <c r="AX31" s="34">
        <f t="shared" si="1"/>
        <v>2.7000000000000135E-2</v>
      </c>
      <c r="AY31" s="34">
        <f t="shared" si="1"/>
        <v>1.6750000000000043E-2</v>
      </c>
      <c r="AZ31" s="34">
        <f t="shared" si="1"/>
        <v>1.8736842105262497E-2</v>
      </c>
      <c r="BA31" s="34">
        <f t="shared" si="1"/>
        <v>1.5825000000000422E-2</v>
      </c>
      <c r="BB31" s="34">
        <f t="shared" si="1"/>
        <v>1.0710526315789615E-2</v>
      </c>
      <c r="BC31" s="34">
        <f t="shared" si="1"/>
        <v>1.5975609756097242E-2</v>
      </c>
      <c r="BD31" s="34">
        <f t="shared" si="1"/>
        <v>1.7024390243902232E-2</v>
      </c>
      <c r="BE31" s="34">
        <f t="shared" si="1"/>
        <v>1.9162162162162488E-2</v>
      </c>
      <c r="BF31" s="34">
        <f t="shared" si="1"/>
        <v>1.7382352941176293E-2</v>
      </c>
      <c r="BG31" s="34">
        <f t="shared" si="1"/>
        <v>7.2777777777783825E-3</v>
      </c>
      <c r="BH31" s="34">
        <f t="shared" si="1"/>
        <v>1.4657894736841648E-2</v>
      </c>
      <c r="BI31" s="34">
        <f t="shared" si="1"/>
        <v>1.5592592592592602E-2</v>
      </c>
      <c r="BJ31" s="34">
        <f t="shared" si="1"/>
        <v>1.2966666666667237E-2</v>
      </c>
      <c r="BK31" s="34">
        <v>1.0235294117647342E-2</v>
      </c>
      <c r="BL31" s="34">
        <v>1.0405405405403911E-2</v>
      </c>
      <c r="BM31" s="34">
        <f t="shared" ref="BM31:DB31" ca="1" si="2">LN(BM30/BL30)</f>
        <v>-0.16977754636917786</v>
      </c>
      <c r="BN31" s="34">
        <f t="shared" ca="1" si="2"/>
        <v>3.6571428571428215E-3</v>
      </c>
      <c r="BO31" s="34">
        <f t="shared" ca="1" si="2"/>
        <v>2.0645161290323405E-3</v>
      </c>
      <c r="BP31" s="34">
        <f t="shared" ca="1" si="2"/>
        <v>4.9655172413793367E-3</v>
      </c>
      <c r="BQ31" s="34">
        <f t="shared" ca="1" si="2"/>
        <v>6.6206896551724674E-3</v>
      </c>
      <c r="BR31" s="34">
        <f t="shared" ca="1" si="2"/>
        <v>1.9393939393939253E-3</v>
      </c>
      <c r="BS31" s="34">
        <f t="shared" ca="1" si="2"/>
        <v>2.4242424242424242E-3</v>
      </c>
      <c r="BT31" s="34">
        <f t="shared" ca="1" si="2"/>
        <v>7.2500000000000021E-3</v>
      </c>
      <c r="BU31" s="34">
        <f t="shared" ca="1" si="2"/>
        <v>2.3529411764704948E-3</v>
      </c>
      <c r="BV31" s="34">
        <f t="shared" ca="1" si="2"/>
        <v>0</v>
      </c>
      <c r="BW31" s="34">
        <f t="shared" ca="1" si="2"/>
        <v>3.6129032258063625E-3</v>
      </c>
      <c r="BX31" s="34">
        <f t="shared" ca="1" si="2"/>
        <v>-2.580645161289831E-4</v>
      </c>
      <c r="BY31" s="34">
        <f t="shared" ca="1" si="2"/>
        <v>-4.5333333333333527E-3</v>
      </c>
      <c r="BZ31" s="34">
        <f t="shared" ca="1" si="2"/>
        <v>1.0322580645160931E-3</v>
      </c>
      <c r="CA31" s="34">
        <f t="shared" ca="1" si="2"/>
        <v>5.4193548387097253E-3</v>
      </c>
      <c r="CB31" s="34">
        <f t="shared" ca="1" si="2"/>
        <v>1.0666666666667021E-3</v>
      </c>
      <c r="CC31" s="34">
        <f t="shared" ca="1" si="2"/>
        <v>3.3846153846154086E-3</v>
      </c>
      <c r="CD31" s="34">
        <f t="shared" ca="1" si="2"/>
        <v>2.3529411764708884E-4</v>
      </c>
      <c r="CE31" s="34">
        <f t="shared" ca="1" si="2"/>
        <v>-5.7777777777777983E-3</v>
      </c>
      <c r="CF31" s="34">
        <f t="shared" ca="1" si="2"/>
        <v>5.714285714285654E-4</v>
      </c>
      <c r="CG31" s="34">
        <f t="shared" ca="1" si="2"/>
        <v>3.8620689655171343E-3</v>
      </c>
      <c r="CH31" s="34">
        <f t="shared" ca="1" si="2"/>
        <v>-1.2307692307692054E-3</v>
      </c>
      <c r="CI31" s="34">
        <f t="shared" ca="1" si="2"/>
        <v>5.714285714285654E-4</v>
      </c>
      <c r="CJ31" s="34">
        <f t="shared" ca="1" si="2"/>
        <v>6.4000000000009774E-4</v>
      </c>
      <c r="CK31" s="34">
        <f t="shared" ca="1" si="2"/>
        <v>2.666666666666585E-3</v>
      </c>
      <c r="CL31" s="34">
        <f t="shared" ca="1" si="2"/>
        <v>6.181818181818185E-3</v>
      </c>
      <c r="CM31" s="34">
        <f t="shared" ca="1" si="2"/>
        <v>5.2413793103447204E-3</v>
      </c>
      <c r="CN31" s="34">
        <f t="shared" ca="1" si="2"/>
        <v>3.3333333333338254E-4</v>
      </c>
      <c r="CO31" s="34">
        <f t="shared" ca="1" si="2"/>
        <v>2.5599999999999204E-3</v>
      </c>
      <c r="CP31" s="34">
        <f t="shared" ca="1" si="2"/>
        <v>-3.0769230769229149E-4</v>
      </c>
      <c r="CQ31" s="34">
        <f t="shared" ca="1" si="2"/>
        <v>4.1739130434781989E-3</v>
      </c>
      <c r="CR31" s="34">
        <f t="shared" ca="1" si="2"/>
        <v>3.1111111111110589E-3</v>
      </c>
      <c r="CS31" s="34">
        <f t="shared" ca="1" si="2"/>
        <v>1.3333333333334415E-3</v>
      </c>
      <c r="CT31" s="34">
        <f t="shared" ca="1" si="2"/>
        <v>6.9565217391311899E-4</v>
      </c>
      <c r="CU31" s="34">
        <f t="shared" ca="1" si="2"/>
        <v>3.2000000000000852E-3</v>
      </c>
      <c r="CV31" s="34">
        <f t="shared" ca="1" si="2"/>
        <v>-4.9523809523809208E-3</v>
      </c>
      <c r="CW31" s="34">
        <f t="shared" ca="1" si="2"/>
        <v>-3.428571428571526E-3</v>
      </c>
      <c r="CX31" s="34">
        <f t="shared" ca="1" si="2"/>
        <v>2.666666666666585E-3</v>
      </c>
      <c r="CY31" s="34">
        <f t="shared" ca="1" si="2"/>
        <v>-1.5384615384613873E-3</v>
      </c>
      <c r="CZ31" s="34">
        <f t="shared" ca="1" si="2"/>
        <v>1.2121212121212911E-3</v>
      </c>
      <c r="DA31" s="34">
        <f t="shared" ca="1" si="2"/>
        <v>-3.1428571428571217E-3</v>
      </c>
      <c r="DB31" s="34">
        <f t="shared" ca="1" si="2"/>
        <v>-1.0666666666667845E-3</v>
      </c>
    </row>
    <row r="32" spans="3:106" x14ac:dyDescent="0.3">
      <c r="D32" s="165" t="s">
        <v>2546</v>
      </c>
      <c r="E32" s="96">
        <f ca="1">AVERAGE(F31:DX31)</f>
        <v>1.0033070118617149E-2</v>
      </c>
      <c r="CR32" s="247"/>
      <c r="CS32" s="247"/>
      <c r="CT32" s="247"/>
      <c r="CV32" s="247"/>
      <c r="CX32" s="247"/>
      <c r="CY32" s="247"/>
      <c r="CZ32" s="247"/>
      <c r="DB32" s="247"/>
    </row>
    <row r="33" spans="3:106" x14ac:dyDescent="0.3">
      <c r="G33" s="210">
        <f ca="1">MIN(31:31)</f>
        <v>-0.16977754636917786</v>
      </c>
      <c r="H33" s="165">
        <f ca="1">MATCH(G33,31:31,0)</f>
        <v>65</v>
      </c>
      <c r="I33" s="165">
        <f ca="1">OFFSET(C3,0,H33)</f>
        <v>41089</v>
      </c>
      <c r="CR33" s="247"/>
      <c r="CS33" s="247"/>
      <c r="CT33" s="247"/>
      <c r="CV33" s="247"/>
      <c r="CX33" s="247"/>
      <c r="CY33" s="247"/>
      <c r="CZ33" s="247"/>
      <c r="DB33" s="247"/>
    </row>
    <row r="34" spans="3:106" x14ac:dyDescent="0.3">
      <c r="G34" s="210">
        <f ca="1">MAX(31:31)</f>
        <v>3.0208333333333393E-2</v>
      </c>
      <c r="H34" s="165">
        <f ca="1">MATCH(G34,31:31,0)</f>
        <v>24</v>
      </c>
      <c r="I34" s="165">
        <f ca="1">OFFSET(C3,0,H34)</f>
        <v>39843</v>
      </c>
      <c r="CR34" s="247"/>
      <c r="CS34" s="247"/>
      <c r="CT34" s="247"/>
      <c r="CV34" s="247"/>
      <c r="CX34" s="247"/>
      <c r="CY34" s="247"/>
      <c r="CZ34" s="247"/>
      <c r="DB34" s="247"/>
    </row>
    <row r="35" spans="3:106" x14ac:dyDescent="0.3">
      <c r="G35" s="210"/>
      <c r="CR35" s="247"/>
      <c r="CS35" s="247"/>
      <c r="CT35" s="247"/>
      <c r="CV35" s="247"/>
      <c r="CX35" s="247"/>
      <c r="CY35" s="247"/>
      <c r="CZ35" s="247"/>
      <c r="DB35" s="247"/>
    </row>
    <row r="36" spans="3:106" x14ac:dyDescent="0.3">
      <c r="C36" s="171" t="s">
        <v>108</v>
      </c>
      <c r="F36" s="157">
        <f>F3</f>
        <v>39201</v>
      </c>
      <c r="G36" s="157">
        <f t="shared" ref="G36:BR36" si="3">G3</f>
        <v>39232</v>
      </c>
      <c r="H36" s="157">
        <f t="shared" si="3"/>
        <v>39262</v>
      </c>
      <c r="I36" s="157">
        <f t="shared" si="3"/>
        <v>39293</v>
      </c>
      <c r="J36" s="157">
        <f t="shared" si="3"/>
        <v>39324</v>
      </c>
      <c r="K36" s="157">
        <f t="shared" si="3"/>
        <v>39354</v>
      </c>
      <c r="L36" s="157">
        <f t="shared" si="3"/>
        <v>39385</v>
      </c>
      <c r="M36" s="157">
        <f t="shared" si="3"/>
        <v>39415</v>
      </c>
      <c r="N36" s="157">
        <f t="shared" si="3"/>
        <v>39446</v>
      </c>
      <c r="O36" s="157">
        <f t="shared" si="3"/>
        <v>39477</v>
      </c>
      <c r="P36" s="157">
        <f t="shared" si="3"/>
        <v>39506</v>
      </c>
      <c r="Q36" s="157">
        <f t="shared" si="3"/>
        <v>39537</v>
      </c>
      <c r="R36" s="157">
        <f t="shared" si="3"/>
        <v>39567</v>
      </c>
      <c r="S36" s="157">
        <f t="shared" si="3"/>
        <v>39598</v>
      </c>
      <c r="T36" s="157">
        <f t="shared" si="3"/>
        <v>39628</v>
      </c>
      <c r="U36" s="157">
        <f t="shared" si="3"/>
        <v>39659</v>
      </c>
      <c r="V36" s="157">
        <f t="shared" si="3"/>
        <v>39690</v>
      </c>
      <c r="W36" s="157">
        <f t="shared" si="3"/>
        <v>39720</v>
      </c>
      <c r="X36" s="157">
        <f t="shared" si="3"/>
        <v>39751</v>
      </c>
      <c r="Y36" s="157">
        <f t="shared" si="3"/>
        <v>39781</v>
      </c>
      <c r="Z36" s="157">
        <f t="shared" si="3"/>
        <v>39812</v>
      </c>
      <c r="AA36" s="157">
        <f t="shared" si="3"/>
        <v>39843</v>
      </c>
      <c r="AB36" s="157">
        <f t="shared" si="3"/>
        <v>39871</v>
      </c>
      <c r="AC36" s="157">
        <f t="shared" si="3"/>
        <v>39902</v>
      </c>
      <c r="AD36" s="157">
        <f t="shared" si="3"/>
        <v>39932</v>
      </c>
      <c r="AE36" s="157">
        <f t="shared" si="3"/>
        <v>39963</v>
      </c>
      <c r="AF36" s="157">
        <f t="shared" si="3"/>
        <v>39993</v>
      </c>
      <c r="AG36" s="157">
        <f t="shared" si="3"/>
        <v>40024</v>
      </c>
      <c r="AH36" s="157">
        <f t="shared" si="3"/>
        <v>40055</v>
      </c>
      <c r="AI36" s="157">
        <f t="shared" si="3"/>
        <v>40085</v>
      </c>
      <c r="AJ36" s="157">
        <f t="shared" si="3"/>
        <v>40116</v>
      </c>
      <c r="AK36" s="157">
        <f t="shared" si="3"/>
        <v>40146</v>
      </c>
      <c r="AL36" s="157">
        <f t="shared" si="3"/>
        <v>40177</v>
      </c>
      <c r="AM36" s="157">
        <f t="shared" si="3"/>
        <v>40208</v>
      </c>
      <c r="AN36" s="157">
        <f t="shared" si="3"/>
        <v>40236</v>
      </c>
      <c r="AO36" s="157">
        <f t="shared" si="3"/>
        <v>40267</v>
      </c>
      <c r="AP36" s="157">
        <f t="shared" si="3"/>
        <v>40297</v>
      </c>
      <c r="AQ36" s="157">
        <f t="shared" si="3"/>
        <v>40328</v>
      </c>
      <c r="AR36" s="157">
        <f t="shared" si="3"/>
        <v>40358</v>
      </c>
      <c r="AS36" s="157">
        <f t="shared" si="3"/>
        <v>40389</v>
      </c>
      <c r="AT36" s="157">
        <f t="shared" si="3"/>
        <v>40420</v>
      </c>
      <c r="AU36" s="157">
        <f t="shared" si="3"/>
        <v>40450</v>
      </c>
      <c r="AV36" s="157">
        <f t="shared" si="3"/>
        <v>40481</v>
      </c>
      <c r="AW36" s="157">
        <f t="shared" si="3"/>
        <v>40511</v>
      </c>
      <c r="AX36" s="157">
        <f t="shared" si="3"/>
        <v>40542</v>
      </c>
      <c r="AY36" s="157">
        <f t="shared" si="3"/>
        <v>40573</v>
      </c>
      <c r="AZ36" s="157">
        <f t="shared" si="3"/>
        <v>40601</v>
      </c>
      <c r="BA36" s="157">
        <f t="shared" si="3"/>
        <v>40632</v>
      </c>
      <c r="BB36" s="157">
        <f t="shared" si="3"/>
        <v>40662</v>
      </c>
      <c r="BC36" s="157">
        <f t="shared" si="3"/>
        <v>40693</v>
      </c>
      <c r="BD36" s="157">
        <f t="shared" si="3"/>
        <v>40723</v>
      </c>
      <c r="BE36" s="157">
        <f t="shared" si="3"/>
        <v>40754</v>
      </c>
      <c r="BF36" s="157">
        <f t="shared" si="3"/>
        <v>40785</v>
      </c>
      <c r="BG36" s="157">
        <f t="shared" si="3"/>
        <v>40815</v>
      </c>
      <c r="BH36" s="157">
        <f t="shared" si="3"/>
        <v>40846</v>
      </c>
      <c r="BI36" s="157">
        <f t="shared" si="3"/>
        <v>40876</v>
      </c>
      <c r="BJ36" s="157">
        <f t="shared" si="3"/>
        <v>40907</v>
      </c>
      <c r="BK36" s="157">
        <f t="shared" si="3"/>
        <v>40938</v>
      </c>
      <c r="BL36" s="157">
        <f t="shared" si="3"/>
        <v>40967</v>
      </c>
      <c r="BM36" s="157">
        <f t="shared" si="3"/>
        <v>40998</v>
      </c>
      <c r="BN36" s="157">
        <f t="shared" si="3"/>
        <v>41028</v>
      </c>
      <c r="BO36" s="157">
        <f t="shared" si="3"/>
        <v>41059</v>
      </c>
      <c r="BP36" s="157">
        <f t="shared" si="3"/>
        <v>41089</v>
      </c>
      <c r="BQ36" s="157">
        <f t="shared" si="3"/>
        <v>41120</v>
      </c>
      <c r="BR36" s="157">
        <f t="shared" si="3"/>
        <v>41151</v>
      </c>
      <c r="BS36" s="157">
        <f t="shared" ref="BS36:CB36" si="4">BS3</f>
        <v>41181</v>
      </c>
      <c r="BT36" s="157">
        <f t="shared" si="4"/>
        <v>41212</v>
      </c>
      <c r="BU36" s="157">
        <f t="shared" si="4"/>
        <v>41242</v>
      </c>
      <c r="BV36" s="157">
        <f t="shared" si="4"/>
        <v>41273</v>
      </c>
      <c r="BW36" s="157">
        <f t="shared" si="4"/>
        <v>41304</v>
      </c>
      <c r="BX36" s="157">
        <f t="shared" si="4"/>
        <v>41332</v>
      </c>
      <c r="BY36" s="157">
        <f t="shared" si="4"/>
        <v>41363</v>
      </c>
      <c r="BZ36" s="157">
        <f t="shared" si="4"/>
        <v>41393</v>
      </c>
      <c r="CA36" s="157">
        <f t="shared" si="4"/>
        <v>41424</v>
      </c>
      <c r="CB36" s="157">
        <f t="shared" si="4"/>
        <v>41454</v>
      </c>
      <c r="CC36" s="157">
        <f>CC3</f>
        <v>41485</v>
      </c>
      <c r="CD36" s="157">
        <f>CD3</f>
        <v>41516</v>
      </c>
      <c r="CE36" s="157">
        <f>CE3</f>
        <v>41546</v>
      </c>
      <c r="CF36" s="157">
        <f>CF3</f>
        <v>41577</v>
      </c>
      <c r="CG36" s="157">
        <v>41607</v>
      </c>
      <c r="CH36" s="157">
        <v>41638</v>
      </c>
      <c r="CI36" s="157">
        <f t="shared" ref="CI36:CN36" si="5">CI3</f>
        <v>41669</v>
      </c>
      <c r="CJ36" s="157">
        <f t="shared" si="5"/>
        <v>41697</v>
      </c>
      <c r="CK36" s="157">
        <f t="shared" si="5"/>
        <v>41728</v>
      </c>
      <c r="CL36" s="157">
        <f t="shared" si="5"/>
        <v>41758</v>
      </c>
      <c r="CM36" s="157">
        <f t="shared" si="5"/>
        <v>41789</v>
      </c>
      <c r="CN36" s="157">
        <f t="shared" si="5"/>
        <v>41819</v>
      </c>
      <c r="CO36" s="157">
        <f t="shared" ref="CO36:CT36" si="6">CO3</f>
        <v>41850</v>
      </c>
      <c r="CP36" s="157">
        <f t="shared" si="6"/>
        <v>41881</v>
      </c>
      <c r="CQ36" s="157">
        <f t="shared" si="6"/>
        <v>41911</v>
      </c>
      <c r="CR36" s="157">
        <f t="shared" si="6"/>
        <v>41942</v>
      </c>
      <c r="CS36" s="157">
        <f t="shared" si="6"/>
        <v>41972</v>
      </c>
      <c r="CT36" s="157">
        <f t="shared" si="6"/>
        <v>42003</v>
      </c>
      <c r="CU36" s="157">
        <f t="shared" ref="CU36:CV36" si="7">CU3</f>
        <v>42034</v>
      </c>
      <c r="CV36" s="157">
        <f t="shared" si="7"/>
        <v>42062</v>
      </c>
      <c r="CW36" s="157">
        <f t="shared" ref="CW36" si="8">CW3</f>
        <v>42093</v>
      </c>
      <c r="CX36" s="157">
        <f t="shared" ref="CX36:CY36" si="9">CX3</f>
        <v>42123</v>
      </c>
      <c r="CY36" s="157">
        <f t="shared" si="9"/>
        <v>42154</v>
      </c>
      <c r="CZ36" s="157">
        <f t="shared" ref="CZ36:DA36" si="10">CZ3</f>
        <v>42184</v>
      </c>
      <c r="DA36" s="157">
        <f t="shared" si="10"/>
        <v>42215</v>
      </c>
      <c r="DB36" s="157">
        <f t="shared" ref="DB36" si="11">DB3</f>
        <v>42246</v>
      </c>
    </row>
    <row r="37" spans="3:106" x14ac:dyDescent="0.3">
      <c r="C37" s="165" t="str">
        <f t="shared" ref="C37:C63" si="12">C4</f>
        <v>1. Attack actors:Compared to last month the threat to your organization from the following actors has: - Insider threat: In your view the risk from malicious insiders (with both opportunity and motivation)</v>
      </c>
      <c r="D37" s="165" t="str">
        <f t="shared" ref="D37:D63" si="13">D4</f>
        <v>Attackers: Insider threat</v>
      </c>
      <c r="F37" s="165">
        <f t="shared" ref="F37:F63" si="14">IFERROR(LN(F4/E4),0)</f>
        <v>1.2323943661971886E-2</v>
      </c>
      <c r="G37" s="165">
        <f t="shared" ref="G37:BO41" si="15">IFERROR(LN(G4/F4),0)</f>
        <v>2.5714285714285762E-2</v>
      </c>
      <c r="H37" s="165">
        <f t="shared" si="15"/>
        <v>1.325757575757586E-2</v>
      </c>
      <c r="I37" s="165">
        <f t="shared" si="15"/>
        <v>3.0508474576271257E-2</v>
      </c>
      <c r="J37" s="165">
        <f t="shared" si="15"/>
        <v>2.6229508196721259E-2</v>
      </c>
      <c r="K37" s="165">
        <f t="shared" si="15"/>
        <v>1.9999999999999966E-2</v>
      </c>
      <c r="L37" s="165">
        <f t="shared" si="15"/>
        <v>1.4552238805970211E-2</v>
      </c>
      <c r="M37" s="165">
        <f t="shared" si="15"/>
        <v>1.5624999999999979E-2</v>
      </c>
      <c r="N37" s="165">
        <f t="shared" si="15"/>
        <v>1.6826923076923031E-2</v>
      </c>
      <c r="O37" s="165">
        <f t="shared" si="15"/>
        <v>2.745901639344267E-2</v>
      </c>
      <c r="P37" s="165">
        <f t="shared" si="15"/>
        <v>1.8103448275861991E-2</v>
      </c>
      <c r="Q37" s="165">
        <f t="shared" si="15"/>
        <v>1.6363636363636441E-2</v>
      </c>
      <c r="R37" s="165">
        <f t="shared" si="15"/>
        <v>2.0833333333333402E-2</v>
      </c>
      <c r="S37" s="165">
        <f t="shared" si="15"/>
        <v>2.5862068965516968E-3</v>
      </c>
      <c r="T37" s="165">
        <f t="shared" si="15"/>
        <v>1.7741935483870926E-2</v>
      </c>
      <c r="U37" s="165">
        <f t="shared" si="15"/>
        <v>1.7924528301886851E-2</v>
      </c>
      <c r="V37" s="165">
        <f t="shared" si="15"/>
        <v>1.3942307692307669E-2</v>
      </c>
      <c r="W37" s="165">
        <f t="shared" si="15"/>
        <v>2.2282608695652181E-2</v>
      </c>
      <c r="X37" s="165">
        <f t="shared" si="15"/>
        <v>3.0208333333333372E-2</v>
      </c>
      <c r="Y37" s="165">
        <f t="shared" si="15"/>
        <v>2.5000000000000015E-2</v>
      </c>
      <c r="Z37" s="165">
        <f t="shared" si="15"/>
        <v>1.8644067796610191E-2</v>
      </c>
      <c r="AA37" s="165">
        <f t="shared" si="15"/>
        <v>2.1621621621621522E-2</v>
      </c>
      <c r="AB37" s="165">
        <f t="shared" si="15"/>
        <v>2.1982758620689602E-2</v>
      </c>
      <c r="AC37" s="165">
        <f t="shared" si="15"/>
        <v>3.4090909090908027E-3</v>
      </c>
      <c r="AD37" s="165">
        <f t="shared" si="15"/>
        <v>8.771929824561351E-3</v>
      </c>
      <c r="AE37" s="165">
        <f t="shared" si="15"/>
        <v>1.1734693877550937E-2</v>
      </c>
      <c r="AF37" s="165">
        <f t="shared" si="15"/>
        <v>1.1734693877550937E-2</v>
      </c>
      <c r="AG37" s="165">
        <f t="shared" si="15"/>
        <v>1.2857142857142954E-2</v>
      </c>
      <c r="AH37" s="165">
        <f t="shared" si="15"/>
        <v>1.2264150943396182E-2</v>
      </c>
      <c r="AI37" s="165">
        <f t="shared" si="15"/>
        <v>1.2820512820512773E-2</v>
      </c>
      <c r="AJ37" s="165">
        <f t="shared" si="15"/>
        <v>1.9897959183673465E-2</v>
      </c>
      <c r="AK37" s="165">
        <f t="shared" si="15"/>
        <v>1.8888888888888899E-2</v>
      </c>
      <c r="AL37" s="165">
        <f t="shared" si="15"/>
        <v>1.4743589743589757E-2</v>
      </c>
      <c r="AM37" s="165">
        <f t="shared" si="15"/>
        <v>2.4479166666666684E-2</v>
      </c>
      <c r="AN37" s="165">
        <f t="shared" si="15"/>
        <v>1.5116279069767504E-2</v>
      </c>
      <c r="AO37" s="165">
        <f t="shared" si="15"/>
        <v>7.3170731707316704E-3</v>
      </c>
      <c r="AP37" s="165">
        <f t="shared" si="15"/>
        <v>1.0465116279069795E-2</v>
      </c>
      <c r="AQ37" s="165">
        <f t="shared" si="15"/>
        <v>5.1136363636363836E-3</v>
      </c>
      <c r="AR37" s="165">
        <f t="shared" si="15"/>
        <v>1.4024390243902361E-2</v>
      </c>
      <c r="AS37" s="165">
        <f t="shared" si="15"/>
        <v>2.142857142857061E-3</v>
      </c>
      <c r="AT37" s="165">
        <f t="shared" si="15"/>
        <v>4.1666666666665894E-3</v>
      </c>
      <c r="AU37" s="165">
        <f t="shared" si="15"/>
        <v>1.4880952380952477E-2</v>
      </c>
      <c r="AV37" s="165">
        <f t="shared" si="15"/>
        <v>1.9117647058823593E-2</v>
      </c>
      <c r="AW37" s="165">
        <f t="shared" si="15"/>
        <v>9.8684210526316755E-3</v>
      </c>
      <c r="AX37" s="165">
        <f t="shared" si="15"/>
        <v>1.5131578947368366E-2</v>
      </c>
      <c r="AY37" s="165">
        <f t="shared" si="15"/>
        <v>-6.250000000000029E-3</v>
      </c>
      <c r="AZ37" s="165">
        <f t="shared" si="15"/>
        <v>1.1842105263157886E-2</v>
      </c>
      <c r="BA37" s="165">
        <f t="shared" si="15"/>
        <v>1.8749999999999681E-3</v>
      </c>
      <c r="BB37" s="165">
        <f t="shared" si="15"/>
        <v>7.8947368421053311E-3</v>
      </c>
      <c r="BC37" s="165">
        <f t="shared" si="15"/>
        <v>1.0975609756097663E-2</v>
      </c>
      <c r="BD37" s="165">
        <f t="shared" si="15"/>
        <v>-3.6585365853659558E-3</v>
      </c>
      <c r="BE37" s="165">
        <f t="shared" si="15"/>
        <v>1.4189189189189284E-2</v>
      </c>
      <c r="BF37" s="165">
        <f t="shared" si="15"/>
        <v>1.2500000000000039E-2</v>
      </c>
      <c r="BG37" s="165">
        <f t="shared" si="15"/>
        <v>8.3333333333333662E-3</v>
      </c>
      <c r="BH37" s="165">
        <f t="shared" si="15"/>
        <v>1.578947368421053E-2</v>
      </c>
      <c r="BI37" s="165">
        <f t="shared" si="15"/>
        <v>1.5740740740740739E-2</v>
      </c>
      <c r="BJ37" s="165">
        <f t="shared" si="15"/>
        <v>2.1666666666666737E-2</v>
      </c>
      <c r="BK37" s="165">
        <f t="shared" si="15"/>
        <v>1.4705882352941225E-2</v>
      </c>
      <c r="BL37" s="165">
        <f t="shared" si="15"/>
        <v>2.0270270270271299E-3</v>
      </c>
      <c r="BM37" s="165">
        <f t="shared" ca="1" si="15"/>
        <v>-0.11014571785115658</v>
      </c>
      <c r="BN37" s="165">
        <f t="shared" ca="1" si="15"/>
        <v>0</v>
      </c>
      <c r="BO37" s="165">
        <f t="shared" ca="1" si="15"/>
        <v>6.4516129032258654E-3</v>
      </c>
      <c r="BP37" s="165">
        <f t="shared" ref="BP37:BZ61" ca="1" si="16">IFERROR(LN(BP4/BO4),0)</f>
        <v>-6.8965517241378789E-3</v>
      </c>
      <c r="BQ37" s="165">
        <f t="shared" ca="1" si="16"/>
        <v>0</v>
      </c>
      <c r="BR37" s="165">
        <f t="shared" ca="1" si="16"/>
        <v>6.060606060605986E-3</v>
      </c>
      <c r="BS37" s="165">
        <f t="shared" ca="1" si="16"/>
        <v>0</v>
      </c>
      <c r="BT37" s="165">
        <f t="shared" ca="1" si="16"/>
        <v>1.8750000000000103E-2</v>
      </c>
      <c r="BU37" s="165">
        <f t="shared" ca="1" si="16"/>
        <v>1.7647058823529325E-2</v>
      </c>
      <c r="BV37" s="165">
        <f t="shared" ca="1" si="16"/>
        <v>-6.6666666666667564E-3</v>
      </c>
      <c r="BW37" s="165">
        <f t="shared" ca="1" si="16"/>
        <v>0</v>
      </c>
      <c r="BX37" s="165">
        <f t="shared" ca="1" si="16"/>
        <v>-6.4516129032258385E-3</v>
      </c>
      <c r="BY37" s="165">
        <f t="shared" ca="1" si="16"/>
        <v>0</v>
      </c>
      <c r="BZ37" s="165">
        <f t="shared" ca="1" si="16"/>
        <v>-6.4516129032258385E-3</v>
      </c>
      <c r="CA37" s="165">
        <f t="shared" ref="CA37:CY52" ca="1" si="17">IFERROR(LN(CA4/BZ4),0)</f>
        <v>-6.4516129032258385E-3</v>
      </c>
      <c r="CB37" s="165">
        <f t="shared" ca="1" si="17"/>
        <v>-6.6666666666666445E-3</v>
      </c>
      <c r="CC37" s="165">
        <f t="shared" ca="1" si="17"/>
        <v>-7.6923076923076355E-3</v>
      </c>
      <c r="CD37" s="165">
        <f t="shared" ca="1" si="17"/>
        <v>0</v>
      </c>
      <c r="CE37" s="165">
        <f t="shared" ca="1" si="17"/>
        <v>-1.1111111111111143E-2</v>
      </c>
      <c r="CF37" s="165">
        <f t="shared" ca="1" si="17"/>
        <v>0</v>
      </c>
      <c r="CG37" s="165">
        <f t="shared" ca="1" si="17"/>
        <v>6.8965517241378685E-3</v>
      </c>
      <c r="CH37" s="165">
        <f t="shared" ca="1" si="17"/>
        <v>-7.6923076923077474E-3</v>
      </c>
      <c r="CI37" s="165">
        <f t="shared" ca="1" si="17"/>
        <v>-7.1428571428572493E-3</v>
      </c>
      <c r="CJ37" s="165">
        <f t="shared" ca="1" si="17"/>
        <v>0</v>
      </c>
      <c r="CK37" s="165">
        <f t="shared" ca="1" si="17"/>
        <v>0</v>
      </c>
      <c r="CL37" s="165">
        <f t="shared" ca="1" si="17"/>
        <v>0</v>
      </c>
      <c r="CM37" s="165">
        <f t="shared" ca="1" si="17"/>
        <v>6.8965517241378685E-3</v>
      </c>
      <c r="CN37" s="165">
        <f t="shared" ca="1" si="17"/>
        <v>0</v>
      </c>
      <c r="CO37" s="165">
        <f t="shared" ca="1" si="17"/>
        <v>8.000000000000047E-3</v>
      </c>
      <c r="CP37" s="165">
        <f t="shared" ca="1" si="17"/>
        <v>1.5384615384615392E-2</v>
      </c>
      <c r="CQ37" s="165">
        <f t="shared" ca="1" si="17"/>
        <v>8.6956521739130956E-3</v>
      </c>
      <c r="CR37" s="247">
        <f t="shared" ca="1" si="17"/>
        <v>2.2222222222222233E-2</v>
      </c>
      <c r="CS37" s="247">
        <f t="shared" ca="1" si="17"/>
        <v>1.6666666666666583E-2</v>
      </c>
      <c r="CT37" s="247">
        <f t="shared" ca="1" si="17"/>
        <v>0</v>
      </c>
      <c r="CU37" s="247">
        <f t="shared" ca="1" si="17"/>
        <v>8.000000000000047E-3</v>
      </c>
      <c r="CV37" s="247">
        <f t="shared" ca="1" si="17"/>
        <v>0</v>
      </c>
      <c r="CW37" s="247">
        <f t="shared" ca="1" si="17"/>
        <v>-7.1428571428571374E-3</v>
      </c>
      <c r="CX37" s="247">
        <f t="shared" ca="1" si="17"/>
        <v>5.5555555555556399E-3</v>
      </c>
      <c r="CY37" s="247">
        <f t="shared" ca="1" si="17"/>
        <v>7.6923076923077222E-3</v>
      </c>
      <c r="CZ37" s="247">
        <f t="shared" ref="CZ37:DB39" ca="1" si="18">IFERROR(LN(CZ4/CY4),0)</f>
        <v>6.060606060605986E-3</v>
      </c>
      <c r="DA37" s="247">
        <f t="shared" ca="1" si="18"/>
        <v>7.1428571428572155E-3</v>
      </c>
      <c r="DB37" s="247">
        <f t="shared" ca="1" si="18"/>
        <v>1.3333333333333273E-2</v>
      </c>
    </row>
    <row r="38" spans="3:106" x14ac:dyDescent="0.3">
      <c r="C38" s="165" t="str">
        <f t="shared" si="12"/>
        <v>1. Attack actors:Compared to last month the threat to your organization from the following actors has: - Strategic rivals: The likelihood that there exist attacks explicitly targeting economically valuable data within your organization</v>
      </c>
      <c r="D38" s="165" t="str">
        <f t="shared" si="13"/>
        <v>Attackers: Strategic rivals</v>
      </c>
      <c r="F38" s="165">
        <f t="shared" si="14"/>
        <v>3.6619718309859051E-2</v>
      </c>
      <c r="G38" s="165">
        <f t="shared" ref="G38:U38" si="19">IFERROR(LN(G5/F5),0)</f>
        <v>2.8571428571428657E-2</v>
      </c>
      <c r="H38" s="165">
        <f t="shared" si="19"/>
        <v>3.2954545454545438E-2</v>
      </c>
      <c r="I38" s="165">
        <f t="shared" si="19"/>
        <v>1.694915254237284E-2</v>
      </c>
      <c r="J38" s="165">
        <f t="shared" si="19"/>
        <v>1.3934426229508235E-2</v>
      </c>
      <c r="K38" s="165">
        <f t="shared" si="19"/>
        <v>2.5454545454545487E-2</v>
      </c>
      <c r="L38" s="165">
        <f t="shared" si="19"/>
        <v>2.6865671641790947E-2</v>
      </c>
      <c r="M38" s="165">
        <f t="shared" si="19"/>
        <v>4.0178571428572457E-3</v>
      </c>
      <c r="N38" s="165">
        <f t="shared" si="19"/>
        <v>2.7884615384615299E-2</v>
      </c>
      <c r="O38" s="165">
        <f t="shared" si="19"/>
        <v>2.745901639344267E-2</v>
      </c>
      <c r="P38" s="165">
        <f t="shared" si="19"/>
        <v>2.0689655172413852E-2</v>
      </c>
      <c r="Q38" s="165">
        <f t="shared" si="19"/>
        <v>1.7727272727272779E-2</v>
      </c>
      <c r="R38" s="165">
        <f t="shared" si="19"/>
        <v>2.6893939393939297E-2</v>
      </c>
      <c r="S38" s="165">
        <f t="shared" si="19"/>
        <v>1.5517241379310358E-2</v>
      </c>
      <c r="T38" s="165">
        <f t="shared" si="19"/>
        <v>1.8951612903225914E-2</v>
      </c>
      <c r="U38" s="165">
        <f t="shared" si="19"/>
        <v>1.7924528301886851E-2</v>
      </c>
      <c r="V38" s="165">
        <f t="shared" si="15"/>
        <v>2.2596153846153863E-2</v>
      </c>
      <c r="W38" s="165">
        <f t="shared" si="15"/>
        <v>1.9021739130434819E-2</v>
      </c>
      <c r="X38" s="165">
        <f t="shared" si="15"/>
        <v>2.5000000000000015E-2</v>
      </c>
      <c r="Y38" s="165">
        <f t="shared" si="15"/>
        <v>1.0937499999999961E-2</v>
      </c>
      <c r="Z38" s="165">
        <f t="shared" si="15"/>
        <v>2.9237288135593269E-2</v>
      </c>
      <c r="AA38" s="165">
        <f t="shared" si="15"/>
        <v>1.5878378378378306E-2</v>
      </c>
      <c r="AB38" s="165">
        <f t="shared" si="15"/>
        <v>2.241379310344823E-2</v>
      </c>
      <c r="AC38" s="165">
        <f t="shared" si="15"/>
        <v>1.85606060606061E-2</v>
      </c>
      <c r="AD38" s="165">
        <f t="shared" si="15"/>
        <v>1.3157894736842151E-2</v>
      </c>
      <c r="AE38" s="165">
        <f t="shared" si="15"/>
        <v>1.2244897959183572E-2</v>
      </c>
      <c r="AF38" s="165">
        <f t="shared" si="15"/>
        <v>8.1632653061224376E-3</v>
      </c>
      <c r="AG38" s="165">
        <f t="shared" si="15"/>
        <v>1.2142857142857153E-2</v>
      </c>
      <c r="AH38" s="165">
        <f t="shared" si="15"/>
        <v>2.0754716981132151E-2</v>
      </c>
      <c r="AI38" s="165">
        <f t="shared" si="15"/>
        <v>1.9230769230769135E-2</v>
      </c>
      <c r="AJ38" s="165">
        <f t="shared" si="15"/>
        <v>2.4489795918367249E-2</v>
      </c>
      <c r="AK38" s="165">
        <f t="shared" si="15"/>
        <v>8.3333333333333662E-3</v>
      </c>
      <c r="AL38" s="165">
        <f t="shared" si="15"/>
        <v>1.6025641025641031E-2</v>
      </c>
      <c r="AM38" s="165">
        <f t="shared" si="15"/>
        <v>9.3749999999999285E-3</v>
      </c>
      <c r="AN38" s="165">
        <f t="shared" si="15"/>
        <v>8.1395348837209041E-3</v>
      </c>
      <c r="AO38" s="165">
        <f t="shared" si="15"/>
        <v>4.2682926829267793E-3</v>
      </c>
      <c r="AP38" s="165">
        <f t="shared" si="15"/>
        <v>1.3372093023255869E-2</v>
      </c>
      <c r="AQ38" s="165">
        <f t="shared" si="15"/>
        <v>5.1136363636363836E-3</v>
      </c>
      <c r="AR38" s="165">
        <f t="shared" si="15"/>
        <v>1.8292682926830043E-3</v>
      </c>
      <c r="AS38" s="165">
        <f t="shared" si="15"/>
        <v>6.4285714285715065E-3</v>
      </c>
      <c r="AT38" s="165">
        <f t="shared" si="15"/>
        <v>5.3571428571427635E-3</v>
      </c>
      <c r="AU38" s="165">
        <f t="shared" si="15"/>
        <v>8.3333333333333662E-3</v>
      </c>
      <c r="AV38" s="165">
        <f t="shared" si="15"/>
        <v>8.8235294117645982E-3</v>
      </c>
      <c r="AW38" s="165">
        <f t="shared" si="15"/>
        <v>9.2105263157895266E-3</v>
      </c>
      <c r="AX38" s="165">
        <f t="shared" si="15"/>
        <v>1.9736842105263126E-2</v>
      </c>
      <c r="AY38" s="165">
        <f t="shared" si="15"/>
        <v>8.5227272727273207E-3</v>
      </c>
      <c r="AZ38" s="165">
        <f t="shared" si="15"/>
        <v>9.8684210526316755E-3</v>
      </c>
      <c r="BA38" s="165">
        <f t="shared" si="15"/>
        <v>3.7499999999999391E-3</v>
      </c>
      <c r="BB38" s="165">
        <f t="shared" si="15"/>
        <v>7.2368421052632663E-3</v>
      </c>
      <c r="BC38" s="165">
        <f t="shared" si="15"/>
        <v>3.04878048780484E-3</v>
      </c>
      <c r="BD38" s="165">
        <f t="shared" si="15"/>
        <v>1.0975609756097663E-2</v>
      </c>
      <c r="BE38" s="165">
        <f t="shared" si="15"/>
        <v>9.4594594594594097E-3</v>
      </c>
      <c r="BF38" s="165">
        <f t="shared" si="15"/>
        <v>5.8823529411765486E-3</v>
      </c>
      <c r="BG38" s="165">
        <f t="shared" si="15"/>
        <v>4.1666666666665894E-3</v>
      </c>
      <c r="BH38" s="165">
        <f t="shared" si="15"/>
        <v>1.1184210526315703E-2</v>
      </c>
      <c r="BI38" s="165">
        <f t="shared" si="15"/>
        <v>1.5740740740740739E-2</v>
      </c>
      <c r="BJ38" s="165">
        <f t="shared" si="15"/>
        <v>1.1666666666666711E-2</v>
      </c>
      <c r="BK38" s="165">
        <f t="shared" si="15"/>
        <v>5.8823529411765486E-3</v>
      </c>
      <c r="BL38" s="165">
        <f t="shared" si="15"/>
        <v>-4.0540540540540378E-3</v>
      </c>
      <c r="BM38" s="165">
        <f t="shared" ca="1" si="15"/>
        <v>-6.0629595051930968E-2</v>
      </c>
      <c r="BN38" s="165">
        <f t="shared" ca="1" si="15"/>
        <v>5.7142857142856102E-3</v>
      </c>
      <c r="BO38" s="165">
        <f t="shared" ca="1" si="15"/>
        <v>0</v>
      </c>
      <c r="BP38" s="165">
        <f t="shared" ca="1" si="16"/>
        <v>-6.8965517241378789E-3</v>
      </c>
      <c r="BQ38" s="165">
        <f t="shared" ca="1" si="16"/>
        <v>-6.8965517241378789E-3</v>
      </c>
      <c r="BR38" s="165">
        <f t="shared" ca="1" si="16"/>
        <v>-6.0606060606060944E-3</v>
      </c>
      <c r="BS38" s="165">
        <f t="shared" ca="1" si="16"/>
        <v>-6.0606060606060944E-3</v>
      </c>
      <c r="BT38" s="165">
        <f t="shared" ca="1" si="16"/>
        <v>0</v>
      </c>
      <c r="BU38" s="165">
        <f t="shared" ca="1" si="16"/>
        <v>0</v>
      </c>
      <c r="BV38" s="165">
        <f t="shared" ca="1" si="16"/>
        <v>0</v>
      </c>
      <c r="BW38" s="165">
        <f t="shared" ca="1" si="16"/>
        <v>6.4516129032258654E-3</v>
      </c>
      <c r="BX38" s="165">
        <f t="shared" ca="1" si="16"/>
        <v>-6.4516129032258385E-3</v>
      </c>
      <c r="BY38" s="165">
        <f t="shared" ca="1" si="16"/>
        <v>-6.6666666666666445E-3</v>
      </c>
      <c r="BZ38" s="165">
        <f t="shared" ca="1" si="16"/>
        <v>-6.4516129032258385E-3</v>
      </c>
      <c r="CA38" s="165">
        <f t="shared" ca="1" si="17"/>
        <v>0</v>
      </c>
      <c r="CB38" s="165">
        <f t="shared" ca="1" si="17"/>
        <v>-6.6666666666666445E-3</v>
      </c>
      <c r="CC38" s="165">
        <f t="shared" ca="1" si="17"/>
        <v>0</v>
      </c>
      <c r="CD38" s="165">
        <f t="shared" ca="1" si="17"/>
        <v>0</v>
      </c>
      <c r="CE38" s="165">
        <f t="shared" ca="1" si="17"/>
        <v>-1.1111111111111032E-2</v>
      </c>
      <c r="CF38" s="165">
        <f t="shared" ca="1" si="17"/>
        <v>-7.1428571428570255E-3</v>
      </c>
      <c r="CG38" s="165">
        <f t="shared" ca="1" si="17"/>
        <v>-6.8965517241378789E-3</v>
      </c>
      <c r="CH38" s="165">
        <f t="shared" ca="1" si="17"/>
        <v>-7.6923076923077474E-3</v>
      </c>
      <c r="CI38" s="165">
        <f t="shared" ca="1" si="17"/>
        <v>-7.1428571428570255E-3</v>
      </c>
      <c r="CJ38" s="165">
        <f t="shared" ca="1" si="17"/>
        <v>8.000000000000047E-3</v>
      </c>
      <c r="CK38" s="165">
        <f t="shared" ca="1" si="17"/>
        <v>-7.4074074074075291E-3</v>
      </c>
      <c r="CL38" s="165">
        <f t="shared" ca="1" si="17"/>
        <v>9.0909090909089951E-3</v>
      </c>
      <c r="CM38" s="165">
        <f t="shared" ca="1" si="17"/>
        <v>6.8965517241378685E-3</v>
      </c>
      <c r="CN38" s="165">
        <f t="shared" ca="1" si="17"/>
        <v>0</v>
      </c>
      <c r="CO38" s="165">
        <f t="shared" ca="1" si="17"/>
        <v>1.6000000000000087E-2</v>
      </c>
      <c r="CP38" s="165">
        <f t="shared" ca="1" si="17"/>
        <v>0</v>
      </c>
      <c r="CQ38" s="165">
        <f t="shared" ca="1" si="17"/>
        <v>-8.6956521739130523E-3</v>
      </c>
      <c r="CR38" s="247">
        <f t="shared" ca="1" si="17"/>
        <v>0</v>
      </c>
      <c r="CS38" s="247">
        <f t="shared" ca="1" si="17"/>
        <v>-8.3333333333333263E-3</v>
      </c>
      <c r="CT38" s="247">
        <f t="shared" ca="1" si="17"/>
        <v>0</v>
      </c>
      <c r="CU38" s="247">
        <f t="shared" ca="1" si="17"/>
        <v>-8.0000000000000852E-3</v>
      </c>
      <c r="CV38" s="247">
        <f t="shared" ca="1" si="17"/>
        <v>-9.5238095238094293E-3</v>
      </c>
      <c r="CW38" s="247">
        <f t="shared" ca="1" si="17"/>
        <v>-7.1428571428571374E-3</v>
      </c>
      <c r="CX38" s="247">
        <f t="shared" ca="1" si="17"/>
        <v>0</v>
      </c>
      <c r="CY38" s="247">
        <f t="shared" ca="1" si="17"/>
        <v>-7.6923076923077474E-3</v>
      </c>
      <c r="CZ38" s="247">
        <f t="shared" ca="1" si="18"/>
        <v>-6.0606060606060944E-3</v>
      </c>
      <c r="DA38" s="247">
        <f t="shared" ca="1" si="18"/>
        <v>-7.1428571428571374E-3</v>
      </c>
      <c r="DB38" s="247">
        <f t="shared" ca="1" si="18"/>
        <v>-6.6666666666666445E-3</v>
      </c>
    </row>
    <row r="39" spans="3:106" x14ac:dyDescent="0.3">
      <c r="C39" s="165" t="str">
        <f t="shared" si="12"/>
        <v>1. Attack actors:Compared to last month the threat to your organization from the following actors has: - Activists/hacktivists: Your exposure to politically or ideologically motivated activity (whether local or abroad)</v>
      </c>
      <c r="D39" s="165" t="str">
        <f t="shared" si="13"/>
        <v>Attackers: Activist/hacktivists</v>
      </c>
      <c r="F39" s="165">
        <f t="shared" si="14"/>
        <v>2.7816901408450622E-2</v>
      </c>
      <c r="G39" s="165">
        <f t="shared" si="15"/>
        <v>2.9285714285714182E-2</v>
      </c>
      <c r="H39" s="165">
        <f t="shared" si="15"/>
        <v>6.5909090909091E-2</v>
      </c>
      <c r="I39" s="165">
        <f t="shared" si="15"/>
        <v>3.8559322033898315E-2</v>
      </c>
      <c r="J39" s="165">
        <f t="shared" si="15"/>
        <v>2.7868852459016328E-2</v>
      </c>
      <c r="K39" s="165">
        <f t="shared" si="15"/>
        <v>2.3636363636363601E-2</v>
      </c>
      <c r="L39" s="165">
        <f t="shared" si="15"/>
        <v>3.3955223880596935E-2</v>
      </c>
      <c r="M39" s="165">
        <f t="shared" si="15"/>
        <v>1.60714285714285E-2</v>
      </c>
      <c r="N39" s="165">
        <f t="shared" si="15"/>
        <v>2.6442307692307754E-2</v>
      </c>
      <c r="O39" s="165">
        <f t="shared" si="15"/>
        <v>4.0573770491803246E-2</v>
      </c>
      <c r="P39" s="165">
        <f t="shared" si="15"/>
        <v>2.5862068965517244E-2</v>
      </c>
      <c r="Q39" s="165">
        <f t="shared" si="15"/>
        <v>3.0454545454545366E-2</v>
      </c>
      <c r="R39" s="165">
        <f t="shared" si="15"/>
        <v>2.5000000000000015E-2</v>
      </c>
      <c r="S39" s="165">
        <f t="shared" si="15"/>
        <v>4.2672413793103381E-2</v>
      </c>
      <c r="T39" s="165">
        <f t="shared" si="15"/>
        <v>1.7741935483870926E-2</v>
      </c>
      <c r="U39" s="165">
        <f t="shared" si="15"/>
        <v>1.1792452830188715E-2</v>
      </c>
      <c r="V39" s="165">
        <f t="shared" si="15"/>
        <v>1.1538461538461608E-2</v>
      </c>
      <c r="W39" s="165">
        <f t="shared" si="15"/>
        <v>2.9347826086956613E-2</v>
      </c>
      <c r="X39" s="165">
        <f t="shared" si="15"/>
        <v>5.0520833333333411E-2</v>
      </c>
      <c r="Y39" s="165">
        <f t="shared" si="15"/>
        <v>2.7083333333333365E-2</v>
      </c>
      <c r="Z39" s="165">
        <f t="shared" si="15"/>
        <v>5.5084745762711829E-2</v>
      </c>
      <c r="AA39" s="165">
        <f t="shared" si="15"/>
        <v>3.1081081081081183E-2</v>
      </c>
      <c r="AB39" s="165">
        <f t="shared" si="15"/>
        <v>3.6206896551724224E-2</v>
      </c>
      <c r="AC39" s="165">
        <f t="shared" si="15"/>
        <v>2.6515151515151505E-2</v>
      </c>
      <c r="AD39" s="165">
        <f t="shared" si="15"/>
        <v>3.1578947368421061E-2</v>
      </c>
      <c r="AE39" s="165">
        <f t="shared" si="15"/>
        <v>1.8877551020408112E-2</v>
      </c>
      <c r="AF39" s="165">
        <f t="shared" si="15"/>
        <v>1.3775510204081687E-2</v>
      </c>
      <c r="AG39" s="165">
        <f t="shared" si="15"/>
        <v>8.5714285714285181E-3</v>
      </c>
      <c r="AH39" s="165">
        <f t="shared" si="15"/>
        <v>2.5471698113207587E-2</v>
      </c>
      <c r="AI39" s="165">
        <f t="shared" si="15"/>
        <v>1.3461538461538483E-2</v>
      </c>
      <c r="AJ39" s="165">
        <f t="shared" si="15"/>
        <v>9.693877551020507E-3</v>
      </c>
      <c r="AK39" s="165">
        <f t="shared" si="15"/>
        <v>9.4444444444445001E-3</v>
      </c>
      <c r="AL39" s="165">
        <f t="shared" si="15"/>
        <v>1.7948717948717937E-2</v>
      </c>
      <c r="AM39" s="165">
        <f t="shared" si="15"/>
        <v>6.2499999999999821E-3</v>
      </c>
      <c r="AN39" s="165">
        <f t="shared" si="15"/>
        <v>2.9069767441860959E-3</v>
      </c>
      <c r="AO39" s="165">
        <f t="shared" si="15"/>
        <v>9.146341463414696E-3</v>
      </c>
      <c r="AP39" s="165">
        <f t="shared" si="15"/>
        <v>8.1395348837209041E-3</v>
      </c>
      <c r="AQ39" s="165">
        <f t="shared" si="15"/>
        <v>1.4772727272727366E-2</v>
      </c>
      <c r="AR39" s="165">
        <f t="shared" si="15"/>
        <v>-3.0487804878047702E-3</v>
      </c>
      <c r="AS39" s="165">
        <f t="shared" si="15"/>
        <v>1.4999999999999951E-2</v>
      </c>
      <c r="AT39" s="165">
        <f t="shared" si="15"/>
        <v>1.7261904761904669E-2</v>
      </c>
      <c r="AU39" s="165">
        <f t="shared" si="15"/>
        <v>1.9047619047618987E-2</v>
      </c>
      <c r="AV39" s="165">
        <f t="shared" si="15"/>
        <v>1.9117647058823593E-2</v>
      </c>
      <c r="AW39" s="165">
        <f t="shared" si="15"/>
        <v>7.2368421052632663E-3</v>
      </c>
      <c r="AX39" s="165">
        <f t="shared" si="15"/>
        <v>4.9342105263157798E-2</v>
      </c>
      <c r="AY39" s="165">
        <f t="shared" si="15"/>
        <v>2.7272727272727185E-2</v>
      </c>
      <c r="AZ39" s="165">
        <f t="shared" si="15"/>
        <v>1.2500000000000039E-2</v>
      </c>
      <c r="BA39" s="165">
        <f t="shared" si="15"/>
        <v>1.1249999999999899E-2</v>
      </c>
      <c r="BB39" s="165">
        <f t="shared" si="15"/>
        <v>2.6315789473683234E-3</v>
      </c>
      <c r="BC39" s="165">
        <f t="shared" si="15"/>
        <v>9.146341463414696E-3</v>
      </c>
      <c r="BD39" s="165">
        <f t="shared" si="15"/>
        <v>-6.0975609756112599E-4</v>
      </c>
      <c r="BE39" s="165">
        <f t="shared" si="15"/>
        <v>1.8918918918918951E-2</v>
      </c>
      <c r="BF39" s="165">
        <f t="shared" si="15"/>
        <v>1.3235294117646993E-2</v>
      </c>
      <c r="BG39" s="165">
        <f t="shared" si="15"/>
        <v>-4.1666666666665408E-3</v>
      </c>
      <c r="BH39" s="165">
        <f t="shared" si="15"/>
        <v>1.1842105263157886E-2</v>
      </c>
      <c r="BI39" s="165">
        <f t="shared" si="15"/>
        <v>8.3333333333333662E-3</v>
      </c>
      <c r="BJ39" s="165">
        <f t="shared" si="15"/>
        <v>1.4166666666666756E-2</v>
      </c>
      <c r="BK39" s="165">
        <f t="shared" si="15"/>
        <v>1.0294117647058912E-2</v>
      </c>
      <c r="BL39" s="165">
        <f t="shared" si="15"/>
        <v>-1.3513513513513457E-2</v>
      </c>
      <c r="BM39" s="165">
        <f t="shared" ca="1" si="15"/>
        <v>-0.14139229358448899</v>
      </c>
      <c r="BN39" s="165">
        <f t="shared" ca="1" si="15"/>
        <v>1.1428571428571347E-2</v>
      </c>
      <c r="BO39" s="165">
        <f t="shared" ca="1" si="15"/>
        <v>0</v>
      </c>
      <c r="BP39" s="165">
        <f t="shared" ca="1" si="16"/>
        <v>6.8965517241378685E-3</v>
      </c>
      <c r="BQ39" s="165">
        <f t="shared" ca="1" si="16"/>
        <v>0</v>
      </c>
      <c r="BR39" s="165">
        <f t="shared" ca="1" si="16"/>
        <v>-6.0606060606060944E-3</v>
      </c>
      <c r="BS39" s="165">
        <f t="shared" ca="1" si="16"/>
        <v>-1.2121212121212097E-2</v>
      </c>
      <c r="BT39" s="165">
        <f t="shared" ca="1" si="16"/>
        <v>0</v>
      </c>
      <c r="BU39" s="165">
        <f t="shared" ca="1" si="16"/>
        <v>0</v>
      </c>
      <c r="BV39" s="165">
        <f t="shared" ca="1" si="16"/>
        <v>-6.6666666666666445E-3</v>
      </c>
      <c r="BW39" s="165">
        <f t="shared" ca="1" si="16"/>
        <v>0</v>
      </c>
      <c r="BX39" s="165">
        <f t="shared" ca="1" si="16"/>
        <v>0</v>
      </c>
      <c r="BY39" s="165">
        <f t="shared" ca="1" si="16"/>
        <v>0</v>
      </c>
      <c r="BZ39" s="165">
        <f t="shared" ca="1" si="16"/>
        <v>0</v>
      </c>
      <c r="CA39" s="165">
        <f t="shared" ca="1" si="17"/>
        <v>6.4516129032258654E-3</v>
      </c>
      <c r="CB39" s="165">
        <f t="shared" ca="1" si="17"/>
        <v>-6.6666666666666445E-3</v>
      </c>
      <c r="CC39" s="165">
        <f t="shared" ca="1" si="17"/>
        <v>0</v>
      </c>
      <c r="CD39" s="165">
        <f t="shared" ca="1" si="17"/>
        <v>0</v>
      </c>
      <c r="CE39" s="165">
        <f t="shared" ca="1" si="17"/>
        <v>-1.1111111111111143E-2</v>
      </c>
      <c r="CF39" s="165">
        <f t="shared" ca="1" si="17"/>
        <v>-7.1428571428571374E-3</v>
      </c>
      <c r="CG39" s="165">
        <f t="shared" ca="1" si="17"/>
        <v>0</v>
      </c>
      <c r="CH39" s="165">
        <f t="shared" ca="1" si="17"/>
        <v>-7.6923076923078593E-3</v>
      </c>
      <c r="CI39" s="165">
        <f t="shared" ca="1" si="17"/>
        <v>-7.1428571428570255E-3</v>
      </c>
      <c r="CJ39" s="165">
        <f t="shared" ca="1" si="17"/>
        <v>0</v>
      </c>
      <c r="CK39" s="165">
        <f t="shared" ca="1" si="17"/>
        <v>0</v>
      </c>
      <c r="CL39" s="165">
        <f t="shared" ca="1" si="17"/>
        <v>9.0909090909089951E-3</v>
      </c>
      <c r="CM39" s="165">
        <f t="shared" ca="1" si="17"/>
        <v>-6.8965517241378789E-3</v>
      </c>
      <c r="CN39" s="165">
        <f t="shared" ca="1" si="17"/>
        <v>0</v>
      </c>
      <c r="CO39" s="165">
        <f t="shared" ca="1" si="17"/>
        <v>0</v>
      </c>
      <c r="CP39" s="165">
        <f t="shared" ca="1" si="17"/>
        <v>-1.5384615384615415E-2</v>
      </c>
      <c r="CQ39" s="165">
        <f t="shared" ca="1" si="17"/>
        <v>-8.6956521739131633E-3</v>
      </c>
      <c r="CR39" s="247">
        <f t="shared" ca="1" si="17"/>
        <v>0</v>
      </c>
      <c r="CS39" s="247">
        <f t="shared" ca="1" si="17"/>
        <v>-8.3333333333333263E-3</v>
      </c>
      <c r="CT39" s="247">
        <f t="shared" ca="1" si="17"/>
        <v>0</v>
      </c>
      <c r="CU39" s="247">
        <f t="shared" ca="1" si="17"/>
        <v>-7.9999999999999724E-3</v>
      </c>
      <c r="CV39" s="247">
        <f t="shared" ca="1" si="17"/>
        <v>-9.523809523809653E-3</v>
      </c>
      <c r="CW39" s="247">
        <f t="shared" ca="1" si="17"/>
        <v>-7.1428571428571374E-3</v>
      </c>
      <c r="CX39" s="247">
        <f t="shared" ca="1" si="17"/>
        <v>-5.5555555555556893E-3</v>
      </c>
      <c r="CY39" s="247">
        <f t="shared" ca="1" si="17"/>
        <v>-7.6923076923077474E-3</v>
      </c>
      <c r="CZ39" s="247">
        <f t="shared" ca="1" si="18"/>
        <v>-6.0606060606060944E-3</v>
      </c>
      <c r="DA39" s="247">
        <f t="shared" ca="1" si="18"/>
        <v>-7.1428571428572493E-3</v>
      </c>
      <c r="DB39" s="247">
        <f t="shared" ca="1" si="18"/>
        <v>-6.6666666666665327E-3</v>
      </c>
    </row>
    <row r="40" spans="3:106" x14ac:dyDescent="0.3">
      <c r="C40" s="165" t="str">
        <f t="shared" si="12"/>
        <v>1. Attack actors:Compared to last month the threat to your organization from the following actors has: - Criminals: The threat to your organization from criminally motivated attackers</v>
      </c>
      <c r="D40" s="165" t="str">
        <f t="shared" si="13"/>
        <v>Attackers: Criminals</v>
      </c>
      <c r="F40" s="165">
        <f t="shared" si="14"/>
        <v>0</v>
      </c>
      <c r="G40" s="165">
        <f t="shared" si="15"/>
        <v>0</v>
      </c>
      <c r="H40" s="165">
        <f t="shared" si="15"/>
        <v>0</v>
      </c>
      <c r="I40" s="165">
        <f t="shared" si="15"/>
        <v>0</v>
      </c>
      <c r="J40" s="165">
        <f t="shared" si="15"/>
        <v>0</v>
      </c>
      <c r="K40" s="165">
        <f t="shared" si="15"/>
        <v>0</v>
      </c>
      <c r="L40" s="165">
        <f t="shared" si="15"/>
        <v>0</v>
      </c>
      <c r="M40" s="165">
        <f t="shared" si="15"/>
        <v>0</v>
      </c>
      <c r="N40" s="165">
        <f t="shared" si="15"/>
        <v>0</v>
      </c>
      <c r="O40" s="165">
        <f t="shared" si="15"/>
        <v>0</v>
      </c>
      <c r="P40" s="165">
        <f t="shared" si="15"/>
        <v>0</v>
      </c>
      <c r="Q40" s="165">
        <f t="shared" si="15"/>
        <v>0</v>
      </c>
      <c r="R40" s="165">
        <f t="shared" si="15"/>
        <v>0</v>
      </c>
      <c r="S40" s="165">
        <f t="shared" si="15"/>
        <v>2.2844827586206817E-2</v>
      </c>
      <c r="T40" s="165">
        <f t="shared" si="15"/>
        <v>3.2258064516129024E-2</v>
      </c>
      <c r="U40" s="165">
        <f t="shared" si="15"/>
        <v>3.4433962264151026E-2</v>
      </c>
      <c r="V40" s="165">
        <f t="shared" si="15"/>
        <v>1.7307692307692243E-2</v>
      </c>
      <c r="W40" s="165">
        <f t="shared" si="15"/>
        <v>1.7934782608695556E-2</v>
      </c>
      <c r="X40" s="165">
        <f t="shared" si="15"/>
        <v>2.7604166666666707E-2</v>
      </c>
      <c r="Y40" s="165">
        <f t="shared" si="15"/>
        <v>1.4583333333333387E-2</v>
      </c>
      <c r="Z40" s="165">
        <f t="shared" si="15"/>
        <v>3.3050847457627042E-2</v>
      </c>
      <c r="AA40" s="165">
        <f t="shared" si="15"/>
        <v>3.2432432432432469E-2</v>
      </c>
      <c r="AB40" s="165">
        <f t="shared" si="15"/>
        <v>2.931034482758612E-2</v>
      </c>
      <c r="AC40" s="165">
        <f t="shared" si="15"/>
        <v>3.1060606060606132E-2</v>
      </c>
      <c r="AD40" s="165">
        <f t="shared" si="15"/>
        <v>1.9298245614035155E-2</v>
      </c>
      <c r="AE40" s="165">
        <f t="shared" si="15"/>
        <v>1.9897959183673465E-2</v>
      </c>
      <c r="AF40" s="165">
        <f t="shared" si="15"/>
        <v>2.8061224489796015E-2</v>
      </c>
      <c r="AG40" s="165">
        <f t="shared" si="15"/>
        <v>1.5714285714285819E-2</v>
      </c>
      <c r="AH40" s="165">
        <f t="shared" si="15"/>
        <v>1.9811320754716942E-2</v>
      </c>
      <c r="AI40" s="165">
        <f t="shared" si="15"/>
        <v>2.3717948717948786E-2</v>
      </c>
      <c r="AJ40" s="165">
        <f t="shared" si="15"/>
        <v>2.3469387755102048E-2</v>
      </c>
      <c r="AK40" s="165">
        <f t="shared" si="15"/>
        <v>2.4444444444444418E-2</v>
      </c>
      <c r="AL40" s="165">
        <f t="shared" si="15"/>
        <v>3.525641025641018E-2</v>
      </c>
      <c r="AM40" s="165">
        <f t="shared" si="15"/>
        <v>4.3229166666666707E-2</v>
      </c>
      <c r="AN40" s="165">
        <f t="shared" si="15"/>
        <v>2.034883720930241E-2</v>
      </c>
      <c r="AO40" s="165">
        <f t="shared" si="15"/>
        <v>2.5000000000000015E-2</v>
      </c>
      <c r="AP40" s="165">
        <f t="shared" si="15"/>
        <v>4.0697674418604557E-2</v>
      </c>
      <c r="AQ40" s="165">
        <f t="shared" si="15"/>
        <v>1.7613636363636418E-2</v>
      </c>
      <c r="AR40" s="165">
        <f t="shared" si="15"/>
        <v>1.4634146341463357E-2</v>
      </c>
      <c r="AS40" s="165">
        <f t="shared" si="15"/>
        <v>2.2857142857142815E-2</v>
      </c>
      <c r="AT40" s="165">
        <f t="shared" si="15"/>
        <v>2.3809523809523885E-2</v>
      </c>
      <c r="AU40" s="165">
        <f t="shared" si="15"/>
        <v>4.1666666666666657E-2</v>
      </c>
      <c r="AV40" s="165">
        <f t="shared" si="15"/>
        <v>3.8970588235294201E-2</v>
      </c>
      <c r="AW40" s="165">
        <f t="shared" si="15"/>
        <v>2.6315789473684192E-2</v>
      </c>
      <c r="AX40" s="165">
        <f t="shared" si="15"/>
        <v>3.684210526315794E-2</v>
      </c>
      <c r="AY40" s="165">
        <f t="shared" si="15"/>
        <v>2.7840909090909013E-2</v>
      </c>
      <c r="AZ40" s="165">
        <f t="shared" si="15"/>
        <v>4.8684210526315719E-2</v>
      </c>
      <c r="BA40" s="165">
        <f t="shared" si="15"/>
        <v>3.7500000000000033E-2</v>
      </c>
      <c r="BB40" s="165">
        <f t="shared" si="15"/>
        <v>1.3815789473684144E-2</v>
      </c>
      <c r="BC40" s="165">
        <f t="shared" si="15"/>
        <v>1.4634146341463357E-2</v>
      </c>
      <c r="BD40" s="165">
        <f t="shared" si="15"/>
        <v>2.8048780487804965E-2</v>
      </c>
      <c r="BE40" s="165">
        <f t="shared" si="15"/>
        <v>2.1621621621621522E-2</v>
      </c>
      <c r="BF40" s="165">
        <f t="shared" si="15"/>
        <v>3.6029411764705851E-2</v>
      </c>
      <c r="BG40" s="165">
        <f t="shared" si="15"/>
        <v>1.4583333333333387E-2</v>
      </c>
      <c r="BH40" s="165">
        <f t="shared" si="15"/>
        <v>2.1052631578947309E-2</v>
      </c>
      <c r="BI40" s="165">
        <f t="shared" si="15"/>
        <v>1.5740740740740739E-2</v>
      </c>
      <c r="BJ40" s="165">
        <f t="shared" si="15"/>
        <v>1.9166666666666624E-2</v>
      </c>
      <c r="BK40" s="165">
        <f t="shared" si="15"/>
        <v>2.7205882352941146E-2</v>
      </c>
      <c r="BL40" s="165">
        <f t="shared" si="15"/>
        <v>8.1081081081081589E-3</v>
      </c>
      <c r="BM40" s="165">
        <f t="shared" ca="1" si="15"/>
        <v>-0.24665001840169867</v>
      </c>
      <c r="BN40" s="165">
        <f t="shared" ca="1" si="15"/>
        <v>1.7142857142857126E-2</v>
      </c>
      <c r="BO40" s="165">
        <f t="shared" ca="1" si="15"/>
        <v>6.4516129032258654E-3</v>
      </c>
      <c r="BP40" s="165">
        <f t="shared" ca="1" si="16"/>
        <v>2.0689655172413852E-2</v>
      </c>
      <c r="BQ40" s="165">
        <f t="shared" ca="1" si="16"/>
        <v>2.0689655172413852E-2</v>
      </c>
      <c r="BR40" s="165">
        <f t="shared" ca="1" si="16"/>
        <v>0</v>
      </c>
      <c r="BS40" s="165">
        <f t="shared" ca="1" si="16"/>
        <v>6.060606060605986E-3</v>
      </c>
      <c r="BT40" s="165">
        <f t="shared" ca="1" si="16"/>
        <v>1.2500000000000039E-2</v>
      </c>
      <c r="BU40" s="165">
        <f t="shared" ca="1" si="16"/>
        <v>0</v>
      </c>
      <c r="BV40" s="165">
        <f t="shared" ca="1" si="16"/>
        <v>0</v>
      </c>
      <c r="BW40" s="165">
        <f t="shared" ca="1" si="16"/>
        <v>6.4516129032258654E-3</v>
      </c>
      <c r="BX40" s="165">
        <f t="shared" ca="1" si="16"/>
        <v>0</v>
      </c>
      <c r="BY40" s="165">
        <f t="shared" ca="1" si="16"/>
        <v>-6.6666666666666445E-3</v>
      </c>
      <c r="BZ40" s="165">
        <f t="shared" ca="1" si="16"/>
        <v>6.4516129032258654E-3</v>
      </c>
      <c r="CA40" s="165">
        <f t="shared" ca="1" si="17"/>
        <v>1.2903225806451557E-2</v>
      </c>
      <c r="CB40" s="165">
        <f t="shared" ca="1" si="17"/>
        <v>6.6666666666667426E-3</v>
      </c>
      <c r="CC40" s="165">
        <f t="shared" ca="1" si="17"/>
        <v>7.6923076923077222E-3</v>
      </c>
      <c r="CD40" s="165">
        <f t="shared" ca="1" si="17"/>
        <v>1.1764705882352875E-2</v>
      </c>
      <c r="CE40" s="165">
        <f t="shared" ca="1" si="17"/>
        <v>0</v>
      </c>
      <c r="CF40" s="165">
        <f t="shared" ca="1" si="17"/>
        <v>-7.1428571428571374E-3</v>
      </c>
      <c r="CG40" s="165">
        <f t="shared" ca="1" si="17"/>
        <v>1.3793103448275936E-2</v>
      </c>
      <c r="CH40" s="165">
        <f t="shared" ca="1" si="17"/>
        <v>0</v>
      </c>
      <c r="CI40" s="165">
        <f t="shared" ca="1" si="17"/>
        <v>-7.1428571428571374E-3</v>
      </c>
      <c r="CJ40" s="165">
        <f t="shared" ca="1" si="17"/>
        <v>8.000000000000047E-3</v>
      </c>
      <c r="CK40" s="165">
        <f t="shared" ca="1" si="17"/>
        <v>0</v>
      </c>
      <c r="CL40" s="165">
        <f t="shared" ca="1" si="17"/>
        <v>0</v>
      </c>
      <c r="CM40" s="165">
        <f t="shared" ca="1" si="17"/>
        <v>0</v>
      </c>
      <c r="CN40" s="165">
        <f t="shared" ca="1" si="17"/>
        <v>0</v>
      </c>
      <c r="CO40" s="165">
        <f t="shared" ca="1" si="17"/>
        <v>1.6000000000000087E-2</v>
      </c>
      <c r="CP40" s="165">
        <f t="shared" ca="1" si="17"/>
        <v>0</v>
      </c>
      <c r="CQ40" s="165">
        <f t="shared" ca="1" si="17"/>
        <v>0</v>
      </c>
      <c r="CR40" s="247">
        <f t="shared" ca="1" si="17"/>
        <v>0</v>
      </c>
      <c r="CS40" s="247">
        <f t="shared" ca="1" si="17"/>
        <v>8.3333333333333662E-3</v>
      </c>
      <c r="CT40" s="247">
        <f t="shared" ca="1" si="17"/>
        <v>0</v>
      </c>
      <c r="CU40" s="247">
        <f t="shared" ca="1" si="17"/>
        <v>8.000000000000047E-3</v>
      </c>
      <c r="CV40" s="247">
        <f t="shared" ca="1" si="17"/>
        <v>-9.523809523809542E-3</v>
      </c>
      <c r="CW40" s="247">
        <f t="shared" ca="1" si="17"/>
        <v>0</v>
      </c>
      <c r="CX40" s="247">
        <f t="shared" ca="1" si="17"/>
        <v>0</v>
      </c>
      <c r="CY40" s="247">
        <f t="shared" ref="CY40:DB52" ca="1" si="20">IFERROR(LN(CY7/CX7),0)</f>
        <v>0</v>
      </c>
      <c r="CZ40" s="247">
        <f t="shared" ca="1" si="20"/>
        <v>-6.0606060606060944E-3</v>
      </c>
      <c r="DA40" s="247">
        <f t="shared" ca="1" si="20"/>
        <v>-7.1428571428571374E-3</v>
      </c>
      <c r="DB40" s="247">
        <f t="shared" ca="1" si="20"/>
        <v>6.6666666666667426E-3</v>
      </c>
    </row>
    <row r="41" spans="3:106" x14ac:dyDescent="0.3">
      <c r="C41" s="165" t="str">
        <f t="shared" si="12"/>
        <v>1. Attack actors:Compared to last month the threat to your organization from the following actors has: - Nation-states: The degree to which you are a target for nation-state actors (including state owned enterprises or groups)</v>
      </c>
      <c r="D41" s="165" t="str">
        <f t="shared" si="13"/>
        <v>Attackers: Nation states</v>
      </c>
      <c r="F41" s="165">
        <f t="shared" si="14"/>
        <v>4.5070422535211228E-2</v>
      </c>
      <c r="G41" s="165">
        <f t="shared" si="15"/>
        <v>2.714285714285709E-2</v>
      </c>
      <c r="H41" s="165">
        <f t="shared" si="15"/>
        <v>2.9924242424242416E-2</v>
      </c>
      <c r="I41" s="165">
        <f t="shared" si="15"/>
        <v>2.0762711864406723E-2</v>
      </c>
      <c r="J41" s="165">
        <f t="shared" si="15"/>
        <v>2.6229508196721259E-2</v>
      </c>
      <c r="K41" s="165">
        <f t="shared" si="15"/>
        <v>2.8181818181818266E-2</v>
      </c>
      <c r="L41" s="165">
        <f t="shared" si="15"/>
        <v>3.1343283582089598E-2</v>
      </c>
      <c r="M41" s="165">
        <f t="shared" si="15"/>
        <v>1.1160714285714315E-2</v>
      </c>
      <c r="N41" s="165">
        <f t="shared" si="15"/>
        <v>2.6442307692307754E-2</v>
      </c>
      <c r="O41" s="165">
        <f t="shared" si="15"/>
        <v>3.2786885245901586E-2</v>
      </c>
      <c r="P41" s="165">
        <f t="shared" si="15"/>
        <v>2.1982758620689602E-2</v>
      </c>
      <c r="Q41" s="165">
        <f t="shared" si="15"/>
        <v>1.9090909090909058E-2</v>
      </c>
      <c r="R41" s="165">
        <f t="shared" si="15"/>
        <v>2.7651515151515201E-2</v>
      </c>
      <c r="S41" s="165">
        <f t="shared" si="15"/>
        <v>3.1465517241379415E-2</v>
      </c>
      <c r="T41" s="165">
        <f t="shared" si="15"/>
        <v>3.5887096774193453E-2</v>
      </c>
      <c r="U41" s="165">
        <f t="shared" si="15"/>
        <v>3.0660377358490483E-2</v>
      </c>
      <c r="V41" s="165">
        <f t="shared" si="15"/>
        <v>2.0192307692307617E-2</v>
      </c>
      <c r="W41" s="165">
        <f t="shared" si="15"/>
        <v>3.0978260869565122E-2</v>
      </c>
      <c r="X41" s="165">
        <f t="shared" si="15"/>
        <v>5.1041666666666673E-2</v>
      </c>
      <c r="Y41" s="165">
        <f t="shared" si="15"/>
        <v>2.1354166666666716E-2</v>
      </c>
      <c r="Z41" s="165">
        <f t="shared" si="15"/>
        <v>2.8389830508474653E-2</v>
      </c>
      <c r="AA41" s="165">
        <f t="shared" si="15"/>
        <v>2.9391891891891928E-2</v>
      </c>
      <c r="AB41" s="165">
        <f t="shared" si="15"/>
        <v>4.1379310344827655E-2</v>
      </c>
      <c r="AC41" s="165">
        <f t="shared" si="15"/>
        <v>3.787878787878797E-2</v>
      </c>
      <c r="AD41" s="165">
        <f t="shared" si="15"/>
        <v>3.2894736842105282E-2</v>
      </c>
      <c r="AE41" s="165">
        <f t="shared" si="15"/>
        <v>1.7857142857142832E-2</v>
      </c>
      <c r="AF41" s="165">
        <f t="shared" si="15"/>
        <v>1.5816326530612212E-2</v>
      </c>
      <c r="AG41" s="165">
        <f t="shared" ref="G41:BO45" si="21">IFERROR(LN(AG8/AF8),0)</f>
        <v>2.4285714285714355E-2</v>
      </c>
      <c r="AH41" s="165">
        <f t="shared" si="21"/>
        <v>2.028301886792459E-2</v>
      </c>
      <c r="AI41" s="165">
        <f t="shared" si="21"/>
        <v>2.1153846153846058E-2</v>
      </c>
      <c r="AJ41" s="165">
        <f t="shared" si="21"/>
        <v>2.0918367346938735E-2</v>
      </c>
      <c r="AK41" s="165">
        <f t="shared" si="21"/>
        <v>1.3888888888888833E-2</v>
      </c>
      <c r="AL41" s="165">
        <f t="shared" si="21"/>
        <v>2.8205128205128299E-2</v>
      </c>
      <c r="AM41" s="165">
        <f t="shared" si="21"/>
        <v>2.2395833333333278E-2</v>
      </c>
      <c r="AN41" s="165">
        <f t="shared" si="21"/>
        <v>2.5000000000000015E-2</v>
      </c>
      <c r="AO41" s="165">
        <f t="shared" si="21"/>
        <v>2.9878048780487859E-2</v>
      </c>
      <c r="AP41" s="165">
        <f t="shared" si="21"/>
        <v>1.686046511627905E-2</v>
      </c>
      <c r="AQ41" s="165">
        <f t="shared" si="21"/>
        <v>2.2159090909090906E-2</v>
      </c>
      <c r="AR41" s="165">
        <f t="shared" si="21"/>
        <v>1.8292682926830043E-3</v>
      </c>
      <c r="AS41" s="165">
        <f t="shared" si="21"/>
        <v>2.2857142857142815E-2</v>
      </c>
      <c r="AT41" s="165">
        <f t="shared" si="21"/>
        <v>2.678571428571418E-2</v>
      </c>
      <c r="AU41" s="165">
        <f t="shared" si="21"/>
        <v>2.7976190476190408E-2</v>
      </c>
      <c r="AV41" s="165">
        <f t="shared" si="21"/>
        <v>1.5441176470588338E-2</v>
      </c>
      <c r="AW41" s="165">
        <f t="shared" si="21"/>
        <v>1.7105263157894835E-2</v>
      </c>
      <c r="AX41" s="165">
        <f t="shared" si="21"/>
        <v>6.1184210526315695E-2</v>
      </c>
      <c r="AY41" s="165">
        <f t="shared" si="21"/>
        <v>3.5795454545454609E-2</v>
      </c>
      <c r="AZ41" s="165">
        <f t="shared" si="21"/>
        <v>3.5526315789473774E-2</v>
      </c>
      <c r="BA41" s="165">
        <f t="shared" si="21"/>
        <v>2.7500000000000076E-2</v>
      </c>
      <c r="BB41" s="165">
        <f t="shared" si="21"/>
        <v>5.9210526315788816E-3</v>
      </c>
      <c r="BC41" s="165">
        <f t="shared" si="21"/>
        <v>2.9268292682926852E-2</v>
      </c>
      <c r="BD41" s="165">
        <f t="shared" si="21"/>
        <v>4.0243902439024475E-2</v>
      </c>
      <c r="BE41" s="165">
        <f t="shared" si="21"/>
        <v>2.5000000000000015E-2</v>
      </c>
      <c r="BF41" s="165">
        <f t="shared" si="21"/>
        <v>1.9117647058823593E-2</v>
      </c>
      <c r="BG41" s="165">
        <f t="shared" si="21"/>
        <v>6.2499999999999821E-3</v>
      </c>
      <c r="BH41" s="165">
        <f t="shared" si="21"/>
        <v>1.3157894736842151E-2</v>
      </c>
      <c r="BI41" s="165">
        <f t="shared" si="21"/>
        <v>2.407407407407406E-2</v>
      </c>
      <c r="BJ41" s="165">
        <f t="shared" si="21"/>
        <v>1.2500000000000039E-2</v>
      </c>
      <c r="BK41" s="165">
        <f t="shared" si="21"/>
        <v>8.8235294117645982E-3</v>
      </c>
      <c r="BL41" s="165">
        <f t="shared" si="21"/>
        <v>4.054054054054069E-3</v>
      </c>
      <c r="BM41" s="165">
        <f t="shared" ca="1" si="21"/>
        <v>-0.2384137678657427</v>
      </c>
      <c r="BN41" s="165">
        <f t="shared" ca="1" si="21"/>
        <v>5.7142857142856102E-3</v>
      </c>
      <c r="BO41" s="165">
        <f t="shared" ca="1" si="21"/>
        <v>0</v>
      </c>
      <c r="BP41" s="165">
        <f t="shared" ca="1" si="16"/>
        <v>0</v>
      </c>
      <c r="BQ41" s="165">
        <f t="shared" ca="1" si="16"/>
        <v>1.3793103448275936E-2</v>
      </c>
      <c r="BR41" s="165">
        <f t="shared" ca="1" si="16"/>
        <v>1.8181818181818209E-2</v>
      </c>
      <c r="BS41" s="165">
        <f t="shared" ca="1" si="16"/>
        <v>0</v>
      </c>
      <c r="BT41" s="165">
        <f t="shared" ca="1" si="16"/>
        <v>1.2500000000000039E-2</v>
      </c>
      <c r="BU41" s="165">
        <f t="shared" ca="1" si="16"/>
        <v>0</v>
      </c>
      <c r="BV41" s="165">
        <f t="shared" ca="1" si="16"/>
        <v>6.6666666666667426E-3</v>
      </c>
      <c r="BW41" s="165">
        <f t="shared" ca="1" si="16"/>
        <v>6.4516129032258654E-3</v>
      </c>
      <c r="BX41" s="165">
        <f t="shared" ca="1" si="16"/>
        <v>6.4516129032258654E-3</v>
      </c>
      <c r="BY41" s="165">
        <f t="shared" ca="1" si="16"/>
        <v>6.6666666666667426E-3</v>
      </c>
      <c r="BZ41" s="165">
        <f t="shared" ca="1" si="16"/>
        <v>0</v>
      </c>
      <c r="CA41" s="165">
        <f t="shared" ca="1" si="17"/>
        <v>6.4516129032258654E-3</v>
      </c>
      <c r="CB41" s="165">
        <f t="shared" ca="1" si="17"/>
        <v>6.6666666666667426E-3</v>
      </c>
      <c r="CC41" s="165">
        <f t="shared" ca="1" si="17"/>
        <v>0</v>
      </c>
      <c r="CD41" s="165">
        <f t="shared" ca="1" si="17"/>
        <v>0</v>
      </c>
      <c r="CE41" s="165">
        <f t="shared" ca="1" si="17"/>
        <v>0</v>
      </c>
      <c r="CF41" s="165">
        <f t="shared" ca="1" si="17"/>
        <v>0</v>
      </c>
      <c r="CG41" s="165">
        <f t="shared" ca="1" si="17"/>
        <v>0</v>
      </c>
      <c r="CH41" s="165">
        <f t="shared" ca="1" si="17"/>
        <v>7.6923076923077222E-3</v>
      </c>
      <c r="CI41" s="165">
        <f t="shared" ca="1" si="17"/>
        <v>0</v>
      </c>
      <c r="CJ41" s="165">
        <f t="shared" ca="1" si="17"/>
        <v>8.000000000000047E-3</v>
      </c>
      <c r="CK41" s="165">
        <f t="shared" ca="1" si="17"/>
        <v>0</v>
      </c>
      <c r="CL41" s="165">
        <f t="shared" ca="1" si="17"/>
        <v>9.0909090909089951E-3</v>
      </c>
      <c r="CM41" s="165">
        <f t="shared" ca="1" si="17"/>
        <v>6.8965517241378685E-3</v>
      </c>
      <c r="CN41" s="165">
        <f t="shared" ca="1" si="17"/>
        <v>8.3333333333333662E-3</v>
      </c>
      <c r="CO41" s="165">
        <f t="shared" ca="1" si="17"/>
        <v>8.000000000000047E-3</v>
      </c>
      <c r="CP41" s="165">
        <f t="shared" ca="1" si="17"/>
        <v>0</v>
      </c>
      <c r="CQ41" s="165">
        <f t="shared" ca="1" si="17"/>
        <v>2.6086956521739205E-2</v>
      </c>
      <c r="CR41" s="247">
        <f t="shared" ca="1" si="17"/>
        <v>1.1111111111111027E-2</v>
      </c>
      <c r="CS41" s="247">
        <f t="shared" ca="1" si="17"/>
        <v>0</v>
      </c>
      <c r="CT41" s="247">
        <f t="shared" ca="1" si="17"/>
        <v>0</v>
      </c>
      <c r="CU41" s="247">
        <f t="shared" ca="1" si="17"/>
        <v>8.000000000000047E-3</v>
      </c>
      <c r="CV41" s="247">
        <f t="shared" ca="1" si="17"/>
        <v>0</v>
      </c>
      <c r="CW41" s="247">
        <f t="shared" ca="1" si="17"/>
        <v>0</v>
      </c>
      <c r="CX41" s="247">
        <f t="shared" ca="1" si="17"/>
        <v>1.1111111111111027E-2</v>
      </c>
      <c r="CY41" s="247">
        <f t="shared" ca="1" si="20"/>
        <v>0</v>
      </c>
      <c r="CZ41" s="247">
        <f t="shared" ca="1" si="20"/>
        <v>6.060606060605986E-3</v>
      </c>
      <c r="DA41" s="247">
        <f t="shared" ca="1" si="20"/>
        <v>-7.1428571428570255E-3</v>
      </c>
      <c r="DB41" s="247">
        <f t="shared" ca="1" si="20"/>
        <v>6.6666666666667426E-3</v>
      </c>
    </row>
    <row r="42" spans="3:106" x14ac:dyDescent="0.3">
      <c r="C42" s="165" t="str">
        <f t="shared" si="12"/>
        <v>2. Weapons:Compared to last month the threat from the following attack paths has: - Botnets</v>
      </c>
      <c r="D42" s="165" t="str">
        <f t="shared" si="13"/>
        <v>Weapons: Botnets</v>
      </c>
      <c r="F42" s="165">
        <f t="shared" si="14"/>
        <v>0</v>
      </c>
      <c r="G42" s="165">
        <f t="shared" si="21"/>
        <v>0</v>
      </c>
      <c r="H42" s="165">
        <f t="shared" si="21"/>
        <v>0</v>
      </c>
      <c r="I42" s="165">
        <f t="shared" si="21"/>
        <v>0</v>
      </c>
      <c r="J42" s="165">
        <f t="shared" si="21"/>
        <v>0</v>
      </c>
      <c r="K42" s="165">
        <f t="shared" si="21"/>
        <v>0</v>
      </c>
      <c r="L42" s="165">
        <f t="shared" si="21"/>
        <v>0</v>
      </c>
      <c r="M42" s="165">
        <f t="shared" si="21"/>
        <v>0</v>
      </c>
      <c r="N42" s="165">
        <f t="shared" si="21"/>
        <v>0</v>
      </c>
      <c r="O42" s="165">
        <f t="shared" si="21"/>
        <v>0</v>
      </c>
      <c r="P42" s="165">
        <f t="shared" si="21"/>
        <v>0</v>
      </c>
      <c r="Q42" s="165">
        <f t="shared" si="21"/>
        <v>0</v>
      </c>
      <c r="R42" s="165">
        <f t="shared" si="21"/>
        <v>0</v>
      </c>
      <c r="S42" s="165">
        <f t="shared" si="21"/>
        <v>1.1637931034482655E-2</v>
      </c>
      <c r="T42" s="165">
        <f t="shared" si="21"/>
        <v>2.9435483870967644E-2</v>
      </c>
      <c r="U42" s="165">
        <f t="shared" si="21"/>
        <v>3.773584905660344E-3</v>
      </c>
      <c r="V42" s="165">
        <f t="shared" si="21"/>
        <v>7.211538461538488E-3</v>
      </c>
      <c r="W42" s="165">
        <f t="shared" si="21"/>
        <v>2.5543478260869487E-2</v>
      </c>
      <c r="X42" s="165">
        <f t="shared" si="21"/>
        <v>3.958333333333329E-2</v>
      </c>
      <c r="Y42" s="165">
        <f t="shared" si="21"/>
        <v>1.2500000000000039E-2</v>
      </c>
      <c r="Z42" s="165">
        <f t="shared" si="21"/>
        <v>3.3898305084745825E-2</v>
      </c>
      <c r="AA42" s="165">
        <f t="shared" si="21"/>
        <v>2.5000000000000015E-2</v>
      </c>
      <c r="AB42" s="165">
        <f t="shared" si="21"/>
        <v>2.1982758620689602E-2</v>
      </c>
      <c r="AC42" s="165">
        <f t="shared" si="21"/>
        <v>2.6515151515151505E-2</v>
      </c>
      <c r="AD42" s="165">
        <f t="shared" si="21"/>
        <v>2.8508771929824588E-2</v>
      </c>
      <c r="AE42" s="165">
        <f t="shared" si="21"/>
        <v>1.5816326530612212E-2</v>
      </c>
      <c r="AF42" s="165">
        <f t="shared" si="21"/>
        <v>3.0612244897960093E-3</v>
      </c>
      <c r="AG42" s="165">
        <f t="shared" si="21"/>
        <v>6.4285714285715065E-3</v>
      </c>
      <c r="AH42" s="165">
        <f t="shared" si="21"/>
        <v>1.084905660377355E-2</v>
      </c>
      <c r="AI42" s="165">
        <f t="shared" si="21"/>
        <v>3.8461538461539184E-3</v>
      </c>
      <c r="AJ42" s="165">
        <f t="shared" si="21"/>
        <v>0</v>
      </c>
      <c r="AK42" s="165">
        <f t="shared" si="21"/>
        <v>9.9999999999998927E-3</v>
      </c>
      <c r="AL42" s="165">
        <f t="shared" si="21"/>
        <v>7.051282051282008E-3</v>
      </c>
      <c r="AM42" s="165">
        <f t="shared" si="21"/>
        <v>1.7708333333333406E-2</v>
      </c>
      <c r="AN42" s="165">
        <f t="shared" si="21"/>
        <v>8.7209302325581741E-3</v>
      </c>
      <c r="AO42" s="165">
        <f t="shared" si="21"/>
        <v>5.4878048780487871E-3</v>
      </c>
      <c r="AP42" s="165">
        <f t="shared" si="21"/>
        <v>-3.4883720930232016E-3</v>
      </c>
      <c r="AQ42" s="165">
        <f t="shared" si="21"/>
        <v>1.7045454545455306E-3</v>
      </c>
      <c r="AR42" s="165">
        <f t="shared" si="21"/>
        <v>6.70731707317069E-3</v>
      </c>
      <c r="AS42" s="165">
        <f t="shared" si="21"/>
        <v>-1.0714285714285589E-2</v>
      </c>
      <c r="AT42" s="165">
        <f t="shared" si="21"/>
        <v>1.6666666666666583E-2</v>
      </c>
      <c r="AU42" s="165">
        <f t="shared" si="21"/>
        <v>2.3809523809523885E-2</v>
      </c>
      <c r="AV42" s="165">
        <f t="shared" si="21"/>
        <v>8.0882352941175975E-3</v>
      </c>
      <c r="AW42" s="165">
        <f t="shared" si="21"/>
        <v>2.0394736842105188E-2</v>
      </c>
      <c r="AX42" s="165">
        <f t="shared" si="21"/>
        <v>1.1184210526315703E-2</v>
      </c>
      <c r="AY42" s="165">
        <f t="shared" si="21"/>
        <v>1.4204545454545558E-2</v>
      </c>
      <c r="AZ42" s="165">
        <f t="shared" si="21"/>
        <v>4.605263157894772E-3</v>
      </c>
      <c r="BA42" s="165">
        <f t="shared" si="21"/>
        <v>8.1249999999999083E-3</v>
      </c>
      <c r="BB42" s="165">
        <f t="shared" si="21"/>
        <v>3.2894736842104962E-3</v>
      </c>
      <c r="BC42" s="165">
        <f t="shared" si="21"/>
        <v>1.2195121951219983E-3</v>
      </c>
      <c r="BD42" s="165">
        <f t="shared" si="21"/>
        <v>1.1585365853658477E-2</v>
      </c>
      <c r="BE42" s="165">
        <f t="shared" si="21"/>
        <v>1.0135135135135068E-2</v>
      </c>
      <c r="BF42" s="165">
        <f t="shared" si="21"/>
        <v>8.0882352941175975E-3</v>
      </c>
      <c r="BG42" s="165">
        <f t="shared" si="21"/>
        <v>-4.1666666666666519E-3</v>
      </c>
      <c r="BH42" s="165">
        <f t="shared" si="21"/>
        <v>3.9473684210525753E-3</v>
      </c>
      <c r="BI42" s="165">
        <f t="shared" si="21"/>
        <v>1.0185185185185264E-2</v>
      </c>
      <c r="BJ42" s="165">
        <f t="shared" si="21"/>
        <v>1.1666666666666711E-2</v>
      </c>
      <c r="BK42" s="165">
        <f t="shared" si="21"/>
        <v>0</v>
      </c>
      <c r="BL42" s="165">
        <f t="shared" si="21"/>
        <v>5.4054054054053502E-3</v>
      </c>
      <c r="BM42" s="165">
        <f t="shared" ca="1" si="21"/>
        <v>-2.9064048504271023E-2</v>
      </c>
      <c r="BN42" s="165">
        <f t="shared" ca="1" si="21"/>
        <v>-5.7142857142856735E-3</v>
      </c>
      <c r="BO42" s="165">
        <f t="shared" ca="1" si="21"/>
        <v>6.4516129032258654E-3</v>
      </c>
      <c r="BP42" s="165">
        <f t="shared" ca="1" si="16"/>
        <v>6.8965517241378685E-3</v>
      </c>
      <c r="BQ42" s="165">
        <f t="shared" ca="1" si="16"/>
        <v>0</v>
      </c>
      <c r="BR42" s="165">
        <f t="shared" ca="1" si="16"/>
        <v>-6.0606060606060944E-3</v>
      </c>
      <c r="BS42" s="165">
        <f t="shared" ca="1" si="16"/>
        <v>6.060606060605986E-3</v>
      </c>
      <c r="BT42" s="165">
        <f t="shared" ca="1" si="16"/>
        <v>2.5000000000000015E-2</v>
      </c>
      <c r="BU42" s="165">
        <f t="shared" ca="1" si="16"/>
        <v>5.8823529411765486E-3</v>
      </c>
      <c r="BV42" s="165">
        <f t="shared" ca="1" si="16"/>
        <v>-6.6666666666666445E-3</v>
      </c>
      <c r="BW42" s="165">
        <f t="shared" ca="1" si="16"/>
        <v>0</v>
      </c>
      <c r="BX42" s="165">
        <f t="shared" ca="1" si="16"/>
        <v>-6.4516129032258385E-3</v>
      </c>
      <c r="BY42" s="165">
        <f t="shared" ca="1" si="16"/>
        <v>-6.6666666666667564E-3</v>
      </c>
      <c r="BZ42" s="165">
        <f t="shared" ref="BZ42:CL61" ca="1" si="22">IFERROR(LN(BZ9/BY9),0)</f>
        <v>0</v>
      </c>
      <c r="CA42" s="165">
        <f t="shared" ca="1" si="22"/>
        <v>0</v>
      </c>
      <c r="CB42" s="165">
        <f t="shared" ca="1" si="22"/>
        <v>0</v>
      </c>
      <c r="CC42" s="165">
        <f t="shared" ca="1" si="22"/>
        <v>0</v>
      </c>
      <c r="CD42" s="165">
        <f t="shared" ca="1" si="22"/>
        <v>0</v>
      </c>
      <c r="CE42" s="165">
        <f t="shared" ca="1" si="22"/>
        <v>-1.1111111111111032E-2</v>
      </c>
      <c r="CF42" s="165">
        <f t="shared" ca="1" si="22"/>
        <v>-7.1428571428571374E-3</v>
      </c>
      <c r="CG42" s="165">
        <f t="shared" ca="1" si="22"/>
        <v>6.8965517241378685E-3</v>
      </c>
      <c r="CH42" s="165">
        <f t="shared" ca="1" si="22"/>
        <v>-1.5384615384615415E-2</v>
      </c>
      <c r="CI42" s="165">
        <f t="shared" ca="1" si="22"/>
        <v>7.1428571428572155E-3</v>
      </c>
      <c r="CJ42" s="165">
        <f t="shared" ca="1" si="22"/>
        <v>8.000000000000047E-3</v>
      </c>
      <c r="CK42" s="165">
        <f t="shared" ca="1" si="22"/>
        <v>-7.4074074074075291E-3</v>
      </c>
      <c r="CL42" s="165">
        <f t="shared" ca="1" si="22"/>
        <v>-9.0909090909090957E-3</v>
      </c>
      <c r="CM42" s="165">
        <f t="shared" ca="1" si="17"/>
        <v>-6.8965517241378789E-3</v>
      </c>
      <c r="CN42" s="165">
        <f t="shared" ca="1" si="17"/>
        <v>0</v>
      </c>
      <c r="CO42" s="165">
        <f t="shared" ca="1" si="17"/>
        <v>-8.0000000000000852E-3</v>
      </c>
      <c r="CP42" s="165">
        <f t="shared" ca="1" si="17"/>
        <v>-7.6923076923077474E-3</v>
      </c>
      <c r="CQ42" s="165">
        <f t="shared" ca="1" si="17"/>
        <v>-8.6956521739130523E-3</v>
      </c>
      <c r="CR42" s="247">
        <f t="shared" ca="1" si="17"/>
        <v>-1.1111111111111143E-2</v>
      </c>
      <c r="CS42" s="247">
        <f t="shared" ca="1" si="17"/>
        <v>-8.3333333333332153E-3</v>
      </c>
      <c r="CT42" s="247">
        <f t="shared" ca="1" si="17"/>
        <v>-8.6956521739130523E-3</v>
      </c>
      <c r="CU42" s="247">
        <f t="shared" ca="1" si="17"/>
        <v>0</v>
      </c>
      <c r="CV42" s="247">
        <f t="shared" ca="1" si="17"/>
        <v>-9.523809523809542E-3</v>
      </c>
      <c r="CW42" s="247">
        <f t="shared" ca="1" si="17"/>
        <v>-7.1428571428571374E-3</v>
      </c>
      <c r="CX42" s="247">
        <f t="shared" ca="1" si="17"/>
        <v>-1.1111111111111032E-2</v>
      </c>
      <c r="CY42" s="247">
        <f t="shared" ca="1" si="20"/>
        <v>-7.6923076923077474E-3</v>
      </c>
      <c r="CZ42" s="247">
        <f t="shared" ca="1" si="20"/>
        <v>0</v>
      </c>
      <c r="DA42" s="247">
        <f t="shared" ca="1" si="20"/>
        <v>-7.1428571428571374E-3</v>
      </c>
      <c r="DB42" s="247">
        <f t="shared" ca="1" si="20"/>
        <v>-1.333333333333336E-2</v>
      </c>
    </row>
    <row r="43" spans="3:106" x14ac:dyDescent="0.3">
      <c r="C43" s="165" t="str">
        <f t="shared" si="12"/>
        <v>2. Weapons:Compared to last month the threat from the following attack paths has: - Mass malware</v>
      </c>
      <c r="D43" s="165" t="str">
        <f t="shared" si="13"/>
        <v>Weapons: Mass malware</v>
      </c>
      <c r="F43" s="165">
        <f t="shared" si="14"/>
        <v>4.6830985915492944E-2</v>
      </c>
      <c r="G43" s="165">
        <f t="shared" si="21"/>
        <v>3.0357142857142905E-2</v>
      </c>
      <c r="H43" s="165">
        <f t="shared" si="21"/>
        <v>2.5757575757575653E-2</v>
      </c>
      <c r="I43" s="165">
        <f t="shared" si="21"/>
        <v>1.694915254237284E-2</v>
      </c>
      <c r="J43" s="165">
        <f t="shared" si="21"/>
        <v>2.8278688524590253E-2</v>
      </c>
      <c r="K43" s="165">
        <f t="shared" si="21"/>
        <v>2.8181818181818266E-2</v>
      </c>
      <c r="L43" s="165">
        <f t="shared" si="21"/>
        <v>2.0149253731343256E-2</v>
      </c>
      <c r="M43" s="165">
        <f t="shared" si="21"/>
        <v>1.830357142857145E-2</v>
      </c>
      <c r="N43" s="165">
        <f t="shared" si="21"/>
        <v>2.1634615384615485E-2</v>
      </c>
      <c r="O43" s="165">
        <f t="shared" si="21"/>
        <v>2.8278688524590253E-2</v>
      </c>
      <c r="P43" s="165">
        <f t="shared" si="21"/>
        <v>2.8879310344827477E-2</v>
      </c>
      <c r="Q43" s="165">
        <f t="shared" si="21"/>
        <v>2.5909090909090826E-2</v>
      </c>
      <c r="R43" s="165">
        <f t="shared" si="21"/>
        <v>4.3181818181818141E-2</v>
      </c>
      <c r="S43" s="165">
        <f t="shared" si="21"/>
        <v>1.465517241379301E-2</v>
      </c>
      <c r="T43" s="165">
        <f t="shared" si="21"/>
        <v>3.0645161290322635E-2</v>
      </c>
      <c r="U43" s="165">
        <f t="shared" si="21"/>
        <v>1.3679245283018948E-2</v>
      </c>
      <c r="V43" s="165">
        <f t="shared" si="21"/>
        <v>1.9711538461538489E-2</v>
      </c>
      <c r="W43" s="165">
        <f t="shared" si="21"/>
        <v>2.7173913043478215E-2</v>
      </c>
      <c r="X43" s="165">
        <f t="shared" si="21"/>
        <v>1.7708333333333406E-2</v>
      </c>
      <c r="Y43" s="165">
        <f t="shared" si="21"/>
        <v>1.8750000000000103E-2</v>
      </c>
      <c r="Z43" s="165">
        <f t="shared" si="21"/>
        <v>2.415254237288126E-2</v>
      </c>
      <c r="AA43" s="165">
        <f t="shared" si="21"/>
        <v>1.9594594594594658E-2</v>
      </c>
      <c r="AB43" s="165">
        <f t="shared" si="21"/>
        <v>2.5862068965517244E-2</v>
      </c>
      <c r="AC43" s="165">
        <f t="shared" si="21"/>
        <v>1.5530303030303137E-2</v>
      </c>
      <c r="AD43" s="165">
        <f t="shared" si="21"/>
        <v>1.8421052631578998E-2</v>
      </c>
      <c r="AE43" s="165">
        <f t="shared" si="21"/>
        <v>1.5306122448979682E-2</v>
      </c>
      <c r="AF43" s="165">
        <f t="shared" si="21"/>
        <v>4.5918367346939239E-3</v>
      </c>
      <c r="AG43" s="165">
        <f t="shared" si="21"/>
        <v>1.0714285714285622E-2</v>
      </c>
      <c r="AH43" s="165">
        <f t="shared" si="21"/>
        <v>6.6037735849057092E-3</v>
      </c>
      <c r="AI43" s="165">
        <f t="shared" si="21"/>
        <v>9.6153846153846541E-3</v>
      </c>
      <c r="AJ43" s="165">
        <f t="shared" si="21"/>
        <v>9.1836734693876952E-3</v>
      </c>
      <c r="AK43" s="165">
        <f t="shared" si="21"/>
        <v>1.1666666666666711E-2</v>
      </c>
      <c r="AL43" s="165">
        <f t="shared" si="21"/>
        <v>1.0897435897435873E-2</v>
      </c>
      <c r="AM43" s="165">
        <f t="shared" si="21"/>
        <v>1.7708333333333406E-2</v>
      </c>
      <c r="AN43" s="165">
        <f t="shared" si="21"/>
        <v>3.4883720930232978E-3</v>
      </c>
      <c r="AO43" s="165">
        <f t="shared" si="21"/>
        <v>1.4024390243902361E-2</v>
      </c>
      <c r="AP43" s="165">
        <f t="shared" si="21"/>
        <v>1.8604651162790701E-2</v>
      </c>
      <c r="AQ43" s="165">
        <f t="shared" si="21"/>
        <v>6.2499999999999821E-3</v>
      </c>
      <c r="AR43" s="165">
        <f t="shared" si="21"/>
        <v>4.8780487804879142E-3</v>
      </c>
      <c r="AS43" s="165">
        <f t="shared" si="21"/>
        <v>4.2857142857142868E-3</v>
      </c>
      <c r="AT43" s="165">
        <f t="shared" si="21"/>
        <v>1.3690476190476194E-2</v>
      </c>
      <c r="AU43" s="165">
        <f t="shared" si="21"/>
        <v>3.2142857142857188E-2</v>
      </c>
      <c r="AV43" s="165">
        <f t="shared" si="21"/>
        <v>2.2794117647058909E-2</v>
      </c>
      <c r="AW43" s="165">
        <f t="shared" si="21"/>
        <v>3.1578947368421061E-2</v>
      </c>
      <c r="AX43" s="165">
        <f t="shared" si="21"/>
        <v>2.6315789473684192E-2</v>
      </c>
      <c r="AY43" s="165">
        <f t="shared" si="21"/>
        <v>1.9318181818181797E-2</v>
      </c>
      <c r="AZ43" s="165">
        <f t="shared" si="21"/>
        <v>1.578947368421053E-2</v>
      </c>
      <c r="BA43" s="165">
        <f t="shared" si="21"/>
        <v>9.9999999999998927E-3</v>
      </c>
      <c r="BB43" s="165">
        <f t="shared" si="21"/>
        <v>-1.9736842105263063E-3</v>
      </c>
      <c r="BC43" s="165">
        <f t="shared" si="21"/>
        <v>6.70731707317069E-3</v>
      </c>
      <c r="BD43" s="165">
        <f t="shared" si="21"/>
        <v>1.8902439024390181E-2</v>
      </c>
      <c r="BE43" s="165">
        <f t="shared" si="21"/>
        <v>1.6216216216216123E-2</v>
      </c>
      <c r="BF43" s="165">
        <f t="shared" si="21"/>
        <v>1.2500000000000039E-2</v>
      </c>
      <c r="BG43" s="165">
        <f t="shared" si="21"/>
        <v>4.1666666666665894E-3</v>
      </c>
      <c r="BH43" s="165">
        <f t="shared" si="21"/>
        <v>-3.2894736842106094E-3</v>
      </c>
      <c r="BI43" s="165">
        <f t="shared" si="21"/>
        <v>1.8518518518519044E-3</v>
      </c>
      <c r="BJ43" s="165">
        <f t="shared" si="21"/>
        <v>1.1666666666666711E-2</v>
      </c>
      <c r="BK43" s="165">
        <f t="shared" si="21"/>
        <v>8.8235294117645982E-3</v>
      </c>
      <c r="BL43" s="165">
        <f t="shared" si="21"/>
        <v>1.8918918918918951E-2</v>
      </c>
      <c r="BM43" s="165">
        <f t="shared" ca="1" si="21"/>
        <v>-9.0097835697208667E-2</v>
      </c>
      <c r="BN43" s="165">
        <f t="shared" ca="1" si="21"/>
        <v>-5.7142857142857854E-3</v>
      </c>
      <c r="BO43" s="165">
        <f t="shared" ca="1" si="21"/>
        <v>6.4516129032258654E-3</v>
      </c>
      <c r="BP43" s="165">
        <f t="shared" ca="1" si="16"/>
        <v>6.8965517241378685E-3</v>
      </c>
      <c r="BQ43" s="165">
        <f t="shared" ca="1" si="16"/>
        <v>0</v>
      </c>
      <c r="BR43" s="165">
        <f t="shared" ca="1" si="16"/>
        <v>-6.0606060606062063E-3</v>
      </c>
      <c r="BS43" s="165">
        <f t="shared" ca="1" si="16"/>
        <v>6.060606060605986E-3</v>
      </c>
      <c r="BT43" s="165">
        <f t="shared" ca="1" si="16"/>
        <v>0</v>
      </c>
      <c r="BU43" s="165">
        <f t="shared" ca="1" si="16"/>
        <v>5.8823529411765486E-3</v>
      </c>
      <c r="BV43" s="165">
        <f t="shared" ca="1" si="16"/>
        <v>0</v>
      </c>
      <c r="BW43" s="165">
        <f t="shared" ca="1" si="16"/>
        <v>0</v>
      </c>
      <c r="BX43" s="165">
        <f t="shared" ca="1" si="16"/>
        <v>-6.4516129032258385E-3</v>
      </c>
      <c r="BY43" s="165">
        <f t="shared" ca="1" si="16"/>
        <v>0</v>
      </c>
      <c r="BZ43" s="165">
        <f t="shared" ca="1" si="22"/>
        <v>0</v>
      </c>
      <c r="CA43" s="165">
        <f t="shared" ca="1" si="22"/>
        <v>2.580645161290333E-2</v>
      </c>
      <c r="CB43" s="165">
        <f t="shared" ca="1" si="22"/>
        <v>-6.6666666666667564E-3</v>
      </c>
      <c r="CC43" s="165">
        <f t="shared" ca="1" si="22"/>
        <v>1.5384615384615392E-2</v>
      </c>
      <c r="CD43" s="165">
        <f t="shared" ca="1" si="22"/>
        <v>-5.882352941176415E-3</v>
      </c>
      <c r="CE43" s="165">
        <f t="shared" ca="1" si="22"/>
        <v>-1.1111111111111143E-2</v>
      </c>
      <c r="CF43" s="165">
        <f t="shared" ca="1" si="22"/>
        <v>-7.1428571428571374E-3</v>
      </c>
      <c r="CG43" s="165">
        <f t="shared" ca="1" si="22"/>
        <v>0</v>
      </c>
      <c r="CH43" s="165">
        <f t="shared" ca="1" si="22"/>
        <v>-7.6923076923078593E-3</v>
      </c>
      <c r="CI43" s="165">
        <f t="shared" ca="1" si="22"/>
        <v>7.1428571428572155E-3</v>
      </c>
      <c r="CJ43" s="165">
        <f t="shared" ca="1" si="22"/>
        <v>0</v>
      </c>
      <c r="CK43" s="165">
        <f t="shared" ca="1" si="22"/>
        <v>0</v>
      </c>
      <c r="CL43" s="165">
        <f t="shared" ca="1" si="22"/>
        <v>-9.0909090909090957E-3</v>
      </c>
      <c r="CM43" s="165">
        <f t="shared" ca="1" si="17"/>
        <v>0</v>
      </c>
      <c r="CN43" s="165">
        <f t="shared" ca="1" si="17"/>
        <v>0</v>
      </c>
      <c r="CO43" s="165">
        <f t="shared" ca="1" si="17"/>
        <v>0</v>
      </c>
      <c r="CP43" s="165">
        <f t="shared" ca="1" si="17"/>
        <v>0</v>
      </c>
      <c r="CQ43" s="165">
        <f t="shared" ca="1" si="17"/>
        <v>-8.6956521739131633E-3</v>
      </c>
      <c r="CR43" s="247">
        <f t="shared" ca="1" si="17"/>
        <v>-1.1111111111111256E-2</v>
      </c>
      <c r="CS43" s="247">
        <f t="shared" ca="1" si="17"/>
        <v>-8.3333333333333263E-3</v>
      </c>
      <c r="CT43" s="247">
        <f t="shared" ca="1" si="17"/>
        <v>-8.6956521739129395E-3</v>
      </c>
      <c r="CU43" s="247">
        <f t="shared" ca="1" si="17"/>
        <v>8.000000000000047E-3</v>
      </c>
      <c r="CV43" s="247">
        <f t="shared" ca="1" si="17"/>
        <v>-9.5238095238094293E-3</v>
      </c>
      <c r="CW43" s="247">
        <f t="shared" ca="1" si="17"/>
        <v>-7.1428571428571374E-3</v>
      </c>
      <c r="CX43" s="247">
        <f t="shared" ca="1" si="17"/>
        <v>-1.1111111111111256E-2</v>
      </c>
      <c r="CY43" s="247">
        <f t="shared" ca="1" si="20"/>
        <v>-7.6923076923077474E-3</v>
      </c>
      <c r="CZ43" s="247">
        <f t="shared" ca="1" si="20"/>
        <v>0</v>
      </c>
      <c r="DA43" s="247">
        <f t="shared" ca="1" si="20"/>
        <v>-7.1428571428570255E-3</v>
      </c>
      <c r="DB43" s="247">
        <f t="shared" ca="1" si="20"/>
        <v>-1.3333333333333247E-2</v>
      </c>
    </row>
    <row r="44" spans="3:106" x14ac:dyDescent="0.3">
      <c r="C44" s="165" t="str">
        <f t="shared" si="12"/>
        <v>2. Weapons:Compared to last month the threat from the following attack paths has: - Vulnerability exploitation</v>
      </c>
      <c r="D44" s="165" t="str">
        <f t="shared" si="13"/>
        <v>Weapons: Vulnerability exploitation</v>
      </c>
      <c r="F44" s="165">
        <f t="shared" si="14"/>
        <v>0</v>
      </c>
      <c r="G44" s="165">
        <f t="shared" si="21"/>
        <v>0</v>
      </c>
      <c r="H44" s="165">
        <f t="shared" si="21"/>
        <v>0</v>
      </c>
      <c r="I44" s="165">
        <f t="shared" si="21"/>
        <v>0</v>
      </c>
      <c r="J44" s="165">
        <f t="shared" si="21"/>
        <v>0</v>
      </c>
      <c r="K44" s="165">
        <f t="shared" si="21"/>
        <v>0</v>
      </c>
      <c r="L44" s="165">
        <f t="shared" si="21"/>
        <v>0</v>
      </c>
      <c r="M44" s="165">
        <f t="shared" si="21"/>
        <v>0</v>
      </c>
      <c r="N44" s="165">
        <f t="shared" si="21"/>
        <v>0</v>
      </c>
      <c r="O44" s="165">
        <f t="shared" si="21"/>
        <v>0</v>
      </c>
      <c r="P44" s="165">
        <f t="shared" si="21"/>
        <v>0</v>
      </c>
      <c r="Q44" s="165">
        <f t="shared" si="21"/>
        <v>0</v>
      </c>
      <c r="R44" s="165">
        <f t="shared" si="21"/>
        <v>0</v>
      </c>
      <c r="S44" s="165">
        <f t="shared" si="21"/>
        <v>2.0258620689655164E-2</v>
      </c>
      <c r="T44" s="165">
        <f t="shared" si="21"/>
        <v>5.16129032258065E-2</v>
      </c>
      <c r="U44" s="165">
        <f t="shared" si="21"/>
        <v>2.8301886792452751E-2</v>
      </c>
      <c r="V44" s="165">
        <f t="shared" si="21"/>
        <v>1.4903846153846228E-2</v>
      </c>
      <c r="W44" s="165">
        <f t="shared" si="21"/>
        <v>4.0217391304347871E-2</v>
      </c>
      <c r="X44" s="165">
        <f t="shared" si="21"/>
        <v>3.3333333333333319E-2</v>
      </c>
      <c r="Y44" s="165">
        <f t="shared" si="21"/>
        <v>1.3541666666666612E-2</v>
      </c>
      <c r="Z44" s="165">
        <f t="shared" si="21"/>
        <v>1.4830508474576188E-2</v>
      </c>
      <c r="AA44" s="165">
        <f t="shared" si="21"/>
        <v>2.2972972972972919E-2</v>
      </c>
      <c r="AB44" s="165">
        <f t="shared" si="21"/>
        <v>4.3534482758620721E-2</v>
      </c>
      <c r="AC44" s="165">
        <f t="shared" si="21"/>
        <v>2.386363636363633E-2</v>
      </c>
      <c r="AD44" s="165">
        <f t="shared" si="21"/>
        <v>2.4561403508771923E-2</v>
      </c>
      <c r="AE44" s="165">
        <f t="shared" si="21"/>
        <v>1.6836734693877649E-2</v>
      </c>
      <c r="AF44" s="165">
        <f t="shared" si="21"/>
        <v>1.8877551020408112E-2</v>
      </c>
      <c r="AG44" s="165">
        <f t="shared" si="21"/>
        <v>1.4999999999999951E-2</v>
      </c>
      <c r="AH44" s="165">
        <f t="shared" si="21"/>
        <v>2.1698113207547231E-2</v>
      </c>
      <c r="AI44" s="165">
        <f t="shared" si="21"/>
        <v>9.6153846153846541E-3</v>
      </c>
      <c r="AJ44" s="165">
        <f t="shared" si="21"/>
        <v>1.4795918367346936E-2</v>
      </c>
      <c r="AK44" s="165">
        <f t="shared" si="21"/>
        <v>1.8333333333333399E-2</v>
      </c>
      <c r="AL44" s="165">
        <f t="shared" si="21"/>
        <v>3.0128205128205118E-2</v>
      </c>
      <c r="AM44" s="165">
        <f t="shared" si="21"/>
        <v>3.5416666666666693E-2</v>
      </c>
      <c r="AN44" s="165">
        <f t="shared" si="21"/>
        <v>2.3837209302325552E-2</v>
      </c>
      <c r="AO44" s="165">
        <f t="shared" si="21"/>
        <v>1.4634146341463357E-2</v>
      </c>
      <c r="AP44" s="165">
        <f t="shared" si="21"/>
        <v>4.7674418604651242E-2</v>
      </c>
      <c r="AQ44" s="165">
        <f t="shared" si="21"/>
        <v>1.704545454545461E-2</v>
      </c>
      <c r="AR44" s="165">
        <f t="shared" si="21"/>
        <v>1.4634146341463357E-2</v>
      </c>
      <c r="AS44" s="165">
        <f t="shared" si="21"/>
        <v>9.9999999999998927E-3</v>
      </c>
      <c r="AT44" s="165">
        <f t="shared" si="21"/>
        <v>3.0357142857142905E-2</v>
      </c>
      <c r="AU44" s="165">
        <f t="shared" si="21"/>
        <v>5.9523809523809604E-2</v>
      </c>
      <c r="AV44" s="165">
        <f t="shared" si="21"/>
        <v>4.0441176470588196E-2</v>
      </c>
      <c r="AW44" s="165">
        <f t="shared" si="21"/>
        <v>3.2894736842105282E-2</v>
      </c>
      <c r="AX44" s="165">
        <f t="shared" si="21"/>
        <v>1.5131578947368366E-2</v>
      </c>
      <c r="AY44" s="165">
        <f t="shared" si="21"/>
        <v>1.5340909090909167E-2</v>
      </c>
      <c r="AZ44" s="165">
        <f t="shared" si="21"/>
        <v>7.8947368421053311E-3</v>
      </c>
      <c r="BA44" s="165">
        <f t="shared" si="21"/>
        <v>2.0624999999999963E-2</v>
      </c>
      <c r="BB44" s="165">
        <f t="shared" si="21"/>
        <v>2.3684210526315724E-2</v>
      </c>
      <c r="BC44" s="165">
        <f t="shared" si="21"/>
        <v>1.280487804878057E-2</v>
      </c>
      <c r="BD44" s="165">
        <f t="shared" si="21"/>
        <v>1.5243902439024305E-2</v>
      </c>
      <c r="BE44" s="165">
        <f t="shared" si="21"/>
        <v>3.3108108108108186E-2</v>
      </c>
      <c r="BF44" s="165">
        <f t="shared" si="21"/>
        <v>2.5000000000000015E-2</v>
      </c>
      <c r="BG44" s="165">
        <f t="shared" si="21"/>
        <v>1.4583333333333387E-2</v>
      </c>
      <c r="BH44" s="165">
        <f t="shared" si="21"/>
        <v>1.2500000000000039E-2</v>
      </c>
      <c r="BI44" s="165">
        <f t="shared" si="21"/>
        <v>1.6666666666666583E-2</v>
      </c>
      <c r="BJ44" s="165">
        <f t="shared" si="21"/>
        <v>1.9166666666666624E-2</v>
      </c>
      <c r="BK44" s="165">
        <f t="shared" si="21"/>
        <v>1.4705882352941225E-2</v>
      </c>
      <c r="BL44" s="165">
        <f t="shared" si="21"/>
        <v>1.4864864864864862E-2</v>
      </c>
      <c r="BM44" s="165">
        <f t="shared" ca="1" si="21"/>
        <v>-0.2218455094305069</v>
      </c>
      <c r="BN44" s="165">
        <f t="shared" ca="1" si="21"/>
        <v>0</v>
      </c>
      <c r="BO44" s="165">
        <f t="shared" ca="1" si="21"/>
        <v>0</v>
      </c>
      <c r="BP44" s="165">
        <f t="shared" ca="1" si="16"/>
        <v>0</v>
      </c>
      <c r="BQ44" s="165">
        <f t="shared" ca="1" si="16"/>
        <v>6.8965517241378685E-3</v>
      </c>
      <c r="BR44" s="165">
        <f t="shared" ca="1" si="16"/>
        <v>-6.0606060606059834E-3</v>
      </c>
      <c r="BS44" s="165">
        <f t="shared" ca="1" si="16"/>
        <v>6.060606060605986E-3</v>
      </c>
      <c r="BT44" s="165">
        <f t="shared" ca="1" si="16"/>
        <v>6.2499999999999821E-3</v>
      </c>
      <c r="BU44" s="165">
        <f t="shared" ca="1" si="16"/>
        <v>-5.8823529411763031E-3</v>
      </c>
      <c r="BV44" s="165">
        <f t="shared" ca="1" si="16"/>
        <v>6.6666666666667426E-3</v>
      </c>
      <c r="BW44" s="165">
        <f t="shared" ca="1" si="16"/>
        <v>6.4516129032258654E-3</v>
      </c>
      <c r="BX44" s="165">
        <f t="shared" ca="1" si="16"/>
        <v>0</v>
      </c>
      <c r="BY44" s="165">
        <f t="shared" ca="1" si="16"/>
        <v>0</v>
      </c>
      <c r="BZ44" s="165">
        <f t="shared" ca="1" si="22"/>
        <v>1.2903225806451557E-2</v>
      </c>
      <c r="CA44" s="165">
        <f t="shared" ca="1" si="22"/>
        <v>3.870967741935482E-2</v>
      </c>
      <c r="CB44" s="165">
        <f t="shared" ca="1" si="22"/>
        <v>1.3333333333333273E-2</v>
      </c>
      <c r="CC44" s="165">
        <f t="shared" ca="1" si="22"/>
        <v>0</v>
      </c>
      <c r="CD44" s="165">
        <f t="shared" ca="1" si="22"/>
        <v>5.8823529411765486E-3</v>
      </c>
      <c r="CE44" s="165">
        <f t="shared" ca="1" si="22"/>
        <v>-1.1111111111111032E-2</v>
      </c>
      <c r="CF44" s="165">
        <f t="shared" ca="1" si="22"/>
        <v>0</v>
      </c>
      <c r="CG44" s="165">
        <f t="shared" ca="1" si="22"/>
        <v>1.3793103448275936E-2</v>
      </c>
      <c r="CH44" s="165">
        <f t="shared" ca="1" si="22"/>
        <v>-7.6923076923077474E-3</v>
      </c>
      <c r="CI44" s="165">
        <f t="shared" ca="1" si="22"/>
        <v>1.4285714285714179E-2</v>
      </c>
      <c r="CJ44" s="165">
        <f t="shared" ca="1" si="22"/>
        <v>0</v>
      </c>
      <c r="CK44" s="165">
        <f t="shared" ca="1" si="22"/>
        <v>0</v>
      </c>
      <c r="CL44" s="165">
        <f t="shared" ca="1" si="22"/>
        <v>0</v>
      </c>
      <c r="CM44" s="165">
        <f t="shared" ca="1" si="17"/>
        <v>0</v>
      </c>
      <c r="CN44" s="165">
        <f t="shared" ca="1" si="17"/>
        <v>0</v>
      </c>
      <c r="CO44" s="165">
        <f t="shared" ca="1" si="17"/>
        <v>0</v>
      </c>
      <c r="CP44" s="165">
        <f t="shared" ca="1" si="17"/>
        <v>-7.6923076923078593E-3</v>
      </c>
      <c r="CQ44" s="165">
        <f t="shared" ca="1" si="17"/>
        <v>0</v>
      </c>
      <c r="CR44" s="247">
        <f t="shared" ca="1" si="17"/>
        <v>-1.1111111111111143E-2</v>
      </c>
      <c r="CS44" s="247">
        <f t="shared" ca="1" si="17"/>
        <v>-8.3333333333333263E-3</v>
      </c>
      <c r="CT44" s="247">
        <f t="shared" ca="1" si="17"/>
        <v>-8.6956521739131633E-3</v>
      </c>
      <c r="CU44" s="247">
        <f t="shared" ca="1" si="17"/>
        <v>0</v>
      </c>
      <c r="CV44" s="247">
        <f t="shared" ca="1" si="17"/>
        <v>-9.5238095238094293E-3</v>
      </c>
      <c r="CW44" s="247">
        <f t="shared" ca="1" si="17"/>
        <v>-7.1428571428570255E-3</v>
      </c>
      <c r="CX44" s="247">
        <f t="shared" ca="1" si="17"/>
        <v>0</v>
      </c>
      <c r="CY44" s="247">
        <f t="shared" ca="1" si="20"/>
        <v>7.6923076923077222E-3</v>
      </c>
      <c r="CZ44" s="247">
        <f t="shared" ca="1" si="20"/>
        <v>0</v>
      </c>
      <c r="DA44" s="247">
        <f t="shared" ca="1" si="20"/>
        <v>-7.1428571428571374E-3</v>
      </c>
      <c r="DB44" s="247">
        <f t="shared" ca="1" si="20"/>
        <v>0</v>
      </c>
    </row>
    <row r="45" spans="3:106" x14ac:dyDescent="0.3">
      <c r="C45" s="165" t="str">
        <f t="shared" si="12"/>
        <v>2. Weapons:Compared to last month the threat from the following attack paths has: - Phishing &amp; social engineering</v>
      </c>
      <c r="D45" s="165" t="str">
        <f t="shared" si="13"/>
        <v>Weapons: Phishing/social engineering</v>
      </c>
      <c r="F45" s="165">
        <f t="shared" si="14"/>
        <v>0</v>
      </c>
      <c r="G45" s="165">
        <f t="shared" si="21"/>
        <v>0</v>
      </c>
      <c r="H45" s="165">
        <f t="shared" si="21"/>
        <v>0</v>
      </c>
      <c r="I45" s="165">
        <f t="shared" si="21"/>
        <v>0</v>
      </c>
      <c r="J45" s="165">
        <f t="shared" si="21"/>
        <v>0</v>
      </c>
      <c r="K45" s="165">
        <f t="shared" si="21"/>
        <v>0</v>
      </c>
      <c r="L45" s="165">
        <f t="shared" si="21"/>
        <v>0</v>
      </c>
      <c r="M45" s="165">
        <f t="shared" si="21"/>
        <v>0</v>
      </c>
      <c r="N45" s="165">
        <f t="shared" si="21"/>
        <v>0</v>
      </c>
      <c r="O45" s="165">
        <f t="shared" si="21"/>
        <v>0</v>
      </c>
      <c r="P45" s="165">
        <f t="shared" si="21"/>
        <v>0</v>
      </c>
      <c r="Q45" s="165">
        <f t="shared" si="21"/>
        <v>0</v>
      </c>
      <c r="R45" s="165">
        <f t="shared" si="21"/>
        <v>0</v>
      </c>
      <c r="S45" s="165">
        <f t="shared" si="21"/>
        <v>4.4827586206896468E-2</v>
      </c>
      <c r="T45" s="165">
        <f t="shared" si="21"/>
        <v>3.9919354838709745E-2</v>
      </c>
      <c r="U45" s="165">
        <f t="shared" si="21"/>
        <v>3.6792452830188636E-2</v>
      </c>
      <c r="V45" s="165">
        <f t="shared" si="21"/>
        <v>4.6153846153846254E-2</v>
      </c>
      <c r="W45" s="165">
        <f t="shared" si="21"/>
        <v>4.1304347826086982E-2</v>
      </c>
      <c r="X45" s="165">
        <f t="shared" si="21"/>
        <v>4.0624999999999932E-2</v>
      </c>
      <c r="Y45" s="165">
        <f t="shared" si="21"/>
        <v>4.1145833333333375E-2</v>
      </c>
      <c r="Z45" s="165">
        <f t="shared" si="21"/>
        <v>4.7457627118643986E-2</v>
      </c>
      <c r="AA45" s="165">
        <f t="shared" si="21"/>
        <v>3.9864864864864763E-2</v>
      </c>
      <c r="AB45" s="165">
        <f t="shared" si="21"/>
        <v>4.8706896551724096E-2</v>
      </c>
      <c r="AC45" s="165">
        <f t="shared" si="21"/>
        <v>4.2803030303030301E-2</v>
      </c>
      <c r="AD45" s="165">
        <f t="shared" si="21"/>
        <v>2.8070175438596495E-2</v>
      </c>
      <c r="AE45" s="165">
        <f t="shared" si="21"/>
        <v>2.6020408163265375E-2</v>
      </c>
      <c r="AF45" s="165">
        <f t="shared" si="21"/>
        <v>2.5000000000000015E-2</v>
      </c>
      <c r="AG45" s="165">
        <f t="shared" si="21"/>
        <v>2.714285714285709E-2</v>
      </c>
      <c r="AH45" s="165">
        <f t="shared" si="21"/>
        <v>3.4433962264151026E-2</v>
      </c>
      <c r="AI45" s="165">
        <f t="shared" si="21"/>
        <v>2.3717948717948786E-2</v>
      </c>
      <c r="AJ45" s="165">
        <f t="shared" si="21"/>
        <v>4.8979591836734726E-2</v>
      </c>
      <c r="AK45" s="165">
        <f t="shared" si="21"/>
        <v>3.5000000000000024E-2</v>
      </c>
      <c r="AL45" s="165">
        <f t="shared" si="21"/>
        <v>3.8461538461538526E-2</v>
      </c>
      <c r="AM45" s="165">
        <f t="shared" si="21"/>
        <v>3.5937500000000108E-2</v>
      </c>
      <c r="AN45" s="165">
        <f t="shared" si="21"/>
        <v>3.3720930232558247E-2</v>
      </c>
      <c r="AO45" s="165">
        <f t="shared" si="21"/>
        <v>4.0243902439024475E-2</v>
      </c>
      <c r="AP45" s="165">
        <f t="shared" si="21"/>
        <v>4.5348837209302419E-2</v>
      </c>
      <c r="AQ45" s="165">
        <f t="shared" si="21"/>
        <v>3.238636363636354E-2</v>
      </c>
      <c r="AR45" s="165">
        <f t="shared" ref="G45:BO49" si="23">IFERROR(LN(AR12/AQ12),0)</f>
        <v>3.536585365853661E-2</v>
      </c>
      <c r="AS45" s="165">
        <f t="shared" si="23"/>
        <v>2.1428571428571453E-2</v>
      </c>
      <c r="AT45" s="165">
        <f t="shared" si="23"/>
        <v>3.1547619047619116E-2</v>
      </c>
      <c r="AU45" s="165">
        <f t="shared" si="23"/>
        <v>2.7976190476190408E-2</v>
      </c>
      <c r="AV45" s="165">
        <f t="shared" si="23"/>
        <v>5.3676470588235305E-2</v>
      </c>
      <c r="AW45" s="165">
        <f t="shared" si="23"/>
        <v>4.8684210526315719E-2</v>
      </c>
      <c r="AX45" s="165">
        <f t="shared" si="23"/>
        <v>4.1447368421052615E-2</v>
      </c>
      <c r="AY45" s="165">
        <f t="shared" si="23"/>
        <v>3.5227272727272788E-2</v>
      </c>
      <c r="AZ45" s="165">
        <f t="shared" si="23"/>
        <v>4.0789473684210598E-2</v>
      </c>
      <c r="BA45" s="165">
        <f t="shared" si="23"/>
        <v>3.5000000000000024E-2</v>
      </c>
      <c r="BB45" s="165">
        <f t="shared" si="23"/>
        <v>2.4342105263157842E-2</v>
      </c>
      <c r="BC45" s="165">
        <f t="shared" si="23"/>
        <v>3.1097560975609725E-2</v>
      </c>
      <c r="BD45" s="165">
        <f t="shared" si="23"/>
        <v>3.1707317073170774E-2</v>
      </c>
      <c r="BE45" s="165">
        <f t="shared" si="23"/>
        <v>3.7162162162162067E-2</v>
      </c>
      <c r="BF45" s="165">
        <f t="shared" si="23"/>
        <v>4.926470588235296E-2</v>
      </c>
      <c r="BG45" s="165">
        <f t="shared" si="23"/>
        <v>2.4305555555555469E-2</v>
      </c>
      <c r="BH45" s="165">
        <f t="shared" si="23"/>
        <v>3.3552631578947383E-2</v>
      </c>
      <c r="BI45" s="165">
        <f t="shared" si="23"/>
        <v>2.2222222222222233E-2</v>
      </c>
      <c r="BJ45" s="165">
        <f t="shared" si="23"/>
        <v>3.916666666666669E-2</v>
      </c>
      <c r="BK45" s="165">
        <f t="shared" si="23"/>
        <v>3.2352941176470647E-2</v>
      </c>
      <c r="BL45" s="165">
        <f t="shared" si="23"/>
        <v>3.5810810810810764E-2</v>
      </c>
      <c r="BM45" s="165">
        <f t="shared" ca="1" si="23"/>
        <v>-0.36629528938059858</v>
      </c>
      <c r="BN45" s="165">
        <f t="shared" ca="1" si="23"/>
        <v>2.2857142857142815E-2</v>
      </c>
      <c r="BO45" s="165">
        <f t="shared" ca="1" si="23"/>
        <v>1.9354838709677528E-2</v>
      </c>
      <c r="BP45" s="165">
        <f t="shared" ca="1" si="16"/>
        <v>2.0689655172413852E-2</v>
      </c>
      <c r="BQ45" s="165">
        <f t="shared" ca="1" si="16"/>
        <v>3.4482758620689689E-2</v>
      </c>
      <c r="BR45" s="165">
        <f t="shared" ca="1" si="16"/>
        <v>0</v>
      </c>
      <c r="BS45" s="165">
        <f t="shared" ca="1" si="16"/>
        <v>0</v>
      </c>
      <c r="BT45" s="165">
        <f t="shared" ca="1" si="16"/>
        <v>1.2500000000000039E-2</v>
      </c>
      <c r="BU45" s="165">
        <f t="shared" ca="1" si="16"/>
        <v>1.1764705882352875E-2</v>
      </c>
      <c r="BV45" s="165">
        <f t="shared" ca="1" si="16"/>
        <v>0</v>
      </c>
      <c r="BW45" s="165">
        <f t="shared" ca="1" si="16"/>
        <v>6.4516129032258654E-3</v>
      </c>
      <c r="BX45" s="165">
        <f t="shared" ca="1" si="16"/>
        <v>0</v>
      </c>
      <c r="BY45" s="165">
        <f t="shared" ca="1" si="16"/>
        <v>-6.6666666666666445E-3</v>
      </c>
      <c r="BZ45" s="165">
        <f t="shared" ca="1" si="22"/>
        <v>0</v>
      </c>
      <c r="CA45" s="165">
        <f t="shared" ca="1" si="22"/>
        <v>6.4516129032258654E-3</v>
      </c>
      <c r="CB45" s="165">
        <f t="shared" ca="1" si="22"/>
        <v>6.6666666666667426E-3</v>
      </c>
      <c r="CC45" s="165">
        <f t="shared" ca="1" si="22"/>
        <v>7.6923076923077222E-3</v>
      </c>
      <c r="CD45" s="165">
        <f t="shared" ca="1" si="22"/>
        <v>5.8823529411765486E-3</v>
      </c>
      <c r="CE45" s="165">
        <f t="shared" ca="1" si="22"/>
        <v>1.1111111111111027E-2</v>
      </c>
      <c r="CF45" s="165">
        <f t="shared" ca="1" si="22"/>
        <v>7.1428571428572155E-3</v>
      </c>
      <c r="CG45" s="165">
        <f t="shared" ca="1" si="22"/>
        <v>1.3793103448275936E-2</v>
      </c>
      <c r="CH45" s="165">
        <f t="shared" ca="1" si="22"/>
        <v>0</v>
      </c>
      <c r="CI45" s="165">
        <f t="shared" ca="1" si="22"/>
        <v>0</v>
      </c>
      <c r="CJ45" s="165">
        <f t="shared" ca="1" si="22"/>
        <v>1.6000000000000087E-2</v>
      </c>
      <c r="CK45" s="165">
        <f t="shared" ca="1" si="22"/>
        <v>0</v>
      </c>
      <c r="CL45" s="165">
        <f t="shared" ca="1" si="22"/>
        <v>2.7272727272727185E-2</v>
      </c>
      <c r="CM45" s="165">
        <f t="shared" ca="1" si="17"/>
        <v>3.4482758620689689E-2</v>
      </c>
      <c r="CN45" s="165">
        <f t="shared" ca="1" si="17"/>
        <v>8.3333333333333662E-3</v>
      </c>
      <c r="CO45" s="165">
        <f t="shared" ca="1" si="17"/>
        <v>8.000000000000047E-3</v>
      </c>
      <c r="CP45" s="165">
        <f t="shared" ca="1" si="17"/>
        <v>7.6923076923077222E-3</v>
      </c>
      <c r="CQ45" s="165">
        <f t="shared" ca="1" si="17"/>
        <v>2.6086956521739205E-2</v>
      </c>
      <c r="CR45" s="247">
        <f t="shared" ca="1" si="17"/>
        <v>1.1111111111111027E-2</v>
      </c>
      <c r="CS45" s="247">
        <f t="shared" ca="1" si="17"/>
        <v>8.3333333333333662E-3</v>
      </c>
      <c r="CT45" s="247">
        <f t="shared" ca="1" si="17"/>
        <v>1.7391304347826084E-2</v>
      </c>
      <c r="CU45" s="247">
        <f t="shared" ca="1" si="17"/>
        <v>3.1999999999999904E-2</v>
      </c>
      <c r="CV45" s="247">
        <f t="shared" ca="1" si="17"/>
        <v>9.5238095238094882E-3</v>
      </c>
      <c r="CW45" s="247">
        <f t="shared" ca="1" si="17"/>
        <v>0</v>
      </c>
      <c r="CX45" s="247">
        <f t="shared" ca="1" si="17"/>
        <v>1.6666666666666583E-2</v>
      </c>
      <c r="CY45" s="247">
        <f t="shared" ca="1" si="20"/>
        <v>0</v>
      </c>
      <c r="CZ45" s="247">
        <f t="shared" ca="1" si="20"/>
        <v>1.8181818181818209E-2</v>
      </c>
      <c r="DA45" s="247">
        <f t="shared" ca="1" si="20"/>
        <v>0</v>
      </c>
      <c r="DB45" s="247">
        <f t="shared" ca="1" si="20"/>
        <v>1.3333333333333273E-2</v>
      </c>
    </row>
    <row r="46" spans="3:106" x14ac:dyDescent="0.3">
      <c r="C46" s="165" t="str">
        <f t="shared" si="12"/>
        <v>2. Weapons:Compared to last month the threat from the following attack paths has: - Attacks customized to your organization</v>
      </c>
      <c r="D46" s="165" t="str">
        <f t="shared" si="13"/>
        <v>Weapons: Customized to target</v>
      </c>
      <c r="F46" s="165">
        <f t="shared" si="14"/>
        <v>0</v>
      </c>
      <c r="G46" s="165">
        <f t="shared" si="23"/>
        <v>0</v>
      </c>
      <c r="H46" s="165">
        <f t="shared" si="23"/>
        <v>0</v>
      </c>
      <c r="I46" s="165">
        <f t="shared" si="23"/>
        <v>0</v>
      </c>
      <c r="J46" s="165">
        <f t="shared" si="23"/>
        <v>0</v>
      </c>
      <c r="K46" s="165">
        <f t="shared" si="23"/>
        <v>0</v>
      </c>
      <c r="L46" s="165">
        <f t="shared" si="23"/>
        <v>0</v>
      </c>
      <c r="M46" s="165">
        <f t="shared" si="23"/>
        <v>0</v>
      </c>
      <c r="N46" s="165">
        <f t="shared" si="23"/>
        <v>0</v>
      </c>
      <c r="O46" s="165">
        <f t="shared" si="23"/>
        <v>0</v>
      </c>
      <c r="P46" s="165">
        <f t="shared" si="23"/>
        <v>0</v>
      </c>
      <c r="Q46" s="165">
        <f t="shared" si="23"/>
        <v>0</v>
      </c>
      <c r="R46" s="165">
        <f t="shared" si="23"/>
        <v>0</v>
      </c>
      <c r="S46" s="165">
        <f t="shared" si="23"/>
        <v>3.8793103448275849E-2</v>
      </c>
      <c r="T46" s="165">
        <f t="shared" si="23"/>
        <v>3.7500000000000033E-2</v>
      </c>
      <c r="U46" s="165">
        <f t="shared" si="23"/>
        <v>3.5849056603773646E-2</v>
      </c>
      <c r="V46" s="165">
        <f t="shared" si="23"/>
        <v>2.0192307692307617E-2</v>
      </c>
      <c r="W46" s="165">
        <f t="shared" si="23"/>
        <v>1.9021739130434819E-2</v>
      </c>
      <c r="X46" s="165">
        <f t="shared" si="23"/>
        <v>2.9687500000000002E-2</v>
      </c>
      <c r="Y46" s="165">
        <f t="shared" si="23"/>
        <v>2.7083333333333365E-2</v>
      </c>
      <c r="Z46" s="165">
        <f t="shared" si="23"/>
        <v>3.9406779661017036E-2</v>
      </c>
      <c r="AA46" s="165">
        <f t="shared" si="23"/>
        <v>1.9594594594594658E-2</v>
      </c>
      <c r="AB46" s="165">
        <f t="shared" si="23"/>
        <v>3.0603448275862127E-2</v>
      </c>
      <c r="AC46" s="165">
        <f t="shared" si="23"/>
        <v>2.1969696969696962E-2</v>
      </c>
      <c r="AD46" s="165">
        <f t="shared" si="23"/>
        <v>1.1403508771929754E-2</v>
      </c>
      <c r="AE46" s="165">
        <f t="shared" si="23"/>
        <v>1.1734693877550937E-2</v>
      </c>
      <c r="AF46" s="165">
        <f t="shared" si="23"/>
        <v>1.1734693877550937E-2</v>
      </c>
      <c r="AG46" s="165">
        <f t="shared" si="23"/>
        <v>6.4285714285715065E-3</v>
      </c>
      <c r="AH46" s="165">
        <f t="shared" si="23"/>
        <v>1.6509433962264189E-2</v>
      </c>
      <c r="AI46" s="165">
        <f t="shared" si="23"/>
        <v>7.051282051282008E-3</v>
      </c>
      <c r="AJ46" s="165">
        <f t="shared" si="23"/>
        <v>3.2142857142857188E-2</v>
      </c>
      <c r="AK46" s="165">
        <f t="shared" si="23"/>
        <v>1.4444444444444529E-2</v>
      </c>
      <c r="AL46" s="165">
        <f t="shared" si="23"/>
        <v>1.9871794871794812E-2</v>
      </c>
      <c r="AM46" s="165">
        <f t="shared" si="23"/>
        <v>2.2395833333333278E-2</v>
      </c>
      <c r="AN46" s="165">
        <f t="shared" si="23"/>
        <v>2.2093023255813912E-2</v>
      </c>
      <c r="AO46" s="165">
        <f t="shared" si="23"/>
        <v>1.585365853658537E-2</v>
      </c>
      <c r="AP46" s="165">
        <f t="shared" si="23"/>
        <v>1.8604651162790701E-2</v>
      </c>
      <c r="AQ46" s="165">
        <f t="shared" si="23"/>
        <v>6.2499999999999821E-3</v>
      </c>
      <c r="AR46" s="165">
        <f t="shared" si="23"/>
        <v>1.0975609756097663E-2</v>
      </c>
      <c r="AS46" s="165">
        <f t="shared" si="23"/>
        <v>-4.285714285714246E-3</v>
      </c>
      <c r="AT46" s="165">
        <f t="shared" si="23"/>
        <v>1.4285714285714179E-2</v>
      </c>
      <c r="AU46" s="165">
        <f t="shared" si="23"/>
        <v>3.6904761904761864E-2</v>
      </c>
      <c r="AV46" s="165">
        <f t="shared" si="23"/>
        <v>1.7647058823529325E-2</v>
      </c>
      <c r="AW46" s="165">
        <f t="shared" si="23"/>
        <v>5.9210526315788816E-3</v>
      </c>
      <c r="AX46" s="165">
        <f t="shared" si="23"/>
        <v>1.7763157894736901E-2</v>
      </c>
      <c r="AY46" s="165">
        <f t="shared" si="23"/>
        <v>8.5227272727273207E-3</v>
      </c>
      <c r="AZ46" s="165">
        <f t="shared" si="23"/>
        <v>2.1052631578947309E-2</v>
      </c>
      <c r="BA46" s="165">
        <f t="shared" si="23"/>
        <v>1.3124999999999977E-2</v>
      </c>
      <c r="BB46" s="165">
        <f t="shared" si="23"/>
        <v>1.7763157894736901E-2</v>
      </c>
      <c r="BC46" s="165">
        <f t="shared" si="23"/>
        <v>1.4634146341463357E-2</v>
      </c>
      <c r="BD46" s="165">
        <f t="shared" si="23"/>
        <v>1.4024390243902361E-2</v>
      </c>
      <c r="BE46" s="165">
        <f t="shared" si="23"/>
        <v>6.7567567567567762E-3</v>
      </c>
      <c r="BF46" s="165">
        <f t="shared" si="23"/>
        <v>2.1323529411764595E-2</v>
      </c>
      <c r="BG46" s="165">
        <f t="shared" si="23"/>
        <v>9.7222222222221877E-3</v>
      </c>
      <c r="BH46" s="165">
        <f t="shared" si="23"/>
        <v>2.5000000000000015E-2</v>
      </c>
      <c r="BI46" s="165">
        <f t="shared" si="23"/>
        <v>3.1481481481481395E-2</v>
      </c>
      <c r="BJ46" s="165">
        <f t="shared" si="23"/>
        <v>1.2500000000000039E-2</v>
      </c>
      <c r="BK46" s="165">
        <f t="shared" si="23"/>
        <v>2.1323529411764814E-2</v>
      </c>
      <c r="BL46" s="165">
        <f t="shared" si="23"/>
        <v>1.0135135135135068E-2</v>
      </c>
      <c r="BM46" s="165">
        <f t="shared" ca="1" si="23"/>
        <v>-0.20299383022835898</v>
      </c>
      <c r="BN46" s="165">
        <f t="shared" ca="1" si="23"/>
        <v>2.2857142857142815E-2</v>
      </c>
      <c r="BO46" s="165">
        <f t="shared" ca="1" si="23"/>
        <v>6.4516129032258654E-3</v>
      </c>
      <c r="BP46" s="165">
        <f t="shared" ca="1" si="16"/>
        <v>6.8965517241378685E-3</v>
      </c>
      <c r="BQ46" s="165">
        <f t="shared" ca="1" si="16"/>
        <v>1.3793103448275936E-2</v>
      </c>
      <c r="BR46" s="165">
        <f t="shared" ca="1" si="16"/>
        <v>1.212121212121213E-2</v>
      </c>
      <c r="BS46" s="165">
        <f t="shared" ca="1" si="16"/>
        <v>0</v>
      </c>
      <c r="BT46" s="165">
        <f t="shared" ca="1" si="16"/>
        <v>1.2500000000000039E-2</v>
      </c>
      <c r="BU46" s="165">
        <f t="shared" ca="1" si="16"/>
        <v>5.8823529411765486E-3</v>
      </c>
      <c r="BV46" s="165">
        <f t="shared" ca="1" si="16"/>
        <v>0</v>
      </c>
      <c r="BW46" s="165">
        <f t="shared" ca="1" si="16"/>
        <v>6.4516129032258654E-3</v>
      </c>
      <c r="BX46" s="165">
        <f t="shared" ca="1" si="16"/>
        <v>-6.4516129032257266E-3</v>
      </c>
      <c r="BY46" s="165">
        <f t="shared" ca="1" si="16"/>
        <v>-6.6666666666666445E-3</v>
      </c>
      <c r="BZ46" s="165">
        <f t="shared" ca="1" si="22"/>
        <v>0</v>
      </c>
      <c r="CA46" s="165">
        <f t="shared" ca="1" si="22"/>
        <v>0</v>
      </c>
      <c r="CB46" s="165">
        <f t="shared" ca="1" si="22"/>
        <v>-6.6666666666666445E-3</v>
      </c>
      <c r="CC46" s="165">
        <f t="shared" ca="1" si="22"/>
        <v>7.6923076923077222E-3</v>
      </c>
      <c r="CD46" s="165">
        <f t="shared" ca="1" si="22"/>
        <v>0</v>
      </c>
      <c r="CE46" s="165">
        <f t="shared" ca="1" si="22"/>
        <v>-2.2222222222222272E-2</v>
      </c>
      <c r="CF46" s="165">
        <f t="shared" ca="1" si="22"/>
        <v>0</v>
      </c>
      <c r="CG46" s="165">
        <f t="shared" ca="1" si="22"/>
        <v>1.3793103448275936E-2</v>
      </c>
      <c r="CH46" s="165">
        <f t="shared" ca="1" si="22"/>
        <v>0</v>
      </c>
      <c r="CI46" s="165">
        <f t="shared" ca="1" si="22"/>
        <v>-7.1428571428572493E-3</v>
      </c>
      <c r="CJ46" s="165">
        <f t="shared" ca="1" si="22"/>
        <v>1.6000000000000087E-2</v>
      </c>
      <c r="CK46" s="165">
        <f t="shared" ca="1" si="22"/>
        <v>7.407407407407399E-3</v>
      </c>
      <c r="CL46" s="165">
        <f t="shared" ca="1" si="22"/>
        <v>1.8181818181818209E-2</v>
      </c>
      <c r="CM46" s="165">
        <f t="shared" ca="1" si="17"/>
        <v>6.8965517241378685E-3</v>
      </c>
      <c r="CN46" s="165">
        <f t="shared" ca="1" si="17"/>
        <v>0</v>
      </c>
      <c r="CO46" s="165">
        <f t="shared" ca="1" si="17"/>
        <v>0</v>
      </c>
      <c r="CP46" s="165">
        <f t="shared" ca="1" si="17"/>
        <v>-7.6923076923077474E-3</v>
      </c>
      <c r="CQ46" s="165">
        <f t="shared" ca="1" si="17"/>
        <v>2.6086956521739205E-2</v>
      </c>
      <c r="CR46" s="247">
        <f t="shared" ca="1" si="17"/>
        <v>1.1111111111111027E-2</v>
      </c>
      <c r="CS46" s="247">
        <f t="shared" ca="1" si="17"/>
        <v>8.3333333333333662E-3</v>
      </c>
      <c r="CT46" s="247">
        <f t="shared" ca="1" si="17"/>
        <v>1.7391304347826084E-2</v>
      </c>
      <c r="CU46" s="247">
        <f t="shared" ca="1" si="17"/>
        <v>1.6000000000000087E-2</v>
      </c>
      <c r="CV46" s="247">
        <f t="shared" ca="1" si="17"/>
        <v>-9.523809523809542E-3</v>
      </c>
      <c r="CW46" s="247">
        <f t="shared" ca="1" si="17"/>
        <v>0</v>
      </c>
      <c r="CX46" s="247">
        <f t="shared" ca="1" si="17"/>
        <v>1.6666666666666583E-2</v>
      </c>
      <c r="CY46" s="247">
        <f t="shared" ca="1" si="20"/>
        <v>0</v>
      </c>
      <c r="CZ46" s="247">
        <f t="shared" ca="1" si="20"/>
        <v>6.060606060605986E-3</v>
      </c>
      <c r="DA46" s="247">
        <f t="shared" ca="1" si="20"/>
        <v>0</v>
      </c>
      <c r="DB46" s="247">
        <f t="shared" ca="1" si="20"/>
        <v>0</v>
      </c>
    </row>
    <row r="47" spans="3:106" x14ac:dyDescent="0.3">
      <c r="C47" s="165" t="str">
        <f t="shared" si="12"/>
        <v>3. Effect desired by attackers: Compared to last month the risk from attack motivations listed below has: - Data theft (Confidentiality)</v>
      </c>
      <c r="D47" s="165" t="str">
        <f t="shared" si="13"/>
        <v>Effect desired: Data theft</v>
      </c>
      <c r="F47" s="165">
        <f t="shared" si="14"/>
        <v>0</v>
      </c>
      <c r="G47" s="165">
        <f t="shared" si="23"/>
        <v>0</v>
      </c>
      <c r="H47" s="165">
        <f t="shared" si="23"/>
        <v>0</v>
      </c>
      <c r="I47" s="165">
        <f t="shared" si="23"/>
        <v>0</v>
      </c>
      <c r="J47" s="165">
        <f t="shared" si="23"/>
        <v>0</v>
      </c>
      <c r="K47" s="165">
        <f t="shared" si="23"/>
        <v>0</v>
      </c>
      <c r="L47" s="165">
        <f t="shared" si="23"/>
        <v>0</v>
      </c>
      <c r="M47" s="165">
        <f t="shared" si="23"/>
        <v>0</v>
      </c>
      <c r="N47" s="165">
        <f t="shared" si="23"/>
        <v>0</v>
      </c>
      <c r="O47" s="165">
        <f t="shared" si="23"/>
        <v>0</v>
      </c>
      <c r="P47" s="165">
        <f t="shared" si="23"/>
        <v>0</v>
      </c>
      <c r="Q47" s="165">
        <f t="shared" si="23"/>
        <v>0</v>
      </c>
      <c r="R47" s="165">
        <f t="shared" si="23"/>
        <v>0</v>
      </c>
      <c r="S47" s="165">
        <f t="shared" si="23"/>
        <v>2.7155172413793029E-2</v>
      </c>
      <c r="T47" s="165">
        <f t="shared" si="23"/>
        <v>3.9516129032258124E-2</v>
      </c>
      <c r="U47" s="165">
        <f t="shared" si="23"/>
        <v>3.1603773584905716E-2</v>
      </c>
      <c r="V47" s="165">
        <f t="shared" si="23"/>
        <v>2.836538461538465E-2</v>
      </c>
      <c r="W47" s="165">
        <f t="shared" si="23"/>
        <v>2.9891304347826025E-2</v>
      </c>
      <c r="X47" s="165">
        <f t="shared" si="23"/>
        <v>3.5937500000000108E-2</v>
      </c>
      <c r="Y47" s="165">
        <f t="shared" si="23"/>
        <v>2.0312499999999897E-2</v>
      </c>
      <c r="Z47" s="165">
        <f t="shared" si="23"/>
        <v>2.8389830508474653E-2</v>
      </c>
      <c r="AA47" s="165">
        <f t="shared" si="23"/>
        <v>3.141891891891898E-2</v>
      </c>
      <c r="AB47" s="165">
        <f t="shared" si="23"/>
        <v>4.4827586206896468E-2</v>
      </c>
      <c r="AC47" s="165">
        <f t="shared" si="23"/>
        <v>3.446969696969699E-2</v>
      </c>
      <c r="AD47" s="165">
        <f t="shared" si="23"/>
        <v>1.9736842105263126E-2</v>
      </c>
      <c r="AE47" s="165">
        <f t="shared" si="23"/>
        <v>2.0408163265306055E-2</v>
      </c>
      <c r="AF47" s="165">
        <f t="shared" si="23"/>
        <v>2.5000000000000015E-2</v>
      </c>
      <c r="AG47" s="165">
        <f t="shared" si="23"/>
        <v>3.0714285714285638E-2</v>
      </c>
      <c r="AH47" s="165">
        <f t="shared" si="23"/>
        <v>2.3584905660377263E-2</v>
      </c>
      <c r="AI47" s="165">
        <f t="shared" si="23"/>
        <v>2.5641025641025609E-2</v>
      </c>
      <c r="AJ47" s="165">
        <f t="shared" si="23"/>
        <v>2.244897959183673E-2</v>
      </c>
      <c r="AK47" s="165">
        <f t="shared" si="23"/>
        <v>9.9999999999998927E-3</v>
      </c>
      <c r="AL47" s="165">
        <f t="shared" si="23"/>
        <v>4.6153846153846254E-2</v>
      </c>
      <c r="AM47" s="165">
        <f t="shared" si="23"/>
        <v>2.3437499999999983E-2</v>
      </c>
      <c r="AN47" s="165">
        <f t="shared" si="23"/>
        <v>2.7325581395348783E-2</v>
      </c>
      <c r="AO47" s="165">
        <f t="shared" si="23"/>
        <v>2.5000000000000015E-2</v>
      </c>
      <c r="AP47" s="165">
        <f t="shared" si="23"/>
        <v>4.2441860465116305E-2</v>
      </c>
      <c r="AQ47" s="165">
        <f t="shared" si="23"/>
        <v>1.704545454545461E-2</v>
      </c>
      <c r="AR47" s="165">
        <f t="shared" si="23"/>
        <v>1.8292682926829264E-2</v>
      </c>
      <c r="AS47" s="165">
        <f t="shared" si="23"/>
        <v>2.0714285714285723E-2</v>
      </c>
      <c r="AT47" s="165">
        <f t="shared" si="23"/>
        <v>2.4404761904761853E-2</v>
      </c>
      <c r="AU47" s="165">
        <f t="shared" si="23"/>
        <v>4.8809523809523761E-2</v>
      </c>
      <c r="AV47" s="165">
        <f t="shared" si="23"/>
        <v>4.7058823529411868E-2</v>
      </c>
      <c r="AW47" s="165">
        <f t="shared" si="23"/>
        <v>3.6184210526315798E-2</v>
      </c>
      <c r="AX47" s="165">
        <f t="shared" si="23"/>
        <v>3.4210526315789365E-2</v>
      </c>
      <c r="AY47" s="165">
        <f t="shared" si="23"/>
        <v>2.6704545454545519E-2</v>
      </c>
      <c r="AZ47" s="165">
        <f t="shared" si="23"/>
        <v>3.8157894736842064E-2</v>
      </c>
      <c r="BA47" s="165">
        <f t="shared" si="23"/>
        <v>4.1249999999999974E-2</v>
      </c>
      <c r="BB47" s="165">
        <f t="shared" si="23"/>
        <v>2.6973684210526306E-2</v>
      </c>
      <c r="BC47" s="165">
        <f t="shared" si="23"/>
        <v>2.1951219512195069E-2</v>
      </c>
      <c r="BD47" s="165">
        <f t="shared" si="23"/>
        <v>3.2926829268292698E-2</v>
      </c>
      <c r="BE47" s="165">
        <f t="shared" si="23"/>
        <v>3.3783783783783709E-2</v>
      </c>
      <c r="BF47" s="165">
        <f t="shared" si="23"/>
        <v>2.9411764705882446E-2</v>
      </c>
      <c r="BG47" s="165">
        <f t="shared" si="23"/>
        <v>2.2222222222222233E-2</v>
      </c>
      <c r="BH47" s="165">
        <f t="shared" si="23"/>
        <v>3.2894736842105282E-2</v>
      </c>
      <c r="BI47" s="165">
        <f t="shared" si="23"/>
        <v>2.1296296296296209E-2</v>
      </c>
      <c r="BJ47" s="165">
        <f t="shared" si="23"/>
        <v>3.4166666666666588E-2</v>
      </c>
      <c r="BK47" s="165">
        <f t="shared" si="23"/>
        <v>1.5441176470588338E-2</v>
      </c>
      <c r="BL47" s="165">
        <f t="shared" si="23"/>
        <v>2.3648648648648671E-2</v>
      </c>
      <c r="BM47" s="165">
        <f t="shared" ca="1" si="23"/>
        <v>-0.31128682687204184</v>
      </c>
      <c r="BN47" s="165">
        <f t="shared" ca="1" si="23"/>
        <v>5.7142857142856102E-3</v>
      </c>
      <c r="BO47" s="165">
        <f t="shared" ca="1" si="23"/>
        <v>0</v>
      </c>
      <c r="BP47" s="165">
        <f t="shared" ca="1" si="16"/>
        <v>2.0689655172413852E-2</v>
      </c>
      <c r="BQ47" s="165">
        <f t="shared" ca="1" si="16"/>
        <v>2.0689655172413852E-2</v>
      </c>
      <c r="BR47" s="165">
        <f t="shared" ca="1" si="16"/>
        <v>6.060606060605986E-3</v>
      </c>
      <c r="BS47" s="165">
        <f t="shared" ca="1" si="16"/>
        <v>0</v>
      </c>
      <c r="BT47" s="165">
        <f t="shared" ca="1" si="16"/>
        <v>6.2499999999999821E-3</v>
      </c>
      <c r="BU47" s="165">
        <f t="shared" ca="1" si="16"/>
        <v>0</v>
      </c>
      <c r="BV47" s="165">
        <f t="shared" ca="1" si="16"/>
        <v>6.6666666666667426E-3</v>
      </c>
      <c r="BW47" s="165">
        <f t="shared" ca="1" si="16"/>
        <v>6.4516129032258654E-3</v>
      </c>
      <c r="BX47" s="165">
        <f t="shared" ca="1" si="16"/>
        <v>6.4516129032258654E-3</v>
      </c>
      <c r="BY47" s="165">
        <f t="shared" ca="1" si="16"/>
        <v>-6.6666666666665327E-3</v>
      </c>
      <c r="BZ47" s="165">
        <f t="shared" ca="1" si="22"/>
        <v>0</v>
      </c>
      <c r="CA47" s="165">
        <f t="shared" ca="1" si="22"/>
        <v>0</v>
      </c>
      <c r="CB47" s="165">
        <f t="shared" ca="1" si="22"/>
        <v>0</v>
      </c>
      <c r="CC47" s="165">
        <f t="shared" ca="1" si="22"/>
        <v>0</v>
      </c>
      <c r="CD47" s="165">
        <f t="shared" ca="1" si="22"/>
        <v>0</v>
      </c>
      <c r="CE47" s="165">
        <f t="shared" ca="1" si="22"/>
        <v>-1.1111111111111143E-2</v>
      </c>
      <c r="CF47" s="165">
        <f t="shared" ca="1" si="22"/>
        <v>7.1428571428572155E-3</v>
      </c>
      <c r="CG47" s="165">
        <f t="shared" ca="1" si="22"/>
        <v>6.8965517241378685E-3</v>
      </c>
      <c r="CH47" s="165">
        <f t="shared" ca="1" si="22"/>
        <v>0</v>
      </c>
      <c r="CI47" s="165">
        <f t="shared" ca="1" si="22"/>
        <v>0</v>
      </c>
      <c r="CJ47" s="165">
        <f t="shared" ca="1" si="22"/>
        <v>0</v>
      </c>
      <c r="CK47" s="165">
        <f t="shared" ca="1" si="22"/>
        <v>1.48148148148149E-2</v>
      </c>
      <c r="CL47" s="165">
        <f t="shared" ca="1" si="22"/>
        <v>9.0909090909089951E-3</v>
      </c>
      <c r="CM47" s="165">
        <f t="shared" ca="1" si="17"/>
        <v>2.0689655172413852E-2</v>
      </c>
      <c r="CN47" s="165">
        <f t="shared" ca="1" si="17"/>
        <v>8.3333333333333662E-3</v>
      </c>
      <c r="CO47" s="165">
        <f t="shared" ca="1" si="17"/>
        <v>8.000000000000047E-3</v>
      </c>
      <c r="CP47" s="165">
        <f t="shared" ca="1" si="17"/>
        <v>7.6923076923077222E-3</v>
      </c>
      <c r="CQ47" s="165">
        <f t="shared" ca="1" si="17"/>
        <v>8.6956521739130956E-3</v>
      </c>
      <c r="CR47" s="247">
        <f t="shared" ca="1" si="17"/>
        <v>1.1111111111111027E-2</v>
      </c>
      <c r="CS47" s="247">
        <f t="shared" ca="1" si="17"/>
        <v>8.3333333333333662E-3</v>
      </c>
      <c r="CT47" s="247">
        <f t="shared" ca="1" si="17"/>
        <v>0</v>
      </c>
      <c r="CU47" s="247">
        <f t="shared" ca="1" si="17"/>
        <v>1.6000000000000087E-2</v>
      </c>
      <c r="CV47" s="247">
        <f t="shared" ca="1" si="17"/>
        <v>0</v>
      </c>
      <c r="CW47" s="247">
        <f t="shared" ca="1" si="17"/>
        <v>0</v>
      </c>
      <c r="CX47" s="247">
        <f t="shared" ca="1" si="17"/>
        <v>1.1111111111111027E-2</v>
      </c>
      <c r="CY47" s="247">
        <f t="shared" ca="1" si="20"/>
        <v>7.6923076923077222E-3</v>
      </c>
      <c r="CZ47" s="247">
        <f t="shared" ca="1" si="20"/>
        <v>0</v>
      </c>
      <c r="DA47" s="247">
        <f t="shared" ca="1" si="20"/>
        <v>7.1428571428572155E-3</v>
      </c>
      <c r="DB47" s="247">
        <f t="shared" ca="1" si="20"/>
        <v>0</v>
      </c>
    </row>
    <row r="48" spans="3:106" x14ac:dyDescent="0.3">
      <c r="C48" s="165" t="str">
        <f t="shared" si="12"/>
        <v>3. Effect desired by attackers: Compared to last month the risk from attack motivations listed below has: - Data modification (Integrity)</v>
      </c>
      <c r="D48" s="165" t="str">
        <f t="shared" si="13"/>
        <v>Effect desired: Data modification</v>
      </c>
      <c r="F48" s="165">
        <f t="shared" si="14"/>
        <v>0</v>
      </c>
      <c r="G48" s="165">
        <f t="shared" si="23"/>
        <v>0</v>
      </c>
      <c r="H48" s="165">
        <f t="shared" si="23"/>
        <v>0</v>
      </c>
      <c r="I48" s="165">
        <f t="shared" si="23"/>
        <v>0</v>
      </c>
      <c r="J48" s="165">
        <f t="shared" si="23"/>
        <v>0</v>
      </c>
      <c r="K48" s="165">
        <f t="shared" si="23"/>
        <v>0</v>
      </c>
      <c r="L48" s="165">
        <f t="shared" si="23"/>
        <v>0</v>
      </c>
      <c r="M48" s="165">
        <f t="shared" si="23"/>
        <v>0</v>
      </c>
      <c r="N48" s="165">
        <f t="shared" si="23"/>
        <v>0</v>
      </c>
      <c r="O48" s="165">
        <f t="shared" si="23"/>
        <v>0</v>
      </c>
      <c r="P48" s="165">
        <f t="shared" si="23"/>
        <v>0</v>
      </c>
      <c r="Q48" s="165">
        <f t="shared" si="23"/>
        <v>0</v>
      </c>
      <c r="R48" s="165">
        <f t="shared" si="23"/>
        <v>0</v>
      </c>
      <c r="S48" s="165">
        <f t="shared" si="23"/>
        <v>7.3275862068966375E-3</v>
      </c>
      <c r="T48" s="165">
        <f t="shared" si="23"/>
        <v>9.6774193548387552E-3</v>
      </c>
      <c r="U48" s="165">
        <f t="shared" si="23"/>
        <v>1.084905660377355E-2</v>
      </c>
      <c r="V48" s="165">
        <f t="shared" si="23"/>
        <v>8.1730769230768802E-3</v>
      </c>
      <c r="W48" s="165">
        <f t="shared" si="23"/>
        <v>0</v>
      </c>
      <c r="X48" s="165">
        <f t="shared" si="23"/>
        <v>1.0937499999999961E-2</v>
      </c>
      <c r="Y48" s="165">
        <f t="shared" si="23"/>
        <v>3.1249999999998996E-3</v>
      </c>
      <c r="Z48" s="165">
        <f t="shared" si="23"/>
        <v>2.5423728813558527E-3</v>
      </c>
      <c r="AA48" s="165">
        <f t="shared" si="23"/>
        <v>-3.3783783783787396E-4</v>
      </c>
      <c r="AB48" s="165">
        <f t="shared" si="23"/>
        <v>1.0775862068965409E-2</v>
      </c>
      <c r="AC48" s="165">
        <f t="shared" si="23"/>
        <v>2.2727272727272648E-3</v>
      </c>
      <c r="AD48" s="165">
        <f t="shared" si="23"/>
        <v>3.5087719298244617E-3</v>
      </c>
      <c r="AE48" s="165">
        <f t="shared" si="23"/>
        <v>1.3265306122448946E-2</v>
      </c>
      <c r="AF48" s="165">
        <f t="shared" si="23"/>
        <v>-5.1020408163263294E-4</v>
      </c>
      <c r="AG48" s="165">
        <f t="shared" si="23"/>
        <v>0</v>
      </c>
      <c r="AH48" s="165">
        <f t="shared" si="23"/>
        <v>4.2452830188678767E-3</v>
      </c>
      <c r="AI48" s="165">
        <f t="shared" si="23"/>
        <v>-5.7692307692306525E-3</v>
      </c>
      <c r="AJ48" s="165">
        <f t="shared" si="23"/>
        <v>6.122448979591728E-3</v>
      </c>
      <c r="AK48" s="165">
        <f t="shared" si="23"/>
        <v>1.6666666666665785E-3</v>
      </c>
      <c r="AL48" s="165">
        <f t="shared" si="23"/>
        <v>8.9743589743588714E-3</v>
      </c>
      <c r="AM48" s="165">
        <f t="shared" si="23"/>
        <v>5.2083333333339382E-4</v>
      </c>
      <c r="AN48" s="165">
        <f t="shared" si="23"/>
        <v>3.4883720930232978E-3</v>
      </c>
      <c r="AO48" s="165">
        <f t="shared" si="23"/>
        <v>5.4878048780487871E-3</v>
      </c>
      <c r="AP48" s="165">
        <f t="shared" si="23"/>
        <v>3.4883720930232978E-3</v>
      </c>
      <c r="AQ48" s="165">
        <f t="shared" si="23"/>
        <v>1.7045454545455306E-3</v>
      </c>
      <c r="AR48" s="165">
        <f t="shared" si="23"/>
        <v>8.5365853658536609E-3</v>
      </c>
      <c r="AS48" s="165">
        <f t="shared" si="23"/>
        <v>8.5714285714285181E-3</v>
      </c>
      <c r="AT48" s="165">
        <f t="shared" si="23"/>
        <v>4.7619047619048603E-3</v>
      </c>
      <c r="AU48" s="165">
        <f t="shared" si="23"/>
        <v>1.1904761904761967E-2</v>
      </c>
      <c r="AV48" s="165">
        <f t="shared" si="23"/>
        <v>2.2058823529412866E-3</v>
      </c>
      <c r="AW48" s="165">
        <f t="shared" si="23"/>
        <v>1.9736842105264039E-3</v>
      </c>
      <c r="AX48" s="165">
        <f t="shared" si="23"/>
        <v>5.9210526315788816E-3</v>
      </c>
      <c r="AY48" s="165">
        <f t="shared" si="23"/>
        <v>0</v>
      </c>
      <c r="AZ48" s="165">
        <f t="shared" si="23"/>
        <v>3.9473684210525753E-3</v>
      </c>
      <c r="BA48" s="165">
        <f t="shared" si="23"/>
        <v>-1.8749999999999767E-3</v>
      </c>
      <c r="BB48" s="165">
        <f t="shared" si="23"/>
        <v>0</v>
      </c>
      <c r="BC48" s="165">
        <f t="shared" si="23"/>
        <v>7.3170731707316704E-3</v>
      </c>
      <c r="BD48" s="165">
        <f t="shared" si="23"/>
        <v>6.70731707317069E-3</v>
      </c>
      <c r="BE48" s="165">
        <f t="shared" si="23"/>
        <v>9.4594594594594097E-3</v>
      </c>
      <c r="BF48" s="165">
        <f t="shared" si="23"/>
        <v>6.6176470588236126E-3</v>
      </c>
      <c r="BG48" s="165">
        <f t="shared" si="23"/>
        <v>-8.3333333333332153E-3</v>
      </c>
      <c r="BH48" s="165">
        <f t="shared" si="23"/>
        <v>-3.9473684210525901E-3</v>
      </c>
      <c r="BI48" s="165">
        <f t="shared" si="23"/>
        <v>-5.5555555555555775E-3</v>
      </c>
      <c r="BJ48" s="165">
        <f t="shared" si="23"/>
        <v>-4.9999999999999932E-3</v>
      </c>
      <c r="BK48" s="165">
        <f t="shared" si="23"/>
        <v>0</v>
      </c>
      <c r="BL48" s="165">
        <f t="shared" si="23"/>
        <v>-6.0810810810810649E-3</v>
      </c>
      <c r="BM48" s="165">
        <f t="shared" ca="1" si="23"/>
        <v>1.1058747620988265E-3</v>
      </c>
      <c r="BN48" s="165">
        <f t="shared" ca="1" si="23"/>
        <v>5.7142857142856102E-3</v>
      </c>
      <c r="BO48" s="165">
        <f t="shared" ca="1" si="23"/>
        <v>-6.4516129032257266E-3</v>
      </c>
      <c r="BP48" s="165">
        <f t="shared" ca="1" si="16"/>
        <v>0</v>
      </c>
      <c r="BQ48" s="165">
        <f t="shared" ca="1" si="16"/>
        <v>6.8965517241378685E-3</v>
      </c>
      <c r="BR48" s="165">
        <f t="shared" ca="1" si="16"/>
        <v>6.060606060605986E-3</v>
      </c>
      <c r="BS48" s="165">
        <f t="shared" ca="1" si="16"/>
        <v>-6.0606060606060944E-3</v>
      </c>
      <c r="BT48" s="165">
        <f t="shared" ca="1" si="16"/>
        <v>0</v>
      </c>
      <c r="BU48" s="165">
        <f t="shared" ca="1" si="16"/>
        <v>0</v>
      </c>
      <c r="BV48" s="165">
        <f t="shared" ca="1" si="16"/>
        <v>0</v>
      </c>
      <c r="BW48" s="165">
        <f t="shared" ca="1" si="16"/>
        <v>0</v>
      </c>
      <c r="BX48" s="165">
        <f t="shared" ca="1" si="16"/>
        <v>0</v>
      </c>
      <c r="BY48" s="165">
        <f t="shared" ca="1" si="16"/>
        <v>-6.6666666666665327E-3</v>
      </c>
      <c r="BZ48" s="165">
        <f t="shared" ca="1" si="22"/>
        <v>0</v>
      </c>
      <c r="CA48" s="165">
        <f t="shared" ca="1" si="22"/>
        <v>0</v>
      </c>
      <c r="CB48" s="165">
        <f t="shared" ca="1" si="22"/>
        <v>-6.6666666666667564E-3</v>
      </c>
      <c r="CC48" s="165">
        <f t="shared" ca="1" si="22"/>
        <v>0</v>
      </c>
      <c r="CD48" s="165">
        <f t="shared" ca="1" si="22"/>
        <v>0</v>
      </c>
      <c r="CE48" s="165">
        <f t="shared" ca="1" si="22"/>
        <v>-1.1111111111111256E-2</v>
      </c>
      <c r="CF48" s="165">
        <f t="shared" ca="1" si="22"/>
        <v>-7.1428571428572493E-3</v>
      </c>
      <c r="CG48" s="165">
        <f t="shared" ca="1" si="22"/>
        <v>0</v>
      </c>
      <c r="CH48" s="165">
        <f t="shared" ca="1" si="22"/>
        <v>0</v>
      </c>
      <c r="CI48" s="165">
        <f t="shared" ca="1" si="22"/>
        <v>-7.1428571428571374E-3</v>
      </c>
      <c r="CJ48" s="165">
        <f t="shared" ca="1" si="22"/>
        <v>0</v>
      </c>
      <c r="CK48" s="165">
        <f t="shared" ca="1" si="22"/>
        <v>7.407407407407399E-3</v>
      </c>
      <c r="CL48" s="165">
        <f t="shared" ca="1" si="22"/>
        <v>9.0909090909089951E-3</v>
      </c>
      <c r="CM48" s="165">
        <f t="shared" ca="1" si="17"/>
        <v>0</v>
      </c>
      <c r="CN48" s="165">
        <f t="shared" ca="1" si="17"/>
        <v>0</v>
      </c>
      <c r="CO48" s="165">
        <f t="shared" ca="1" si="17"/>
        <v>-7.9999999999999724E-3</v>
      </c>
      <c r="CP48" s="165">
        <f t="shared" ca="1" si="17"/>
        <v>0</v>
      </c>
      <c r="CQ48" s="165">
        <f t="shared" ca="1" si="17"/>
        <v>8.6956521739130956E-3</v>
      </c>
      <c r="CR48" s="247">
        <f t="shared" ca="1" si="17"/>
        <v>0</v>
      </c>
      <c r="CS48" s="247">
        <f t="shared" ca="1" si="17"/>
        <v>-8.3333333333332153E-3</v>
      </c>
      <c r="CT48" s="247">
        <f t="shared" ca="1" si="17"/>
        <v>0</v>
      </c>
      <c r="CU48" s="247">
        <f t="shared" ca="1" si="17"/>
        <v>0</v>
      </c>
      <c r="CV48" s="247">
        <f t="shared" ca="1" si="17"/>
        <v>0</v>
      </c>
      <c r="CW48" s="247">
        <f t="shared" ca="1" si="17"/>
        <v>0</v>
      </c>
      <c r="CX48" s="247">
        <f t="shared" ca="1" si="17"/>
        <v>0</v>
      </c>
      <c r="CY48" s="247">
        <f t="shared" ca="1" si="20"/>
        <v>0</v>
      </c>
      <c r="CZ48" s="247">
        <f t="shared" ca="1" si="20"/>
        <v>0</v>
      </c>
      <c r="DA48" s="247">
        <f t="shared" ca="1" si="20"/>
        <v>0</v>
      </c>
      <c r="DB48" s="247">
        <f t="shared" ca="1" si="20"/>
        <v>-6.6666666666665327E-3</v>
      </c>
    </row>
    <row r="49" spans="3:106" x14ac:dyDescent="0.3">
      <c r="C49" s="165" t="str">
        <f t="shared" si="12"/>
        <v>3. Effect desired by attackers: Compared to last month the risk from attack motivations listed below has: - Business disruption (Availability)</v>
      </c>
      <c r="D49" s="165" t="str">
        <f t="shared" si="13"/>
        <v>Effect desired: Business disruption</v>
      </c>
      <c r="F49" s="165">
        <f t="shared" si="14"/>
        <v>0</v>
      </c>
      <c r="G49" s="165">
        <f t="shared" si="23"/>
        <v>0</v>
      </c>
      <c r="H49" s="165">
        <f t="shared" si="23"/>
        <v>0</v>
      </c>
      <c r="I49" s="165">
        <f t="shared" si="23"/>
        <v>0</v>
      </c>
      <c r="J49" s="165">
        <f t="shared" si="23"/>
        <v>0</v>
      </c>
      <c r="K49" s="165">
        <f t="shared" si="23"/>
        <v>0</v>
      </c>
      <c r="L49" s="165">
        <f t="shared" si="23"/>
        <v>0</v>
      </c>
      <c r="M49" s="165">
        <f t="shared" si="23"/>
        <v>0</v>
      </c>
      <c r="N49" s="165">
        <f t="shared" si="23"/>
        <v>0</v>
      </c>
      <c r="O49" s="165">
        <f t="shared" si="23"/>
        <v>0</v>
      </c>
      <c r="P49" s="165">
        <f t="shared" si="23"/>
        <v>0</v>
      </c>
      <c r="Q49" s="165">
        <f t="shared" si="23"/>
        <v>0</v>
      </c>
      <c r="R49" s="165">
        <f t="shared" si="23"/>
        <v>0</v>
      </c>
      <c r="S49" s="165">
        <f t="shared" si="23"/>
        <v>2.5431034482758581E-2</v>
      </c>
      <c r="T49" s="165">
        <f t="shared" si="23"/>
        <v>1.3306451612903256E-2</v>
      </c>
      <c r="U49" s="165">
        <f t="shared" si="23"/>
        <v>1.084905660377355E-2</v>
      </c>
      <c r="V49" s="165">
        <f t="shared" si="23"/>
        <v>9.1346153846152776E-3</v>
      </c>
      <c r="W49" s="165">
        <f t="shared" si="23"/>
        <v>3.9673913043478261E-2</v>
      </c>
      <c r="X49" s="165">
        <f t="shared" si="23"/>
        <v>5.1041666666666673E-2</v>
      </c>
      <c r="Y49" s="165">
        <f t="shared" si="23"/>
        <v>6.2499999999999821E-3</v>
      </c>
      <c r="Z49" s="165">
        <f t="shared" si="23"/>
        <v>3.6440677966101689E-2</v>
      </c>
      <c r="AA49" s="165">
        <f t="shared" si="23"/>
        <v>2.8716216216216173E-2</v>
      </c>
      <c r="AB49" s="165">
        <f t="shared" si="23"/>
        <v>2.3706896551724109E-2</v>
      </c>
      <c r="AC49" s="165">
        <f t="shared" si="23"/>
        <v>3.2954545454545438E-2</v>
      </c>
      <c r="AD49" s="165">
        <f t="shared" si="23"/>
        <v>3.2894736842105282E-2</v>
      </c>
      <c r="AE49" s="165">
        <f t="shared" si="23"/>
        <v>2.1428571428571453E-2</v>
      </c>
      <c r="AF49" s="165">
        <f t="shared" si="23"/>
        <v>1.6836734693877649E-2</v>
      </c>
      <c r="AG49" s="165">
        <f t="shared" si="23"/>
        <v>8.5714285714285181E-3</v>
      </c>
      <c r="AH49" s="165">
        <f t="shared" si="23"/>
        <v>2.9716981132075389E-2</v>
      </c>
      <c r="AI49" s="165">
        <f t="shared" si="23"/>
        <v>5.7692307692308554E-3</v>
      </c>
      <c r="AJ49" s="165">
        <f t="shared" si="23"/>
        <v>1.0204081632653144E-2</v>
      </c>
      <c r="AK49" s="165">
        <f t="shared" si="23"/>
        <v>4.9999999999998969E-3</v>
      </c>
      <c r="AL49" s="165">
        <f t="shared" si="23"/>
        <v>1.6666666666666583E-2</v>
      </c>
      <c r="AM49" s="165">
        <f t="shared" si="23"/>
        <v>5.7291666666666394E-3</v>
      </c>
      <c r="AN49" s="165">
        <f t="shared" si="23"/>
        <v>1.5116279069767504E-2</v>
      </c>
      <c r="AO49" s="165">
        <f t="shared" si="23"/>
        <v>1.9512195121951313E-2</v>
      </c>
      <c r="AP49" s="165">
        <f t="shared" si="23"/>
        <v>7.5581395348836549E-3</v>
      </c>
      <c r="AQ49" s="165">
        <f t="shared" si="23"/>
        <v>7.3863636363636119E-3</v>
      </c>
      <c r="AR49" s="165">
        <f t="shared" si="23"/>
        <v>3.6585365853657836E-3</v>
      </c>
      <c r="AS49" s="165">
        <f t="shared" si="23"/>
        <v>4.2857142857142868E-3</v>
      </c>
      <c r="AT49" s="165">
        <f t="shared" si="23"/>
        <v>1.5476190476190373E-2</v>
      </c>
      <c r="AU49" s="165">
        <f t="shared" si="23"/>
        <v>8.3333333333333662E-3</v>
      </c>
      <c r="AV49" s="165">
        <f t="shared" si="23"/>
        <v>1.0294117647058912E-2</v>
      </c>
      <c r="AW49" s="165">
        <f t="shared" si="23"/>
        <v>1.3815789473684144E-2</v>
      </c>
      <c r="AX49" s="165">
        <f t="shared" si="23"/>
        <v>1.8421052631578998E-2</v>
      </c>
      <c r="AY49" s="165">
        <f t="shared" si="23"/>
        <v>2.5568181818181768E-2</v>
      </c>
      <c r="AZ49" s="165">
        <f t="shared" si="23"/>
        <v>1.1842105263157886E-2</v>
      </c>
      <c r="BA49" s="165">
        <f t="shared" si="23"/>
        <v>5.6249999999999755E-3</v>
      </c>
      <c r="BB49" s="165">
        <f t="shared" si="23"/>
        <v>1.7105263157894835E-2</v>
      </c>
      <c r="BC49" s="165">
        <f t="shared" ref="G49:BO53" si="24">IFERROR(LN(BC16/BB16),0)</f>
        <v>1.0975609756097663E-2</v>
      </c>
      <c r="BD49" s="165">
        <f t="shared" si="24"/>
        <v>1.5243902439024305E-2</v>
      </c>
      <c r="BE49" s="165">
        <f t="shared" si="24"/>
        <v>1.5540540540540625E-2</v>
      </c>
      <c r="BF49" s="165">
        <f t="shared" si="24"/>
        <v>1.5441176470588338E-2</v>
      </c>
      <c r="BG49" s="165">
        <f t="shared" si="24"/>
        <v>2.0833333333333077E-3</v>
      </c>
      <c r="BH49" s="165">
        <f t="shared" si="24"/>
        <v>1.3157894736842151E-2</v>
      </c>
      <c r="BI49" s="165">
        <f t="shared" si="24"/>
        <v>5.5555555555556399E-3</v>
      </c>
      <c r="BJ49" s="165">
        <f t="shared" si="24"/>
        <v>9.9999999999998927E-3</v>
      </c>
      <c r="BK49" s="165">
        <f t="shared" si="24"/>
        <v>1.838235294117645E-2</v>
      </c>
      <c r="BL49" s="165">
        <f t="shared" si="24"/>
        <v>1.0135135135135068E-2</v>
      </c>
      <c r="BM49" s="165">
        <f t="shared" ca="1" si="24"/>
        <v>-0.1395225057756681</v>
      </c>
      <c r="BN49" s="165">
        <f t="shared" ca="1" si="24"/>
        <v>0</v>
      </c>
      <c r="BO49" s="165">
        <f t="shared" ca="1" si="24"/>
        <v>6.4516129032258654E-3</v>
      </c>
      <c r="BP49" s="165">
        <f t="shared" ca="1" si="16"/>
        <v>1.3793103448275936E-2</v>
      </c>
      <c r="BQ49" s="165">
        <f t="shared" ca="1" si="16"/>
        <v>0</v>
      </c>
      <c r="BR49" s="165">
        <f t="shared" ca="1" si="16"/>
        <v>6.060606060605986E-3</v>
      </c>
      <c r="BS49" s="165">
        <f t="shared" ca="1" si="16"/>
        <v>6.060606060605986E-3</v>
      </c>
      <c r="BT49" s="165">
        <f t="shared" ca="1" si="16"/>
        <v>1.2500000000000039E-2</v>
      </c>
      <c r="BU49" s="165">
        <f t="shared" ca="1" si="16"/>
        <v>0</v>
      </c>
      <c r="BV49" s="165">
        <f t="shared" ca="1" si="16"/>
        <v>-6.6666666666666445E-3</v>
      </c>
      <c r="BW49" s="165">
        <f t="shared" ca="1" si="16"/>
        <v>0</v>
      </c>
      <c r="BX49" s="165">
        <f t="shared" ca="1" si="16"/>
        <v>-6.4516129032258385E-3</v>
      </c>
      <c r="BY49" s="165">
        <f t="shared" ca="1" si="16"/>
        <v>0</v>
      </c>
      <c r="BZ49" s="165">
        <f t="shared" ca="1" si="22"/>
        <v>0</v>
      </c>
      <c r="CA49" s="165">
        <f t="shared" ca="1" si="22"/>
        <v>1.9354838709677528E-2</v>
      </c>
      <c r="CB49" s="165">
        <f t="shared" ca="1" si="22"/>
        <v>1.3333333333333273E-2</v>
      </c>
      <c r="CC49" s="165">
        <f t="shared" ca="1" si="22"/>
        <v>0</v>
      </c>
      <c r="CD49" s="165">
        <f t="shared" ca="1" si="22"/>
        <v>-5.882352941176415E-3</v>
      </c>
      <c r="CE49" s="165">
        <f t="shared" ca="1" si="22"/>
        <v>-1.1111111111111143E-2</v>
      </c>
      <c r="CF49" s="165">
        <f t="shared" ca="1" si="22"/>
        <v>-7.1428571428571374E-3</v>
      </c>
      <c r="CG49" s="165">
        <f t="shared" ca="1" si="22"/>
        <v>0</v>
      </c>
      <c r="CH49" s="165">
        <f t="shared" ca="1" si="22"/>
        <v>0</v>
      </c>
      <c r="CI49" s="165">
        <f t="shared" ca="1" si="22"/>
        <v>-7.1428571428571374E-3</v>
      </c>
      <c r="CJ49" s="165">
        <f t="shared" ca="1" si="22"/>
        <v>0</v>
      </c>
      <c r="CK49" s="165">
        <f t="shared" ca="1" si="22"/>
        <v>0</v>
      </c>
      <c r="CL49" s="165">
        <f t="shared" ca="1" si="22"/>
        <v>1.8181818181818209E-2</v>
      </c>
      <c r="CM49" s="165">
        <f t="shared" ca="1" si="17"/>
        <v>1.3793103448275936E-2</v>
      </c>
      <c r="CN49" s="165">
        <f t="shared" ca="1" si="17"/>
        <v>0</v>
      </c>
      <c r="CO49" s="165">
        <f t="shared" ca="1" si="17"/>
        <v>8.000000000000047E-3</v>
      </c>
      <c r="CP49" s="165">
        <f t="shared" ca="1" si="17"/>
        <v>-7.6923076923077474E-3</v>
      </c>
      <c r="CQ49" s="165">
        <f t="shared" ca="1" si="17"/>
        <v>-8.6956521739130523E-3</v>
      </c>
      <c r="CR49" s="247">
        <f t="shared" ca="1" si="17"/>
        <v>0</v>
      </c>
      <c r="CS49" s="247">
        <f t="shared" ca="1" si="17"/>
        <v>-8.3333333333333263E-3</v>
      </c>
      <c r="CT49" s="247">
        <f t="shared" ca="1" si="17"/>
        <v>0</v>
      </c>
      <c r="CU49" s="247">
        <f t="shared" ca="1" si="17"/>
        <v>0</v>
      </c>
      <c r="CV49" s="247">
        <f t="shared" ca="1" si="17"/>
        <v>-9.5238095238094293E-3</v>
      </c>
      <c r="CW49" s="247">
        <f t="shared" ca="1" si="17"/>
        <v>-7.1428571428571374E-3</v>
      </c>
      <c r="CX49" s="247">
        <f t="shared" ca="1" si="17"/>
        <v>-5.5555555555556893E-3</v>
      </c>
      <c r="CY49" s="247">
        <f t="shared" ca="1" si="20"/>
        <v>-1.5384615384615415E-2</v>
      </c>
      <c r="CZ49" s="247">
        <f t="shared" ca="1" si="20"/>
        <v>0</v>
      </c>
      <c r="DA49" s="247">
        <f t="shared" ca="1" si="20"/>
        <v>-7.1428571428571374E-3</v>
      </c>
      <c r="DB49" s="247">
        <f t="shared" ca="1" si="20"/>
        <v>-6.6666666666666445E-3</v>
      </c>
    </row>
    <row r="50" spans="3:106" x14ac:dyDescent="0.3">
      <c r="C50" s="165" t="str">
        <f t="shared" si="12"/>
        <v>4. Attack targets:Compared to last month the risk via the following targets for your organization has: - Web facing applications</v>
      </c>
      <c r="D50" s="165" t="str">
        <f t="shared" si="13"/>
        <v>Target: Web facing applications</v>
      </c>
      <c r="F50" s="165">
        <f t="shared" si="14"/>
        <v>2.6056338028169038E-2</v>
      </c>
      <c r="G50" s="165">
        <f t="shared" si="24"/>
        <v>2.2500000000000096E-2</v>
      </c>
      <c r="H50" s="165">
        <f t="shared" si="24"/>
        <v>3.1060606060606132E-2</v>
      </c>
      <c r="I50" s="165">
        <f t="shared" si="24"/>
        <v>2.8813559322033992E-2</v>
      </c>
      <c r="J50" s="165">
        <f t="shared" si="24"/>
        <v>2.0491803278688617E-2</v>
      </c>
      <c r="K50" s="165">
        <f t="shared" si="24"/>
        <v>1.6363636363636441E-2</v>
      </c>
      <c r="L50" s="165">
        <f t="shared" si="24"/>
        <v>2.6492537313432894E-2</v>
      </c>
      <c r="M50" s="165">
        <f t="shared" si="24"/>
        <v>2.0089285714285809E-2</v>
      </c>
      <c r="N50" s="165">
        <f t="shared" si="24"/>
        <v>2.4038461538461446E-2</v>
      </c>
      <c r="O50" s="165">
        <f t="shared" si="24"/>
        <v>2.4180327868852564E-2</v>
      </c>
      <c r="P50" s="165">
        <f t="shared" si="24"/>
        <v>2.8879310344827477E-2</v>
      </c>
      <c r="Q50" s="165">
        <f t="shared" si="24"/>
        <v>2.4090909090909142E-2</v>
      </c>
      <c r="R50" s="165">
        <f t="shared" si="24"/>
        <v>3.2954545454545438E-2</v>
      </c>
      <c r="S50" s="165">
        <f t="shared" si="24"/>
        <v>2.7586206896551748E-2</v>
      </c>
      <c r="T50" s="165">
        <f t="shared" si="24"/>
        <v>2.7419354838709602E-2</v>
      </c>
      <c r="U50" s="165">
        <f t="shared" si="24"/>
        <v>3.1132075471698068E-2</v>
      </c>
      <c r="V50" s="165">
        <f t="shared" si="24"/>
        <v>1.1538461538461608E-2</v>
      </c>
      <c r="W50" s="165">
        <f t="shared" si="24"/>
        <v>2.6086956521739205E-2</v>
      </c>
      <c r="X50" s="165">
        <f t="shared" si="24"/>
        <v>4.531249999999995E-2</v>
      </c>
      <c r="Y50" s="165">
        <f t="shared" si="24"/>
        <v>2.7604166666666707E-2</v>
      </c>
      <c r="Z50" s="165">
        <f t="shared" si="24"/>
        <v>3.3050847457627042E-2</v>
      </c>
      <c r="AA50" s="165">
        <f t="shared" si="24"/>
        <v>3.5135135135135054E-2</v>
      </c>
      <c r="AB50" s="165">
        <f t="shared" si="24"/>
        <v>3.3189655172413866E-2</v>
      </c>
      <c r="AC50" s="165">
        <f t="shared" si="24"/>
        <v>3.1060606060606132E-2</v>
      </c>
      <c r="AD50" s="165">
        <f t="shared" si="24"/>
        <v>2.3245614035087719E-2</v>
      </c>
      <c r="AE50" s="165">
        <f t="shared" si="24"/>
        <v>2.1938775510204022E-2</v>
      </c>
      <c r="AF50" s="165">
        <f t="shared" si="24"/>
        <v>2.3979591836734742E-2</v>
      </c>
      <c r="AG50" s="165">
        <f t="shared" si="24"/>
        <v>3.3571428571428474E-2</v>
      </c>
      <c r="AH50" s="165">
        <f t="shared" si="24"/>
        <v>2.7358490566037761E-2</v>
      </c>
      <c r="AI50" s="165">
        <f t="shared" si="24"/>
        <v>1.8589743589743659E-2</v>
      </c>
      <c r="AJ50" s="165">
        <f t="shared" si="24"/>
        <v>2.4489795918367249E-2</v>
      </c>
      <c r="AK50" s="165">
        <f t="shared" si="24"/>
        <v>1.9999999999999966E-2</v>
      </c>
      <c r="AL50" s="165">
        <f t="shared" si="24"/>
        <v>3.6538461538461506E-2</v>
      </c>
      <c r="AM50" s="165">
        <f t="shared" si="24"/>
        <v>2.1354166666666716E-2</v>
      </c>
      <c r="AN50" s="165">
        <f t="shared" si="24"/>
        <v>2.558139534883715E-2</v>
      </c>
      <c r="AO50" s="165">
        <f t="shared" si="24"/>
        <v>3.1707317073170774E-2</v>
      </c>
      <c r="AP50" s="165">
        <f t="shared" si="24"/>
        <v>6.3953488372093012E-2</v>
      </c>
      <c r="AQ50" s="165">
        <f t="shared" si="24"/>
        <v>2.5000000000000015E-2</v>
      </c>
      <c r="AR50" s="165">
        <f t="shared" si="24"/>
        <v>1.585365853658537E-2</v>
      </c>
      <c r="AS50" s="165">
        <f t="shared" si="24"/>
        <v>2.2857142857142815E-2</v>
      </c>
      <c r="AT50" s="165">
        <f t="shared" si="24"/>
        <v>3.2142857142857188E-2</v>
      </c>
      <c r="AU50" s="165">
        <f t="shared" si="24"/>
        <v>5.2976190476190378E-2</v>
      </c>
      <c r="AV50" s="165">
        <f t="shared" si="24"/>
        <v>4.8529411764705828E-2</v>
      </c>
      <c r="AW50" s="165">
        <f t="shared" si="24"/>
        <v>1.578947368421053E-2</v>
      </c>
      <c r="AX50" s="165">
        <f t="shared" si="24"/>
        <v>2.5000000000000015E-2</v>
      </c>
      <c r="AY50" s="165">
        <f t="shared" si="24"/>
        <v>1.704545454545461E-2</v>
      </c>
      <c r="AZ50" s="165">
        <f t="shared" si="24"/>
        <v>2.5657894736842164E-2</v>
      </c>
      <c r="BA50" s="165">
        <f t="shared" si="24"/>
        <v>1.9999999999999966E-2</v>
      </c>
      <c r="BB50" s="165">
        <f t="shared" si="24"/>
        <v>2.236842105263159E-2</v>
      </c>
      <c r="BC50" s="165">
        <f t="shared" si="24"/>
        <v>2.3780487804878098E-2</v>
      </c>
      <c r="BD50" s="165">
        <f t="shared" si="24"/>
        <v>1.8902439024390181E-2</v>
      </c>
      <c r="BE50" s="165">
        <f t="shared" si="24"/>
        <v>1.3513513513513516E-2</v>
      </c>
      <c r="BF50" s="165">
        <f t="shared" si="24"/>
        <v>1.9117647058823593E-2</v>
      </c>
      <c r="BG50" s="165">
        <f t="shared" si="24"/>
        <v>2.0833333333333077E-3</v>
      </c>
      <c r="BH50" s="165">
        <f t="shared" si="24"/>
        <v>2.3026315789473641E-2</v>
      </c>
      <c r="BI50" s="165">
        <f t="shared" si="24"/>
        <v>1.6666666666666583E-2</v>
      </c>
      <c r="BJ50" s="165">
        <f t="shared" si="24"/>
        <v>2.9166666666666608E-2</v>
      </c>
      <c r="BK50" s="165">
        <f t="shared" si="24"/>
        <v>1.6911764705882324E-2</v>
      </c>
      <c r="BL50" s="165">
        <f t="shared" si="24"/>
        <v>2.5000000000000015E-2</v>
      </c>
      <c r="BM50" s="165">
        <f t="shared" ca="1" si="24"/>
        <v>-0.22778428699339714</v>
      </c>
      <c r="BN50" s="165">
        <f t="shared" ca="1" si="24"/>
        <v>0</v>
      </c>
      <c r="BO50" s="165">
        <f t="shared" ca="1" si="24"/>
        <v>0</v>
      </c>
      <c r="BP50" s="165">
        <f t="shared" ca="1" si="16"/>
        <v>6.8965517241378685E-3</v>
      </c>
      <c r="BQ50" s="165">
        <f t="shared" ca="1" si="16"/>
        <v>6.8965517241378685E-3</v>
      </c>
      <c r="BR50" s="165">
        <f t="shared" ca="1" si="16"/>
        <v>0</v>
      </c>
      <c r="BS50" s="165">
        <f t="shared" ca="1" si="16"/>
        <v>1.212121212121213E-2</v>
      </c>
      <c r="BT50" s="165">
        <f t="shared" ca="1" si="16"/>
        <v>0</v>
      </c>
      <c r="BU50" s="165">
        <f t="shared" ca="1" si="16"/>
        <v>5.8823529411765486E-3</v>
      </c>
      <c r="BV50" s="165">
        <f t="shared" ca="1" si="16"/>
        <v>-6.6666666666666445E-3</v>
      </c>
      <c r="BW50" s="165">
        <f t="shared" ca="1" si="16"/>
        <v>6.4516129032258654E-3</v>
      </c>
      <c r="BX50" s="165">
        <f t="shared" ca="1" si="16"/>
        <v>0</v>
      </c>
      <c r="BY50" s="165">
        <f t="shared" ca="1" si="16"/>
        <v>0</v>
      </c>
      <c r="BZ50" s="165">
        <f t="shared" ca="1" si="22"/>
        <v>6.4516129032258654E-3</v>
      </c>
      <c r="CA50" s="165">
        <f t="shared" ca="1" si="22"/>
        <v>6.4516129032258654E-3</v>
      </c>
      <c r="CB50" s="165">
        <f t="shared" ca="1" si="22"/>
        <v>0</v>
      </c>
      <c r="CC50" s="165">
        <f t="shared" ca="1" si="22"/>
        <v>1.5384615384615392E-2</v>
      </c>
      <c r="CD50" s="165">
        <f t="shared" ca="1" si="22"/>
        <v>5.8823529411765486E-3</v>
      </c>
      <c r="CE50" s="165">
        <f t="shared" ca="1" si="22"/>
        <v>-1.1111111111111143E-2</v>
      </c>
      <c r="CF50" s="165">
        <f t="shared" ca="1" si="22"/>
        <v>7.1428571428572155E-3</v>
      </c>
      <c r="CG50" s="165">
        <f t="shared" ca="1" si="22"/>
        <v>1.3793103448275936E-2</v>
      </c>
      <c r="CH50" s="165">
        <f t="shared" ca="1" si="22"/>
        <v>1.5384615384615392E-2</v>
      </c>
      <c r="CI50" s="165">
        <f t="shared" ca="1" si="22"/>
        <v>0</v>
      </c>
      <c r="CJ50" s="165">
        <f t="shared" ca="1" si="22"/>
        <v>0</v>
      </c>
      <c r="CK50" s="165">
        <f t="shared" ca="1" si="22"/>
        <v>7.407407407407399E-3</v>
      </c>
      <c r="CL50" s="165">
        <f t="shared" ca="1" si="22"/>
        <v>9.0909090909089951E-3</v>
      </c>
      <c r="CM50" s="165">
        <f t="shared" ca="1" si="17"/>
        <v>6.8965517241378685E-3</v>
      </c>
      <c r="CN50" s="165">
        <f t="shared" ca="1" si="17"/>
        <v>0</v>
      </c>
      <c r="CO50" s="165">
        <f t="shared" ca="1" si="17"/>
        <v>0</v>
      </c>
      <c r="CP50" s="165">
        <f t="shared" ca="1" si="17"/>
        <v>0</v>
      </c>
      <c r="CQ50" s="165">
        <f t="shared" ca="1" si="17"/>
        <v>0</v>
      </c>
      <c r="CR50" s="247">
        <f t="shared" ca="1" si="17"/>
        <v>1.1111111111111027E-2</v>
      </c>
      <c r="CS50" s="247">
        <f t="shared" ca="1" si="17"/>
        <v>0</v>
      </c>
      <c r="CT50" s="247">
        <f t="shared" ca="1" si="17"/>
        <v>8.6956521739130956E-3</v>
      </c>
      <c r="CU50" s="247">
        <f t="shared" ca="1" si="17"/>
        <v>0</v>
      </c>
      <c r="CV50" s="247">
        <f t="shared" ca="1" si="17"/>
        <v>0</v>
      </c>
      <c r="CW50" s="247">
        <f t="shared" ca="1" si="17"/>
        <v>-7.1428571428571374E-3</v>
      </c>
      <c r="CX50" s="247">
        <f t="shared" ca="1" si="17"/>
        <v>5.5555555555556399E-3</v>
      </c>
      <c r="CY50" s="247">
        <f t="shared" ca="1" si="20"/>
        <v>0</v>
      </c>
      <c r="CZ50" s="247">
        <f t="shared" ca="1" si="20"/>
        <v>0</v>
      </c>
      <c r="DA50" s="247">
        <f t="shared" ca="1" si="20"/>
        <v>-7.1428571428570255E-3</v>
      </c>
      <c r="DB50" s="247">
        <f t="shared" ca="1" si="20"/>
        <v>0</v>
      </c>
    </row>
    <row r="51" spans="3:106" x14ac:dyDescent="0.3">
      <c r="C51" s="165" t="str">
        <f t="shared" si="12"/>
        <v>4. Attack targets:Compared to last month the risk via the following targets for your organization has: - Internet exposed devices and appliances</v>
      </c>
      <c r="D51" s="165" t="str">
        <f t="shared" si="13"/>
        <v>Target: Internet exposed devices/appliances</v>
      </c>
      <c r="F51" s="165">
        <f t="shared" si="14"/>
        <v>0</v>
      </c>
      <c r="G51" s="165">
        <f t="shared" si="24"/>
        <v>0</v>
      </c>
      <c r="H51" s="165">
        <f t="shared" si="24"/>
        <v>0</v>
      </c>
      <c r="I51" s="165">
        <f t="shared" si="24"/>
        <v>0</v>
      </c>
      <c r="J51" s="165">
        <f t="shared" si="24"/>
        <v>0</v>
      </c>
      <c r="K51" s="165">
        <f t="shared" si="24"/>
        <v>0</v>
      </c>
      <c r="L51" s="165">
        <f t="shared" si="24"/>
        <v>0</v>
      </c>
      <c r="M51" s="165">
        <f t="shared" si="24"/>
        <v>0</v>
      </c>
      <c r="N51" s="165">
        <f t="shared" si="24"/>
        <v>0</v>
      </c>
      <c r="O51" s="165">
        <f t="shared" si="24"/>
        <v>0</v>
      </c>
      <c r="P51" s="165">
        <f t="shared" si="24"/>
        <v>0</v>
      </c>
      <c r="Q51" s="165">
        <f t="shared" si="24"/>
        <v>0</v>
      </c>
      <c r="R51" s="165">
        <f t="shared" si="24"/>
        <v>0</v>
      </c>
      <c r="S51" s="165">
        <f t="shared" si="24"/>
        <v>1.9396551724137987E-2</v>
      </c>
      <c r="T51" s="165">
        <f t="shared" si="24"/>
        <v>2.4596774193548342E-2</v>
      </c>
      <c r="U51" s="165">
        <f t="shared" si="24"/>
        <v>1.7452830188679182E-2</v>
      </c>
      <c r="V51" s="165">
        <f t="shared" si="24"/>
        <v>1.6826923076923031E-2</v>
      </c>
      <c r="W51" s="165">
        <f t="shared" si="24"/>
        <v>2.8804347826086964E-2</v>
      </c>
      <c r="X51" s="165">
        <f t="shared" si="24"/>
        <v>3.7500000000000033E-2</v>
      </c>
      <c r="Y51" s="165">
        <f t="shared" si="24"/>
        <v>2.2916666666666641E-2</v>
      </c>
      <c r="Z51" s="165">
        <f t="shared" si="24"/>
        <v>2.1186440677966156E-2</v>
      </c>
      <c r="AA51" s="165">
        <f t="shared" si="24"/>
        <v>1.4864864864864862E-2</v>
      </c>
      <c r="AB51" s="165">
        <f t="shared" si="24"/>
        <v>2.5000000000000015E-2</v>
      </c>
      <c r="AC51" s="165">
        <f t="shared" si="24"/>
        <v>2.1969696969696962E-2</v>
      </c>
      <c r="AD51" s="165">
        <f t="shared" si="24"/>
        <v>1.7105263157894835E-2</v>
      </c>
      <c r="AE51" s="165">
        <f t="shared" si="24"/>
        <v>2.1428571428571453E-2</v>
      </c>
      <c r="AF51" s="165">
        <f t="shared" si="24"/>
        <v>1.9897959183673465E-2</v>
      </c>
      <c r="AG51" s="165">
        <f t="shared" si="24"/>
        <v>2.0714285714285723E-2</v>
      </c>
      <c r="AH51" s="165">
        <f t="shared" si="24"/>
        <v>2.1698113207547231E-2</v>
      </c>
      <c r="AI51" s="165">
        <f t="shared" si="24"/>
        <v>2.0512820512820443E-2</v>
      </c>
      <c r="AJ51" s="165">
        <f t="shared" si="24"/>
        <v>1.1734693877550937E-2</v>
      </c>
      <c r="AK51" s="165">
        <f t="shared" si="24"/>
        <v>6.6666666666667426E-3</v>
      </c>
      <c r="AL51" s="165">
        <f t="shared" si="24"/>
        <v>1.2820512820512773E-2</v>
      </c>
      <c r="AM51" s="165">
        <f t="shared" si="24"/>
        <v>2.8645833333333377E-2</v>
      </c>
      <c r="AN51" s="165">
        <f t="shared" si="24"/>
        <v>1.8023255813953493E-2</v>
      </c>
      <c r="AO51" s="165">
        <f t="shared" si="24"/>
        <v>2.2560975609755996E-2</v>
      </c>
      <c r="AP51" s="165">
        <f t="shared" si="24"/>
        <v>4.4186046511627844E-2</v>
      </c>
      <c r="AQ51" s="165">
        <f t="shared" si="24"/>
        <v>2.0454545454545406E-2</v>
      </c>
      <c r="AR51" s="165">
        <f t="shared" si="24"/>
        <v>5.4878048780487871E-3</v>
      </c>
      <c r="AS51" s="165">
        <f t="shared" si="24"/>
        <v>7.8571428571428351E-3</v>
      </c>
      <c r="AT51" s="165">
        <f t="shared" si="24"/>
        <v>3.0952380952380922E-2</v>
      </c>
      <c r="AU51" s="165">
        <f t="shared" si="24"/>
        <v>3.9880952380952357E-2</v>
      </c>
      <c r="AV51" s="165">
        <f t="shared" si="24"/>
        <v>4.5588235294117721E-2</v>
      </c>
      <c r="AW51" s="165">
        <f t="shared" si="24"/>
        <v>3.2236842105263203E-2</v>
      </c>
      <c r="AX51" s="165">
        <f t="shared" si="24"/>
        <v>1.9078947368421105E-2</v>
      </c>
      <c r="AY51" s="165">
        <f t="shared" si="24"/>
        <v>2.1022727272727287E-2</v>
      </c>
      <c r="AZ51" s="165">
        <f t="shared" si="24"/>
        <v>1.3157894736842151E-2</v>
      </c>
      <c r="BA51" s="165">
        <f t="shared" si="24"/>
        <v>1.4374999999999919E-2</v>
      </c>
      <c r="BB51" s="165">
        <f t="shared" si="24"/>
        <v>1.7105263157894835E-2</v>
      </c>
      <c r="BC51" s="165">
        <f t="shared" si="24"/>
        <v>1.280487804878057E-2</v>
      </c>
      <c r="BD51" s="165">
        <f t="shared" si="24"/>
        <v>1.8902439024390181E-2</v>
      </c>
      <c r="BE51" s="165">
        <f t="shared" si="24"/>
        <v>1.0135135135135068E-2</v>
      </c>
      <c r="BF51" s="165">
        <f t="shared" si="24"/>
        <v>8.8235294117645982E-3</v>
      </c>
      <c r="BG51" s="165">
        <f t="shared" si="24"/>
        <v>2.0833333333333077E-3</v>
      </c>
      <c r="BH51" s="165">
        <f t="shared" si="24"/>
        <v>1.3815789473684144E-2</v>
      </c>
      <c r="BI51" s="165">
        <f t="shared" si="24"/>
        <v>1.8518518518518497E-2</v>
      </c>
      <c r="BJ51" s="165">
        <f t="shared" si="24"/>
        <v>1.4166666666666756E-2</v>
      </c>
      <c r="BK51" s="165">
        <f t="shared" si="24"/>
        <v>0</v>
      </c>
      <c r="BL51" s="165">
        <f t="shared" si="24"/>
        <v>1.0135135135135068E-2</v>
      </c>
      <c r="BM51" s="165">
        <f t="shared" ca="1" si="24"/>
        <v>-0.14041470287312449</v>
      </c>
      <c r="BN51" s="165">
        <f t="shared" ca="1" si="24"/>
        <v>0</v>
      </c>
      <c r="BO51" s="165">
        <f t="shared" ca="1" si="24"/>
        <v>0</v>
      </c>
      <c r="BP51" s="165">
        <f t="shared" ca="1" si="16"/>
        <v>0</v>
      </c>
      <c r="BQ51" s="165">
        <f t="shared" ca="1" si="16"/>
        <v>0</v>
      </c>
      <c r="BR51" s="165">
        <f t="shared" ca="1" si="16"/>
        <v>-6.0606060606060944E-3</v>
      </c>
      <c r="BS51" s="165">
        <f t="shared" ca="1" si="16"/>
        <v>0</v>
      </c>
      <c r="BT51" s="165">
        <f t="shared" ca="1" si="16"/>
        <v>1.2500000000000039E-2</v>
      </c>
      <c r="BU51" s="165">
        <f t="shared" ca="1" si="16"/>
        <v>0</v>
      </c>
      <c r="BV51" s="165">
        <f t="shared" ca="1" si="16"/>
        <v>-6.6666666666666445E-3</v>
      </c>
      <c r="BW51" s="165">
        <f t="shared" ca="1" si="16"/>
        <v>1.2903225806451557E-2</v>
      </c>
      <c r="BX51" s="165">
        <f t="shared" ca="1" si="16"/>
        <v>0</v>
      </c>
      <c r="BY51" s="165">
        <f t="shared" ca="1" si="16"/>
        <v>-6.6666666666665327E-3</v>
      </c>
      <c r="BZ51" s="165">
        <f t="shared" ca="1" si="22"/>
        <v>0</v>
      </c>
      <c r="CA51" s="165">
        <f t="shared" ca="1" si="22"/>
        <v>6.4516129032258654E-3</v>
      </c>
      <c r="CB51" s="165">
        <f t="shared" ca="1" si="22"/>
        <v>0</v>
      </c>
      <c r="CC51" s="165">
        <f t="shared" ca="1" si="22"/>
        <v>7.6923076923077222E-3</v>
      </c>
      <c r="CD51" s="165">
        <f t="shared" ca="1" si="22"/>
        <v>0</v>
      </c>
      <c r="CE51" s="165">
        <f t="shared" ca="1" si="22"/>
        <v>0</v>
      </c>
      <c r="CF51" s="165">
        <f t="shared" ca="1" si="22"/>
        <v>0</v>
      </c>
      <c r="CG51" s="165">
        <f t="shared" ca="1" si="22"/>
        <v>6.8965517241378685E-3</v>
      </c>
      <c r="CH51" s="165">
        <f t="shared" ca="1" si="22"/>
        <v>7.6923076923077222E-3</v>
      </c>
      <c r="CI51" s="165">
        <f t="shared" ca="1" si="22"/>
        <v>7.1428571428572155E-3</v>
      </c>
      <c r="CJ51" s="165">
        <f t="shared" ca="1" si="22"/>
        <v>-7.9999999999999724E-3</v>
      </c>
      <c r="CK51" s="165">
        <f t="shared" ca="1" si="22"/>
        <v>7.407407407407399E-3</v>
      </c>
      <c r="CL51" s="165">
        <f t="shared" ca="1" si="22"/>
        <v>9.0909090909089951E-3</v>
      </c>
      <c r="CM51" s="165">
        <f t="shared" ca="1" si="17"/>
        <v>1.3793103448275936E-2</v>
      </c>
      <c r="CN51" s="165">
        <f t="shared" ca="1" si="17"/>
        <v>0</v>
      </c>
      <c r="CO51" s="165">
        <f t="shared" ca="1" si="17"/>
        <v>0</v>
      </c>
      <c r="CP51" s="165">
        <f t="shared" ca="1" si="17"/>
        <v>0</v>
      </c>
      <c r="CQ51" s="165">
        <f t="shared" ca="1" si="17"/>
        <v>-8.6956521739130523E-3</v>
      </c>
      <c r="CR51" s="247">
        <f t="shared" ca="1" si="17"/>
        <v>0</v>
      </c>
      <c r="CS51" s="247">
        <f t="shared" ca="1" si="17"/>
        <v>0</v>
      </c>
      <c r="CT51" s="247">
        <f t="shared" ca="1" si="17"/>
        <v>0</v>
      </c>
      <c r="CU51" s="247">
        <f t="shared" ca="1" si="17"/>
        <v>-7.9999999999998614E-3</v>
      </c>
      <c r="CV51" s="247">
        <f t="shared" ca="1" si="17"/>
        <v>-9.523809523809653E-3</v>
      </c>
      <c r="CW51" s="247">
        <f t="shared" ca="1" si="17"/>
        <v>-7.1428571428570255E-3</v>
      </c>
      <c r="CX51" s="247">
        <f t="shared" ca="1" si="17"/>
        <v>0</v>
      </c>
      <c r="CY51" s="247">
        <f t="shared" ca="1" si="20"/>
        <v>-7.6923076923077474E-3</v>
      </c>
      <c r="CZ51" s="247">
        <f t="shared" ca="1" si="20"/>
        <v>0</v>
      </c>
      <c r="DA51" s="247">
        <f t="shared" ca="1" si="20"/>
        <v>-7.1428571428570255E-3</v>
      </c>
      <c r="DB51" s="247">
        <f t="shared" ca="1" si="20"/>
        <v>0</v>
      </c>
    </row>
    <row r="52" spans="3:106" x14ac:dyDescent="0.3">
      <c r="C52" s="165" t="str">
        <f t="shared" si="12"/>
        <v>4. Attack targets:Compared to last month the risk via the following targets for your organization has: - End point desktops</v>
      </c>
      <c r="D52" s="165" t="str">
        <f t="shared" si="13"/>
        <v>Target: End points</v>
      </c>
      <c r="F52" s="165">
        <f t="shared" si="14"/>
        <v>0</v>
      </c>
      <c r="G52" s="165">
        <f t="shared" si="24"/>
        <v>0</v>
      </c>
      <c r="H52" s="165">
        <f t="shared" si="24"/>
        <v>0</v>
      </c>
      <c r="I52" s="165">
        <f t="shared" si="24"/>
        <v>0</v>
      </c>
      <c r="J52" s="165">
        <f t="shared" si="24"/>
        <v>0</v>
      </c>
      <c r="K52" s="165">
        <f t="shared" si="24"/>
        <v>0</v>
      </c>
      <c r="L52" s="165">
        <f t="shared" si="24"/>
        <v>0</v>
      </c>
      <c r="M52" s="165">
        <f t="shared" si="24"/>
        <v>0</v>
      </c>
      <c r="N52" s="165">
        <f t="shared" si="24"/>
        <v>0</v>
      </c>
      <c r="O52" s="165">
        <f t="shared" si="24"/>
        <v>0</v>
      </c>
      <c r="P52" s="165">
        <f t="shared" si="24"/>
        <v>0</v>
      </c>
      <c r="Q52" s="165">
        <f t="shared" si="24"/>
        <v>0</v>
      </c>
      <c r="R52" s="165">
        <f t="shared" si="24"/>
        <v>0</v>
      </c>
      <c r="S52" s="165">
        <f t="shared" si="24"/>
        <v>2.3275862068965425E-2</v>
      </c>
      <c r="T52" s="165">
        <f t="shared" si="24"/>
        <v>3.5887096774193453E-2</v>
      </c>
      <c r="U52" s="165">
        <f t="shared" si="24"/>
        <v>2.3584905660377263E-2</v>
      </c>
      <c r="V52" s="165">
        <f t="shared" si="24"/>
        <v>2.7403846153846247E-2</v>
      </c>
      <c r="W52" s="165">
        <f t="shared" si="24"/>
        <v>4.0217391304347871E-2</v>
      </c>
      <c r="X52" s="165">
        <f t="shared" si="24"/>
        <v>1.8750000000000103E-2</v>
      </c>
      <c r="Y52" s="165">
        <f t="shared" si="24"/>
        <v>1.5104166666666604E-2</v>
      </c>
      <c r="Z52" s="165">
        <f t="shared" si="24"/>
        <v>2.8813559322033992E-2</v>
      </c>
      <c r="AA52" s="165">
        <f t="shared" si="24"/>
        <v>2.4662162162162188E-2</v>
      </c>
      <c r="AB52" s="165">
        <f t="shared" si="24"/>
        <v>3.7068965517241398E-2</v>
      </c>
      <c r="AC52" s="165">
        <f t="shared" si="24"/>
        <v>2.1212121212121217E-2</v>
      </c>
      <c r="AD52" s="165">
        <f t="shared" si="24"/>
        <v>8.771929824561351E-3</v>
      </c>
      <c r="AE52" s="165">
        <f t="shared" si="24"/>
        <v>1.2244897959183572E-2</v>
      </c>
      <c r="AF52" s="165">
        <f t="shared" si="24"/>
        <v>7.1428571428572155E-3</v>
      </c>
      <c r="AG52" s="165">
        <f t="shared" si="24"/>
        <v>7.1428571428565249E-4</v>
      </c>
      <c r="AH52" s="165">
        <f t="shared" si="24"/>
        <v>1.1792452830188715E-2</v>
      </c>
      <c r="AI52" s="165">
        <f t="shared" si="24"/>
        <v>1.8589743589743659E-2</v>
      </c>
      <c r="AJ52" s="165">
        <f t="shared" si="24"/>
        <v>1.6836734693877649E-2</v>
      </c>
      <c r="AK52" s="165">
        <f t="shared" si="24"/>
        <v>8.3333333333333662E-3</v>
      </c>
      <c r="AL52" s="165">
        <f t="shared" si="24"/>
        <v>2.2435897435897498E-2</v>
      </c>
      <c r="AM52" s="165">
        <f t="shared" si="24"/>
        <v>1.4062500000000087E-2</v>
      </c>
      <c r="AN52" s="165">
        <f t="shared" si="24"/>
        <v>1.8604651162790701E-2</v>
      </c>
      <c r="AO52" s="165">
        <f t="shared" si="24"/>
        <v>1.4024390243902361E-2</v>
      </c>
      <c r="AP52" s="165">
        <f t="shared" si="24"/>
        <v>2.1511627906976666E-2</v>
      </c>
      <c r="AQ52" s="165">
        <f t="shared" si="24"/>
        <v>1.306818181818172E-2</v>
      </c>
      <c r="AR52" s="165">
        <f t="shared" si="24"/>
        <v>1.7073170731707218E-2</v>
      </c>
      <c r="AS52" s="165">
        <f t="shared" si="24"/>
        <v>1.0714285714285622E-2</v>
      </c>
      <c r="AT52" s="165">
        <f t="shared" si="24"/>
        <v>2.2023809523809522E-2</v>
      </c>
      <c r="AU52" s="165">
        <f t="shared" si="24"/>
        <v>3.5714285714285775E-2</v>
      </c>
      <c r="AV52" s="165">
        <f t="shared" si="24"/>
        <v>2.7205882352941146E-2</v>
      </c>
      <c r="AW52" s="165">
        <f t="shared" si="24"/>
        <v>3.8157894736842064E-2</v>
      </c>
      <c r="AX52" s="165">
        <f t="shared" si="24"/>
        <v>2.8289473684210614E-2</v>
      </c>
      <c r="AY52" s="165">
        <f t="shared" si="24"/>
        <v>1.8750000000000103E-2</v>
      </c>
      <c r="AZ52" s="165">
        <f t="shared" si="24"/>
        <v>2.1052631578947309E-2</v>
      </c>
      <c r="BA52" s="165">
        <f t="shared" si="24"/>
        <v>1.8750000000000103E-2</v>
      </c>
      <c r="BB52" s="165">
        <f t="shared" si="24"/>
        <v>5.9210526315788816E-3</v>
      </c>
      <c r="BC52" s="165">
        <f t="shared" si="24"/>
        <v>1.8292682926829264E-2</v>
      </c>
      <c r="BD52" s="165">
        <f t="shared" si="24"/>
        <v>2.5609756097560974E-2</v>
      </c>
      <c r="BE52" s="165">
        <f t="shared" si="24"/>
        <v>3.2432432432432469E-2</v>
      </c>
      <c r="BF52" s="165">
        <f t="shared" si="24"/>
        <v>2.2058823529411863E-2</v>
      </c>
      <c r="BG52" s="165">
        <f t="shared" si="24"/>
        <v>1.2500000000000039E-2</v>
      </c>
      <c r="BH52" s="165">
        <f t="shared" si="24"/>
        <v>7.8947368421053311E-3</v>
      </c>
      <c r="BI52" s="165">
        <f t="shared" si="24"/>
        <v>1.5740740740740739E-2</v>
      </c>
      <c r="BJ52" s="165">
        <f t="shared" si="24"/>
        <v>1.6666666666666583E-2</v>
      </c>
      <c r="BK52" s="165">
        <f t="shared" si="24"/>
        <v>1.4705882352941225E-2</v>
      </c>
      <c r="BL52" s="165">
        <f t="shared" si="24"/>
        <v>2.5000000000000015E-2</v>
      </c>
      <c r="BM52" s="165">
        <f t="shared" ca="1" si="24"/>
        <v>-0.22277705193472025</v>
      </c>
      <c r="BN52" s="165">
        <f t="shared" ca="1" si="24"/>
        <v>0</v>
      </c>
      <c r="BO52" s="165">
        <f t="shared" ca="1" si="24"/>
        <v>0</v>
      </c>
      <c r="BP52" s="165">
        <f t="shared" ca="1" si="16"/>
        <v>1.3793103448275936E-2</v>
      </c>
      <c r="BQ52" s="165">
        <f t="shared" ca="1" si="16"/>
        <v>0</v>
      </c>
      <c r="BR52" s="165">
        <f t="shared" ca="1" si="16"/>
        <v>-6.0606060606060944E-3</v>
      </c>
      <c r="BS52" s="165">
        <f t="shared" ca="1" si="16"/>
        <v>0</v>
      </c>
      <c r="BT52" s="165">
        <f t="shared" ca="1" si="16"/>
        <v>0</v>
      </c>
      <c r="BU52" s="165">
        <f t="shared" ca="1" si="16"/>
        <v>0</v>
      </c>
      <c r="BV52" s="165">
        <f t="shared" ca="1" si="16"/>
        <v>-6.6666666666666445E-3</v>
      </c>
      <c r="BW52" s="165">
        <f t="shared" ca="1" si="16"/>
        <v>6.4516129032258654E-3</v>
      </c>
      <c r="BX52" s="165">
        <f t="shared" ca="1" si="16"/>
        <v>0</v>
      </c>
      <c r="BY52" s="165">
        <f t="shared" ca="1" si="16"/>
        <v>0</v>
      </c>
      <c r="BZ52" s="165">
        <f t="shared" ca="1" si="22"/>
        <v>0</v>
      </c>
      <c r="CA52" s="165">
        <f t="shared" ca="1" si="22"/>
        <v>6.4516129032258654E-3</v>
      </c>
      <c r="CB52" s="165">
        <f t="shared" ca="1" si="22"/>
        <v>-6.6666666666666445E-3</v>
      </c>
      <c r="CC52" s="165">
        <f t="shared" ca="1" si="22"/>
        <v>-7.6923076923077474E-3</v>
      </c>
      <c r="CD52" s="165">
        <f t="shared" ca="1" si="22"/>
        <v>-1.1764705882352886E-2</v>
      </c>
      <c r="CE52" s="165">
        <f t="shared" ca="1" si="22"/>
        <v>-1.1111111111111143E-2</v>
      </c>
      <c r="CF52" s="165">
        <f t="shared" ca="1" si="22"/>
        <v>0</v>
      </c>
      <c r="CG52" s="165">
        <f t="shared" ca="1" si="22"/>
        <v>0</v>
      </c>
      <c r="CH52" s="165">
        <f t="shared" ca="1" si="22"/>
        <v>-7.6923076923077474E-3</v>
      </c>
      <c r="CI52" s="165">
        <f t="shared" ca="1" si="22"/>
        <v>0</v>
      </c>
      <c r="CJ52" s="165">
        <f t="shared" ca="1" si="22"/>
        <v>-7.9999999999999724E-3</v>
      </c>
      <c r="CK52" s="165">
        <f t="shared" ca="1" si="22"/>
        <v>0</v>
      </c>
      <c r="CL52" s="165">
        <f t="shared" ca="1" si="22"/>
        <v>9.0909090909089951E-3</v>
      </c>
      <c r="CM52" s="165">
        <f t="shared" ca="1" si="17"/>
        <v>-6.8965517241378789E-3</v>
      </c>
      <c r="CN52" s="165">
        <f t="shared" ca="1" si="17"/>
        <v>-8.3333333333332153E-3</v>
      </c>
      <c r="CO52" s="165">
        <f t="shared" ca="1" si="17"/>
        <v>0</v>
      </c>
      <c r="CP52" s="165">
        <f t="shared" ca="1" si="17"/>
        <v>-7.6923076923077474E-3</v>
      </c>
      <c r="CQ52" s="165">
        <f t="shared" ca="1" si="17"/>
        <v>-8.6956521739130523E-3</v>
      </c>
      <c r="CR52" s="247">
        <f t="shared" ca="1" si="17"/>
        <v>-1.1111111111111143E-2</v>
      </c>
      <c r="CS52" s="247">
        <f t="shared" ca="1" si="17"/>
        <v>0</v>
      </c>
      <c r="CT52" s="247">
        <f t="shared" ca="1" si="17"/>
        <v>-8.6956521739130523E-3</v>
      </c>
      <c r="CU52" s="247">
        <f t="shared" ca="1" si="17"/>
        <v>-7.9999999999999724E-3</v>
      </c>
      <c r="CV52" s="247">
        <f t="shared" ca="1" si="17"/>
        <v>-9.523809523809542E-3</v>
      </c>
      <c r="CW52" s="247">
        <f t="shared" ca="1" si="17"/>
        <v>-7.1428571428571374E-3</v>
      </c>
      <c r="CX52" s="247">
        <f t="shared" ca="1" si="17"/>
        <v>-5.5555555555556893E-3</v>
      </c>
      <c r="CY52" s="247">
        <f t="shared" ca="1" si="20"/>
        <v>-7.6923076923077474E-3</v>
      </c>
      <c r="CZ52" s="247">
        <f t="shared" ca="1" si="20"/>
        <v>0</v>
      </c>
      <c r="DA52" s="247">
        <f t="shared" ca="1" si="20"/>
        <v>-7.1428571428571374E-3</v>
      </c>
      <c r="DB52" s="247">
        <f t="shared" ca="1" si="20"/>
        <v>-6.6666666666665327E-3</v>
      </c>
    </row>
    <row r="53" spans="3:106" x14ac:dyDescent="0.3">
      <c r="C53" s="165" t="str">
        <f t="shared" si="12"/>
        <v>4. Attack targets:Compared to last month the risk via the following targets for your organization has: - Mobile devices</v>
      </c>
      <c r="D53" s="165" t="str">
        <f t="shared" si="13"/>
        <v>Target: Mobile devices</v>
      </c>
      <c r="F53" s="165">
        <f t="shared" si="14"/>
        <v>0</v>
      </c>
      <c r="G53" s="165">
        <f t="shared" si="24"/>
        <v>0</v>
      </c>
      <c r="H53" s="165">
        <f t="shared" si="24"/>
        <v>0</v>
      </c>
      <c r="I53" s="165">
        <f t="shared" si="24"/>
        <v>0</v>
      </c>
      <c r="J53" s="165">
        <f t="shared" si="24"/>
        <v>0</v>
      </c>
      <c r="K53" s="165">
        <f t="shared" si="24"/>
        <v>0</v>
      </c>
      <c r="L53" s="165">
        <f t="shared" si="24"/>
        <v>0</v>
      </c>
      <c r="M53" s="165">
        <f t="shared" si="24"/>
        <v>0</v>
      </c>
      <c r="N53" s="165">
        <f t="shared" si="24"/>
        <v>0</v>
      </c>
      <c r="O53" s="165">
        <f t="shared" si="24"/>
        <v>0</v>
      </c>
      <c r="P53" s="165">
        <f t="shared" si="24"/>
        <v>0</v>
      </c>
      <c r="Q53" s="165">
        <f t="shared" si="24"/>
        <v>0</v>
      </c>
      <c r="R53" s="165">
        <f t="shared" si="24"/>
        <v>0</v>
      </c>
      <c r="S53" s="165">
        <f t="shared" si="24"/>
        <v>3.1465517241379415E-2</v>
      </c>
      <c r="T53" s="165">
        <f t="shared" si="24"/>
        <v>3.870967741935482E-2</v>
      </c>
      <c r="U53" s="165">
        <f t="shared" si="24"/>
        <v>3.3490566037735897E-2</v>
      </c>
      <c r="V53" s="165">
        <f t="shared" si="24"/>
        <v>3.2211538461538354E-2</v>
      </c>
      <c r="W53" s="165">
        <f t="shared" si="24"/>
        <v>4.076086956521744E-2</v>
      </c>
      <c r="X53" s="165">
        <f t="shared" si="24"/>
        <v>3.2291666666666725E-2</v>
      </c>
      <c r="Y53" s="165">
        <f t="shared" si="24"/>
        <v>2.2916666666666641E-2</v>
      </c>
      <c r="Z53" s="165">
        <f t="shared" si="24"/>
        <v>3.8559322033898315E-2</v>
      </c>
      <c r="AA53" s="165">
        <f t="shared" si="24"/>
        <v>2.0270270270270199E-2</v>
      </c>
      <c r="AB53" s="165">
        <f t="shared" si="24"/>
        <v>3.9224137931034582E-2</v>
      </c>
      <c r="AC53" s="165">
        <f t="shared" si="24"/>
        <v>2.6136363636363739E-2</v>
      </c>
      <c r="AD53" s="165">
        <f t="shared" si="24"/>
        <v>2.236842105263159E-2</v>
      </c>
      <c r="AE53" s="165">
        <f t="shared" si="24"/>
        <v>1.6836734693877649E-2</v>
      </c>
      <c r="AF53" s="165">
        <f t="shared" si="24"/>
        <v>1.9897959183673465E-2</v>
      </c>
      <c r="AG53" s="165">
        <f t="shared" si="24"/>
        <v>1.8571428571428596E-2</v>
      </c>
      <c r="AH53" s="165">
        <f t="shared" si="24"/>
        <v>2.1698113207547231E-2</v>
      </c>
      <c r="AI53" s="165">
        <f t="shared" si="24"/>
        <v>3.0769230769230861E-2</v>
      </c>
      <c r="AJ53" s="165">
        <f t="shared" si="24"/>
        <v>1.5306122448979682E-2</v>
      </c>
      <c r="AK53" s="165">
        <f t="shared" si="24"/>
        <v>9.4444444444445001E-3</v>
      </c>
      <c r="AL53" s="165">
        <f t="shared" si="24"/>
        <v>1.5384615384615392E-2</v>
      </c>
      <c r="AM53" s="165">
        <f t="shared" si="24"/>
        <v>1.6666666666666583E-2</v>
      </c>
      <c r="AN53" s="165">
        <f t="shared" si="24"/>
        <v>2.7906976744186015E-2</v>
      </c>
      <c r="AO53" s="165">
        <f t="shared" si="24"/>
        <v>1.4634146341463357E-2</v>
      </c>
      <c r="AP53" s="165">
        <f t="shared" si="24"/>
        <v>2.3837209302325552E-2</v>
      </c>
      <c r="AQ53" s="165">
        <f t="shared" si="24"/>
        <v>1.0227272727272748E-2</v>
      </c>
      <c r="AR53" s="165">
        <f t="shared" si="24"/>
        <v>1.4634146341463357E-2</v>
      </c>
      <c r="AS53" s="165">
        <f t="shared" si="24"/>
        <v>1.7142857142857126E-2</v>
      </c>
      <c r="AT53" s="165">
        <f t="shared" si="24"/>
        <v>1.3690476190476194E-2</v>
      </c>
      <c r="AU53" s="165">
        <f t="shared" si="24"/>
        <v>2.2023809523809522E-2</v>
      </c>
      <c r="AV53" s="165">
        <f t="shared" si="24"/>
        <v>1.3235294117646993E-2</v>
      </c>
      <c r="AW53" s="165">
        <f t="shared" si="24"/>
        <v>3.0921052631578932E-2</v>
      </c>
      <c r="AX53" s="165">
        <f t="shared" si="24"/>
        <v>1.3815789473684144E-2</v>
      </c>
      <c r="AY53" s="165">
        <f t="shared" si="24"/>
        <v>1.704545454545461E-2</v>
      </c>
      <c r="AZ53" s="165">
        <f t="shared" si="24"/>
        <v>1.3815789473684144E-2</v>
      </c>
      <c r="BA53" s="165">
        <f t="shared" si="24"/>
        <v>3.7499999999999391E-3</v>
      </c>
      <c r="BB53" s="165">
        <f t="shared" si="24"/>
        <v>-1.9736842105263063E-3</v>
      </c>
      <c r="BC53" s="165">
        <f t="shared" si="24"/>
        <v>1.280487804878057E-2</v>
      </c>
      <c r="BD53" s="165">
        <f t="shared" si="24"/>
        <v>1.4024390243902361E-2</v>
      </c>
      <c r="BE53" s="165">
        <f t="shared" si="24"/>
        <v>1.9594594594594658E-2</v>
      </c>
      <c r="BF53" s="165">
        <f t="shared" si="24"/>
        <v>1.6911764705882324E-2</v>
      </c>
      <c r="BG53" s="165">
        <f t="shared" si="24"/>
        <v>1.2500000000000039E-2</v>
      </c>
      <c r="BH53" s="165">
        <f t="shared" si="24"/>
        <v>5.9210526315788816E-3</v>
      </c>
      <c r="BI53" s="165">
        <f t="shared" si="24"/>
        <v>2.0370370370370473E-2</v>
      </c>
      <c r="BJ53" s="165">
        <f t="shared" si="24"/>
        <v>-1.666666666666523E-3</v>
      </c>
      <c r="BK53" s="165">
        <f t="shared" si="24"/>
        <v>-1.4705882352942484E-3</v>
      </c>
      <c r="BL53" s="165">
        <f t="shared" si="24"/>
        <v>5.4054054054053502E-3</v>
      </c>
      <c r="BM53" s="165">
        <f t="shared" ca="1" si="24"/>
        <v>-0.12701154264140327</v>
      </c>
      <c r="BN53" s="165">
        <f t="shared" ref="G53:BO58" ca="1" si="25">IFERROR(LN(BN20/BM20),0)</f>
        <v>0</v>
      </c>
      <c r="BO53" s="165">
        <f t="shared" ca="1" si="25"/>
        <v>-1.2903225806451521E-2</v>
      </c>
      <c r="BP53" s="165">
        <f t="shared" ca="1" si="16"/>
        <v>6.8965517241378685E-3</v>
      </c>
      <c r="BQ53" s="165">
        <f t="shared" ca="1" si="16"/>
        <v>6.8965517241378685E-3</v>
      </c>
      <c r="BR53" s="165">
        <f t="shared" ca="1" si="16"/>
        <v>-6.0606060606059834E-3</v>
      </c>
      <c r="BS53" s="165">
        <f t="shared" ca="1" si="16"/>
        <v>0</v>
      </c>
      <c r="BT53" s="165">
        <f t="shared" ca="1" si="16"/>
        <v>0</v>
      </c>
      <c r="BU53" s="165">
        <f t="shared" ca="1" si="16"/>
        <v>0</v>
      </c>
      <c r="BV53" s="165">
        <f t="shared" ca="1" si="16"/>
        <v>0</v>
      </c>
      <c r="BW53" s="165">
        <f t="shared" ca="1" si="16"/>
        <v>0</v>
      </c>
      <c r="BX53" s="165">
        <f t="shared" ca="1" si="16"/>
        <v>-6.4516129032259504E-3</v>
      </c>
      <c r="BY53" s="165">
        <f t="shared" ca="1" si="16"/>
        <v>-1.333333333333336E-2</v>
      </c>
      <c r="BZ53" s="165">
        <f t="shared" ca="1" si="22"/>
        <v>0</v>
      </c>
      <c r="CA53" s="165">
        <f t="shared" ca="1" si="22"/>
        <v>-6.4516129032257266E-3</v>
      </c>
      <c r="CB53" s="165">
        <f t="shared" ca="1" si="22"/>
        <v>-6.6666666666665327E-3</v>
      </c>
      <c r="CC53" s="165">
        <f t="shared" ca="1" si="22"/>
        <v>0</v>
      </c>
      <c r="CD53" s="165">
        <f t="shared" ca="1" si="22"/>
        <v>0</v>
      </c>
      <c r="CE53" s="165">
        <f t="shared" ca="1" si="22"/>
        <v>-1.1111111111111143E-2</v>
      </c>
      <c r="CF53" s="165">
        <f t="shared" ca="1" si="22"/>
        <v>0</v>
      </c>
      <c r="CG53" s="165">
        <f t="shared" ca="1" si="22"/>
        <v>0</v>
      </c>
      <c r="CH53" s="165">
        <f t="shared" ca="1" si="22"/>
        <v>-7.6923076923077474E-3</v>
      </c>
      <c r="CI53" s="165">
        <f t="shared" ca="1" si="22"/>
        <v>0</v>
      </c>
      <c r="CJ53" s="165">
        <f t="shared" ca="1" si="22"/>
        <v>-7.9999999999999724E-3</v>
      </c>
      <c r="CK53" s="165">
        <f t="shared" ca="1" si="22"/>
        <v>0</v>
      </c>
      <c r="CL53" s="165">
        <f t="shared" ca="1" si="22"/>
        <v>9.0909090909089951E-3</v>
      </c>
      <c r="CM53" s="165">
        <f t="shared" ref="CM53:DB56" ca="1" si="26">IFERROR(LN(CM20/CL20),0)</f>
        <v>-6.8965517241378789E-3</v>
      </c>
      <c r="CN53" s="165">
        <f t="shared" ca="1" si="26"/>
        <v>-8.3333333333333263E-3</v>
      </c>
      <c r="CO53" s="165">
        <f t="shared" ca="1" si="26"/>
        <v>0</v>
      </c>
      <c r="CP53" s="165">
        <f t="shared" ca="1" si="26"/>
        <v>0</v>
      </c>
      <c r="CQ53" s="165">
        <f t="shared" ca="1" si="26"/>
        <v>8.6956521739130956E-3</v>
      </c>
      <c r="CR53" s="247">
        <f t="shared" ca="1" si="26"/>
        <v>0</v>
      </c>
      <c r="CS53" s="247">
        <f t="shared" ca="1" si="26"/>
        <v>8.3333333333333662E-3</v>
      </c>
      <c r="CT53" s="247">
        <f t="shared" ca="1" si="26"/>
        <v>-8.6956521739130523E-3</v>
      </c>
      <c r="CU53" s="247">
        <f t="shared" ca="1" si="26"/>
        <v>0</v>
      </c>
      <c r="CV53" s="247">
        <f t="shared" ca="1" si="26"/>
        <v>-9.523809523809542E-3</v>
      </c>
      <c r="CW53" s="247">
        <f t="shared" ca="1" si="26"/>
        <v>-7.1428571428571374E-3</v>
      </c>
      <c r="CX53" s="247">
        <f t="shared" ca="1" si="26"/>
        <v>-5.5555555555555775E-3</v>
      </c>
      <c r="CY53" s="247">
        <f t="shared" ca="1" si="26"/>
        <v>0</v>
      </c>
      <c r="CZ53" s="247">
        <f t="shared" ca="1" si="26"/>
        <v>0</v>
      </c>
      <c r="DA53" s="247">
        <f t="shared" ca="1" si="26"/>
        <v>-7.1428571428571374E-3</v>
      </c>
      <c r="DB53" s="247">
        <f t="shared" ca="1" si="26"/>
        <v>-6.6666666666666445E-3</v>
      </c>
    </row>
    <row r="54" spans="3:106" x14ac:dyDescent="0.3">
      <c r="C54" s="165" t="str">
        <f t="shared" si="12"/>
        <v>4. Attack targets:Compared to last month the risk via the following targets for your organization has: - Public infrastructures you rely upon (including cloud)</v>
      </c>
      <c r="D54" s="165" t="str">
        <f t="shared" si="13"/>
        <v>Target: Public infrastructure/cloud</v>
      </c>
      <c r="F54" s="165">
        <f t="shared" si="14"/>
        <v>0</v>
      </c>
      <c r="G54" s="165">
        <f t="shared" si="25"/>
        <v>0</v>
      </c>
      <c r="H54" s="165">
        <f t="shared" si="25"/>
        <v>0</v>
      </c>
      <c r="I54" s="165">
        <f t="shared" si="25"/>
        <v>0</v>
      </c>
      <c r="J54" s="165">
        <f t="shared" si="25"/>
        <v>0</v>
      </c>
      <c r="K54" s="165">
        <f t="shared" si="25"/>
        <v>0</v>
      </c>
      <c r="L54" s="165">
        <f t="shared" si="25"/>
        <v>0</v>
      </c>
      <c r="M54" s="165">
        <f t="shared" si="25"/>
        <v>0</v>
      </c>
      <c r="N54" s="165">
        <f t="shared" si="25"/>
        <v>0</v>
      </c>
      <c r="O54" s="165">
        <f t="shared" si="25"/>
        <v>0</v>
      </c>
      <c r="P54" s="165">
        <f t="shared" si="25"/>
        <v>0</v>
      </c>
      <c r="Q54" s="165">
        <f t="shared" si="25"/>
        <v>0</v>
      </c>
      <c r="R54" s="165">
        <f t="shared" si="25"/>
        <v>0</v>
      </c>
      <c r="S54" s="165">
        <f t="shared" si="25"/>
        <v>2.8879310344827477E-2</v>
      </c>
      <c r="T54" s="165">
        <f t="shared" si="25"/>
        <v>2.0967741935483838E-2</v>
      </c>
      <c r="U54" s="165">
        <f t="shared" si="25"/>
        <v>2.0754716981132151E-2</v>
      </c>
      <c r="V54" s="165">
        <f t="shared" si="25"/>
        <v>1.8750000000000103E-2</v>
      </c>
      <c r="W54" s="165">
        <f t="shared" si="25"/>
        <v>1.7391304347826084E-2</v>
      </c>
      <c r="X54" s="165">
        <f t="shared" si="25"/>
        <v>3.1250000000000083E-2</v>
      </c>
      <c r="Y54" s="165">
        <f t="shared" si="25"/>
        <v>2.1354166666666716E-2</v>
      </c>
      <c r="Z54" s="165">
        <f t="shared" si="25"/>
        <v>2.5423728813559227E-2</v>
      </c>
      <c r="AA54" s="165">
        <f t="shared" si="25"/>
        <v>1.0810810810810881E-2</v>
      </c>
      <c r="AB54" s="165">
        <f t="shared" si="25"/>
        <v>2.6724137931034536E-2</v>
      </c>
      <c r="AC54" s="165">
        <f t="shared" si="25"/>
        <v>2.386363636363633E-2</v>
      </c>
      <c r="AD54" s="165">
        <f t="shared" si="25"/>
        <v>2.1491228070175478E-2</v>
      </c>
      <c r="AE54" s="165">
        <f t="shared" si="25"/>
        <v>1.9897959183673465E-2</v>
      </c>
      <c r="AF54" s="165">
        <f t="shared" si="25"/>
        <v>1.7857142857142832E-2</v>
      </c>
      <c r="AG54" s="165">
        <f t="shared" si="25"/>
        <v>2.3571428571428611E-2</v>
      </c>
      <c r="AH54" s="165">
        <f t="shared" si="25"/>
        <v>3.1603773584905716E-2</v>
      </c>
      <c r="AI54" s="165">
        <f t="shared" si="25"/>
        <v>2.2435897435897498E-2</v>
      </c>
      <c r="AJ54" s="165">
        <f t="shared" si="25"/>
        <v>1.0714285714285622E-2</v>
      </c>
      <c r="AK54" s="165">
        <f t="shared" si="25"/>
        <v>1.1666666666666711E-2</v>
      </c>
      <c r="AL54" s="165">
        <f t="shared" si="25"/>
        <v>1.8589743589743659E-2</v>
      </c>
      <c r="AM54" s="165">
        <f t="shared" si="25"/>
        <v>1.6666666666666583E-2</v>
      </c>
      <c r="AN54" s="165">
        <f t="shared" si="25"/>
        <v>2.441860465116287E-2</v>
      </c>
      <c r="AO54" s="165">
        <f t="shared" si="25"/>
        <v>1.4634146341463357E-2</v>
      </c>
      <c r="AP54" s="165">
        <f t="shared" si="25"/>
        <v>4.360465116279065E-2</v>
      </c>
      <c r="AQ54" s="165">
        <f t="shared" si="25"/>
        <v>2.3295454545454442E-2</v>
      </c>
      <c r="AR54" s="165">
        <f t="shared" si="25"/>
        <v>1.585365853658537E-2</v>
      </c>
      <c r="AS54" s="165">
        <f t="shared" si="25"/>
        <v>2.8571428571427986E-3</v>
      </c>
      <c r="AT54" s="165">
        <f t="shared" si="25"/>
        <v>1.9047619047618987E-2</v>
      </c>
      <c r="AU54" s="165">
        <f t="shared" si="25"/>
        <v>3.0357142857142905E-2</v>
      </c>
      <c r="AV54" s="165">
        <f t="shared" si="25"/>
        <v>1.6911764705882324E-2</v>
      </c>
      <c r="AW54" s="165">
        <f t="shared" si="25"/>
        <v>1.9736842105263126E-2</v>
      </c>
      <c r="AX54" s="165">
        <f t="shared" si="25"/>
        <v>1.9078947368421105E-2</v>
      </c>
      <c r="AY54" s="165">
        <f t="shared" si="25"/>
        <v>1.0227272727272748E-2</v>
      </c>
      <c r="AZ54" s="165">
        <f t="shared" si="25"/>
        <v>9.8684210526316755E-3</v>
      </c>
      <c r="BA54" s="165">
        <f t="shared" si="25"/>
        <v>1.4374999999999919E-2</v>
      </c>
      <c r="BB54" s="165">
        <f t="shared" si="25"/>
        <v>5.9210526315788816E-3</v>
      </c>
      <c r="BC54" s="165">
        <f t="shared" si="25"/>
        <v>2.3170731707317007E-2</v>
      </c>
      <c r="BD54" s="165">
        <f t="shared" si="25"/>
        <v>1.585365853658537E-2</v>
      </c>
      <c r="BE54" s="165">
        <f t="shared" si="25"/>
        <v>1.7567567567567506E-2</v>
      </c>
      <c r="BF54" s="165">
        <f t="shared" si="25"/>
        <v>2.3529411764705844E-2</v>
      </c>
      <c r="BG54" s="165">
        <f t="shared" si="25"/>
        <v>9.7222222222221877E-3</v>
      </c>
      <c r="BH54" s="165">
        <f t="shared" si="25"/>
        <v>1.9078947368421105E-2</v>
      </c>
      <c r="BI54" s="165">
        <f t="shared" si="25"/>
        <v>1.9444444444444483E-2</v>
      </c>
      <c r="BJ54" s="165">
        <f t="shared" si="25"/>
        <v>2.5000000000001002E-3</v>
      </c>
      <c r="BK54" s="165">
        <f t="shared" si="25"/>
        <v>1.1029411764705914E-2</v>
      </c>
      <c r="BL54" s="165">
        <f t="shared" si="25"/>
        <v>1.0135135135135068E-2</v>
      </c>
      <c r="BM54" s="165">
        <f t="shared" ca="1" si="25"/>
        <v>-0.16331589097781585</v>
      </c>
      <c r="BN54" s="165">
        <f t="shared" ca="1" si="25"/>
        <v>5.7142857142856102E-3</v>
      </c>
      <c r="BO54" s="165">
        <f t="shared" ca="1" si="25"/>
        <v>6.4516129032258654E-3</v>
      </c>
      <c r="BP54" s="165">
        <f t="shared" ca="1" si="16"/>
        <v>0</v>
      </c>
      <c r="BQ54" s="165">
        <f t="shared" ca="1" si="16"/>
        <v>6.8965517241378685E-3</v>
      </c>
      <c r="BR54" s="165">
        <f t="shared" ca="1" si="16"/>
        <v>6.060606060605986E-3</v>
      </c>
      <c r="BS54" s="165">
        <f t="shared" ca="1" si="16"/>
        <v>6.060606060605986E-3</v>
      </c>
      <c r="BT54" s="165">
        <f t="shared" ca="1" si="16"/>
        <v>1.2500000000000039E-2</v>
      </c>
      <c r="BU54" s="165">
        <f t="shared" ca="1" si="16"/>
        <v>5.8823529411765486E-3</v>
      </c>
      <c r="BV54" s="165">
        <f t="shared" ca="1" si="16"/>
        <v>6.6666666666667426E-3</v>
      </c>
      <c r="BW54" s="165">
        <f t="shared" ca="1" si="16"/>
        <v>0</v>
      </c>
      <c r="BX54" s="165">
        <f t="shared" ca="1" si="16"/>
        <v>0</v>
      </c>
      <c r="BY54" s="165">
        <f t="shared" ca="1" si="16"/>
        <v>-1.3333333333333473E-2</v>
      </c>
      <c r="BZ54" s="165">
        <f t="shared" ca="1" si="22"/>
        <v>0</v>
      </c>
      <c r="CA54" s="165">
        <f t="shared" ca="1" si="22"/>
        <v>0</v>
      </c>
      <c r="CB54" s="165">
        <f t="shared" ca="1" si="22"/>
        <v>0</v>
      </c>
      <c r="CC54" s="165">
        <f t="shared" ca="1" si="22"/>
        <v>0</v>
      </c>
      <c r="CD54" s="165">
        <f t="shared" ca="1" si="22"/>
        <v>0</v>
      </c>
      <c r="CE54" s="165">
        <f t="shared" ca="1" si="22"/>
        <v>0</v>
      </c>
      <c r="CF54" s="165">
        <f t="shared" ca="1" si="22"/>
        <v>0</v>
      </c>
      <c r="CG54" s="165">
        <f t="shared" ca="1" si="22"/>
        <v>0</v>
      </c>
      <c r="CH54" s="165">
        <f t="shared" ca="1" si="22"/>
        <v>0</v>
      </c>
      <c r="CI54" s="165">
        <f t="shared" ca="1" si="22"/>
        <v>7.1428571428572155E-3</v>
      </c>
      <c r="CJ54" s="165">
        <f t="shared" ca="1" si="22"/>
        <v>-7.9999999999998614E-3</v>
      </c>
      <c r="CK54" s="165">
        <f t="shared" ca="1" si="22"/>
        <v>0</v>
      </c>
      <c r="CL54" s="165">
        <f t="shared" ca="1" si="22"/>
        <v>9.0909090909089951E-3</v>
      </c>
      <c r="CM54" s="165">
        <f t="shared" ca="1" si="26"/>
        <v>6.8965517241378685E-3</v>
      </c>
      <c r="CN54" s="165">
        <f t="shared" ca="1" si="26"/>
        <v>0</v>
      </c>
      <c r="CO54" s="165">
        <f t="shared" ca="1" si="26"/>
        <v>0</v>
      </c>
      <c r="CP54" s="165">
        <f t="shared" ca="1" si="26"/>
        <v>0</v>
      </c>
      <c r="CQ54" s="165">
        <f t="shared" ca="1" si="26"/>
        <v>8.6956521739130956E-3</v>
      </c>
      <c r="CR54" s="247">
        <f t="shared" ca="1" si="26"/>
        <v>0</v>
      </c>
      <c r="CS54" s="247">
        <f t="shared" ca="1" si="26"/>
        <v>8.3333333333333662E-3</v>
      </c>
      <c r="CT54" s="247">
        <f t="shared" ca="1" si="26"/>
        <v>8.6956521739130956E-3</v>
      </c>
      <c r="CU54" s="247">
        <f t="shared" ca="1" si="26"/>
        <v>8.000000000000047E-3</v>
      </c>
      <c r="CV54" s="247">
        <f t="shared" ca="1" si="26"/>
        <v>0</v>
      </c>
      <c r="CW54" s="247">
        <f t="shared" ca="1" si="26"/>
        <v>7.1428571428572155E-3</v>
      </c>
      <c r="CX54" s="247">
        <f t="shared" ca="1" si="26"/>
        <v>1.1111111111111027E-2</v>
      </c>
      <c r="CY54" s="247">
        <f t="shared" ca="1" si="26"/>
        <v>0</v>
      </c>
      <c r="CZ54" s="247">
        <f t="shared" ca="1" si="26"/>
        <v>6.060606060605986E-3</v>
      </c>
      <c r="DA54" s="247">
        <f t="shared" ca="1" si="26"/>
        <v>7.1428571428572155E-3</v>
      </c>
      <c r="DB54" s="247">
        <f t="shared" ca="1" si="26"/>
        <v>0</v>
      </c>
    </row>
    <row r="55" spans="3:106" x14ac:dyDescent="0.3">
      <c r="C55" s="165" t="str">
        <f t="shared" si="12"/>
        <v>4. Attack targets:Compared to last month the risk via the following targets for your organization has: - Network-connected but autonomous devices (collectively known as the â€œInternet of Thingsâ€)</v>
      </c>
      <c r="D55" s="165" t="str">
        <f t="shared" si="13"/>
        <v>Target: Autonomous network connected devices</v>
      </c>
      <c r="F55" s="165">
        <f t="shared" si="14"/>
        <v>0</v>
      </c>
      <c r="G55" s="165">
        <f t="shared" si="25"/>
        <v>0</v>
      </c>
      <c r="H55" s="165">
        <f t="shared" si="25"/>
        <v>0</v>
      </c>
      <c r="I55" s="165">
        <f t="shared" si="25"/>
        <v>0</v>
      </c>
      <c r="J55" s="165">
        <f t="shared" si="25"/>
        <v>0</v>
      </c>
      <c r="K55" s="165">
        <f t="shared" si="25"/>
        <v>0</v>
      </c>
      <c r="L55" s="165">
        <f t="shared" si="25"/>
        <v>0</v>
      </c>
      <c r="M55" s="165">
        <f t="shared" si="25"/>
        <v>0</v>
      </c>
      <c r="N55" s="165">
        <f t="shared" si="25"/>
        <v>0</v>
      </c>
      <c r="O55" s="165">
        <f t="shared" si="25"/>
        <v>0</v>
      </c>
      <c r="P55" s="165">
        <f t="shared" si="25"/>
        <v>0</v>
      </c>
      <c r="Q55" s="165">
        <f t="shared" si="25"/>
        <v>0</v>
      </c>
      <c r="R55" s="165">
        <f t="shared" si="25"/>
        <v>0</v>
      </c>
      <c r="S55" s="165">
        <f t="shared" si="25"/>
        <v>0</v>
      </c>
      <c r="T55" s="165">
        <f t="shared" si="25"/>
        <v>0</v>
      </c>
      <c r="U55" s="165">
        <f t="shared" si="25"/>
        <v>0</v>
      </c>
      <c r="V55" s="165">
        <f t="shared" si="25"/>
        <v>0</v>
      </c>
      <c r="W55" s="165">
        <f t="shared" si="25"/>
        <v>0</v>
      </c>
      <c r="X55" s="165">
        <f t="shared" si="25"/>
        <v>0</v>
      </c>
      <c r="Y55" s="165">
        <f t="shared" si="25"/>
        <v>0</v>
      </c>
      <c r="Z55" s="165">
        <f t="shared" si="25"/>
        <v>0</v>
      </c>
      <c r="AA55" s="165">
        <f t="shared" si="25"/>
        <v>0</v>
      </c>
      <c r="AB55" s="165">
        <f t="shared" si="25"/>
        <v>0</v>
      </c>
      <c r="AC55" s="165">
        <f t="shared" si="25"/>
        <v>0</v>
      </c>
      <c r="AD55" s="165">
        <f t="shared" si="25"/>
        <v>0</v>
      </c>
      <c r="AE55" s="165">
        <f t="shared" si="25"/>
        <v>0</v>
      </c>
      <c r="AF55" s="165">
        <f t="shared" si="25"/>
        <v>5.6122448979591079E-3</v>
      </c>
      <c r="AG55" s="165">
        <f t="shared" si="25"/>
        <v>5.7142857142856102E-3</v>
      </c>
      <c r="AH55" s="165">
        <f t="shared" si="25"/>
        <v>2.8301886792453353E-3</v>
      </c>
      <c r="AI55" s="165">
        <f t="shared" si="25"/>
        <v>0</v>
      </c>
      <c r="AJ55" s="165">
        <f t="shared" si="25"/>
        <v>3.0612244897960093E-3</v>
      </c>
      <c r="AK55" s="165">
        <f t="shared" si="25"/>
        <v>1.6666666666665785E-3</v>
      </c>
      <c r="AL55" s="165">
        <f t="shared" si="25"/>
        <v>1.2820512820512773E-2</v>
      </c>
      <c r="AM55" s="165">
        <f t="shared" si="25"/>
        <v>4.1666666666665894E-3</v>
      </c>
      <c r="AN55" s="165">
        <f t="shared" si="25"/>
        <v>8.7209302325581741E-3</v>
      </c>
      <c r="AO55" s="165">
        <f t="shared" si="25"/>
        <v>1.4024390243902361E-2</v>
      </c>
      <c r="AP55" s="165">
        <f t="shared" si="25"/>
        <v>2.6162790697674514E-2</v>
      </c>
      <c r="AQ55" s="165">
        <f t="shared" si="25"/>
        <v>1.1931818181818078E-2</v>
      </c>
      <c r="AR55" s="165">
        <f t="shared" si="25"/>
        <v>1.8292682926830043E-3</v>
      </c>
      <c r="AS55" s="165">
        <f t="shared" si="25"/>
        <v>-2.1428571428572835E-3</v>
      </c>
      <c r="AT55" s="165">
        <f t="shared" si="25"/>
        <v>8.3333333333333662E-3</v>
      </c>
      <c r="AU55" s="165">
        <f t="shared" si="25"/>
        <v>1.8452380952380897E-2</v>
      </c>
      <c r="AV55" s="165">
        <f t="shared" si="25"/>
        <v>1.4705882352941225E-2</v>
      </c>
      <c r="AW55" s="165">
        <f t="shared" si="25"/>
        <v>9.8684210526316755E-3</v>
      </c>
      <c r="AX55" s="165">
        <f t="shared" si="25"/>
        <v>1.4473684210526409E-2</v>
      </c>
      <c r="AY55" s="165">
        <f t="shared" si="25"/>
        <v>0</v>
      </c>
      <c r="AZ55" s="165">
        <f t="shared" si="25"/>
        <v>1.9736842105264039E-3</v>
      </c>
      <c r="BA55" s="165">
        <f t="shared" si="25"/>
        <v>1.8749999999999681E-3</v>
      </c>
      <c r="BB55" s="165">
        <f t="shared" si="25"/>
        <v>-3.2894736842104984E-3</v>
      </c>
      <c r="BC55" s="165">
        <f t="shared" si="25"/>
        <v>1.0975609756097663E-2</v>
      </c>
      <c r="BD55" s="165">
        <f t="shared" si="25"/>
        <v>5.4878048780487871E-3</v>
      </c>
      <c r="BE55" s="165">
        <f t="shared" si="25"/>
        <v>4.054054054054069E-3</v>
      </c>
      <c r="BF55" s="165">
        <f t="shared" si="25"/>
        <v>6.6176470588236126E-3</v>
      </c>
      <c r="BG55" s="165">
        <f t="shared" si="25"/>
        <v>-4.1666666666666519E-3</v>
      </c>
      <c r="BH55" s="165">
        <f t="shared" si="25"/>
        <v>1.1842105263157886E-2</v>
      </c>
      <c r="BI55" s="165">
        <f t="shared" si="25"/>
        <v>1.2962962962963039E-2</v>
      </c>
      <c r="BJ55" s="165">
        <f t="shared" si="25"/>
        <v>8.3333333333322193E-4</v>
      </c>
      <c r="BK55" s="165">
        <f t="shared" si="25"/>
        <v>0</v>
      </c>
      <c r="BL55" s="165">
        <f t="shared" si="25"/>
        <v>2.0270270270271299E-3</v>
      </c>
      <c r="BM55" s="165">
        <f t="shared" ca="1" si="25"/>
        <v>-5.3602267707597268E-2</v>
      </c>
      <c r="BN55" s="165">
        <f t="shared" ca="1" si="25"/>
        <v>5.7142857142856102E-3</v>
      </c>
      <c r="BO55" s="165">
        <f t="shared" ca="1" si="25"/>
        <v>0</v>
      </c>
      <c r="BP55" s="165">
        <f t="shared" ca="1" si="16"/>
        <v>0</v>
      </c>
      <c r="BQ55" s="165">
        <f t="shared" ca="1" si="16"/>
        <v>0</v>
      </c>
      <c r="BR55" s="165">
        <f t="shared" ca="1" si="16"/>
        <v>0</v>
      </c>
      <c r="BS55" s="165">
        <f t="shared" ca="1" si="16"/>
        <v>6.060606060605986E-3</v>
      </c>
      <c r="BT55" s="165">
        <f t="shared" ca="1" si="16"/>
        <v>1.8750000000000103E-2</v>
      </c>
      <c r="BU55" s="165">
        <f t="shared" ca="1" si="16"/>
        <v>-5.882352941176415E-3</v>
      </c>
      <c r="BV55" s="165">
        <f t="shared" ca="1" si="16"/>
        <v>6.6666666666667426E-3</v>
      </c>
      <c r="BW55" s="165">
        <f t="shared" ca="1" si="16"/>
        <v>1.2903225806451557E-2</v>
      </c>
      <c r="BX55" s="165">
        <f t="shared" ca="1" si="16"/>
        <v>1.9354838709677528E-2</v>
      </c>
      <c r="BY55" s="165">
        <f t="shared" ca="1" si="16"/>
        <v>-2.0000000000000049E-2</v>
      </c>
      <c r="BZ55" s="165">
        <f t="shared" ca="1" si="22"/>
        <v>0</v>
      </c>
      <c r="CA55" s="165">
        <f t="shared" ca="1" si="22"/>
        <v>0</v>
      </c>
      <c r="CB55" s="165">
        <f t="shared" ca="1" si="22"/>
        <v>6.6666666666667426E-3</v>
      </c>
      <c r="CC55" s="165">
        <f t="shared" ca="1" si="22"/>
        <v>0</v>
      </c>
      <c r="CD55" s="165">
        <f t="shared" ca="1" si="22"/>
        <v>0</v>
      </c>
      <c r="CE55" s="165">
        <f t="shared" ca="1" si="22"/>
        <v>0</v>
      </c>
      <c r="CF55" s="165">
        <f t="shared" ca="1" si="22"/>
        <v>7.1428571428572155E-3</v>
      </c>
      <c r="CG55" s="165">
        <f t="shared" ca="1" si="22"/>
        <v>-6.896551724137767E-3</v>
      </c>
      <c r="CH55" s="165">
        <f t="shared" ca="1" si="22"/>
        <v>0</v>
      </c>
      <c r="CI55" s="165">
        <f t="shared" ca="1" si="22"/>
        <v>0</v>
      </c>
      <c r="CJ55" s="165">
        <f t="shared" ca="1" si="22"/>
        <v>-7.9999999999999724E-3</v>
      </c>
      <c r="CK55" s="165">
        <f t="shared" ca="1" si="22"/>
        <v>7.407407407407399E-3</v>
      </c>
      <c r="CL55" s="165">
        <f t="shared" ca="1" si="22"/>
        <v>0</v>
      </c>
      <c r="CM55" s="165">
        <f t="shared" ca="1" si="26"/>
        <v>6.8965517241378685E-3</v>
      </c>
      <c r="CN55" s="165">
        <f t="shared" ca="1" si="26"/>
        <v>0</v>
      </c>
      <c r="CO55" s="165">
        <f t="shared" ca="1" si="26"/>
        <v>0</v>
      </c>
      <c r="CP55" s="165">
        <f t="shared" ca="1" si="26"/>
        <v>0</v>
      </c>
      <c r="CQ55" s="165">
        <f t="shared" ca="1" si="26"/>
        <v>0</v>
      </c>
      <c r="CR55" s="247">
        <f t="shared" ca="1" si="26"/>
        <v>0</v>
      </c>
      <c r="CS55" s="247">
        <f t="shared" ca="1" si="26"/>
        <v>8.3333333333333662E-3</v>
      </c>
      <c r="CT55" s="247">
        <f t="shared" ca="1" si="26"/>
        <v>0</v>
      </c>
      <c r="CU55" s="247">
        <f t="shared" ca="1" si="26"/>
        <v>-7.9999999999999724E-3</v>
      </c>
      <c r="CV55" s="247">
        <f t="shared" ca="1" si="26"/>
        <v>-9.523809523809653E-3</v>
      </c>
      <c r="CW55" s="247">
        <f t="shared" ca="1" si="26"/>
        <v>-7.1428571428571374E-3</v>
      </c>
      <c r="CX55" s="247">
        <f t="shared" ca="1" si="26"/>
        <v>5.5555555555556399E-3</v>
      </c>
      <c r="CY55" s="247">
        <f t="shared" ca="1" si="26"/>
        <v>0</v>
      </c>
      <c r="CZ55" s="247">
        <f t="shared" ca="1" si="26"/>
        <v>0</v>
      </c>
      <c r="DA55" s="247">
        <f t="shared" ca="1" si="26"/>
        <v>-7.1428571428570255E-3</v>
      </c>
      <c r="DB55" s="247">
        <f t="shared" ca="1" si="26"/>
        <v>0</v>
      </c>
    </row>
    <row r="56" spans="3:106" x14ac:dyDescent="0.3">
      <c r="C56" s="165" t="str">
        <f t="shared" si="12"/>
        <v>4. Attack targets:Compared to last month the risk via the following targets for your organization has: - Third parties (counterparties vendors partners etc) who have rightful access to your data</v>
      </c>
      <c r="D56" s="165" t="str">
        <f t="shared" si="13"/>
        <v>Target: Counterparties</v>
      </c>
      <c r="F56" s="165">
        <f t="shared" si="14"/>
        <v>3.8732394366197215E-2</v>
      </c>
      <c r="G56" s="165">
        <f t="shared" si="25"/>
        <v>3.7857142857142881E-2</v>
      </c>
      <c r="H56" s="165">
        <f t="shared" si="25"/>
        <v>4.2045454545454532E-2</v>
      </c>
      <c r="I56" s="165">
        <f t="shared" si="25"/>
        <v>3.3898305084745825E-2</v>
      </c>
      <c r="J56" s="165">
        <f t="shared" si="25"/>
        <v>3.4426229508196814E-2</v>
      </c>
      <c r="K56" s="165">
        <f t="shared" si="25"/>
        <v>3.1818181818181857E-2</v>
      </c>
      <c r="L56" s="165">
        <f t="shared" si="25"/>
        <v>2.7985074626865693E-2</v>
      </c>
      <c r="M56" s="165">
        <f t="shared" si="25"/>
        <v>2.7232142857142833E-2</v>
      </c>
      <c r="N56" s="165">
        <f t="shared" si="25"/>
        <v>2.6923076923076921E-2</v>
      </c>
      <c r="O56" s="165">
        <f t="shared" si="25"/>
        <v>2.95081967213114E-2</v>
      </c>
      <c r="P56" s="165">
        <f t="shared" si="25"/>
        <v>2.9741379310344814E-2</v>
      </c>
      <c r="Q56" s="165">
        <f t="shared" si="25"/>
        <v>2.090909090909086E-2</v>
      </c>
      <c r="R56" s="165">
        <f t="shared" si="25"/>
        <v>3.7500000000000033E-2</v>
      </c>
      <c r="S56" s="165">
        <f t="shared" si="25"/>
        <v>2.8370169789227139E-2</v>
      </c>
      <c r="T56" s="165">
        <f t="shared" si="25"/>
        <v>3.7500000000000033E-2</v>
      </c>
      <c r="U56" s="165">
        <f t="shared" si="25"/>
        <v>3.4905660377358406E-2</v>
      </c>
      <c r="V56" s="165">
        <f t="shared" si="25"/>
        <v>2.7884615384615299E-2</v>
      </c>
      <c r="W56" s="165">
        <f t="shared" si="25"/>
        <v>4.076086956521744E-2</v>
      </c>
      <c r="X56" s="165">
        <f t="shared" si="25"/>
        <v>3.5416666666666693E-2</v>
      </c>
      <c r="Y56" s="165">
        <f t="shared" si="25"/>
        <v>2.3958333333333283E-2</v>
      </c>
      <c r="Z56" s="165">
        <f t="shared" si="25"/>
        <v>3.0084745762711834E-2</v>
      </c>
      <c r="AA56" s="165">
        <f t="shared" si="25"/>
        <v>2.5675675675675767E-2</v>
      </c>
      <c r="AB56" s="165">
        <f t="shared" si="25"/>
        <v>2.6293103448275897E-2</v>
      </c>
      <c r="AC56" s="165">
        <f t="shared" si="25"/>
        <v>2.9166666666666608E-2</v>
      </c>
      <c r="AD56" s="165">
        <f t="shared" si="25"/>
        <v>2.0175438596491173E-2</v>
      </c>
      <c r="AE56" s="165">
        <f t="shared" si="25"/>
        <v>2.0408163265306055E-2</v>
      </c>
      <c r="AF56" s="165">
        <f t="shared" si="25"/>
        <v>2.0918367346938735E-2</v>
      </c>
      <c r="AG56" s="165">
        <f t="shared" si="25"/>
        <v>1.9285714285714239E-2</v>
      </c>
      <c r="AH56" s="165">
        <f t="shared" si="25"/>
        <v>2.3113207547169837E-2</v>
      </c>
      <c r="AI56" s="165">
        <f t="shared" si="25"/>
        <v>1.7307692307692243E-2</v>
      </c>
      <c r="AJ56" s="165">
        <f t="shared" si="25"/>
        <v>2.8061224489796015E-2</v>
      </c>
      <c r="AK56" s="165">
        <f t="shared" si="25"/>
        <v>1.2777777777777813E-2</v>
      </c>
      <c r="AL56" s="165">
        <f t="shared" si="25"/>
        <v>3.0769230769230861E-2</v>
      </c>
      <c r="AM56" s="165">
        <f t="shared" si="25"/>
        <v>2.6041666666666619E-2</v>
      </c>
      <c r="AN56" s="165">
        <f t="shared" si="25"/>
        <v>3.1976744186046499E-2</v>
      </c>
      <c r="AO56" s="165">
        <f t="shared" si="25"/>
        <v>2.5000000000000015E-2</v>
      </c>
      <c r="AP56" s="165">
        <f t="shared" si="25"/>
        <v>4.1860465116279111E-2</v>
      </c>
      <c r="AQ56" s="165">
        <f t="shared" si="25"/>
        <v>1.704545454545461E-2</v>
      </c>
      <c r="AR56" s="165">
        <f t="shared" si="25"/>
        <v>1.9512195121951313E-2</v>
      </c>
      <c r="AS56" s="165">
        <f t="shared" si="25"/>
        <v>1.6428571428571327E-2</v>
      </c>
      <c r="AT56" s="165">
        <f t="shared" si="25"/>
        <v>2.5595238095238153E-2</v>
      </c>
      <c r="AU56" s="165">
        <f t="shared" si="25"/>
        <v>4.2857142857142899E-2</v>
      </c>
      <c r="AV56" s="165">
        <f t="shared" si="25"/>
        <v>4.0441176470588196E-2</v>
      </c>
      <c r="AW56" s="165">
        <f t="shared" si="25"/>
        <v>2.5657894736842164E-2</v>
      </c>
      <c r="AX56" s="165">
        <f t="shared" si="25"/>
        <v>3.0921052631578932E-2</v>
      </c>
      <c r="AY56" s="165">
        <f t="shared" si="25"/>
        <v>1.5340909090909167E-2</v>
      </c>
      <c r="AZ56" s="165">
        <f t="shared" si="25"/>
        <v>2.5000000000000015E-2</v>
      </c>
      <c r="BA56" s="165">
        <f t="shared" si="25"/>
        <v>2.2500000000000096E-2</v>
      </c>
      <c r="BB56" s="165">
        <f t="shared" si="25"/>
        <v>9.8684210526316755E-3</v>
      </c>
      <c r="BC56" s="165">
        <f t="shared" si="25"/>
        <v>3.9024390243902397E-2</v>
      </c>
      <c r="BD56" s="165">
        <f t="shared" si="25"/>
        <v>2.3170731707317007E-2</v>
      </c>
      <c r="BE56" s="165">
        <f t="shared" si="25"/>
        <v>1.9594594594594658E-2</v>
      </c>
      <c r="BF56" s="165">
        <f t="shared" si="25"/>
        <v>1.9852941176470688E-2</v>
      </c>
      <c r="BG56" s="165">
        <f t="shared" si="25"/>
        <v>4.1666666666665894E-3</v>
      </c>
      <c r="BH56" s="165">
        <f t="shared" si="25"/>
        <v>1.3815789473684144E-2</v>
      </c>
      <c r="BI56" s="165">
        <f t="shared" si="25"/>
        <v>2.407407407407406E-2</v>
      </c>
      <c r="BJ56" s="165">
        <f t="shared" si="25"/>
        <v>1.4166666666666756E-2</v>
      </c>
      <c r="BK56" s="165">
        <f t="shared" si="25"/>
        <v>1.9117647058823593E-2</v>
      </c>
      <c r="BL56" s="165">
        <f t="shared" si="25"/>
        <v>1.3513513513513516E-2</v>
      </c>
      <c r="BM56" s="165">
        <f t="shared" ca="1" si="25"/>
        <v>-0.23213909193322849</v>
      </c>
      <c r="BN56" s="165">
        <f t="shared" ca="1" si="25"/>
        <v>0</v>
      </c>
      <c r="BO56" s="165">
        <f t="shared" ca="1" si="25"/>
        <v>6.4516129032258654E-3</v>
      </c>
      <c r="BP56" s="165">
        <f t="shared" ca="1" si="16"/>
        <v>0</v>
      </c>
      <c r="BQ56" s="165">
        <f t="shared" ca="1" si="16"/>
        <v>1.3793103448275936E-2</v>
      </c>
      <c r="BR56" s="165">
        <f t="shared" ca="1" si="16"/>
        <v>6.060606060605986E-3</v>
      </c>
      <c r="BS56" s="165">
        <f t="shared" ca="1" si="16"/>
        <v>1.8181818181818209E-2</v>
      </c>
      <c r="BT56" s="165">
        <f t="shared" ca="1" si="16"/>
        <v>6.2499999999999821E-3</v>
      </c>
      <c r="BU56" s="165">
        <f t="shared" ca="1" si="16"/>
        <v>1.1764705882352875E-2</v>
      </c>
      <c r="BV56" s="165">
        <f t="shared" ca="1" si="16"/>
        <v>6.6666666666667426E-3</v>
      </c>
      <c r="BW56" s="165">
        <f t="shared" ca="1" si="16"/>
        <v>0</v>
      </c>
      <c r="BX56" s="165">
        <f t="shared" ca="1" si="16"/>
        <v>-6.4516129032258385E-3</v>
      </c>
      <c r="BY56" s="165">
        <f t="shared" ca="1" si="16"/>
        <v>-1.333333333333336E-2</v>
      </c>
      <c r="BZ56" s="165">
        <f t="shared" ca="1" si="22"/>
        <v>0</v>
      </c>
      <c r="CA56" s="165">
        <f t="shared" ca="1" si="22"/>
        <v>0</v>
      </c>
      <c r="CB56" s="165">
        <f t="shared" ca="1" si="22"/>
        <v>6.6666666666667426E-3</v>
      </c>
      <c r="CC56" s="165">
        <f t="shared" ca="1" si="22"/>
        <v>1.5384615384615392E-2</v>
      </c>
      <c r="CD56" s="165">
        <f t="shared" ca="1" si="22"/>
        <v>0</v>
      </c>
      <c r="CE56" s="165">
        <f t="shared" ca="1" si="22"/>
        <v>-1.1111111111111143E-2</v>
      </c>
      <c r="CF56" s="165">
        <f t="shared" ca="1" si="22"/>
        <v>7.1428571428572155E-3</v>
      </c>
      <c r="CG56" s="165">
        <f t="shared" ca="1" si="22"/>
        <v>1.3793103448275936E-2</v>
      </c>
      <c r="CH56" s="165">
        <f t="shared" ca="1" si="22"/>
        <v>0</v>
      </c>
      <c r="CI56" s="165">
        <f t="shared" ca="1" si="22"/>
        <v>7.1428571428572155E-3</v>
      </c>
      <c r="CJ56" s="165">
        <f t="shared" ca="1" si="22"/>
        <v>0</v>
      </c>
      <c r="CK56" s="165">
        <f t="shared" ca="1" si="22"/>
        <v>7.407407407407399E-3</v>
      </c>
      <c r="CL56" s="165">
        <f t="shared" ca="1" si="22"/>
        <v>9.0909090909089951E-3</v>
      </c>
      <c r="CM56" s="165">
        <f t="shared" ca="1" si="26"/>
        <v>6.8965517241378685E-3</v>
      </c>
      <c r="CN56" s="165">
        <f t="shared" ca="1" si="26"/>
        <v>0</v>
      </c>
      <c r="CO56" s="165">
        <f t="shared" ca="1" si="26"/>
        <v>0</v>
      </c>
      <c r="CP56" s="165">
        <f t="shared" ca="1" si="26"/>
        <v>1.5384615384615392E-2</v>
      </c>
      <c r="CQ56" s="165">
        <f t="shared" ca="1" si="26"/>
        <v>1.7391304347826084E-2</v>
      </c>
      <c r="CR56" s="247">
        <f t="shared" ca="1" si="26"/>
        <v>1.1111111111111027E-2</v>
      </c>
      <c r="CS56" s="247">
        <f t="shared" ca="1" si="26"/>
        <v>8.3333333333333662E-3</v>
      </c>
      <c r="CT56" s="247">
        <f t="shared" ca="1" si="26"/>
        <v>8.6956521739130956E-3</v>
      </c>
      <c r="CU56" s="247">
        <f t="shared" ca="1" si="26"/>
        <v>8.000000000000047E-3</v>
      </c>
      <c r="CV56" s="247">
        <f t="shared" ca="1" si="26"/>
        <v>-9.523809523809542E-3</v>
      </c>
      <c r="CW56" s="247">
        <f t="shared" ca="1" si="26"/>
        <v>0</v>
      </c>
      <c r="CX56" s="247">
        <f t="shared" ca="1" si="26"/>
        <v>2.2222222222222233E-2</v>
      </c>
      <c r="CY56" s="247">
        <f t="shared" ca="1" si="26"/>
        <v>7.6923076923077222E-3</v>
      </c>
      <c r="CZ56" s="247">
        <f t="shared" ca="1" si="26"/>
        <v>0</v>
      </c>
      <c r="DA56" s="247">
        <f t="shared" ca="1" si="26"/>
        <v>0</v>
      </c>
      <c r="DB56" s="247">
        <f t="shared" ca="1" si="26"/>
        <v>0</v>
      </c>
    </row>
    <row r="57" spans="3:106" x14ac:dyDescent="0.3">
      <c r="C57" s="165" t="str">
        <f t="shared" si="12"/>
        <v>5. Defenses:Compared to last month what is your view of: - Vulnerability of available defenses to known threats</v>
      </c>
      <c r="D57" s="165" t="str">
        <f t="shared" si="13"/>
        <v>Defenses: Vulnerability to known threats</v>
      </c>
      <c r="F57" s="165">
        <f t="shared" si="14"/>
        <v>1.0563380281690205E-2</v>
      </c>
      <c r="G57" s="165">
        <f t="shared" si="25"/>
        <v>3.2142857142856088E-3</v>
      </c>
      <c r="H57" s="165">
        <f t="shared" si="25"/>
        <v>0</v>
      </c>
      <c r="I57" s="165">
        <f t="shared" si="25"/>
        <v>-5.0847457627118649E-3</v>
      </c>
      <c r="J57" s="165">
        <f t="shared" si="25"/>
        <v>3.6885245901639146E-3</v>
      </c>
      <c r="K57" s="165">
        <f t="shared" si="25"/>
        <v>5.4545454545454767E-3</v>
      </c>
      <c r="L57" s="165">
        <f t="shared" si="25"/>
        <v>4.4776119402985311E-3</v>
      </c>
      <c r="M57" s="165">
        <f t="shared" si="25"/>
        <v>-4.0178571428571598E-3</v>
      </c>
      <c r="N57" s="165">
        <f t="shared" si="25"/>
        <v>2.8846153846154472E-3</v>
      </c>
      <c r="O57" s="165">
        <f t="shared" si="25"/>
        <v>2.4590163934425824E-3</v>
      </c>
      <c r="P57" s="165">
        <f t="shared" si="25"/>
        <v>-3.8793103448275567E-3</v>
      </c>
      <c r="Q57" s="165">
        <f t="shared" si="25"/>
        <v>0</v>
      </c>
      <c r="R57" s="165">
        <f t="shared" si="25"/>
        <v>9.0909090909089951E-3</v>
      </c>
      <c r="S57" s="165">
        <f t="shared" si="25"/>
        <v>9.0517241379309849E-3</v>
      </c>
      <c r="T57" s="165">
        <f t="shared" si="25"/>
        <v>2.1370967741935434E-2</v>
      </c>
      <c r="U57" s="165">
        <f t="shared" si="25"/>
        <v>1.084905660377355E-2</v>
      </c>
      <c r="V57" s="165">
        <f t="shared" si="25"/>
        <v>1.4423076923076985E-2</v>
      </c>
      <c r="W57" s="165">
        <f t="shared" si="25"/>
        <v>1.9021739130434819E-2</v>
      </c>
      <c r="X57" s="165">
        <f t="shared" si="25"/>
        <v>1.4062500000000087E-2</v>
      </c>
      <c r="Y57" s="165">
        <f t="shared" si="25"/>
        <v>1.1458333333333248E-2</v>
      </c>
      <c r="Z57" s="165">
        <f t="shared" si="25"/>
        <v>7.6271186440676981E-3</v>
      </c>
      <c r="AA57" s="165">
        <f t="shared" si="25"/>
        <v>1.2162162162162163E-2</v>
      </c>
      <c r="AB57" s="165">
        <f t="shared" si="25"/>
        <v>1.9396551724137987E-2</v>
      </c>
      <c r="AC57" s="165">
        <f t="shared" si="25"/>
        <v>1.5530303030303137E-2</v>
      </c>
      <c r="AD57" s="165">
        <f t="shared" si="25"/>
        <v>2.6315789473683234E-3</v>
      </c>
      <c r="AE57" s="165">
        <f t="shared" si="25"/>
        <v>7.6530612244897159E-3</v>
      </c>
      <c r="AF57" s="165">
        <f t="shared" si="25"/>
        <v>0</v>
      </c>
      <c r="AG57" s="165">
        <f t="shared" si="25"/>
        <v>1.1428571428571347E-2</v>
      </c>
      <c r="AH57" s="165">
        <f t="shared" si="25"/>
        <v>5.6603773584906264E-3</v>
      </c>
      <c r="AI57" s="165">
        <f t="shared" si="25"/>
        <v>5.1282051282052089E-3</v>
      </c>
      <c r="AJ57" s="165">
        <f t="shared" si="25"/>
        <v>4.5918367346939239E-3</v>
      </c>
      <c r="AK57" s="165">
        <f t="shared" si="25"/>
        <v>6.6666666666667426E-3</v>
      </c>
      <c r="AL57" s="165">
        <f t="shared" si="25"/>
        <v>1.4743589743589757E-2</v>
      </c>
      <c r="AM57" s="165">
        <f t="shared" si="25"/>
        <v>1.5625000000000795E-3</v>
      </c>
      <c r="AN57" s="165">
        <f t="shared" si="25"/>
        <v>1.2790697674418684E-2</v>
      </c>
      <c r="AO57" s="165">
        <f t="shared" si="25"/>
        <v>2.4390243902438925E-3</v>
      </c>
      <c r="AP57" s="165">
        <f t="shared" si="25"/>
        <v>2.6744186046511725E-2</v>
      </c>
      <c r="AQ57" s="165">
        <f t="shared" si="25"/>
        <v>-3.4090909090908183E-3</v>
      </c>
      <c r="AR57" s="165">
        <f t="shared" si="25"/>
        <v>1.8292682926830043E-3</v>
      </c>
      <c r="AS57" s="165">
        <f t="shared" si="25"/>
        <v>-6.4285714285714666E-3</v>
      </c>
      <c r="AT57" s="165">
        <f t="shared" si="25"/>
        <v>6.5476190476189411E-3</v>
      </c>
      <c r="AU57" s="165">
        <f t="shared" si="25"/>
        <v>2.2023809523809522E-2</v>
      </c>
      <c r="AV57" s="165">
        <f t="shared" si="25"/>
        <v>6.6176470588236126E-3</v>
      </c>
      <c r="AW57" s="165">
        <f t="shared" si="25"/>
        <v>5.2631578947368489E-3</v>
      </c>
      <c r="AX57" s="165">
        <f t="shared" si="25"/>
        <v>1.1184210526315703E-2</v>
      </c>
      <c r="AY57" s="165">
        <f t="shared" si="25"/>
        <v>4.5454545454544403E-3</v>
      </c>
      <c r="AZ57" s="165">
        <f t="shared" si="25"/>
        <v>-9.2105263157894243E-3</v>
      </c>
      <c r="BA57" s="165">
        <f t="shared" si="25"/>
        <v>1.8749999999999681E-3</v>
      </c>
      <c r="BB57" s="165">
        <f t="shared" si="25"/>
        <v>7.2368421052632663E-3</v>
      </c>
      <c r="BC57" s="165">
        <f t="shared" si="25"/>
        <v>5.4878048780487871E-3</v>
      </c>
      <c r="BD57" s="165">
        <f t="shared" si="25"/>
        <v>0</v>
      </c>
      <c r="BE57" s="165">
        <f t="shared" si="25"/>
        <v>1.8918918918918951E-2</v>
      </c>
      <c r="BF57" s="165">
        <f t="shared" si="25"/>
        <v>7.3529411764695636E-4</v>
      </c>
      <c r="BG57" s="165">
        <f t="shared" si="25"/>
        <v>-6.250000000000029E-3</v>
      </c>
      <c r="BH57" s="165">
        <f t="shared" si="25"/>
        <v>7.8947368421053311E-3</v>
      </c>
      <c r="BI57" s="165">
        <f t="shared" si="25"/>
        <v>5.5555555555556399E-3</v>
      </c>
      <c r="BJ57" s="165">
        <f t="shared" si="25"/>
        <v>-4.9999999999998821E-3</v>
      </c>
      <c r="BK57" s="165">
        <f t="shared" si="25"/>
        <v>-8.8235294117647561E-3</v>
      </c>
      <c r="BL57" s="165">
        <f t="shared" si="25"/>
        <v>4.7297297297297543E-3</v>
      </c>
      <c r="BM57" s="165">
        <f t="shared" ca="1" si="25"/>
        <v>-2.9547826587064636E-2</v>
      </c>
      <c r="BN57" s="165">
        <f t="shared" ca="1" si="25"/>
        <v>0</v>
      </c>
      <c r="BO57" s="165">
        <f t="shared" ca="1" si="25"/>
        <v>0</v>
      </c>
      <c r="BP57" s="165">
        <f t="shared" ca="1" si="16"/>
        <v>0</v>
      </c>
      <c r="BQ57" s="165">
        <f t="shared" ca="1" si="16"/>
        <v>0</v>
      </c>
      <c r="BR57" s="165">
        <f t="shared" ca="1" si="16"/>
        <v>6.060606060605986E-3</v>
      </c>
      <c r="BS57" s="165">
        <f t="shared" ca="1" si="16"/>
        <v>0</v>
      </c>
      <c r="BT57" s="165">
        <f t="shared" ca="1" si="16"/>
        <v>0</v>
      </c>
      <c r="BU57" s="165">
        <f t="shared" ca="1" si="16"/>
        <v>-5.8823529411765269E-3</v>
      </c>
      <c r="BV57" s="165">
        <f t="shared" ca="1" si="16"/>
        <v>0</v>
      </c>
      <c r="BW57" s="165">
        <f t="shared" ca="1" si="16"/>
        <v>0</v>
      </c>
      <c r="BX57" s="165">
        <f t="shared" ca="1" si="16"/>
        <v>0</v>
      </c>
      <c r="BY57" s="165">
        <f t="shared" ca="1" si="16"/>
        <v>0</v>
      </c>
      <c r="BZ57" s="165">
        <f t="shared" ca="1" si="22"/>
        <v>6.4516129032258654E-3</v>
      </c>
      <c r="CA57" s="165">
        <f t="shared" ca="1" si="22"/>
        <v>0</v>
      </c>
      <c r="CB57" s="165">
        <f t="shared" ca="1" si="22"/>
        <v>0</v>
      </c>
      <c r="CC57" s="165">
        <f t="shared" ca="1" si="22"/>
        <v>0</v>
      </c>
      <c r="CD57" s="165">
        <f t="shared" ca="1" si="22"/>
        <v>0</v>
      </c>
      <c r="CE57" s="165">
        <f t="shared" ca="1" si="22"/>
        <v>-1.1111111111111143E-2</v>
      </c>
      <c r="CF57" s="165">
        <f t="shared" ca="1" si="22"/>
        <v>0</v>
      </c>
      <c r="CG57" s="165">
        <f t="shared" ca="1" si="22"/>
        <v>0</v>
      </c>
      <c r="CH57" s="165">
        <f t="shared" ca="1" si="22"/>
        <v>0</v>
      </c>
      <c r="CI57" s="165">
        <f t="shared" ca="1" si="22"/>
        <v>7.1428571428572155E-3</v>
      </c>
      <c r="CJ57" s="165">
        <f t="shared" ca="1" si="22"/>
        <v>-8.0000000000000852E-3</v>
      </c>
      <c r="CK57" s="165">
        <f t="shared" ca="1" si="22"/>
        <v>0</v>
      </c>
      <c r="CL57" s="165">
        <f t="shared" ref="CL57:DB61" ca="1" si="27">IFERROR(LN(CL24/CK24),0)</f>
        <v>0</v>
      </c>
      <c r="CM57" s="165">
        <f t="shared" ca="1" si="27"/>
        <v>0</v>
      </c>
      <c r="CN57" s="165">
        <f t="shared" ca="1" si="27"/>
        <v>-8.3333333333333263E-3</v>
      </c>
      <c r="CO57" s="165">
        <f t="shared" ca="1" si="27"/>
        <v>-7.9999999999999724E-3</v>
      </c>
      <c r="CP57" s="165">
        <f t="shared" ca="1" si="27"/>
        <v>-7.6923076923077474E-3</v>
      </c>
      <c r="CQ57" s="165">
        <f t="shared" ca="1" si="27"/>
        <v>0</v>
      </c>
      <c r="CR57" s="247">
        <f t="shared" ca="1" si="27"/>
        <v>1.1111111111111027E-2</v>
      </c>
      <c r="CS57" s="247">
        <f t="shared" ca="1" si="27"/>
        <v>-8.3333333333333263E-3</v>
      </c>
      <c r="CT57" s="247">
        <f t="shared" ca="1" si="27"/>
        <v>-8.6956521739131633E-3</v>
      </c>
      <c r="CU57" s="247">
        <f t="shared" ca="1" si="27"/>
        <v>-7.9999999999998614E-3</v>
      </c>
      <c r="CV57" s="247">
        <f t="shared" ca="1" si="27"/>
        <v>-9.523809523809542E-3</v>
      </c>
      <c r="CW57" s="247">
        <f t="shared" ca="1" si="27"/>
        <v>-7.1428571428571374E-3</v>
      </c>
      <c r="CX57" s="247">
        <f t="shared" ca="1" si="27"/>
        <v>-5.5555555555556893E-3</v>
      </c>
      <c r="CY57" s="247">
        <f t="shared" ca="1" si="27"/>
        <v>-7.6923076923077474E-3</v>
      </c>
      <c r="CZ57" s="247">
        <f t="shared" ca="1" si="27"/>
        <v>0</v>
      </c>
      <c r="DA57" s="247">
        <f t="shared" ca="1" si="27"/>
        <v>-7.1428571428572493E-3</v>
      </c>
      <c r="DB57" s="247">
        <f t="shared" ca="1" si="27"/>
        <v>0</v>
      </c>
    </row>
    <row r="58" spans="3:106" x14ac:dyDescent="0.3">
      <c r="C58" s="165" t="str">
        <f t="shared" si="12"/>
        <v>5. Defenses:Compared to last month what is your view of: - Vulnerability of available defenses to UNKNOWN threats</v>
      </c>
      <c r="D58" s="165" t="str">
        <f t="shared" si="13"/>
        <v>Defenses: Vulnerability to unknown threats</v>
      </c>
      <c r="F58" s="165">
        <f t="shared" si="14"/>
        <v>2.8521126760563318E-2</v>
      </c>
      <c r="G58" s="165">
        <f t="shared" si="25"/>
        <v>1.4999999999999951E-2</v>
      </c>
      <c r="H58" s="165">
        <f t="shared" si="25"/>
        <v>1.2500000000000039E-2</v>
      </c>
      <c r="I58" s="165">
        <f t="shared" si="25"/>
        <v>4.2372881355931671E-4</v>
      </c>
      <c r="J58" s="165">
        <f t="shared" si="25"/>
        <v>1.2295081967213097E-2</v>
      </c>
      <c r="K58" s="165">
        <f t="shared" si="25"/>
        <v>2.6818181818181894E-2</v>
      </c>
      <c r="L58" s="165">
        <f t="shared" si="25"/>
        <v>5.597014925373036E-3</v>
      </c>
      <c r="M58" s="165">
        <f t="shared" si="25"/>
        <v>5.3571428571427635E-3</v>
      </c>
      <c r="N58" s="165">
        <f t="shared" si="25"/>
        <v>7.211538461538488E-3</v>
      </c>
      <c r="O58" s="165">
        <f t="shared" si="25"/>
        <v>1.6803278688524617E-2</v>
      </c>
      <c r="P58" s="165">
        <f t="shared" ref="G58:BO62" si="28">IFERROR(LN(P25/O25),0)</f>
        <v>6.4655172413793363E-3</v>
      </c>
      <c r="Q58" s="165">
        <f t="shared" si="28"/>
        <v>7.7272727272726513E-3</v>
      </c>
      <c r="R58" s="165">
        <f t="shared" si="28"/>
        <v>2.272727272727278E-2</v>
      </c>
      <c r="S58" s="165">
        <f t="shared" si="28"/>
        <v>2.4137931034482675E-2</v>
      </c>
      <c r="T58" s="165">
        <f t="shared" si="28"/>
        <v>3.9112903225806392E-2</v>
      </c>
      <c r="U58" s="165">
        <f t="shared" si="28"/>
        <v>2.3584905660377263E-2</v>
      </c>
      <c r="V58" s="165">
        <f t="shared" si="28"/>
        <v>2.836538461538465E-2</v>
      </c>
      <c r="W58" s="165">
        <f t="shared" si="28"/>
        <v>3.3152173913043467E-2</v>
      </c>
      <c r="X58" s="165">
        <f t="shared" si="28"/>
        <v>2.4479166666666684E-2</v>
      </c>
      <c r="Y58" s="165">
        <f t="shared" si="28"/>
        <v>1.3541666666666612E-2</v>
      </c>
      <c r="Z58" s="165">
        <f t="shared" si="28"/>
        <v>1.9491525423728874E-2</v>
      </c>
      <c r="AA58" s="165">
        <f t="shared" si="28"/>
        <v>2.3648648648648671E-2</v>
      </c>
      <c r="AB58" s="165">
        <f t="shared" si="28"/>
        <v>3.3620689655172356E-2</v>
      </c>
      <c r="AC58" s="165">
        <f t="shared" si="28"/>
        <v>3.1818181818181857E-2</v>
      </c>
      <c r="AD58" s="165">
        <f t="shared" si="28"/>
        <v>1.2719298245614049E-2</v>
      </c>
      <c r="AE58" s="165">
        <f t="shared" si="28"/>
        <v>2.1428571428571453E-2</v>
      </c>
      <c r="AF58" s="165">
        <f t="shared" si="28"/>
        <v>1.9897959183673465E-2</v>
      </c>
      <c r="AG58" s="165">
        <f t="shared" si="28"/>
        <v>8.5714285714285181E-3</v>
      </c>
      <c r="AH58" s="165">
        <f t="shared" si="28"/>
        <v>2.1698113207547231E-2</v>
      </c>
      <c r="AI58" s="165">
        <f t="shared" si="28"/>
        <v>1.4743589743589757E-2</v>
      </c>
      <c r="AJ58" s="165">
        <f t="shared" si="28"/>
        <v>1.7857142857142832E-2</v>
      </c>
      <c r="AK58" s="165">
        <f t="shared" si="28"/>
        <v>1.9999999999999966E-2</v>
      </c>
      <c r="AL58" s="165">
        <f t="shared" si="28"/>
        <v>1.0897435897435873E-2</v>
      </c>
      <c r="AM58" s="165">
        <f t="shared" si="28"/>
        <v>9.3749999999999285E-3</v>
      </c>
      <c r="AN58" s="165">
        <f t="shared" si="28"/>
        <v>6.9767441860465575E-3</v>
      </c>
      <c r="AO58" s="165">
        <f t="shared" si="28"/>
        <v>1.8292682926829264E-2</v>
      </c>
      <c r="AP58" s="165">
        <f t="shared" si="28"/>
        <v>1.9186046511627999E-2</v>
      </c>
      <c r="AQ58" s="165">
        <f t="shared" si="28"/>
        <v>1.5340909090909167E-2</v>
      </c>
      <c r="AR58" s="165">
        <f t="shared" si="28"/>
        <v>5.4878048780487871E-3</v>
      </c>
      <c r="AS58" s="165">
        <f t="shared" si="28"/>
        <v>1.2857142857142954E-2</v>
      </c>
      <c r="AT58" s="165">
        <f t="shared" si="28"/>
        <v>2.7380952380952332E-2</v>
      </c>
      <c r="AU58" s="165">
        <f t="shared" si="28"/>
        <v>3.2142857142857188E-2</v>
      </c>
      <c r="AV58" s="165">
        <f t="shared" si="28"/>
        <v>2.3529411764705844E-2</v>
      </c>
      <c r="AW58" s="165">
        <f t="shared" si="28"/>
        <v>3.0263157894736947E-2</v>
      </c>
      <c r="AX58" s="165">
        <f t="shared" si="28"/>
        <v>2.1052631578947309E-2</v>
      </c>
      <c r="AY58" s="165">
        <f t="shared" si="28"/>
        <v>1.8181818181818209E-2</v>
      </c>
      <c r="AZ58" s="165">
        <f t="shared" si="28"/>
        <v>2.7631578947368444E-2</v>
      </c>
      <c r="BA58" s="165">
        <f t="shared" si="28"/>
        <v>2.6249999999999902E-2</v>
      </c>
      <c r="BB58" s="165">
        <f t="shared" si="28"/>
        <v>2.1052631578947309E-2</v>
      </c>
      <c r="BC58" s="165">
        <f t="shared" si="28"/>
        <v>1.4634146341463357E-2</v>
      </c>
      <c r="BD58" s="165">
        <f t="shared" si="28"/>
        <v>1.7682926829268298E-2</v>
      </c>
      <c r="BE58" s="165">
        <f t="shared" si="28"/>
        <v>2.2297297297297375E-2</v>
      </c>
      <c r="BF58" s="165">
        <f t="shared" si="28"/>
        <v>3.6764705882352412E-3</v>
      </c>
      <c r="BG58" s="165">
        <f t="shared" si="28"/>
        <v>8.3333333333333662E-3</v>
      </c>
      <c r="BH58" s="165">
        <f t="shared" si="28"/>
        <v>2.3026315789473641E-2</v>
      </c>
      <c r="BI58" s="165">
        <f t="shared" si="28"/>
        <v>1.6666666666666583E-2</v>
      </c>
      <c r="BJ58" s="165">
        <f t="shared" si="28"/>
        <v>7.4999999999999312E-3</v>
      </c>
      <c r="BK58" s="165">
        <f t="shared" si="28"/>
        <v>2.9411764705881559E-3</v>
      </c>
      <c r="BL58" s="165">
        <f t="shared" si="28"/>
        <v>1.4864864864864862E-2</v>
      </c>
      <c r="BM58" s="165">
        <f t="shared" ca="1" si="28"/>
        <v>-0.22784187200284345</v>
      </c>
      <c r="BN58" s="165">
        <f t="shared" ca="1" si="28"/>
        <v>0</v>
      </c>
      <c r="BO58" s="165">
        <f t="shared" ca="1" si="28"/>
        <v>-6.4516129032259504E-3</v>
      </c>
      <c r="BP58" s="165">
        <f t="shared" ca="1" si="16"/>
        <v>0</v>
      </c>
      <c r="BQ58" s="165">
        <f t="shared" ca="1" si="16"/>
        <v>0</v>
      </c>
      <c r="BR58" s="165">
        <f t="shared" ca="1" si="16"/>
        <v>6.060606060605986E-3</v>
      </c>
      <c r="BS58" s="165">
        <f t="shared" ca="1" si="16"/>
        <v>0</v>
      </c>
      <c r="BT58" s="165">
        <f t="shared" ca="1" si="16"/>
        <v>0</v>
      </c>
      <c r="BU58" s="165">
        <f t="shared" ca="1" si="16"/>
        <v>0</v>
      </c>
      <c r="BV58" s="165">
        <f t="shared" ca="1" si="16"/>
        <v>0</v>
      </c>
      <c r="BW58" s="165">
        <f t="shared" ca="1" si="16"/>
        <v>0</v>
      </c>
      <c r="BX58" s="165">
        <f t="shared" ca="1" si="16"/>
        <v>0</v>
      </c>
      <c r="BY58" s="165">
        <f t="shared" ca="1" si="16"/>
        <v>0</v>
      </c>
      <c r="BZ58" s="165">
        <f t="shared" ca="1" si="22"/>
        <v>6.4516129032258654E-3</v>
      </c>
      <c r="CA58" s="165">
        <f t="shared" ca="1" si="22"/>
        <v>6.4516129032258654E-3</v>
      </c>
      <c r="CB58" s="165">
        <f t="shared" ca="1" si="22"/>
        <v>0</v>
      </c>
      <c r="CC58" s="165">
        <f t="shared" ca="1" si="22"/>
        <v>7.6923076923077222E-3</v>
      </c>
      <c r="CD58" s="165">
        <f t="shared" ca="1" si="22"/>
        <v>-5.882352941176415E-3</v>
      </c>
      <c r="CE58" s="165">
        <f t="shared" ca="1" si="22"/>
        <v>-1.1111111111111143E-2</v>
      </c>
      <c r="CF58" s="165">
        <f t="shared" ca="1" si="22"/>
        <v>0</v>
      </c>
      <c r="CG58" s="165">
        <f t="shared" ca="1" si="22"/>
        <v>-6.8965517241379899E-3</v>
      </c>
      <c r="CH58" s="165">
        <f t="shared" ca="1" si="22"/>
        <v>0</v>
      </c>
      <c r="CI58" s="165">
        <f t="shared" ca="1" si="22"/>
        <v>0</v>
      </c>
      <c r="CJ58" s="165">
        <f t="shared" ca="1" si="22"/>
        <v>-7.9999999999999724E-3</v>
      </c>
      <c r="CK58" s="165">
        <f t="shared" ca="1" si="22"/>
        <v>0</v>
      </c>
      <c r="CL58" s="165">
        <f t="shared" ca="1" si="27"/>
        <v>9.0909090909089951E-3</v>
      </c>
      <c r="CM58" s="165">
        <f t="shared" ca="1" si="27"/>
        <v>1.3793103448275936E-2</v>
      </c>
      <c r="CN58" s="165">
        <f t="shared" ca="1" si="27"/>
        <v>-8.333333333333439E-3</v>
      </c>
      <c r="CO58" s="165">
        <f t="shared" ca="1" si="27"/>
        <v>0</v>
      </c>
      <c r="CP58" s="165">
        <f t="shared" ca="1" si="27"/>
        <v>-7.6923076923077474E-3</v>
      </c>
      <c r="CQ58" s="165">
        <f t="shared" ca="1" si="27"/>
        <v>0</v>
      </c>
      <c r="CR58" s="247">
        <f t="shared" ca="1" si="27"/>
        <v>1.1111111111111027E-2</v>
      </c>
      <c r="CS58" s="247">
        <f t="shared" ca="1" si="27"/>
        <v>0</v>
      </c>
      <c r="CT58" s="247">
        <f t="shared" ca="1" si="27"/>
        <v>-8.6956521739130523E-3</v>
      </c>
      <c r="CU58" s="247">
        <f t="shared" ca="1" si="27"/>
        <v>-7.9999999999998614E-3</v>
      </c>
      <c r="CV58" s="247">
        <f t="shared" ca="1" si="27"/>
        <v>-9.523809523809542E-3</v>
      </c>
      <c r="CW58" s="247">
        <f t="shared" ca="1" si="27"/>
        <v>-7.1428571428572493E-3</v>
      </c>
      <c r="CX58" s="247">
        <f t="shared" ca="1" si="27"/>
        <v>0</v>
      </c>
      <c r="CY58" s="247">
        <f t="shared" ca="1" si="27"/>
        <v>-7.6923076923076355E-3</v>
      </c>
      <c r="CZ58" s="247">
        <f t="shared" ca="1" si="27"/>
        <v>0</v>
      </c>
      <c r="DA58" s="247">
        <f t="shared" ca="1" si="27"/>
        <v>-7.1428571428570255E-3</v>
      </c>
      <c r="DB58" s="247">
        <f t="shared" ca="1" si="27"/>
        <v>0</v>
      </c>
    </row>
    <row r="59" spans="3:106" x14ac:dyDescent="0.3">
      <c r="C59" s="165" t="str">
        <f t="shared" si="12"/>
        <v>6. Overall perceptions:Compared to last month what is your view of: - Ability to detect false digital claims of identity when received by/presented to machines/functions for which you are responsible</v>
      </c>
      <c r="D59" s="165" t="str">
        <f t="shared" si="13"/>
        <v>Overall: False claims of digital identity</v>
      </c>
      <c r="F59" s="165">
        <f t="shared" si="14"/>
        <v>0</v>
      </c>
      <c r="G59" s="165">
        <f t="shared" si="28"/>
        <v>0</v>
      </c>
      <c r="H59" s="165">
        <f t="shared" si="28"/>
        <v>0</v>
      </c>
      <c r="I59" s="165">
        <f t="shared" si="28"/>
        <v>0</v>
      </c>
      <c r="J59" s="165">
        <f t="shared" si="28"/>
        <v>0</v>
      </c>
      <c r="K59" s="165">
        <f t="shared" si="28"/>
        <v>0</v>
      </c>
      <c r="L59" s="165">
        <f t="shared" si="28"/>
        <v>0</v>
      </c>
      <c r="M59" s="165">
        <f t="shared" si="28"/>
        <v>0</v>
      </c>
      <c r="N59" s="165">
        <f t="shared" si="28"/>
        <v>0</v>
      </c>
      <c r="O59" s="165">
        <f t="shared" si="28"/>
        <v>0</v>
      </c>
      <c r="P59" s="165">
        <f t="shared" si="28"/>
        <v>0</v>
      </c>
      <c r="Q59" s="165">
        <f t="shared" si="28"/>
        <v>0</v>
      </c>
      <c r="R59" s="165">
        <f t="shared" si="28"/>
        <v>0</v>
      </c>
      <c r="S59" s="165">
        <f t="shared" si="28"/>
        <v>0</v>
      </c>
      <c r="T59" s="165">
        <f t="shared" si="28"/>
        <v>0</v>
      </c>
      <c r="U59" s="165">
        <f t="shared" si="28"/>
        <v>0</v>
      </c>
      <c r="V59" s="165">
        <f t="shared" si="28"/>
        <v>0</v>
      </c>
      <c r="W59" s="165">
        <f t="shared" si="28"/>
        <v>0</v>
      </c>
      <c r="X59" s="165">
        <f t="shared" si="28"/>
        <v>0</v>
      </c>
      <c r="Y59" s="165">
        <f t="shared" si="28"/>
        <v>0</v>
      </c>
      <c r="Z59" s="165">
        <f t="shared" si="28"/>
        <v>0</v>
      </c>
      <c r="AA59" s="165">
        <f t="shared" si="28"/>
        <v>0</v>
      </c>
      <c r="AB59" s="165">
        <f t="shared" si="28"/>
        <v>0</v>
      </c>
      <c r="AC59" s="165">
        <f t="shared" si="28"/>
        <v>0</v>
      </c>
      <c r="AD59" s="165">
        <f t="shared" si="28"/>
        <v>0</v>
      </c>
      <c r="AE59" s="165">
        <f t="shared" si="28"/>
        <v>0</v>
      </c>
      <c r="AF59" s="165">
        <f t="shared" si="28"/>
        <v>9.1836734693876952E-3</v>
      </c>
      <c r="AG59" s="165">
        <f t="shared" si="28"/>
        <v>0</v>
      </c>
      <c r="AH59" s="165">
        <f t="shared" si="28"/>
        <v>5.6603773584906264E-3</v>
      </c>
      <c r="AI59" s="165">
        <f t="shared" si="28"/>
        <v>1.2820512820512773E-2</v>
      </c>
      <c r="AJ59" s="165">
        <f t="shared" si="28"/>
        <v>9.1836734693876952E-3</v>
      </c>
      <c r="AK59" s="165">
        <f t="shared" si="28"/>
        <v>4.9999999999998969E-3</v>
      </c>
      <c r="AL59" s="165">
        <f t="shared" si="28"/>
        <v>7.6923076923077222E-3</v>
      </c>
      <c r="AM59" s="165">
        <f t="shared" si="28"/>
        <v>7.29166666666677E-3</v>
      </c>
      <c r="AN59" s="165">
        <f t="shared" si="28"/>
        <v>1.1627906976744139E-2</v>
      </c>
      <c r="AO59" s="165">
        <f t="shared" si="28"/>
        <v>5.4878048780487871E-3</v>
      </c>
      <c r="AP59" s="165">
        <f t="shared" si="28"/>
        <v>5.8139534883710966E-4</v>
      </c>
      <c r="AQ59" s="165">
        <f t="shared" si="28"/>
        <v>8.5227272727273207E-3</v>
      </c>
      <c r="AR59" s="165">
        <f t="shared" si="28"/>
        <v>9.146341463414696E-3</v>
      </c>
      <c r="AS59" s="165">
        <f t="shared" si="28"/>
        <v>2.0714285714285723E-2</v>
      </c>
      <c r="AT59" s="165">
        <f t="shared" si="28"/>
        <v>1.1309523809523886E-2</v>
      </c>
      <c r="AU59" s="165">
        <f t="shared" si="28"/>
        <v>8.9285714285713656E-3</v>
      </c>
      <c r="AV59" s="165">
        <f t="shared" si="28"/>
        <v>1.2500000000000039E-2</v>
      </c>
      <c r="AW59" s="165">
        <f t="shared" si="28"/>
        <v>3.9473684210525753E-3</v>
      </c>
      <c r="AX59" s="165">
        <f t="shared" si="28"/>
        <v>9.2105263157895266E-3</v>
      </c>
      <c r="AY59" s="165">
        <f t="shared" si="28"/>
        <v>1.7045454545455306E-3</v>
      </c>
      <c r="AZ59" s="165">
        <f t="shared" si="28"/>
        <v>1.3157894736842151E-2</v>
      </c>
      <c r="BA59" s="165">
        <f t="shared" si="28"/>
        <v>1.1249999999999899E-2</v>
      </c>
      <c r="BB59" s="165">
        <f t="shared" si="28"/>
        <v>0</v>
      </c>
      <c r="BC59" s="165">
        <f t="shared" si="28"/>
        <v>-1.8292682926829222E-3</v>
      </c>
      <c r="BD59" s="165">
        <f t="shared" si="28"/>
        <v>-3.6585365853659558E-3</v>
      </c>
      <c r="BE59" s="165">
        <f t="shared" si="28"/>
        <v>1.0135135135135068E-2</v>
      </c>
      <c r="BF59" s="165">
        <f t="shared" si="28"/>
        <v>-3.676470588235406E-3</v>
      </c>
      <c r="BG59" s="165">
        <f t="shared" si="28"/>
        <v>6.2499999999999821E-3</v>
      </c>
      <c r="BH59" s="165">
        <f t="shared" si="28"/>
        <v>7.8947368421053311E-3</v>
      </c>
      <c r="BI59" s="165">
        <f t="shared" si="28"/>
        <v>9.2592592592595101E-4</v>
      </c>
      <c r="BJ59" s="165">
        <f t="shared" si="28"/>
        <v>7.4999999999999312E-3</v>
      </c>
      <c r="BK59" s="165">
        <f t="shared" si="28"/>
        <v>2.2058823529412866E-3</v>
      </c>
      <c r="BL59" s="165">
        <f t="shared" si="28"/>
        <v>6.081081081081189E-3</v>
      </c>
      <c r="BM59" s="165">
        <f t="shared" ca="1" si="28"/>
        <v>-7.5975502997797581E-2</v>
      </c>
      <c r="BN59" s="165">
        <f t="shared" ca="1" si="28"/>
        <v>-1.1428571428571486E-2</v>
      </c>
      <c r="BO59" s="165">
        <f t="shared" ca="1" si="28"/>
        <v>0</v>
      </c>
      <c r="BP59" s="165">
        <f t="shared" ca="1" si="16"/>
        <v>0</v>
      </c>
      <c r="BQ59" s="165">
        <f t="shared" ca="1" si="16"/>
        <v>0</v>
      </c>
      <c r="BR59" s="165">
        <f t="shared" ca="1" si="16"/>
        <v>0</v>
      </c>
      <c r="BS59" s="165">
        <f t="shared" ca="1" si="16"/>
        <v>6.060606060605986E-3</v>
      </c>
      <c r="BT59" s="165">
        <f t="shared" ca="1" si="16"/>
        <v>0</v>
      </c>
      <c r="BU59" s="165">
        <f t="shared" ca="1" si="16"/>
        <v>0</v>
      </c>
      <c r="BV59" s="165">
        <f t="shared" ca="1" si="16"/>
        <v>6.6666666666667426E-3</v>
      </c>
      <c r="BW59" s="165">
        <f t="shared" ca="1" si="16"/>
        <v>0</v>
      </c>
      <c r="BX59" s="165">
        <f t="shared" ca="1" si="16"/>
        <v>0</v>
      </c>
      <c r="BY59" s="165">
        <f t="shared" ca="1" si="16"/>
        <v>0</v>
      </c>
      <c r="BZ59" s="165">
        <f t="shared" ca="1" si="22"/>
        <v>0</v>
      </c>
      <c r="CA59" s="165">
        <f t="shared" ca="1" si="22"/>
        <v>0</v>
      </c>
      <c r="CB59" s="165">
        <f t="shared" ca="1" si="22"/>
        <v>0</v>
      </c>
      <c r="CC59" s="165">
        <f t="shared" ca="1" si="22"/>
        <v>0</v>
      </c>
      <c r="CD59" s="165">
        <f t="shared" ca="1" si="22"/>
        <v>-5.8823529411765269E-3</v>
      </c>
      <c r="CE59" s="165">
        <f t="shared" ca="1" si="22"/>
        <v>0</v>
      </c>
      <c r="CF59" s="165">
        <f t="shared" ca="1" si="22"/>
        <v>7.1428571428572155E-3</v>
      </c>
      <c r="CG59" s="165">
        <f t="shared" ca="1" si="22"/>
        <v>0</v>
      </c>
      <c r="CH59" s="165">
        <f t="shared" ca="1" si="22"/>
        <v>0</v>
      </c>
      <c r="CI59" s="165">
        <f t="shared" ca="1" si="22"/>
        <v>0</v>
      </c>
      <c r="CJ59" s="165">
        <f t="shared" ca="1" si="22"/>
        <v>0</v>
      </c>
      <c r="CK59" s="165">
        <f t="shared" ca="1" si="22"/>
        <v>0</v>
      </c>
      <c r="CL59" s="165">
        <f t="shared" ca="1" si="27"/>
        <v>-9.0909090909089846E-3</v>
      </c>
      <c r="CM59" s="165">
        <f t="shared" ca="1" si="27"/>
        <v>0</v>
      </c>
      <c r="CN59" s="165">
        <f t="shared" ca="1" si="27"/>
        <v>0</v>
      </c>
      <c r="CO59" s="165">
        <f t="shared" ca="1" si="27"/>
        <v>0</v>
      </c>
      <c r="CP59" s="165">
        <f t="shared" ca="1" si="27"/>
        <v>0</v>
      </c>
      <c r="CQ59" s="165">
        <f t="shared" ca="1" si="27"/>
        <v>0</v>
      </c>
      <c r="CR59" s="247">
        <f t="shared" ca="1" si="27"/>
        <v>0</v>
      </c>
      <c r="CS59" s="247">
        <f t="shared" ca="1" si="27"/>
        <v>0</v>
      </c>
      <c r="CT59" s="247">
        <f t="shared" ca="1" si="27"/>
        <v>0</v>
      </c>
      <c r="CU59" s="247">
        <f t="shared" ca="1" si="27"/>
        <v>8.000000000000047E-3</v>
      </c>
      <c r="CV59" s="247">
        <f t="shared" ca="1" si="27"/>
        <v>0</v>
      </c>
      <c r="CW59" s="247">
        <f t="shared" ca="1" si="27"/>
        <v>0</v>
      </c>
      <c r="CX59" s="247">
        <f t="shared" ca="1" si="27"/>
        <v>0</v>
      </c>
      <c r="CY59" s="247">
        <f t="shared" ca="1" si="27"/>
        <v>0</v>
      </c>
      <c r="CZ59" s="247">
        <f t="shared" ca="1" si="27"/>
        <v>0</v>
      </c>
      <c r="DA59" s="247">
        <f t="shared" ca="1" si="27"/>
        <v>0</v>
      </c>
      <c r="DB59" s="247">
        <f t="shared" ca="1" si="27"/>
        <v>0</v>
      </c>
    </row>
    <row r="60" spans="3:106" x14ac:dyDescent="0.3">
      <c r="C60" s="165" t="str">
        <f t="shared" si="12"/>
        <v>6. Overall perceptions:Compared to last month what is your view of: - Media and public perception of cyber risks affecting the general populace</v>
      </c>
      <c r="D60" s="165" t="str">
        <f t="shared" si="13"/>
        <v>Overall: Media &amp; public perception</v>
      </c>
      <c r="F60" s="165">
        <f t="shared" si="14"/>
        <v>2.8169014084506935E-2</v>
      </c>
      <c r="G60" s="165">
        <f t="shared" si="28"/>
        <v>2.6071428571428627E-2</v>
      </c>
      <c r="H60" s="165">
        <f t="shared" si="28"/>
        <v>4.8484848484848485E-2</v>
      </c>
      <c r="I60" s="165">
        <f t="shared" si="28"/>
        <v>2.9661016949152616E-2</v>
      </c>
      <c r="J60" s="165">
        <f t="shared" si="28"/>
        <v>2.4590163934426194E-2</v>
      </c>
      <c r="K60" s="165">
        <f t="shared" si="28"/>
        <v>2.5454545454545487E-2</v>
      </c>
      <c r="L60" s="165">
        <f t="shared" si="28"/>
        <v>1.2313432835820825E-2</v>
      </c>
      <c r="M60" s="165">
        <f t="shared" si="28"/>
        <v>8.0357142857143543E-3</v>
      </c>
      <c r="N60" s="165">
        <f t="shared" si="28"/>
        <v>3.2211538461538569E-2</v>
      </c>
      <c r="O60" s="165">
        <f t="shared" si="28"/>
        <v>1.3934426229508235E-2</v>
      </c>
      <c r="P60" s="165">
        <f t="shared" si="28"/>
        <v>1.8103448275861991E-2</v>
      </c>
      <c r="Q60" s="165">
        <f t="shared" si="28"/>
        <v>1.6363636363636441E-2</v>
      </c>
      <c r="R60" s="165">
        <f t="shared" si="28"/>
        <v>2.6515151515151505E-2</v>
      </c>
      <c r="S60" s="165">
        <f t="shared" si="28"/>
        <v>3.3620689655172356E-2</v>
      </c>
      <c r="T60" s="165">
        <f t="shared" si="28"/>
        <v>5.4435483870967818E-2</v>
      </c>
      <c r="U60" s="165">
        <f t="shared" si="28"/>
        <v>4.5754716981132135E-2</v>
      </c>
      <c r="V60" s="165">
        <f t="shared" si="28"/>
        <v>2.9807692307692348E-2</v>
      </c>
      <c r="W60" s="165">
        <f t="shared" si="28"/>
        <v>4.3478260869565306E-2</v>
      </c>
      <c r="X60" s="165">
        <f t="shared" si="28"/>
        <v>5.7291666666666581E-2</v>
      </c>
      <c r="Y60" s="165">
        <f t="shared" si="28"/>
        <v>3.3333333333333319E-2</v>
      </c>
      <c r="Z60" s="165">
        <f t="shared" si="28"/>
        <v>3.2203389830508466E-2</v>
      </c>
      <c r="AA60" s="165">
        <f t="shared" si="28"/>
        <v>3.682432432432426E-2</v>
      </c>
      <c r="AB60" s="165">
        <f t="shared" si="28"/>
        <v>8.146551724137932E-2</v>
      </c>
      <c r="AC60" s="165">
        <f t="shared" si="28"/>
        <v>6.4772727272727218E-2</v>
      </c>
      <c r="AD60" s="165">
        <f t="shared" si="28"/>
        <v>4.5175438596491216E-2</v>
      </c>
      <c r="AE60" s="165">
        <f t="shared" si="28"/>
        <v>3.36734693877552E-2</v>
      </c>
      <c r="AF60" s="165">
        <f t="shared" si="28"/>
        <v>5.1530612244898008E-2</v>
      </c>
      <c r="AG60" s="165">
        <f t="shared" si="28"/>
        <v>3.3571428571428474E-2</v>
      </c>
      <c r="AH60" s="165">
        <f t="shared" si="28"/>
        <v>4.2452830188679284E-2</v>
      </c>
      <c r="AI60" s="165">
        <f t="shared" si="28"/>
        <v>4.8076923076923087E-2</v>
      </c>
      <c r="AJ60" s="165">
        <f t="shared" si="28"/>
        <v>4.7448979591836679E-2</v>
      </c>
      <c r="AK60" s="165">
        <f t="shared" si="28"/>
        <v>2.9444444444444474E-2</v>
      </c>
      <c r="AL60" s="165">
        <f t="shared" si="28"/>
        <v>4.8076923076923087E-2</v>
      </c>
      <c r="AM60" s="165">
        <f t="shared" si="28"/>
        <v>7.5520833333333301E-2</v>
      </c>
      <c r="AN60" s="165">
        <f t="shared" si="28"/>
        <v>4.6511627906976806E-2</v>
      </c>
      <c r="AO60" s="165">
        <f t="shared" si="28"/>
        <v>3.2317073170731646E-2</v>
      </c>
      <c r="AP60" s="165">
        <f t="shared" si="28"/>
        <v>8.0232558139534865E-2</v>
      </c>
      <c r="AQ60" s="165">
        <f t="shared" si="28"/>
        <v>6.8181818181818246E-2</v>
      </c>
      <c r="AR60" s="165">
        <f t="shared" si="28"/>
        <v>3.0487804878048863E-2</v>
      </c>
      <c r="AS60" s="165">
        <f t="shared" si="28"/>
        <v>4.7142857142857215E-2</v>
      </c>
      <c r="AT60" s="165">
        <f t="shared" si="28"/>
        <v>3.8690476190476296E-2</v>
      </c>
      <c r="AU60" s="165">
        <f t="shared" si="28"/>
        <v>6.488095238095247E-2</v>
      </c>
      <c r="AV60" s="165">
        <f t="shared" si="28"/>
        <v>6.7647058823529324E-2</v>
      </c>
      <c r="AW60" s="165">
        <f t="shared" si="28"/>
        <v>4.1447368421052615E-2</v>
      </c>
      <c r="AX60" s="165">
        <f t="shared" si="28"/>
        <v>0.1072368421052632</v>
      </c>
      <c r="AY60" s="165">
        <f t="shared" si="28"/>
        <v>4.7159090909090873E-2</v>
      </c>
      <c r="AZ60" s="165">
        <f t="shared" si="28"/>
        <v>4.210526315789468E-2</v>
      </c>
      <c r="BA60" s="165">
        <f t="shared" si="28"/>
        <v>3.3750000000000009E-2</v>
      </c>
      <c r="BB60" s="165">
        <f t="shared" si="28"/>
        <v>2.6973684210526306E-2</v>
      </c>
      <c r="BC60" s="165">
        <f t="shared" si="28"/>
        <v>4.8780487804877995E-2</v>
      </c>
      <c r="BD60" s="165">
        <f t="shared" si="28"/>
        <v>4.6951219512195115E-2</v>
      </c>
      <c r="BE60" s="165">
        <f t="shared" si="28"/>
        <v>4.3243243243243204E-2</v>
      </c>
      <c r="BF60" s="165">
        <f t="shared" si="28"/>
        <v>4.7058823529411868E-2</v>
      </c>
      <c r="BG60" s="165">
        <f t="shared" si="28"/>
        <v>2.2222222222222233E-2</v>
      </c>
      <c r="BH60" s="165">
        <f t="shared" si="28"/>
        <v>4.3421052631578964E-2</v>
      </c>
      <c r="BI60" s="165">
        <f t="shared" si="28"/>
        <v>4.7222222222222228E-2</v>
      </c>
      <c r="BJ60" s="165">
        <f t="shared" si="28"/>
        <v>2.5000000000000015E-2</v>
      </c>
      <c r="BK60" s="165">
        <f t="shared" si="28"/>
        <v>1.7647058823529325E-2</v>
      </c>
      <c r="BL60" s="165">
        <f t="shared" si="28"/>
        <v>2.3648648648648671E-2</v>
      </c>
      <c r="BM60" s="165">
        <f t="shared" ca="1" si="28"/>
        <v>-0.39813118676329379</v>
      </c>
      <c r="BN60" s="165">
        <f t="shared" ca="1" si="28"/>
        <v>5.7142857142856102E-3</v>
      </c>
      <c r="BO60" s="165">
        <f t="shared" ca="1" si="28"/>
        <v>0</v>
      </c>
      <c r="BP60" s="165">
        <f t="shared" ca="1" si="16"/>
        <v>1.3793103448275936E-2</v>
      </c>
      <c r="BQ60" s="165">
        <f t="shared" ca="1" si="16"/>
        <v>1.3793103448275936E-2</v>
      </c>
      <c r="BR60" s="165">
        <f t="shared" ca="1" si="16"/>
        <v>1.8181818181818209E-2</v>
      </c>
      <c r="BS60" s="165">
        <f t="shared" ca="1" si="16"/>
        <v>6.060606060605986E-3</v>
      </c>
      <c r="BT60" s="165">
        <f t="shared" ca="1" si="16"/>
        <v>1.2500000000000039E-2</v>
      </c>
      <c r="BU60" s="165">
        <f t="shared" ca="1" si="16"/>
        <v>5.8823529411765486E-3</v>
      </c>
      <c r="BV60" s="165">
        <f t="shared" ca="1" si="16"/>
        <v>0</v>
      </c>
      <c r="BW60" s="165">
        <f t="shared" ca="1" si="16"/>
        <v>6.4516129032258654E-3</v>
      </c>
      <c r="BX60" s="165">
        <f t="shared" ca="1" si="16"/>
        <v>6.4516129032258654E-3</v>
      </c>
      <c r="BY60" s="165">
        <f t="shared" ca="1" si="16"/>
        <v>0</v>
      </c>
      <c r="BZ60" s="165">
        <f t="shared" ca="1" si="22"/>
        <v>6.4516129032258654E-3</v>
      </c>
      <c r="CA60" s="165">
        <f t="shared" ca="1" si="22"/>
        <v>6.4516129032258654E-3</v>
      </c>
      <c r="CB60" s="165">
        <f t="shared" ca="1" si="22"/>
        <v>1.3333333333333273E-2</v>
      </c>
      <c r="CC60" s="165">
        <f t="shared" ca="1" si="22"/>
        <v>1.5384615384615392E-2</v>
      </c>
      <c r="CD60" s="165">
        <f t="shared" ca="1" si="22"/>
        <v>1.1764705882352875E-2</v>
      </c>
      <c r="CE60" s="165">
        <f t="shared" ca="1" si="22"/>
        <v>1.1111111111111027E-2</v>
      </c>
      <c r="CF60" s="165">
        <f t="shared" ca="1" si="22"/>
        <v>7.1428571428572155E-3</v>
      </c>
      <c r="CG60" s="165">
        <f t="shared" ca="1" si="22"/>
        <v>1.3793103448275936E-2</v>
      </c>
      <c r="CH60" s="165">
        <f t="shared" ca="1" si="22"/>
        <v>7.6923076923077222E-3</v>
      </c>
      <c r="CI60" s="165">
        <f t="shared" ca="1" si="22"/>
        <v>7.1428571428572155E-3</v>
      </c>
      <c r="CJ60" s="165">
        <f t="shared" ca="1" si="22"/>
        <v>8.000000000000047E-3</v>
      </c>
      <c r="CK60" s="165">
        <f t="shared" ca="1" si="22"/>
        <v>1.48148148148149E-2</v>
      </c>
      <c r="CL60" s="165">
        <f t="shared" ca="1" si="27"/>
        <v>9.0909090909089951E-3</v>
      </c>
      <c r="CM60" s="165">
        <f t="shared" ca="1" si="27"/>
        <v>6.8965517241378685E-3</v>
      </c>
      <c r="CN60" s="165">
        <f t="shared" ca="1" si="27"/>
        <v>1.6666666666666583E-2</v>
      </c>
      <c r="CO60" s="165">
        <f t="shared" ca="1" si="27"/>
        <v>1.6000000000000087E-2</v>
      </c>
      <c r="CP60" s="165">
        <f t="shared" ca="1" si="27"/>
        <v>7.6923076923077222E-3</v>
      </c>
      <c r="CQ60" s="165">
        <f t="shared" ca="1" si="27"/>
        <v>2.6086956521739205E-2</v>
      </c>
      <c r="CR60" s="247">
        <f t="shared" ca="1" si="27"/>
        <v>1.1111111111111027E-2</v>
      </c>
      <c r="CS60" s="247">
        <f t="shared" ca="1" si="27"/>
        <v>1.6666666666666583E-2</v>
      </c>
      <c r="CT60" s="247">
        <f t="shared" ca="1" si="27"/>
        <v>1.7391304347826084E-2</v>
      </c>
      <c r="CU60" s="247">
        <f t="shared" ca="1" si="27"/>
        <v>1.6000000000000087E-2</v>
      </c>
      <c r="CV60" s="247">
        <f t="shared" ca="1" si="27"/>
        <v>9.5238095238094882E-3</v>
      </c>
      <c r="CW60" s="247">
        <f t="shared" ca="1" si="27"/>
        <v>7.1428571428572155E-3</v>
      </c>
      <c r="CX60" s="247">
        <f t="shared" ca="1" si="27"/>
        <v>1.1111111111111027E-2</v>
      </c>
      <c r="CY60" s="247">
        <f t="shared" ca="1" si="27"/>
        <v>7.6923076923077222E-3</v>
      </c>
      <c r="CZ60" s="247">
        <f t="shared" ca="1" si="27"/>
        <v>6.060606060605986E-3</v>
      </c>
      <c r="DA60" s="247">
        <f t="shared" ca="1" si="27"/>
        <v>7.1428571428572155E-3</v>
      </c>
      <c r="DB60" s="247">
        <f t="shared" ca="1" si="27"/>
        <v>0</v>
      </c>
    </row>
    <row r="61" spans="3:106" x14ac:dyDescent="0.3">
      <c r="C61" s="165" t="str">
        <f t="shared" si="12"/>
        <v>6. Overall perceptions:Compared to last month what is your view of: - Your personal risk from online activity including commerce</v>
      </c>
      <c r="D61" s="165" t="str">
        <f t="shared" si="13"/>
        <v>Overall: Personal risk</v>
      </c>
      <c r="F61" s="165">
        <f t="shared" si="14"/>
        <v>1.3732394366197271E-2</v>
      </c>
      <c r="G61" s="165">
        <f t="shared" si="28"/>
        <v>1.8214285714285763E-2</v>
      </c>
      <c r="H61" s="165">
        <f t="shared" si="28"/>
        <v>2.4242424242424322E-2</v>
      </c>
      <c r="I61" s="165">
        <f t="shared" si="28"/>
        <v>2.9661016949152751E-3</v>
      </c>
      <c r="J61" s="165">
        <f t="shared" si="28"/>
        <v>1.2704918032786843E-2</v>
      </c>
      <c r="K61" s="165">
        <f t="shared" si="28"/>
        <v>2.3636363636363601E-2</v>
      </c>
      <c r="L61" s="165">
        <f t="shared" si="28"/>
        <v>1.0074626865671741E-2</v>
      </c>
      <c r="M61" s="165">
        <f t="shared" si="28"/>
        <v>8.0357142857143543E-3</v>
      </c>
      <c r="N61" s="165">
        <f t="shared" si="28"/>
        <v>2.1153846153846058E-2</v>
      </c>
      <c r="O61" s="165">
        <f t="shared" si="28"/>
        <v>1.5983606557377135E-2</v>
      </c>
      <c r="P61" s="165">
        <f t="shared" si="28"/>
        <v>2.1551724137931088E-2</v>
      </c>
      <c r="Q61" s="165">
        <f t="shared" si="28"/>
        <v>1.9999999999999966E-2</v>
      </c>
      <c r="R61" s="165">
        <f t="shared" si="28"/>
        <v>1.1363636363636404E-2</v>
      </c>
      <c r="S61" s="165">
        <f t="shared" si="28"/>
        <v>1.8103448275861991E-2</v>
      </c>
      <c r="T61" s="165">
        <f t="shared" si="28"/>
        <v>2.7822580645161243E-2</v>
      </c>
      <c r="U61" s="165">
        <f t="shared" si="28"/>
        <v>2.4056603773584932E-2</v>
      </c>
      <c r="V61" s="165">
        <f t="shared" si="28"/>
        <v>1.7307692307692243E-2</v>
      </c>
      <c r="W61" s="165">
        <f t="shared" si="28"/>
        <v>2.8260869565217471E-2</v>
      </c>
      <c r="X61" s="165">
        <f t="shared" si="28"/>
        <v>2.4479166666666684E-2</v>
      </c>
      <c r="Y61" s="165">
        <f t="shared" si="28"/>
        <v>1.5624999999999979E-2</v>
      </c>
      <c r="Z61" s="165">
        <f t="shared" si="28"/>
        <v>2.5000000000000015E-2</v>
      </c>
      <c r="AA61" s="165">
        <f t="shared" si="28"/>
        <v>1.5202702702702743E-2</v>
      </c>
      <c r="AB61" s="165">
        <f t="shared" si="28"/>
        <v>2.0258620689655164E-2</v>
      </c>
      <c r="AC61" s="165">
        <f t="shared" si="28"/>
        <v>2.9924242424242416E-2</v>
      </c>
      <c r="AD61" s="165">
        <f t="shared" si="28"/>
        <v>9.2105263157895266E-3</v>
      </c>
      <c r="AE61" s="165">
        <f t="shared" si="28"/>
        <v>1.0714285714285622E-2</v>
      </c>
      <c r="AF61" s="165">
        <f t="shared" si="28"/>
        <v>1.5816326530612212E-2</v>
      </c>
      <c r="AG61" s="165">
        <f t="shared" si="28"/>
        <v>1.2857142857142954E-2</v>
      </c>
      <c r="AH61" s="165">
        <f t="shared" si="28"/>
        <v>1.3679245283018948E-2</v>
      </c>
      <c r="AI61" s="165">
        <f t="shared" si="28"/>
        <v>1.2820512820512773E-2</v>
      </c>
      <c r="AJ61" s="165">
        <f t="shared" si="28"/>
        <v>2.0918367346938735E-2</v>
      </c>
      <c r="AK61" s="165">
        <f t="shared" si="28"/>
        <v>1.6111111111111083E-2</v>
      </c>
      <c r="AL61" s="165">
        <f t="shared" si="28"/>
        <v>3.4615384615384569E-2</v>
      </c>
      <c r="AM61" s="165">
        <f t="shared" si="28"/>
        <v>3.3854166666666692E-2</v>
      </c>
      <c r="AN61" s="165">
        <f t="shared" si="28"/>
        <v>1.5697674418604625E-2</v>
      </c>
      <c r="AO61" s="165">
        <f t="shared" si="28"/>
        <v>1.7682926829268298E-2</v>
      </c>
      <c r="AP61" s="165">
        <f t="shared" si="28"/>
        <v>4.2441860465116305E-2</v>
      </c>
      <c r="AQ61" s="165">
        <f t="shared" si="28"/>
        <v>2.3295454545454442E-2</v>
      </c>
      <c r="AR61" s="165">
        <f t="shared" si="28"/>
        <v>1.280487804878057E-2</v>
      </c>
      <c r="AS61" s="165">
        <f t="shared" si="28"/>
        <v>6.4285714285715065E-3</v>
      </c>
      <c r="AT61" s="165">
        <f t="shared" si="28"/>
        <v>1.5476190476190373E-2</v>
      </c>
      <c r="AU61" s="165">
        <f t="shared" si="28"/>
        <v>2.0238095238095194E-2</v>
      </c>
      <c r="AV61" s="165">
        <f t="shared" si="28"/>
        <v>1.9117647058823593E-2</v>
      </c>
      <c r="AW61" s="165">
        <f t="shared" si="28"/>
        <v>1.6447368421052638E-2</v>
      </c>
      <c r="AX61" s="165">
        <f t="shared" si="28"/>
        <v>2.3026315789473641E-2</v>
      </c>
      <c r="AY61" s="165">
        <f t="shared" si="28"/>
        <v>9.6590909090908273E-3</v>
      </c>
      <c r="AZ61" s="165">
        <f t="shared" si="28"/>
        <v>2.1710526315789489E-2</v>
      </c>
      <c r="BA61" s="165">
        <f t="shared" si="28"/>
        <v>1.3124999999999977E-2</v>
      </c>
      <c r="BB61" s="165">
        <f t="shared" si="28"/>
        <v>7.8947368421053311E-3</v>
      </c>
      <c r="BC61" s="165">
        <f t="shared" si="28"/>
        <v>1.7682926829268298E-2</v>
      </c>
      <c r="BD61" s="165">
        <f t="shared" si="28"/>
        <v>2.1341463414634068E-2</v>
      </c>
      <c r="BE61" s="165">
        <f t="shared" si="28"/>
        <v>1.6216216216216123E-2</v>
      </c>
      <c r="BF61" s="165">
        <f t="shared" si="28"/>
        <v>1.5441176470588338E-2</v>
      </c>
      <c r="BG61" s="165">
        <f t="shared" si="28"/>
        <v>1.8750000000000103E-2</v>
      </c>
      <c r="BH61" s="165">
        <f t="shared" si="28"/>
        <v>1.9736842105264039E-3</v>
      </c>
      <c r="BI61" s="165">
        <f t="shared" si="28"/>
        <v>8.3333333333333662E-3</v>
      </c>
      <c r="BJ61" s="165">
        <f t="shared" si="28"/>
        <v>8.3333333333344387E-4</v>
      </c>
      <c r="BK61" s="165">
        <f t="shared" si="28"/>
        <v>3.6764705882352412E-3</v>
      </c>
      <c r="BL61" s="165">
        <f t="shared" si="28"/>
        <v>1.0135135135135068E-2</v>
      </c>
      <c r="BM61" s="165">
        <f t="shared" ca="1" si="28"/>
        <v>-0.18866607193558252</v>
      </c>
      <c r="BN61" s="165">
        <f t="shared" ca="1" si="28"/>
        <v>0</v>
      </c>
      <c r="BO61" s="165">
        <f t="shared" ca="1" si="28"/>
        <v>6.4516129032258654E-3</v>
      </c>
      <c r="BP61" s="165">
        <f t="shared" ca="1" si="16"/>
        <v>-6.8965517241379899E-3</v>
      </c>
      <c r="BQ61" s="165">
        <f t="shared" ca="1" si="16"/>
        <v>6.8965517241378685E-3</v>
      </c>
      <c r="BR61" s="165">
        <f t="shared" ca="1" si="16"/>
        <v>0</v>
      </c>
      <c r="BS61" s="165">
        <f t="shared" ca="1" si="16"/>
        <v>0</v>
      </c>
      <c r="BT61" s="165">
        <f t="shared" ca="1" si="16"/>
        <v>0</v>
      </c>
      <c r="BU61" s="165">
        <f t="shared" ca="1" si="16"/>
        <v>0</v>
      </c>
      <c r="BV61" s="165">
        <f t="shared" ca="1" si="16"/>
        <v>0</v>
      </c>
      <c r="BW61" s="165">
        <f t="shared" ca="1" si="16"/>
        <v>0</v>
      </c>
      <c r="BX61" s="165">
        <f t="shared" ca="1" si="16"/>
        <v>6.4516129032258654E-3</v>
      </c>
      <c r="BY61" s="165">
        <f t="shared" ca="1" si="16"/>
        <v>-6.6666666666665327E-3</v>
      </c>
      <c r="BZ61" s="165">
        <f t="shared" ca="1" si="22"/>
        <v>-6.4516129032257266E-3</v>
      </c>
      <c r="CA61" s="165">
        <f t="shared" ca="1" si="22"/>
        <v>0</v>
      </c>
      <c r="CB61" s="165">
        <f t="shared" ca="1" si="22"/>
        <v>6.6666666666667426E-3</v>
      </c>
      <c r="CC61" s="165">
        <f t="shared" ca="1" si="22"/>
        <v>0</v>
      </c>
      <c r="CD61" s="165">
        <f t="shared" ca="1" si="22"/>
        <v>0</v>
      </c>
      <c r="CE61" s="165">
        <f t="shared" ca="1" si="22"/>
        <v>2.2222222222222233E-2</v>
      </c>
      <c r="CF61" s="165">
        <f t="shared" ca="1" si="22"/>
        <v>1.4285714285714179E-2</v>
      </c>
      <c r="CG61" s="165">
        <f t="shared" ca="1" si="22"/>
        <v>-6.8965517241378789E-3</v>
      </c>
      <c r="CH61" s="165">
        <f t="shared" ca="1" si="22"/>
        <v>0</v>
      </c>
      <c r="CI61" s="165">
        <f t="shared" ca="1" si="22"/>
        <v>0</v>
      </c>
      <c r="CJ61" s="165">
        <f t="shared" ca="1" si="22"/>
        <v>0</v>
      </c>
      <c r="CK61" s="165">
        <f t="shared" ca="1" si="22"/>
        <v>7.407407407407399E-3</v>
      </c>
      <c r="CL61" s="165">
        <f t="shared" ca="1" si="27"/>
        <v>0</v>
      </c>
      <c r="CM61" s="165">
        <f t="shared" ca="1" si="27"/>
        <v>0</v>
      </c>
      <c r="CN61" s="165">
        <f t="shared" ca="1" si="27"/>
        <v>0</v>
      </c>
      <c r="CO61" s="165">
        <f t="shared" ca="1" si="27"/>
        <v>0</v>
      </c>
      <c r="CP61" s="165">
        <f t="shared" ca="1" si="27"/>
        <v>7.6923076923077222E-3</v>
      </c>
      <c r="CQ61" s="165">
        <f t="shared" ca="1" si="27"/>
        <v>0</v>
      </c>
      <c r="CR61" s="247">
        <f t="shared" ca="1" si="27"/>
        <v>0</v>
      </c>
      <c r="CS61" s="247">
        <f t="shared" ca="1" si="27"/>
        <v>0</v>
      </c>
      <c r="CT61" s="247">
        <f t="shared" ca="1" si="27"/>
        <v>0</v>
      </c>
      <c r="CU61" s="247">
        <f t="shared" ca="1" si="27"/>
        <v>0</v>
      </c>
      <c r="CV61" s="247">
        <f t="shared" ca="1" si="27"/>
        <v>0</v>
      </c>
      <c r="CW61" s="247">
        <f t="shared" ca="1" si="27"/>
        <v>0</v>
      </c>
      <c r="CX61" s="247">
        <f t="shared" ca="1" si="27"/>
        <v>0</v>
      </c>
      <c r="CY61" s="247">
        <f t="shared" ca="1" si="27"/>
        <v>0</v>
      </c>
      <c r="CZ61" s="247">
        <f t="shared" ca="1" si="27"/>
        <v>0</v>
      </c>
      <c r="DA61" s="247">
        <f t="shared" ca="1" si="27"/>
        <v>0</v>
      </c>
      <c r="DB61" s="247">
        <f t="shared" ca="1" si="27"/>
        <v>0</v>
      </c>
    </row>
    <row r="62" spans="3:106" x14ac:dyDescent="0.3">
      <c r="C62" s="165" t="str">
        <f t="shared" si="12"/>
        <v>6. Overall perceptions:Compared to last month what is your view of: - Information sharing in your industry or region</v>
      </c>
      <c r="D62" s="165" t="str">
        <f t="shared" si="13"/>
        <v>Overall: Information sharing</v>
      </c>
      <c r="F62" s="165">
        <f t="shared" si="14"/>
        <v>-5.1056338028169043E-2</v>
      </c>
      <c r="G62" s="165">
        <f t="shared" si="28"/>
        <v>-2.9642857142857165E-2</v>
      </c>
      <c r="H62" s="165">
        <f t="shared" si="28"/>
        <v>-3.8257575757575726E-2</v>
      </c>
      <c r="I62" s="165">
        <f t="shared" si="28"/>
        <v>-2.3728813559321982E-2</v>
      </c>
      <c r="J62" s="165">
        <f t="shared" si="28"/>
        <v>-2.5819672131147536E-2</v>
      </c>
      <c r="K62" s="165">
        <f t="shared" si="28"/>
        <v>-2.6818181818181804E-2</v>
      </c>
      <c r="L62" s="165">
        <f t="shared" si="28"/>
        <v>-1.6791044776119549E-2</v>
      </c>
      <c r="M62" s="165">
        <f t="shared" si="28"/>
        <v>-1.4732142857142862E-2</v>
      </c>
      <c r="N62" s="165">
        <f t="shared" si="28"/>
        <v>-6.2499999999999171E-3</v>
      </c>
      <c r="O62" s="165">
        <f t="shared" si="28"/>
        <v>-1.9672131147541003E-2</v>
      </c>
      <c r="P62" s="165">
        <f t="shared" si="28"/>
        <v>-2.068965517241381E-2</v>
      </c>
      <c r="Q62" s="165">
        <f t="shared" si="28"/>
        <v>-1.6363636363636389E-2</v>
      </c>
      <c r="R62" s="165">
        <f t="shared" si="28"/>
        <v>-2.2348484848484895E-2</v>
      </c>
      <c r="S62" s="165">
        <f t="shared" si="28"/>
        <v>-1.5948275862068973E-2</v>
      </c>
      <c r="T62" s="165">
        <f t="shared" si="28"/>
        <v>-2.1370967741935337E-2</v>
      </c>
      <c r="U62" s="165">
        <f t="shared" si="28"/>
        <v>-2.9716981132075465E-2</v>
      </c>
      <c r="V62" s="165">
        <f t="shared" si="28"/>
        <v>-1.6826923076923118E-2</v>
      </c>
      <c r="W62" s="165">
        <f t="shared" si="28"/>
        <v>-1.8478260869565249E-2</v>
      </c>
      <c r="X62" s="165">
        <f t="shared" si="28"/>
        <v>-3.9062500000000111E-2</v>
      </c>
      <c r="Y62" s="165">
        <f t="shared" si="28"/>
        <v>-2.2916666666666682E-2</v>
      </c>
      <c r="Z62" s="165">
        <f t="shared" si="28"/>
        <v>-1.8644067796610146E-2</v>
      </c>
      <c r="AA62" s="165">
        <f t="shared" ref="G62:DB63" si="29">IFERROR(LN(AA29/Z29),0)</f>
        <v>-2.5675675675675521E-2</v>
      </c>
      <c r="AB62" s="165">
        <f t="shared" si="29"/>
        <v>-2.068965517241381E-2</v>
      </c>
      <c r="AC62" s="165">
        <f t="shared" si="29"/>
        <v>-3.9015151515151628E-2</v>
      </c>
      <c r="AD62" s="165">
        <f t="shared" si="29"/>
        <v>-2.6315789473684202E-2</v>
      </c>
      <c r="AE62" s="165">
        <f t="shared" si="29"/>
        <v>-2.1938775510203994E-2</v>
      </c>
      <c r="AF62" s="165">
        <f t="shared" si="29"/>
        <v>0</v>
      </c>
      <c r="AG62" s="165">
        <f t="shared" si="29"/>
        <v>0</v>
      </c>
      <c r="AH62" s="165">
        <f t="shared" si="29"/>
        <v>0</v>
      </c>
      <c r="AI62" s="165">
        <f t="shared" si="29"/>
        <v>0</v>
      </c>
      <c r="AJ62" s="165">
        <f t="shared" si="29"/>
        <v>0</v>
      </c>
      <c r="AK62" s="165">
        <f t="shared" si="29"/>
        <v>0</v>
      </c>
      <c r="AL62" s="165">
        <f t="shared" si="29"/>
        <v>0</v>
      </c>
      <c r="AM62" s="165">
        <f t="shared" si="29"/>
        <v>0</v>
      </c>
      <c r="AN62" s="165">
        <f t="shared" si="29"/>
        <v>0</v>
      </c>
      <c r="AO62" s="165">
        <f t="shared" si="29"/>
        <v>0</v>
      </c>
      <c r="AP62" s="165">
        <f t="shared" si="29"/>
        <v>0</v>
      </c>
      <c r="AQ62" s="165">
        <f t="shared" si="29"/>
        <v>0</v>
      </c>
      <c r="AR62" s="165">
        <f t="shared" si="29"/>
        <v>0</v>
      </c>
      <c r="AS62" s="165">
        <f t="shared" si="29"/>
        <v>0</v>
      </c>
      <c r="AT62" s="165">
        <f t="shared" si="29"/>
        <v>0</v>
      </c>
      <c r="AU62" s="165">
        <f t="shared" si="29"/>
        <v>0</v>
      </c>
      <c r="AV62" s="165">
        <f t="shared" si="29"/>
        <v>0</v>
      </c>
      <c r="AW62" s="165">
        <f t="shared" si="29"/>
        <v>0</v>
      </c>
      <c r="AX62" s="165">
        <f t="shared" si="29"/>
        <v>0</v>
      </c>
      <c r="AY62" s="165">
        <f t="shared" si="29"/>
        <v>0</v>
      </c>
      <c r="AZ62" s="165">
        <f t="shared" si="29"/>
        <v>0</v>
      </c>
      <c r="BA62" s="165">
        <f t="shared" si="29"/>
        <v>0</v>
      </c>
      <c r="BB62" s="165">
        <f t="shared" si="29"/>
        <v>0</v>
      </c>
      <c r="BC62" s="165">
        <f t="shared" si="29"/>
        <v>0</v>
      </c>
      <c r="BD62" s="165">
        <f t="shared" si="29"/>
        <v>0</v>
      </c>
      <c r="BE62" s="165">
        <f t="shared" si="29"/>
        <v>0</v>
      </c>
      <c r="BF62" s="165">
        <f t="shared" si="29"/>
        <v>0</v>
      </c>
      <c r="BG62" s="165">
        <f t="shared" si="29"/>
        <v>0</v>
      </c>
      <c r="BH62" s="165">
        <f t="shared" si="29"/>
        <v>0</v>
      </c>
      <c r="BI62" s="165">
        <f t="shared" si="29"/>
        <v>0</v>
      </c>
      <c r="BJ62" s="165">
        <f t="shared" si="29"/>
        <v>0</v>
      </c>
      <c r="BK62" s="165">
        <f t="shared" si="29"/>
        <v>0</v>
      </c>
      <c r="BL62" s="165">
        <f t="shared" si="29"/>
        <v>0</v>
      </c>
      <c r="BM62" s="165">
        <f t="shared" si="29"/>
        <v>0</v>
      </c>
      <c r="BN62" s="165">
        <f t="shared" si="29"/>
        <v>0</v>
      </c>
      <c r="BO62" s="165">
        <f t="shared" si="29"/>
        <v>0</v>
      </c>
      <c r="BP62" s="165">
        <f t="shared" si="29"/>
        <v>0</v>
      </c>
      <c r="BQ62" s="165">
        <f t="shared" si="29"/>
        <v>0</v>
      </c>
      <c r="BR62" s="165">
        <f t="shared" si="29"/>
        <v>0</v>
      </c>
      <c r="BS62" s="165">
        <f t="shared" si="29"/>
        <v>0</v>
      </c>
      <c r="BT62" s="165">
        <f t="shared" si="29"/>
        <v>0</v>
      </c>
      <c r="BU62" s="165">
        <f t="shared" si="29"/>
        <v>0</v>
      </c>
      <c r="BV62" s="165">
        <f t="shared" si="29"/>
        <v>0</v>
      </c>
      <c r="BW62" s="165">
        <f t="shared" si="29"/>
        <v>0</v>
      </c>
      <c r="BX62" s="165">
        <f t="shared" si="29"/>
        <v>0</v>
      </c>
      <c r="BY62" s="165">
        <f t="shared" si="29"/>
        <v>0</v>
      </c>
      <c r="BZ62" s="165">
        <f t="shared" si="29"/>
        <v>0</v>
      </c>
      <c r="CA62" s="165">
        <f t="shared" si="29"/>
        <v>0</v>
      </c>
      <c r="CB62" s="165">
        <f t="shared" si="29"/>
        <v>0</v>
      </c>
      <c r="CC62" s="165">
        <f t="shared" si="29"/>
        <v>0</v>
      </c>
      <c r="CD62" s="165">
        <f t="shared" si="29"/>
        <v>0</v>
      </c>
      <c r="CE62" s="165">
        <f t="shared" si="29"/>
        <v>0</v>
      </c>
      <c r="CF62" s="165">
        <f t="shared" si="29"/>
        <v>0</v>
      </c>
      <c r="CG62" s="165">
        <f t="shared" si="29"/>
        <v>0</v>
      </c>
      <c r="CH62" s="165">
        <f t="shared" si="29"/>
        <v>0</v>
      </c>
      <c r="CI62" s="165">
        <f t="shared" si="29"/>
        <v>0</v>
      </c>
      <c r="CJ62" s="165">
        <f t="shared" si="29"/>
        <v>0</v>
      </c>
      <c r="CK62" s="165">
        <f t="shared" si="29"/>
        <v>0</v>
      </c>
      <c r="CL62" s="165">
        <f t="shared" si="29"/>
        <v>0</v>
      </c>
      <c r="CM62" s="165">
        <f t="shared" si="29"/>
        <v>0</v>
      </c>
      <c r="CN62" s="165">
        <f t="shared" si="29"/>
        <v>0</v>
      </c>
      <c r="CO62" s="165">
        <f t="shared" si="29"/>
        <v>0</v>
      </c>
      <c r="CP62" s="165">
        <f t="shared" si="29"/>
        <v>0</v>
      </c>
      <c r="CQ62" s="165">
        <f t="shared" si="29"/>
        <v>0</v>
      </c>
      <c r="CR62" s="247">
        <f t="shared" si="29"/>
        <v>0</v>
      </c>
      <c r="CS62" s="247">
        <f t="shared" si="29"/>
        <v>0</v>
      </c>
      <c r="CT62" s="247">
        <f t="shared" si="29"/>
        <v>0</v>
      </c>
      <c r="CU62" s="247">
        <f t="shared" si="29"/>
        <v>0</v>
      </c>
      <c r="CV62" s="247">
        <f t="shared" si="29"/>
        <v>0</v>
      </c>
      <c r="CW62" s="247">
        <f t="shared" si="29"/>
        <v>0</v>
      </c>
      <c r="CX62" s="247">
        <f t="shared" si="29"/>
        <v>0</v>
      </c>
      <c r="CY62" s="247">
        <f t="shared" si="29"/>
        <v>0</v>
      </c>
      <c r="CZ62" s="247">
        <f t="shared" si="29"/>
        <v>0.69314718055994529</v>
      </c>
      <c r="DA62" s="247">
        <f t="shared" si="29"/>
        <v>0.40546510810816438</v>
      </c>
      <c r="DB62" s="247">
        <f t="shared" si="29"/>
        <v>0.28768207245178085</v>
      </c>
    </row>
    <row r="63" spans="3:106" x14ac:dyDescent="0.3">
      <c r="C63" s="165" t="str">
        <f t="shared" si="12"/>
        <v>Total Index</v>
      </c>
      <c r="D63" s="165" t="str">
        <f t="shared" si="13"/>
        <v>Total Index</v>
      </c>
      <c r="F63" s="165">
        <f t="shared" si="14"/>
        <v>2.1370025736192545E-2</v>
      </c>
      <c r="G63" s="165">
        <f t="shared" si="29"/>
        <v>2.0922886454059007E-2</v>
      </c>
      <c r="H63" s="165">
        <f t="shared" si="29"/>
        <v>2.4898337350071732E-2</v>
      </c>
      <c r="I63" s="165">
        <f t="shared" si="29"/>
        <v>1.8527625862214174E-2</v>
      </c>
      <c r="J63" s="165">
        <f t="shared" si="29"/>
        <v>1.801031035993924E-2</v>
      </c>
      <c r="K63" s="165">
        <f t="shared" si="29"/>
        <v>2.0433456857945627E-2</v>
      </c>
      <c r="L63" s="165">
        <f t="shared" si="29"/>
        <v>1.8291325174510958E-2</v>
      </c>
      <c r="M63" s="165">
        <f t="shared" si="29"/>
        <v>1.1810991216495908E-2</v>
      </c>
      <c r="N63" s="165">
        <f t="shared" si="29"/>
        <v>2.1582366288605565E-2</v>
      </c>
      <c r="O63" s="165">
        <f t="shared" si="29"/>
        <v>2.0323315118397165E-2</v>
      </c>
      <c r="P63" s="165">
        <f t="shared" si="29"/>
        <v>2.0239463601532497E-2</v>
      </c>
      <c r="Q63" s="165">
        <f t="shared" si="29"/>
        <v>1.7742424242424226E-2</v>
      </c>
      <c r="R63" s="165">
        <f t="shared" si="29"/>
        <v>2.2003367003366942E-2</v>
      </c>
      <c r="S63" s="165">
        <f t="shared" si="29"/>
        <v>2.2212981212482101E-2</v>
      </c>
      <c r="T63" s="165">
        <f t="shared" si="29"/>
        <v>2.8360215053763543E-2</v>
      </c>
      <c r="U63" s="165">
        <f t="shared" si="29"/>
        <v>2.1678459119496805E-2</v>
      </c>
      <c r="V63" s="165">
        <f t="shared" si="29"/>
        <v>1.8629807692307765E-2</v>
      </c>
      <c r="W63" s="165">
        <f t="shared" si="29"/>
        <v>2.6743659420289955E-2</v>
      </c>
      <c r="X63" s="165">
        <f t="shared" si="29"/>
        <v>3.0208333333333372E-2</v>
      </c>
      <c r="Y63" s="165">
        <f t="shared" si="29"/>
        <v>1.7773437500000024E-2</v>
      </c>
      <c r="Z63" s="165">
        <f t="shared" si="29"/>
        <v>2.6430084745762691E-2</v>
      </c>
      <c r="AA63" s="165">
        <f t="shared" si="29"/>
        <v>2.1283783783783788E-2</v>
      </c>
      <c r="AB63" s="165">
        <f t="shared" si="29"/>
        <v>3.0118534482758551E-2</v>
      </c>
      <c r="AC63" s="165">
        <f t="shared" si="29"/>
        <v>2.392676767676765E-2</v>
      </c>
      <c r="AD63" s="165">
        <f t="shared" si="29"/>
        <v>1.7891081871344978E-2</v>
      </c>
      <c r="AE63" s="165">
        <f t="shared" si="29"/>
        <v>1.60714285714285E-2</v>
      </c>
      <c r="AF63" s="165">
        <f t="shared" si="29"/>
        <v>1.5755102040816257E-2</v>
      </c>
      <c r="AG63" s="165">
        <f t="shared" si="29"/>
        <v>1.4685714285714295E-2</v>
      </c>
      <c r="AH63" s="165">
        <f t="shared" si="29"/>
        <v>1.901886792452822E-2</v>
      </c>
      <c r="AI63" s="165">
        <f t="shared" si="29"/>
        <v>1.5666666666666627E-2</v>
      </c>
      <c r="AJ63" s="165">
        <f t="shared" si="29"/>
        <v>1.8102040816326631E-2</v>
      </c>
      <c r="AK63" s="165">
        <f t="shared" si="29"/>
        <v>1.3155555555555446E-2</v>
      </c>
      <c r="AL63" s="165">
        <f t="shared" si="29"/>
        <v>2.223076923076912E-2</v>
      </c>
      <c r="AM63" s="165">
        <f t="shared" si="29"/>
        <v>2.0791666666666642E-2</v>
      </c>
      <c r="AN63" s="165">
        <f t="shared" si="29"/>
        <v>1.8325581395348744E-2</v>
      </c>
      <c r="AO63" s="165">
        <f t="shared" si="29"/>
        <v>1.7146341463414705E-2</v>
      </c>
      <c r="AP63" s="165">
        <f t="shared" si="29"/>
        <v>2.816279069767447E-2</v>
      </c>
      <c r="AQ63" s="165">
        <f t="shared" si="29"/>
        <v>1.5500000000000069E-2</v>
      </c>
      <c r="AR63" s="165">
        <f t="shared" si="29"/>
        <v>1.1292682926829214E-2</v>
      </c>
      <c r="AS63" s="165">
        <f t="shared" si="29"/>
        <v>1.1199999999999989E-2</v>
      </c>
      <c r="AT63" s="165">
        <f t="shared" si="29"/>
        <v>1.9190476190476091E-2</v>
      </c>
      <c r="AU63" s="165">
        <f t="shared" si="29"/>
        <v>3.0071428571428541E-2</v>
      </c>
      <c r="AV63" s="165">
        <f t="shared" si="29"/>
        <v>2.5588235294117658E-2</v>
      </c>
      <c r="AW63" s="165">
        <f t="shared" si="29"/>
        <v>2.1236842105263162E-2</v>
      </c>
      <c r="AX63" s="165">
        <f t="shared" si="29"/>
        <v>2.6999999999999989E-2</v>
      </c>
      <c r="AY63" s="165">
        <f t="shared" si="29"/>
        <v>1.6749999999999918E-2</v>
      </c>
      <c r="AZ63" s="165">
        <f t="shared" si="29"/>
        <v>1.8736842105263177E-2</v>
      </c>
      <c r="BA63" s="165">
        <f t="shared" si="29"/>
        <v>1.5824999999999895E-2</v>
      </c>
      <c r="BB63" s="165">
        <f t="shared" si="29"/>
        <v>1.0710526315789514E-2</v>
      </c>
      <c r="BC63" s="165">
        <f t="shared" si="29"/>
        <v>1.5975609756097471E-2</v>
      </c>
      <c r="BD63" s="165">
        <f t="shared" si="29"/>
        <v>1.7024390243902513E-2</v>
      </c>
      <c r="BE63" s="165">
        <f t="shared" si="29"/>
        <v>1.9162162162162238E-2</v>
      </c>
      <c r="BF63" s="165">
        <f t="shared" si="29"/>
        <v>1.7382352941176557E-2</v>
      </c>
      <c r="BG63" s="165">
        <f t="shared" si="29"/>
        <v>7.2777777777778127E-3</v>
      </c>
      <c r="BH63" s="165">
        <f t="shared" si="29"/>
        <v>1.4657894736842068E-2</v>
      </c>
      <c r="BI63" s="165">
        <f t="shared" si="29"/>
        <v>1.5592592592592672E-2</v>
      </c>
      <c r="BJ63" s="165">
        <f t="shared" si="29"/>
        <v>1.2966666666666599E-2</v>
      </c>
      <c r="BK63" s="165">
        <f t="shared" si="29"/>
        <v>1.0235294117647111E-2</v>
      </c>
      <c r="BL63" s="165">
        <f t="shared" si="29"/>
        <v>1.0405405405405457E-2</v>
      </c>
      <c r="BM63" s="165">
        <f t="shared" ca="1" si="29"/>
        <v>-0.16977754636917786</v>
      </c>
      <c r="BN63" s="165">
        <f t="shared" ca="1" si="29"/>
        <v>3.6571428571428215E-3</v>
      </c>
      <c r="BO63" s="165">
        <f t="shared" ca="1" si="29"/>
        <v>2.0645161290323405E-3</v>
      </c>
      <c r="BP63" s="165">
        <f t="shared" ca="1" si="29"/>
        <v>4.9655172413793367E-3</v>
      </c>
      <c r="BQ63" s="165">
        <f t="shared" ca="1" si="29"/>
        <v>6.6206896551724674E-3</v>
      </c>
      <c r="BR63" s="165">
        <f t="shared" ca="1" si="29"/>
        <v>1.9393939393939253E-3</v>
      </c>
      <c r="BS63" s="165">
        <f t="shared" ca="1" si="29"/>
        <v>2.4242424242424242E-3</v>
      </c>
      <c r="BT63" s="165">
        <f t="shared" ca="1" si="29"/>
        <v>7.2500000000000021E-3</v>
      </c>
      <c r="BU63" s="165">
        <f t="shared" ca="1" si="29"/>
        <v>2.3529411764704948E-3</v>
      </c>
      <c r="BV63" s="165">
        <f t="shared" ca="1" si="29"/>
        <v>0</v>
      </c>
      <c r="BW63" s="165">
        <f t="shared" ca="1" si="29"/>
        <v>3.6129032258063625E-3</v>
      </c>
      <c r="BX63" s="165">
        <f t="shared" ca="1" si="29"/>
        <v>-2.580645161289831E-4</v>
      </c>
      <c r="BY63" s="165">
        <f t="shared" ca="1" si="29"/>
        <v>-4.5333333333333527E-3</v>
      </c>
      <c r="BZ63" s="165">
        <f t="shared" ca="1" si="29"/>
        <v>1.0322580645160931E-3</v>
      </c>
      <c r="CA63" s="165">
        <f t="shared" ca="1" si="29"/>
        <v>5.4193548387097253E-3</v>
      </c>
      <c r="CB63" s="165">
        <f t="shared" ca="1" si="29"/>
        <v>1.0666666666667021E-3</v>
      </c>
      <c r="CC63" s="165">
        <f t="shared" ca="1" si="29"/>
        <v>3.3846153846154086E-3</v>
      </c>
      <c r="CD63" s="165">
        <f t="shared" ca="1" si="29"/>
        <v>2.3529411764708884E-4</v>
      </c>
      <c r="CE63" s="165">
        <f t="shared" ca="1" si="29"/>
        <v>-5.7777777777777983E-3</v>
      </c>
      <c r="CF63" s="165">
        <f t="shared" ca="1" si="29"/>
        <v>5.714285714285654E-4</v>
      </c>
      <c r="CG63" s="165">
        <f t="shared" ca="1" si="29"/>
        <v>3.8620689655171343E-3</v>
      </c>
      <c r="CH63" s="165">
        <f t="shared" ca="1" si="29"/>
        <v>-1.2307692307692054E-3</v>
      </c>
      <c r="CI63" s="165">
        <f t="shared" ca="1" si="29"/>
        <v>5.714285714285654E-4</v>
      </c>
      <c r="CJ63" s="165">
        <f t="shared" ca="1" si="29"/>
        <v>6.4000000000009774E-4</v>
      </c>
      <c r="CK63" s="165">
        <f t="shared" ca="1" si="29"/>
        <v>2.666666666666585E-3</v>
      </c>
      <c r="CL63" s="165">
        <f t="shared" ca="1" si="29"/>
        <v>6.181818181818185E-3</v>
      </c>
      <c r="CM63" s="165">
        <f t="shared" ca="1" si="29"/>
        <v>5.2413793103447204E-3</v>
      </c>
      <c r="CN63" s="165">
        <f t="shared" ca="1" si="29"/>
        <v>3.3333333333338254E-4</v>
      </c>
      <c r="CO63" s="165">
        <f t="shared" ca="1" si="29"/>
        <v>2.5599999999999204E-3</v>
      </c>
      <c r="CP63" s="165">
        <f t="shared" ca="1" si="29"/>
        <v>-3.0769230769229149E-4</v>
      </c>
      <c r="CQ63" s="165">
        <f t="shared" ca="1" si="29"/>
        <v>4.1739130434781989E-3</v>
      </c>
      <c r="CR63" s="247">
        <f t="shared" ca="1" si="29"/>
        <v>3.1111111111110589E-3</v>
      </c>
      <c r="CS63" s="247">
        <f t="shared" ca="1" si="29"/>
        <v>1.3333333333334415E-3</v>
      </c>
      <c r="CT63" s="247">
        <f t="shared" ca="1" si="29"/>
        <v>6.9565217391311899E-4</v>
      </c>
      <c r="CU63" s="247">
        <f t="shared" ca="1" si="29"/>
        <v>3.2000000000000852E-3</v>
      </c>
      <c r="CV63" s="247">
        <f t="shared" ca="1" si="29"/>
        <v>-4.9523809523809208E-3</v>
      </c>
      <c r="CW63" s="247">
        <f t="shared" ca="1" si="29"/>
        <v>-3.428571428571526E-3</v>
      </c>
      <c r="CX63" s="247">
        <f t="shared" ca="1" si="29"/>
        <v>2.666666666666585E-3</v>
      </c>
      <c r="CY63" s="247">
        <f t="shared" ca="1" si="29"/>
        <v>-1.5384615384613873E-3</v>
      </c>
      <c r="CZ63" s="247">
        <f t="shared" ca="1" si="29"/>
        <v>1.2121212121212911E-3</v>
      </c>
      <c r="DA63" s="247">
        <f t="shared" ca="1" si="29"/>
        <v>-3.1428571428571217E-3</v>
      </c>
      <c r="DB63" s="247">
        <f t="shared" ca="1" si="29"/>
        <v>-1.0666666666667845E-3</v>
      </c>
    </row>
    <row r="64" spans="3:106" x14ac:dyDescent="0.3">
      <c r="G64" s="210"/>
      <c r="CR64" s="247"/>
      <c r="CS64" s="247"/>
      <c r="CT64" s="247"/>
    </row>
    <row r="65" spans="1:98" x14ac:dyDescent="0.3">
      <c r="G65" s="210"/>
      <c r="CT65" s="247"/>
    </row>
    <row r="66" spans="1:98" x14ac:dyDescent="0.3">
      <c r="G66" s="210"/>
      <c r="CT66" s="247"/>
    </row>
    <row r="67" spans="1:98" x14ac:dyDescent="0.3">
      <c r="A67" s="171" t="s">
        <v>1242</v>
      </c>
      <c r="O67" s="213">
        <f>Index_CALCULATION!C50</f>
        <v>42246</v>
      </c>
      <c r="P67" s="214">
        <f>MATCH(O67,3:3)-1</f>
        <v>105</v>
      </c>
      <c r="Q67" s="215" t="s">
        <v>1241</v>
      </c>
      <c r="CT67" s="247"/>
    </row>
    <row r="68" spans="1:98" ht="38.25" customHeight="1" x14ac:dyDescent="0.3">
      <c r="A68" s="211" t="s">
        <v>1230</v>
      </c>
      <c r="B68" s="211" t="s">
        <v>1229</v>
      </c>
      <c r="C68" s="211" t="s">
        <v>1240</v>
      </c>
      <c r="D68" s="211"/>
      <c r="E68" s="212" t="s">
        <v>1228</v>
      </c>
      <c r="F68" s="212" t="s">
        <v>1231</v>
      </c>
      <c r="G68" s="212" t="s">
        <v>1232</v>
      </c>
      <c r="H68" s="212" t="s">
        <v>1233</v>
      </c>
      <c r="I68" s="212" t="s">
        <v>1234</v>
      </c>
      <c r="J68" s="212" t="s">
        <v>1235</v>
      </c>
      <c r="K68" s="212" t="s">
        <v>1236</v>
      </c>
      <c r="M68" s="212" t="s">
        <v>82</v>
      </c>
      <c r="N68" s="212" t="s">
        <v>1239</v>
      </c>
      <c r="O68" s="212" t="s">
        <v>1237</v>
      </c>
      <c r="P68" s="212" t="s">
        <v>1238</v>
      </c>
      <c r="Q68" s="212" t="s">
        <v>1427</v>
      </c>
      <c r="R68" s="212" t="s">
        <v>1428</v>
      </c>
      <c r="T68" s="212" t="s">
        <v>1245</v>
      </c>
      <c r="CT68" s="247"/>
    </row>
    <row r="69" spans="1:98" x14ac:dyDescent="0.3">
      <c r="A69" s="165">
        <v>0</v>
      </c>
      <c r="B69" s="165">
        <f>COLUMN(E4)-COLUMN(C4)</f>
        <v>2</v>
      </c>
      <c r="C69" s="165">
        <f>$P$67 -2 - B69</f>
        <v>101</v>
      </c>
      <c r="D69" s="165" t="str">
        <f t="shared" ref="D69:D95" si="30">D4</f>
        <v>Attackers: Insider threat</v>
      </c>
      <c r="E69" s="165">
        <f ca="1">CORREL(OFFSET($D$37,A69,B69,1,C69),OFFSET($D$37,26,B69,1,C69))</f>
        <v>0.87124191962199027</v>
      </c>
      <c r="F69" s="165">
        <f ca="1">_xlfn.STDEV.P(OFFSET($D$37,A69,B69,1,C69))</f>
        <v>1.5368829478566631E-2</v>
      </c>
      <c r="G69" s="165">
        <f ca="1">_xlfn.STDEV.P(OFFSET($D$37,26,B69,1,C69))</f>
        <v>2.0433537905753904E-2</v>
      </c>
      <c r="H69" s="165">
        <f ca="1">_xlfn.COVARIANCE.P(OFFSET($D$37,A69,B69,1,C69),OFFSET($D$37,26,B69,1,C69))</f>
        <v>2.7360442884539674E-4</v>
      </c>
      <c r="I69" s="165">
        <f ca="1">SLOPE(OFFSET($D$37,A69,B69,1,C69),OFFSET($D$37,26,B69,1,C69))</f>
        <v>0.65529369211579114</v>
      </c>
      <c r="J69" s="165">
        <f ca="1">H69/(G69^2)</f>
        <v>0.65529369211579003</v>
      </c>
      <c r="K69" s="165">
        <f ca="1">E69*F69/G69</f>
        <v>0.65529369211579003</v>
      </c>
      <c r="L69" s="165" t="str">
        <f ca="1">IF(OR(I69-J69&gt;0.0001,K69-J69&gt;0.0001),"Check beta","")</f>
        <v/>
      </c>
      <c r="M69" s="165">
        <f t="shared" ref="M69:M93" ca="1" si="31">_xlfn.RANK.EQ(R69,$R$69:$R$93)</f>
        <v>2</v>
      </c>
      <c r="N69" s="165" t="str">
        <f>D69</f>
        <v>Attackers: Insider threat</v>
      </c>
      <c r="O69" s="119">
        <f t="shared" ref="O69:O93" ca="1" si="32">OFFSET($A$63,0,$P$67)</f>
        <v>-1.0666666666667845E-3</v>
      </c>
      <c r="P69" s="119">
        <f t="shared" ref="P69:P93" ca="1" si="33">VLOOKUP($D69,$D$37:$EL$63,$P$67-2,0)</f>
        <v>1.3333333333333273E-2</v>
      </c>
      <c r="Q69" s="119">
        <f t="shared" ref="Q69:Q93" ca="1" si="34">O69*K69</f>
        <v>-6.9897993825691993E-4</v>
      </c>
      <c r="R69" s="119">
        <f ca="1">P69-Q69</f>
        <v>1.4032313271590194E-2</v>
      </c>
      <c r="T69" s="218">
        <f ca="1">INTERCEPT(OFFSET($D$37,A69,B69,1,C69),OFFSET($D$37,26,B69,1,C69))</f>
        <v>1.7150333684733841E-3</v>
      </c>
      <c r="CT69" s="247"/>
    </row>
    <row r="70" spans="1:98" x14ac:dyDescent="0.3">
      <c r="A70" s="165">
        <v>1</v>
      </c>
      <c r="B70" s="165">
        <f>COLUMN(E5)-COLUMN(C4)</f>
        <v>2</v>
      </c>
      <c r="C70" s="165">
        <f t="shared" ref="C70:C95" si="35">$P$67 -2 - B70</f>
        <v>101</v>
      </c>
      <c r="D70" s="165" t="str">
        <f t="shared" si="30"/>
        <v>Attackers: Strategic rivals</v>
      </c>
      <c r="E70" s="165">
        <f t="shared" ref="E70:E95" ca="1" si="36">CORREL(OFFSET($D$37,A70,B70,1,C70),OFFSET($D$37,26,B70,1,C70))</f>
        <v>0.78307812209955785</v>
      </c>
      <c r="F70" s="165">
        <f t="shared" ref="F70:F95" ca="1" si="37">_xlfn.STDEV.P(OFFSET($D$37,A70,B70,1,C70))</f>
        <v>1.3297868831769881E-2</v>
      </c>
      <c r="G70" s="165">
        <f t="shared" ref="G70:G95" ca="1" si="38">_xlfn.STDEV.P(OFFSET($D$37,26,B70,1,C70))</f>
        <v>2.0433537905753904E-2</v>
      </c>
      <c r="H70" s="165">
        <f t="shared" ref="H70:H95" ca="1" si="39">_xlfn.COVARIANCE.P(OFFSET($D$37,A70,B70,1,C70),OFFSET($D$37,26,B70,1,C70))</f>
        <v>2.1277995038822682E-4</v>
      </c>
      <c r="I70" s="165">
        <f t="shared" ref="I70:I95" ca="1" si="40">SLOPE(OFFSET($D$37,A70,B70,1,C70),OFFSET($D$37,26,B70,1,C70))</f>
        <v>0.50961660191876645</v>
      </c>
      <c r="J70" s="165">
        <f t="shared" ref="J70:J95" ca="1" si="41">H70/(G70^2)</f>
        <v>0.50961660191876568</v>
      </c>
      <c r="K70" s="165">
        <f t="shared" ref="K70:K95" ca="1" si="42">E70*F70/G70</f>
        <v>0.5096166019187659</v>
      </c>
      <c r="L70" s="165" t="str">
        <f t="shared" ref="L70:L95" ca="1" si="43">IF(OR(I70-J70&gt;0.0001,K70-J70&gt;0.0001),"Check beta","")</f>
        <v/>
      </c>
      <c r="M70" s="165">
        <f t="shared" ca="1" si="31"/>
        <v>22</v>
      </c>
      <c r="N70" s="165" t="str">
        <f t="shared" ref="N70:N93" si="44">D70</f>
        <v>Attackers: Strategic rivals</v>
      </c>
      <c r="O70" s="119">
        <f t="shared" ca="1" si="32"/>
        <v>-1.0666666666667845E-3</v>
      </c>
      <c r="P70" s="119">
        <f t="shared" ca="1" si="33"/>
        <v>-6.6666666666666445E-3</v>
      </c>
      <c r="Q70" s="119">
        <f t="shared" ca="1" si="34"/>
        <v>-5.4359104204674364E-4</v>
      </c>
      <c r="R70" s="119">
        <f t="shared" ref="R70:R95" ca="1" si="45">P70-Q70</f>
        <v>-6.1230756246199013E-3</v>
      </c>
      <c r="T70" s="218">
        <f t="shared" ref="T70:T93" ca="1" si="46">INTERCEPT(OFFSET($D$37,A70,B70,1,C70),OFFSET($D$37,26,B70,1,C70))</f>
        <v>1.6458334960402282E-3</v>
      </c>
      <c r="CT70" s="247"/>
    </row>
    <row r="71" spans="1:98" x14ac:dyDescent="0.3">
      <c r="A71" s="165">
        <v>2</v>
      </c>
      <c r="B71" s="165">
        <f>COLUMN(E6) - COLUMN(C4)</f>
        <v>2</v>
      </c>
      <c r="C71" s="165">
        <f t="shared" si="35"/>
        <v>101</v>
      </c>
      <c r="D71" s="165" t="str">
        <f t="shared" si="30"/>
        <v>Attackers: Activist/hacktivists</v>
      </c>
      <c r="E71" s="165">
        <f t="shared" ca="1" si="36"/>
        <v>0.87716806202756903</v>
      </c>
      <c r="F71" s="165">
        <f t="shared" ca="1" si="37"/>
        <v>2.2296110155157197E-2</v>
      </c>
      <c r="G71" s="165">
        <f t="shared" ca="1" si="38"/>
        <v>2.0433537905753904E-2</v>
      </c>
      <c r="H71" s="165">
        <f t="shared" ca="1" si="39"/>
        <v>3.996276044417563E-4</v>
      </c>
      <c r="I71" s="165">
        <f t="shared" ca="1" si="40"/>
        <v>0.95712430347391031</v>
      </c>
      <c r="J71" s="165">
        <f t="shared" ca="1" si="41"/>
        <v>0.95712430347390876</v>
      </c>
      <c r="K71" s="165">
        <f t="shared" ca="1" si="42"/>
        <v>0.95712430347390987</v>
      </c>
      <c r="L71" s="165" t="str">
        <f t="shared" ca="1" si="43"/>
        <v/>
      </c>
      <c r="M71" s="165">
        <f t="shared" ca="1" si="31"/>
        <v>19</v>
      </c>
      <c r="N71" s="165" t="str">
        <f t="shared" si="44"/>
        <v>Attackers: Activist/hacktivists</v>
      </c>
      <c r="O71" s="119">
        <f t="shared" ca="1" si="32"/>
        <v>-1.0666666666667845E-3</v>
      </c>
      <c r="P71" s="119">
        <f t="shared" ca="1" si="33"/>
        <v>-6.6666666666665327E-3</v>
      </c>
      <c r="Q71" s="119">
        <f t="shared" ca="1" si="34"/>
        <v>-1.0209325903722832E-3</v>
      </c>
      <c r="R71" s="119">
        <f t="shared" ca="1" si="45"/>
        <v>-5.6457340762942499E-3</v>
      </c>
      <c r="T71" s="218">
        <f t="shared" ca="1" si="46"/>
        <v>-5.2274916180918354E-4</v>
      </c>
      <c r="CT71" s="247"/>
    </row>
    <row r="72" spans="1:98" x14ac:dyDescent="0.3">
      <c r="A72" s="165">
        <v>3</v>
      </c>
      <c r="B72" s="165">
        <f>COLUMN(R7) - COLUMN(C4)</f>
        <v>15</v>
      </c>
      <c r="C72" s="165">
        <f t="shared" si="35"/>
        <v>88</v>
      </c>
      <c r="D72" s="165" t="str">
        <f t="shared" si="30"/>
        <v>Attackers: Criminals</v>
      </c>
      <c r="E72" s="165">
        <f t="shared" ca="1" si="36"/>
        <v>0.9723452104858108</v>
      </c>
      <c r="F72" s="165">
        <f t="shared" ca="1" si="37"/>
        <v>3.1013925074719593E-2</v>
      </c>
      <c r="G72" s="165">
        <f t="shared" ca="1" si="38"/>
        <v>2.1495578522186611E-2</v>
      </c>
      <c r="H72" s="165">
        <f t="shared" ca="1" si="39"/>
        <v>6.4822585719979367E-4</v>
      </c>
      <c r="I72" s="165">
        <f t="shared" ca="1" si="40"/>
        <v>1.4029043914144357</v>
      </c>
      <c r="J72" s="165">
        <f t="shared" ca="1" si="41"/>
        <v>1.4029043914144348</v>
      </c>
      <c r="K72" s="165">
        <f t="shared" ca="1" si="42"/>
        <v>1.4029043914144339</v>
      </c>
      <c r="L72" s="165" t="str">
        <f t="shared" ca="1" si="43"/>
        <v/>
      </c>
      <c r="M72" s="165">
        <f t="shared" ca="1" si="31"/>
        <v>3</v>
      </c>
      <c r="N72" s="165" t="str">
        <f t="shared" si="44"/>
        <v>Attackers: Criminals</v>
      </c>
      <c r="O72" s="119">
        <f t="shared" ca="1" si="32"/>
        <v>-1.0666666666667845E-3</v>
      </c>
      <c r="P72" s="119">
        <f t="shared" ca="1" si="33"/>
        <v>6.6666666666667426E-3</v>
      </c>
      <c r="Q72" s="119">
        <f t="shared" ca="1" si="34"/>
        <v>-1.496431350842228E-3</v>
      </c>
      <c r="R72" s="119">
        <f t="shared" ca="1" si="45"/>
        <v>8.1630980175089705E-3</v>
      </c>
      <c r="T72" s="218">
        <f t="shared" ca="1" si="46"/>
        <v>3.6569006142212618E-4</v>
      </c>
      <c r="CT72" s="247"/>
    </row>
    <row r="73" spans="1:98" x14ac:dyDescent="0.3">
      <c r="A73" s="165">
        <v>4</v>
      </c>
      <c r="B73" s="165">
        <f>COLUMN(E8) - COLUMN(C4)</f>
        <v>2</v>
      </c>
      <c r="C73" s="165">
        <f t="shared" si="35"/>
        <v>101</v>
      </c>
      <c r="D73" s="165" t="str">
        <f t="shared" si="30"/>
        <v>Attackers: Nation states</v>
      </c>
      <c r="E73" s="165">
        <f t="shared" ca="1" si="36"/>
        <v>0.96525316973974462</v>
      </c>
      <c r="F73" s="165">
        <f t="shared" ca="1" si="37"/>
        <v>2.8632766430786716E-2</v>
      </c>
      <c r="G73" s="165">
        <f t="shared" ca="1" si="38"/>
        <v>2.0433537905753904E-2</v>
      </c>
      <c r="H73" s="165">
        <f t="shared" ca="1" si="39"/>
        <v>5.6473943476784735E-4</v>
      </c>
      <c r="I73" s="165">
        <f t="shared" ca="1" si="40"/>
        <v>1.3525738265791012</v>
      </c>
      <c r="J73" s="165">
        <f t="shared" ca="1" si="41"/>
        <v>1.352573826579099</v>
      </c>
      <c r="K73" s="165">
        <f t="shared" ca="1" si="42"/>
        <v>1.3525738265790992</v>
      </c>
      <c r="L73" s="165" t="str">
        <f t="shared" ca="1" si="43"/>
        <v/>
      </c>
      <c r="M73" s="165">
        <f t="shared" ca="1" si="31"/>
        <v>4</v>
      </c>
      <c r="N73" s="165" t="str">
        <f t="shared" si="44"/>
        <v>Attackers: Nation states</v>
      </c>
      <c r="O73" s="119">
        <f t="shared" ca="1" si="32"/>
        <v>-1.0666666666667845E-3</v>
      </c>
      <c r="P73" s="119">
        <f t="shared" ca="1" si="33"/>
        <v>6.6666666666667426E-3</v>
      </c>
      <c r="Q73" s="119">
        <f t="shared" ca="1" si="34"/>
        <v>-1.4427454150178652E-3</v>
      </c>
      <c r="R73" s="119">
        <f t="shared" ca="1" si="45"/>
        <v>8.1094120816846069E-3</v>
      </c>
      <c r="T73" s="218">
        <f t="shared" ca="1" si="46"/>
        <v>6.8135288676174875E-4</v>
      </c>
      <c r="CT73" s="247"/>
    </row>
    <row r="74" spans="1:98" x14ac:dyDescent="0.3">
      <c r="A74" s="165">
        <v>5</v>
      </c>
      <c r="B74" s="165">
        <f>COLUMN(R9) - COLUMN(C4)</f>
        <v>15</v>
      </c>
      <c r="C74" s="165">
        <f t="shared" si="35"/>
        <v>88</v>
      </c>
      <c r="D74" s="165" t="str">
        <f t="shared" si="30"/>
        <v>Weapons: Botnets</v>
      </c>
      <c r="E74" s="165">
        <f t="shared" ca="1" si="36"/>
        <v>0.59323164822350105</v>
      </c>
      <c r="F74" s="165">
        <f t="shared" ca="1" si="37"/>
        <v>1.208870110281488E-2</v>
      </c>
      <c r="G74" s="165">
        <f t="shared" ca="1" si="38"/>
        <v>2.1495578522186611E-2</v>
      </c>
      <c r="H74" s="165">
        <f t="shared" ca="1" si="39"/>
        <v>1.5415339353589349E-4</v>
      </c>
      <c r="I74" s="165">
        <f t="shared" ca="1" si="40"/>
        <v>0.33362210152670152</v>
      </c>
      <c r="J74" s="165">
        <f t="shared" ca="1" si="41"/>
        <v>0.3336221015267013</v>
      </c>
      <c r="K74" s="165">
        <f t="shared" ca="1" si="42"/>
        <v>0.33362210152670152</v>
      </c>
      <c r="L74" s="165" t="str">
        <f t="shared" ca="1" si="43"/>
        <v/>
      </c>
      <c r="M74" s="165">
        <f t="shared" ca="1" si="31"/>
        <v>25</v>
      </c>
      <c r="N74" s="165" t="str">
        <f t="shared" si="44"/>
        <v>Weapons: Botnets</v>
      </c>
      <c r="O74" s="119">
        <f t="shared" ca="1" si="32"/>
        <v>-1.0666666666667845E-3</v>
      </c>
      <c r="P74" s="119">
        <f t="shared" ca="1" si="33"/>
        <v>-1.333333333333336E-2</v>
      </c>
      <c r="Q74" s="119">
        <f t="shared" ca="1" si="34"/>
        <v>-3.5586357496185427E-4</v>
      </c>
      <c r="R74" s="119">
        <f t="shared" ca="1" si="45"/>
        <v>-1.2977469758371506E-2</v>
      </c>
      <c r="T74" s="218">
        <f t="shared" ca="1" si="46"/>
        <v>1.2589610242145491E-3</v>
      </c>
      <c r="CT74" s="247"/>
    </row>
    <row r="75" spans="1:98" x14ac:dyDescent="0.3">
      <c r="A75" s="165">
        <v>6</v>
      </c>
      <c r="B75" s="165">
        <f>COLUMN(E10) - COLUMN(C4)</f>
        <v>2</v>
      </c>
      <c r="C75" s="165">
        <f t="shared" si="35"/>
        <v>101</v>
      </c>
      <c r="D75" s="165" t="str">
        <f t="shared" si="30"/>
        <v>Weapons: Mass malware</v>
      </c>
      <c r="E75" s="165">
        <f t="shared" ca="1" si="36"/>
        <v>0.836526624431705</v>
      </c>
      <c r="F75" s="165">
        <f t="shared" ca="1" si="37"/>
        <v>1.6416119963874636E-2</v>
      </c>
      <c r="G75" s="165">
        <f t="shared" ca="1" si="38"/>
        <v>2.0433537905753904E-2</v>
      </c>
      <c r="H75" s="165">
        <f t="shared" ca="1" si="39"/>
        <v>2.8060399696991302E-4</v>
      </c>
      <c r="I75" s="165">
        <f t="shared" ca="1" si="40"/>
        <v>0.6720579413601705</v>
      </c>
      <c r="J75" s="165">
        <f t="shared" ca="1" si="41"/>
        <v>0.67205794136016939</v>
      </c>
      <c r="K75" s="165">
        <f t="shared" ca="1" si="42"/>
        <v>0.67205794136017016</v>
      </c>
      <c r="L75" s="165" t="str">
        <f t="shared" ca="1" si="43"/>
        <v/>
      </c>
      <c r="M75" s="165">
        <f t="shared" ca="1" si="31"/>
        <v>24</v>
      </c>
      <c r="N75" s="165" t="str">
        <f t="shared" si="44"/>
        <v>Weapons: Mass malware</v>
      </c>
      <c r="O75" s="119">
        <f t="shared" ca="1" si="32"/>
        <v>-1.0666666666667845E-3</v>
      </c>
      <c r="P75" s="119">
        <f t="shared" ca="1" si="33"/>
        <v>-1.3333333333333247E-2</v>
      </c>
      <c r="Q75" s="119">
        <f t="shared" ca="1" si="34"/>
        <v>-7.1686180411759397E-4</v>
      </c>
      <c r="R75" s="119">
        <f t="shared" ca="1" si="45"/>
        <v>-1.2616471529215653E-2</v>
      </c>
      <c r="T75" s="218">
        <f t="shared" ca="1" si="46"/>
        <v>1.726968778338338E-3</v>
      </c>
      <c r="CT75" s="247"/>
    </row>
    <row r="76" spans="1:98" x14ac:dyDescent="0.3">
      <c r="A76" s="165">
        <v>7</v>
      </c>
      <c r="B76" s="165">
        <f>COLUMN(R11) - COLUMN(C4)</f>
        <v>15</v>
      </c>
      <c r="C76" s="165">
        <f t="shared" si="35"/>
        <v>88</v>
      </c>
      <c r="D76" s="165" t="str">
        <f t="shared" si="30"/>
        <v>Weapons: Vulnerability exploitation</v>
      </c>
      <c r="E76" s="165">
        <f t="shared" ca="1" si="36"/>
        <v>0.96016461741239045</v>
      </c>
      <c r="F76" s="165">
        <f t="shared" ca="1" si="37"/>
        <v>2.907451556889383E-2</v>
      </c>
      <c r="G76" s="165">
        <f t="shared" ca="1" si="38"/>
        <v>2.1495578522186611E-2</v>
      </c>
      <c r="H76" s="165">
        <f t="shared" ca="1" si="39"/>
        <v>6.0007747263518389E-4</v>
      </c>
      <c r="I76" s="165">
        <f t="shared" ca="1" si="40"/>
        <v>1.2987006183082623</v>
      </c>
      <c r="J76" s="165">
        <f t="shared" ca="1" si="41"/>
        <v>1.2987006183082614</v>
      </c>
      <c r="K76" s="165">
        <f t="shared" ca="1" si="42"/>
        <v>1.2987006183082612</v>
      </c>
      <c r="L76" s="165" t="str">
        <f t="shared" ca="1" si="43"/>
        <v/>
      </c>
      <c r="M76" s="165">
        <f t="shared" ca="1" si="31"/>
        <v>9</v>
      </c>
      <c r="N76" s="165" t="str">
        <f t="shared" si="44"/>
        <v>Weapons: Vulnerability exploitation</v>
      </c>
      <c r="O76" s="119">
        <f t="shared" ca="1" si="32"/>
        <v>-1.0666666666667845E-3</v>
      </c>
      <c r="P76" s="119">
        <f t="shared" ca="1" si="33"/>
        <v>0</v>
      </c>
      <c r="Q76" s="119">
        <f t="shared" ca="1" si="34"/>
        <v>-1.3852806595289649E-3</v>
      </c>
      <c r="R76" s="119">
        <f t="shared" ca="1" si="45"/>
        <v>1.3852806595289649E-3</v>
      </c>
      <c r="T76" s="218">
        <f t="shared" ca="1" si="46"/>
        <v>-1.0416670061427578E-3</v>
      </c>
      <c r="CT76" s="247"/>
    </row>
    <row r="77" spans="1:98" x14ac:dyDescent="0.3">
      <c r="A77" s="165">
        <v>8</v>
      </c>
      <c r="B77" s="165">
        <f>COLUMN(R12) - COLUMN(C4)</f>
        <v>15</v>
      </c>
      <c r="C77" s="165">
        <f t="shared" si="35"/>
        <v>88</v>
      </c>
      <c r="D77" s="165" t="str">
        <f t="shared" si="30"/>
        <v>Weapons: Phishing/social engineering</v>
      </c>
      <c r="E77" s="165">
        <f t="shared" ca="1" si="36"/>
        <v>0.97128805615942226</v>
      </c>
      <c r="F77" s="165">
        <f t="shared" ca="1" si="37"/>
        <v>4.4278986595619879E-2</v>
      </c>
      <c r="G77" s="165">
        <f t="shared" ca="1" si="38"/>
        <v>2.1495578522186611E-2</v>
      </c>
      <c r="H77" s="165">
        <f t="shared" ca="1" si="39"/>
        <v>9.2447433523822444E-4</v>
      </c>
      <c r="I77" s="165">
        <f t="shared" ca="1" si="40"/>
        <v>2.000767310113496</v>
      </c>
      <c r="J77" s="165">
        <f t="shared" ca="1" si="41"/>
        <v>2.0007673101134946</v>
      </c>
      <c r="K77" s="165">
        <f t="shared" ca="1" si="42"/>
        <v>2.0007673101134964</v>
      </c>
      <c r="L77" s="165" t="str">
        <f t="shared" ca="1" si="43"/>
        <v/>
      </c>
      <c r="M77" s="165">
        <f t="shared" ca="1" si="31"/>
        <v>1</v>
      </c>
      <c r="N77" s="165" t="str">
        <f t="shared" si="44"/>
        <v>Weapons: Phishing/social engineering</v>
      </c>
      <c r="O77" s="119">
        <f t="shared" ca="1" si="32"/>
        <v>-1.0666666666667845E-3</v>
      </c>
      <c r="P77" s="119">
        <f t="shared" ca="1" si="33"/>
        <v>1.3333333333333273E-2</v>
      </c>
      <c r="Q77" s="119">
        <f t="shared" ca="1" si="34"/>
        <v>-2.1341517974546318E-3</v>
      </c>
      <c r="R77" s="119">
        <f t="shared" ca="1" si="45"/>
        <v>1.5467485130787904E-2</v>
      </c>
      <c r="T77" s="218">
        <f t="shared" ca="1" si="46"/>
        <v>2.6083116695903366E-3</v>
      </c>
      <c r="CT77" s="247"/>
    </row>
    <row r="78" spans="1:98" x14ac:dyDescent="0.3">
      <c r="A78" s="165">
        <v>9</v>
      </c>
      <c r="B78" s="165">
        <f>COLUMN(R13) - COLUMN(C4)</f>
        <v>15</v>
      </c>
      <c r="C78" s="165">
        <f t="shared" si="35"/>
        <v>88</v>
      </c>
      <c r="D78" s="165" t="str">
        <f t="shared" si="30"/>
        <v>Weapons: Customized to target</v>
      </c>
      <c r="E78" s="165">
        <f t="shared" ca="1" si="36"/>
        <v>0.94491845640845518</v>
      </c>
      <c r="F78" s="165">
        <f t="shared" ca="1" si="37"/>
        <v>2.5744253598160124E-2</v>
      </c>
      <c r="G78" s="165">
        <f t="shared" ca="1" si="38"/>
        <v>2.1495578522186611E-2</v>
      </c>
      <c r="H78" s="165">
        <f t="shared" ca="1" si="39"/>
        <v>5.2290618014061191E-4</v>
      </c>
      <c r="I78" s="165">
        <f t="shared" ca="1" si="40"/>
        <v>1.1316848414316014</v>
      </c>
      <c r="J78" s="165">
        <f t="shared" ca="1" si="41"/>
        <v>1.1316848414316008</v>
      </c>
      <c r="K78" s="165">
        <f t="shared" ca="1" si="42"/>
        <v>1.131684841431601</v>
      </c>
      <c r="L78" s="165" t="str">
        <f t="shared" ca="1" si="43"/>
        <v/>
      </c>
      <c r="M78" s="165">
        <f t="shared" ca="1" si="31"/>
        <v>11</v>
      </c>
      <c r="N78" s="165" t="str">
        <f t="shared" si="44"/>
        <v>Weapons: Customized to target</v>
      </c>
      <c r="O78" s="119">
        <f t="shared" ca="1" si="32"/>
        <v>-1.0666666666667845E-3</v>
      </c>
      <c r="P78" s="119">
        <f t="shared" ca="1" si="33"/>
        <v>0</v>
      </c>
      <c r="Q78" s="119">
        <f t="shared" ca="1" si="34"/>
        <v>-1.2071304975271742E-3</v>
      </c>
      <c r="R78" s="119">
        <f t="shared" ca="1" si="45"/>
        <v>1.2071304975271742E-3</v>
      </c>
      <c r="T78" s="218">
        <f t="shared" ca="1" si="46"/>
        <v>-5.5485553879753777E-5</v>
      </c>
      <c r="CT78" s="247"/>
    </row>
    <row r="79" spans="1:98" x14ac:dyDescent="0.3">
      <c r="A79" s="165">
        <v>10</v>
      </c>
      <c r="B79" s="165">
        <f>COLUMN(R14) - COLUMN(C4)</f>
        <v>15</v>
      </c>
      <c r="C79" s="165">
        <f t="shared" si="35"/>
        <v>88</v>
      </c>
      <c r="D79" s="165" t="str">
        <f t="shared" si="30"/>
        <v>Effect desired: Data theft</v>
      </c>
      <c r="E79" s="165">
        <f t="shared" ca="1" si="36"/>
        <v>0.9794955640044789</v>
      </c>
      <c r="F79" s="165">
        <f t="shared" ca="1" si="37"/>
        <v>3.7686026375629497E-2</v>
      </c>
      <c r="G79" s="165">
        <f t="shared" ca="1" si="38"/>
        <v>2.1495578522186611E-2</v>
      </c>
      <c r="H79" s="165">
        <f t="shared" ca="1" si="39"/>
        <v>7.9347264536974553E-4</v>
      </c>
      <c r="I79" s="165">
        <f t="shared" ca="1" si="40"/>
        <v>1.7172506253686044</v>
      </c>
      <c r="J79" s="165">
        <f t="shared" ca="1" si="41"/>
        <v>1.7172506253686033</v>
      </c>
      <c r="K79" s="165">
        <f t="shared" ca="1" si="42"/>
        <v>1.7172506253686035</v>
      </c>
      <c r="L79" s="165" t="str">
        <f t="shared" ca="1" si="43"/>
        <v/>
      </c>
      <c r="M79" s="165">
        <f t="shared" ca="1" si="31"/>
        <v>6</v>
      </c>
      <c r="N79" s="165" t="str">
        <f t="shared" si="44"/>
        <v>Effect desired: Data theft</v>
      </c>
      <c r="O79" s="119">
        <f t="shared" ca="1" si="32"/>
        <v>-1.0666666666667845E-3</v>
      </c>
      <c r="P79" s="119">
        <f t="shared" ca="1" si="33"/>
        <v>0</v>
      </c>
      <c r="Q79" s="119">
        <f t="shared" ca="1" si="34"/>
        <v>-1.8317340003933793E-3</v>
      </c>
      <c r="R79" s="119">
        <f t="shared" ca="1" si="45"/>
        <v>1.8317340003933793E-3</v>
      </c>
      <c r="T79" s="218">
        <f t="shared" ca="1" si="46"/>
        <v>-6.3963865903264583E-4</v>
      </c>
      <c r="CT79" s="247"/>
    </row>
    <row r="80" spans="1:98" x14ac:dyDescent="0.3">
      <c r="A80" s="165">
        <v>11</v>
      </c>
      <c r="B80" s="165">
        <f>COLUMN(R15) - COLUMN(C4)</f>
        <v>15</v>
      </c>
      <c r="C80" s="165">
        <f t="shared" si="35"/>
        <v>88</v>
      </c>
      <c r="D80" s="165" t="str">
        <f t="shared" si="30"/>
        <v>Effect desired: Data modification</v>
      </c>
      <c r="E80" s="165">
        <f t="shared" ca="1" si="36"/>
        <v>0.25657786819384482</v>
      </c>
      <c r="F80" s="165">
        <f t="shared" ca="1" si="37"/>
        <v>5.3325478163439846E-3</v>
      </c>
      <c r="G80" s="165">
        <f t="shared" ca="1" si="38"/>
        <v>2.1495578522186611E-2</v>
      </c>
      <c r="H80" s="165">
        <f t="shared" ca="1" si="39"/>
        <v>2.9410546114581591E-5</v>
      </c>
      <c r="I80" s="165">
        <f t="shared" ca="1" si="40"/>
        <v>6.3650938696396722E-2</v>
      </c>
      <c r="J80" s="165">
        <f t="shared" ca="1" si="41"/>
        <v>6.3650938696396681E-2</v>
      </c>
      <c r="K80" s="165">
        <f t="shared" ca="1" si="42"/>
        <v>6.3650938696396708E-2</v>
      </c>
      <c r="L80" s="165" t="str">
        <f t="shared" ca="1" si="43"/>
        <v/>
      </c>
      <c r="M80" s="165">
        <f t="shared" ca="1" si="31"/>
        <v>23</v>
      </c>
      <c r="N80" s="165" t="str">
        <f t="shared" si="44"/>
        <v>Effect desired: Data modification</v>
      </c>
      <c r="O80" s="119">
        <f t="shared" ca="1" si="32"/>
        <v>-1.0666666666667845E-3</v>
      </c>
      <c r="P80" s="119">
        <f t="shared" ca="1" si="33"/>
        <v>-6.6666666666665327E-3</v>
      </c>
      <c r="Q80" s="119">
        <f t="shared" ca="1" si="34"/>
        <v>-6.789433460949732E-5</v>
      </c>
      <c r="R80" s="119">
        <f t="shared" ca="1" si="45"/>
        <v>-6.5987723320570357E-3</v>
      </c>
      <c r="T80" s="218">
        <f t="shared" ca="1" si="46"/>
        <v>9.2274254257719937E-4</v>
      </c>
      <c r="CT80" s="247"/>
    </row>
    <row r="81" spans="1:98" x14ac:dyDescent="0.3">
      <c r="A81" s="165">
        <v>12</v>
      </c>
      <c r="B81" s="165">
        <f>COLUMN(R16) - COLUMN(C4)</f>
        <v>15</v>
      </c>
      <c r="C81" s="165">
        <f t="shared" si="35"/>
        <v>88</v>
      </c>
      <c r="D81" s="165" t="str">
        <f t="shared" si="30"/>
        <v>Effect desired: Business disruption</v>
      </c>
      <c r="E81" s="165">
        <f t="shared" ca="1" si="36"/>
        <v>0.91339214338147989</v>
      </c>
      <c r="F81" s="165">
        <f t="shared" ca="1" si="37"/>
        <v>1.990983254726517E-2</v>
      </c>
      <c r="G81" s="165">
        <f t="shared" ca="1" si="38"/>
        <v>2.1495578522186611E-2</v>
      </c>
      <c r="H81" s="165">
        <f t="shared" ca="1" si="39"/>
        <v>3.9090751271453317E-4</v>
      </c>
      <c r="I81" s="165">
        <f t="shared" ca="1" si="40"/>
        <v>0.84601047633785664</v>
      </c>
      <c r="J81" s="165">
        <f t="shared" ca="1" si="41"/>
        <v>0.8460104763378562</v>
      </c>
      <c r="K81" s="165">
        <f t="shared" ca="1" si="42"/>
        <v>0.84601047633785609</v>
      </c>
      <c r="L81" s="165" t="str">
        <f t="shared" ca="1" si="43"/>
        <v/>
      </c>
      <c r="M81" s="165">
        <f t="shared" ca="1" si="31"/>
        <v>21</v>
      </c>
      <c r="N81" s="165" t="str">
        <f t="shared" si="44"/>
        <v>Effect desired: Business disruption</v>
      </c>
      <c r="O81" s="119">
        <f t="shared" ca="1" si="32"/>
        <v>-1.0666666666667845E-3</v>
      </c>
      <c r="P81" s="119">
        <f t="shared" ca="1" si="33"/>
        <v>-6.6666666666666445E-3</v>
      </c>
      <c r="Q81" s="119">
        <f t="shared" ca="1" si="34"/>
        <v>-9.0241117476047952E-4</v>
      </c>
      <c r="R81" s="119">
        <f t="shared" ca="1" si="45"/>
        <v>-5.7642554919061654E-3</v>
      </c>
      <c r="T81" s="218">
        <f t="shared" ca="1" si="46"/>
        <v>-5.9406721934173855E-4</v>
      </c>
      <c r="CT81" s="247"/>
    </row>
    <row r="82" spans="1:98" x14ac:dyDescent="0.3">
      <c r="A82" s="165">
        <v>13</v>
      </c>
      <c r="B82" s="165">
        <f>COLUMN(E17) - COLUMN(C4)</f>
        <v>2</v>
      </c>
      <c r="C82" s="165">
        <f t="shared" si="35"/>
        <v>101</v>
      </c>
      <c r="D82" s="165" t="str">
        <f t="shared" si="30"/>
        <v>Target: Web facing applications</v>
      </c>
      <c r="E82" s="165">
        <f t="shared" ca="1" si="36"/>
        <v>0.97188192300797904</v>
      </c>
      <c r="F82" s="165">
        <f t="shared" ca="1" si="37"/>
        <v>2.7958921119621415E-2</v>
      </c>
      <c r="G82" s="165">
        <f t="shared" ca="1" si="38"/>
        <v>2.0433537905753904E-2</v>
      </c>
      <c r="H82" s="165">
        <f t="shared" ca="1" si="39"/>
        <v>5.552358262686098E-4</v>
      </c>
      <c r="I82" s="165">
        <f t="shared" ca="1" si="40"/>
        <v>1.3298122991865478</v>
      </c>
      <c r="J82" s="165">
        <f t="shared" ca="1" si="41"/>
        <v>1.3298122991865458</v>
      </c>
      <c r="K82" s="165">
        <f t="shared" ca="1" si="42"/>
        <v>1.3298122991865469</v>
      </c>
      <c r="L82" s="165" t="str">
        <f t="shared" ca="1" si="43"/>
        <v/>
      </c>
      <c r="M82" s="165">
        <f t="shared" ca="1" si="31"/>
        <v>8</v>
      </c>
      <c r="N82" s="165" t="str">
        <f t="shared" si="44"/>
        <v>Target: Web facing applications</v>
      </c>
      <c r="O82" s="119">
        <f t="shared" ca="1" si="32"/>
        <v>-1.0666666666667845E-3</v>
      </c>
      <c r="P82" s="119">
        <f t="shared" ca="1" si="33"/>
        <v>0</v>
      </c>
      <c r="Q82" s="119">
        <f t="shared" ca="1" si="34"/>
        <v>-1.4184664524658065E-3</v>
      </c>
      <c r="R82" s="119">
        <f t="shared" ca="1" si="45"/>
        <v>1.4184664524658065E-3</v>
      </c>
      <c r="T82" s="218">
        <f t="shared" ca="1" si="46"/>
        <v>8.8040841363381736E-4</v>
      </c>
      <c r="CT82" s="247"/>
    </row>
    <row r="83" spans="1:98" x14ac:dyDescent="0.3">
      <c r="A83" s="165">
        <v>14</v>
      </c>
      <c r="B83" s="165">
        <f>COLUMN(R18) - COLUMN(C4)</f>
        <v>15</v>
      </c>
      <c r="C83" s="165">
        <f t="shared" si="35"/>
        <v>88</v>
      </c>
      <c r="D83" s="165" t="str">
        <f t="shared" si="30"/>
        <v>Target: Internet exposed devices/appliances</v>
      </c>
      <c r="E83" s="165">
        <f t="shared" ca="1" si="36"/>
        <v>0.94813981087249255</v>
      </c>
      <c r="F83" s="165">
        <f t="shared" ca="1" si="37"/>
        <v>2.0287640274126599E-2</v>
      </c>
      <c r="G83" s="165">
        <f t="shared" ca="1" si="38"/>
        <v>2.1495578522186611E-2</v>
      </c>
      <c r="H83" s="165">
        <f t="shared" ca="1" si="39"/>
        <v>4.1347861794771898E-4</v>
      </c>
      <c r="I83" s="165">
        <f t="shared" ca="1" si="40"/>
        <v>0.89485934945671175</v>
      </c>
      <c r="J83" s="165">
        <f t="shared" ca="1" si="41"/>
        <v>0.8948593494567112</v>
      </c>
      <c r="K83" s="165">
        <f t="shared" ca="1" si="42"/>
        <v>0.89485934945671075</v>
      </c>
      <c r="L83" s="165" t="str">
        <f t="shared" ca="1" si="43"/>
        <v/>
      </c>
      <c r="M83" s="165">
        <f t="shared" ca="1" si="31"/>
        <v>14</v>
      </c>
      <c r="N83" s="165" t="str">
        <f t="shared" si="44"/>
        <v>Target: Internet exposed devices/appliances</v>
      </c>
      <c r="O83" s="119">
        <f t="shared" ca="1" si="32"/>
        <v>-1.0666666666667845E-3</v>
      </c>
      <c r="P83" s="119">
        <f t="shared" ca="1" si="33"/>
        <v>0</v>
      </c>
      <c r="Q83" s="119">
        <f t="shared" ca="1" si="34"/>
        <v>-9.5451663942059685E-4</v>
      </c>
      <c r="R83" s="119">
        <f t="shared" ca="1" si="45"/>
        <v>9.5451663942059685E-4</v>
      </c>
      <c r="T83" s="218">
        <f t="shared" ca="1" si="46"/>
        <v>1.035046175628016E-3</v>
      </c>
      <c r="CT83" s="247"/>
    </row>
    <row r="84" spans="1:98" x14ac:dyDescent="0.3">
      <c r="A84" s="165">
        <v>15</v>
      </c>
      <c r="B84" s="165">
        <f>COLUMN(R19) - COLUMN(C4)</f>
        <v>15</v>
      </c>
      <c r="C84" s="165">
        <f t="shared" si="35"/>
        <v>88</v>
      </c>
      <c r="D84" s="165" t="str">
        <f t="shared" si="30"/>
        <v>Target: End points</v>
      </c>
      <c r="E84" s="165">
        <f t="shared" ca="1" si="36"/>
        <v>0.97702966712003858</v>
      </c>
      <c r="F84" s="165">
        <f t="shared" ca="1" si="37"/>
        <v>2.8172833880603029E-2</v>
      </c>
      <c r="G84" s="165">
        <f t="shared" ca="1" si="38"/>
        <v>2.1495578522186611E-2</v>
      </c>
      <c r="H84" s="165">
        <f t="shared" ca="1" si="39"/>
        <v>5.9168072767859872E-4</v>
      </c>
      <c r="I84" s="165">
        <f t="shared" ca="1" si="40"/>
        <v>1.2805282016384507</v>
      </c>
      <c r="J84" s="165">
        <f t="shared" ca="1" si="41"/>
        <v>1.28052820163845</v>
      </c>
      <c r="K84" s="165">
        <f t="shared" ca="1" si="42"/>
        <v>1.2805282016384505</v>
      </c>
      <c r="L84" s="165" t="str">
        <f ca="1">IF(OR(I84-J84&gt;0.0001,K84-J84&gt;0.0001),"Check beta","")</f>
        <v/>
      </c>
      <c r="M84" s="165">
        <f t="shared" ca="1" si="31"/>
        <v>18</v>
      </c>
      <c r="N84" s="165" t="str">
        <f t="shared" si="44"/>
        <v>Target: End points</v>
      </c>
      <c r="O84" s="119">
        <f t="shared" ca="1" si="32"/>
        <v>-1.0666666666667845E-3</v>
      </c>
      <c r="P84" s="119">
        <f t="shared" ca="1" si="33"/>
        <v>-6.6666666666665327E-3</v>
      </c>
      <c r="Q84" s="119">
        <f t="shared" ca="1" si="34"/>
        <v>-1.365896748414498E-3</v>
      </c>
      <c r="R84" s="119">
        <f t="shared" ca="1" si="45"/>
        <v>-5.3007699182520346E-3</v>
      </c>
      <c r="T84" s="218">
        <f t="shared" ca="1" si="46"/>
        <v>-4.6218270847901101E-3</v>
      </c>
      <c r="CT84" s="247"/>
    </row>
    <row r="85" spans="1:98" x14ac:dyDescent="0.3">
      <c r="A85" s="165">
        <v>16</v>
      </c>
      <c r="B85" s="165">
        <f>COLUMN(R20) - COLUMN(C4)</f>
        <v>15</v>
      </c>
      <c r="C85" s="165">
        <f t="shared" si="35"/>
        <v>88</v>
      </c>
      <c r="D85" s="165" t="str">
        <f t="shared" si="30"/>
        <v>Target: Mobile devices</v>
      </c>
      <c r="E85" s="165">
        <f t="shared" ca="1" si="36"/>
        <v>0.92230153800363668</v>
      </c>
      <c r="F85" s="165">
        <f t="shared" ca="1" si="37"/>
        <v>1.9911935532125148E-2</v>
      </c>
      <c r="G85" s="165">
        <f t="shared" ca="1" si="38"/>
        <v>2.1495578522186611E-2</v>
      </c>
      <c r="H85" s="165">
        <f t="shared" ca="1" si="39"/>
        <v>3.9476218887252255E-4</v>
      </c>
      <c r="I85" s="165">
        <f t="shared" ca="1" si="40"/>
        <v>0.85435284967804437</v>
      </c>
      <c r="J85" s="165">
        <f t="shared" ca="1" si="41"/>
        <v>0.85435284967804381</v>
      </c>
      <c r="K85" s="165">
        <f t="shared" ca="1" si="42"/>
        <v>0.85435284967804381</v>
      </c>
      <c r="L85" s="165" t="str">
        <f t="shared" ca="1" si="43"/>
        <v/>
      </c>
      <c r="M85" s="165">
        <f t="shared" ca="1" si="31"/>
        <v>20</v>
      </c>
      <c r="N85" s="165" t="str">
        <f t="shared" si="44"/>
        <v>Target: Mobile devices</v>
      </c>
      <c r="O85" s="119">
        <f t="shared" ca="1" si="32"/>
        <v>-1.0666666666667845E-3</v>
      </c>
      <c r="P85" s="119">
        <f t="shared" ca="1" si="33"/>
        <v>-6.6666666666666445E-3</v>
      </c>
      <c r="Q85" s="119">
        <f t="shared" ca="1" si="34"/>
        <v>-9.1130970632334737E-4</v>
      </c>
      <c r="R85" s="119">
        <f t="shared" ca="1" si="45"/>
        <v>-5.7553569603432976E-3</v>
      </c>
      <c r="T85" s="218">
        <f t="shared" ca="1" si="46"/>
        <v>1.0742445240193368E-4</v>
      </c>
      <c r="CT85" s="247"/>
    </row>
    <row r="86" spans="1:98" x14ac:dyDescent="0.3">
      <c r="A86" s="165">
        <v>17</v>
      </c>
      <c r="B86" s="165">
        <f>COLUMN(R21) - COLUMN(C4)</f>
        <v>15</v>
      </c>
      <c r="C86" s="165">
        <f t="shared" si="35"/>
        <v>88</v>
      </c>
      <c r="D86" s="165" t="str">
        <f t="shared" si="30"/>
        <v>Target: Public infrastructure/cloud</v>
      </c>
      <c r="E86" s="165">
        <f t="shared" ca="1" si="36"/>
        <v>0.96664743515441298</v>
      </c>
      <c r="F86" s="165">
        <f t="shared" ca="1" si="37"/>
        <v>2.1139604222958734E-2</v>
      </c>
      <c r="G86" s="165">
        <f t="shared" ca="1" si="38"/>
        <v>2.1495578522186611E-2</v>
      </c>
      <c r="H86" s="165">
        <f t="shared" ca="1" si="39"/>
        <v>4.3925234946568523E-4</v>
      </c>
      <c r="I86" s="165">
        <f t="shared" ca="1" si="40"/>
        <v>0.95063941550635556</v>
      </c>
      <c r="J86" s="165">
        <f t="shared" ca="1" si="41"/>
        <v>0.950639415506355</v>
      </c>
      <c r="K86" s="165">
        <f t="shared" ca="1" si="42"/>
        <v>0.95063941550635589</v>
      </c>
      <c r="L86" s="165" t="str">
        <f t="shared" ca="1" si="43"/>
        <v/>
      </c>
      <c r="M86" s="165">
        <f t="shared" ca="1" si="31"/>
        <v>13</v>
      </c>
      <c r="N86" s="165" t="str">
        <f t="shared" si="44"/>
        <v>Target: Public infrastructure/cloud</v>
      </c>
      <c r="O86" s="119">
        <f t="shared" ca="1" si="32"/>
        <v>-1.0666666666667845E-3</v>
      </c>
      <c r="P86" s="119">
        <f t="shared" ca="1" si="33"/>
        <v>0</v>
      </c>
      <c r="Q86" s="119">
        <f t="shared" ca="1" si="34"/>
        <v>-1.0140153765402248E-3</v>
      </c>
      <c r="R86" s="119">
        <f t="shared" ca="1" si="45"/>
        <v>1.0140153765402248E-3</v>
      </c>
      <c r="T86" s="218">
        <f t="shared" ca="1" si="46"/>
        <v>1.1701171568651008E-3</v>
      </c>
      <c r="CT86" s="247"/>
    </row>
    <row r="87" spans="1:98" x14ac:dyDescent="0.3">
      <c r="A87" s="165">
        <v>18</v>
      </c>
      <c r="B87" s="165">
        <f>COLUMN(AE22) - COLUMN(C4)</f>
        <v>28</v>
      </c>
      <c r="C87" s="165">
        <f t="shared" si="35"/>
        <v>75</v>
      </c>
      <c r="D87" s="165" t="str">
        <f t="shared" si="30"/>
        <v>Target: Autonomous network connected devices</v>
      </c>
      <c r="E87" s="165">
        <f t="shared" ca="1" si="36"/>
        <v>0.78042933509258183</v>
      </c>
      <c r="F87" s="165">
        <f t="shared" ca="1" si="37"/>
        <v>9.8796646448349769E-3</v>
      </c>
      <c r="G87" s="165">
        <f t="shared" ca="1" si="38"/>
        <v>2.2252395755775426E-2</v>
      </c>
      <c r="H87" s="165">
        <f t="shared" ca="1" si="39"/>
        <v>1.7157442962864252E-4</v>
      </c>
      <c r="I87" s="165">
        <f t="shared" ca="1" si="40"/>
        <v>0.34649662869244469</v>
      </c>
      <c r="J87" s="165">
        <f t="shared" ca="1" si="41"/>
        <v>0.34649662869244452</v>
      </c>
      <c r="K87" s="165">
        <f t="shared" ca="1" si="42"/>
        <v>0.34649662869244469</v>
      </c>
      <c r="L87" s="165" t="str">
        <f t="shared" ca="1" si="43"/>
        <v/>
      </c>
      <c r="M87" s="165">
        <f t="shared" ca="1" si="31"/>
        <v>16</v>
      </c>
      <c r="N87" s="165" t="str">
        <f t="shared" si="44"/>
        <v>Target: Autonomous network connected devices</v>
      </c>
      <c r="O87" s="119">
        <f t="shared" ca="1" si="32"/>
        <v>-1.0666666666667845E-3</v>
      </c>
      <c r="P87" s="119">
        <f t="shared" ca="1" si="33"/>
        <v>0</v>
      </c>
      <c r="Q87" s="119">
        <f t="shared" ca="1" si="34"/>
        <v>-3.6959640393864846E-4</v>
      </c>
      <c r="R87" s="119">
        <f t="shared" ca="1" si="45"/>
        <v>3.6959640393864846E-4</v>
      </c>
      <c r="T87" s="218">
        <f t="shared" ca="1" si="46"/>
        <v>5.4311715100756851E-4</v>
      </c>
      <c r="CT87" s="247"/>
    </row>
    <row r="88" spans="1:98" x14ac:dyDescent="0.3">
      <c r="A88" s="165">
        <v>19</v>
      </c>
      <c r="B88" s="165">
        <f>COLUMN(E23) - COLUMN(C4)</f>
        <v>2</v>
      </c>
      <c r="C88" s="165">
        <f t="shared" si="35"/>
        <v>101</v>
      </c>
      <c r="D88" s="165" t="str">
        <f t="shared" si="30"/>
        <v>Target: Counterparties</v>
      </c>
      <c r="E88" s="165">
        <f t="shared" ca="1" si="36"/>
        <v>0.97699637813084306</v>
      </c>
      <c r="F88" s="165">
        <f t="shared" ca="1" si="37"/>
        <v>2.8127263900746689E-2</v>
      </c>
      <c r="G88" s="165">
        <f t="shared" ca="1" si="38"/>
        <v>2.0433537905753904E-2</v>
      </c>
      <c r="H88" s="165">
        <f t="shared" ca="1" si="39"/>
        <v>5.6151842266840982E-4</v>
      </c>
      <c r="I88" s="165">
        <f t="shared" ca="1" si="40"/>
        <v>1.3448593721022595</v>
      </c>
      <c r="J88" s="165">
        <f t="shared" ca="1" si="41"/>
        <v>1.3448593721022573</v>
      </c>
      <c r="K88" s="165">
        <f t="shared" ca="1" si="42"/>
        <v>1.3448593721022599</v>
      </c>
      <c r="L88" s="165" t="str">
        <f t="shared" ca="1" si="43"/>
        <v/>
      </c>
      <c r="M88" s="165">
        <f t="shared" ca="1" si="31"/>
        <v>7</v>
      </c>
      <c r="N88" s="165" t="str">
        <f t="shared" si="44"/>
        <v>Target: Counterparties</v>
      </c>
      <c r="O88" s="119">
        <f t="shared" ca="1" si="32"/>
        <v>-1.0666666666667845E-3</v>
      </c>
      <c r="P88" s="119">
        <f t="shared" ca="1" si="33"/>
        <v>0</v>
      </c>
      <c r="Q88" s="119">
        <f t="shared" ca="1" si="34"/>
        <v>-1.4345166635759024E-3</v>
      </c>
      <c r="R88" s="119">
        <f t="shared" ca="1" si="45"/>
        <v>1.4345166635759024E-3</v>
      </c>
      <c r="T88" s="218">
        <f t="shared" ca="1" si="46"/>
        <v>1.6249416038851602E-3</v>
      </c>
      <c r="CT88" s="247"/>
    </row>
    <row r="89" spans="1:98" x14ac:dyDescent="0.3">
      <c r="A89" s="165">
        <v>20</v>
      </c>
      <c r="B89" s="165">
        <f>COLUMN(E24) - COLUMN(C4)</f>
        <v>2</v>
      </c>
      <c r="C89" s="165">
        <f t="shared" si="35"/>
        <v>101</v>
      </c>
      <c r="D89" s="165" t="str">
        <f t="shared" si="30"/>
        <v>Defenses: Vulnerability to known threats</v>
      </c>
      <c r="E89" s="165">
        <f t="shared" ca="1" si="36"/>
        <v>0.63615422308651337</v>
      </c>
      <c r="F89" s="165">
        <f t="shared" ca="1" si="37"/>
        <v>8.4184889411601776E-3</v>
      </c>
      <c r="G89" s="165">
        <f t="shared" ca="1" si="38"/>
        <v>2.0433537905753904E-2</v>
      </c>
      <c r="H89" s="165">
        <f t="shared" ca="1" si="39"/>
        <v>1.0943093957721918E-4</v>
      </c>
      <c r="I89" s="165">
        <f t="shared" ca="1" si="40"/>
        <v>0.26209153386101147</v>
      </c>
      <c r="J89" s="165">
        <f t="shared" ca="1" si="41"/>
        <v>0.26209153386101108</v>
      </c>
      <c r="K89" s="165">
        <f t="shared" ca="1" si="42"/>
        <v>0.26209153386101131</v>
      </c>
      <c r="L89" s="165" t="str">
        <f t="shared" ca="1" si="43"/>
        <v/>
      </c>
      <c r="M89" s="165">
        <f t="shared" ca="1" si="31"/>
        <v>17</v>
      </c>
      <c r="N89" s="165" t="str">
        <f t="shared" si="44"/>
        <v>Defenses: Vulnerability to known threats</v>
      </c>
      <c r="O89" s="119">
        <f t="shared" ca="1" si="32"/>
        <v>-1.0666666666667845E-3</v>
      </c>
      <c r="P89" s="119">
        <f t="shared" ca="1" si="33"/>
        <v>0</v>
      </c>
      <c r="Q89" s="119">
        <f t="shared" ca="1" si="34"/>
        <v>-2.7956430278510959E-4</v>
      </c>
      <c r="R89" s="119">
        <f t="shared" ca="1" si="45"/>
        <v>2.7956430278510959E-4</v>
      </c>
      <c r="T89" s="218">
        <f t="shared" ca="1" si="46"/>
        <v>-1.8125582252911509E-4</v>
      </c>
      <c r="CT89" s="247"/>
    </row>
    <row r="90" spans="1:98" x14ac:dyDescent="0.3">
      <c r="A90" s="165">
        <v>21</v>
      </c>
      <c r="B90" s="165">
        <f>COLUMN(E25) - COLUMN(C4)</f>
        <v>2</v>
      </c>
      <c r="C90" s="165">
        <f t="shared" si="35"/>
        <v>101</v>
      </c>
      <c r="D90" s="165" t="str">
        <f t="shared" si="30"/>
        <v>Defenses: Vulnerability to unknown threats</v>
      </c>
      <c r="E90" s="165">
        <f t="shared" ca="1" si="36"/>
        <v>0.96592291187234247</v>
      </c>
      <c r="F90" s="165">
        <f t="shared" ca="1" si="37"/>
        <v>2.6459149605997243E-2</v>
      </c>
      <c r="G90" s="165">
        <f t="shared" ca="1" si="38"/>
        <v>2.0433537905753904E-2</v>
      </c>
      <c r="H90" s="165">
        <f t="shared" ca="1" si="39"/>
        <v>5.2223012118222121E-4</v>
      </c>
      <c r="I90" s="165">
        <f t="shared" ca="1" si="40"/>
        <v>1.250762298284823</v>
      </c>
      <c r="J90" s="165">
        <f t="shared" ca="1" si="41"/>
        <v>1.250762298284821</v>
      </c>
      <c r="K90" s="165">
        <f t="shared" ca="1" si="42"/>
        <v>1.2507622982848228</v>
      </c>
      <c r="L90" s="165" t="str">
        <f t="shared" ca="1" si="43"/>
        <v/>
      </c>
      <c r="M90" s="165">
        <f t="shared" ca="1" si="31"/>
        <v>10</v>
      </c>
      <c r="N90" s="165" t="str">
        <f t="shared" si="44"/>
        <v>Defenses: Vulnerability to unknown threats</v>
      </c>
      <c r="O90" s="119">
        <f t="shared" ca="1" si="32"/>
        <v>-1.0666666666667845E-3</v>
      </c>
      <c r="P90" s="119">
        <f t="shared" ca="1" si="33"/>
        <v>0</v>
      </c>
      <c r="Q90" s="119">
        <f t="shared" ca="1" si="34"/>
        <v>-1.3341464515039584E-3</v>
      </c>
      <c r="R90" s="119">
        <f t="shared" ca="1" si="45"/>
        <v>1.3341464515039584E-3</v>
      </c>
      <c r="T90" s="218">
        <f t="shared" ca="1" si="46"/>
        <v>-4.7560840643837438E-3</v>
      </c>
      <c r="CT90" s="247"/>
    </row>
    <row r="91" spans="1:98" x14ac:dyDescent="0.3">
      <c r="A91" s="165">
        <v>22</v>
      </c>
      <c r="B91" s="165">
        <f>COLUMN(AE26) - COLUMN(C4)</f>
        <v>28</v>
      </c>
      <c r="C91" s="165">
        <f t="shared" si="35"/>
        <v>75</v>
      </c>
      <c r="D91" s="165" t="str">
        <f t="shared" si="30"/>
        <v>Overall: False claims of digital identity</v>
      </c>
      <c r="E91" s="165">
        <f t="shared" ca="1" si="36"/>
        <v>0.89802589789342147</v>
      </c>
      <c r="F91" s="165">
        <f t="shared" ca="1" si="37"/>
        <v>1.0519962233564993E-2</v>
      </c>
      <c r="G91" s="165">
        <f t="shared" ca="1" si="38"/>
        <v>2.2252395755775426E-2</v>
      </c>
      <c r="H91" s="165">
        <f t="shared" ca="1" si="39"/>
        <v>2.1022280048633773E-4</v>
      </c>
      <c r="I91" s="165">
        <f t="shared" ca="1" si="40"/>
        <v>0.42454747948432248</v>
      </c>
      <c r="J91" s="165">
        <f t="shared" ca="1" si="41"/>
        <v>0.42454747948432231</v>
      </c>
      <c r="K91" s="165">
        <f t="shared" ca="1" si="42"/>
        <v>0.42454747948432225</v>
      </c>
      <c r="L91" s="165" t="str">
        <f t="shared" ca="1" si="43"/>
        <v/>
      </c>
      <c r="M91" s="165">
        <f t="shared" ca="1" si="31"/>
        <v>15</v>
      </c>
      <c r="N91" s="165" t="str">
        <f t="shared" si="44"/>
        <v>Overall: False claims of digital identity</v>
      </c>
      <c r="O91" s="119">
        <f t="shared" ca="1" si="32"/>
        <v>-1.0666666666667845E-3</v>
      </c>
      <c r="P91" s="119">
        <f t="shared" ca="1" si="33"/>
        <v>0</v>
      </c>
      <c r="Q91" s="119">
        <f t="shared" ca="1" si="34"/>
        <v>-4.5285064478332708E-4</v>
      </c>
      <c r="R91" s="119">
        <f t="shared" ca="1" si="45"/>
        <v>4.5285064478332708E-4</v>
      </c>
      <c r="T91" s="218">
        <f t="shared" ca="1" si="46"/>
        <v>-6.8386624813671255E-4</v>
      </c>
      <c r="CT91" s="247"/>
    </row>
    <row r="92" spans="1:98" x14ac:dyDescent="0.3">
      <c r="A92" s="165">
        <v>23</v>
      </c>
      <c r="B92" s="165">
        <f>COLUMN(E27) - COLUMN(C4)</f>
        <v>2</v>
      </c>
      <c r="C92" s="165">
        <f t="shared" si="35"/>
        <v>101</v>
      </c>
      <c r="D92" s="165" t="str">
        <f t="shared" si="30"/>
        <v>Overall: Media &amp; public perception</v>
      </c>
      <c r="E92" s="165">
        <f t="shared" ca="1" si="36"/>
        <v>0.95805396737266346</v>
      </c>
      <c r="F92" s="165">
        <f t="shared" ca="1" si="37"/>
        <v>4.7160641689189049E-2</v>
      </c>
      <c r="G92" s="165">
        <f t="shared" ca="1" si="38"/>
        <v>2.0433537905753904E-2</v>
      </c>
      <c r="H92" s="165">
        <f t="shared" ca="1" si="39"/>
        <v>9.2323709784326185E-4</v>
      </c>
      <c r="I92" s="165">
        <f t="shared" ca="1" si="40"/>
        <v>2.2111902541089208</v>
      </c>
      <c r="J92" s="165">
        <f t="shared" ca="1" si="41"/>
        <v>2.2111902541089172</v>
      </c>
      <c r="K92" s="165">
        <f t="shared" ca="1" si="42"/>
        <v>2.211190254108919</v>
      </c>
      <c r="L92" s="165" t="str">
        <f t="shared" ca="1" si="43"/>
        <v/>
      </c>
      <c r="M92" s="165">
        <f t="shared" ca="1" si="31"/>
        <v>5</v>
      </c>
      <c r="N92" s="165" t="str">
        <f t="shared" si="44"/>
        <v>Overall: Media &amp; public perception</v>
      </c>
      <c r="O92" s="119">
        <f t="shared" ca="1" si="32"/>
        <v>-1.0666666666667845E-3</v>
      </c>
      <c r="P92" s="119">
        <f t="shared" ca="1" si="33"/>
        <v>0</v>
      </c>
      <c r="Q92" s="119">
        <f t="shared" ca="1" si="34"/>
        <v>-2.3586029377164405E-3</v>
      </c>
      <c r="R92" s="119">
        <f t="shared" ca="1" si="45"/>
        <v>2.3586029377164405E-3</v>
      </c>
      <c r="T92" s="218">
        <f t="shared" ca="1" si="46"/>
        <v>1.8138223196796331E-3</v>
      </c>
      <c r="CT92" s="247"/>
    </row>
    <row r="93" spans="1:98" x14ac:dyDescent="0.3">
      <c r="A93" s="165">
        <v>24</v>
      </c>
      <c r="B93" s="165">
        <f>COLUMN(E28) - COLUMN(C4)</f>
        <v>2</v>
      </c>
      <c r="C93" s="165">
        <f t="shared" si="35"/>
        <v>101</v>
      </c>
      <c r="D93" s="165" t="str">
        <f t="shared" si="30"/>
        <v>Overall: Personal risk</v>
      </c>
      <c r="E93" s="165">
        <f t="shared" ca="1" si="36"/>
        <v>0.95650735842092738</v>
      </c>
      <c r="F93" s="165">
        <f t="shared" ca="1" si="37"/>
        <v>2.2306799124044388E-2</v>
      </c>
      <c r="G93" s="165">
        <f t="shared" ca="1" si="38"/>
        <v>2.0433537905753904E-2</v>
      </c>
      <c r="H93" s="165">
        <f t="shared" ca="1" si="39"/>
        <v>4.3598258256829386E-4</v>
      </c>
      <c r="I93" s="165">
        <f t="shared" ca="1" si="40"/>
        <v>1.0441959490019481</v>
      </c>
      <c r="J93" s="165">
        <f t="shared" ca="1" si="41"/>
        <v>1.0441959490019463</v>
      </c>
      <c r="K93" s="165">
        <f t="shared" ca="1" si="42"/>
        <v>1.044195949001947</v>
      </c>
      <c r="L93" s="165" t="str">
        <f t="shared" ca="1" si="43"/>
        <v/>
      </c>
      <c r="M93" s="165">
        <f t="shared" ca="1" si="31"/>
        <v>12</v>
      </c>
      <c r="N93" s="165" t="str">
        <f t="shared" si="44"/>
        <v>Overall: Personal risk</v>
      </c>
      <c r="O93" s="119">
        <f t="shared" ca="1" si="32"/>
        <v>-1.0666666666667845E-3</v>
      </c>
      <c r="P93" s="119">
        <f t="shared" ca="1" si="33"/>
        <v>0</v>
      </c>
      <c r="Q93" s="119">
        <f t="shared" ca="1" si="34"/>
        <v>-1.1138090122688664E-3</v>
      </c>
      <c r="R93" s="119">
        <f t="shared" ca="1" si="45"/>
        <v>1.1138090122688664E-3</v>
      </c>
      <c r="T93" s="218">
        <f t="shared" ca="1" si="46"/>
        <v>-1.8406064656725021E-3</v>
      </c>
      <c r="CT93" s="247"/>
    </row>
    <row r="94" spans="1:98" x14ac:dyDescent="0.3">
      <c r="A94" s="165">
        <v>25</v>
      </c>
      <c r="B94" s="165">
        <f>COLUMN(E29) - COLUMN(C4)</f>
        <v>2</v>
      </c>
      <c r="C94" s="165">
        <f t="shared" si="35"/>
        <v>101</v>
      </c>
      <c r="D94" s="165" t="str">
        <f t="shared" si="30"/>
        <v>Overall: Information sharing</v>
      </c>
      <c r="E94" s="165">
        <f t="shared" ca="1" si="36"/>
        <v>-0.12512080520164418</v>
      </c>
      <c r="F94" s="165">
        <f t="shared" ca="1" si="37"/>
        <v>8.5558930459719545E-2</v>
      </c>
      <c r="G94" s="165">
        <f t="shared" ca="1" si="38"/>
        <v>2.0433537905753904E-2</v>
      </c>
      <c r="H94" s="165">
        <f t="shared" ca="1" si="39"/>
        <v>-2.1874515639960798E-4</v>
      </c>
      <c r="I94" s="165">
        <f t="shared" ca="1" si="40"/>
        <v>-0.52390351199520413</v>
      </c>
      <c r="J94" s="165">
        <f t="shared" ca="1" si="41"/>
        <v>-0.52390351199520324</v>
      </c>
      <c r="K94" s="165">
        <f t="shared" ca="1" si="42"/>
        <v>-0.52390351199520369</v>
      </c>
      <c r="L94" s="165" t="str">
        <f t="shared" ca="1" si="43"/>
        <v/>
      </c>
      <c r="O94" s="119"/>
      <c r="P94" s="119"/>
      <c r="Q94" s="119"/>
      <c r="R94" s="119"/>
      <c r="CT94" s="247"/>
    </row>
    <row r="95" spans="1:98" x14ac:dyDescent="0.3">
      <c r="A95" s="165">
        <v>26</v>
      </c>
      <c r="B95" s="165">
        <f>COLUMN(E30) - COLUMN(C4)</f>
        <v>2</v>
      </c>
      <c r="C95" s="165">
        <f t="shared" si="35"/>
        <v>101</v>
      </c>
      <c r="D95" s="165" t="str">
        <f t="shared" si="30"/>
        <v>Total Index</v>
      </c>
      <c r="E95" s="165">
        <f t="shared" ca="1" si="36"/>
        <v>1</v>
      </c>
      <c r="F95" s="165">
        <f t="shared" ca="1" si="37"/>
        <v>2.0433537905753904E-2</v>
      </c>
      <c r="G95" s="165">
        <f t="shared" ca="1" si="38"/>
        <v>2.0433537905753904E-2</v>
      </c>
      <c r="H95" s="165">
        <f t="shared" ca="1" si="39"/>
        <v>4.1752947134588093E-4</v>
      </c>
      <c r="I95" s="165">
        <f t="shared" ca="1" si="40"/>
        <v>1</v>
      </c>
      <c r="J95" s="165">
        <f t="shared" ca="1" si="41"/>
        <v>0.99999999999999833</v>
      </c>
      <c r="K95" s="165">
        <f t="shared" ca="1" si="42"/>
        <v>1</v>
      </c>
      <c r="L95" s="165" t="str">
        <f t="shared" ca="1" si="43"/>
        <v/>
      </c>
      <c r="M95" s="165">
        <f ca="1">_xlfn.RANK.EQ(R95,$R$69:$R$95)</f>
        <v>18</v>
      </c>
      <c r="O95" s="119">
        <f ca="1">OFFSET($A$63,0,$P$67)</f>
        <v>-1.0666666666667845E-3</v>
      </c>
      <c r="P95" s="119">
        <f ca="1">VLOOKUP($D95,$D$37:$EL$63,$P$67-2,0)</f>
        <v>-1.0666666666667845E-3</v>
      </c>
      <c r="Q95" s="119">
        <f ca="1">O95*K95</f>
        <v>-1.0666666666667845E-3</v>
      </c>
      <c r="R95" s="119">
        <f t="shared" ca="1" si="45"/>
        <v>0</v>
      </c>
      <c r="CT95" s="247"/>
    </row>
    <row r="96" spans="1:98" x14ac:dyDescent="0.3">
      <c r="CT96" s="247"/>
    </row>
    <row r="97" spans="2:98" x14ac:dyDescent="0.3">
      <c r="CT97" s="247"/>
    </row>
    <row r="98" spans="2:98" x14ac:dyDescent="0.3">
      <c r="D98" s="166">
        <v>2</v>
      </c>
      <c r="E98" s="166">
        <v>3</v>
      </c>
      <c r="F98" s="166">
        <v>4</v>
      </c>
      <c r="G98" s="166">
        <v>5</v>
      </c>
      <c r="H98" s="166">
        <v>6</v>
      </c>
      <c r="CT98" s="247"/>
    </row>
    <row r="99" spans="2:98" ht="69" x14ac:dyDescent="0.3">
      <c r="B99" s="227"/>
      <c r="C99" s="220" t="s">
        <v>1243</v>
      </c>
      <c r="D99" s="221" t="str">
        <f>N68</f>
        <v>Risk</v>
      </c>
      <c r="E99" s="222" t="str">
        <f>R68</f>
        <v>Alpha, or unexpected change
(=Total - Predicted)</v>
      </c>
      <c r="F99" s="216" t="str">
        <f>O68</f>
        <v>Index change this month</v>
      </c>
      <c r="G99" s="216" t="str">
        <f>P68</f>
        <v>Sub-index change this month</v>
      </c>
      <c r="H99" s="216" t="str">
        <f>Q68</f>
        <v>Predicted by beta
(= beta * index change)</v>
      </c>
      <c r="I99" s="230" t="s">
        <v>1246</v>
      </c>
      <c r="J99" s="230" t="s">
        <v>1234</v>
      </c>
      <c r="CT99" s="247"/>
    </row>
    <row r="100" spans="2:98" x14ac:dyDescent="0.3">
      <c r="B100" s="269" t="s">
        <v>1329</v>
      </c>
      <c r="C100" s="233">
        <v>1</v>
      </c>
      <c r="D100" s="234" t="str">
        <f t="shared" ref="D100:D109" ca="1" si="47">VLOOKUP($C100,$M$68:$R$93,D$98,0)</f>
        <v>Weapons: Phishing/social engineering</v>
      </c>
      <c r="E100" s="235">
        <f t="shared" ref="E100:E124" ca="1" si="48">VLOOKUP($C100,$M$68:$R$93,H$98,0)</f>
        <v>1.5467485130787904E-2</v>
      </c>
      <c r="F100" s="226">
        <f t="shared" ref="F100:H124" ca="1" si="49">VLOOKUP($C100,$M$68:$R$93,E$98,0)</f>
        <v>-1.0666666666667845E-3</v>
      </c>
      <c r="G100" s="226">
        <f t="shared" ca="1" si="49"/>
        <v>1.3333333333333273E-2</v>
      </c>
      <c r="H100" s="226">
        <f t="shared" ca="1" si="49"/>
        <v>-2.1341517974546318E-3</v>
      </c>
      <c r="I100" s="231">
        <f t="shared" ref="I100:I124" ca="1" si="50">VLOOKUP(D100,$D$68:$I$95,2,0)</f>
        <v>0.97128805615942226</v>
      </c>
      <c r="J100" s="232">
        <f t="shared" ref="J100:J124" ca="1" si="51">VLOOKUP(D100,$D$68:$I$95,6,0)</f>
        <v>2.000767310113496</v>
      </c>
      <c r="CT100" s="247"/>
    </row>
    <row r="101" spans="2:98" x14ac:dyDescent="0.3">
      <c r="B101" s="269"/>
      <c r="C101" s="233">
        <v>2</v>
      </c>
      <c r="D101" s="234" t="str">
        <f t="shared" ca="1" si="47"/>
        <v>Attackers: Insider threat</v>
      </c>
      <c r="E101" s="235">
        <f t="shared" ca="1" si="48"/>
        <v>1.4032313271590194E-2</v>
      </c>
      <c r="F101" s="226">
        <f t="shared" ca="1" si="49"/>
        <v>-1.0666666666667845E-3</v>
      </c>
      <c r="G101" s="226">
        <f t="shared" ca="1" si="49"/>
        <v>1.3333333333333273E-2</v>
      </c>
      <c r="H101" s="226">
        <f t="shared" ca="1" si="49"/>
        <v>-6.9897993825691993E-4</v>
      </c>
      <c r="I101" s="231">
        <f t="shared" ca="1" si="50"/>
        <v>0.87124191962199027</v>
      </c>
      <c r="J101" s="232">
        <f t="shared" ca="1" si="51"/>
        <v>0.65529369211579114</v>
      </c>
      <c r="CT101" s="247"/>
    </row>
    <row r="102" spans="2:98" x14ac:dyDescent="0.3">
      <c r="B102" s="269"/>
      <c r="C102" s="233">
        <v>3</v>
      </c>
      <c r="D102" s="234" t="str">
        <f t="shared" ca="1" si="47"/>
        <v>Attackers: Criminals</v>
      </c>
      <c r="E102" s="235">
        <f t="shared" ca="1" si="48"/>
        <v>8.1630980175089705E-3</v>
      </c>
      <c r="F102" s="226">
        <f t="shared" ca="1" si="49"/>
        <v>-1.0666666666667845E-3</v>
      </c>
      <c r="G102" s="226">
        <f t="shared" ca="1" si="49"/>
        <v>6.6666666666667426E-3</v>
      </c>
      <c r="H102" s="226">
        <f t="shared" ca="1" si="49"/>
        <v>-1.496431350842228E-3</v>
      </c>
      <c r="I102" s="231">
        <f t="shared" ca="1" si="50"/>
        <v>0.9723452104858108</v>
      </c>
      <c r="J102" s="232">
        <f t="shared" ca="1" si="51"/>
        <v>1.4029043914144357</v>
      </c>
      <c r="CT102" s="247"/>
    </row>
    <row r="103" spans="2:98" x14ac:dyDescent="0.3">
      <c r="B103" s="269"/>
      <c r="C103" s="233">
        <v>4</v>
      </c>
      <c r="D103" s="234" t="str">
        <f t="shared" ca="1" si="47"/>
        <v>Attackers: Nation states</v>
      </c>
      <c r="E103" s="235">
        <f t="shared" ca="1" si="48"/>
        <v>8.1094120816846069E-3</v>
      </c>
      <c r="F103" s="226">
        <f t="shared" ca="1" si="49"/>
        <v>-1.0666666666667845E-3</v>
      </c>
      <c r="G103" s="226">
        <f t="shared" ca="1" si="49"/>
        <v>6.6666666666667426E-3</v>
      </c>
      <c r="H103" s="226">
        <f t="shared" ca="1" si="49"/>
        <v>-1.4427454150178652E-3</v>
      </c>
      <c r="I103" s="231">
        <f t="shared" ca="1" si="50"/>
        <v>0.96525316973974462</v>
      </c>
      <c r="J103" s="232">
        <f t="shared" ca="1" si="51"/>
        <v>1.3525738265791012</v>
      </c>
      <c r="CT103" s="247"/>
    </row>
    <row r="104" spans="2:98" x14ac:dyDescent="0.3">
      <c r="B104" s="269"/>
      <c r="C104" s="233">
        <v>5</v>
      </c>
      <c r="D104" s="234" t="str">
        <f t="shared" ca="1" si="47"/>
        <v>Overall: Media &amp; public perception</v>
      </c>
      <c r="E104" s="235">
        <f t="shared" ca="1" si="48"/>
        <v>2.3586029377164405E-3</v>
      </c>
      <c r="F104" s="226">
        <f t="shared" ca="1" si="49"/>
        <v>-1.0666666666667845E-3</v>
      </c>
      <c r="G104" s="226">
        <f t="shared" ca="1" si="49"/>
        <v>0</v>
      </c>
      <c r="H104" s="226">
        <f t="shared" ca="1" si="49"/>
        <v>-2.3586029377164405E-3</v>
      </c>
      <c r="I104" s="231">
        <f t="shared" ca="1" si="50"/>
        <v>0.95805396737266346</v>
      </c>
      <c r="J104" s="232">
        <f t="shared" ca="1" si="51"/>
        <v>2.2111902541089208</v>
      </c>
      <c r="CT104" s="247"/>
    </row>
    <row r="105" spans="2:98" x14ac:dyDescent="0.3">
      <c r="B105" s="227"/>
      <c r="C105" s="223">
        <v>6</v>
      </c>
      <c r="D105" s="224" t="str">
        <f t="shared" ca="1" si="47"/>
        <v>Effect desired: Data theft</v>
      </c>
      <c r="E105" s="225">
        <f t="shared" ca="1" si="48"/>
        <v>1.8317340003933793E-3</v>
      </c>
      <c r="F105" s="226">
        <f t="shared" ca="1" si="49"/>
        <v>-1.0666666666667845E-3</v>
      </c>
      <c r="G105" s="226">
        <f t="shared" ca="1" si="49"/>
        <v>0</v>
      </c>
      <c r="H105" s="226">
        <f t="shared" ca="1" si="49"/>
        <v>-1.8317340003933793E-3</v>
      </c>
      <c r="I105" s="231">
        <f t="shared" ca="1" si="50"/>
        <v>0.9794955640044789</v>
      </c>
      <c r="J105" s="232">
        <f t="shared" ca="1" si="51"/>
        <v>1.7172506253686044</v>
      </c>
      <c r="CT105" s="247"/>
    </row>
    <row r="106" spans="2:98" x14ac:dyDescent="0.3">
      <c r="B106" s="227"/>
      <c r="C106" s="223">
        <v>7</v>
      </c>
      <c r="D106" s="224" t="str">
        <f t="shared" ca="1" si="47"/>
        <v>Target: Counterparties</v>
      </c>
      <c r="E106" s="225">
        <f t="shared" ca="1" si="48"/>
        <v>1.4345166635759024E-3</v>
      </c>
      <c r="F106" s="226">
        <f t="shared" ca="1" si="49"/>
        <v>-1.0666666666667845E-3</v>
      </c>
      <c r="G106" s="226">
        <f t="shared" ca="1" si="49"/>
        <v>0</v>
      </c>
      <c r="H106" s="226">
        <f t="shared" ca="1" si="49"/>
        <v>-1.4345166635759024E-3</v>
      </c>
      <c r="I106" s="231">
        <f t="shared" ca="1" si="50"/>
        <v>0.97699637813084306</v>
      </c>
      <c r="J106" s="232">
        <f t="shared" ca="1" si="51"/>
        <v>1.3448593721022595</v>
      </c>
    </row>
    <row r="107" spans="2:98" x14ac:dyDescent="0.3">
      <c r="B107" s="227"/>
      <c r="C107" s="223">
        <v>8</v>
      </c>
      <c r="D107" s="224" t="str">
        <f t="shared" ca="1" si="47"/>
        <v>Target: Web facing applications</v>
      </c>
      <c r="E107" s="225">
        <f t="shared" ca="1" si="48"/>
        <v>1.4184664524658065E-3</v>
      </c>
      <c r="F107" s="226">
        <f t="shared" ca="1" si="49"/>
        <v>-1.0666666666667845E-3</v>
      </c>
      <c r="G107" s="226">
        <f t="shared" ca="1" si="49"/>
        <v>0</v>
      </c>
      <c r="H107" s="226">
        <f t="shared" ca="1" si="49"/>
        <v>-1.4184664524658065E-3</v>
      </c>
      <c r="I107" s="231">
        <f t="shared" ca="1" si="50"/>
        <v>0.97188192300797904</v>
      </c>
      <c r="J107" s="232">
        <f t="shared" ca="1" si="51"/>
        <v>1.3298122991865478</v>
      </c>
    </row>
    <row r="108" spans="2:98" x14ac:dyDescent="0.3">
      <c r="B108" s="227"/>
      <c r="C108" s="223">
        <v>9</v>
      </c>
      <c r="D108" s="224" t="str">
        <f t="shared" ca="1" si="47"/>
        <v>Weapons: Vulnerability exploitation</v>
      </c>
      <c r="E108" s="225">
        <f t="shared" ca="1" si="48"/>
        <v>1.3852806595289649E-3</v>
      </c>
      <c r="F108" s="226">
        <f t="shared" ca="1" si="49"/>
        <v>-1.0666666666667845E-3</v>
      </c>
      <c r="G108" s="226">
        <f t="shared" ca="1" si="49"/>
        <v>0</v>
      </c>
      <c r="H108" s="226">
        <f t="shared" ca="1" si="49"/>
        <v>-1.3852806595289649E-3</v>
      </c>
      <c r="I108" s="231">
        <f t="shared" ca="1" si="50"/>
        <v>0.96016461741239045</v>
      </c>
      <c r="J108" s="232">
        <f t="shared" ca="1" si="51"/>
        <v>1.2987006183082623</v>
      </c>
    </row>
    <row r="109" spans="2:98" x14ac:dyDescent="0.3">
      <c r="B109" s="227"/>
      <c r="C109" s="223">
        <v>10</v>
      </c>
      <c r="D109" s="224" t="str">
        <f t="shared" ca="1" si="47"/>
        <v>Defenses: Vulnerability to unknown threats</v>
      </c>
      <c r="E109" s="225">
        <f t="shared" ca="1" si="48"/>
        <v>1.3341464515039584E-3</v>
      </c>
      <c r="F109" s="226">
        <f t="shared" ca="1" si="49"/>
        <v>-1.0666666666667845E-3</v>
      </c>
      <c r="G109" s="226">
        <f t="shared" ca="1" si="49"/>
        <v>0</v>
      </c>
      <c r="H109" s="226">
        <f t="shared" ca="1" si="49"/>
        <v>-1.3341464515039584E-3</v>
      </c>
      <c r="I109" s="231">
        <f t="shared" ca="1" si="50"/>
        <v>0.96592291187234247</v>
      </c>
      <c r="J109" s="232">
        <f t="shared" ca="1" si="51"/>
        <v>1.250762298284823</v>
      </c>
    </row>
    <row r="110" spans="2:98" x14ac:dyDescent="0.3">
      <c r="B110" s="227"/>
      <c r="C110" s="223">
        <v>11</v>
      </c>
      <c r="D110" s="224" t="str">
        <f t="shared" ref="D110:D124" ca="1" si="52">VLOOKUP($C110,$M$68:$R$93,D$98,0)</f>
        <v>Weapons: Customized to target</v>
      </c>
      <c r="E110" s="225">
        <f t="shared" ca="1" si="48"/>
        <v>1.2071304975271742E-3</v>
      </c>
      <c r="F110" s="226">
        <f t="shared" ca="1" si="49"/>
        <v>-1.0666666666667845E-3</v>
      </c>
      <c r="G110" s="226">
        <f t="shared" ca="1" si="49"/>
        <v>0</v>
      </c>
      <c r="H110" s="226">
        <f t="shared" ca="1" si="49"/>
        <v>-1.2071304975271742E-3</v>
      </c>
      <c r="I110" s="231">
        <f t="shared" ca="1" si="50"/>
        <v>0.94491845640845518</v>
      </c>
      <c r="J110" s="232">
        <f t="shared" ca="1" si="51"/>
        <v>1.1316848414316014</v>
      </c>
    </row>
    <row r="111" spans="2:98" x14ac:dyDescent="0.3">
      <c r="B111" s="227"/>
      <c r="C111" s="223">
        <v>12</v>
      </c>
      <c r="D111" s="224" t="str">
        <f t="shared" ca="1" si="52"/>
        <v>Overall: Personal risk</v>
      </c>
      <c r="E111" s="225">
        <f t="shared" ca="1" si="48"/>
        <v>1.1138090122688664E-3</v>
      </c>
      <c r="F111" s="226">
        <f t="shared" ca="1" si="49"/>
        <v>-1.0666666666667845E-3</v>
      </c>
      <c r="G111" s="226">
        <f t="shared" ca="1" si="49"/>
        <v>0</v>
      </c>
      <c r="H111" s="226">
        <f t="shared" ca="1" si="49"/>
        <v>-1.1138090122688664E-3</v>
      </c>
      <c r="I111" s="231">
        <f t="shared" ca="1" si="50"/>
        <v>0.95650735842092738</v>
      </c>
      <c r="J111" s="232">
        <f t="shared" ca="1" si="51"/>
        <v>1.0441959490019481</v>
      </c>
    </row>
    <row r="112" spans="2:98" x14ac:dyDescent="0.3">
      <c r="B112" s="227"/>
      <c r="C112" s="223">
        <v>13</v>
      </c>
      <c r="D112" s="224" t="str">
        <f t="shared" ca="1" si="52"/>
        <v>Target: Public infrastructure/cloud</v>
      </c>
      <c r="E112" s="225">
        <f t="shared" ca="1" si="48"/>
        <v>1.0140153765402248E-3</v>
      </c>
      <c r="F112" s="226">
        <f t="shared" ca="1" si="49"/>
        <v>-1.0666666666667845E-3</v>
      </c>
      <c r="G112" s="226">
        <f t="shared" ca="1" si="49"/>
        <v>0</v>
      </c>
      <c r="H112" s="226">
        <f t="shared" ca="1" si="49"/>
        <v>-1.0140153765402248E-3</v>
      </c>
      <c r="I112" s="231">
        <f t="shared" ca="1" si="50"/>
        <v>0.96664743515441298</v>
      </c>
      <c r="J112" s="232">
        <f t="shared" ca="1" si="51"/>
        <v>0.95063941550635556</v>
      </c>
    </row>
    <row r="113" spans="2:10" x14ac:dyDescent="0.3">
      <c r="B113" s="227"/>
      <c r="C113" s="223">
        <v>14</v>
      </c>
      <c r="D113" s="224" t="str">
        <f t="shared" ca="1" si="52"/>
        <v>Target: Internet exposed devices/appliances</v>
      </c>
      <c r="E113" s="225">
        <f t="shared" ca="1" si="48"/>
        <v>9.5451663942059685E-4</v>
      </c>
      <c r="F113" s="226">
        <f t="shared" ca="1" si="49"/>
        <v>-1.0666666666667845E-3</v>
      </c>
      <c r="G113" s="226">
        <f t="shared" ca="1" si="49"/>
        <v>0</v>
      </c>
      <c r="H113" s="226">
        <f t="shared" ca="1" si="49"/>
        <v>-9.5451663942059685E-4</v>
      </c>
      <c r="I113" s="231">
        <f t="shared" ca="1" si="50"/>
        <v>0.94813981087249255</v>
      </c>
      <c r="J113" s="232">
        <f t="shared" ca="1" si="51"/>
        <v>0.89485934945671175</v>
      </c>
    </row>
    <row r="114" spans="2:10" x14ac:dyDescent="0.3">
      <c r="B114" s="227"/>
      <c r="C114" s="223">
        <v>15</v>
      </c>
      <c r="D114" s="224" t="str">
        <f t="shared" ca="1" si="52"/>
        <v>Overall: False claims of digital identity</v>
      </c>
      <c r="E114" s="225">
        <f t="shared" ca="1" si="48"/>
        <v>4.5285064478332708E-4</v>
      </c>
      <c r="F114" s="226">
        <f t="shared" ca="1" si="49"/>
        <v>-1.0666666666667845E-3</v>
      </c>
      <c r="G114" s="226">
        <f t="shared" ca="1" si="49"/>
        <v>0</v>
      </c>
      <c r="H114" s="226">
        <f t="shared" ca="1" si="49"/>
        <v>-4.5285064478332708E-4</v>
      </c>
      <c r="I114" s="231">
        <f t="shared" ca="1" si="50"/>
        <v>0.89802589789342147</v>
      </c>
      <c r="J114" s="232">
        <f t="shared" ca="1" si="51"/>
        <v>0.42454747948432248</v>
      </c>
    </row>
    <row r="115" spans="2:10" x14ac:dyDescent="0.3">
      <c r="B115" s="227"/>
      <c r="C115" s="223">
        <v>16</v>
      </c>
      <c r="D115" s="224" t="str">
        <f t="shared" ca="1" si="52"/>
        <v>Target: Autonomous network connected devices</v>
      </c>
      <c r="E115" s="225">
        <f t="shared" ca="1" si="48"/>
        <v>3.6959640393864846E-4</v>
      </c>
      <c r="F115" s="226">
        <f t="shared" ca="1" si="49"/>
        <v>-1.0666666666667845E-3</v>
      </c>
      <c r="G115" s="226">
        <f t="shared" ca="1" si="49"/>
        <v>0</v>
      </c>
      <c r="H115" s="226">
        <f t="shared" ca="1" si="49"/>
        <v>-3.6959640393864846E-4</v>
      </c>
      <c r="I115" s="231">
        <f t="shared" ca="1" si="50"/>
        <v>0.78042933509258183</v>
      </c>
      <c r="J115" s="232">
        <f t="shared" ca="1" si="51"/>
        <v>0.34649662869244469</v>
      </c>
    </row>
    <row r="116" spans="2:10" x14ac:dyDescent="0.3">
      <c r="B116" s="227"/>
      <c r="C116" s="223">
        <v>17</v>
      </c>
      <c r="D116" s="224" t="str">
        <f t="shared" ca="1" si="52"/>
        <v>Defenses: Vulnerability to known threats</v>
      </c>
      <c r="E116" s="225">
        <f t="shared" ca="1" si="48"/>
        <v>2.7956430278510959E-4</v>
      </c>
      <c r="F116" s="226">
        <f t="shared" ca="1" si="49"/>
        <v>-1.0666666666667845E-3</v>
      </c>
      <c r="G116" s="226">
        <f t="shared" ca="1" si="49"/>
        <v>0</v>
      </c>
      <c r="H116" s="226">
        <f t="shared" ca="1" si="49"/>
        <v>-2.7956430278510959E-4</v>
      </c>
      <c r="I116" s="231">
        <f t="shared" ca="1" si="50"/>
        <v>0.63615422308651337</v>
      </c>
      <c r="J116" s="232">
        <f t="shared" ca="1" si="51"/>
        <v>0.26209153386101147</v>
      </c>
    </row>
    <row r="117" spans="2:10" x14ac:dyDescent="0.3">
      <c r="B117" s="227"/>
      <c r="C117" s="223">
        <v>18</v>
      </c>
      <c r="D117" s="224" t="str">
        <f t="shared" ca="1" si="52"/>
        <v>Target: End points</v>
      </c>
      <c r="E117" s="225">
        <f t="shared" ca="1" si="48"/>
        <v>-5.3007699182520346E-3</v>
      </c>
      <c r="F117" s="226">
        <f t="shared" ca="1" si="49"/>
        <v>-1.0666666666667845E-3</v>
      </c>
      <c r="G117" s="226">
        <f t="shared" ca="1" si="49"/>
        <v>-6.6666666666665327E-3</v>
      </c>
      <c r="H117" s="226">
        <f t="shared" ca="1" si="49"/>
        <v>-1.365896748414498E-3</v>
      </c>
      <c r="I117" s="231">
        <f t="shared" ca="1" si="50"/>
        <v>0.97702966712003858</v>
      </c>
      <c r="J117" s="232">
        <f t="shared" ca="1" si="51"/>
        <v>1.2805282016384507</v>
      </c>
    </row>
    <row r="118" spans="2:10" x14ac:dyDescent="0.3">
      <c r="B118" s="227"/>
      <c r="C118" s="223">
        <v>19</v>
      </c>
      <c r="D118" s="224" t="str">
        <f t="shared" ca="1" si="52"/>
        <v>Attackers: Activist/hacktivists</v>
      </c>
      <c r="E118" s="225">
        <f t="shared" ca="1" si="48"/>
        <v>-5.6457340762942499E-3</v>
      </c>
      <c r="F118" s="226">
        <f t="shared" ca="1" si="49"/>
        <v>-1.0666666666667845E-3</v>
      </c>
      <c r="G118" s="226">
        <f t="shared" ca="1" si="49"/>
        <v>-6.6666666666665327E-3</v>
      </c>
      <c r="H118" s="226">
        <f t="shared" ca="1" si="49"/>
        <v>-1.0209325903722832E-3</v>
      </c>
      <c r="I118" s="231">
        <f t="shared" ca="1" si="50"/>
        <v>0.87716806202756903</v>
      </c>
      <c r="J118" s="232">
        <f t="shared" ca="1" si="51"/>
        <v>0.95712430347391031</v>
      </c>
    </row>
    <row r="119" spans="2:10" x14ac:dyDescent="0.3">
      <c r="B119" s="227"/>
      <c r="C119" s="223">
        <v>20</v>
      </c>
      <c r="D119" s="224" t="str">
        <f t="shared" ca="1" si="52"/>
        <v>Target: Mobile devices</v>
      </c>
      <c r="E119" s="225">
        <f t="shared" ca="1" si="48"/>
        <v>-5.7553569603432976E-3</v>
      </c>
      <c r="F119" s="226">
        <f t="shared" ca="1" si="49"/>
        <v>-1.0666666666667845E-3</v>
      </c>
      <c r="G119" s="226">
        <f t="shared" ca="1" si="49"/>
        <v>-6.6666666666666445E-3</v>
      </c>
      <c r="H119" s="226">
        <f t="shared" ca="1" si="49"/>
        <v>-9.1130970632334737E-4</v>
      </c>
      <c r="I119" s="231">
        <f t="shared" ca="1" si="50"/>
        <v>0.92230153800363668</v>
      </c>
      <c r="J119" s="232">
        <f t="shared" ca="1" si="51"/>
        <v>0.85435284967804437</v>
      </c>
    </row>
    <row r="120" spans="2:10" ht="15" customHeight="1" x14ac:dyDescent="0.3">
      <c r="B120" s="269" t="s">
        <v>1330</v>
      </c>
      <c r="C120" s="236">
        <v>21</v>
      </c>
      <c r="D120" s="237" t="str">
        <f t="shared" ca="1" si="52"/>
        <v>Effect desired: Business disruption</v>
      </c>
      <c r="E120" s="238">
        <f t="shared" ca="1" si="48"/>
        <v>-5.7642554919061654E-3</v>
      </c>
      <c r="F120" s="226">
        <f t="shared" ca="1" si="49"/>
        <v>-1.0666666666667845E-3</v>
      </c>
      <c r="G120" s="226">
        <f t="shared" ca="1" si="49"/>
        <v>-6.6666666666666445E-3</v>
      </c>
      <c r="H120" s="226">
        <f t="shared" ca="1" si="49"/>
        <v>-9.0241117476047952E-4</v>
      </c>
      <c r="I120" s="231">
        <f t="shared" ca="1" si="50"/>
        <v>0.91339214338147989</v>
      </c>
      <c r="J120" s="232">
        <f t="shared" ca="1" si="51"/>
        <v>0.84601047633785664</v>
      </c>
    </row>
    <row r="121" spans="2:10" x14ac:dyDescent="0.3">
      <c r="B121" s="269"/>
      <c r="C121" s="236">
        <v>22</v>
      </c>
      <c r="D121" s="237" t="str">
        <f t="shared" ca="1" si="52"/>
        <v>Attackers: Strategic rivals</v>
      </c>
      <c r="E121" s="238">
        <f t="shared" ca="1" si="48"/>
        <v>-6.1230756246199013E-3</v>
      </c>
      <c r="F121" s="226">
        <f t="shared" ca="1" si="49"/>
        <v>-1.0666666666667845E-3</v>
      </c>
      <c r="G121" s="226">
        <f t="shared" ca="1" si="49"/>
        <v>-6.6666666666666445E-3</v>
      </c>
      <c r="H121" s="226">
        <f t="shared" ca="1" si="49"/>
        <v>-5.4359104204674364E-4</v>
      </c>
      <c r="I121" s="231">
        <f t="shared" ca="1" si="50"/>
        <v>0.78307812209955785</v>
      </c>
      <c r="J121" s="232">
        <f t="shared" ca="1" si="51"/>
        <v>0.50961660191876645</v>
      </c>
    </row>
    <row r="122" spans="2:10" x14ac:dyDescent="0.3">
      <c r="B122" s="269"/>
      <c r="C122" s="236">
        <v>23</v>
      </c>
      <c r="D122" s="237" t="str">
        <f t="shared" ca="1" si="52"/>
        <v>Effect desired: Data modification</v>
      </c>
      <c r="E122" s="238">
        <f t="shared" ca="1" si="48"/>
        <v>-6.5987723320570357E-3</v>
      </c>
      <c r="F122" s="226">
        <f t="shared" ca="1" si="49"/>
        <v>-1.0666666666667845E-3</v>
      </c>
      <c r="G122" s="226">
        <f t="shared" ca="1" si="49"/>
        <v>-6.6666666666665327E-3</v>
      </c>
      <c r="H122" s="226">
        <f t="shared" ca="1" si="49"/>
        <v>-6.789433460949732E-5</v>
      </c>
      <c r="I122" s="231">
        <f t="shared" ca="1" si="50"/>
        <v>0.25657786819384482</v>
      </c>
      <c r="J122" s="232">
        <f t="shared" ca="1" si="51"/>
        <v>6.3650938696396722E-2</v>
      </c>
    </row>
    <row r="123" spans="2:10" x14ac:dyDescent="0.3">
      <c r="B123" s="269"/>
      <c r="C123" s="236">
        <v>24</v>
      </c>
      <c r="D123" s="237" t="str">
        <f t="shared" ca="1" si="52"/>
        <v>Weapons: Mass malware</v>
      </c>
      <c r="E123" s="238">
        <f t="shared" ca="1" si="48"/>
        <v>-1.2616471529215653E-2</v>
      </c>
      <c r="F123" s="226">
        <f t="shared" ca="1" si="49"/>
        <v>-1.0666666666667845E-3</v>
      </c>
      <c r="G123" s="226">
        <f t="shared" ca="1" si="49"/>
        <v>-1.3333333333333247E-2</v>
      </c>
      <c r="H123" s="226">
        <f t="shared" ca="1" si="49"/>
        <v>-7.1686180411759397E-4</v>
      </c>
      <c r="I123" s="231">
        <f t="shared" ca="1" si="50"/>
        <v>0.836526624431705</v>
      </c>
      <c r="J123" s="232">
        <f t="shared" ca="1" si="51"/>
        <v>0.6720579413601705</v>
      </c>
    </row>
    <row r="124" spans="2:10" x14ac:dyDescent="0.3">
      <c r="B124" s="269"/>
      <c r="C124" s="236">
        <v>25</v>
      </c>
      <c r="D124" s="237" t="str">
        <f t="shared" ca="1" si="52"/>
        <v>Weapons: Botnets</v>
      </c>
      <c r="E124" s="238">
        <f t="shared" ca="1" si="48"/>
        <v>-1.2977469758371506E-2</v>
      </c>
      <c r="F124" s="226">
        <f t="shared" ca="1" si="49"/>
        <v>-1.0666666666667845E-3</v>
      </c>
      <c r="G124" s="226">
        <f t="shared" ca="1" si="49"/>
        <v>-1.333333333333336E-2</v>
      </c>
      <c r="H124" s="226">
        <f t="shared" ca="1" si="49"/>
        <v>-3.5586357496185427E-4</v>
      </c>
      <c r="I124" s="231">
        <f t="shared" ca="1" si="50"/>
        <v>0.59323164822350105</v>
      </c>
      <c r="J124" s="232">
        <f t="shared" ca="1" si="51"/>
        <v>0.33362210152670152</v>
      </c>
    </row>
    <row r="126" spans="2:10" x14ac:dyDescent="0.3">
      <c r="B126" s="165" t="s">
        <v>2156</v>
      </c>
      <c r="D126" s="165" t="s">
        <v>2154</v>
      </c>
      <c r="E126" s="165" t="s">
        <v>2155</v>
      </c>
    </row>
    <row r="127" spans="2:10" x14ac:dyDescent="0.3">
      <c r="D127" s="165" t="str">
        <f ca="1">D100</f>
        <v>Weapons: Phishing/social engineering</v>
      </c>
      <c r="E127" s="165">
        <f ca="1">ROUND(E100,3)*100</f>
        <v>1.5</v>
      </c>
    </row>
    <row r="128" spans="2:10" x14ac:dyDescent="0.3">
      <c r="D128" s="165" t="str">
        <f t="shared" ref="D128:D151" ca="1" si="53">D101</f>
        <v>Attackers: Insider threat</v>
      </c>
      <c r="E128" s="165">
        <f t="shared" ref="E128:E151" ca="1" si="54">ROUND(E101,3)*100</f>
        <v>1.4000000000000001</v>
      </c>
    </row>
    <row r="129" spans="4:5" x14ac:dyDescent="0.3">
      <c r="D129" s="165" t="str">
        <f t="shared" ca="1" si="53"/>
        <v>Attackers: Criminals</v>
      </c>
      <c r="E129" s="165">
        <f t="shared" ca="1" si="54"/>
        <v>0.8</v>
      </c>
    </row>
    <row r="130" spans="4:5" x14ac:dyDescent="0.3">
      <c r="D130" s="165" t="str">
        <f t="shared" ca="1" si="53"/>
        <v>Attackers: Nation states</v>
      </c>
      <c r="E130" s="165">
        <f t="shared" ca="1" si="54"/>
        <v>0.8</v>
      </c>
    </row>
    <row r="131" spans="4:5" x14ac:dyDescent="0.3">
      <c r="D131" s="165" t="str">
        <f t="shared" ca="1" si="53"/>
        <v>Overall: Media &amp; public perception</v>
      </c>
      <c r="E131" s="165">
        <f t="shared" ca="1" si="54"/>
        <v>0.2</v>
      </c>
    </row>
    <row r="132" spans="4:5" x14ac:dyDescent="0.3">
      <c r="D132" s="165" t="str">
        <f t="shared" ca="1" si="53"/>
        <v>Effect desired: Data theft</v>
      </c>
      <c r="E132" s="165">
        <f t="shared" ca="1" si="54"/>
        <v>0.2</v>
      </c>
    </row>
    <row r="133" spans="4:5" x14ac:dyDescent="0.3">
      <c r="D133" s="165" t="str">
        <f t="shared" ca="1" si="53"/>
        <v>Target: Counterparties</v>
      </c>
      <c r="E133" s="165">
        <f t="shared" ca="1" si="54"/>
        <v>0.1</v>
      </c>
    </row>
    <row r="134" spans="4:5" x14ac:dyDescent="0.3">
      <c r="D134" s="165" t="str">
        <f t="shared" ca="1" si="53"/>
        <v>Target: Web facing applications</v>
      </c>
      <c r="E134" s="165">
        <f t="shared" ca="1" si="54"/>
        <v>0.1</v>
      </c>
    </row>
    <row r="135" spans="4:5" x14ac:dyDescent="0.3">
      <c r="D135" s="165" t="str">
        <f t="shared" ca="1" si="53"/>
        <v>Weapons: Vulnerability exploitation</v>
      </c>
      <c r="E135" s="165">
        <f t="shared" ca="1" si="54"/>
        <v>0.1</v>
      </c>
    </row>
    <row r="136" spans="4:5" x14ac:dyDescent="0.3">
      <c r="D136" s="165" t="str">
        <f t="shared" ca="1" si="53"/>
        <v>Defenses: Vulnerability to unknown threats</v>
      </c>
      <c r="E136" s="165">
        <f t="shared" ca="1" si="54"/>
        <v>0.1</v>
      </c>
    </row>
    <row r="137" spans="4:5" x14ac:dyDescent="0.3">
      <c r="D137" s="165" t="str">
        <f t="shared" ca="1" si="53"/>
        <v>Weapons: Customized to target</v>
      </c>
      <c r="E137" s="165">
        <f t="shared" ca="1" si="54"/>
        <v>0.1</v>
      </c>
    </row>
    <row r="138" spans="4:5" x14ac:dyDescent="0.3">
      <c r="D138" s="165" t="str">
        <f t="shared" ca="1" si="53"/>
        <v>Overall: Personal risk</v>
      </c>
      <c r="E138" s="165">
        <f t="shared" ca="1" si="54"/>
        <v>0.1</v>
      </c>
    </row>
    <row r="139" spans="4:5" x14ac:dyDescent="0.3">
      <c r="D139" s="165" t="str">
        <f t="shared" ca="1" si="53"/>
        <v>Target: Public infrastructure/cloud</v>
      </c>
      <c r="E139" s="165">
        <f t="shared" ca="1" si="54"/>
        <v>0.1</v>
      </c>
    </row>
    <row r="140" spans="4:5" x14ac:dyDescent="0.3">
      <c r="D140" s="165" t="str">
        <f t="shared" ca="1" si="53"/>
        <v>Target: Internet exposed devices/appliances</v>
      </c>
      <c r="E140" s="165">
        <f t="shared" ca="1" si="54"/>
        <v>0.1</v>
      </c>
    </row>
    <row r="141" spans="4:5" x14ac:dyDescent="0.3">
      <c r="D141" s="165" t="str">
        <f t="shared" ca="1" si="53"/>
        <v>Overall: False claims of digital identity</v>
      </c>
      <c r="E141" s="165">
        <f t="shared" ca="1" si="54"/>
        <v>0</v>
      </c>
    </row>
    <row r="142" spans="4:5" x14ac:dyDescent="0.3">
      <c r="D142" s="165" t="str">
        <f t="shared" ca="1" si="53"/>
        <v>Target: Autonomous network connected devices</v>
      </c>
      <c r="E142" s="165">
        <f t="shared" ca="1" si="54"/>
        <v>0</v>
      </c>
    </row>
    <row r="143" spans="4:5" x14ac:dyDescent="0.3">
      <c r="D143" s="165" t="str">
        <f t="shared" ca="1" si="53"/>
        <v>Defenses: Vulnerability to known threats</v>
      </c>
      <c r="E143" s="165">
        <f t="shared" ca="1" si="54"/>
        <v>0</v>
      </c>
    </row>
    <row r="144" spans="4:5" x14ac:dyDescent="0.3">
      <c r="D144" s="165" t="str">
        <f t="shared" ca="1" si="53"/>
        <v>Target: End points</v>
      </c>
      <c r="E144" s="165">
        <f t="shared" ca="1" si="54"/>
        <v>-0.5</v>
      </c>
    </row>
    <row r="145" spans="2:5" x14ac:dyDescent="0.3">
      <c r="D145" s="165" t="str">
        <f t="shared" ca="1" si="53"/>
        <v>Attackers: Activist/hacktivists</v>
      </c>
      <c r="E145" s="165">
        <f t="shared" ca="1" si="54"/>
        <v>-0.6</v>
      </c>
    </row>
    <row r="146" spans="2:5" x14ac:dyDescent="0.3">
      <c r="D146" s="165" t="str">
        <f t="shared" ca="1" si="53"/>
        <v>Target: Mobile devices</v>
      </c>
      <c r="E146" s="165">
        <f t="shared" ca="1" si="54"/>
        <v>-0.6</v>
      </c>
    </row>
    <row r="147" spans="2:5" x14ac:dyDescent="0.3">
      <c r="D147" s="165" t="str">
        <f t="shared" ca="1" si="53"/>
        <v>Effect desired: Business disruption</v>
      </c>
      <c r="E147" s="165">
        <f t="shared" ca="1" si="54"/>
        <v>-0.6</v>
      </c>
    </row>
    <row r="148" spans="2:5" x14ac:dyDescent="0.3">
      <c r="D148" s="165" t="str">
        <f t="shared" ca="1" si="53"/>
        <v>Attackers: Strategic rivals</v>
      </c>
      <c r="E148" s="165">
        <f t="shared" ca="1" si="54"/>
        <v>-0.6</v>
      </c>
    </row>
    <row r="149" spans="2:5" x14ac:dyDescent="0.3">
      <c r="D149" s="165" t="str">
        <f t="shared" ca="1" si="53"/>
        <v>Effect desired: Data modification</v>
      </c>
      <c r="E149" s="165">
        <f t="shared" ca="1" si="54"/>
        <v>-0.70000000000000007</v>
      </c>
    </row>
    <row r="150" spans="2:5" x14ac:dyDescent="0.3">
      <c r="D150" s="165" t="str">
        <f t="shared" ca="1" si="53"/>
        <v>Weapons: Mass malware</v>
      </c>
      <c r="E150" s="165">
        <f t="shared" ca="1" si="54"/>
        <v>-1.3</v>
      </c>
    </row>
    <row r="151" spans="2:5" x14ac:dyDescent="0.3">
      <c r="D151" s="165" t="str">
        <f t="shared" ca="1" si="53"/>
        <v>Weapons: Botnets</v>
      </c>
      <c r="E151" s="165">
        <f t="shared" ca="1" si="54"/>
        <v>-1.3</v>
      </c>
    </row>
    <row r="153" spans="2:5" x14ac:dyDescent="0.3">
      <c r="D153" s="165" t="s">
        <v>2154</v>
      </c>
      <c r="E153" s="165" t="s">
        <v>2548</v>
      </c>
    </row>
    <row r="154" spans="2:5" x14ac:dyDescent="0.3">
      <c r="B154" s="165" t="s">
        <v>2547</v>
      </c>
      <c r="D154" s="165" t="str">
        <f ca="1">D151</f>
        <v>Weapons: Botnets</v>
      </c>
      <c r="E154" s="165">
        <f ca="1">E151</f>
        <v>-1.3</v>
      </c>
    </row>
    <row r="155" spans="2:5" x14ac:dyDescent="0.3">
      <c r="D155" s="165" t="str">
        <f ca="1">D150</f>
        <v>Weapons: Mass malware</v>
      </c>
      <c r="E155" s="247">
        <f ca="1">E150</f>
        <v>-1.3</v>
      </c>
    </row>
    <row r="156" spans="2:5" x14ac:dyDescent="0.3">
      <c r="D156" s="165" t="str">
        <f ca="1">D149</f>
        <v>Effect desired: Data modification</v>
      </c>
      <c r="E156" s="247">
        <f ca="1">E149</f>
        <v>-0.70000000000000007</v>
      </c>
    </row>
    <row r="157" spans="2:5" x14ac:dyDescent="0.3">
      <c r="D157" s="165" t="str">
        <f ca="1">D148</f>
        <v>Attackers: Strategic rivals</v>
      </c>
      <c r="E157" s="247">
        <f ca="1">E148</f>
        <v>-0.6</v>
      </c>
    </row>
    <row r="158" spans="2:5" x14ac:dyDescent="0.3">
      <c r="D158" s="165" t="str">
        <f ca="1">D147</f>
        <v>Effect desired: Business disruption</v>
      </c>
      <c r="E158" s="247">
        <f ca="1">E147</f>
        <v>-0.6</v>
      </c>
    </row>
    <row r="159" spans="2:5" x14ac:dyDescent="0.3">
      <c r="D159" s="165" t="str">
        <f ca="1">D146</f>
        <v>Target: Mobile devices</v>
      </c>
      <c r="E159" s="247">
        <f ca="1">E146</f>
        <v>-0.6</v>
      </c>
    </row>
    <row r="160" spans="2:5" x14ac:dyDescent="0.3">
      <c r="D160" s="165" t="str">
        <f ca="1">D145</f>
        <v>Attackers: Activist/hacktivists</v>
      </c>
      <c r="E160" s="247">
        <f ca="1">E145</f>
        <v>-0.6</v>
      </c>
    </row>
    <row r="161" spans="4:5" x14ac:dyDescent="0.3">
      <c r="D161" s="165" t="str">
        <f ca="1">D144</f>
        <v>Target: End points</v>
      </c>
      <c r="E161" s="247">
        <f ca="1">E144</f>
        <v>-0.5</v>
      </c>
    </row>
    <row r="162" spans="4:5" x14ac:dyDescent="0.3">
      <c r="D162" s="165" t="str">
        <f ca="1">D143</f>
        <v>Defenses: Vulnerability to known threats</v>
      </c>
      <c r="E162" s="247">
        <f ca="1">E143</f>
        <v>0</v>
      </c>
    </row>
    <row r="163" spans="4:5" x14ac:dyDescent="0.3">
      <c r="D163" s="165" t="str">
        <f ca="1">D142</f>
        <v>Target: Autonomous network connected devices</v>
      </c>
      <c r="E163" s="247">
        <f ca="1">E142</f>
        <v>0</v>
      </c>
    </row>
    <row r="164" spans="4:5" x14ac:dyDescent="0.3">
      <c r="D164" s="165" t="str">
        <f ca="1">D141</f>
        <v>Overall: False claims of digital identity</v>
      </c>
      <c r="E164" s="247">
        <f ca="1">E141</f>
        <v>0</v>
      </c>
    </row>
    <row r="165" spans="4:5" x14ac:dyDescent="0.3">
      <c r="D165" s="165" t="str">
        <f ca="1">D140</f>
        <v>Target: Internet exposed devices/appliances</v>
      </c>
      <c r="E165" s="247">
        <f ca="1">E140</f>
        <v>0.1</v>
      </c>
    </row>
    <row r="166" spans="4:5" x14ac:dyDescent="0.3">
      <c r="D166" s="165" t="str">
        <f ca="1">D139</f>
        <v>Target: Public infrastructure/cloud</v>
      </c>
      <c r="E166" s="247">
        <f ca="1">E139</f>
        <v>0.1</v>
      </c>
    </row>
    <row r="167" spans="4:5" x14ac:dyDescent="0.3">
      <c r="D167" s="165" t="str">
        <f ca="1">D138</f>
        <v>Overall: Personal risk</v>
      </c>
      <c r="E167" s="247">
        <f ca="1">E138</f>
        <v>0.1</v>
      </c>
    </row>
    <row r="168" spans="4:5" x14ac:dyDescent="0.3">
      <c r="D168" s="165" t="str">
        <f ca="1">D137</f>
        <v>Weapons: Customized to target</v>
      </c>
      <c r="E168" s="247">
        <f ca="1">E137</f>
        <v>0.1</v>
      </c>
    </row>
    <row r="169" spans="4:5" x14ac:dyDescent="0.3">
      <c r="D169" s="165" t="str">
        <f ca="1">D136</f>
        <v>Defenses: Vulnerability to unknown threats</v>
      </c>
      <c r="E169" s="247">
        <f ca="1">E136</f>
        <v>0.1</v>
      </c>
    </row>
    <row r="170" spans="4:5" x14ac:dyDescent="0.3">
      <c r="D170" s="165" t="str">
        <f ca="1">D135</f>
        <v>Weapons: Vulnerability exploitation</v>
      </c>
      <c r="E170" s="247">
        <f ca="1">E135</f>
        <v>0.1</v>
      </c>
    </row>
    <row r="171" spans="4:5" x14ac:dyDescent="0.3">
      <c r="D171" s="165" t="str">
        <f ca="1">D134</f>
        <v>Target: Web facing applications</v>
      </c>
      <c r="E171" s="247">
        <f ca="1">E134</f>
        <v>0.1</v>
      </c>
    </row>
    <row r="172" spans="4:5" x14ac:dyDescent="0.3">
      <c r="D172" s="165" t="str">
        <f ca="1">D133</f>
        <v>Target: Counterparties</v>
      </c>
      <c r="E172" s="247">
        <f ca="1">E133</f>
        <v>0.1</v>
      </c>
    </row>
    <row r="173" spans="4:5" x14ac:dyDescent="0.3">
      <c r="D173" s="165" t="str">
        <f ca="1">D132</f>
        <v>Effect desired: Data theft</v>
      </c>
      <c r="E173" s="247">
        <f ca="1">E132</f>
        <v>0.2</v>
      </c>
    </row>
    <row r="174" spans="4:5" x14ac:dyDescent="0.3">
      <c r="D174" s="165" t="str">
        <f ca="1">D131</f>
        <v>Overall: Media &amp; public perception</v>
      </c>
      <c r="E174" s="247">
        <f ca="1">E131</f>
        <v>0.2</v>
      </c>
    </row>
    <row r="175" spans="4:5" x14ac:dyDescent="0.3">
      <c r="D175" s="165" t="str">
        <f ca="1">D130</f>
        <v>Attackers: Nation states</v>
      </c>
      <c r="E175" s="247">
        <f ca="1">E130</f>
        <v>0.8</v>
      </c>
    </row>
    <row r="176" spans="4:5" x14ac:dyDescent="0.3">
      <c r="D176" s="165" t="str">
        <f ca="1">D129</f>
        <v>Attackers: Criminals</v>
      </c>
      <c r="E176" s="247">
        <f ca="1">E129</f>
        <v>0.8</v>
      </c>
    </row>
    <row r="177" spans="4:5" x14ac:dyDescent="0.3">
      <c r="D177" s="165" t="str">
        <f ca="1">D128</f>
        <v>Attackers: Insider threat</v>
      </c>
      <c r="E177" s="247">
        <f ca="1">E128</f>
        <v>1.4000000000000001</v>
      </c>
    </row>
    <row r="178" spans="4:5" x14ac:dyDescent="0.3">
      <c r="D178" s="165" t="str">
        <f ca="1">D127</f>
        <v>Weapons: Phishing/social engineering</v>
      </c>
      <c r="E178" s="247">
        <f ca="1">E127</f>
        <v>1.5</v>
      </c>
    </row>
  </sheetData>
  <mergeCells count="2">
    <mergeCell ref="B100:B104"/>
    <mergeCell ref="B120:B124"/>
  </mergeCells>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W89"/>
  <sheetViews>
    <sheetView topLeftCell="A7" workbookViewId="0">
      <selection activeCell="E32" sqref="E32"/>
    </sheetView>
  </sheetViews>
  <sheetFormatPr defaultColWidth="8.77734375" defaultRowHeight="14.4" x14ac:dyDescent="0.3"/>
  <cols>
    <col min="5" max="5" width="41.33203125" bestFit="1" customWidth="1"/>
    <col min="6" max="6" width="9.109375" style="132"/>
  </cols>
  <sheetData>
    <row r="1" spans="1:23" ht="15" thickBot="1" x14ac:dyDescent="0.35"/>
    <row r="2" spans="1:23" ht="15.6" thickTop="1" thickBot="1" x14ac:dyDescent="0.35">
      <c r="A2" s="115" t="s">
        <v>82</v>
      </c>
      <c r="B2" t="s">
        <v>220</v>
      </c>
      <c r="C2" s="132" t="s">
        <v>222</v>
      </c>
      <c r="D2" s="132"/>
      <c r="E2" s="113" t="s">
        <v>225</v>
      </c>
      <c r="F2" s="20" t="str">
        <f>F31</f>
        <v>Nov-12</v>
      </c>
      <c r="G2" s="20" t="str">
        <f t="shared" ref="G2:R2" si="0">G31</f>
        <v>Sep-18</v>
      </c>
      <c r="H2" s="20" t="str">
        <f t="shared" si="0"/>
        <v>Oct-18</v>
      </c>
      <c r="I2" s="20" t="str">
        <f t="shared" si="0"/>
        <v>Nov-18</v>
      </c>
      <c r="J2" s="20" t="str">
        <f t="shared" si="0"/>
        <v>Dec-18</v>
      </c>
      <c r="K2" s="20" t="str">
        <f t="shared" si="0"/>
        <v>Jan-19</v>
      </c>
      <c r="L2" s="20" t="str">
        <f t="shared" si="0"/>
        <v>Feb-19</v>
      </c>
      <c r="M2" s="20" t="str">
        <f t="shared" si="0"/>
        <v>Mar-19</v>
      </c>
      <c r="N2" s="20" t="str">
        <f t="shared" si="0"/>
        <v>Apr-19</v>
      </c>
      <c r="O2" s="20" t="str">
        <f t="shared" si="0"/>
        <v>May-19</v>
      </c>
      <c r="P2" s="20" t="str">
        <f t="shared" si="0"/>
        <v>Jun-19</v>
      </c>
      <c r="Q2" s="20" t="str">
        <f t="shared" si="0"/>
        <v>Jul-19</v>
      </c>
      <c r="R2" s="20" t="str">
        <f t="shared" si="0"/>
        <v>Aug-19</v>
      </c>
      <c r="T2" t="s">
        <v>219</v>
      </c>
      <c r="U2" s="132" t="s">
        <v>221</v>
      </c>
    </row>
    <row r="3" spans="1:23" ht="15" thickTop="1" x14ac:dyDescent="0.3">
      <c r="A3" s="114">
        <f t="shared" ref="A3:A26" ca="1" si="1">RANK(R3,$R$3:$R$26)</f>
        <v>3</v>
      </c>
      <c r="B3">
        <f t="shared" ref="B3:B26" ca="1" si="2">_xlfn.RANK.EQ(T3,$T$3:$T$26)</f>
        <v>2</v>
      </c>
      <c r="C3" s="132">
        <f t="shared" ref="C3:C26" ca="1" si="3">_xlfn.RANK.EQ(U3,$U$3:$U$26)</f>
        <v>3</v>
      </c>
      <c r="D3" s="132"/>
      <c r="E3" t="str">
        <f t="shared" ref="E3:E26" si="4">E32</f>
        <v>Attackers: Insider threat</v>
      </c>
      <c r="F3" s="2">
        <f t="shared" ref="F3:Q3" ca="1" si="5">100*F32/$G32</f>
        <v>69.056875534607414</v>
      </c>
      <c r="G3" s="2">
        <f t="shared" ca="1" si="5"/>
        <v>100</v>
      </c>
      <c r="H3" s="36">
        <f t="shared" ca="1" si="5"/>
        <v>102.24709749983332</v>
      </c>
      <c r="I3" s="36">
        <f t="shared" ca="1" si="5"/>
        <v>103.96549600145175</v>
      </c>
      <c r="J3" s="36">
        <f t="shared" ca="1" si="5"/>
        <v>103.96549600145175</v>
      </c>
      <c r="K3" s="36">
        <f t="shared" ca="1" si="5"/>
        <v>104.80055575482962</v>
      </c>
      <c r="L3" s="36">
        <f t="shared" ca="1" si="5"/>
        <v>104.80055575482962</v>
      </c>
      <c r="M3" s="36">
        <f t="shared" ca="1" si="5"/>
        <v>104.05464748605958</v>
      </c>
      <c r="N3" s="36">
        <f t="shared" ca="1" si="5"/>
        <v>104.63433762038346</v>
      </c>
      <c r="O3" s="36">
        <f t="shared" ca="1" si="5"/>
        <v>105.44232078395852</v>
      </c>
      <c r="P3" s="36">
        <f t="shared" ca="1" si="5"/>
        <v>106.08330556848414</v>
      </c>
      <c r="Q3" s="36">
        <f t="shared" ca="1" si="5"/>
        <v>106.84375612704849</v>
      </c>
      <c r="R3" s="36">
        <f ca="1">100*R32/$G32</f>
        <v>108.27787911579726</v>
      </c>
      <c r="T3" s="133">
        <f t="shared" ref="T3:T26" ca="1" si="6">LN(R3/O3)</f>
        <v>2.6536796536796387E-2</v>
      </c>
      <c r="U3" s="34">
        <f t="shared" ref="U3:U26" ca="1" si="7">LN(R3/L3)</f>
        <v>3.2641802641802831E-2</v>
      </c>
      <c r="W3" t="str">
        <f t="shared" ref="W3:W26" si="8">E3</f>
        <v>Attackers: Insider threat</v>
      </c>
    </row>
    <row r="4" spans="1:23" x14ac:dyDescent="0.3">
      <c r="A4" s="114">
        <f t="shared" ca="1" si="1"/>
        <v>20</v>
      </c>
      <c r="B4" s="132">
        <f t="shared" ca="1" si="2"/>
        <v>21</v>
      </c>
      <c r="C4" s="132">
        <f t="shared" ca="1" si="3"/>
        <v>20</v>
      </c>
      <c r="D4" s="132"/>
      <c r="E4" t="str">
        <f t="shared" si="4"/>
        <v>Attackers: Strategic rivals</v>
      </c>
      <c r="F4" s="2">
        <f t="shared" ref="F4:R4" ca="1" si="9">100*F33/$G33</f>
        <v>73.547705944408833</v>
      </c>
      <c r="G4" s="2">
        <f t="shared" ca="1" si="9"/>
        <v>100</v>
      </c>
      <c r="H4" s="36">
        <f t="shared" ca="1" si="9"/>
        <v>100</v>
      </c>
      <c r="I4" s="36">
        <f t="shared" ca="1" si="9"/>
        <v>99.170129263887588</v>
      </c>
      <c r="J4" s="36">
        <f t="shared" ca="1" si="9"/>
        <v>99.170129263887588</v>
      </c>
      <c r="K4" s="36">
        <f t="shared" ca="1" si="9"/>
        <v>98.379933228293226</v>
      </c>
      <c r="L4" s="36">
        <f t="shared" ca="1" si="9"/>
        <v>97.447429027850461</v>
      </c>
      <c r="M4" s="36">
        <f t="shared" ca="1" si="9"/>
        <v>96.753855958903202</v>
      </c>
      <c r="N4" s="36">
        <f t="shared" ca="1" si="9"/>
        <v>96.753855958903202</v>
      </c>
      <c r="O4" s="36">
        <f t="shared" ca="1" si="9"/>
        <v>96.012450742814167</v>
      </c>
      <c r="P4" s="36">
        <f t="shared" ca="1" si="9"/>
        <v>95.432316859152039</v>
      </c>
      <c r="Q4" s="36">
        <f t="shared" ca="1" si="9"/>
        <v>94.75308616480676</v>
      </c>
      <c r="R4" s="36">
        <f t="shared" ca="1" si="9"/>
        <v>94.123499876468514</v>
      </c>
      <c r="T4" s="133">
        <f t="shared" ca="1" si="6"/>
        <v>-1.9870129870129902E-2</v>
      </c>
      <c r="U4" s="34">
        <f t="shared" ca="1" si="7"/>
        <v>-3.4705294705294883E-2</v>
      </c>
      <c r="W4" s="132" t="str">
        <f t="shared" si="8"/>
        <v>Attackers: Strategic rivals</v>
      </c>
    </row>
    <row r="5" spans="1:23" x14ac:dyDescent="0.3">
      <c r="A5" s="114">
        <f t="shared" ca="1" si="1"/>
        <v>21</v>
      </c>
      <c r="B5" s="132">
        <f t="shared" ca="1" si="2"/>
        <v>21</v>
      </c>
      <c r="C5" s="132">
        <f t="shared" ca="1" si="3"/>
        <v>21</v>
      </c>
      <c r="D5" s="132"/>
      <c r="E5" t="str">
        <f t="shared" si="4"/>
        <v>Attackers: Activist/hacktivists</v>
      </c>
      <c r="F5" s="2">
        <f t="shared" ref="F5:R5" ca="1" si="10">100*F34/$G34</f>
        <v>68.312330470201445</v>
      </c>
      <c r="G5" s="2">
        <f t="shared" ca="1" si="10"/>
        <v>100</v>
      </c>
      <c r="H5" s="36">
        <f t="shared" ca="1" si="10"/>
        <v>100</v>
      </c>
      <c r="I5" s="36">
        <f t="shared" ca="1" si="10"/>
        <v>99.170129263887603</v>
      </c>
      <c r="J5" s="36">
        <f t="shared" ca="1" si="10"/>
        <v>99.170129263887603</v>
      </c>
      <c r="K5" s="36">
        <f t="shared" ca="1" si="10"/>
        <v>98.37993322829324</v>
      </c>
      <c r="L5" s="36">
        <f t="shared" ca="1" si="10"/>
        <v>97.447429027850461</v>
      </c>
      <c r="M5" s="36">
        <f t="shared" ca="1" si="10"/>
        <v>96.753855958903202</v>
      </c>
      <c r="N5" s="36">
        <f t="shared" ca="1" si="10"/>
        <v>96.217824890778544</v>
      </c>
      <c r="O5" s="36">
        <f t="shared" ca="1" si="10"/>
        <v>95.480527172276609</v>
      </c>
      <c r="P5" s="36">
        <f t="shared" ca="1" si="10"/>
        <v>94.903607318507468</v>
      </c>
      <c r="Q5" s="36">
        <f t="shared" ca="1" si="10"/>
        <v>94.228139665448595</v>
      </c>
      <c r="R5" s="36">
        <f t="shared" ca="1" si="10"/>
        <v>93.602041380841797</v>
      </c>
      <c r="T5" s="133">
        <f t="shared" ca="1" si="6"/>
        <v>-1.9870129870129902E-2</v>
      </c>
      <c r="U5" s="34">
        <f t="shared" ca="1" si="7"/>
        <v>-4.026085026085046E-2</v>
      </c>
      <c r="W5" s="132" t="str">
        <f t="shared" si="8"/>
        <v>Attackers: Activist/hacktivists</v>
      </c>
    </row>
    <row r="6" spans="1:23" x14ac:dyDescent="0.3">
      <c r="A6" s="114">
        <f t="shared" ca="1" si="1"/>
        <v>11</v>
      </c>
      <c r="B6" s="132">
        <f t="shared" ca="1" si="2"/>
        <v>10</v>
      </c>
      <c r="C6" s="132">
        <f t="shared" ca="1" si="3"/>
        <v>10</v>
      </c>
      <c r="D6" s="132"/>
      <c r="E6" t="str">
        <f t="shared" si="4"/>
        <v>Attackers: Criminals</v>
      </c>
      <c r="F6" s="2">
        <f t="shared" ref="F6:R6" ca="1" si="11">100*F35/$G35</f>
        <v>39.566072519843914</v>
      </c>
      <c r="G6" s="2">
        <f t="shared" ca="1" si="11"/>
        <v>100</v>
      </c>
      <c r="H6" s="36">
        <f t="shared" ca="1" si="11"/>
        <v>100</v>
      </c>
      <c r="I6" s="36">
        <f t="shared" ca="1" si="11"/>
        <v>100.83681522074471</v>
      </c>
      <c r="J6" s="36">
        <f t="shared" ca="1" si="11"/>
        <v>100.83681522074471</v>
      </c>
      <c r="K6" s="36">
        <f t="shared" ca="1" si="11"/>
        <v>101.64674514257635</v>
      </c>
      <c r="L6" s="36">
        <f t="shared" ca="1" si="11"/>
        <v>100.6832761332324</v>
      </c>
      <c r="M6" s="36">
        <f t="shared" ca="1" si="11"/>
        <v>100.6832761332324</v>
      </c>
      <c r="N6" s="36">
        <f t="shared" ca="1" si="11"/>
        <v>100.6832761332324</v>
      </c>
      <c r="O6" s="36">
        <f t="shared" ca="1" si="11"/>
        <v>100.6832761332324</v>
      </c>
      <c r="P6" s="36">
        <f t="shared" ca="1" si="11"/>
        <v>100.07491982578368</v>
      </c>
      <c r="Q6" s="36">
        <f t="shared" ca="1" si="11"/>
        <v>99.362645833943617</v>
      </c>
      <c r="R6" s="36">
        <f t="shared" ca="1" si="11"/>
        <v>100.02727644661914</v>
      </c>
      <c r="T6" s="133">
        <f t="shared" ca="1" si="6"/>
        <v>-6.5367965367963653E-3</v>
      </c>
      <c r="U6" s="34">
        <f t="shared" ca="1" si="7"/>
        <v>-6.5367965367963653E-3</v>
      </c>
      <c r="W6" s="132" t="str">
        <f t="shared" si="8"/>
        <v>Attackers: Criminals</v>
      </c>
    </row>
    <row r="7" spans="1:23" x14ac:dyDescent="0.3">
      <c r="A7" s="114">
        <f t="shared" ca="1" si="1"/>
        <v>8</v>
      </c>
      <c r="B7" s="132">
        <f t="shared" ca="1" si="2"/>
        <v>7</v>
      </c>
      <c r="C7" s="132">
        <f t="shared" ca="1" si="3"/>
        <v>8</v>
      </c>
      <c r="D7" s="132"/>
      <c r="E7" t="str">
        <f t="shared" si="4"/>
        <v>Attackers: Nation states</v>
      </c>
      <c r="F7" s="2">
        <f t="shared" ref="F7:R7" ca="1" si="12">100*F36/$G36</f>
        <v>43.418787415962186</v>
      </c>
      <c r="G7" s="2">
        <f t="shared" ca="1" si="12"/>
        <v>100</v>
      </c>
      <c r="H7" s="36">
        <f t="shared" ca="1" si="12"/>
        <v>101.11730687663379</v>
      </c>
      <c r="I7" s="36">
        <f t="shared" ca="1" si="12"/>
        <v>101.11730687663379</v>
      </c>
      <c r="J7" s="36">
        <f t="shared" ca="1" si="12"/>
        <v>101.11730687663379</v>
      </c>
      <c r="K7" s="36">
        <f t="shared" ca="1" si="12"/>
        <v>101.92948973142876</v>
      </c>
      <c r="L7" s="36">
        <f t="shared" ca="1" si="12"/>
        <v>101.92948973142876</v>
      </c>
      <c r="M7" s="36">
        <f t="shared" ca="1" si="12"/>
        <v>101.92948973142876</v>
      </c>
      <c r="N7" s="36">
        <f t="shared" ca="1" si="12"/>
        <v>103.06835492951575</v>
      </c>
      <c r="O7" s="36">
        <f t="shared" ca="1" si="12"/>
        <v>103.06835492951575</v>
      </c>
      <c r="P7" s="36">
        <f t="shared" ca="1" si="12"/>
        <v>103.69490835497825</v>
      </c>
      <c r="Q7" s="36">
        <f t="shared" ca="1" si="12"/>
        <v>102.95686942938063</v>
      </c>
      <c r="R7" s="36">
        <f t="shared" ca="1" si="12"/>
        <v>103.64554158211659</v>
      </c>
      <c r="T7" s="133">
        <f t="shared" ca="1" si="6"/>
        <v>5.5844155844156007E-3</v>
      </c>
      <c r="U7" s="34">
        <f t="shared" ca="1" si="7"/>
        <v>1.6695526695526756E-2</v>
      </c>
      <c r="W7" s="132" t="str">
        <f t="shared" si="8"/>
        <v>Attackers: Nation states</v>
      </c>
    </row>
    <row r="8" spans="1:23" x14ac:dyDescent="0.3">
      <c r="A8" s="114">
        <f t="shared" ca="1" si="1"/>
        <v>24</v>
      </c>
      <c r="B8" s="132">
        <f t="shared" ca="1" si="2"/>
        <v>23</v>
      </c>
      <c r="C8" s="132">
        <f t="shared" ca="1" si="3"/>
        <v>23</v>
      </c>
      <c r="D8" s="132"/>
      <c r="E8" t="str">
        <f t="shared" si="4"/>
        <v>Weapons: Botnets</v>
      </c>
      <c r="F8" s="2">
        <f t="shared" ref="F8:R8" ca="1" si="13">100*F37/$G37</f>
        <v>72.774616033798978</v>
      </c>
      <c r="G8" s="2">
        <f t="shared" ca="1" si="13"/>
        <v>100</v>
      </c>
      <c r="H8" s="36">
        <f t="shared" ca="1" si="13"/>
        <v>98.895038929392229</v>
      </c>
      <c r="I8" s="36">
        <f t="shared" ca="1" si="13"/>
        <v>98.074337941850231</v>
      </c>
      <c r="J8" s="36">
        <f t="shared" ca="1" si="13"/>
        <v>97.225214802144606</v>
      </c>
      <c r="K8" s="36">
        <f t="shared" ca="1" si="13"/>
        <v>97.225214802144606</v>
      </c>
      <c r="L8" s="36">
        <f t="shared" ca="1" si="13"/>
        <v>96.303655717716609</v>
      </c>
      <c r="M8" s="36">
        <f t="shared" ca="1" si="13"/>
        <v>95.61822334958417</v>
      </c>
      <c r="N8" s="36">
        <f t="shared" ca="1" si="13"/>
        <v>94.561679205164495</v>
      </c>
      <c r="O8" s="36">
        <f t="shared" ca="1" si="13"/>
        <v>93.837072195862191</v>
      </c>
      <c r="P8" s="36">
        <f t="shared" ca="1" si="13"/>
        <v>93.837072195862191</v>
      </c>
      <c r="Q8" s="36">
        <f t="shared" ca="1" si="13"/>
        <v>93.169195507957909</v>
      </c>
      <c r="R8" s="36">
        <f t="shared" ca="1" si="13"/>
        <v>91.935184588901251</v>
      </c>
      <c r="T8" s="133">
        <f t="shared" ca="1" si="6"/>
        <v>-2.0476190476190443E-2</v>
      </c>
      <c r="U8" s="34">
        <f t="shared" ca="1" si="7"/>
        <v>-4.6422466422466488E-2</v>
      </c>
      <c r="W8" s="132" t="str">
        <f t="shared" si="8"/>
        <v>Weapons: Botnets</v>
      </c>
    </row>
    <row r="9" spans="1:23" x14ac:dyDescent="0.3">
      <c r="A9" s="114">
        <f t="shared" ca="1" si="1"/>
        <v>23</v>
      </c>
      <c r="B9" s="132">
        <f t="shared" ca="1" si="2"/>
        <v>23</v>
      </c>
      <c r="C9" s="132">
        <f t="shared" ca="1" si="3"/>
        <v>23</v>
      </c>
      <c r="D9" s="132"/>
      <c r="E9" t="str">
        <f t="shared" si="4"/>
        <v>Weapons: Mass malware</v>
      </c>
      <c r="F9" s="2">
        <f t="shared" ref="F9:R9" ca="1" si="14">100*F38/$G38</f>
        <v>65.277785927387455</v>
      </c>
      <c r="G9" s="2">
        <f t="shared" ca="1" si="14"/>
        <v>100</v>
      </c>
      <c r="H9" s="36">
        <f t="shared" ca="1" si="14"/>
        <v>98.895038929392229</v>
      </c>
      <c r="I9" s="36">
        <f t="shared" ca="1" si="14"/>
        <v>98.074337941850246</v>
      </c>
      <c r="J9" s="36">
        <f t="shared" ca="1" si="14"/>
        <v>97.225214802144592</v>
      </c>
      <c r="K9" s="36">
        <f t="shared" ca="1" si="14"/>
        <v>98.006136040606776</v>
      </c>
      <c r="L9" s="36">
        <f t="shared" ca="1" si="14"/>
        <v>97.07717491481543</v>
      </c>
      <c r="M9" s="36">
        <f t="shared" ca="1" si="14"/>
        <v>96.38623709529476</v>
      </c>
      <c r="N9" s="36">
        <f t="shared" ca="1" si="14"/>
        <v>95.321206697968051</v>
      </c>
      <c r="O9" s="36">
        <f t="shared" ca="1" si="14"/>
        <v>94.590779583210036</v>
      </c>
      <c r="P9" s="36">
        <f t="shared" ca="1" si="14"/>
        <v>94.590779583210036</v>
      </c>
      <c r="Q9" s="36">
        <f t="shared" ca="1" si="14"/>
        <v>93.917538452642191</v>
      </c>
      <c r="R9" s="36">
        <f t="shared" ca="1" si="14"/>
        <v>92.673615852370474</v>
      </c>
      <c r="T9" s="133">
        <f t="shared" ca="1" si="6"/>
        <v>-2.0476190476190443E-2</v>
      </c>
      <c r="U9" s="34">
        <f t="shared" ca="1" si="7"/>
        <v>-4.6422466422466488E-2</v>
      </c>
      <c r="W9" s="132" t="str">
        <f t="shared" si="8"/>
        <v>Weapons: Mass malware</v>
      </c>
    </row>
    <row r="10" spans="1:23" x14ac:dyDescent="0.3">
      <c r="A10" s="114">
        <f t="shared" ca="1" si="1"/>
        <v>17</v>
      </c>
      <c r="B10" s="132">
        <f t="shared" ca="1" si="2"/>
        <v>17</v>
      </c>
      <c r="C10" s="132">
        <f t="shared" ca="1" si="3"/>
        <v>11</v>
      </c>
      <c r="D10" s="132"/>
      <c r="E10" t="str">
        <f t="shared" si="4"/>
        <v>Weapons: Vulnerability exploitation</v>
      </c>
      <c r="F10" s="2">
        <f t="shared" ref="F10:R10" ca="1" si="15">100*F39/$G39</f>
        <v>48.00924739906867</v>
      </c>
      <c r="G10" s="2">
        <f t="shared" ca="1" si="15"/>
        <v>100</v>
      </c>
      <c r="H10" s="36">
        <f t="shared" ca="1" si="15"/>
        <v>98.895038929392229</v>
      </c>
      <c r="I10" s="36">
        <f t="shared" ca="1" si="15"/>
        <v>98.074337941850231</v>
      </c>
      <c r="J10" s="36">
        <f t="shared" ca="1" si="15"/>
        <v>97.225214802144563</v>
      </c>
      <c r="K10" s="36">
        <f t="shared" ca="1" si="15"/>
        <v>97.225214802144563</v>
      </c>
      <c r="L10" s="36">
        <f t="shared" ca="1" si="15"/>
        <v>96.303655717716609</v>
      </c>
      <c r="M10" s="36">
        <f t="shared" ca="1" si="15"/>
        <v>95.618223349584184</v>
      </c>
      <c r="N10" s="36">
        <f t="shared" ca="1" si="15"/>
        <v>95.618223349584184</v>
      </c>
      <c r="O10" s="36">
        <f t="shared" ca="1" si="15"/>
        <v>96.356584353767317</v>
      </c>
      <c r="P10" s="36">
        <f t="shared" ca="1" si="15"/>
        <v>96.356584353767317</v>
      </c>
      <c r="Q10" s="36">
        <f t="shared" ca="1" si="15"/>
        <v>95.670775270960036</v>
      </c>
      <c r="R10" s="36">
        <f t="shared" ca="1" si="15"/>
        <v>95.670775270960036</v>
      </c>
      <c r="T10" s="133">
        <f t="shared" ca="1" si="6"/>
        <v>-7.1428571428572493E-3</v>
      </c>
      <c r="U10" s="34">
        <f t="shared" ca="1" si="7"/>
        <v>-6.5934065934065336E-3</v>
      </c>
      <c r="W10" s="132" t="str">
        <f t="shared" si="8"/>
        <v>Weapons: Vulnerability exploitation</v>
      </c>
    </row>
    <row r="11" spans="1:23" x14ac:dyDescent="0.3">
      <c r="A11" s="114">
        <f t="shared" ca="1" si="1"/>
        <v>1</v>
      </c>
      <c r="B11" s="132">
        <f t="shared" ca="1" si="2"/>
        <v>1</v>
      </c>
      <c r="C11" s="132">
        <f t="shared" ca="1" si="3"/>
        <v>1</v>
      </c>
      <c r="D11" s="132"/>
      <c r="E11" t="str">
        <f t="shared" si="4"/>
        <v>Weapons: Phishing/social engineering</v>
      </c>
      <c r="F11" s="2">
        <f t="shared" ref="F11:R11" ca="1" si="16">100*F40/$G40</f>
        <v>26.52265274050464</v>
      </c>
      <c r="G11" s="2">
        <f t="shared" ca="1" si="16"/>
        <v>100</v>
      </c>
      <c r="H11" s="36">
        <f t="shared" ca="1" si="16"/>
        <v>101.11730687663378</v>
      </c>
      <c r="I11" s="36">
        <f t="shared" ca="1" si="16"/>
        <v>101.96347189138457</v>
      </c>
      <c r="J11" s="36">
        <f t="shared" ca="1" si="16"/>
        <v>103.75225925031449</v>
      </c>
      <c r="K11" s="36">
        <f t="shared" ca="1" si="16"/>
        <v>107.12602389090461</v>
      </c>
      <c r="L11" s="36">
        <f t="shared" ca="1" si="16"/>
        <v>108.15114552060355</v>
      </c>
      <c r="M11" s="36">
        <f t="shared" ca="1" si="16"/>
        <v>108.15114552060355</v>
      </c>
      <c r="N11" s="36">
        <f t="shared" ca="1" si="16"/>
        <v>109.96876940387538</v>
      </c>
      <c r="O11" s="36">
        <f t="shared" ca="1" si="16"/>
        <v>109.96876940387538</v>
      </c>
      <c r="P11" s="36">
        <f t="shared" ca="1" si="16"/>
        <v>111.98648889506759</v>
      </c>
      <c r="Q11" s="36">
        <f t="shared" ca="1" si="16"/>
        <v>111.98648889506759</v>
      </c>
      <c r="R11" s="36">
        <f t="shared" ca="1" si="16"/>
        <v>113.48964082434551</v>
      </c>
      <c r="T11" s="133">
        <f t="shared" ca="1" si="6"/>
        <v>3.1515151515151565E-2</v>
      </c>
      <c r="U11" s="34">
        <f t="shared" ca="1" si="7"/>
        <v>4.8181818181817965E-2</v>
      </c>
      <c r="W11" s="132" t="str">
        <f t="shared" si="8"/>
        <v>Weapons: Phishing/social engineering</v>
      </c>
    </row>
    <row r="12" spans="1:23" x14ac:dyDescent="0.3">
      <c r="A12" s="114">
        <f t="shared" ca="1" si="1"/>
        <v>4</v>
      </c>
      <c r="B12" s="132">
        <f t="shared" ca="1" si="2"/>
        <v>6</v>
      </c>
      <c r="C12" s="132">
        <f t="shared" ca="1" si="3"/>
        <v>7</v>
      </c>
      <c r="D12" s="132"/>
      <c r="E12" t="str">
        <f t="shared" si="4"/>
        <v>Weapons: Customized to target</v>
      </c>
      <c r="F12" s="2">
        <f t="shared" ref="F12:R12" ca="1" si="17">100*F41/$G41</f>
        <v>56.110631291207277</v>
      </c>
      <c r="G12" s="2">
        <f t="shared" ca="1" si="17"/>
        <v>100</v>
      </c>
      <c r="H12" s="36">
        <f t="shared" ca="1" si="17"/>
        <v>101.11730687663378</v>
      </c>
      <c r="I12" s="36">
        <f t="shared" ca="1" si="17"/>
        <v>101.96347189138459</v>
      </c>
      <c r="J12" s="36">
        <f t="shared" ca="1" si="17"/>
        <v>103.75225925031449</v>
      </c>
      <c r="K12" s="36">
        <f t="shared" ca="1" si="17"/>
        <v>105.42564679993441</v>
      </c>
      <c r="L12" s="36">
        <f t="shared" ca="1" si="17"/>
        <v>104.4263590869899</v>
      </c>
      <c r="M12" s="36">
        <f t="shared" ca="1" si="17"/>
        <v>104.4263590869899</v>
      </c>
      <c r="N12" s="36">
        <f t="shared" ca="1" si="17"/>
        <v>106.18138297884016</v>
      </c>
      <c r="O12" s="36">
        <f t="shared" ca="1" si="17"/>
        <v>106.18138297884016</v>
      </c>
      <c r="P12" s="36">
        <f t="shared" ca="1" si="17"/>
        <v>106.82686052887225</v>
      </c>
      <c r="Q12" s="36">
        <f t="shared" ca="1" si="17"/>
        <v>106.82686052887225</v>
      </c>
      <c r="R12" s="36">
        <f t="shared" ca="1" si="17"/>
        <v>106.82686052887225</v>
      </c>
      <c r="T12" s="133">
        <f t="shared" ca="1" si="6"/>
        <v>6.0606060606062063E-3</v>
      </c>
      <c r="U12" s="34">
        <f t="shared" ca="1" si="7"/>
        <v>2.2727272727272561E-2</v>
      </c>
      <c r="W12" s="132" t="str">
        <f t="shared" si="8"/>
        <v>Weapons: Customized to target</v>
      </c>
    </row>
    <row r="13" spans="1:23" x14ac:dyDescent="0.3">
      <c r="A13" s="114">
        <f t="shared" ca="1" si="1"/>
        <v>5</v>
      </c>
      <c r="B13" s="132">
        <f t="shared" ca="1" si="2"/>
        <v>5</v>
      </c>
      <c r="C13" s="132">
        <f t="shared" ca="1" si="3"/>
        <v>6</v>
      </c>
      <c r="D13" s="132"/>
      <c r="E13" t="str">
        <f t="shared" si="4"/>
        <v>Effect desired: Data theft</v>
      </c>
      <c r="F13" s="2">
        <f t="shared" ref="F13:R13" ca="1" si="18">100*F42/$G42</f>
        <v>37.915342831259643</v>
      </c>
      <c r="G13" s="2">
        <f t="shared" ca="1" si="18"/>
        <v>100.00000000000001</v>
      </c>
      <c r="H13" s="36">
        <f t="shared" ca="1" si="18"/>
        <v>101.11730687663378</v>
      </c>
      <c r="I13" s="36">
        <f t="shared" ca="1" si="18"/>
        <v>101.96347189138459</v>
      </c>
      <c r="J13" s="36">
        <f t="shared" ca="1" si="18"/>
        <v>101.96347189138459</v>
      </c>
      <c r="K13" s="36">
        <f t="shared" ca="1" si="18"/>
        <v>103.60800865243394</v>
      </c>
      <c r="L13" s="36">
        <f t="shared" ca="1" si="18"/>
        <v>103.60800865243394</v>
      </c>
      <c r="M13" s="36">
        <f t="shared" ca="1" si="18"/>
        <v>103.60800865243394</v>
      </c>
      <c r="N13" s="36">
        <f t="shared" ca="1" si="18"/>
        <v>104.76562805785092</v>
      </c>
      <c r="O13" s="36">
        <f t="shared" ca="1" si="18"/>
        <v>105.57462504217951</v>
      </c>
      <c r="P13" s="36">
        <f t="shared" ca="1" si="18"/>
        <v>105.57462504217951</v>
      </c>
      <c r="Q13" s="36">
        <f t="shared" ca="1" si="18"/>
        <v>106.3314291609173</v>
      </c>
      <c r="R13" s="36">
        <f t="shared" ca="1" si="18"/>
        <v>106.3314291609173</v>
      </c>
      <c r="T13" s="133">
        <f t="shared" ca="1" si="6"/>
        <v>7.1428571428572155E-3</v>
      </c>
      <c r="U13" s="34">
        <f t="shared" ca="1" si="7"/>
        <v>2.5946275946276035E-2</v>
      </c>
      <c r="W13" s="132" t="str">
        <f t="shared" si="8"/>
        <v>Effect desired: Data theft</v>
      </c>
    </row>
    <row r="14" spans="1:23" x14ac:dyDescent="0.3">
      <c r="A14" s="114">
        <f t="shared" ca="1" si="1"/>
        <v>12</v>
      </c>
      <c r="B14" s="132">
        <f t="shared" ca="1" si="2"/>
        <v>11</v>
      </c>
      <c r="C14" s="132">
        <f t="shared" ca="1" si="3"/>
        <v>12</v>
      </c>
      <c r="D14" s="132"/>
      <c r="E14" t="str">
        <f t="shared" si="4"/>
        <v>Effect desired: Data modification</v>
      </c>
      <c r="F14" s="2">
        <f t="shared" ref="F14:R14" ca="1" si="19">100*F43/$G43</f>
        <v>91.000317641749405</v>
      </c>
      <c r="G14" s="2">
        <f t="shared" ca="1" si="19"/>
        <v>100</v>
      </c>
      <c r="H14" s="36">
        <f t="shared" ca="1" si="19"/>
        <v>100</v>
      </c>
      <c r="I14" s="36">
        <f t="shared" ca="1" si="19"/>
        <v>99.170129263887603</v>
      </c>
      <c r="J14" s="36">
        <f t="shared" ca="1" si="19"/>
        <v>99.170129263887603</v>
      </c>
      <c r="K14" s="36">
        <f t="shared" ca="1" si="19"/>
        <v>99.170129263887603</v>
      </c>
      <c r="L14" s="36">
        <f t="shared" ca="1" si="19"/>
        <v>99.170129263887603</v>
      </c>
      <c r="M14" s="36">
        <f t="shared" ca="1" si="19"/>
        <v>99.170129263887603</v>
      </c>
      <c r="N14" s="36">
        <f t="shared" ca="1" si="19"/>
        <v>99.170129263887603</v>
      </c>
      <c r="O14" s="36">
        <f t="shared" ca="1" si="19"/>
        <v>99.170129263887603</v>
      </c>
      <c r="P14" s="36">
        <f t="shared" ca="1" si="19"/>
        <v>99.170129263887603</v>
      </c>
      <c r="Q14" s="36">
        <f t="shared" ca="1" si="19"/>
        <v>99.170129263887603</v>
      </c>
      <c r="R14" s="36">
        <f t="shared" ca="1" si="19"/>
        <v>98.511193960306286</v>
      </c>
      <c r="T14" s="133">
        <f t="shared" ca="1" si="6"/>
        <v>-6.6666666666665327E-3</v>
      </c>
      <c r="U14" s="34">
        <f t="shared" ca="1" si="7"/>
        <v>-6.6666666666665327E-3</v>
      </c>
      <c r="W14" s="132" t="str">
        <f t="shared" si="8"/>
        <v>Effect desired: Data modification</v>
      </c>
    </row>
    <row r="15" spans="1:23" x14ac:dyDescent="0.3">
      <c r="A15" s="114">
        <f t="shared" ca="1" si="1"/>
        <v>19</v>
      </c>
      <c r="B15" s="132">
        <f t="shared" ca="1" si="2"/>
        <v>20</v>
      </c>
      <c r="C15" s="132">
        <f t="shared" ca="1" si="3"/>
        <v>22</v>
      </c>
      <c r="D15" s="132"/>
      <c r="E15" t="str">
        <f t="shared" si="4"/>
        <v>Effect desired: Business disruption</v>
      </c>
      <c r="F15" s="2">
        <f t="shared" ref="F15:R15" ca="1" si="20">100*F44/$G44</f>
        <v>61.117570222607014</v>
      </c>
      <c r="G15" s="2">
        <f t="shared" ca="1" si="20"/>
        <v>100</v>
      </c>
      <c r="H15" s="36">
        <f t="shared" ca="1" si="20"/>
        <v>100</v>
      </c>
      <c r="I15" s="36">
        <f t="shared" ca="1" si="20"/>
        <v>99.170129263887603</v>
      </c>
      <c r="J15" s="36">
        <f t="shared" ca="1" si="20"/>
        <v>99.170129263887603</v>
      </c>
      <c r="K15" s="36">
        <f t="shared" ca="1" si="20"/>
        <v>99.170129263887603</v>
      </c>
      <c r="L15" s="36">
        <f t="shared" ca="1" si="20"/>
        <v>98.230135109973773</v>
      </c>
      <c r="M15" s="36">
        <f t="shared" ca="1" si="20"/>
        <v>97.530991202833263</v>
      </c>
      <c r="N15" s="36">
        <f t="shared" ca="1" si="20"/>
        <v>96.990654687336487</v>
      </c>
      <c r="O15" s="36">
        <f t="shared" ca="1" si="20"/>
        <v>95.509910316273803</v>
      </c>
      <c r="P15" s="36">
        <f t="shared" ca="1" si="20"/>
        <v>95.509910316273803</v>
      </c>
      <c r="Q15" s="36">
        <f t="shared" ca="1" si="20"/>
        <v>94.830127357669497</v>
      </c>
      <c r="R15" s="36">
        <f t="shared" ca="1" si="20"/>
        <v>94.200029169607177</v>
      </c>
      <c r="T15" s="133">
        <f t="shared" ca="1" si="6"/>
        <v>-1.3809523809523822E-2</v>
      </c>
      <c r="U15" s="34">
        <f t="shared" ca="1" si="7"/>
        <v>-4.1892551892551977E-2</v>
      </c>
      <c r="W15" s="132" t="str">
        <f t="shared" si="8"/>
        <v>Effect desired: Business disruption</v>
      </c>
    </row>
    <row r="16" spans="1:23" x14ac:dyDescent="0.3">
      <c r="A16" s="114">
        <f t="shared" ca="1" si="1"/>
        <v>9</v>
      </c>
      <c r="B16" s="132">
        <f t="shared" ca="1" si="2"/>
        <v>12</v>
      </c>
      <c r="C16" s="132">
        <f t="shared" ca="1" si="3"/>
        <v>13</v>
      </c>
      <c r="D16" s="132"/>
      <c r="E16" t="str">
        <f t="shared" si="4"/>
        <v>Target: Web facing applications</v>
      </c>
      <c r="F16" s="2">
        <f t="shared" ref="F16:R16" ca="1" si="21">100*F45/$G45</f>
        <v>40.547108816732603</v>
      </c>
      <c r="G16" s="2">
        <f t="shared" ca="1" si="21"/>
        <v>100</v>
      </c>
      <c r="H16" s="36">
        <f t="shared" ca="1" si="21"/>
        <v>101.11730687663379</v>
      </c>
      <c r="I16" s="36">
        <f t="shared" ca="1" si="21"/>
        <v>101.11730687663379</v>
      </c>
      <c r="J16" s="36">
        <f t="shared" ca="1" si="21"/>
        <v>102.00042187173456</v>
      </c>
      <c r="K16" s="36">
        <f t="shared" ca="1" si="21"/>
        <v>102.00042187173456</v>
      </c>
      <c r="L16" s="36">
        <f t="shared" ca="1" si="21"/>
        <v>102.00042187173456</v>
      </c>
      <c r="M16" s="36">
        <f t="shared" ca="1" si="21"/>
        <v>101.27444329705843</v>
      </c>
      <c r="N16" s="36">
        <f t="shared" ca="1" si="21"/>
        <v>101.83864486860584</v>
      </c>
      <c r="O16" s="36">
        <f t="shared" ca="1" si="21"/>
        <v>101.83864486860584</v>
      </c>
      <c r="P16" s="36">
        <f t="shared" ca="1" si="21"/>
        <v>101.83864486860584</v>
      </c>
      <c r="Q16" s="36">
        <f t="shared" ca="1" si="21"/>
        <v>101.11381772679628</v>
      </c>
      <c r="R16" s="36">
        <f t="shared" ca="1" si="21"/>
        <v>101.11381772679628</v>
      </c>
      <c r="T16" s="133">
        <f t="shared" ca="1" si="6"/>
        <v>-7.1428571428569137E-3</v>
      </c>
      <c r="U16" s="34">
        <f t="shared" ca="1" si="7"/>
        <v>-8.7301587301584441E-3</v>
      </c>
      <c r="W16" s="132" t="str">
        <f t="shared" si="8"/>
        <v>Target: Web facing applications</v>
      </c>
    </row>
    <row r="17" spans="1:23" x14ac:dyDescent="0.3">
      <c r="A17" s="114">
        <f t="shared" ca="1" si="1"/>
        <v>16</v>
      </c>
      <c r="B17" s="132">
        <f t="shared" ca="1" si="2"/>
        <v>12</v>
      </c>
      <c r="C17" s="132">
        <f t="shared" ca="1" si="3"/>
        <v>15</v>
      </c>
      <c r="D17" s="132"/>
      <c r="E17" t="str">
        <f t="shared" si="4"/>
        <v>Target: Internet exposed devices/appliances</v>
      </c>
      <c r="F17" s="2">
        <f t="shared" ref="F17:R17" ca="1" si="22">100*F46/$G46</f>
        <v>52.694181209257344</v>
      </c>
      <c r="G17" s="2">
        <f t="shared" ca="1" si="22"/>
        <v>100</v>
      </c>
      <c r="H17" s="36">
        <f t="shared" ca="1" si="22"/>
        <v>100</v>
      </c>
      <c r="I17" s="36">
        <f t="shared" ca="1" si="22"/>
        <v>100</v>
      </c>
      <c r="J17" s="36">
        <f t="shared" ca="1" si="22"/>
        <v>100</v>
      </c>
      <c r="K17" s="36">
        <f t="shared" ca="1" si="22"/>
        <v>99.203191483706078</v>
      </c>
      <c r="L17" s="36">
        <f t="shared" ca="1" si="22"/>
        <v>98.262883946179898</v>
      </c>
      <c r="M17" s="36">
        <f t="shared" ca="1" si="22"/>
        <v>97.563506952224714</v>
      </c>
      <c r="N17" s="36">
        <f t="shared" ca="1" si="22"/>
        <v>97.563506952224714</v>
      </c>
      <c r="O17" s="36">
        <f t="shared" ca="1" si="22"/>
        <v>96.815897544440048</v>
      </c>
      <c r="P17" s="36">
        <f t="shared" ca="1" si="22"/>
        <v>96.815897544440048</v>
      </c>
      <c r="Q17" s="36">
        <f t="shared" ca="1" si="22"/>
        <v>96.126819342452933</v>
      </c>
      <c r="R17" s="36">
        <f t="shared" ca="1" si="22"/>
        <v>96.126819342452933</v>
      </c>
      <c r="T17" s="133">
        <f t="shared" ca="1" si="6"/>
        <v>-7.1428571428569137E-3</v>
      </c>
      <c r="U17" s="34">
        <f t="shared" ca="1" si="7"/>
        <v>-2.1978021978021796E-2</v>
      </c>
      <c r="W17" s="132" t="str">
        <f t="shared" si="8"/>
        <v>Target: Internet exposed devices/appliances</v>
      </c>
    </row>
    <row r="18" spans="1:23" x14ac:dyDescent="0.3">
      <c r="A18" s="114">
        <f t="shared" ca="1" si="1"/>
        <v>22</v>
      </c>
      <c r="B18" s="132">
        <f t="shared" ca="1" si="2"/>
        <v>18</v>
      </c>
      <c r="C18" s="132">
        <f t="shared" ca="1" si="3"/>
        <v>19</v>
      </c>
      <c r="D18" s="132"/>
      <c r="E18" t="str">
        <f t="shared" si="4"/>
        <v>Target: End points</v>
      </c>
      <c r="F18" s="2">
        <f t="shared" ref="F18:R18" ca="1" si="23">100*F47/$G47</f>
        <v>63.751181432813993</v>
      </c>
      <c r="G18" s="2">
        <f t="shared" ca="1" si="23"/>
        <v>100</v>
      </c>
      <c r="H18" s="36">
        <f t="shared" ca="1" si="23"/>
        <v>98.895038929392243</v>
      </c>
      <c r="I18" s="36">
        <f t="shared" ca="1" si="23"/>
        <v>98.895038929392243</v>
      </c>
      <c r="J18" s="36">
        <f t="shared" ca="1" si="23"/>
        <v>98.038810198010665</v>
      </c>
      <c r="K18" s="36">
        <f t="shared" ca="1" si="23"/>
        <v>97.257628609079674</v>
      </c>
      <c r="L18" s="36">
        <f t="shared" ca="1" si="23"/>
        <v>96.335762287086808</v>
      </c>
      <c r="M18" s="36">
        <f t="shared" ca="1" si="23"/>
        <v>95.65010140341451</v>
      </c>
      <c r="N18" s="36">
        <f t="shared" ca="1" si="23"/>
        <v>95.120185303292558</v>
      </c>
      <c r="O18" s="36">
        <f t="shared" ca="1" si="23"/>
        <v>94.391298574796991</v>
      </c>
      <c r="P18" s="36">
        <f t="shared" ca="1" si="23"/>
        <v>94.391298574796991</v>
      </c>
      <c r="Q18" s="36">
        <f t="shared" ca="1" si="23"/>
        <v>93.719477231868311</v>
      </c>
      <c r="R18" s="36">
        <f t="shared" ca="1" si="23"/>
        <v>93.096758751619717</v>
      </c>
      <c r="T18" s="133">
        <f t="shared" ca="1" si="6"/>
        <v>-1.3809523809523709E-2</v>
      </c>
      <c r="U18" s="34">
        <f t="shared" ca="1" si="7"/>
        <v>-3.4200244200244333E-2</v>
      </c>
      <c r="W18" s="132" t="str">
        <f t="shared" si="8"/>
        <v>Target: End points</v>
      </c>
    </row>
    <row r="19" spans="1:23" x14ac:dyDescent="0.3">
      <c r="A19" s="114">
        <f t="shared" ca="1" si="1"/>
        <v>14</v>
      </c>
      <c r="B19" s="132">
        <f t="shared" ca="1" si="2"/>
        <v>18</v>
      </c>
      <c r="C19" s="132">
        <f t="shared" ca="1" si="3"/>
        <v>17</v>
      </c>
      <c r="D19" s="132"/>
      <c r="E19" t="str">
        <f t="shared" si="4"/>
        <v>Target: Mobile devices</v>
      </c>
      <c r="F19" s="2">
        <f t="shared" ref="F19:R19" ca="1" si="24">100*F48/$G48</f>
        <v>63.071361256811073</v>
      </c>
      <c r="G19" s="2">
        <f t="shared" ca="1" si="24"/>
        <v>100</v>
      </c>
      <c r="H19" s="36">
        <f t="shared" ca="1" si="24"/>
        <v>100</v>
      </c>
      <c r="I19" s="36">
        <f t="shared" ca="1" si="24"/>
        <v>100.8368152207447</v>
      </c>
      <c r="J19" s="36">
        <f t="shared" ca="1" si="24"/>
        <v>99.963774678896513</v>
      </c>
      <c r="K19" s="36">
        <f t="shared" ca="1" si="24"/>
        <v>99.963774678896513</v>
      </c>
      <c r="L19" s="36">
        <f t="shared" ca="1" si="24"/>
        <v>99.016257876218106</v>
      </c>
      <c r="M19" s="36">
        <f t="shared" ca="1" si="24"/>
        <v>98.311518812950936</v>
      </c>
      <c r="N19" s="36">
        <f t="shared" ca="1" si="24"/>
        <v>97.766858055857725</v>
      </c>
      <c r="O19" s="36">
        <f t="shared" ca="1" si="24"/>
        <v>97.766858055857725</v>
      </c>
      <c r="P19" s="36">
        <f t="shared" ca="1" si="24"/>
        <v>97.766858055857725</v>
      </c>
      <c r="Q19" s="36">
        <f t="shared" ca="1" si="24"/>
        <v>97.071011480328764</v>
      </c>
      <c r="R19" s="36">
        <f t="shared" ca="1" si="24"/>
        <v>96.426023751730241</v>
      </c>
      <c r="T19" s="133">
        <f t="shared" ca="1" si="6"/>
        <v>-1.3809523809523709E-2</v>
      </c>
      <c r="U19" s="34">
        <f t="shared" ca="1" si="7"/>
        <v>-2.6507936507936508E-2</v>
      </c>
      <c r="W19" s="132" t="str">
        <f t="shared" si="8"/>
        <v>Target: Mobile devices</v>
      </c>
    </row>
    <row r="20" spans="1:23" x14ac:dyDescent="0.3">
      <c r="A20" s="114">
        <f t="shared" ca="1" si="1"/>
        <v>7</v>
      </c>
      <c r="B20" s="132">
        <f t="shared" ca="1" si="2"/>
        <v>4</v>
      </c>
      <c r="C20" s="132">
        <f t="shared" ca="1" si="3"/>
        <v>4</v>
      </c>
      <c r="D20" s="132"/>
      <c r="E20" t="str">
        <f t="shared" si="4"/>
        <v>Target: Public infrastructure/cloud</v>
      </c>
      <c r="F20" s="2">
        <f t="shared" ref="F20:R20" ca="1" si="25">100*F49/$G49</f>
        <v>54.501291614422549</v>
      </c>
      <c r="G20" s="2">
        <f t="shared" ca="1" si="25"/>
        <v>100</v>
      </c>
      <c r="H20" s="36">
        <f t="shared" ca="1" si="25"/>
        <v>100</v>
      </c>
      <c r="I20" s="36">
        <f t="shared" ca="1" si="25"/>
        <v>100.83681522074471</v>
      </c>
      <c r="J20" s="36">
        <f t="shared" ca="1" si="25"/>
        <v>101.71748052256382</v>
      </c>
      <c r="K20" s="36">
        <f t="shared" ca="1" si="25"/>
        <v>102.53448402340032</v>
      </c>
      <c r="L20" s="36">
        <f t="shared" ca="1" si="25"/>
        <v>102.53448402340032</v>
      </c>
      <c r="M20" s="36">
        <f t="shared" ca="1" si="25"/>
        <v>103.26949510954495</v>
      </c>
      <c r="N20" s="36">
        <f t="shared" ca="1" si="25"/>
        <v>104.42333227986889</v>
      </c>
      <c r="O20" s="36">
        <f t="shared" ca="1" si="25"/>
        <v>104.42333227986889</v>
      </c>
      <c r="P20" s="36">
        <f t="shared" ca="1" si="25"/>
        <v>105.05812262442134</v>
      </c>
      <c r="Q20" s="36">
        <f t="shared" ca="1" si="25"/>
        <v>105.81122423266534</v>
      </c>
      <c r="R20" s="36">
        <f t="shared" ca="1" si="25"/>
        <v>105.81122423266534</v>
      </c>
      <c r="T20" s="133">
        <f t="shared" ca="1" si="6"/>
        <v>1.3203463203463141E-2</v>
      </c>
      <c r="U20" s="34">
        <f t="shared" ca="1" si="7"/>
        <v>3.1457431457431441E-2</v>
      </c>
      <c r="W20" s="132" t="str">
        <f t="shared" si="8"/>
        <v>Target: Public infrastructure/cloud</v>
      </c>
    </row>
    <row r="21" spans="1:23" x14ac:dyDescent="0.3">
      <c r="A21" s="114">
        <f t="shared" ca="1" si="1"/>
        <v>6</v>
      </c>
      <c r="B21" s="132">
        <f t="shared" ca="1" si="2"/>
        <v>8</v>
      </c>
      <c r="C21" s="132">
        <f t="shared" ca="1" si="3"/>
        <v>5</v>
      </c>
      <c r="D21" s="132"/>
      <c r="E21" t="str">
        <f t="shared" si="4"/>
        <v>Target: Counterparties</v>
      </c>
      <c r="F21" s="2">
        <f t="shared" ref="F21:R21" ca="1" si="26">100*F50/$G50</f>
        <v>43.910566209804109</v>
      </c>
      <c r="G21" s="2">
        <f t="shared" ca="1" si="26"/>
        <v>100</v>
      </c>
      <c r="H21" s="36">
        <f t="shared" ca="1" si="26"/>
        <v>101.11730687663379</v>
      </c>
      <c r="I21" s="36">
        <f t="shared" ca="1" si="26"/>
        <v>101.9634718913846</v>
      </c>
      <c r="J21" s="36">
        <f t="shared" ca="1" si="26"/>
        <v>102.85397692718104</v>
      </c>
      <c r="K21" s="36">
        <f t="shared" ca="1" si="26"/>
        <v>103.68010886431473</v>
      </c>
      <c r="L21" s="36">
        <f t="shared" ca="1" si="26"/>
        <v>102.69736641018046</v>
      </c>
      <c r="M21" s="36">
        <f t="shared" ca="1" si="26"/>
        <v>102.69736641018046</v>
      </c>
      <c r="N21" s="36">
        <f t="shared" ca="1" si="26"/>
        <v>105.00507636317829</v>
      </c>
      <c r="O21" s="36">
        <f t="shared" ca="1" si="26"/>
        <v>105.81592236001704</v>
      </c>
      <c r="P21" s="36">
        <f t="shared" ca="1" si="26"/>
        <v>105.81592236001704</v>
      </c>
      <c r="Q21" s="36">
        <f t="shared" ca="1" si="26"/>
        <v>105.81592236001704</v>
      </c>
      <c r="R21" s="36">
        <f t="shared" ca="1" si="26"/>
        <v>105.81592236001704</v>
      </c>
      <c r="T21" s="133">
        <f t="shared" ca="1" si="6"/>
        <v>0</v>
      </c>
      <c r="U21" s="34">
        <f t="shared" ca="1" si="7"/>
        <v>2.9914529914530041E-2</v>
      </c>
      <c r="W21" s="132" t="str">
        <f t="shared" si="8"/>
        <v>Target: Counterparties</v>
      </c>
    </row>
    <row r="22" spans="1:23" x14ac:dyDescent="0.3">
      <c r="A22" s="114">
        <f t="shared" ca="1" si="1"/>
        <v>13</v>
      </c>
      <c r="B22" s="132">
        <f t="shared" ca="1" si="2"/>
        <v>15</v>
      </c>
      <c r="C22" s="132">
        <f t="shared" ca="1" si="3"/>
        <v>14</v>
      </c>
      <c r="D22" s="132"/>
      <c r="E22" t="str">
        <f t="shared" si="4"/>
        <v>Target: Autonomous network connected devices</v>
      </c>
      <c r="F22" s="2">
        <f t="shared" ref="F22:R22" ca="1" si="27">100*F51/$G51</f>
        <v>0</v>
      </c>
      <c r="G22" s="2">
        <f t="shared" ca="1" si="27"/>
        <v>100</v>
      </c>
      <c r="H22" s="36">
        <f t="shared" ca="1" si="27"/>
        <v>100</v>
      </c>
      <c r="I22" s="36">
        <f t="shared" ca="1" si="27"/>
        <v>100.83681522074471</v>
      </c>
      <c r="J22" s="36">
        <f t="shared" ca="1" si="27"/>
        <v>100.83681522074471</v>
      </c>
      <c r="K22" s="36">
        <f t="shared" ca="1" si="27"/>
        <v>100.03333888950624</v>
      </c>
      <c r="L22" s="36">
        <f t="shared" ca="1" si="27"/>
        <v>99.085162715384229</v>
      </c>
      <c r="M22" s="36">
        <f t="shared" ca="1" si="27"/>
        <v>98.37993322829324</v>
      </c>
      <c r="N22" s="36">
        <f t="shared" ca="1" si="27"/>
        <v>98.928009437148049</v>
      </c>
      <c r="O22" s="36">
        <f t="shared" ca="1" si="27"/>
        <v>98.928009437148049</v>
      </c>
      <c r="P22" s="36">
        <f t="shared" ca="1" si="27"/>
        <v>98.928009437148049</v>
      </c>
      <c r="Q22" s="36">
        <f t="shared" ca="1" si="27"/>
        <v>98.223898473989081</v>
      </c>
      <c r="R22" s="36">
        <f t="shared" ca="1" si="27"/>
        <v>98.223898473989081</v>
      </c>
      <c r="T22" s="133">
        <f t="shared" ca="1" si="6"/>
        <v>-7.1428571428570255E-3</v>
      </c>
      <c r="U22" s="34">
        <f t="shared" ca="1" si="7"/>
        <v>-8.7301587301586679E-3</v>
      </c>
      <c r="W22" s="132" t="str">
        <f t="shared" si="8"/>
        <v>Target: Autonomous network connected devices</v>
      </c>
    </row>
    <row r="23" spans="1:23" x14ac:dyDescent="0.3">
      <c r="A23" s="114">
        <f t="shared" ca="1" si="1"/>
        <v>18</v>
      </c>
      <c r="B23" s="132">
        <f t="shared" ca="1" si="2"/>
        <v>16</v>
      </c>
      <c r="C23" s="132">
        <f t="shared" ca="1" si="3"/>
        <v>18</v>
      </c>
      <c r="D23" s="132"/>
      <c r="E23" t="str">
        <f t="shared" si="4"/>
        <v>Defenses: Vulnerability to known threats</v>
      </c>
      <c r="F23" s="2">
        <f t="shared" ref="F23:R23" ca="1" si="28">100*F52/$G52</f>
        <v>84.43671169100547</v>
      </c>
      <c r="G23" s="2">
        <f t="shared" ca="1" si="28"/>
        <v>100</v>
      </c>
      <c r="H23" s="36">
        <f t="shared" ca="1" si="28"/>
        <v>101.11730687663379</v>
      </c>
      <c r="I23" s="36">
        <f t="shared" ca="1" si="28"/>
        <v>100.27816393771963</v>
      </c>
      <c r="J23" s="36">
        <f t="shared" ca="1" si="28"/>
        <v>99.409960173171129</v>
      </c>
      <c r="K23" s="36">
        <f t="shared" ca="1" si="28"/>
        <v>98.617853144466892</v>
      </c>
      <c r="L23" s="36">
        <f t="shared" ca="1" si="28"/>
        <v>97.6830937959068</v>
      </c>
      <c r="M23" s="36">
        <f t="shared" ca="1" si="28"/>
        <v>96.987843404755651</v>
      </c>
      <c r="N23" s="36">
        <f t="shared" ca="1" si="28"/>
        <v>96.450516010616013</v>
      </c>
      <c r="O23" s="36">
        <f t="shared" ca="1" si="28"/>
        <v>95.711435227157381</v>
      </c>
      <c r="P23" s="36">
        <f t="shared" ca="1" si="28"/>
        <v>95.711435227157381</v>
      </c>
      <c r="Q23" s="36">
        <f t="shared" ca="1" si="28"/>
        <v>95.030217933627</v>
      </c>
      <c r="R23" s="36">
        <f t="shared" ca="1" si="28"/>
        <v>95.030217933627</v>
      </c>
      <c r="T23" s="133">
        <f t="shared" ca="1" si="6"/>
        <v>-7.1428571428571374E-3</v>
      </c>
      <c r="U23" s="34">
        <f t="shared" ca="1" si="7"/>
        <v>-2.7533577533577561E-2</v>
      </c>
      <c r="W23" s="132" t="str">
        <f t="shared" si="8"/>
        <v>Defenses: Vulnerability to known threats</v>
      </c>
    </row>
    <row r="24" spans="1:23" x14ac:dyDescent="0.3">
      <c r="A24" s="114">
        <f t="shared" ca="1" si="1"/>
        <v>15</v>
      </c>
      <c r="B24" s="132">
        <f t="shared" ca="1" si="2"/>
        <v>12</v>
      </c>
      <c r="C24" s="132">
        <f t="shared" ca="1" si="3"/>
        <v>15</v>
      </c>
      <c r="D24" s="132"/>
      <c r="E24" t="str">
        <f t="shared" si="4"/>
        <v>Defenses: Vulnerability to unknown threats</v>
      </c>
      <c r="F24" s="2">
        <f t="shared" ref="F24:R24" ca="1" si="29">100*F53/$G53</f>
        <v>62.478470338590945</v>
      </c>
      <c r="G24" s="2">
        <f t="shared" ca="1" si="29"/>
        <v>100</v>
      </c>
      <c r="H24" s="36">
        <f t="shared" ca="1" si="29"/>
        <v>101.11730687663378</v>
      </c>
      <c r="I24" s="36">
        <f t="shared" ca="1" si="29"/>
        <v>101.11730687663378</v>
      </c>
      <c r="J24" s="36">
        <f t="shared" ca="1" si="29"/>
        <v>100.24183785083648</v>
      </c>
      <c r="K24" s="36">
        <f t="shared" ca="1" si="29"/>
        <v>99.443102349951459</v>
      </c>
      <c r="L24" s="36">
        <f t="shared" ca="1" si="29"/>
        <v>98.500520792885283</v>
      </c>
      <c r="M24" s="36">
        <f t="shared" ca="1" si="29"/>
        <v>97.79945244063866</v>
      </c>
      <c r="N24" s="36">
        <f t="shared" ca="1" si="29"/>
        <v>97.79945244063866</v>
      </c>
      <c r="O24" s="36">
        <f t="shared" ca="1" si="29"/>
        <v>97.050035030329568</v>
      </c>
      <c r="P24" s="36">
        <f t="shared" ca="1" si="29"/>
        <v>97.050035030329568</v>
      </c>
      <c r="Q24" s="36">
        <f t="shared" ca="1" si="29"/>
        <v>96.359290376428191</v>
      </c>
      <c r="R24" s="36">
        <f t="shared" ca="1" si="29"/>
        <v>96.359290376428191</v>
      </c>
      <c r="T24" s="133">
        <f t="shared" ca="1" si="6"/>
        <v>-7.1428571428569137E-3</v>
      </c>
      <c r="U24" s="34">
        <f t="shared" ca="1" si="7"/>
        <v>-2.1978021978021796E-2</v>
      </c>
      <c r="W24" s="132" t="str">
        <f t="shared" si="8"/>
        <v>Defenses: Vulnerability to unknown threats</v>
      </c>
    </row>
    <row r="25" spans="1:23" x14ac:dyDescent="0.3">
      <c r="A25" s="114">
        <f t="shared" ca="1" si="1"/>
        <v>10</v>
      </c>
      <c r="B25" s="132">
        <f t="shared" ca="1" si="2"/>
        <v>8</v>
      </c>
      <c r="C25" s="132">
        <f t="shared" ca="1" si="3"/>
        <v>9</v>
      </c>
      <c r="D25" s="132"/>
      <c r="E25" t="str">
        <f t="shared" si="4"/>
        <v>Overall: False claims of digital identity</v>
      </c>
      <c r="F25" s="2">
        <f t="shared" ref="F25:R25" ca="1" si="30">100*F54/$G54</f>
        <v>0</v>
      </c>
      <c r="G25" s="2">
        <f t="shared" ca="1" si="30"/>
        <v>100</v>
      </c>
      <c r="H25" s="36">
        <f t="shared" ca="1" si="30"/>
        <v>100</v>
      </c>
      <c r="I25" s="36">
        <f t="shared" ca="1" si="30"/>
        <v>100</v>
      </c>
      <c r="J25" s="36">
        <f t="shared" ca="1" si="30"/>
        <v>100</v>
      </c>
      <c r="K25" s="36">
        <f t="shared" ca="1" si="30"/>
        <v>100.80320855042734</v>
      </c>
      <c r="L25" s="36">
        <f t="shared" ca="1" si="30"/>
        <v>100.80320855042734</v>
      </c>
      <c r="M25" s="36">
        <f t="shared" ca="1" si="30"/>
        <v>100.80320855042734</v>
      </c>
      <c r="N25" s="36">
        <f t="shared" ca="1" si="30"/>
        <v>100.80320855042734</v>
      </c>
      <c r="O25" s="36">
        <f t="shared" ca="1" si="30"/>
        <v>100.80320855042734</v>
      </c>
      <c r="P25" s="36">
        <f t="shared" ca="1" si="30"/>
        <v>100.80320855042734</v>
      </c>
      <c r="Q25" s="36">
        <f t="shared" ca="1" si="30"/>
        <v>100.80320855042734</v>
      </c>
      <c r="R25" s="36">
        <f t="shared" ca="1" si="30"/>
        <v>100.80320855042734</v>
      </c>
      <c r="T25" s="133">
        <f t="shared" ca="1" si="6"/>
        <v>0</v>
      </c>
      <c r="U25" s="34">
        <f t="shared" ca="1" si="7"/>
        <v>0</v>
      </c>
      <c r="W25" s="132" t="str">
        <f t="shared" si="8"/>
        <v>Overall: False claims of digital identity</v>
      </c>
    </row>
    <row r="26" spans="1:23" x14ac:dyDescent="0.3">
      <c r="A26" s="114">
        <f t="shared" ca="1" si="1"/>
        <v>2</v>
      </c>
      <c r="B26" s="132">
        <f t="shared" ca="1" si="2"/>
        <v>3</v>
      </c>
      <c r="C26" s="132">
        <f t="shared" ca="1" si="3"/>
        <v>2</v>
      </c>
      <c r="D26" s="132"/>
      <c r="E26" t="str">
        <f t="shared" si="4"/>
        <v>Overall: Media &amp; public perception</v>
      </c>
      <c r="F26" s="2">
        <f t="shared" ref="F26:R26" ca="1" si="31">100*F55/$G55</f>
        <v>18.151609931867569</v>
      </c>
      <c r="G26" s="2">
        <f t="shared" ca="1" si="31"/>
        <v>100</v>
      </c>
      <c r="H26" s="36">
        <f t="shared" ca="1" si="31"/>
        <v>101.11730687663379</v>
      </c>
      <c r="I26" s="36">
        <f t="shared" ca="1" si="31"/>
        <v>102.81671774377142</v>
      </c>
      <c r="J26" s="36">
        <f t="shared" ca="1" si="31"/>
        <v>104.62047394758761</v>
      </c>
      <c r="K26" s="36">
        <f t="shared" ca="1" si="31"/>
        <v>106.3078646589248</v>
      </c>
      <c r="L26" s="36">
        <f t="shared" ca="1" si="31"/>
        <v>107.32515707313735</v>
      </c>
      <c r="M26" s="36">
        <f t="shared" ca="1" si="31"/>
        <v>108.0945097550406</v>
      </c>
      <c r="N26" s="36">
        <f t="shared" ca="1" si="31"/>
        <v>109.30225714579726</v>
      </c>
      <c r="O26" s="36">
        <f t="shared" ca="1" si="31"/>
        <v>110.14628584156786</v>
      </c>
      <c r="P26" s="36">
        <f t="shared" ca="1" si="31"/>
        <v>110.81586607056447</v>
      </c>
      <c r="Q26" s="36">
        <f t="shared" ca="1" si="31"/>
        <v>111.61024164926241</v>
      </c>
      <c r="R26" s="36">
        <f t="shared" ca="1" si="31"/>
        <v>111.61024164926241</v>
      </c>
      <c r="T26" s="133">
        <f t="shared" ca="1" si="6"/>
        <v>1.3203463203463361E-2</v>
      </c>
      <c r="U26" s="34">
        <f t="shared" ca="1" si="7"/>
        <v>3.9149739149739259E-2</v>
      </c>
      <c r="W26" s="132" t="str">
        <f t="shared" si="8"/>
        <v>Overall: Media &amp; public perception</v>
      </c>
    </row>
    <row r="27" spans="1:23" ht="15" thickBot="1" x14ac:dyDescent="0.35"/>
    <row r="28" spans="1:23" ht="15.6" thickTop="1" thickBot="1" x14ac:dyDescent="0.35">
      <c r="E28" s="113" t="s">
        <v>204</v>
      </c>
    </row>
    <row r="29" spans="1:23" ht="15" thickTop="1" x14ac:dyDescent="0.3">
      <c r="E29" s="111" t="str">
        <f>Index_CALCULATION!B50</f>
        <v>Current month:</v>
      </c>
      <c r="F29" s="132" t="str">
        <f>Index_CALCULATION!B50</f>
        <v>Current month:</v>
      </c>
      <c r="G29">
        <f>Index_CALCULATION!C50</f>
        <v>42246</v>
      </c>
      <c r="H29">
        <f>Index_CALCULATION!D50</f>
        <v>102</v>
      </c>
    </row>
    <row r="30" spans="1:23" x14ac:dyDescent="0.3">
      <c r="F30" s="112">
        <v>35</v>
      </c>
      <c r="G30" s="112">
        <f>H29+3</f>
        <v>105</v>
      </c>
      <c r="H30" s="112">
        <f>+G30+1</f>
        <v>106</v>
      </c>
      <c r="I30" s="112">
        <f t="shared" ref="I30:R30" si="32">+H30+1</f>
        <v>107</v>
      </c>
      <c r="J30" s="112">
        <f t="shared" si="32"/>
        <v>108</v>
      </c>
      <c r="K30" s="112">
        <f t="shared" si="32"/>
        <v>109</v>
      </c>
      <c r="L30" s="112">
        <f t="shared" si="32"/>
        <v>110</v>
      </c>
      <c r="M30" s="112">
        <f t="shared" si="32"/>
        <v>111</v>
      </c>
      <c r="N30" s="112">
        <f t="shared" si="32"/>
        <v>112</v>
      </c>
      <c r="O30" s="112">
        <f t="shared" si="32"/>
        <v>113</v>
      </c>
      <c r="P30" s="112">
        <f t="shared" si="32"/>
        <v>114</v>
      </c>
      <c r="Q30" s="112">
        <f t="shared" si="32"/>
        <v>115</v>
      </c>
      <c r="R30" s="112">
        <f t="shared" si="32"/>
        <v>116</v>
      </c>
    </row>
    <row r="31" spans="1:23" x14ac:dyDescent="0.3">
      <c r="A31" s="115" t="s">
        <v>82</v>
      </c>
      <c r="B31" s="132" t="s">
        <v>220</v>
      </c>
      <c r="C31" s="132" t="s">
        <v>222</v>
      </c>
      <c r="D31" s="132"/>
      <c r="E31" t="str">
        <f>Index_CALCULATION!B15</f>
        <v>New series</v>
      </c>
      <c r="F31" s="20" t="str">
        <f>VLOOKUP($E31,Index_CALCULATION!$B$15:$EE$40,F$30,0)</f>
        <v>Nov-12</v>
      </c>
      <c r="G31" s="20" t="str">
        <f>TEXT(VLOOKUP($E31,Index_CALCULATION!$B$15:$EE$40,G$30,0),"mmm-yy")</f>
        <v>Sep-18</v>
      </c>
      <c r="H31" s="20" t="str">
        <f>TEXT(VLOOKUP($E31,Index_CALCULATION!$B$15:$EE$40,H$30,0),"mmm-yy")</f>
        <v>Oct-18</v>
      </c>
      <c r="I31" s="20" t="str">
        <f>TEXT(VLOOKUP($E31,Index_CALCULATION!$B$15:$EE$40,I$30,0),"mmm-yy")</f>
        <v>Nov-18</v>
      </c>
      <c r="J31" s="20" t="str">
        <f>TEXT(VLOOKUP($E31,Index_CALCULATION!$B$15:$EE$40,J$30,0),"mmm-yy")</f>
        <v>Dec-18</v>
      </c>
      <c r="K31" s="20" t="str">
        <f>TEXT(VLOOKUP($E31,Index_CALCULATION!$B$15:$EE$40,K$30,0),"mmm-yy")</f>
        <v>Jan-19</v>
      </c>
      <c r="L31" s="20" t="str">
        <f>TEXT(VLOOKUP($E31,Index_CALCULATION!$B$15:$EE$40,L$30,0),"mmm-yy")</f>
        <v>Feb-19</v>
      </c>
      <c r="M31" s="20" t="str">
        <f>TEXT(VLOOKUP($E31,Index_CALCULATION!$B$15:$EE$40,M$30,0),"mmm-yy")</f>
        <v>Mar-19</v>
      </c>
      <c r="N31" s="20" t="str">
        <f>TEXT(VLOOKUP($E31,Index_CALCULATION!$B$15:$EE$40,N$30,0),"mmm-yy")</f>
        <v>Apr-19</v>
      </c>
      <c r="O31" s="20" t="str">
        <f>TEXT(VLOOKUP($E31,Index_CALCULATION!$B$15:$EE$40,O$30,0),"mmm-yy")</f>
        <v>May-19</v>
      </c>
      <c r="P31" s="20" t="str">
        <f>TEXT(VLOOKUP($E31,Index_CALCULATION!$B$15:$EE$40,P$30,0),"mmm-yy")</f>
        <v>Jun-19</v>
      </c>
      <c r="Q31" s="20" t="str">
        <f>TEXT(VLOOKUP($E31,Index_CALCULATION!$B$15:$EE$40,Q$30,0),"mmm-yy")</f>
        <v>Jul-19</v>
      </c>
      <c r="R31" s="20" t="str">
        <f>TEXT(VLOOKUP($E31,Index_CALCULATION!$B$15:$EE$40,R$30,0),"mmm-yy")</f>
        <v>Aug-19</v>
      </c>
      <c r="T31" s="132" t="s">
        <v>219</v>
      </c>
      <c r="U31" s="132" t="s">
        <v>221</v>
      </c>
      <c r="W31" s="132"/>
    </row>
    <row r="32" spans="1:23" x14ac:dyDescent="0.3">
      <c r="A32" s="114">
        <f ca="1">RANK(R32,$R$32:$R$55)</f>
        <v>12</v>
      </c>
      <c r="B32" s="132">
        <f t="shared" ref="B32:B55" ca="1" si="33">_xlfn.RANK.EQ(T32,$T$32:$T$55)</f>
        <v>2</v>
      </c>
      <c r="C32" s="132">
        <f t="shared" ref="C32:C55" ca="1" si="34">_xlfn.RANK.EQ(U32,$U$32:$U$55)</f>
        <v>3</v>
      </c>
      <c r="D32" s="132"/>
      <c r="E32" t="str">
        <f>Index_CALCULATION!B16</f>
        <v>Attackers: Insider threat</v>
      </c>
      <c r="F32" s="2">
        <f>VLOOKUP($E32,Index_CALCULATION!$B$15:$EE$40,F$30,0)</f>
        <v>1473.2683565496418</v>
      </c>
      <c r="G32" s="2">
        <f ca="1">VLOOKUP($E32,Index_CALCULATION!$B$15:$EE$40,G$30,0)</f>
        <v>2133.4129949324492</v>
      </c>
      <c r="H32" s="2">
        <f ca="1">VLOOKUP($E32,Index_CALCULATION!$B$15:$EE$40,H$30,0)</f>
        <v>2181.3528650026956</v>
      </c>
      <c r="I32" s="2">
        <f ca="1">VLOOKUP($E32,Index_CALCULATION!$B$15:$EE$40,I$30,0)</f>
        <v>2218.0134019409475</v>
      </c>
      <c r="J32" s="2">
        <f ca="1">VLOOKUP($E32,Index_CALCULATION!$B$15:$EE$40,J$30,0)</f>
        <v>2218.0134019409475</v>
      </c>
      <c r="K32" s="2">
        <f ca="1">VLOOKUP($E32,Index_CALCULATION!$B$15:$EE$40,K$30,0)</f>
        <v>2235.8286752349618</v>
      </c>
      <c r="L32" s="2">
        <f ca="1">VLOOKUP($E32,Index_CALCULATION!$B$15:$EE$40,L$30,0)</f>
        <v>2235.8286752349618</v>
      </c>
      <c r="M32" s="2">
        <f ca="1">VLOOKUP($E32,Index_CALCULATION!$B$15:$EE$40,M$30,0)</f>
        <v>2219.9153712987463</v>
      </c>
      <c r="N32" s="2">
        <f ca="1">VLOOKUP($E32,Index_CALCULATION!$B$15:$EE$40,N$30,0)</f>
        <v>2232.2825559547532</v>
      </c>
      <c r="O32" s="2">
        <f ca="1">VLOOKUP($E32,Index_CALCULATION!$B$15:$EE$40,O$30,0)</f>
        <v>2249.5201737633297</v>
      </c>
      <c r="P32" s="2">
        <f ca="1">VLOOKUP($E32,Index_CALCULATION!$B$15:$EE$40,P$30,0)</f>
        <v>2263.1950264519392</v>
      </c>
      <c r="Q32" s="2">
        <f ca="1">VLOOKUP($E32,Index_CALCULATION!$B$15:$EE$40,Q$30,0)</f>
        <v>2279.4185774883877</v>
      </c>
      <c r="R32" s="2">
        <f ca="1">VLOOKUP($E32,Index_CALCULATION!$B$15:$EE$40,R$30,0)</f>
        <v>2310.0143436936673</v>
      </c>
      <c r="T32" s="133">
        <f ca="1">LN(R32/O32)</f>
        <v>2.6536796536796605E-2</v>
      </c>
      <c r="U32" s="34">
        <f ca="1">LN(R32/L32)</f>
        <v>3.2641802641802831E-2</v>
      </c>
      <c r="W32" s="132" t="str">
        <f>E32</f>
        <v>Attackers: Insider threat</v>
      </c>
    </row>
    <row r="33" spans="1:23" x14ac:dyDescent="0.3">
      <c r="A33" s="114">
        <f t="shared" ref="A33:A55" ca="1" si="35">RANK(R33,$R$32:$R$55)</f>
        <v>16</v>
      </c>
      <c r="B33" s="132">
        <f t="shared" ca="1" si="33"/>
        <v>21</v>
      </c>
      <c r="C33" s="132">
        <f t="shared" ca="1" si="34"/>
        <v>20</v>
      </c>
      <c r="D33" s="132"/>
      <c r="E33" t="str">
        <f>Index_CALCULATION!B17</f>
        <v>Attackers: Strategic rivals</v>
      </c>
      <c r="F33" s="2">
        <f>VLOOKUP($E33,Index_CALCULATION!$B$15:$EE$40,F$30,0)</f>
        <v>1546.4633589569003</v>
      </c>
      <c r="G33" s="2">
        <f ca="1">VLOOKUP($E33,Index_CALCULATION!$B$15:$EE$40,G$30,0)</f>
        <v>2102.6670228515318</v>
      </c>
      <c r="H33" s="2">
        <f ca="1">VLOOKUP($E33,Index_CALCULATION!$B$15:$EE$40,H$30,0)</f>
        <v>2102.6670228515318</v>
      </c>
      <c r="I33" s="2">
        <f ca="1">VLOOKUP($E33,Index_CALCULATION!$B$15:$EE$40,I$30,0)</f>
        <v>2085.2176045510009</v>
      </c>
      <c r="J33" s="2">
        <f ca="1">VLOOKUP($E33,Index_CALCULATION!$B$15:$EE$40,J$30,0)</f>
        <v>2085.2176045510009</v>
      </c>
      <c r="K33" s="2">
        <f ca="1">VLOOKUP($E33,Index_CALCULATION!$B$15:$EE$40,K$30,0)</f>
        <v>2068.602413094678</v>
      </c>
      <c r="L33" s="2">
        <f ca="1">VLOOKUP($E33,Index_CALCULATION!$B$15:$EE$40,L$30,0)</f>
        <v>2048.9949547852625</v>
      </c>
      <c r="M33" s="2">
        <f ca="1">VLOOKUP($E33,Index_CALCULATION!$B$15:$EE$40,M$30,0)</f>
        <v>2034.4114225851292</v>
      </c>
      <c r="N33" s="2">
        <f ca="1">VLOOKUP($E33,Index_CALCULATION!$B$15:$EE$40,N$30,0)</f>
        <v>2034.4114225851292</v>
      </c>
      <c r="O33" s="2">
        <f ca="1">VLOOKUP($E33,Index_CALCULATION!$B$15:$EE$40,O$30,0)</f>
        <v>2018.8221396007241</v>
      </c>
      <c r="P33" s="2">
        <f ca="1">VLOOKUP($E33,Index_CALCULATION!$B$15:$EE$40,P$30,0)</f>
        <v>2006.6238557405725</v>
      </c>
      <c r="Q33" s="2">
        <f ca="1">VLOOKUP($E33,Index_CALCULATION!$B$15:$EE$40,Q$30,0)</f>
        <v>1992.3418959214889</v>
      </c>
      <c r="R33" s="2">
        <f ca="1">VLOOKUP($E33,Index_CALCULATION!$B$15:$EE$40,R$30,0)</f>
        <v>1979.1037926562058</v>
      </c>
      <c r="T33" s="133">
        <f t="shared" ref="T33:T55" ca="1" si="36">LN(R33/O33)</f>
        <v>-1.9870129870129902E-2</v>
      </c>
      <c r="U33" s="34">
        <f t="shared" ref="U33:U55" ca="1" si="37">LN(R33/L33)</f>
        <v>-3.4705294705294765E-2</v>
      </c>
      <c r="W33" s="132" t="str">
        <f t="shared" ref="W33:W55" si="38">E33</f>
        <v>Attackers: Strategic rivals</v>
      </c>
    </row>
    <row r="34" spans="1:23" x14ac:dyDescent="0.3">
      <c r="A34" s="114">
        <f t="shared" ca="1" si="35"/>
        <v>8</v>
      </c>
      <c r="B34" s="132">
        <f t="shared" ca="1" si="33"/>
        <v>21</v>
      </c>
      <c r="C34" s="132">
        <f t="shared" ca="1" si="34"/>
        <v>21</v>
      </c>
      <c r="D34" s="132"/>
      <c r="E34" t="str">
        <f>Index_CALCULATION!B18</f>
        <v>Attackers: Activist/hacktivists</v>
      </c>
      <c r="F34" s="2">
        <f>VLOOKUP($E34,Index_CALCULATION!$B$15:$EE$40,F$30,0)</f>
        <v>1826.0092469151766</v>
      </c>
      <c r="G34" s="2">
        <f ca="1">VLOOKUP($E34,Index_CALCULATION!$B$15:$EE$40,G$30,0)</f>
        <v>2673.0302338487791</v>
      </c>
      <c r="H34" s="2">
        <f ca="1">VLOOKUP($E34,Index_CALCULATION!$B$15:$EE$40,H$30,0)</f>
        <v>2673.0302338487791</v>
      </c>
      <c r="I34" s="2">
        <f ca="1">VLOOKUP($E34,Index_CALCULATION!$B$15:$EE$40,I$30,0)</f>
        <v>2650.8475381706312</v>
      </c>
      <c r="J34" s="2">
        <f ca="1">VLOOKUP($E34,Index_CALCULATION!$B$15:$EE$40,J$30,0)</f>
        <v>2650.8475381706312</v>
      </c>
      <c r="K34" s="2">
        <f ca="1">VLOOKUP($E34,Index_CALCULATION!$B$15:$EE$40,K$30,0)</f>
        <v>2629.7253592325196</v>
      </c>
      <c r="L34" s="2">
        <f ca="1">VLOOKUP($E34,Index_CALCULATION!$B$15:$EE$40,L$30,0)</f>
        <v>2604.799240022774</v>
      </c>
      <c r="M34" s="2">
        <f ca="1">VLOOKUP($E34,Index_CALCULATION!$B$15:$EE$40,M$30,0)</f>
        <v>2586.2598221959811</v>
      </c>
      <c r="N34" s="2">
        <f ca="1">VLOOKUP($E34,Index_CALCULATION!$B$15:$EE$40,N$30,0)</f>
        <v>2571.9315496821864</v>
      </c>
      <c r="O34" s="2">
        <f ca="1">VLOOKUP($E34,Index_CALCULATION!$B$15:$EE$40,O$30,0)</f>
        <v>2552.2233587531523</v>
      </c>
      <c r="P34" s="2">
        <f ca="1">VLOOKUP($E34,Index_CALCULATION!$B$15:$EE$40,P$30,0)</f>
        <v>2536.8021166368271</v>
      </c>
      <c r="Q34" s="2">
        <f ca="1">VLOOKUP($E34,Index_CALCULATION!$B$15:$EE$40,Q$30,0)</f>
        <v>2518.7466620506948</v>
      </c>
      <c r="R34" s="2">
        <f ca="1">VLOOKUP($E34,Index_CALCULATION!$B$15:$EE$40,R$30,0)</f>
        <v>2502.0108656095463</v>
      </c>
      <c r="T34" s="133">
        <f t="shared" ca="1" si="36"/>
        <v>-1.9870129870129902E-2</v>
      </c>
      <c r="U34" s="34">
        <f t="shared" ca="1" si="37"/>
        <v>-4.026085026085046E-2</v>
      </c>
      <c r="W34" s="132" t="str">
        <f t="shared" si="38"/>
        <v>Attackers: Activist/hacktivists</v>
      </c>
    </row>
    <row r="35" spans="1:23" x14ac:dyDescent="0.3">
      <c r="A35" s="114">
        <f t="shared" ca="1" si="35"/>
        <v>7</v>
      </c>
      <c r="B35" s="132">
        <f t="shared" ca="1" si="33"/>
        <v>10</v>
      </c>
      <c r="C35" s="132">
        <f t="shared" ca="1" si="34"/>
        <v>10</v>
      </c>
      <c r="D35" s="132"/>
      <c r="E35" t="str">
        <f>Index_CALCULATION!B19</f>
        <v>Attackers: Criminals</v>
      </c>
      <c r="F35" s="2">
        <f>VLOOKUP($E35,Index_CALCULATION!$B$15:$EE$40,F$30,0)</f>
        <v>1181.7150663220482</v>
      </c>
      <c r="G35" s="2">
        <f ca="1">VLOOKUP($E35,Index_CALCULATION!$B$15:$EE$40,G$30,0)</f>
        <v>2986.6878137307476</v>
      </c>
      <c r="H35" s="2">
        <f ca="1">VLOOKUP($E35,Index_CALCULATION!$B$15:$EE$40,H$30,0)</f>
        <v>2986.6878137307476</v>
      </c>
      <c r="I35" s="2">
        <f ca="1">VLOOKUP($E35,Index_CALCULATION!$B$15:$EE$40,I$30,0)</f>
        <v>3011.6808719521737</v>
      </c>
      <c r="J35" s="2">
        <f ca="1">VLOOKUP($E35,Index_CALCULATION!$B$15:$EE$40,J$30,0)</f>
        <v>3011.6808719521737</v>
      </c>
      <c r="K35" s="2">
        <f ca="1">VLOOKUP($E35,Index_CALCULATION!$B$15:$EE$40,K$30,0)</f>
        <v>3035.8709502272786</v>
      </c>
      <c r="L35" s="2">
        <f ca="1">VLOOKUP($E35,Index_CALCULATION!$B$15:$EE$40,L$30,0)</f>
        <v>3007.0951387361301</v>
      </c>
      <c r="M35" s="2">
        <f ca="1">VLOOKUP($E35,Index_CALCULATION!$B$15:$EE$40,M$30,0)</f>
        <v>3007.0951387361301</v>
      </c>
      <c r="N35" s="2">
        <f ca="1">VLOOKUP($E35,Index_CALCULATION!$B$15:$EE$40,N$30,0)</f>
        <v>3007.0951387361301</v>
      </c>
      <c r="O35" s="2">
        <f ca="1">VLOOKUP($E35,Index_CALCULATION!$B$15:$EE$40,O$30,0)</f>
        <v>3007.0951387361301</v>
      </c>
      <c r="P35" s="2">
        <f ca="1">VLOOKUP($E35,Index_CALCULATION!$B$15:$EE$40,P$30,0)</f>
        <v>2988.9254350374972</v>
      </c>
      <c r="Q35" s="2">
        <f ca="1">VLOOKUP($E35,Index_CALCULATION!$B$15:$EE$40,Q$30,0)</f>
        <v>2967.6520345228364</v>
      </c>
      <c r="R35" s="2">
        <f ca="1">VLOOKUP($E35,Index_CALCULATION!$B$15:$EE$40,R$30,0)</f>
        <v>2987.5024760379401</v>
      </c>
      <c r="T35" s="133">
        <f t="shared" ca="1" si="36"/>
        <v>-6.5367965367963653E-3</v>
      </c>
      <c r="U35" s="34">
        <f t="shared" ca="1" si="37"/>
        <v>-6.5367965367963653E-3</v>
      </c>
      <c r="W35" s="132" t="str">
        <f t="shared" si="38"/>
        <v>Attackers: Criminals</v>
      </c>
    </row>
    <row r="36" spans="1:23" x14ac:dyDescent="0.3">
      <c r="A36" s="114">
        <f t="shared" ca="1" si="35"/>
        <v>4</v>
      </c>
      <c r="B36" s="132">
        <f t="shared" ca="1" si="33"/>
        <v>7</v>
      </c>
      <c r="C36" s="132">
        <f t="shared" ca="1" si="34"/>
        <v>8</v>
      </c>
      <c r="D36" s="132"/>
      <c r="E36" t="str">
        <f>Index_CALCULATION!B20</f>
        <v>Attackers: Nation states</v>
      </c>
      <c r="F36" s="2">
        <f>VLOOKUP($E36,Index_CALCULATION!$B$15:$EE$40,F$30,0)</f>
        <v>1767.1168625469963</v>
      </c>
      <c r="G36" s="2">
        <f ca="1">VLOOKUP($E36,Index_CALCULATION!$B$15:$EE$40,G$30,0)</f>
        <v>4069.9360063135841</v>
      </c>
      <c r="H36" s="2">
        <f ca="1">VLOOKUP($E36,Index_CALCULATION!$B$15:$EE$40,H$30,0)</f>
        <v>4115.4096811867203</v>
      </c>
      <c r="I36" s="2">
        <f ca="1">VLOOKUP($E36,Index_CALCULATION!$B$15:$EE$40,I$30,0)</f>
        <v>4115.4096811867203</v>
      </c>
      <c r="J36" s="2">
        <f ca="1">VLOOKUP($E36,Index_CALCULATION!$B$15:$EE$40,J$30,0)</f>
        <v>4115.4096811867203</v>
      </c>
      <c r="K36" s="2">
        <f ca="1">VLOOKUP($E36,Index_CALCULATION!$B$15:$EE$40,K$30,0)</f>
        <v>4148.4650036311268</v>
      </c>
      <c r="L36" s="2">
        <f ca="1">VLOOKUP($E36,Index_CALCULATION!$B$15:$EE$40,L$30,0)</f>
        <v>4148.4650036311268</v>
      </c>
      <c r="M36" s="2">
        <f ca="1">VLOOKUP($E36,Index_CALCULATION!$B$15:$EE$40,M$30,0)</f>
        <v>4148.4650036311268</v>
      </c>
      <c r="N36" s="2">
        <f ca="1">VLOOKUP($E36,Index_CALCULATION!$B$15:$EE$40,N$30,0)</f>
        <v>4194.8160883914434</v>
      </c>
      <c r="O36" s="2">
        <f ca="1">VLOOKUP($E36,Index_CALCULATION!$B$15:$EE$40,O$30,0)</f>
        <v>4194.8160883914434</v>
      </c>
      <c r="P36" s="2">
        <f ca="1">VLOOKUP($E36,Index_CALCULATION!$B$15:$EE$40,P$30,0)</f>
        <v>4220.3164118531331</v>
      </c>
      <c r="Q36" s="2">
        <f ca="1">VLOOKUP($E36,Index_CALCULATION!$B$15:$EE$40,Q$30,0)</f>
        <v>4190.2786998796255</v>
      </c>
      <c r="R36" s="2">
        <f ca="1">VLOOKUP($E36,Index_CALCULATION!$B$15:$EE$40,R$30,0)</f>
        <v>4218.3072157892811</v>
      </c>
      <c r="T36" s="133">
        <f t="shared" ca="1" si="36"/>
        <v>5.5844155844156007E-3</v>
      </c>
      <c r="U36" s="34">
        <f t="shared" ca="1" si="37"/>
        <v>1.6695526695526756E-2</v>
      </c>
      <c r="W36" s="132" t="str">
        <f t="shared" si="38"/>
        <v>Attackers: Nation states</v>
      </c>
    </row>
    <row r="37" spans="1:23" x14ac:dyDescent="0.3">
      <c r="A37" s="114">
        <f t="shared" ca="1" si="35"/>
        <v>20</v>
      </c>
      <c r="B37" s="132">
        <f t="shared" ca="1" si="33"/>
        <v>24</v>
      </c>
      <c r="C37" s="132">
        <f t="shared" ca="1" si="34"/>
        <v>23</v>
      </c>
      <c r="D37" s="132"/>
      <c r="E37" t="str">
        <f>Index_CALCULATION!B21</f>
        <v>Weapons: Botnets</v>
      </c>
      <c r="F37" s="2">
        <f>VLOOKUP($E37,Index_CALCULATION!$B$15:$EE$40,F$30,0)</f>
        <v>1138.4701071909487</v>
      </c>
      <c r="G37" s="2">
        <f ca="1">VLOOKUP($E37,Index_CALCULATION!$B$15:$EE$40,G$30,0)</f>
        <v>1564.3780334920696</v>
      </c>
      <c r="H37" s="2">
        <f ca="1">VLOOKUP($E37,Index_CALCULATION!$B$15:$EE$40,H$30,0)</f>
        <v>1547.0922652248428</v>
      </c>
      <c r="I37" s="2">
        <f ca="1">VLOOKUP($E37,Index_CALCULATION!$B$15:$EE$40,I$30,0)</f>
        <v>1534.2533992550834</v>
      </c>
      <c r="J37" s="2">
        <f ca="1">VLOOKUP($E37,Index_CALCULATION!$B$15:$EE$40,J$30,0)</f>
        <v>1520.9699033802301</v>
      </c>
      <c r="K37" s="2">
        <f ca="1">VLOOKUP($E37,Index_CALCULATION!$B$15:$EE$40,K$30,0)</f>
        <v>1520.9699033802301</v>
      </c>
      <c r="L37" s="2">
        <f ca="1">VLOOKUP($E37,Index_CALCULATION!$B$15:$EE$40,L$30,0)</f>
        <v>1506.5532354977881</v>
      </c>
      <c r="M37" s="2">
        <f ca="1">VLOOKUP($E37,Index_CALCULATION!$B$15:$EE$40,M$30,0)</f>
        <v>1495.8304820962799</v>
      </c>
      <c r="N37" s="2">
        <f ca="1">VLOOKUP($E37,Index_CALCULATION!$B$15:$EE$40,N$30,0)</f>
        <v>1479.3021375868316</v>
      </c>
      <c r="O37" s="2">
        <f ca="1">VLOOKUP($E37,Index_CALCULATION!$B$15:$EE$40,O$30,0)</f>
        <v>1467.9665447041625</v>
      </c>
      <c r="P37" s="2">
        <f ca="1">VLOOKUP($E37,Index_CALCULATION!$B$15:$EE$40,P$30,0)</f>
        <v>1467.9665447041625</v>
      </c>
      <c r="Q37" s="2">
        <f ca="1">VLOOKUP($E37,Index_CALCULATION!$B$15:$EE$40,Q$30,0)</f>
        <v>1457.5184285077735</v>
      </c>
      <c r="R37" s="2">
        <f ca="1">VLOOKUP($E37,Index_CALCULATION!$B$15:$EE$40,R$30,0)</f>
        <v>1438.2138327591576</v>
      </c>
      <c r="T37" s="133">
        <f t="shared" ca="1" si="36"/>
        <v>-2.0476190476190443E-2</v>
      </c>
      <c r="U37" s="34">
        <f t="shared" ca="1" si="37"/>
        <v>-4.6422466422466377E-2</v>
      </c>
      <c r="W37" s="132" t="str">
        <f t="shared" si="38"/>
        <v>Weapons: Botnets</v>
      </c>
    </row>
    <row r="38" spans="1:23" x14ac:dyDescent="0.3">
      <c r="A38" s="114">
        <f t="shared" ca="1" si="35"/>
        <v>10</v>
      </c>
      <c r="B38" s="132">
        <f t="shared" ca="1" si="33"/>
        <v>23</v>
      </c>
      <c r="C38" s="132">
        <f t="shared" ca="1" si="34"/>
        <v>24</v>
      </c>
      <c r="D38" s="132"/>
      <c r="E38" t="str">
        <f>Index_CALCULATION!B22</f>
        <v>Weapons: Mass malware</v>
      </c>
      <c r="F38" s="2">
        <f>VLOOKUP($E38,Index_CALCULATION!$B$15:$EE$40,F$30,0)</f>
        <v>1657.0105015440311</v>
      </c>
      <c r="G38" s="2">
        <f ca="1">VLOOKUP($E38,Index_CALCULATION!$B$15:$EE$40,G$30,0)</f>
        <v>2538.3987492885053</v>
      </c>
      <c r="H38" s="2">
        <f ca="1">VLOOKUP($E38,Index_CALCULATION!$B$15:$EE$40,H$30,0)</f>
        <v>2510.3504312920727</v>
      </c>
      <c r="I38" s="2">
        <f ca="1">VLOOKUP($E38,Index_CALCULATION!$B$15:$EE$40,I$30,0)</f>
        <v>2489.5177676889084</v>
      </c>
      <c r="J38" s="2">
        <f ca="1">VLOOKUP($E38,Index_CALCULATION!$B$15:$EE$40,J$30,0)</f>
        <v>2467.963636530701</v>
      </c>
      <c r="K38" s="2">
        <f ca="1">VLOOKUP($E38,Index_CALCULATION!$B$15:$EE$40,K$30,0)</f>
        <v>2487.7865314807532</v>
      </c>
      <c r="L38" s="2">
        <f ca="1">VLOOKUP($E38,Index_CALCULATION!$B$15:$EE$40,L$30,0)</f>
        <v>2464.2057938822895</v>
      </c>
      <c r="M38" s="2">
        <f ca="1">VLOOKUP($E38,Index_CALCULATION!$B$15:$EE$40,M$30,0)</f>
        <v>2446.6670369132157</v>
      </c>
      <c r="N38" s="2">
        <f ca="1">VLOOKUP($E38,Index_CALCULATION!$B$15:$EE$40,N$30,0)</f>
        <v>2419.6323186279319</v>
      </c>
      <c r="O38" s="2">
        <f ca="1">VLOOKUP($E38,Index_CALCULATION!$B$15:$EE$40,O$30,0)</f>
        <v>2401.0911658824502</v>
      </c>
      <c r="P38" s="2">
        <f ca="1">VLOOKUP($E38,Index_CALCULATION!$B$15:$EE$40,P$30,0)</f>
        <v>2401.0911658824502</v>
      </c>
      <c r="Q38" s="2">
        <f ca="1">VLOOKUP($E38,Index_CALCULATION!$B$15:$EE$40,Q$30,0)</f>
        <v>2384.0016214444204</v>
      </c>
      <c r="R38" s="2">
        <f ca="1">VLOOKUP($E38,Index_CALCULATION!$B$15:$EE$40,R$30,0)</f>
        <v>2352.4259057170061</v>
      </c>
      <c r="T38" s="133">
        <f t="shared" ca="1" si="36"/>
        <v>-2.0476190476190332E-2</v>
      </c>
      <c r="U38" s="34">
        <f t="shared" ca="1" si="37"/>
        <v>-4.6422466422466488E-2</v>
      </c>
      <c r="W38" s="132" t="str">
        <f t="shared" si="38"/>
        <v>Weapons: Mass malware</v>
      </c>
    </row>
    <row r="39" spans="1:23" x14ac:dyDescent="0.3">
      <c r="A39" s="114">
        <f t="shared" ca="1" si="35"/>
        <v>9</v>
      </c>
      <c r="B39" s="132">
        <f t="shared" ca="1" si="33"/>
        <v>16</v>
      </c>
      <c r="C39" s="132">
        <f t="shared" ca="1" si="34"/>
        <v>11</v>
      </c>
      <c r="D39" s="132"/>
      <c r="E39" t="str">
        <f>Index_CALCULATION!B23</f>
        <v>Weapons: Vulnerability exploitation</v>
      </c>
      <c r="F39" s="2">
        <f>VLOOKUP($E39,Index_CALCULATION!$B$15:$EE$40,F$30,0)</f>
        <v>1224.0556492940045</v>
      </c>
      <c r="G39" s="2">
        <f ca="1">VLOOKUP($E39,Index_CALCULATION!$B$15:$EE$40,G$30,0)</f>
        <v>2549.6247402490003</v>
      </c>
      <c r="H39" s="2">
        <f ca="1">VLOOKUP($E39,Index_CALCULATION!$B$15:$EE$40,H$30,0)</f>
        <v>2521.4523794226643</v>
      </c>
      <c r="I39" s="2">
        <f ca="1">VLOOKUP($E39,Index_CALCULATION!$B$15:$EE$40,I$30,0)</f>
        <v>2500.5275840008258</v>
      </c>
      <c r="J39" s="2">
        <f ca="1">VLOOKUP($E39,Index_CALCULATION!$B$15:$EE$40,J$30,0)</f>
        <v>2478.8781303557112</v>
      </c>
      <c r="K39" s="2">
        <f ca="1">VLOOKUP($E39,Index_CALCULATION!$B$15:$EE$40,K$30,0)</f>
        <v>2478.8781303557112</v>
      </c>
      <c r="L39" s="2">
        <f ca="1">VLOOKUP($E39,Index_CALCULATION!$B$15:$EE$40,L$30,0)</f>
        <v>2455.3818319431234</v>
      </c>
      <c r="M39" s="2">
        <f ca="1">VLOOKUP($E39,Index_CALCULATION!$B$15:$EE$40,M$30,0)</f>
        <v>2437.9058787075446</v>
      </c>
      <c r="N39" s="2">
        <f ca="1">VLOOKUP($E39,Index_CALCULATION!$B$15:$EE$40,N$30,0)</f>
        <v>2437.9058787075446</v>
      </c>
      <c r="O39" s="2">
        <f ca="1">VLOOKUP($E39,Index_CALCULATION!$B$15:$EE$40,O$30,0)</f>
        <v>2456.7313135425488</v>
      </c>
      <c r="P39" s="2">
        <f ca="1">VLOOKUP($E39,Index_CALCULATION!$B$15:$EE$40,P$30,0)</f>
        <v>2456.7313135425488</v>
      </c>
      <c r="Q39" s="2">
        <f ca="1">VLOOKUP($E39,Index_CALCULATION!$B$15:$EE$40,Q$30,0)</f>
        <v>2439.2457554964199</v>
      </c>
      <c r="R39" s="2">
        <f ca="1">VLOOKUP($E39,Index_CALCULATION!$B$15:$EE$40,R$30,0)</f>
        <v>2439.2457554964199</v>
      </c>
      <c r="T39" s="133">
        <f t="shared" ca="1" si="36"/>
        <v>-7.1428571428571374E-3</v>
      </c>
      <c r="U39" s="34">
        <f t="shared" ca="1" si="37"/>
        <v>-6.5934065934063098E-3</v>
      </c>
      <c r="W39" s="132" t="str">
        <f t="shared" si="38"/>
        <v>Weapons: Vulnerability exploitation</v>
      </c>
    </row>
    <row r="40" spans="1:23" x14ac:dyDescent="0.3">
      <c r="A40" s="114">
        <f t="shared" ca="1" si="35"/>
        <v>2</v>
      </c>
      <c r="B40" s="132">
        <f t="shared" ca="1" si="33"/>
        <v>1</v>
      </c>
      <c r="C40" s="132">
        <f t="shared" ca="1" si="34"/>
        <v>1</v>
      </c>
      <c r="D40" s="132"/>
      <c r="E40" t="str">
        <f>Index_CALCULATION!B24</f>
        <v>Weapons: Phishing/social engineering</v>
      </c>
      <c r="F40" s="2">
        <f>VLOOKUP($E40,Index_CALCULATION!$B$15:$EE$40,F$30,0)</f>
        <v>1337.4548218869177</v>
      </c>
      <c r="G40" s="2">
        <f ca="1">VLOOKUP($E40,Index_CALCULATION!$B$15:$EE$40,G$30,0)</f>
        <v>5042.6887346920421</v>
      </c>
      <c r="H40" s="2">
        <f ca="1">VLOOKUP($E40,Index_CALCULATION!$B$15:$EE$40,H$30,0)</f>
        <v>5099.0310426919932</v>
      </c>
      <c r="I40" s="2">
        <f ca="1">VLOOKUP($E40,Index_CALCULATION!$B$15:$EE$40,I$30,0)</f>
        <v>5141.7005105677372</v>
      </c>
      <c r="J40" s="2">
        <f ca="1">VLOOKUP($E40,Index_CALCULATION!$B$15:$EE$40,J$30,0)</f>
        <v>5231.9034892040909</v>
      </c>
      <c r="K40" s="2">
        <f ca="1">VLOOKUP($E40,Index_CALCULATION!$B$15:$EE$40,K$30,0)</f>
        <v>5402.0319386701522</v>
      </c>
      <c r="L40" s="2">
        <f ca="1">VLOOKUP($E40,Index_CALCULATION!$B$15:$EE$40,L$30,0)</f>
        <v>5453.7256316078719</v>
      </c>
      <c r="M40" s="2">
        <f ca="1">VLOOKUP($E40,Index_CALCULATION!$B$15:$EE$40,M$30,0)</f>
        <v>5453.7256316078719</v>
      </c>
      <c r="N40" s="2">
        <f ca="1">VLOOKUP($E40,Index_CALCULATION!$B$15:$EE$40,N$30,0)</f>
        <v>5545.3827464086935</v>
      </c>
      <c r="O40" s="2">
        <f ca="1">VLOOKUP($E40,Index_CALCULATION!$B$15:$EE$40,O$30,0)</f>
        <v>5545.3827464086935</v>
      </c>
      <c r="P40" s="2">
        <f ca="1">VLOOKUP($E40,Index_CALCULATION!$B$15:$EE$40,P$30,0)</f>
        <v>5647.1300598887283</v>
      </c>
      <c r="Q40" s="2">
        <f ca="1">VLOOKUP($E40,Index_CALCULATION!$B$15:$EE$40,Q$30,0)</f>
        <v>5647.1300598887283</v>
      </c>
      <c r="R40" s="2">
        <f ca="1">VLOOKUP($E40,Index_CALCULATION!$B$15:$EE$40,R$30,0)</f>
        <v>5722.929332891732</v>
      </c>
      <c r="T40" s="133">
        <f t="shared" ca="1" si="36"/>
        <v>3.151515151515135E-2</v>
      </c>
      <c r="U40" s="34">
        <f t="shared" ca="1" si="37"/>
        <v>4.8181818181817965E-2</v>
      </c>
      <c r="W40" s="132" t="str">
        <f t="shared" si="38"/>
        <v>Weapons: Phishing/social engineering</v>
      </c>
    </row>
    <row r="41" spans="1:23" x14ac:dyDescent="0.3">
      <c r="A41" s="114">
        <f t="shared" ca="1" si="35"/>
        <v>11</v>
      </c>
      <c r="B41" s="132">
        <f t="shared" ca="1" si="33"/>
        <v>6</v>
      </c>
      <c r="C41" s="132">
        <f t="shared" ca="1" si="34"/>
        <v>7</v>
      </c>
      <c r="D41" s="132"/>
      <c r="E41" t="str">
        <f>Index_CALCULATION!B25</f>
        <v>Weapons: Customized to target</v>
      </c>
      <c r="F41" s="2">
        <f>VLOOKUP($E41,Index_CALCULATION!$B$15:$EE$40,F$30,0)</f>
        <v>1231.3695930620011</v>
      </c>
      <c r="G41" s="2">
        <f ca="1">VLOOKUP($E41,Index_CALCULATION!$B$15:$EE$40,G$30,0)</f>
        <v>2194.5388328841718</v>
      </c>
      <c r="H41" s="2">
        <f ca="1">VLOOKUP($E41,Index_CALCULATION!$B$15:$EE$40,H$30,0)</f>
        <v>2219.0585661743853</v>
      </c>
      <c r="I41" s="2">
        <f ca="1">VLOOKUP($E41,Index_CALCULATION!$B$15:$EE$40,I$30,0)</f>
        <v>2237.6279860133718</v>
      </c>
      <c r="J41" s="2">
        <f ca="1">VLOOKUP($E41,Index_CALCULATION!$B$15:$EE$40,J$30,0)</f>
        <v>2276.8836192428121</v>
      </c>
      <c r="K41" s="2">
        <f ca="1">VLOOKUP($E41,Index_CALCULATION!$B$15:$EE$40,K$30,0)</f>
        <v>2313.60675884387</v>
      </c>
      <c r="L41" s="2">
        <f ca="1">VLOOKUP($E41,Index_CALCULATION!$B$15:$EE$40,L$30,0)</f>
        <v>2291.6770019310625</v>
      </c>
      <c r="M41" s="2">
        <f ca="1">VLOOKUP($E41,Index_CALCULATION!$B$15:$EE$40,M$30,0)</f>
        <v>2291.6770019310625</v>
      </c>
      <c r="N41" s="2">
        <f ca="1">VLOOKUP($E41,Index_CALCULATION!$B$15:$EE$40,N$30,0)</f>
        <v>2330.1916827641116</v>
      </c>
      <c r="O41" s="2">
        <f ca="1">VLOOKUP($E41,Index_CALCULATION!$B$15:$EE$40,O$30,0)</f>
        <v>2330.1916827641116</v>
      </c>
      <c r="P41" s="2">
        <f ca="1">VLOOKUP($E41,Index_CALCULATION!$B$15:$EE$40,P$30,0)</f>
        <v>2344.356938257115</v>
      </c>
      <c r="Q41" s="2">
        <f ca="1">VLOOKUP($E41,Index_CALCULATION!$B$15:$EE$40,Q$30,0)</f>
        <v>2344.356938257115</v>
      </c>
      <c r="R41" s="2">
        <f ca="1">VLOOKUP($E41,Index_CALCULATION!$B$15:$EE$40,R$30,0)</f>
        <v>2344.356938257115</v>
      </c>
      <c r="T41" s="133">
        <f t="shared" ca="1" si="36"/>
        <v>6.060606060605986E-3</v>
      </c>
      <c r="U41" s="34">
        <f t="shared" ca="1" si="37"/>
        <v>2.2727272727272561E-2</v>
      </c>
      <c r="W41" s="132" t="str">
        <f t="shared" si="38"/>
        <v>Weapons: Customized to target</v>
      </c>
    </row>
    <row r="42" spans="1:23" x14ac:dyDescent="0.3">
      <c r="A42" s="114">
        <f t="shared" ca="1" si="35"/>
        <v>6</v>
      </c>
      <c r="B42" s="132">
        <f t="shared" ca="1" si="33"/>
        <v>5</v>
      </c>
      <c r="C42" s="132">
        <f t="shared" ca="1" si="34"/>
        <v>6</v>
      </c>
      <c r="D42" s="132"/>
      <c r="E42" t="str">
        <f>Index_CALCULATION!B26</f>
        <v>Effect desired: Data theft</v>
      </c>
      <c r="F42" s="2">
        <f>VLOOKUP($E42,Index_CALCULATION!$B$15:$EE$40,F$30,0)</f>
        <v>1237.1146388239222</v>
      </c>
      <c r="G42" s="2">
        <f ca="1">VLOOKUP($E42,Index_CALCULATION!$B$15:$EE$40,G$30,0)</f>
        <v>3262.8338462601791</v>
      </c>
      <c r="H42" s="2">
        <f ca="1">VLOOKUP($E42,Index_CALCULATION!$B$15:$EE$40,H$30,0)</f>
        <v>3299.2897131975787</v>
      </c>
      <c r="I42" s="2">
        <f ca="1">VLOOKUP($E42,Index_CALCULATION!$B$15:$EE$40,I$30,0)</f>
        <v>3326.8986716940803</v>
      </c>
      <c r="J42" s="2">
        <f ca="1">VLOOKUP($E42,Index_CALCULATION!$B$15:$EE$40,J$30,0)</f>
        <v>3326.8986716940803</v>
      </c>
      <c r="K42" s="2">
        <f ca="1">VLOOKUP($E42,Index_CALCULATION!$B$15:$EE$40,K$30,0)</f>
        <v>3380.5571737477894</v>
      </c>
      <c r="L42" s="2">
        <f ca="1">VLOOKUP($E42,Index_CALCULATION!$B$15:$EE$40,L$30,0)</f>
        <v>3380.5571737477894</v>
      </c>
      <c r="M42" s="2">
        <f ca="1">VLOOKUP($E42,Index_CALCULATION!$B$15:$EE$40,M$30,0)</f>
        <v>3380.5571737477894</v>
      </c>
      <c r="N42" s="2">
        <f ca="1">VLOOKUP($E42,Index_CALCULATION!$B$15:$EE$40,N$30,0)</f>
        <v>3418.3283715186103</v>
      </c>
      <c r="O42" s="2">
        <f ca="1">VLOOKUP($E42,Index_CALCULATION!$B$15:$EE$40,O$30,0)</f>
        <v>3444.7245989385078</v>
      </c>
      <c r="P42" s="2">
        <f ca="1">VLOOKUP($E42,Index_CALCULATION!$B$15:$EE$40,P$30,0)</f>
        <v>3444.7245989385078</v>
      </c>
      <c r="Q42" s="2">
        <f ca="1">VLOOKUP($E42,Index_CALCULATION!$B$15:$EE$40,Q$30,0)</f>
        <v>3469.4178598745757</v>
      </c>
      <c r="R42" s="2">
        <f ca="1">VLOOKUP($E42,Index_CALCULATION!$B$15:$EE$40,R$30,0)</f>
        <v>3469.4178598745757</v>
      </c>
      <c r="T42" s="133">
        <f t="shared" ca="1" si="36"/>
        <v>7.1428571428572155E-3</v>
      </c>
      <c r="U42" s="34">
        <f t="shared" ca="1" si="37"/>
        <v>2.5946275946276035E-2</v>
      </c>
      <c r="W42" s="132" t="str">
        <f t="shared" si="38"/>
        <v>Effect desired: Data theft</v>
      </c>
    </row>
    <row r="43" spans="1:23" x14ac:dyDescent="0.3">
      <c r="A43" s="114">
        <f t="shared" ca="1" si="35"/>
        <v>24</v>
      </c>
      <c r="B43" s="132">
        <f t="shared" ca="1" si="33"/>
        <v>11</v>
      </c>
      <c r="C43" s="132">
        <f t="shared" ca="1" si="34"/>
        <v>12</v>
      </c>
      <c r="D43" s="132"/>
      <c r="E43" t="str">
        <f>Index_CALCULATION!B27</f>
        <v>Effect desired: Data modification</v>
      </c>
      <c r="F43" s="2">
        <f>VLOOKUP($E43,Index_CALCULATION!$B$15:$EE$40,F$30,0)</f>
        <v>1051.365335582655</v>
      </c>
      <c r="G43" s="2">
        <f ca="1">VLOOKUP($E43,Index_CALCULATION!$B$15:$EE$40,G$30,0)</f>
        <v>1155.3424898159985</v>
      </c>
      <c r="H43" s="2">
        <f ca="1">VLOOKUP($E43,Index_CALCULATION!$B$15:$EE$40,H$30,0)</f>
        <v>1155.3424898159985</v>
      </c>
      <c r="I43" s="2">
        <f ca="1">VLOOKUP($E43,Index_CALCULATION!$B$15:$EE$40,I$30,0)</f>
        <v>1145.7546405911432</v>
      </c>
      <c r="J43" s="2">
        <f ca="1">VLOOKUP($E43,Index_CALCULATION!$B$15:$EE$40,J$30,0)</f>
        <v>1145.7546405911432</v>
      </c>
      <c r="K43" s="2">
        <f ca="1">VLOOKUP($E43,Index_CALCULATION!$B$15:$EE$40,K$30,0)</f>
        <v>1145.7546405911432</v>
      </c>
      <c r="L43" s="2">
        <f ca="1">VLOOKUP($E43,Index_CALCULATION!$B$15:$EE$40,L$30,0)</f>
        <v>1145.7546405911432</v>
      </c>
      <c r="M43" s="2">
        <f ca="1">VLOOKUP($E43,Index_CALCULATION!$B$15:$EE$40,M$30,0)</f>
        <v>1145.7546405911432</v>
      </c>
      <c r="N43" s="2">
        <f ca="1">VLOOKUP($E43,Index_CALCULATION!$B$15:$EE$40,N$30,0)</f>
        <v>1145.7546405911432</v>
      </c>
      <c r="O43" s="2">
        <f ca="1">VLOOKUP($E43,Index_CALCULATION!$B$15:$EE$40,O$30,0)</f>
        <v>1145.7546405911432</v>
      </c>
      <c r="P43" s="2">
        <f ca="1">VLOOKUP($E43,Index_CALCULATION!$B$15:$EE$40,P$30,0)</f>
        <v>1145.7546405911432</v>
      </c>
      <c r="Q43" s="2">
        <f ca="1">VLOOKUP($E43,Index_CALCULATION!$B$15:$EE$40,Q$30,0)</f>
        <v>1145.7546405911432</v>
      </c>
      <c r="R43" s="2">
        <f ca="1">VLOOKUP($E43,Index_CALCULATION!$B$15:$EE$40,R$30,0)</f>
        <v>1138.1416810484702</v>
      </c>
      <c r="T43" s="133">
        <f t="shared" ca="1" si="36"/>
        <v>-6.6666666666665327E-3</v>
      </c>
      <c r="U43" s="34">
        <f t="shared" ca="1" si="37"/>
        <v>-6.6666666666665327E-3</v>
      </c>
      <c r="W43" s="132" t="str">
        <f t="shared" si="38"/>
        <v>Effect desired: Data modification</v>
      </c>
    </row>
    <row r="44" spans="1:23" x14ac:dyDescent="0.3">
      <c r="A44" s="114">
        <f t="shared" ca="1" si="35"/>
        <v>18</v>
      </c>
      <c r="B44" s="132">
        <f t="shared" ca="1" si="33"/>
        <v>18</v>
      </c>
      <c r="C44" s="132">
        <f t="shared" ca="1" si="34"/>
        <v>22</v>
      </c>
      <c r="D44" s="132"/>
      <c r="E44" t="str">
        <f>Index_CALCULATION!B28</f>
        <v>Effect desired: Business disruption</v>
      </c>
      <c r="F44" s="2">
        <f>VLOOKUP($E44,Index_CALCULATION!$B$15:$EE$40,F$30,0)</f>
        <v>1168.4601113596325</v>
      </c>
      <c r="G44" s="2">
        <f ca="1">VLOOKUP($E44,Index_CALCULATION!$B$15:$EE$40,G$30,0)</f>
        <v>1911.8235674353202</v>
      </c>
      <c r="H44" s="2">
        <f ca="1">VLOOKUP($E44,Index_CALCULATION!$B$15:$EE$40,H$30,0)</f>
        <v>1911.8235674353202</v>
      </c>
      <c r="I44" s="2">
        <f ca="1">VLOOKUP($E44,Index_CALCULATION!$B$15:$EE$40,I$30,0)</f>
        <v>1895.9579031230744</v>
      </c>
      <c r="J44" s="2">
        <f ca="1">VLOOKUP($E44,Index_CALCULATION!$B$15:$EE$40,J$30,0)</f>
        <v>1895.9579031230744</v>
      </c>
      <c r="K44" s="2">
        <f ca="1">VLOOKUP($E44,Index_CALCULATION!$B$15:$EE$40,K$30,0)</f>
        <v>1895.9579031230744</v>
      </c>
      <c r="L44" s="2">
        <f ca="1">VLOOKUP($E44,Index_CALCULATION!$B$15:$EE$40,L$30,0)</f>
        <v>1877.9868733560356</v>
      </c>
      <c r="M44" s="2">
        <f ca="1">VLOOKUP($E44,Index_CALCULATION!$B$15:$EE$40,M$30,0)</f>
        <v>1864.6204753690354</v>
      </c>
      <c r="N44" s="2">
        <f ca="1">VLOOKUP($E44,Index_CALCULATION!$B$15:$EE$40,N$30,0)</f>
        <v>1854.2901945223091</v>
      </c>
      <c r="O44" s="2">
        <f ca="1">VLOOKUP($E44,Index_CALCULATION!$B$15:$EE$40,O$30,0)</f>
        <v>1825.9809746628607</v>
      </c>
      <c r="P44" s="2">
        <f ca="1">VLOOKUP($E44,Index_CALCULATION!$B$15:$EE$40,P$30,0)</f>
        <v>1825.9809746628607</v>
      </c>
      <c r="Q44" s="2">
        <f ca="1">VLOOKUP($E44,Index_CALCULATION!$B$15:$EE$40,Q$30,0)</f>
        <v>1812.9847238528546</v>
      </c>
      <c r="R44" s="2">
        <f ca="1">VLOOKUP($E44,Index_CALCULATION!$B$15:$EE$40,R$30,0)</f>
        <v>1800.9383581954962</v>
      </c>
      <c r="T44" s="133">
        <f t="shared" ca="1" si="36"/>
        <v>-1.3809523809523709E-2</v>
      </c>
      <c r="U44" s="34">
        <f t="shared" ca="1" si="37"/>
        <v>-4.1892551892551977E-2</v>
      </c>
      <c r="W44" s="132" t="str">
        <f t="shared" si="38"/>
        <v>Effect desired: Business disruption</v>
      </c>
    </row>
    <row r="45" spans="1:23" x14ac:dyDescent="0.3">
      <c r="A45" s="114">
        <f t="shared" ca="1" si="35"/>
        <v>5</v>
      </c>
      <c r="B45" s="132">
        <f t="shared" ca="1" si="33"/>
        <v>12</v>
      </c>
      <c r="C45" s="132">
        <f t="shared" ca="1" si="34"/>
        <v>13</v>
      </c>
      <c r="D45" s="132"/>
      <c r="E45" t="str">
        <f>Index_CALCULATION!B29</f>
        <v>Target: Web facing applications</v>
      </c>
      <c r="F45" s="2">
        <f>VLOOKUP($E45,Index_CALCULATION!$B$15:$EE$40,F$30,0)</f>
        <v>1686.5601531186312</v>
      </c>
      <c r="G45" s="2">
        <f ca="1">VLOOKUP($E45,Index_CALCULATION!$B$15:$EE$40,G$30,0)</f>
        <v>4159.507798056954</v>
      </c>
      <c r="H45" s="2">
        <f ca="1">VLOOKUP($E45,Index_CALCULATION!$B$15:$EE$40,H$30,0)</f>
        <v>4205.982264718763</v>
      </c>
      <c r="I45" s="2">
        <f ca="1">VLOOKUP($E45,Index_CALCULATION!$B$15:$EE$40,I$30,0)</f>
        <v>4205.982264718763</v>
      </c>
      <c r="J45" s="2">
        <f ca="1">VLOOKUP($E45,Index_CALCULATION!$B$15:$EE$40,J$30,0)</f>
        <v>4242.7155018057902</v>
      </c>
      <c r="K45" s="2">
        <f ca="1">VLOOKUP($E45,Index_CALCULATION!$B$15:$EE$40,K$30,0)</f>
        <v>4242.7155018057902</v>
      </c>
      <c r="L45" s="2">
        <f ca="1">VLOOKUP($E45,Index_CALCULATION!$B$15:$EE$40,L$30,0)</f>
        <v>4242.7155018057902</v>
      </c>
      <c r="M45" s="2">
        <f ca="1">VLOOKUP($E45,Index_CALCULATION!$B$15:$EE$40,M$30,0)</f>
        <v>4212.5183663799135</v>
      </c>
      <c r="N45" s="2">
        <f ca="1">VLOOKUP($E45,Index_CALCULATION!$B$15:$EE$40,N$30,0)</f>
        <v>4235.9863747451882</v>
      </c>
      <c r="O45" s="2">
        <f ca="1">VLOOKUP($E45,Index_CALCULATION!$B$15:$EE$40,O$30,0)</f>
        <v>4235.9863747451882</v>
      </c>
      <c r="P45" s="2">
        <f ca="1">VLOOKUP($E45,Index_CALCULATION!$B$15:$EE$40,P$30,0)</f>
        <v>4235.9863747451882</v>
      </c>
      <c r="Q45" s="2">
        <f ca="1">VLOOKUP($E45,Index_CALCULATION!$B$15:$EE$40,Q$30,0)</f>
        <v>4205.837133259186</v>
      </c>
      <c r="R45" s="2">
        <f ca="1">VLOOKUP($E45,Index_CALCULATION!$B$15:$EE$40,R$30,0)</f>
        <v>4205.837133259186</v>
      </c>
      <c r="T45" s="133">
        <f t="shared" ca="1" si="36"/>
        <v>-7.1428571428570255E-3</v>
      </c>
      <c r="U45" s="34">
        <f t="shared" ca="1" si="37"/>
        <v>-8.7301587301585569E-3</v>
      </c>
      <c r="W45" s="132" t="str">
        <f t="shared" si="38"/>
        <v>Target: Web facing applications</v>
      </c>
    </row>
    <row r="46" spans="1:23" x14ac:dyDescent="0.3">
      <c r="A46" s="114">
        <f t="shared" ca="1" si="35"/>
        <v>15</v>
      </c>
      <c r="B46" s="132">
        <f t="shared" ca="1" si="33"/>
        <v>12</v>
      </c>
      <c r="C46" s="132">
        <f t="shared" ca="1" si="34"/>
        <v>15</v>
      </c>
      <c r="D46" s="132"/>
      <c r="E46" t="str">
        <f>Index_CALCULATION!B30</f>
        <v>Target: Internet exposed devices/appliances</v>
      </c>
      <c r="F46" s="2">
        <f>VLOOKUP($E46,Index_CALCULATION!$B$15:$EE$40,F$30,0)</f>
        <v>1182.3383068912306</v>
      </c>
      <c r="G46" s="2">
        <f ca="1">VLOOKUP($E46,Index_CALCULATION!$B$15:$EE$40,G$30,0)</f>
        <v>2243.7739419386153</v>
      </c>
      <c r="H46" s="2">
        <f ca="1">VLOOKUP($E46,Index_CALCULATION!$B$15:$EE$40,H$30,0)</f>
        <v>2243.7739419386153</v>
      </c>
      <c r="I46" s="2">
        <f ca="1">VLOOKUP($E46,Index_CALCULATION!$B$15:$EE$40,I$30,0)</f>
        <v>2243.7739419386153</v>
      </c>
      <c r="J46" s="2">
        <f ca="1">VLOOKUP($E46,Index_CALCULATION!$B$15:$EE$40,J$30,0)</f>
        <v>2243.7739419386153</v>
      </c>
      <c r="K46" s="2">
        <f ca="1">VLOOKUP($E46,Index_CALCULATION!$B$15:$EE$40,K$30,0)</f>
        <v>2225.8953600828645</v>
      </c>
      <c r="L46" s="2">
        <f ca="1">VLOOKUP($E46,Index_CALCULATION!$B$15:$EE$40,L$30,0)</f>
        <v>2204.7969845817674</v>
      </c>
      <c r="M46" s="2">
        <f ca="1">VLOOKUP($E46,Index_CALCULATION!$B$15:$EE$40,M$30,0)</f>
        <v>2189.1045458354874</v>
      </c>
      <c r="N46" s="2">
        <f ca="1">VLOOKUP($E46,Index_CALCULATION!$B$15:$EE$40,N$30,0)</f>
        <v>2189.1045458354874</v>
      </c>
      <c r="O46" s="2">
        <f ca="1">VLOOKUP($E46,Index_CALCULATION!$B$15:$EE$40,O$30,0)</f>
        <v>2172.3298807561337</v>
      </c>
      <c r="P46" s="2">
        <f ca="1">VLOOKUP($E46,Index_CALCULATION!$B$15:$EE$40,P$30,0)</f>
        <v>2172.3298807561337</v>
      </c>
      <c r="Q46" s="2">
        <f ca="1">VLOOKUP($E46,Index_CALCULATION!$B$15:$EE$40,Q$30,0)</f>
        <v>2156.8685236203673</v>
      </c>
      <c r="R46" s="2">
        <f ca="1">VLOOKUP($E46,Index_CALCULATION!$B$15:$EE$40,R$30,0)</f>
        <v>2156.8685236203673</v>
      </c>
      <c r="T46" s="133">
        <f t="shared" ca="1" si="36"/>
        <v>-7.1428571428570255E-3</v>
      </c>
      <c r="U46" s="34">
        <f t="shared" ca="1" si="37"/>
        <v>-2.197802197802191E-2</v>
      </c>
      <c r="W46" s="132" t="str">
        <f t="shared" si="38"/>
        <v>Target: Internet exposed devices/appliances</v>
      </c>
    </row>
    <row r="47" spans="1:23" x14ac:dyDescent="0.3">
      <c r="A47" s="114">
        <f t="shared" ca="1" si="35"/>
        <v>19</v>
      </c>
      <c r="B47" s="132">
        <f t="shared" ca="1" si="33"/>
        <v>18</v>
      </c>
      <c r="C47" s="132">
        <f t="shared" ca="1" si="34"/>
        <v>19</v>
      </c>
      <c r="D47" s="132"/>
      <c r="E47" t="str">
        <f>Index_CALCULATION!B31</f>
        <v>Target: End points</v>
      </c>
      <c r="F47" s="2">
        <f>VLOOKUP($E47,Index_CALCULATION!$B$15:$EE$40,F$30,0)</f>
        <v>1202.2842254822369</v>
      </c>
      <c r="G47" s="2">
        <f ca="1">VLOOKUP($E47,Index_CALCULATION!$B$15:$EE$40,G$30,0)</f>
        <v>1885.9010899261507</v>
      </c>
      <c r="H47" s="2">
        <f ca="1">VLOOKUP($E47,Index_CALCULATION!$B$15:$EE$40,H$30,0)</f>
        <v>1865.0626170522992</v>
      </c>
      <c r="I47" s="2">
        <f ca="1">VLOOKUP($E47,Index_CALCULATION!$B$15:$EE$40,I$30,0)</f>
        <v>1865.0626170522992</v>
      </c>
      <c r="J47" s="2">
        <f ca="1">VLOOKUP($E47,Index_CALCULATION!$B$15:$EE$40,J$30,0)</f>
        <v>1848.9149900749132</v>
      </c>
      <c r="K47" s="2">
        <f ca="1">VLOOKUP($E47,Index_CALCULATION!$B$15:$EE$40,K$30,0)</f>
        <v>1834.1826779749613</v>
      </c>
      <c r="L47" s="2">
        <f ca="1">VLOOKUP($E47,Index_CALCULATION!$B$15:$EE$40,L$30,0)</f>
        <v>1816.7971909608357</v>
      </c>
      <c r="M47" s="2">
        <f ca="1">VLOOKUP($E47,Index_CALCULATION!$B$15:$EE$40,M$30,0)</f>
        <v>1803.8663048824628</v>
      </c>
      <c r="N47" s="2">
        <f ca="1">VLOOKUP($E47,Index_CALCULATION!$B$15:$EE$40,N$30,0)</f>
        <v>1793.8726113745686</v>
      </c>
      <c r="O47" s="2">
        <f ca="1">VLOOKUP($E47,Index_CALCULATION!$B$15:$EE$40,O$30,0)</f>
        <v>1780.1265286175435</v>
      </c>
      <c r="P47" s="2">
        <f ca="1">VLOOKUP($E47,Index_CALCULATION!$B$15:$EE$40,P$30,0)</f>
        <v>1780.1265286175435</v>
      </c>
      <c r="Q47" s="2">
        <f ca="1">VLOOKUP($E47,Index_CALCULATION!$B$15:$EE$40,Q$30,0)</f>
        <v>1767.456642588895</v>
      </c>
      <c r="R47" s="2">
        <f ca="1">VLOOKUP($E47,Index_CALCULATION!$B$15:$EE$40,R$30,0)</f>
        <v>1755.7127879827153</v>
      </c>
      <c r="T47" s="133">
        <f t="shared" ca="1" si="36"/>
        <v>-1.3809523809523709E-2</v>
      </c>
      <c r="U47" s="34">
        <f t="shared" ca="1" si="37"/>
        <v>-3.4200244200244333E-2</v>
      </c>
      <c r="W47" s="132" t="str">
        <f t="shared" si="38"/>
        <v>Target: End points</v>
      </c>
    </row>
    <row r="48" spans="1:23" x14ac:dyDescent="0.3">
      <c r="A48" s="114">
        <f t="shared" ca="1" si="35"/>
        <v>17</v>
      </c>
      <c r="B48" s="132">
        <f t="shared" ca="1" si="33"/>
        <v>20</v>
      </c>
      <c r="C48" s="132">
        <f t="shared" ca="1" si="34"/>
        <v>17</v>
      </c>
      <c r="D48" s="132"/>
      <c r="E48" t="str">
        <f>Index_CALCULATION!B32</f>
        <v>Target: Mobile devices</v>
      </c>
      <c r="F48" s="2">
        <f>VLOOKUP($E48,Index_CALCULATION!$B$15:$EE$40,F$30,0)</f>
        <v>1260.9261644022947</v>
      </c>
      <c r="G48" s="2">
        <f ca="1">VLOOKUP($E48,Index_CALCULATION!$B$15:$EE$40,G$30,0)</f>
        <v>1999.2055653723937</v>
      </c>
      <c r="H48" s="2">
        <f ca="1">VLOOKUP($E48,Index_CALCULATION!$B$15:$EE$40,H$30,0)</f>
        <v>1999.2055653723937</v>
      </c>
      <c r="I48" s="2">
        <f ca="1">VLOOKUP($E48,Index_CALCULATION!$B$15:$EE$40,I$30,0)</f>
        <v>2015.9352218374052</v>
      </c>
      <c r="J48" s="2">
        <f ca="1">VLOOKUP($E48,Index_CALCULATION!$B$15:$EE$40,J$30,0)</f>
        <v>1998.4813467368185</v>
      </c>
      <c r="K48" s="2">
        <f ca="1">VLOOKUP($E48,Index_CALCULATION!$B$15:$EE$40,K$30,0)</f>
        <v>1998.4813467368185</v>
      </c>
      <c r="L48" s="2">
        <f ca="1">VLOOKUP($E48,Index_CALCULATION!$B$15:$EE$40,L$30,0)</f>
        <v>1979.5385380848334</v>
      </c>
      <c r="M48" s="2">
        <f ca="1">VLOOKUP($E48,Index_CALCULATION!$B$15:$EE$40,M$30,0)</f>
        <v>1965.4493555106428</v>
      </c>
      <c r="N48" s="2">
        <f ca="1">VLOOKUP($E48,Index_CALCULATION!$B$15:$EE$40,N$30,0)</f>
        <v>1954.5604673424361</v>
      </c>
      <c r="O48" s="2">
        <f ca="1">VLOOKUP($E48,Index_CALCULATION!$B$15:$EE$40,O$30,0)</f>
        <v>1954.5604673424361</v>
      </c>
      <c r="P48" s="2">
        <f ca="1">VLOOKUP($E48,Index_CALCULATION!$B$15:$EE$40,P$30,0)</f>
        <v>1954.5604673424361</v>
      </c>
      <c r="Q48" s="2">
        <f ca="1">VLOOKUP($E48,Index_CALCULATION!$B$15:$EE$40,Q$30,0)</f>
        <v>1940.6490638780078</v>
      </c>
      <c r="R48" s="2">
        <f ca="1">VLOOKUP($E48,Index_CALCULATION!$B$15:$EE$40,R$30,0)</f>
        <v>1927.7544333118972</v>
      </c>
      <c r="T48" s="133">
        <f t="shared" ca="1" si="36"/>
        <v>-1.3809523809523822E-2</v>
      </c>
      <c r="U48" s="34">
        <f t="shared" ca="1" si="37"/>
        <v>-2.6507936507936508E-2</v>
      </c>
      <c r="W48" s="132" t="str">
        <f t="shared" si="38"/>
        <v>Target: Mobile devices</v>
      </c>
    </row>
    <row r="49" spans="1:23" x14ac:dyDescent="0.3">
      <c r="A49" s="114">
        <f t="shared" ca="1" si="35"/>
        <v>13</v>
      </c>
      <c r="B49" s="132">
        <f t="shared" ca="1" si="33"/>
        <v>3</v>
      </c>
      <c r="C49" s="132">
        <f t="shared" ca="1" si="34"/>
        <v>4</v>
      </c>
      <c r="D49" s="132"/>
      <c r="E49" t="str">
        <f>Index_CALCULATION!B33</f>
        <v>Target: Public infrastructure/cloud</v>
      </c>
      <c r="F49" s="2">
        <f>VLOOKUP($E49,Index_CALCULATION!$B$15:$EE$40,F$30,0)</f>
        <v>1172.7451003187937</v>
      </c>
      <c r="G49" s="2">
        <f ca="1">VLOOKUP($E49,Index_CALCULATION!$B$15:$EE$40,G$30,0)</f>
        <v>2151.7748764846756</v>
      </c>
      <c r="H49" s="2">
        <f ca="1">VLOOKUP($E49,Index_CALCULATION!$B$15:$EE$40,H$30,0)</f>
        <v>2151.7748764846756</v>
      </c>
      <c r="I49" s="2">
        <f ca="1">VLOOKUP($E49,Index_CALCULATION!$B$15:$EE$40,I$30,0)</f>
        <v>2169.7812561672599</v>
      </c>
      <c r="J49" s="2">
        <f ca="1">VLOOKUP($E49,Index_CALCULATION!$B$15:$EE$40,J$30,0)</f>
        <v>2188.7311908777215</v>
      </c>
      <c r="K49" s="2">
        <f ca="1">VLOOKUP($E49,Index_CALCULATION!$B$15:$EE$40,K$30,0)</f>
        <v>2206.3112669487218</v>
      </c>
      <c r="L49" s="2">
        <f ca="1">VLOOKUP($E49,Index_CALCULATION!$B$15:$EE$40,L$30,0)</f>
        <v>2206.3112669487218</v>
      </c>
      <c r="M49" s="2">
        <f ca="1">VLOOKUP($E49,Index_CALCULATION!$B$15:$EE$40,M$30,0)</f>
        <v>2222.1270508397588</v>
      </c>
      <c r="N49" s="2">
        <f ca="1">VLOOKUP($E49,Index_CALCULATION!$B$15:$EE$40,N$30,0)</f>
        <v>2246.9550291863311</v>
      </c>
      <c r="O49" s="2">
        <f ca="1">VLOOKUP($E49,Index_CALCULATION!$B$15:$EE$40,O$30,0)</f>
        <v>2246.9550291863311</v>
      </c>
      <c r="P49" s="2">
        <f ca="1">VLOOKUP($E49,Index_CALCULATION!$B$15:$EE$40,P$30,0)</f>
        <v>2260.6142883387615</v>
      </c>
      <c r="Q49" s="2">
        <f ca="1">VLOOKUP($E49,Index_CALCULATION!$B$15:$EE$40,Q$30,0)</f>
        <v>2276.8193395393578</v>
      </c>
      <c r="R49" s="2">
        <f ca="1">VLOOKUP($E49,Index_CALCULATION!$B$15:$EE$40,R$30,0)</f>
        <v>2276.8193395393578</v>
      </c>
      <c r="T49" s="133">
        <f t="shared" ca="1" si="36"/>
        <v>1.3203463203463141E-2</v>
      </c>
      <c r="U49" s="34">
        <f t="shared" ca="1" si="37"/>
        <v>3.1457431457431441E-2</v>
      </c>
      <c r="W49" s="132" t="str">
        <f t="shared" si="38"/>
        <v>Target: Public infrastructure/cloud</v>
      </c>
    </row>
    <row r="50" spans="1:23" x14ac:dyDescent="0.3">
      <c r="A50" s="114">
        <f t="shared" ca="1" si="35"/>
        <v>3</v>
      </c>
      <c r="B50" s="132">
        <f t="shared" ca="1" si="33"/>
        <v>8</v>
      </c>
      <c r="C50" s="132">
        <f t="shared" ca="1" si="34"/>
        <v>5</v>
      </c>
      <c r="D50" s="132"/>
      <c r="E50" s="165" t="str">
        <f>Index_CALCULATION!B34</f>
        <v>Target: Counterparties</v>
      </c>
      <c r="F50" s="2">
        <f>VLOOKUP($E50,Index_CALCULATION!$B$15:$EE$40,F$30,0)</f>
        <v>1910.5152778316187</v>
      </c>
      <c r="G50" s="2">
        <f ca="1">VLOOKUP($E50,Index_CALCULATION!$B$15:$EE$40,G$30,0)</f>
        <v>4350.9238043144369</v>
      </c>
      <c r="H50" s="2">
        <f ca="1">VLOOKUP($E50,Index_CALCULATION!$B$15:$EE$40,H$30,0)</f>
        <v>4399.5369751771386</v>
      </c>
      <c r="I50" s="2">
        <f ca="1">VLOOKUP($E50,Index_CALCULATION!$B$15:$EE$40,I$30,0)</f>
        <v>4436.3529702277119</v>
      </c>
      <c r="J50" s="2">
        <f ca="1">VLOOKUP($E50,Index_CALCULATION!$B$15:$EE$40,J$30,0)</f>
        <v>4475.0981658087985</v>
      </c>
      <c r="K50" s="2">
        <f ca="1">VLOOKUP($E50,Index_CALCULATION!$B$15:$EE$40,K$30,0)</f>
        <v>4511.0425369165923</v>
      </c>
      <c r="L50" s="2">
        <f ca="1">VLOOKUP($E50,Index_CALCULATION!$B$15:$EE$40,L$30,0)</f>
        <v>4468.2841615445604</v>
      </c>
      <c r="M50" s="2">
        <f ca="1">VLOOKUP($E50,Index_CALCULATION!$B$15:$EE$40,M$30,0)</f>
        <v>4468.2841615445604</v>
      </c>
      <c r="N50" s="2">
        <f ca="1">VLOOKUP($E50,Index_CALCULATION!$B$15:$EE$40,N$30,0)</f>
        <v>4568.6908632240766</v>
      </c>
      <c r="O50" s="2">
        <f ca="1">VLOOKUP($E50,Index_CALCULATION!$B$15:$EE$40,O$30,0)</f>
        <v>4603.9701547168643</v>
      </c>
      <c r="P50" s="2">
        <f ca="1">VLOOKUP($E50,Index_CALCULATION!$B$15:$EE$40,P$30,0)</f>
        <v>4603.9701547168643</v>
      </c>
      <c r="Q50" s="2">
        <f ca="1">VLOOKUP($E50,Index_CALCULATION!$B$15:$EE$40,Q$30,0)</f>
        <v>4603.9701547168643</v>
      </c>
      <c r="R50" s="2">
        <f ca="1">VLOOKUP($E50,Index_CALCULATION!$B$15:$EE$40,R$30,0)</f>
        <v>4603.9701547168643</v>
      </c>
      <c r="T50" s="133">
        <f t="shared" ca="1" si="36"/>
        <v>0</v>
      </c>
      <c r="U50" s="34">
        <f t="shared" ca="1" si="37"/>
        <v>2.9914529914530041E-2</v>
      </c>
      <c r="W50" s="132" t="str">
        <f t="shared" si="38"/>
        <v>Target: Counterparties</v>
      </c>
    </row>
    <row r="51" spans="1:23" x14ac:dyDescent="0.3">
      <c r="A51" s="114">
        <f t="shared" ca="1" si="35"/>
        <v>22</v>
      </c>
      <c r="B51" s="132">
        <f t="shared" ca="1" si="33"/>
        <v>12</v>
      </c>
      <c r="C51" s="132">
        <f t="shared" ca="1" si="34"/>
        <v>14</v>
      </c>
      <c r="D51" s="132"/>
      <c r="E51" s="165" t="str">
        <f>Index_CALCULATION!B35</f>
        <v>Target: Autonomous network connected devices</v>
      </c>
      <c r="F51" s="2">
        <f>VLOOKUP($E51,Index_CALCULATION!$B$15:$EE$40,F$30,0)</f>
        <v>0</v>
      </c>
      <c r="G51" s="2">
        <f ca="1">VLOOKUP($E51,Index_CALCULATION!$B$15:$EE$40,G$30,0)</f>
        <v>1241.8557755981556</v>
      </c>
      <c r="H51" s="2">
        <f ca="1">VLOOKUP($E51,Index_CALCULATION!$B$15:$EE$40,H$30,0)</f>
        <v>1241.8557755981556</v>
      </c>
      <c r="I51" s="2">
        <f ca="1">VLOOKUP($E51,Index_CALCULATION!$B$15:$EE$40,I$30,0)</f>
        <v>1252.2478137480582</v>
      </c>
      <c r="J51" s="2">
        <f ca="1">VLOOKUP($E51,Index_CALCULATION!$B$15:$EE$40,J$30,0)</f>
        <v>1252.2478137480582</v>
      </c>
      <c r="K51" s="2">
        <f ca="1">VLOOKUP($E51,Index_CALCULATION!$B$15:$EE$40,K$30,0)</f>
        <v>1242.2697965230091</v>
      </c>
      <c r="L51" s="2">
        <f ca="1">VLOOKUP($E51,Index_CALCULATION!$B$15:$EE$40,L$30,0)</f>
        <v>1230.4948159418293</v>
      </c>
      <c r="M51" s="2">
        <f ca="1">VLOOKUP($E51,Index_CALCULATION!$B$15:$EE$40,M$30,0)</f>
        <v>1221.7368828251685</v>
      </c>
      <c r="N51" s="2">
        <f ca="1">VLOOKUP($E51,Index_CALCULATION!$B$15:$EE$40,N$30,0)</f>
        <v>1228.5431988795115</v>
      </c>
      <c r="O51" s="2">
        <f ca="1">VLOOKUP($E51,Index_CALCULATION!$B$15:$EE$40,O$30,0)</f>
        <v>1228.5431988795115</v>
      </c>
      <c r="P51" s="2">
        <f ca="1">VLOOKUP($E51,Index_CALCULATION!$B$15:$EE$40,P$30,0)</f>
        <v>1228.5431988795115</v>
      </c>
      <c r="Q51" s="2">
        <f ca="1">VLOOKUP($E51,Index_CALCULATION!$B$15:$EE$40,Q$30,0)</f>
        <v>1219.799156216902</v>
      </c>
      <c r="R51" s="2">
        <f ca="1">VLOOKUP($E51,Index_CALCULATION!$B$15:$EE$40,R$30,0)</f>
        <v>1219.799156216902</v>
      </c>
      <c r="T51" s="133">
        <f t="shared" ca="1" si="36"/>
        <v>-7.1428571428570255E-3</v>
      </c>
      <c r="U51" s="34">
        <f t="shared" ca="1" si="37"/>
        <v>-8.7301587301586679E-3</v>
      </c>
      <c r="W51" s="132" t="str">
        <f t="shared" si="38"/>
        <v>Target: Autonomous network connected devices</v>
      </c>
    </row>
    <row r="52" spans="1:23" x14ac:dyDescent="0.3">
      <c r="A52" s="114">
        <f t="shared" ca="1" si="35"/>
        <v>21</v>
      </c>
      <c r="B52" s="132">
        <f t="shared" ca="1" si="33"/>
        <v>17</v>
      </c>
      <c r="C52" s="132">
        <f t="shared" ca="1" si="34"/>
        <v>18</v>
      </c>
      <c r="D52" s="132"/>
      <c r="E52" s="165" t="str">
        <f>Index_CALCULATION!B36</f>
        <v>Defenses: Vulnerability to known threats</v>
      </c>
      <c r="F52" s="2">
        <f>VLOOKUP($E52,Index_CALCULATION!$B$15:$EE$40,F$30,0)</f>
        <v>1137.7906702325708</v>
      </c>
      <c r="G52" s="2">
        <f ca="1">VLOOKUP($E52,Index_CALCULATION!$B$15:$EE$40,G$30,0)</f>
        <v>1347.5070824599304</v>
      </c>
      <c r="H52" s="2">
        <f ca="1">VLOOKUP($E52,Index_CALCULATION!$B$15:$EE$40,H$30,0)</f>
        <v>1362.5628717553825</v>
      </c>
      <c r="I52" s="2">
        <f ca="1">VLOOKUP($E52,Index_CALCULATION!$B$15:$EE$40,I$30,0)</f>
        <v>1351.2553612215518</v>
      </c>
      <c r="J52" s="2">
        <f ca="1">VLOOKUP($E52,Index_CALCULATION!$B$15:$EE$40,J$30,0)</f>
        <v>1339.5562540040771</v>
      </c>
      <c r="K52" s="2">
        <f ca="1">VLOOKUP($E52,Index_CALCULATION!$B$15:$EE$40,K$30,0)</f>
        <v>1328.8825556916247</v>
      </c>
      <c r="L52" s="2">
        <f ca="1">VLOOKUP($E52,Index_CALCULATION!$B$15:$EE$40,L$30,0)</f>
        <v>1316.2866072658212</v>
      </c>
      <c r="M52" s="2">
        <f ca="1">VLOOKUP($E52,Index_CALCULATION!$B$15:$EE$40,M$30,0)</f>
        <v>1306.9180590042288</v>
      </c>
      <c r="N52" s="2">
        <f ca="1">VLOOKUP($E52,Index_CALCULATION!$B$15:$EE$40,N$30,0)</f>
        <v>1299.6775343121999</v>
      </c>
      <c r="O52" s="2">
        <f ca="1">VLOOKUP($E52,Index_CALCULATION!$B$15:$EE$40,O$30,0)</f>
        <v>1289.7183684099946</v>
      </c>
      <c r="P52" s="2">
        <f ca="1">VLOOKUP($E52,Index_CALCULATION!$B$15:$EE$40,P$30,0)</f>
        <v>1289.7183684099946</v>
      </c>
      <c r="Q52" s="2">
        <f ca="1">VLOOKUP($E52,Index_CALCULATION!$B$15:$EE$40,Q$30,0)</f>
        <v>1280.5389171327308</v>
      </c>
      <c r="R52" s="2">
        <f ca="1">VLOOKUP($E52,Index_CALCULATION!$B$15:$EE$40,R$30,0)</f>
        <v>1280.5389171327308</v>
      </c>
      <c r="T52" s="133">
        <f t="shared" ca="1" si="36"/>
        <v>-7.1428571428572493E-3</v>
      </c>
      <c r="U52" s="34">
        <f t="shared" ca="1" si="37"/>
        <v>-2.7533577533577675E-2</v>
      </c>
      <c r="W52" s="132" t="str">
        <f t="shared" si="38"/>
        <v>Defenses: Vulnerability to known threats</v>
      </c>
    </row>
    <row r="53" spans="1:23" x14ac:dyDescent="0.3">
      <c r="A53" s="114">
        <f t="shared" ca="1" si="35"/>
        <v>14</v>
      </c>
      <c r="B53" s="132">
        <f t="shared" ca="1" si="33"/>
        <v>12</v>
      </c>
      <c r="C53" s="132">
        <f t="shared" ca="1" si="34"/>
        <v>15</v>
      </c>
      <c r="D53" s="132"/>
      <c r="E53" s="165" t="str">
        <f>Index_CALCULATION!B37</f>
        <v>Defenses: Vulnerability to unknown threats</v>
      </c>
      <c r="F53" s="2">
        <f>VLOOKUP($E53,Index_CALCULATION!$B$15:$EE$40,F$30,0)</f>
        <v>1424.5005894790531</v>
      </c>
      <c r="G53" s="2">
        <f ca="1">VLOOKUP($E53,Index_CALCULATION!$B$15:$EE$40,G$30,0)</f>
        <v>2279.9863405093402</v>
      </c>
      <c r="H53" s="2">
        <f ca="1">VLOOKUP($E53,Index_CALCULATION!$B$15:$EE$40,H$30,0)</f>
        <v>2305.4607846781619</v>
      </c>
      <c r="I53" s="2">
        <f ca="1">VLOOKUP($E53,Index_CALCULATION!$B$15:$EE$40,I$30,0)</f>
        <v>2305.4607846781619</v>
      </c>
      <c r="J53" s="2">
        <f ca="1">VLOOKUP($E53,Index_CALCULATION!$B$15:$EE$40,J$30,0)</f>
        <v>2285.5002104745931</v>
      </c>
      <c r="K53" s="2">
        <f ca="1">VLOOKUP($E53,Index_CALCULATION!$B$15:$EE$40,K$30,0)</f>
        <v>2267.2891501576159</v>
      </c>
      <c r="L53" s="2">
        <f ca="1">VLOOKUP($E53,Index_CALCULATION!$B$15:$EE$40,L$30,0)</f>
        <v>2245.7984194083469</v>
      </c>
      <c r="M53" s="2">
        <f ca="1">VLOOKUP($E53,Index_CALCULATION!$B$15:$EE$40,M$30,0)</f>
        <v>2229.81415673949</v>
      </c>
      <c r="N53" s="2">
        <f ca="1">VLOOKUP($E53,Index_CALCULATION!$B$15:$EE$40,N$30,0)</f>
        <v>2229.81415673949</v>
      </c>
      <c r="O53" s="2">
        <f ca="1">VLOOKUP($E53,Index_CALCULATION!$B$15:$EE$40,O$30,0)</f>
        <v>2212.727542151044</v>
      </c>
      <c r="P53" s="2">
        <f ca="1">VLOOKUP($E53,Index_CALCULATION!$B$15:$EE$40,P$30,0)</f>
        <v>2212.727542151044</v>
      </c>
      <c r="Q53" s="2">
        <f ca="1">VLOOKUP($E53,Index_CALCULATION!$B$15:$EE$40,Q$30,0)</f>
        <v>2196.9786583942937</v>
      </c>
      <c r="R53" s="2">
        <f ca="1">VLOOKUP($E53,Index_CALCULATION!$B$15:$EE$40,R$30,0)</f>
        <v>2196.9786583942937</v>
      </c>
      <c r="T53" s="133">
        <f t="shared" ca="1" si="36"/>
        <v>-7.1428571428570255E-3</v>
      </c>
      <c r="U53" s="34">
        <f t="shared" ca="1" si="37"/>
        <v>-2.197802197802191E-2</v>
      </c>
      <c r="W53" s="132" t="str">
        <f t="shared" si="38"/>
        <v>Defenses: Vulnerability to unknown threats</v>
      </c>
    </row>
    <row r="54" spans="1:23" x14ac:dyDescent="0.3">
      <c r="A54" s="114">
        <f t="shared" ca="1" si="35"/>
        <v>23</v>
      </c>
      <c r="B54" s="132">
        <f t="shared" ca="1" si="33"/>
        <v>8</v>
      </c>
      <c r="C54" s="132">
        <f t="shared" ca="1" si="34"/>
        <v>9</v>
      </c>
      <c r="D54" s="132"/>
      <c r="E54" s="165" t="str">
        <f>Index_CALCULATION!B38</f>
        <v>Overall: False claims of digital identity</v>
      </c>
      <c r="F54" s="2">
        <f>VLOOKUP($E54,Index_CALCULATION!$B$15:$EE$40,F$30,0)</f>
        <v>0</v>
      </c>
      <c r="G54" s="2">
        <f ca="1">VLOOKUP($E54,Index_CALCULATION!$B$15:$EE$40,G$30,0)</f>
        <v>1143.6699917353874</v>
      </c>
      <c r="H54" s="2">
        <f ca="1">VLOOKUP($E54,Index_CALCULATION!$B$15:$EE$40,H$30,0)</f>
        <v>1143.6699917353874</v>
      </c>
      <c r="I54" s="2">
        <f ca="1">VLOOKUP($E54,Index_CALCULATION!$B$15:$EE$40,I$30,0)</f>
        <v>1143.6699917353874</v>
      </c>
      <c r="J54" s="2">
        <f ca="1">VLOOKUP($E54,Index_CALCULATION!$B$15:$EE$40,J$30,0)</f>
        <v>1143.6699917353874</v>
      </c>
      <c r="K54" s="2">
        <f ca="1">VLOOKUP($E54,Index_CALCULATION!$B$15:$EE$40,K$30,0)</f>
        <v>1152.8560468976777</v>
      </c>
      <c r="L54" s="2">
        <f ca="1">VLOOKUP($E54,Index_CALCULATION!$B$15:$EE$40,L$30,0)</f>
        <v>1152.8560468976777</v>
      </c>
      <c r="M54" s="2">
        <f ca="1">VLOOKUP($E54,Index_CALCULATION!$B$15:$EE$40,M$30,0)</f>
        <v>1152.8560468976777</v>
      </c>
      <c r="N54" s="2">
        <f ca="1">VLOOKUP($E54,Index_CALCULATION!$B$15:$EE$40,N$30,0)</f>
        <v>1152.8560468976777</v>
      </c>
      <c r="O54" s="2">
        <f ca="1">VLOOKUP($E54,Index_CALCULATION!$B$15:$EE$40,O$30,0)</f>
        <v>1152.8560468976777</v>
      </c>
      <c r="P54" s="2">
        <f ca="1">VLOOKUP($E54,Index_CALCULATION!$B$15:$EE$40,P$30,0)</f>
        <v>1152.8560468976777</v>
      </c>
      <c r="Q54" s="2">
        <f ca="1">VLOOKUP($E54,Index_CALCULATION!$B$15:$EE$40,Q$30,0)</f>
        <v>1152.8560468976777</v>
      </c>
      <c r="R54" s="2">
        <f ca="1">VLOOKUP($E54,Index_CALCULATION!$B$15:$EE$40,R$30,0)</f>
        <v>1152.8560468976777</v>
      </c>
      <c r="T54" s="133">
        <f t="shared" ca="1" si="36"/>
        <v>0</v>
      </c>
      <c r="U54" s="34">
        <f t="shared" ca="1" si="37"/>
        <v>0</v>
      </c>
      <c r="W54" s="132" t="str">
        <f t="shared" si="38"/>
        <v>Overall: False claims of digital identity</v>
      </c>
    </row>
    <row r="55" spans="1:23" x14ac:dyDescent="0.3">
      <c r="A55" s="114">
        <f t="shared" ca="1" si="35"/>
        <v>1</v>
      </c>
      <c r="B55" s="132">
        <f t="shared" ca="1" si="33"/>
        <v>3</v>
      </c>
      <c r="C55" s="132">
        <f t="shared" ca="1" si="34"/>
        <v>2</v>
      </c>
      <c r="D55" s="132"/>
      <c r="E55" s="165" t="str">
        <f>Index_CALCULATION!B39</f>
        <v>Overall: Media &amp; public perception</v>
      </c>
      <c r="F55" s="2">
        <f>VLOOKUP($E55,Index_CALCULATION!$B$15:$EE$40,F$30,0)</f>
        <v>1836.0751250247663</v>
      </c>
      <c r="G55" s="2">
        <f ca="1">VLOOKUP($E55,Index_CALCULATION!$B$15:$EE$40,G$30,0)</f>
        <v>10115.219156408226</v>
      </c>
      <c r="H55" s="2">
        <f ca="1">VLOOKUP($E55,Index_CALCULATION!$B$15:$EE$40,H$30,0)</f>
        <v>10228.237195629354</v>
      </c>
      <c r="I55" s="2">
        <f ca="1">VLOOKUP($E55,Index_CALCULATION!$B$15:$EE$40,I$30,0)</f>
        <v>10400.136329208142</v>
      </c>
      <c r="J55" s="2">
        <f ca="1">VLOOKUP($E55,Index_CALCULATION!$B$15:$EE$40,J$30,0)</f>
        <v>10582.590222271459</v>
      </c>
      <c r="K55" s="2">
        <f ca="1">VLOOKUP($E55,Index_CALCULATION!$B$15:$EE$40,K$30,0)</f>
        <v>10753.273490748092</v>
      </c>
      <c r="L55" s="2">
        <f ca="1">VLOOKUP($E55,Index_CALCULATION!$B$15:$EE$40,L$30,0)</f>
        <v>10856.174847907208</v>
      </c>
      <c r="M55" s="2">
        <f ca="1">VLOOKUP($E55,Index_CALCULATION!$B$15:$EE$40,M$30,0)</f>
        <v>10933.996557767427</v>
      </c>
      <c r="N55" s="2">
        <f ca="1">VLOOKUP($E55,Index_CALCULATION!$B$15:$EE$40,N$30,0)</f>
        <v>11056.162853198262</v>
      </c>
      <c r="O55" s="2">
        <f ca="1">VLOOKUP($E55,Index_CALCULATION!$B$15:$EE$40,O$30,0)</f>
        <v>11141.538205518435</v>
      </c>
      <c r="P55" s="2">
        <f ca="1">VLOOKUP($E55,Index_CALCULATION!$B$15:$EE$40,P$30,0)</f>
        <v>11209.267713109421</v>
      </c>
      <c r="Q55" s="2">
        <f ca="1">VLOOKUP($E55,Index_CALCULATION!$B$15:$EE$40,Q$30,0)</f>
        <v>11289.620543819703</v>
      </c>
      <c r="R55" s="2">
        <f ca="1">VLOOKUP($E55,Index_CALCULATION!$B$15:$EE$40,R$30,0)</f>
        <v>11289.620543819703</v>
      </c>
      <c r="T55" s="133">
        <f t="shared" ca="1" si="36"/>
        <v>1.3203463203463141E-2</v>
      </c>
      <c r="U55" s="34">
        <f t="shared" ca="1" si="37"/>
        <v>3.9149739149739259E-2</v>
      </c>
      <c r="W55" s="132" t="str">
        <f t="shared" si="38"/>
        <v>Overall: Media &amp; public perception</v>
      </c>
    </row>
    <row r="56" spans="1:23" x14ac:dyDescent="0.3">
      <c r="E56" s="165" t="str">
        <f>Index_CALCULATION!B40</f>
        <v>Overall: Personal risk</v>
      </c>
    </row>
    <row r="57" spans="1:23" s="165" customFormat="1" x14ac:dyDescent="0.3"/>
    <row r="58" spans="1:23" x14ac:dyDescent="0.3">
      <c r="E58" t="s">
        <v>223</v>
      </c>
      <c r="F58" s="132">
        <v>14</v>
      </c>
      <c r="G58" s="132">
        <f>1+F58</f>
        <v>15</v>
      </c>
      <c r="H58" s="132">
        <f>1+G58</f>
        <v>16</v>
      </c>
      <c r="I58" s="132">
        <f>1+H58</f>
        <v>17</v>
      </c>
    </row>
    <row r="59" spans="1:23" x14ac:dyDescent="0.3">
      <c r="D59">
        <v>1</v>
      </c>
      <c r="E59" t="str">
        <f ca="1">VLOOKUP($D59,$B$31:$R$55,4,0)</f>
        <v>Weapons: Phishing/social engineering</v>
      </c>
      <c r="F59" s="132">
        <f t="shared" ref="F59:I61" ca="1" si="39">VLOOKUP($D59,$B$31:$R$55,F$58,0)</f>
        <v>5545.3827464086935</v>
      </c>
      <c r="G59" s="132">
        <f t="shared" ca="1" si="39"/>
        <v>5647.1300598887283</v>
      </c>
      <c r="H59" s="132">
        <f t="shared" ca="1" si="39"/>
        <v>5647.1300598887283</v>
      </c>
      <c r="I59" s="132">
        <f t="shared" ca="1" si="39"/>
        <v>5722.929332891732</v>
      </c>
    </row>
    <row r="60" spans="1:23" x14ac:dyDescent="0.3">
      <c r="D60">
        <v>2</v>
      </c>
      <c r="E60" s="132" t="str">
        <f ca="1">VLOOKUP($D60,$B$31:$R$55,4,0)</f>
        <v>Attackers: Insider threat</v>
      </c>
      <c r="F60" s="132">
        <f t="shared" ca="1" si="39"/>
        <v>2249.5201737633297</v>
      </c>
      <c r="G60" s="132">
        <f t="shared" ca="1" si="39"/>
        <v>2263.1950264519392</v>
      </c>
      <c r="H60" s="132">
        <f t="shared" ca="1" si="39"/>
        <v>2279.4185774883877</v>
      </c>
      <c r="I60" s="132">
        <f t="shared" ca="1" si="39"/>
        <v>2310.0143436936673</v>
      </c>
    </row>
    <row r="61" spans="1:23" x14ac:dyDescent="0.3">
      <c r="D61">
        <v>3</v>
      </c>
      <c r="E61" s="132" t="str">
        <f ca="1">VLOOKUP($D61,$B$31:$R$55,4,0)</f>
        <v>Target: Public infrastructure/cloud</v>
      </c>
      <c r="F61" s="132">
        <f t="shared" ca="1" si="39"/>
        <v>2246.9550291863311</v>
      </c>
      <c r="G61" s="132">
        <f t="shared" ca="1" si="39"/>
        <v>2260.6142883387615</v>
      </c>
      <c r="H61" s="132">
        <f t="shared" ca="1" si="39"/>
        <v>2276.8193395393578</v>
      </c>
      <c r="I61" s="132">
        <f t="shared" ca="1" si="39"/>
        <v>2276.8193395393578</v>
      </c>
    </row>
    <row r="63" spans="1:23" x14ac:dyDescent="0.3">
      <c r="D63" s="132"/>
      <c r="E63" s="132" t="s">
        <v>224</v>
      </c>
      <c r="F63" s="132">
        <v>10</v>
      </c>
      <c r="G63" s="132">
        <f t="shared" ref="G63:L63" si="40">1+F63</f>
        <v>11</v>
      </c>
      <c r="H63" s="132">
        <f t="shared" si="40"/>
        <v>12</v>
      </c>
      <c r="I63" s="132">
        <f t="shared" si="40"/>
        <v>13</v>
      </c>
      <c r="J63" s="132">
        <f t="shared" si="40"/>
        <v>14</v>
      </c>
      <c r="K63" s="132">
        <f t="shared" si="40"/>
        <v>15</v>
      </c>
      <c r="L63" s="132">
        <f t="shared" si="40"/>
        <v>16</v>
      </c>
    </row>
    <row r="64" spans="1:23" x14ac:dyDescent="0.3">
      <c r="D64" s="132">
        <v>1</v>
      </c>
      <c r="E64" s="132" t="str">
        <f ca="1">VLOOKUP($D64,$C$31:$R$55,3,0)</f>
        <v>Weapons: Phishing/social engineering</v>
      </c>
      <c r="F64" s="132">
        <f t="shared" ref="F64:L66" ca="1" si="41">VLOOKUP($D64,$C$31:$R$55,F$63,0)</f>
        <v>5453.7256316078719</v>
      </c>
      <c r="G64" s="132">
        <f t="shared" ca="1" si="41"/>
        <v>5453.7256316078719</v>
      </c>
      <c r="H64" s="132">
        <f t="shared" ca="1" si="41"/>
        <v>5545.3827464086935</v>
      </c>
      <c r="I64" s="132">
        <f t="shared" ca="1" si="41"/>
        <v>5545.3827464086935</v>
      </c>
      <c r="J64" s="132">
        <f t="shared" ca="1" si="41"/>
        <v>5647.1300598887283</v>
      </c>
      <c r="K64" s="132">
        <f t="shared" ca="1" si="41"/>
        <v>5647.1300598887283</v>
      </c>
      <c r="L64" s="132">
        <f t="shared" ca="1" si="41"/>
        <v>5722.929332891732</v>
      </c>
    </row>
    <row r="65" spans="3:18" x14ac:dyDescent="0.3">
      <c r="D65" s="132">
        <v>2</v>
      </c>
      <c r="E65" s="132" t="str">
        <f ca="1">VLOOKUP($D65,$C$31:$R$55,3,0)</f>
        <v>Overall: Media &amp; public perception</v>
      </c>
      <c r="F65" s="132">
        <f t="shared" ca="1" si="41"/>
        <v>10856.174847907208</v>
      </c>
      <c r="G65" s="132">
        <f t="shared" ca="1" si="41"/>
        <v>10933.996557767427</v>
      </c>
      <c r="H65" s="132">
        <f t="shared" ca="1" si="41"/>
        <v>11056.162853198262</v>
      </c>
      <c r="I65" s="132">
        <f t="shared" ca="1" si="41"/>
        <v>11141.538205518435</v>
      </c>
      <c r="J65" s="132">
        <f t="shared" ca="1" si="41"/>
        <v>11209.267713109421</v>
      </c>
      <c r="K65" s="132">
        <f t="shared" ca="1" si="41"/>
        <v>11289.620543819703</v>
      </c>
      <c r="L65" s="132">
        <f t="shared" ca="1" si="41"/>
        <v>11289.620543819703</v>
      </c>
    </row>
    <row r="66" spans="3:18" x14ac:dyDescent="0.3">
      <c r="D66" s="132">
        <v>3</v>
      </c>
      <c r="E66" s="132" t="str">
        <f ca="1">VLOOKUP($D66,$C$31:$R$55,3,0)</f>
        <v>Attackers: Insider threat</v>
      </c>
      <c r="F66" s="132">
        <f t="shared" ca="1" si="41"/>
        <v>2235.8286752349618</v>
      </c>
      <c r="G66" s="132">
        <f t="shared" ca="1" si="41"/>
        <v>2219.9153712987463</v>
      </c>
      <c r="H66" s="132">
        <f t="shared" ca="1" si="41"/>
        <v>2232.2825559547532</v>
      </c>
      <c r="I66" s="132">
        <f t="shared" ca="1" si="41"/>
        <v>2249.5201737633297</v>
      </c>
      <c r="J66" s="132">
        <f t="shared" ca="1" si="41"/>
        <v>2263.1950264519392</v>
      </c>
      <c r="K66" s="132">
        <f t="shared" ca="1" si="41"/>
        <v>2279.4185774883877</v>
      </c>
      <c r="L66" s="132">
        <f t="shared" ca="1" si="41"/>
        <v>2310.0143436936673</v>
      </c>
    </row>
    <row r="68" spans="3:18" x14ac:dyDescent="0.3">
      <c r="D68" s="132"/>
      <c r="E68" s="132"/>
      <c r="G68" s="132"/>
      <c r="H68" s="132"/>
      <c r="I68" s="132"/>
      <c r="J68" s="132"/>
      <c r="K68" s="132"/>
      <c r="L68" s="132"/>
      <c r="M68" s="132"/>
      <c r="N68" s="132"/>
      <c r="O68" s="132"/>
      <c r="P68" s="132"/>
      <c r="Q68" s="132"/>
      <c r="R68" s="132"/>
    </row>
    <row r="69" spans="3:18" x14ac:dyDescent="0.3">
      <c r="D69" s="132"/>
      <c r="E69" s="132"/>
      <c r="G69" s="132"/>
      <c r="H69" s="132"/>
      <c r="I69" s="132"/>
      <c r="J69" s="132"/>
      <c r="K69" s="132"/>
      <c r="L69" s="132"/>
      <c r="M69" s="132"/>
      <c r="N69" s="132"/>
      <c r="O69" s="132"/>
      <c r="P69" s="132"/>
      <c r="Q69" s="132"/>
      <c r="R69" s="132"/>
    </row>
    <row r="70" spans="3:18" x14ac:dyDescent="0.3">
      <c r="D70" s="132"/>
      <c r="E70" s="132"/>
      <c r="G70" s="132"/>
      <c r="H70" s="132"/>
      <c r="I70" s="132"/>
      <c r="J70" s="132"/>
      <c r="K70" s="132"/>
      <c r="L70" s="132"/>
      <c r="M70" s="132"/>
      <c r="N70" s="132"/>
      <c r="O70" s="132"/>
      <c r="P70" s="132"/>
      <c r="Q70" s="132"/>
      <c r="R70" s="132"/>
    </row>
    <row r="71" spans="3:18" x14ac:dyDescent="0.3">
      <c r="D71" s="132"/>
      <c r="E71" s="132"/>
      <c r="G71" s="132"/>
      <c r="H71" s="132"/>
      <c r="I71" s="132"/>
      <c r="J71" s="132"/>
      <c r="K71" s="132"/>
      <c r="L71" s="132"/>
      <c r="M71" s="132"/>
      <c r="N71" s="132"/>
      <c r="O71" s="132"/>
      <c r="P71" s="132"/>
      <c r="Q71" s="132"/>
      <c r="R71" s="132"/>
    </row>
    <row r="74" spans="3:18" x14ac:dyDescent="0.3">
      <c r="E74" s="132" t="str">
        <f>E58</f>
        <v>Top Trending: 3 months</v>
      </c>
      <c r="F74" s="4" t="str">
        <f>O31</f>
        <v>May-19</v>
      </c>
      <c r="G74" s="4" t="str">
        <f>P31</f>
        <v>Jun-19</v>
      </c>
      <c r="H74" s="4" t="str">
        <f>Q31</f>
        <v>Jul-19</v>
      </c>
      <c r="I74" s="4" t="str">
        <f>R31</f>
        <v>Aug-19</v>
      </c>
    </row>
    <row r="75" spans="3:18" x14ac:dyDescent="0.3">
      <c r="C75" s="55">
        <f ca="1">LN(I75/F75)/3</f>
        <v>1.050505050505045E-2</v>
      </c>
      <c r="D75" s="132">
        <f>D59</f>
        <v>1</v>
      </c>
      <c r="E75" s="132" t="str">
        <f ca="1">E59&amp;" ("&amp;TEXT(C75,"+0.0%")&amp;"/mo)"</f>
        <v>Weapons: Phishing/social engineering (+1.1%/mo)</v>
      </c>
      <c r="F75" s="132">
        <f t="shared" ref="F75:I77" ca="1" si="42">100*F59/$F59</f>
        <v>100</v>
      </c>
      <c r="G75" s="132">
        <f t="shared" ca="1" si="42"/>
        <v>101.83481137611157</v>
      </c>
      <c r="H75" s="132">
        <f t="shared" ca="1" si="42"/>
        <v>101.83481137611157</v>
      </c>
      <c r="I75" s="132">
        <f t="shared" ca="1" si="42"/>
        <v>103.20170120985826</v>
      </c>
    </row>
    <row r="76" spans="3:18" x14ac:dyDescent="0.3">
      <c r="C76" s="55">
        <f ca="1">LN(I76/F76)/3</f>
        <v>8.8455988455988684E-3</v>
      </c>
      <c r="D76" s="132">
        <f>D60</f>
        <v>2</v>
      </c>
      <c r="E76" s="132" t="str">
        <f ca="1">E60&amp;" ("&amp;TEXT(C76,"+0.0%")&amp;"/mo)"</f>
        <v>Attackers: Insider threat (+0.9%/mo)</v>
      </c>
      <c r="F76" s="132">
        <f t="shared" ca="1" si="42"/>
        <v>100</v>
      </c>
      <c r="G76" s="132">
        <f t="shared" ca="1" si="42"/>
        <v>100.60790086917656</v>
      </c>
      <c r="H76" s="132">
        <f t="shared" ca="1" si="42"/>
        <v>101.32910138232009</v>
      </c>
      <c r="I76" s="132">
        <f t="shared" ca="1" si="42"/>
        <v>102.68920326369575</v>
      </c>
    </row>
    <row r="77" spans="3:18" x14ac:dyDescent="0.3">
      <c r="C77" s="55">
        <f ca="1">LN(I77/F77)/3</f>
        <v>4.4011544011543806E-3</v>
      </c>
      <c r="D77" s="132">
        <f>D61</f>
        <v>3</v>
      </c>
      <c r="E77" s="132" t="str">
        <f ca="1">E61&amp;" ("&amp;TEXT(C77,"+0.0%")&amp;"/mo)"</f>
        <v>Target: Public infrastructure/cloud (+0.4%/mo)</v>
      </c>
      <c r="F77" s="132">
        <f t="shared" ca="1" si="42"/>
        <v>100</v>
      </c>
      <c r="G77" s="132">
        <f t="shared" ca="1" si="42"/>
        <v>100.60790086917658</v>
      </c>
      <c r="H77" s="132">
        <f t="shared" ca="1" si="42"/>
        <v>101.3291013823201</v>
      </c>
      <c r="I77" s="132">
        <f t="shared" ca="1" si="42"/>
        <v>101.3291013823201</v>
      </c>
    </row>
    <row r="78" spans="3:18" x14ac:dyDescent="0.3">
      <c r="C78" s="55"/>
      <c r="D78" s="132"/>
      <c r="E78" s="132"/>
    </row>
    <row r="79" spans="3:18" x14ac:dyDescent="0.3">
      <c r="C79" s="55"/>
      <c r="D79" s="132"/>
      <c r="E79" s="132" t="str">
        <f>E63</f>
        <v>Top Trending: 6 months</v>
      </c>
      <c r="F79" s="4" t="str">
        <f>L31</f>
        <v>Feb-19</v>
      </c>
      <c r="G79" s="4" t="str">
        <f t="shared" ref="G79:L79" si="43">M31</f>
        <v>Mar-19</v>
      </c>
      <c r="H79" s="4" t="str">
        <f t="shared" si="43"/>
        <v>Apr-19</v>
      </c>
      <c r="I79" s="4" t="str">
        <f t="shared" si="43"/>
        <v>May-19</v>
      </c>
      <c r="J79" s="4" t="str">
        <f t="shared" si="43"/>
        <v>Jun-19</v>
      </c>
      <c r="K79" s="4" t="str">
        <f t="shared" si="43"/>
        <v>Jul-19</v>
      </c>
      <c r="L79" s="4" t="str">
        <f t="shared" si="43"/>
        <v>Aug-19</v>
      </c>
    </row>
    <row r="80" spans="3:18" x14ac:dyDescent="0.3">
      <c r="C80" s="55">
        <f ca="1">LN(L80/F80)/6</f>
        <v>8.0303030303030282E-3</v>
      </c>
      <c r="D80" s="132">
        <f>D64</f>
        <v>1</v>
      </c>
      <c r="E80" s="132" t="str">
        <f ca="1">E64&amp;" ("&amp;TEXT(C80,"+0.0%")&amp;"/mo)"</f>
        <v>Weapons: Phishing/social engineering (+0.8%/mo)</v>
      </c>
      <c r="F80" s="132">
        <f t="shared" ref="F80:L82" ca="1" si="44">100*F64/$F64</f>
        <v>100</v>
      </c>
      <c r="G80" s="132">
        <f t="shared" ca="1" si="44"/>
        <v>100</v>
      </c>
      <c r="H80" s="132">
        <f t="shared" ca="1" si="44"/>
        <v>101.6806330386261</v>
      </c>
      <c r="I80" s="132">
        <f t="shared" ca="1" si="44"/>
        <v>101.6806330386261</v>
      </c>
      <c r="J80" s="132">
        <f t="shared" ca="1" si="44"/>
        <v>103.54628086092107</v>
      </c>
      <c r="K80" s="132">
        <f t="shared" ca="1" si="44"/>
        <v>103.54628086092107</v>
      </c>
      <c r="L80" s="132">
        <f t="shared" ca="1" si="44"/>
        <v>104.93614309681533</v>
      </c>
    </row>
    <row r="81" spans="3:18" x14ac:dyDescent="0.3">
      <c r="C81" s="55">
        <f ca="1">LN(L81/F81)/6</f>
        <v>6.5249565249565428E-3</v>
      </c>
      <c r="D81" s="132">
        <f>D65</f>
        <v>2</v>
      </c>
      <c r="E81" s="132" t="str">
        <f ca="1">E65&amp;" ("&amp;TEXT(C81,"+0.0%")&amp;"/mo)"</f>
        <v>Overall: Media &amp; public perception (+0.7%/mo)</v>
      </c>
      <c r="F81" s="132">
        <f t="shared" ca="1" si="44"/>
        <v>99.999999999999986</v>
      </c>
      <c r="G81" s="132">
        <f t="shared" ca="1" si="44"/>
        <v>100.71684281941369</v>
      </c>
      <c r="H81" s="132">
        <f t="shared" ca="1" si="44"/>
        <v>101.84215903016344</v>
      </c>
      <c r="I81" s="132">
        <f t="shared" ca="1" si="44"/>
        <v>102.62858107583111</v>
      </c>
      <c r="J81" s="132">
        <f t="shared" ca="1" si="44"/>
        <v>103.25246111221466</v>
      </c>
      <c r="K81" s="132">
        <f t="shared" ca="1" si="44"/>
        <v>103.9926189655655</v>
      </c>
      <c r="L81" s="132">
        <f t="shared" ca="1" si="44"/>
        <v>103.9926189655655</v>
      </c>
    </row>
    <row r="82" spans="3:18" x14ac:dyDescent="0.3">
      <c r="C82" s="55">
        <f ca="1">LN(L82/F82)/6</f>
        <v>5.4403004403004718E-3</v>
      </c>
      <c r="D82" s="132">
        <f>D66</f>
        <v>3</v>
      </c>
      <c r="E82" s="132" t="str">
        <f ca="1">E66&amp;" ("&amp;TEXT(C82,"+0.0%")&amp;"/mo)"</f>
        <v>Attackers: Insider threat (+0.5%/mo)</v>
      </c>
      <c r="F82" s="132">
        <f t="shared" ca="1" si="44"/>
        <v>100</v>
      </c>
      <c r="G82" s="132">
        <f t="shared" ca="1" si="44"/>
        <v>99.288259243095041</v>
      </c>
      <c r="H82" s="132">
        <f t="shared" ca="1" si="44"/>
        <v>99.841395750958597</v>
      </c>
      <c r="I82" s="132">
        <f t="shared" ca="1" si="44"/>
        <v>100.61236796361104</v>
      </c>
      <c r="J82" s="132">
        <f t="shared" ca="1" si="44"/>
        <v>101.22399142296095</v>
      </c>
      <c r="K82" s="132">
        <f t="shared" ca="1" si="44"/>
        <v>101.94960833700037</v>
      </c>
      <c r="L82" s="132">
        <f t="shared" ca="1" si="44"/>
        <v>103.31803904657004</v>
      </c>
    </row>
    <row r="83" spans="3:18" x14ac:dyDescent="0.3">
      <c r="C83" s="55"/>
      <c r="D83" s="132"/>
      <c r="E83" s="132"/>
    </row>
    <row r="84" spans="3:18" x14ac:dyDescent="0.3">
      <c r="C84" s="55"/>
      <c r="D84" s="132"/>
      <c r="E84" s="132"/>
      <c r="F84" s="4"/>
      <c r="G84" s="4"/>
      <c r="H84" s="4"/>
      <c r="I84" s="4"/>
      <c r="J84" s="4"/>
      <c r="K84" s="4"/>
      <c r="L84" s="4"/>
      <c r="M84" s="4"/>
      <c r="N84" s="4"/>
      <c r="O84" s="4"/>
      <c r="P84" s="4"/>
      <c r="Q84" s="4"/>
      <c r="R84" s="4"/>
    </row>
    <row r="85" spans="3:18" x14ac:dyDescent="0.3">
      <c r="C85" s="55"/>
      <c r="D85" s="132"/>
      <c r="E85" s="132"/>
      <c r="G85" s="132"/>
      <c r="H85" s="132"/>
      <c r="I85" s="132"/>
      <c r="J85" s="132"/>
      <c r="K85" s="132"/>
      <c r="L85" s="132"/>
      <c r="M85" s="132"/>
      <c r="N85" s="132"/>
      <c r="O85" s="132"/>
      <c r="P85" s="132"/>
      <c r="Q85" s="132"/>
      <c r="R85" s="132"/>
    </row>
    <row r="86" spans="3:18" x14ac:dyDescent="0.3">
      <c r="C86" s="55"/>
      <c r="D86" s="132"/>
      <c r="E86" s="132"/>
      <c r="G86" s="132"/>
      <c r="H86" s="132"/>
      <c r="I86" s="132"/>
      <c r="J86" s="132"/>
      <c r="K86" s="132"/>
      <c r="L86" s="132"/>
      <c r="M86" s="132"/>
      <c r="N86" s="132"/>
      <c r="O86" s="132"/>
      <c r="P86" s="132"/>
      <c r="Q86" s="132"/>
      <c r="R86" s="132"/>
    </row>
    <row r="87" spans="3:18" x14ac:dyDescent="0.3">
      <c r="C87" s="55"/>
      <c r="D87" s="132"/>
      <c r="E87" s="132"/>
      <c r="G87" s="132"/>
      <c r="H87" s="132"/>
      <c r="I87" s="132"/>
      <c r="J87" s="132"/>
      <c r="K87" s="132"/>
      <c r="L87" s="132"/>
      <c r="M87" s="132"/>
      <c r="N87" s="132"/>
      <c r="O87" s="132"/>
      <c r="P87" s="132"/>
      <c r="Q87" s="132"/>
      <c r="R87" s="132"/>
    </row>
    <row r="88" spans="3:18" x14ac:dyDescent="0.3">
      <c r="D88" s="132"/>
      <c r="E88" s="132"/>
    </row>
    <row r="89" spans="3:18" x14ac:dyDescent="0.3">
      <c r="D89" s="132"/>
      <c r="E89" s="132"/>
      <c r="K89" t="s">
        <v>199</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3"/>
  <dimension ref="A1:AO87"/>
  <sheetViews>
    <sheetView showGridLines="0" zoomScale="110" zoomScaleNormal="110" workbookViewId="0">
      <selection activeCell="I8" sqref="I8"/>
    </sheetView>
  </sheetViews>
  <sheetFormatPr defaultColWidth="8.77734375" defaultRowHeight="14.4" x14ac:dyDescent="0.3"/>
  <cols>
    <col min="1" max="1" width="7.21875" bestFit="1" customWidth="1"/>
    <col min="2" max="2" width="12" style="132" bestFit="1" customWidth="1"/>
    <col min="3" max="3" width="5" style="132" bestFit="1" customWidth="1"/>
    <col min="4" max="5" width="13.33203125" style="132" bestFit="1" customWidth="1"/>
    <col min="6" max="6" width="14.33203125" customWidth="1"/>
    <col min="7" max="7" width="7.21875" bestFit="1" customWidth="1"/>
    <col min="8" max="8" width="10.77734375" bestFit="1" customWidth="1"/>
    <col min="9" max="9" width="55.109375" bestFit="1" customWidth="1"/>
    <col min="10" max="10" width="8.6640625" bestFit="1" customWidth="1"/>
    <col min="11" max="11" width="7" bestFit="1" customWidth="1"/>
    <col min="12" max="12" width="7.5546875" bestFit="1" customWidth="1"/>
    <col min="13" max="13" width="7" bestFit="1" customWidth="1"/>
    <col min="14" max="14" width="14.109375" bestFit="1" customWidth="1"/>
    <col min="15" max="15" width="8.5546875" bestFit="1" customWidth="1"/>
    <col min="16" max="16" width="5" bestFit="1" customWidth="1"/>
    <col min="17" max="17" width="7" bestFit="1" customWidth="1"/>
    <col min="19" max="19" width="7.21875" bestFit="1" customWidth="1"/>
    <col min="20" max="20" width="7.5546875" bestFit="1" customWidth="1"/>
    <col min="21" max="21" width="13.5546875" bestFit="1" customWidth="1"/>
    <col min="22" max="22" width="6" bestFit="1" customWidth="1"/>
    <col min="28" max="28" width="1.77734375" bestFit="1" customWidth="1"/>
    <col min="29" max="29" width="255.77734375" bestFit="1" customWidth="1"/>
    <col min="30" max="30" width="8.44140625" bestFit="1" customWidth="1"/>
    <col min="31" max="31" width="10.21875" bestFit="1" customWidth="1"/>
    <col min="32" max="32" width="10.88671875" bestFit="1" customWidth="1"/>
    <col min="33" max="33" width="1.77734375" bestFit="1" customWidth="1"/>
    <col min="34" max="34" width="15.5546875" bestFit="1" customWidth="1"/>
    <col min="35" max="35" width="4.5546875" bestFit="1" customWidth="1"/>
    <col min="36" max="36" width="9.6640625" customWidth="1"/>
    <col min="38" max="38" width="1.5546875" bestFit="1" customWidth="1"/>
    <col min="39" max="39" width="31.77734375" bestFit="1" customWidth="1"/>
    <col min="40" max="40" width="5.44140625" bestFit="1" customWidth="1"/>
    <col min="41" max="41" width="6.21875" bestFit="1" customWidth="1"/>
  </cols>
  <sheetData>
    <row r="1" spans="1:33" x14ac:dyDescent="0.3">
      <c r="H1" t="s">
        <v>89</v>
      </c>
      <c r="I1" t="s">
        <v>90</v>
      </c>
    </row>
    <row r="2" spans="1:33" x14ac:dyDescent="0.3">
      <c r="A2" t="s">
        <v>71</v>
      </c>
      <c r="B2" s="132">
        <v>1000</v>
      </c>
      <c r="D2" s="55" t="str">
        <f>A2&amp;","&amp;TEXT(B2,"0.0")</f>
        <v>Mar-11,1000.0</v>
      </c>
      <c r="E2" s="55" t="str">
        <f>A2&amp;","&amp;TEXT(C2,"0.0000")</f>
        <v>Mar-11,0.0000</v>
      </c>
      <c r="G2" s="23" t="s">
        <v>71</v>
      </c>
      <c r="H2" s="118">
        <v>1000</v>
      </c>
      <c r="AD2" s="67"/>
      <c r="AE2" s="67"/>
      <c r="AF2" s="67"/>
      <c r="AG2" s="67"/>
    </row>
    <row r="3" spans="1:33" x14ac:dyDescent="0.3">
      <c r="A3" t="s">
        <v>72</v>
      </c>
      <c r="B3" s="132">
        <v>1021.6</v>
      </c>
      <c r="C3" s="55">
        <f t="shared" ref="C3:C34" si="0">LN(B3/B2)</f>
        <v>2.1370025736192545E-2</v>
      </c>
      <c r="D3" s="55" t="str">
        <f t="shared" ref="D3:D34" si="1">A3&amp;","&amp;TEXT(B3,"0.0")</f>
        <v>Apr-11,1021.6</v>
      </c>
      <c r="E3" s="55" t="str">
        <f t="shared" ref="E3:E34" si="2">A3&amp;","&amp;TEXT(C3,"0.0000")</f>
        <v>Apr-11,0.0214</v>
      </c>
      <c r="G3" s="23" t="s">
        <v>72</v>
      </c>
      <c r="H3" s="118">
        <v>1021.6</v>
      </c>
      <c r="I3" s="34">
        <f>LN(H3/H2)</f>
        <v>2.1370025736192545E-2</v>
      </c>
      <c r="J3" s="34">
        <f t="shared" ref="J3:J28" si="3">H3/H2 - 1</f>
        <v>2.1600000000000064E-2</v>
      </c>
      <c r="K3" s="34">
        <f t="shared" ref="K3:K28" si="4">LN(H3/H2)</f>
        <v>2.1370025736192545E-2</v>
      </c>
    </row>
    <row r="4" spans="1:33" x14ac:dyDescent="0.3">
      <c r="A4" t="s">
        <v>73</v>
      </c>
      <c r="B4" s="132">
        <v>1043.2</v>
      </c>
      <c r="C4" s="55">
        <f t="shared" si="0"/>
        <v>2.0922886454059007E-2</v>
      </c>
      <c r="D4" s="55" t="str">
        <f t="shared" si="1"/>
        <v>May-11,1043.2</v>
      </c>
      <c r="E4" s="55" t="str">
        <f t="shared" si="2"/>
        <v>May-11,0.0209</v>
      </c>
      <c r="G4" s="23" t="s">
        <v>73</v>
      </c>
      <c r="H4" s="118">
        <v>1043.2</v>
      </c>
      <c r="I4" s="34">
        <f t="shared" ref="I4:I11" si="5">LN(H4/H3)</f>
        <v>2.0922886454059007E-2</v>
      </c>
      <c r="J4" s="34">
        <f t="shared" si="3"/>
        <v>2.114330462020364E-2</v>
      </c>
      <c r="K4" s="34">
        <f t="shared" si="4"/>
        <v>2.0922886454059007E-2</v>
      </c>
      <c r="N4" s="4" t="str">
        <f>Index_CALCULATION!B50</f>
        <v>Current month:</v>
      </c>
      <c r="O4" s="154">
        <f>Index_CALCULATION!C50</f>
        <v>42246</v>
      </c>
      <c r="P4" s="2">
        <f>Index_CALCULATION!D50</f>
        <v>102</v>
      </c>
    </row>
    <row r="5" spans="1:33" x14ac:dyDescent="0.3">
      <c r="A5" t="s">
        <v>70</v>
      </c>
      <c r="B5" s="132">
        <v>1069.5</v>
      </c>
      <c r="C5" s="55">
        <f t="shared" si="0"/>
        <v>2.4898337350071732E-2</v>
      </c>
      <c r="D5" s="55" t="str">
        <f t="shared" si="1"/>
        <v>Jun-11,1069.5</v>
      </c>
      <c r="E5" s="55" t="str">
        <f t="shared" si="2"/>
        <v>Jun-11,0.0249</v>
      </c>
      <c r="G5" s="23" t="s">
        <v>70</v>
      </c>
      <c r="H5" s="118">
        <v>1069.5</v>
      </c>
      <c r="I5" s="34">
        <f t="shared" si="5"/>
        <v>2.4898337350071732E-2</v>
      </c>
      <c r="J5" s="34">
        <f t="shared" si="3"/>
        <v>2.5210889570552064E-2</v>
      </c>
      <c r="K5" s="34">
        <f t="shared" si="4"/>
        <v>2.4898337350071732E-2</v>
      </c>
      <c r="N5" s="165"/>
      <c r="O5" s="163"/>
      <c r="P5" s="97"/>
      <c r="Q5" s="34"/>
      <c r="R5" s="165"/>
      <c r="S5" s="163"/>
      <c r="T5" s="118"/>
      <c r="U5" s="34"/>
    </row>
    <row r="6" spans="1:33" x14ac:dyDescent="0.3">
      <c r="A6" t="s">
        <v>75</v>
      </c>
      <c r="B6" s="132">
        <v>1089.5</v>
      </c>
      <c r="C6" s="55">
        <f t="shared" si="0"/>
        <v>1.8527625862214174E-2</v>
      </c>
      <c r="D6" s="55" t="str">
        <f t="shared" si="1"/>
        <v>Jul-11,1089.5</v>
      </c>
      <c r="E6" s="55" t="str">
        <f t="shared" si="2"/>
        <v>Jul-11,0.0185</v>
      </c>
      <c r="G6" s="23" t="s">
        <v>75</v>
      </c>
      <c r="H6" s="118">
        <v>1089.5</v>
      </c>
      <c r="I6" s="34">
        <f t="shared" si="5"/>
        <v>1.8527625862214174E-2</v>
      </c>
      <c r="J6" s="34">
        <f t="shared" si="3"/>
        <v>1.8700327255726901E-2</v>
      </c>
      <c r="K6" s="34">
        <f t="shared" si="4"/>
        <v>1.8527625862214174E-2</v>
      </c>
      <c r="N6" s="165"/>
      <c r="O6" s="163"/>
      <c r="P6" s="97"/>
      <c r="Q6" s="34"/>
      <c r="R6" s="165"/>
      <c r="S6" s="163"/>
      <c r="T6" s="118"/>
      <c r="U6" s="34"/>
    </row>
    <row r="7" spans="1:33" x14ac:dyDescent="0.3">
      <c r="A7" t="s">
        <v>77</v>
      </c>
      <c r="B7" s="132">
        <v>1109.3</v>
      </c>
      <c r="C7" s="55">
        <f t="shared" si="0"/>
        <v>1.801031035993924E-2</v>
      </c>
      <c r="D7" s="55" t="str">
        <f t="shared" si="1"/>
        <v>Aug-11,1109.3</v>
      </c>
      <c r="E7" s="55" t="str">
        <f t="shared" si="2"/>
        <v>Aug-11,0.0180</v>
      </c>
      <c r="G7" s="23" t="s">
        <v>77</v>
      </c>
      <c r="H7" s="118">
        <v>1109.3</v>
      </c>
      <c r="I7" s="34">
        <f t="shared" si="5"/>
        <v>1.801031035993924E-2</v>
      </c>
      <c r="J7" s="34">
        <f t="shared" si="3"/>
        <v>1.8173474070674489E-2</v>
      </c>
      <c r="K7" s="34">
        <f t="shared" si="4"/>
        <v>1.801031035993924E-2</v>
      </c>
      <c r="N7" s="165"/>
      <c r="O7" s="163"/>
      <c r="P7" s="97">
        <v>1000</v>
      </c>
      <c r="Q7" s="34"/>
      <c r="R7" s="165"/>
      <c r="S7" s="163" t="s">
        <v>1376</v>
      </c>
      <c r="T7" s="118" t="s">
        <v>1377</v>
      </c>
      <c r="U7" s="34" t="s">
        <v>108</v>
      </c>
      <c r="V7" s="96"/>
    </row>
    <row r="8" spans="1:33" x14ac:dyDescent="0.3">
      <c r="A8" t="s">
        <v>84</v>
      </c>
      <c r="B8" s="132">
        <v>1132.2</v>
      </c>
      <c r="C8" s="55">
        <f t="shared" si="0"/>
        <v>2.0433456857945627E-2</v>
      </c>
      <c r="D8" s="55" t="str">
        <f t="shared" si="1"/>
        <v>Sep-11,1132.2</v>
      </c>
      <c r="E8" s="55" t="str">
        <f t="shared" si="2"/>
        <v>Sep-11,0.0204</v>
      </c>
      <c r="G8" s="23" t="s">
        <v>84</v>
      </c>
      <c r="H8" s="118">
        <v>1132.2</v>
      </c>
      <c r="I8" s="34">
        <f t="shared" si="5"/>
        <v>2.0433456857945627E-2</v>
      </c>
      <c r="J8" s="34">
        <f t="shared" si="3"/>
        <v>2.0643649148111454E-2</v>
      </c>
      <c r="K8" s="34">
        <f t="shared" si="4"/>
        <v>2.0433456857945627E-2</v>
      </c>
      <c r="N8" s="165">
        <v>62</v>
      </c>
      <c r="O8" s="163" t="str">
        <f ca="1">OFFSET(Index_CALCULATION!$P$15,0,main_chart!$P$4-N8)</f>
        <v>Jul-14</v>
      </c>
      <c r="P8" s="97">
        <f ca="1">OFFSET(Index_CALCULATION!$P$15,26,main_chart!$P$4-N8)</f>
        <v>2222.2456738611081</v>
      </c>
      <c r="Q8" s="34">
        <f ca="1">LN(P8/P7)</f>
        <v>0.79851824939958527</v>
      </c>
      <c r="R8" s="165"/>
      <c r="S8" s="163" t="str">
        <f t="shared" ref="S8:U9" ca="1" si="6">O8</f>
        <v>Jul-14</v>
      </c>
      <c r="T8" s="118">
        <f t="shared" ca="1" si="6"/>
        <v>2222.2456738611081</v>
      </c>
      <c r="U8" s="34">
        <f t="shared" ca="1" si="6"/>
        <v>0.79851824939958527</v>
      </c>
      <c r="V8" s="96">
        <f ca="1">'alpha-beta'!E32</f>
        <v>1.0033070118617149E-2</v>
      </c>
    </row>
    <row r="9" spans="1:33" x14ac:dyDescent="0.3">
      <c r="A9" t="s">
        <v>86</v>
      </c>
      <c r="B9" s="132">
        <v>1153.0999999999999</v>
      </c>
      <c r="C9" s="55">
        <f t="shared" si="0"/>
        <v>1.8291325174510958E-2</v>
      </c>
      <c r="D9" s="55" t="str">
        <f t="shared" si="1"/>
        <v>Oct-11,1153.1</v>
      </c>
      <c r="E9" s="55" t="str">
        <f t="shared" si="2"/>
        <v>Oct-11,0.0183</v>
      </c>
      <c r="G9" s="23" t="s">
        <v>86</v>
      </c>
      <c r="H9" s="118">
        <v>1153.0999999999999</v>
      </c>
      <c r="I9" s="34">
        <f t="shared" si="5"/>
        <v>1.8291325174510958E-2</v>
      </c>
      <c r="J9" s="34">
        <f t="shared" si="3"/>
        <v>1.8459636106694877E-2</v>
      </c>
      <c r="K9" s="34">
        <f t="shared" si="4"/>
        <v>1.8291325174510958E-2</v>
      </c>
      <c r="N9" s="165">
        <v>61</v>
      </c>
      <c r="O9" s="163" t="str">
        <f ca="1">OFFSET(Index_CALCULATION!$P$15,0,main_chart!$P$4-N9)</f>
        <v>Aug-14</v>
      </c>
      <c r="P9" s="97">
        <f ca="1">OFFSET(Index_CALCULATION!$P$15,26,main_chart!$P$4-N9)</f>
        <v>2265.3034547996785</v>
      </c>
      <c r="Q9" s="34">
        <f ca="1">LN(P9/P8)</f>
        <v>1.9190476190476091E-2</v>
      </c>
      <c r="R9" s="165"/>
      <c r="S9" s="163" t="str">
        <f t="shared" ca="1" si="6"/>
        <v>Aug-14</v>
      </c>
      <c r="T9" s="118">
        <f t="shared" ca="1" si="6"/>
        <v>2265.3034547996785</v>
      </c>
      <c r="U9" s="34">
        <f t="shared" ca="1" si="6"/>
        <v>1.9190476190476091E-2</v>
      </c>
      <c r="V9" s="96">
        <f ca="1">V8</f>
        <v>1.0033070118617149E-2</v>
      </c>
    </row>
    <row r="10" spans="1:33" x14ac:dyDescent="0.3">
      <c r="A10" t="s">
        <v>88</v>
      </c>
      <c r="B10" s="132">
        <v>1166.8</v>
      </c>
      <c r="C10" s="55">
        <f t="shared" si="0"/>
        <v>1.1810991216495908E-2</v>
      </c>
      <c r="D10" s="55" t="str">
        <f t="shared" si="1"/>
        <v>Nov-11,1166.8</v>
      </c>
      <c r="E10" s="55" t="str">
        <f t="shared" si="2"/>
        <v>Nov-11,0.0118</v>
      </c>
      <c r="G10" s="23" t="s">
        <v>88</v>
      </c>
      <c r="H10" s="118">
        <v>1166.8</v>
      </c>
      <c r="I10" s="34">
        <f t="shared" si="5"/>
        <v>1.1810991216495908E-2</v>
      </c>
      <c r="J10" s="34">
        <f t="shared" si="3"/>
        <v>1.1881016390599353E-2</v>
      </c>
      <c r="K10" s="34">
        <f t="shared" si="4"/>
        <v>1.1810991216495908E-2</v>
      </c>
      <c r="N10" s="165">
        <v>60</v>
      </c>
      <c r="O10" s="163" t="str">
        <f ca="1">OFFSET(Index_CALCULATION!$P$15,0,main_chart!$P$4-N10)</f>
        <v>Sep-14</v>
      </c>
      <c r="P10" s="97">
        <f ca="1">OFFSET(Index_CALCULATION!$P$15,26,main_chart!$P$4-N10)</f>
        <v>2334.4589568921333</v>
      </c>
      <c r="Q10" s="34">
        <f t="shared" ref="Q10:Q41" ca="1" si="7">LN(P10/P9)</f>
        <v>3.0071428571428541E-2</v>
      </c>
      <c r="R10" s="165"/>
      <c r="S10" s="163" t="str">
        <f t="shared" ref="S10:S20" ca="1" si="8">O10</f>
        <v>Sep-14</v>
      </c>
      <c r="T10" s="118">
        <f t="shared" ref="T10:T20" ca="1" si="9">P10</f>
        <v>2334.4589568921333</v>
      </c>
      <c r="U10" s="34">
        <f t="shared" ref="U10:U20" ca="1" si="10">Q10</f>
        <v>3.0071428571428541E-2</v>
      </c>
      <c r="V10" s="96">
        <f t="shared" ref="V10:V69" ca="1" si="11">V9</f>
        <v>1.0033070118617149E-2</v>
      </c>
    </row>
    <row r="11" spans="1:33" x14ac:dyDescent="0.3">
      <c r="A11" t="s">
        <v>92</v>
      </c>
      <c r="B11" s="132">
        <v>1192.2560174247362</v>
      </c>
      <c r="C11" s="55">
        <f t="shared" si="0"/>
        <v>2.1582366288605565E-2</v>
      </c>
      <c r="D11" s="55" t="str">
        <f t="shared" si="1"/>
        <v>Dec-11,1192.3</v>
      </c>
      <c r="E11" s="55" t="str">
        <f t="shared" si="2"/>
        <v>Dec-11,0.0216</v>
      </c>
      <c r="G11" s="23" t="s">
        <v>92</v>
      </c>
      <c r="H11" s="228">
        <v>1192.2560174247362</v>
      </c>
      <c r="I11" s="34">
        <f t="shared" si="5"/>
        <v>2.1582366288605565E-2</v>
      </c>
      <c r="J11" s="34">
        <f t="shared" si="3"/>
        <v>2.1816950141186453E-2</v>
      </c>
      <c r="K11" s="34">
        <f t="shared" si="4"/>
        <v>2.1582366288605565E-2</v>
      </c>
      <c r="N11" s="165">
        <v>59</v>
      </c>
      <c r="O11" s="163" t="str">
        <f ca="1">OFFSET(Index_CALCULATION!$P$15,0,main_chart!$P$4-N11)</f>
        <v>Oct-14</v>
      </c>
      <c r="P11" s="97">
        <f ca="1">OFFSET(Index_CALCULATION!$P$15,26,main_chart!$P$4-N11)</f>
        <v>2394.9644550933554</v>
      </c>
      <c r="Q11" s="34">
        <f t="shared" ca="1" si="7"/>
        <v>2.5588235294117658E-2</v>
      </c>
      <c r="R11" s="165"/>
      <c r="S11" s="163" t="str">
        <f t="shared" ca="1" si="8"/>
        <v>Oct-14</v>
      </c>
      <c r="T11" s="118">
        <f t="shared" ca="1" si="9"/>
        <v>2394.9644550933554</v>
      </c>
      <c r="U11" s="34">
        <f t="shared" ca="1" si="10"/>
        <v>2.5588235294117658E-2</v>
      </c>
      <c r="V11" s="96">
        <f t="shared" ca="1" si="11"/>
        <v>1.0033070118617149E-2</v>
      </c>
    </row>
    <row r="12" spans="1:33" x14ac:dyDescent="0.3">
      <c r="A12" t="s">
        <v>93</v>
      </c>
      <c r="B12" s="132">
        <v>1216.7345117069915</v>
      </c>
      <c r="C12" s="55">
        <f t="shared" si="0"/>
        <v>2.0323315118397165E-2</v>
      </c>
      <c r="D12" s="55" t="str">
        <f t="shared" si="1"/>
        <v>Jan-12,1216.7</v>
      </c>
      <c r="E12" s="55" t="str">
        <f t="shared" si="2"/>
        <v>Jan-12,0.0203</v>
      </c>
      <c r="G12" s="23" t="s">
        <v>93</v>
      </c>
      <c r="H12" s="228">
        <v>1216.7345117069915</v>
      </c>
      <c r="I12" s="34">
        <f t="shared" ref="I12:I28" si="12">LN(H12/H11)</f>
        <v>2.0323315118397165E-2</v>
      </c>
      <c r="J12" s="34">
        <f t="shared" si="3"/>
        <v>2.0531239871725449E-2</v>
      </c>
      <c r="K12" s="34">
        <f t="shared" si="4"/>
        <v>2.0323315118397165E-2</v>
      </c>
      <c r="N12" s="165">
        <v>58</v>
      </c>
      <c r="O12" s="163" t="str">
        <f ca="1">OFFSET(Index_CALCULATION!$P$15,0,main_chart!$P$4-N12)</f>
        <v>Nov-14</v>
      </c>
      <c r="P12" s="97">
        <f ca="1">OFFSET(Index_CALCULATION!$P$15,26,main_chart!$P$4-N12)</f>
        <v>2446.3698492065882</v>
      </c>
      <c r="Q12" s="34">
        <f t="shared" ca="1" si="7"/>
        <v>2.1236842105263162E-2</v>
      </c>
      <c r="R12" s="165"/>
      <c r="S12" s="163" t="str">
        <f t="shared" ca="1" si="8"/>
        <v>Nov-14</v>
      </c>
      <c r="T12" s="118">
        <f t="shared" ca="1" si="9"/>
        <v>2446.3698492065882</v>
      </c>
      <c r="U12" s="34">
        <f t="shared" ca="1" si="10"/>
        <v>2.1236842105263162E-2</v>
      </c>
      <c r="V12" s="96">
        <f t="shared" ca="1" si="11"/>
        <v>1.0033070118617149E-2</v>
      </c>
    </row>
    <row r="13" spans="1:33" x14ac:dyDescent="0.3">
      <c r="A13" t="s">
        <v>96</v>
      </c>
      <c r="B13" s="132">
        <v>1241.6114644573483</v>
      </c>
      <c r="C13" s="55">
        <f t="shared" si="0"/>
        <v>2.0239463601532497E-2</v>
      </c>
      <c r="D13" s="55" t="str">
        <f t="shared" si="1"/>
        <v>Feb-12,1241.6</v>
      </c>
      <c r="E13" s="55" t="str">
        <f t="shared" si="2"/>
        <v>Feb-12,0.0202</v>
      </c>
      <c r="G13" s="23" t="s">
        <v>96</v>
      </c>
      <c r="H13" s="228">
        <v>1241.6114644573483</v>
      </c>
      <c r="I13" s="34">
        <f t="shared" si="12"/>
        <v>2.0239463601532497E-2</v>
      </c>
      <c r="J13" s="34">
        <f t="shared" si="3"/>
        <v>2.0445670366870949E-2</v>
      </c>
      <c r="K13" s="34">
        <f t="shared" si="4"/>
        <v>2.0239463601532497E-2</v>
      </c>
      <c r="N13" s="165">
        <v>57</v>
      </c>
      <c r="O13" s="163">
        <f ca="1">OFFSET(Index_CALCULATION!$P$15,0,main_chart!$P$4-N13)</f>
        <v>40542</v>
      </c>
      <c r="P13" s="97">
        <f ca="1">OFFSET(Index_CALCULATION!$P$15,26,main_chart!$P$4-N13)</f>
        <v>2474.3398981101286</v>
      </c>
      <c r="Q13" s="34">
        <f t="shared" ca="1" si="7"/>
        <v>1.1368421052631588E-2</v>
      </c>
      <c r="R13" s="165"/>
      <c r="S13" s="163">
        <f t="shared" ca="1" si="8"/>
        <v>40542</v>
      </c>
      <c r="T13" s="118">
        <f t="shared" ca="1" si="9"/>
        <v>2474.3398981101286</v>
      </c>
      <c r="U13" s="34">
        <f t="shared" ca="1" si="10"/>
        <v>1.1368421052631588E-2</v>
      </c>
      <c r="V13" s="96">
        <f t="shared" ca="1" si="11"/>
        <v>1.0033070118617149E-2</v>
      </c>
    </row>
    <row r="14" spans="1:33" x14ac:dyDescent="0.3">
      <c r="A14" t="s">
        <v>98</v>
      </c>
      <c r="B14" s="132">
        <v>1263.8372484064614</v>
      </c>
      <c r="C14" s="55">
        <f t="shared" si="0"/>
        <v>1.7742424242424226E-2</v>
      </c>
      <c r="D14" s="55" t="str">
        <f t="shared" si="1"/>
        <v>Mar-12,1263.8</v>
      </c>
      <c r="E14" s="55" t="str">
        <f t="shared" si="2"/>
        <v>Mar-12,0.0177</v>
      </c>
      <c r="G14" s="23" t="s">
        <v>98</v>
      </c>
      <c r="H14" s="228">
        <v>1263.8372484064614</v>
      </c>
      <c r="I14" s="34">
        <f t="shared" si="12"/>
        <v>1.7742424242424226E-2</v>
      </c>
      <c r="J14" s="34">
        <f t="shared" si="3"/>
        <v>1.7900756062064094E-2</v>
      </c>
      <c r="K14" s="34">
        <f t="shared" si="4"/>
        <v>1.7742424242424226E-2</v>
      </c>
      <c r="N14" s="165">
        <v>56</v>
      </c>
      <c r="O14" s="163">
        <f ca="1">OFFSET(Index_CALCULATION!$P$15,0,main_chart!$P$4-N14)</f>
        <v>40573</v>
      </c>
      <c r="P14" s="97">
        <f ca="1">OFFSET(Index_CALCULATION!$P$15,26,main_chart!$P$4-N14)</f>
        <v>2485.6124977829641</v>
      </c>
      <c r="Q14" s="34">
        <f t="shared" ca="1" si="7"/>
        <v>4.5454545454544403E-3</v>
      </c>
      <c r="R14" s="165"/>
      <c r="S14" s="163">
        <f t="shared" ca="1" si="8"/>
        <v>40573</v>
      </c>
      <c r="T14" s="118">
        <f t="shared" ca="1" si="9"/>
        <v>2485.6124977829641</v>
      </c>
      <c r="U14" s="34">
        <f t="shared" ca="1" si="10"/>
        <v>4.5454545454544403E-3</v>
      </c>
      <c r="V14" s="96">
        <f t="shared" ca="1" si="11"/>
        <v>1.0033070118617149E-2</v>
      </c>
    </row>
    <row r="15" spans="1:33" x14ac:dyDescent="0.3">
      <c r="A15" t="s">
        <v>115</v>
      </c>
      <c r="B15" s="132">
        <v>1291.954121772281</v>
      </c>
      <c r="C15" s="55">
        <f t="shared" si="0"/>
        <v>2.2003367003366942E-2</v>
      </c>
      <c r="D15" s="55" t="str">
        <f t="shared" si="1"/>
        <v>Apr-12,1292.0</v>
      </c>
      <c r="E15" s="55" t="str">
        <f t="shared" si="2"/>
        <v>Apr-12,0.0220</v>
      </c>
      <c r="G15" s="23" t="s">
        <v>115</v>
      </c>
      <c r="H15" s="228">
        <v>1291.954121772281</v>
      </c>
      <c r="I15" s="34">
        <f t="shared" si="12"/>
        <v>2.2003367003366942E-2</v>
      </c>
      <c r="J15" s="34">
        <f t="shared" si="3"/>
        <v>2.2247226374496831E-2</v>
      </c>
      <c r="K15" s="34">
        <f t="shared" si="4"/>
        <v>2.2003367003366942E-2</v>
      </c>
      <c r="N15" s="165">
        <v>55</v>
      </c>
      <c r="O15" s="163">
        <f ca="1">OFFSET(Index_CALCULATION!$P$15,0,main_chart!$P$4-N15)</f>
        <v>40601</v>
      </c>
      <c r="P15" s="97">
        <f ca="1">OFFSET(Index_CALCULATION!$P$15,26,main_chart!$P$4-N15)</f>
        <v>2496.1002987021789</v>
      </c>
      <c r="Q15" s="34">
        <f t="shared" ca="1" si="7"/>
        <v>4.2105263157894259E-3</v>
      </c>
      <c r="R15" s="165"/>
      <c r="S15" s="163">
        <f t="shared" ca="1" si="8"/>
        <v>40601</v>
      </c>
      <c r="T15" s="118">
        <f t="shared" ca="1" si="9"/>
        <v>2496.1002987021789</v>
      </c>
      <c r="U15" s="34">
        <f t="shared" ca="1" si="10"/>
        <v>4.2105263157894259E-3</v>
      </c>
      <c r="V15" s="96">
        <f t="shared" ca="1" si="11"/>
        <v>1.0033070118617149E-2</v>
      </c>
    </row>
    <row r="16" spans="1:33" x14ac:dyDescent="0.3">
      <c r="A16" t="s">
        <v>119</v>
      </c>
      <c r="B16" s="132">
        <v>1320.9733833573141</v>
      </c>
      <c r="C16" s="55">
        <f t="shared" si="0"/>
        <v>2.2212981212482101E-2</v>
      </c>
      <c r="D16" s="55" t="str">
        <f t="shared" si="1"/>
        <v>May-12,1321.0</v>
      </c>
      <c r="E16" s="55" t="str">
        <f t="shared" si="2"/>
        <v>May-12,0.0222</v>
      </c>
      <c r="G16" s="23" t="s">
        <v>119</v>
      </c>
      <c r="H16" s="228">
        <v>1320.9733833573141</v>
      </c>
      <c r="I16" s="34">
        <f t="shared" si="12"/>
        <v>2.2212981212482101E-2</v>
      </c>
      <c r="J16" s="34">
        <f t="shared" si="3"/>
        <v>2.2461526377751673E-2</v>
      </c>
      <c r="K16" s="34">
        <f t="shared" si="4"/>
        <v>2.2212981212482101E-2</v>
      </c>
      <c r="N16" s="165">
        <v>54</v>
      </c>
      <c r="O16" s="163">
        <f ca="1">OFFSET(Index_CALCULATION!$P$15,0,main_chart!$P$4-N16)</f>
        <v>40632</v>
      </c>
      <c r="P16" s="97">
        <f ca="1">OFFSET(Index_CALCULATION!$P$15,26,main_chart!$P$4-N16)</f>
        <v>2503.5998432905103</v>
      </c>
      <c r="Q16" s="34">
        <f t="shared" ca="1" si="7"/>
        <v>3.0000000000000551E-3</v>
      </c>
      <c r="R16" s="165"/>
      <c r="S16" s="163">
        <f t="shared" ca="1" si="8"/>
        <v>40632</v>
      </c>
      <c r="T16" s="118">
        <f t="shared" ca="1" si="9"/>
        <v>2503.5998432905103</v>
      </c>
      <c r="U16" s="34">
        <f t="shared" ca="1" si="10"/>
        <v>3.0000000000000551E-3</v>
      </c>
      <c r="V16" s="96">
        <f t="shared" ca="1" si="11"/>
        <v>1.0033070118617149E-2</v>
      </c>
    </row>
    <row r="17" spans="1:22" x14ac:dyDescent="0.3">
      <c r="A17" t="s">
        <v>187</v>
      </c>
      <c r="B17" s="132">
        <v>1358.9727609702948</v>
      </c>
      <c r="C17" s="55">
        <f t="shared" si="0"/>
        <v>2.8360215053763543E-2</v>
      </c>
      <c r="D17" s="55" t="str">
        <f t="shared" si="1"/>
        <v>Jun-12,1359.0</v>
      </c>
      <c r="E17" s="55" t="str">
        <f t="shared" si="2"/>
        <v>Jun-12,0.0284</v>
      </c>
      <c r="G17" s="23" t="s">
        <v>187</v>
      </c>
      <c r="H17" s="228">
        <v>1358.9727609702948</v>
      </c>
      <c r="I17" s="34">
        <f t="shared" si="12"/>
        <v>2.8360215053763543E-2</v>
      </c>
      <c r="J17" s="34">
        <f t="shared" si="3"/>
        <v>2.8766194755872831E-2</v>
      </c>
      <c r="K17" s="34">
        <f t="shared" si="4"/>
        <v>2.8360215053763543E-2</v>
      </c>
      <c r="N17" s="165">
        <v>53</v>
      </c>
      <c r="O17" s="163">
        <f ca="1">OFFSET(Index_CALCULATION!$P$15,0,main_chart!$P$4-N17)</f>
        <v>40662</v>
      </c>
      <c r="P17" s="97">
        <f ca="1">OFFSET(Index_CALCULATION!$P$15,26,main_chart!$P$4-N17)</f>
        <v>2510.461185678937</v>
      </c>
      <c r="Q17" s="34">
        <f t="shared" ca="1" si="7"/>
        <v>2.7368421052631768E-3</v>
      </c>
      <c r="R17" s="165"/>
      <c r="S17" s="163">
        <f t="shared" ca="1" si="8"/>
        <v>40662</v>
      </c>
      <c r="T17" s="118">
        <f t="shared" ca="1" si="9"/>
        <v>2510.461185678937</v>
      </c>
      <c r="U17" s="34">
        <f t="shared" ca="1" si="10"/>
        <v>2.7368421052631768E-3</v>
      </c>
      <c r="V17" s="96">
        <f t="shared" ca="1" si="11"/>
        <v>1.0033070118617149E-2</v>
      </c>
    </row>
    <row r="18" spans="1:22" x14ac:dyDescent="0.3">
      <c r="A18" t="s">
        <v>189</v>
      </c>
      <c r="B18" s="132">
        <v>1388.7548449125165</v>
      </c>
      <c r="C18" s="55">
        <f t="shared" si="0"/>
        <v>2.1678459119496805E-2</v>
      </c>
      <c r="D18" s="55" t="str">
        <f t="shared" si="1"/>
        <v>Jul-12,1388.8</v>
      </c>
      <c r="E18" s="55" t="str">
        <f t="shared" si="2"/>
        <v>Jul-12,0.0217</v>
      </c>
      <c r="G18" s="23" t="s">
        <v>189</v>
      </c>
      <c r="H18" s="228">
        <v>1388.7548449125165</v>
      </c>
      <c r="I18" s="34">
        <f t="shared" si="12"/>
        <v>2.1678459119496805E-2</v>
      </c>
      <c r="J18" s="34">
        <f t="shared" si="3"/>
        <v>2.1915144142372389E-2</v>
      </c>
      <c r="K18" s="34">
        <f t="shared" si="4"/>
        <v>2.1678459119496805E-2</v>
      </c>
      <c r="N18" s="165">
        <v>52</v>
      </c>
      <c r="O18" s="163">
        <f ca="1">OFFSET(Index_CALCULATION!$P$15,0,main_chart!$P$4-N18)</f>
        <v>40693</v>
      </c>
      <c r="P18" s="97">
        <f ca="1">OFFSET(Index_CALCULATION!$P$15,26,main_chart!$P$4-N18)</f>
        <v>2515.8552793266954</v>
      </c>
      <c r="Q18" s="34">
        <f t="shared" ca="1" si="7"/>
        <v>2.1463414634145775E-3</v>
      </c>
      <c r="R18" s="165"/>
      <c r="S18" s="163">
        <f t="shared" ca="1" si="8"/>
        <v>40693</v>
      </c>
      <c r="T18" s="118">
        <f t="shared" ca="1" si="9"/>
        <v>2515.8552793266954</v>
      </c>
      <c r="U18" s="34">
        <f t="shared" ca="1" si="10"/>
        <v>2.1463414634145775E-3</v>
      </c>
      <c r="V18" s="96">
        <f t="shared" ca="1" si="11"/>
        <v>1.0033070118617149E-2</v>
      </c>
    </row>
    <row r="19" spans="1:22" x14ac:dyDescent="0.3">
      <c r="A19" t="s">
        <v>191</v>
      </c>
      <c r="B19" s="132">
        <v>1414.8695815673807</v>
      </c>
      <c r="C19" s="55">
        <f t="shared" si="0"/>
        <v>1.8629807692307765E-2</v>
      </c>
      <c r="D19" s="55" t="str">
        <f t="shared" si="1"/>
        <v>Aug-12,1414.9</v>
      </c>
      <c r="E19" s="55" t="str">
        <f t="shared" si="2"/>
        <v>Aug-12,0.0186</v>
      </c>
      <c r="G19" s="23" t="s">
        <v>191</v>
      </c>
      <c r="H19" s="228">
        <v>1414.8695815673807</v>
      </c>
      <c r="I19" s="34">
        <f t="shared" si="12"/>
        <v>1.8629807692307765E-2</v>
      </c>
      <c r="J19" s="34">
        <f t="shared" si="3"/>
        <v>1.8804425237853417E-2</v>
      </c>
      <c r="K19" s="34">
        <f t="shared" si="4"/>
        <v>1.8629807692307765E-2</v>
      </c>
      <c r="N19" s="165">
        <v>51</v>
      </c>
      <c r="O19" s="163">
        <f ca="1">OFFSET(Index_CALCULATION!$P$15,0,main_chart!$P$4-N19)</f>
        <v>40723</v>
      </c>
      <c r="P19" s="97">
        <f ca="1">OFFSET(Index_CALCULATION!$P$15,26,main_chart!$P$4-N19)</f>
        <v>2532.6013178400613</v>
      </c>
      <c r="Q19" s="34">
        <f t="shared" ca="1" si="7"/>
        <v>6.6341463414633095E-3</v>
      </c>
      <c r="R19" s="165"/>
      <c r="S19" s="163">
        <f t="shared" ca="1" si="8"/>
        <v>40723</v>
      </c>
      <c r="T19" s="118">
        <f t="shared" ca="1" si="9"/>
        <v>2532.6013178400613</v>
      </c>
      <c r="U19" s="34">
        <f t="shared" ca="1" si="10"/>
        <v>6.6341463414633095E-3</v>
      </c>
      <c r="V19" s="96">
        <f t="shared" ca="1" si="11"/>
        <v>1.0033070118617149E-2</v>
      </c>
    </row>
    <row r="20" spans="1:22" x14ac:dyDescent="0.3">
      <c r="A20" t="s">
        <v>192</v>
      </c>
      <c r="B20" s="132">
        <v>1453.2188864900245</v>
      </c>
      <c r="C20" s="55">
        <f t="shared" si="0"/>
        <v>2.6743659420289955E-2</v>
      </c>
      <c r="D20" s="55" t="str">
        <f t="shared" si="1"/>
        <v>Sep-12,1453.2</v>
      </c>
      <c r="E20" s="55" t="str">
        <f t="shared" si="2"/>
        <v>Sep-12,0.0267</v>
      </c>
      <c r="G20" s="23" t="s">
        <v>192</v>
      </c>
      <c r="H20" s="228">
        <v>1453.2188864900245</v>
      </c>
      <c r="I20" s="34">
        <f t="shared" si="12"/>
        <v>2.6743659420289955E-2</v>
      </c>
      <c r="J20" s="34">
        <f t="shared" si="3"/>
        <v>2.7104480456891844E-2</v>
      </c>
      <c r="K20" s="34">
        <f t="shared" si="4"/>
        <v>2.6743659420289955E-2</v>
      </c>
      <c r="N20" s="165">
        <v>50</v>
      </c>
      <c r="O20" s="163">
        <f ca="1">OFFSET(Index_CALCULATION!$P$15,0,main_chart!$P$4-N20)</f>
        <v>40754</v>
      </c>
      <c r="P20" s="97">
        <f ca="1">OFFSET(Index_CALCULATION!$P$15,26,main_chart!$P$4-N20)</f>
        <v>2543.5768210370493</v>
      </c>
      <c r="Q20" s="34">
        <f t="shared" ca="1" si="7"/>
        <v>4.3243243243243435E-3</v>
      </c>
      <c r="R20" s="165"/>
      <c r="S20" s="163">
        <f t="shared" ca="1" si="8"/>
        <v>40754</v>
      </c>
      <c r="T20" s="118">
        <f t="shared" ca="1" si="9"/>
        <v>2543.5768210370493</v>
      </c>
      <c r="U20" s="34">
        <f t="shared" ca="1" si="10"/>
        <v>4.3243243243243435E-3</v>
      </c>
      <c r="V20" s="96">
        <f t="shared" ca="1" si="11"/>
        <v>1.0033070118617149E-2</v>
      </c>
    </row>
    <row r="21" spans="1:22" x14ac:dyDescent="0.3">
      <c r="A21" t="s">
        <v>193</v>
      </c>
      <c r="B21" s="132">
        <v>1497.7879970747615</v>
      </c>
      <c r="C21" s="55">
        <f t="shared" si="0"/>
        <v>3.0208333333333372E-2</v>
      </c>
      <c r="D21" s="55" t="str">
        <f t="shared" si="1"/>
        <v>Oct-12,1497.8</v>
      </c>
      <c r="E21" s="55" t="str">
        <f t="shared" si="2"/>
        <v>Oct-12,0.0302</v>
      </c>
      <c r="G21" s="23" t="s">
        <v>193</v>
      </c>
      <c r="H21" s="228">
        <v>1497.7879970747615</v>
      </c>
      <c r="I21" s="34">
        <f t="shared" si="12"/>
        <v>3.0208333333333372E-2</v>
      </c>
      <c r="J21" s="34">
        <f t="shared" si="3"/>
        <v>3.0669234345271468E-2</v>
      </c>
      <c r="K21" s="34">
        <f t="shared" si="4"/>
        <v>3.0208333333333372E-2</v>
      </c>
      <c r="N21" s="165">
        <v>49</v>
      </c>
      <c r="O21" s="163">
        <f ca="1">OFFSET(Index_CALCULATION!$P$15,0,main_chart!$P$4-N21)</f>
        <v>40785</v>
      </c>
      <c r="P21" s="97">
        <f ca="1">OFFSET(Index_CALCULATION!$P$15,26,main_chart!$P$4-N21)</f>
        <v>2552.5700119951453</v>
      </c>
      <c r="Q21" s="34">
        <f t="shared" ca="1" si="7"/>
        <v>3.5294117647059883E-3</v>
      </c>
      <c r="R21" s="165"/>
      <c r="S21" s="163">
        <f t="shared" ref="S21:S27" ca="1" si="13">O21</f>
        <v>40785</v>
      </c>
      <c r="T21" s="118">
        <f t="shared" ref="T21:T27" ca="1" si="14">P21</f>
        <v>2552.5700119951453</v>
      </c>
      <c r="U21" s="34">
        <f t="shared" ref="U21:U27" ca="1" si="15">Q21</f>
        <v>3.5294117647059883E-3</v>
      </c>
      <c r="V21" s="96">
        <f t="shared" ca="1" si="11"/>
        <v>1.0033070118617149E-2</v>
      </c>
    </row>
    <row r="22" spans="1:22" x14ac:dyDescent="0.3">
      <c r="A22" t="s">
        <v>194</v>
      </c>
      <c r="B22" s="132">
        <v>1524.6468181743567</v>
      </c>
      <c r="C22" s="55">
        <f t="shared" si="0"/>
        <v>1.7773437500000024E-2</v>
      </c>
      <c r="D22" s="55" t="str">
        <f t="shared" si="1"/>
        <v>Nov-12,1524.6</v>
      </c>
      <c r="E22" s="55" t="str">
        <f t="shared" si="2"/>
        <v>Nov-12,0.0178</v>
      </c>
      <c r="G22" s="23" t="s">
        <v>194</v>
      </c>
      <c r="H22" s="228">
        <v>1524.6468181743567</v>
      </c>
      <c r="I22" s="34">
        <f t="shared" si="12"/>
        <v>1.7773437500000024E-2</v>
      </c>
      <c r="J22" s="34">
        <f t="shared" si="3"/>
        <v>1.7932324969923252E-2</v>
      </c>
      <c r="K22" s="34">
        <f t="shared" si="4"/>
        <v>1.7773437500000024E-2</v>
      </c>
      <c r="N22" s="165">
        <v>48</v>
      </c>
      <c r="O22" s="163">
        <f ca="1">OFFSET(Index_CALCULATION!$P$15,0,main_chart!$P$4-N22)</f>
        <v>40815</v>
      </c>
      <c r="P22" s="97">
        <f ca="1">OFFSET(Index_CALCULATION!$P$15,26,main_chart!$P$4-N22)</f>
        <v>2555.4077771416037</v>
      </c>
      <c r="Q22" s="34">
        <f t="shared" ca="1" si="7"/>
        <v>1.1111111111111519E-3</v>
      </c>
      <c r="R22" s="165"/>
      <c r="S22" s="163">
        <f t="shared" ca="1" si="13"/>
        <v>40815</v>
      </c>
      <c r="T22" s="118">
        <f t="shared" ca="1" si="14"/>
        <v>2555.4077771416037</v>
      </c>
      <c r="U22" s="34">
        <f t="shared" ca="1" si="15"/>
        <v>1.1111111111111519E-3</v>
      </c>
      <c r="V22" s="96">
        <f t="shared" ca="1" si="11"/>
        <v>1.0033070118617149E-2</v>
      </c>
    </row>
    <row r="23" spans="1:22" x14ac:dyDescent="0.3">
      <c r="A23" t="s">
        <v>195</v>
      </c>
      <c r="B23" s="132">
        <v>1565.4806060155393</v>
      </c>
      <c r="C23" s="55">
        <f t="shared" si="0"/>
        <v>2.6430084745762691E-2</v>
      </c>
      <c r="D23" s="55" t="str">
        <f t="shared" si="1"/>
        <v>Dec-12,1565.5</v>
      </c>
      <c r="E23" s="55" t="str">
        <f t="shared" si="2"/>
        <v>Dec-12,0.0264</v>
      </c>
      <c r="G23" s="23" t="s">
        <v>195</v>
      </c>
      <c r="H23" s="228">
        <v>1565.4806060155393</v>
      </c>
      <c r="I23" s="34">
        <f t="shared" si="12"/>
        <v>2.6430084745762691E-2</v>
      </c>
      <c r="J23" s="34">
        <f t="shared" si="3"/>
        <v>2.6782456995566806E-2</v>
      </c>
      <c r="K23" s="34">
        <f t="shared" si="4"/>
        <v>2.6430084745762691E-2</v>
      </c>
      <c r="N23" s="165">
        <v>47</v>
      </c>
      <c r="O23" s="163">
        <f ca="1">OFFSET(Index_CALCULATION!$P$15,0,main_chart!$P$4-N23)</f>
        <v>40846</v>
      </c>
      <c r="P23" s="97">
        <f ca="1">OFFSET(Index_CALCULATION!$P$15,26,main_chart!$P$4-N23)</f>
        <v>2562.4111038705155</v>
      </c>
      <c r="Q23" s="34">
        <f t="shared" ca="1" si="7"/>
        <v>2.7368421052631768E-3</v>
      </c>
      <c r="R23" s="165"/>
      <c r="S23" s="163">
        <f t="shared" ca="1" si="13"/>
        <v>40846</v>
      </c>
      <c r="T23" s="118">
        <f t="shared" ca="1" si="14"/>
        <v>2562.4111038705155</v>
      </c>
      <c r="U23" s="34">
        <f t="shared" ca="1" si="15"/>
        <v>2.7368421052631768E-3</v>
      </c>
      <c r="V23" s="96">
        <f t="shared" ca="1" si="11"/>
        <v>1.0033070118617149E-2</v>
      </c>
    </row>
    <row r="24" spans="1:22" x14ac:dyDescent="0.3">
      <c r="A24" t="s">
        <v>196</v>
      </c>
      <c r="B24" s="132">
        <v>1599.1570667306562</v>
      </c>
      <c r="C24" s="55">
        <f t="shared" si="0"/>
        <v>2.1283783783783788E-2</v>
      </c>
      <c r="D24" s="55" t="str">
        <f t="shared" si="1"/>
        <v>Jan-13,1599.2</v>
      </c>
      <c r="E24" s="55" t="str">
        <f t="shared" si="2"/>
        <v>Jan-13,0.0213</v>
      </c>
      <c r="G24" s="23" t="s">
        <v>196</v>
      </c>
      <c r="H24" s="228">
        <v>1599.1570667306562</v>
      </c>
      <c r="I24" s="34">
        <f t="shared" si="12"/>
        <v>2.1283783783783788E-2</v>
      </c>
      <c r="J24" s="34">
        <f t="shared" si="3"/>
        <v>2.1511899020474123E-2</v>
      </c>
      <c r="K24" s="34">
        <f t="shared" si="4"/>
        <v>2.1283783783783788E-2</v>
      </c>
      <c r="L24" s="118">
        <f t="shared" ref="L24:M27" si="16">H24</f>
        <v>1599.1570667306562</v>
      </c>
      <c r="M24" s="119">
        <f t="shared" si="16"/>
        <v>2.1283783783783788E-2</v>
      </c>
      <c r="N24" s="165">
        <v>46</v>
      </c>
      <c r="O24" s="163">
        <f ca="1">OFFSET(Index_CALCULATION!$P$15,0,main_chart!$P$4-N24)</f>
        <v>40876</v>
      </c>
      <c r="P24" s="97">
        <f ca="1">OFFSET(Index_CALCULATION!$P$15,26,main_chart!$P$4-N24)</f>
        <v>2575.3506245691565</v>
      </c>
      <c r="Q24" s="34">
        <f t="shared" ca="1" si="7"/>
        <v>5.0370370370371202E-3</v>
      </c>
      <c r="R24" s="165"/>
      <c r="S24" s="163">
        <f t="shared" ca="1" si="13"/>
        <v>40876</v>
      </c>
      <c r="T24" s="118">
        <f t="shared" ca="1" si="14"/>
        <v>2575.3506245691565</v>
      </c>
      <c r="U24" s="34">
        <f t="shared" ca="1" si="15"/>
        <v>5.0370370370371202E-3</v>
      </c>
      <c r="V24" s="96">
        <f t="shared" ca="1" si="11"/>
        <v>1.0033070118617149E-2</v>
      </c>
    </row>
    <row r="25" spans="1:22" x14ac:dyDescent="0.3">
      <c r="A25" t="s">
        <v>197</v>
      </c>
      <c r="B25" s="132">
        <v>1648.0539895661518</v>
      </c>
      <c r="C25" s="55">
        <f t="shared" si="0"/>
        <v>3.0118534482758551E-2</v>
      </c>
      <c r="D25" s="55" t="str">
        <f t="shared" si="1"/>
        <v>Feb-13,1648.1</v>
      </c>
      <c r="E25" s="55" t="str">
        <f t="shared" si="2"/>
        <v>Feb-13,0.0301</v>
      </c>
      <c r="G25" s="23" t="s">
        <v>197</v>
      </c>
      <c r="H25" s="228">
        <v>1648.0539895661518</v>
      </c>
      <c r="I25" s="34">
        <f t="shared" si="12"/>
        <v>3.0118534482758551E-2</v>
      </c>
      <c r="J25" s="34">
        <f t="shared" si="3"/>
        <v>3.057668558815263E-2</v>
      </c>
      <c r="K25" s="34">
        <f t="shared" si="4"/>
        <v>3.0118534482758551E-2</v>
      </c>
      <c r="L25" s="118">
        <f t="shared" si="16"/>
        <v>1648.0539895661518</v>
      </c>
      <c r="M25" s="119">
        <f t="shared" si="16"/>
        <v>3.0118534482758551E-2</v>
      </c>
      <c r="N25" s="165">
        <v>45</v>
      </c>
      <c r="O25" s="163">
        <f ca="1">OFFSET(Index_CALCULATION!$P$15,0,main_chart!$P$4-N25)</f>
        <v>40907</v>
      </c>
      <c r="P25" s="97">
        <f ca="1">OFFSET(Index_CALCULATION!$P$15,26,main_chart!$P$4-N25)</f>
        <v>2580.1624353612174</v>
      </c>
      <c r="Q25" s="34">
        <f t="shared" ca="1" si="7"/>
        <v>1.8666666666666016E-3</v>
      </c>
      <c r="R25" s="165"/>
      <c r="S25" s="163">
        <f t="shared" ca="1" si="13"/>
        <v>40907</v>
      </c>
      <c r="T25" s="118">
        <f t="shared" ca="1" si="14"/>
        <v>2580.1624353612174</v>
      </c>
      <c r="U25" s="34">
        <f t="shared" ca="1" si="15"/>
        <v>1.8666666666666016E-3</v>
      </c>
      <c r="V25" s="96">
        <f t="shared" ca="1" si="11"/>
        <v>1.0033070118617149E-2</v>
      </c>
    </row>
    <row r="26" spans="1:22" x14ac:dyDescent="0.3">
      <c r="A26" t="s">
        <v>198</v>
      </c>
      <c r="B26" s="132">
        <v>1687.9621269591769</v>
      </c>
      <c r="C26" s="55">
        <f t="shared" si="0"/>
        <v>2.392676767676765E-2</v>
      </c>
      <c r="D26" s="55" t="str">
        <f t="shared" si="1"/>
        <v>Mar-13,1688.0</v>
      </c>
      <c r="E26" s="55" t="str">
        <f t="shared" si="2"/>
        <v>Mar-13,0.0239</v>
      </c>
      <c r="G26" s="23" t="s">
        <v>198</v>
      </c>
      <c r="H26" s="228">
        <v>1687.9621269591769</v>
      </c>
      <c r="I26" s="34">
        <f t="shared" si="12"/>
        <v>2.392676767676765E-2</v>
      </c>
      <c r="J26" s="34">
        <f t="shared" si="3"/>
        <v>2.4215309477531699E-2</v>
      </c>
      <c r="K26" s="34">
        <f t="shared" si="4"/>
        <v>2.392676767676765E-2</v>
      </c>
      <c r="L26" s="118">
        <f t="shared" si="16"/>
        <v>1687.9621269591769</v>
      </c>
      <c r="M26" s="119">
        <f t="shared" si="16"/>
        <v>2.392676767676765E-2</v>
      </c>
      <c r="N26" s="165">
        <v>44</v>
      </c>
      <c r="O26" s="163">
        <f ca="1">OFFSET(Index_CALCULATION!$P$15,0,main_chart!$P$4-N26)</f>
        <v>40938</v>
      </c>
      <c r="P26" s="97">
        <f ca="1">OFFSET(Index_CALCULATION!$P$15,26,main_chart!$P$4-N26)</f>
        <v>2585.6320981173453</v>
      </c>
      <c r="Q26" s="34">
        <f t="shared" ca="1" si="7"/>
        <v>2.1176470588236069E-3</v>
      </c>
      <c r="R26" s="165"/>
      <c r="S26" s="163">
        <f t="shared" ca="1" si="13"/>
        <v>40938</v>
      </c>
      <c r="T26" s="118">
        <f t="shared" ca="1" si="14"/>
        <v>2585.6320981173453</v>
      </c>
      <c r="U26" s="34">
        <f t="shared" ca="1" si="15"/>
        <v>2.1176470588236069E-3</v>
      </c>
      <c r="V26" s="96">
        <f t="shared" ca="1" si="11"/>
        <v>1.0033070118617149E-2</v>
      </c>
    </row>
    <row r="27" spans="1:22" x14ac:dyDescent="0.3">
      <c r="A27" t="s">
        <v>200</v>
      </c>
      <c r="B27" s="132">
        <v>1718.4333644783312</v>
      </c>
      <c r="C27" s="55">
        <f t="shared" si="0"/>
        <v>1.7891081871344978E-2</v>
      </c>
      <c r="D27" s="55" t="str">
        <f t="shared" si="1"/>
        <v>Apr-13,1718.4</v>
      </c>
      <c r="E27" s="55" t="str">
        <f t="shared" si="2"/>
        <v>Apr-13,0.0179</v>
      </c>
      <c r="G27" s="23" t="s">
        <v>200</v>
      </c>
      <c r="H27" s="228">
        <v>1718.4333644783312</v>
      </c>
      <c r="I27" s="34">
        <f t="shared" si="12"/>
        <v>1.7891081871344978E-2</v>
      </c>
      <c r="J27" s="34">
        <f t="shared" si="3"/>
        <v>1.8052086022834812E-2</v>
      </c>
      <c r="K27" s="34">
        <f t="shared" si="4"/>
        <v>1.7891081871344978E-2</v>
      </c>
      <c r="L27" s="118">
        <f t="shared" si="16"/>
        <v>1718.4333644783312</v>
      </c>
      <c r="M27" s="119">
        <f t="shared" si="16"/>
        <v>1.7891081871344978E-2</v>
      </c>
      <c r="N27" s="165">
        <v>43</v>
      </c>
      <c r="O27" s="163">
        <f ca="1">OFFSET(Index_CALCULATION!$P$15,0,main_chart!$P$4-N27)</f>
        <v>40967</v>
      </c>
      <c r="P27" s="97">
        <f ca="1">OFFSET(Index_CALCULATION!$P$15,26,main_chart!$P$4-N27)</f>
        <v>2591.789028446618</v>
      </c>
      <c r="Q27" s="34">
        <f t="shared" ca="1" si="7"/>
        <v>2.3783783783783343E-3</v>
      </c>
      <c r="R27" s="165"/>
      <c r="S27" s="163">
        <f t="shared" ca="1" si="13"/>
        <v>40967</v>
      </c>
      <c r="T27" s="118">
        <f t="shared" ca="1" si="14"/>
        <v>2591.789028446618</v>
      </c>
      <c r="U27" s="34">
        <f t="shared" ca="1" si="15"/>
        <v>2.3783783783783343E-3</v>
      </c>
      <c r="V27" s="96">
        <f t="shared" ca="1" si="11"/>
        <v>1.0033070118617149E-2</v>
      </c>
    </row>
    <row r="28" spans="1:22" x14ac:dyDescent="0.3">
      <c r="A28" t="s">
        <v>205</v>
      </c>
      <c r="B28" s="132">
        <v>1746.2741650195942</v>
      </c>
      <c r="C28" s="55">
        <f t="shared" si="0"/>
        <v>1.60714285714285E-2</v>
      </c>
      <c r="D28" s="55" t="str">
        <f t="shared" si="1"/>
        <v>May-13,1746.3</v>
      </c>
      <c r="E28" s="55" t="str">
        <f t="shared" si="2"/>
        <v>May-13,0.0161</v>
      </c>
      <c r="G28" s="23" t="s">
        <v>205</v>
      </c>
      <c r="H28" s="98">
        <f>Index_CALCULATION!C48</f>
        <v>0</v>
      </c>
      <c r="I28" s="55" t="e">
        <f t="shared" si="12"/>
        <v>#NUM!</v>
      </c>
      <c r="J28" s="34">
        <f t="shared" si="3"/>
        <v>-1</v>
      </c>
      <c r="K28" s="34" t="e">
        <f t="shared" si="4"/>
        <v>#NUM!</v>
      </c>
      <c r="L28" s="118">
        <f>H28</f>
        <v>0</v>
      </c>
      <c r="M28" s="119" t="e">
        <f>I28</f>
        <v>#NUM!</v>
      </c>
      <c r="N28" s="165">
        <v>42</v>
      </c>
      <c r="O28" s="163">
        <f ca="1">OFFSET(Index_CALCULATION!$P$15,0,main_chart!$P$4-N28)</f>
        <v>40998</v>
      </c>
      <c r="P28" s="97">
        <f ca="1">OFFSET(Index_CALCULATION!$P$15,26,main_chart!$P$4-N28)</f>
        <v>2597.4500142475131</v>
      </c>
      <c r="Q28" s="34">
        <f t="shared" ca="1" si="7"/>
        <v>2.1818181818180995E-3</v>
      </c>
      <c r="R28" s="165"/>
      <c r="S28" s="163">
        <f t="shared" ref="S28:S57" ca="1" si="17">O28</f>
        <v>40998</v>
      </c>
      <c r="T28" s="118">
        <f t="shared" ref="T28:T57" ca="1" si="18">P28</f>
        <v>2597.4500142475131</v>
      </c>
      <c r="U28" s="34">
        <f t="shared" ref="U28:U57" ca="1" si="19">Q28</f>
        <v>2.1818181818180995E-3</v>
      </c>
      <c r="V28" s="96">
        <f t="shared" ca="1" si="11"/>
        <v>1.0033070118617149E-2</v>
      </c>
    </row>
    <row r="29" spans="1:22" x14ac:dyDescent="0.3">
      <c r="A29" t="s">
        <v>208</v>
      </c>
      <c r="B29" s="132">
        <v>1774.0047683103246</v>
      </c>
      <c r="C29" s="55">
        <f t="shared" si="0"/>
        <v>1.5755102040816257E-2</v>
      </c>
      <c r="D29" s="55" t="str">
        <f t="shared" si="1"/>
        <v>Jun-13,1774.0</v>
      </c>
      <c r="E29" s="55" t="str">
        <f t="shared" si="2"/>
        <v>Jun-13,0.0158</v>
      </c>
      <c r="G29" s="23"/>
      <c r="H29" s="56"/>
      <c r="I29" s="55"/>
      <c r="J29" s="34"/>
      <c r="K29" s="34"/>
      <c r="N29" s="165">
        <v>41</v>
      </c>
      <c r="O29" s="163">
        <f ca="1">OFFSET(Index_CALCULATION!$P$15,0,main_chart!$P$4-N29)</f>
        <v>41028</v>
      </c>
      <c r="P29" s="97">
        <f ca="1">OFFSET(Index_CALCULATION!$P$15,26,main_chart!$P$4-N29)</f>
        <v>2606.9666512575968</v>
      </c>
      <c r="Q29" s="34">
        <f t="shared" ca="1" si="7"/>
        <v>3.6571428571428215E-3</v>
      </c>
      <c r="R29" s="165"/>
      <c r="S29" s="163">
        <f t="shared" ca="1" si="17"/>
        <v>41028</v>
      </c>
      <c r="T29" s="118">
        <f t="shared" ca="1" si="18"/>
        <v>2606.9666512575968</v>
      </c>
      <c r="U29" s="34">
        <f t="shared" ca="1" si="19"/>
        <v>3.6571428571428215E-3</v>
      </c>
      <c r="V29" s="96">
        <f t="shared" ca="1" si="11"/>
        <v>1.0033070118617149E-2</v>
      </c>
    </row>
    <row r="30" spans="1:22" x14ac:dyDescent="0.3">
      <c r="A30" t="s">
        <v>213</v>
      </c>
      <c r="B30" s="132">
        <v>1800.249535371677</v>
      </c>
      <c r="C30" s="55">
        <f t="shared" si="0"/>
        <v>1.4685714285714295E-2</v>
      </c>
      <c r="D30" s="55" t="str">
        <f t="shared" si="1"/>
        <v>Jul-13,1800.2</v>
      </c>
      <c r="E30" s="55" t="str">
        <f t="shared" si="2"/>
        <v>Jul-13,0.0147</v>
      </c>
      <c r="G30" s="23"/>
      <c r="H30" s="56"/>
      <c r="I30" s="55"/>
      <c r="J30" s="34"/>
      <c r="K30" s="34"/>
      <c r="N30" s="165">
        <v>40</v>
      </c>
      <c r="O30" s="163">
        <f ca="1">OFFSET(Index_CALCULATION!$P$15,0,main_chart!$P$4-N30)</f>
        <v>41059</v>
      </c>
      <c r="P30" s="97">
        <f ca="1">OFFSET(Index_CALCULATION!$P$15,26,main_chart!$P$4-N30)</f>
        <v>2612.354335523873</v>
      </c>
      <c r="Q30" s="34">
        <f t="shared" ca="1" si="7"/>
        <v>2.0645161290323405E-3</v>
      </c>
      <c r="R30" s="165"/>
      <c r="S30" s="163">
        <f t="shared" ca="1" si="17"/>
        <v>41059</v>
      </c>
      <c r="T30" s="118">
        <f t="shared" ca="1" si="18"/>
        <v>2612.354335523873</v>
      </c>
      <c r="U30" s="34">
        <f t="shared" ca="1" si="19"/>
        <v>2.0645161290323405E-3</v>
      </c>
      <c r="V30" s="96">
        <f t="shared" ca="1" si="11"/>
        <v>1.0033070118617149E-2</v>
      </c>
    </row>
    <row r="31" spans="1:22" x14ac:dyDescent="0.3">
      <c r="A31" t="s">
        <v>215</v>
      </c>
      <c r="B31" s="132">
        <v>1834.8159082243142</v>
      </c>
      <c r="C31" s="55">
        <f t="shared" si="0"/>
        <v>1.901886792452822E-2</v>
      </c>
      <c r="D31" s="55" t="str">
        <f t="shared" si="1"/>
        <v>Aug-13,1834.8</v>
      </c>
      <c r="E31" s="55" t="str">
        <f t="shared" si="2"/>
        <v>Aug-13,0.0190</v>
      </c>
      <c r="G31" s="23"/>
      <c r="H31" s="56"/>
      <c r="I31" s="55"/>
      <c r="J31" s="34"/>
      <c r="K31" s="34"/>
      <c r="N31" s="165">
        <v>39</v>
      </c>
      <c r="O31" s="163">
        <f ca="1">OFFSET(Index_CALCULATION!$P$15,0,main_chart!$P$4-N31)</f>
        <v>41089</v>
      </c>
      <c r="P31" s="97">
        <f ca="1">OFFSET(Index_CALCULATION!$P$15,26,main_chart!$P$4-N31)</f>
        <v>2625.3582849659269</v>
      </c>
      <c r="Q31" s="34">
        <f t="shared" ca="1" si="7"/>
        <v>4.9655172413793367E-3</v>
      </c>
      <c r="R31" s="165"/>
      <c r="S31" s="163">
        <f t="shared" ca="1" si="17"/>
        <v>41089</v>
      </c>
      <c r="T31" s="118">
        <f t="shared" ca="1" si="18"/>
        <v>2625.3582849659269</v>
      </c>
      <c r="U31" s="34">
        <f t="shared" ca="1" si="19"/>
        <v>4.9655172413793367E-3</v>
      </c>
      <c r="V31" s="96">
        <f t="shared" ca="1" si="11"/>
        <v>1.0033070118617149E-2</v>
      </c>
    </row>
    <row r="32" spans="1:22" x14ac:dyDescent="0.3">
      <c r="A32" t="s">
        <v>216</v>
      </c>
      <c r="B32" s="132">
        <v>1863.7877106606745</v>
      </c>
      <c r="C32" s="55">
        <f t="shared" si="0"/>
        <v>1.5666666666666627E-2</v>
      </c>
      <c r="D32" s="55" t="str">
        <f t="shared" si="1"/>
        <v>Sep-13,1863.8</v>
      </c>
      <c r="E32" s="55" t="str">
        <f t="shared" si="2"/>
        <v>Sep-13,0.0157</v>
      </c>
      <c r="N32" s="165">
        <v>38</v>
      </c>
      <c r="O32" s="163">
        <f ca="1">OFFSET(Index_CALCULATION!$P$15,0,main_chart!$P$4-N32)</f>
        <v>41120</v>
      </c>
      <c r="P32" s="97">
        <f ca="1">OFFSET(Index_CALCULATION!$P$15,26,main_chart!$P$4-N32)</f>
        <v>2642.7976339607558</v>
      </c>
      <c r="Q32" s="34">
        <f t="shared" ca="1" si="7"/>
        <v>6.6206896551724674E-3</v>
      </c>
      <c r="R32" s="165"/>
      <c r="S32" s="163">
        <f t="shared" ca="1" si="17"/>
        <v>41120</v>
      </c>
      <c r="T32" s="118">
        <f t="shared" ca="1" si="18"/>
        <v>2642.7976339607558</v>
      </c>
      <c r="U32" s="34">
        <f t="shared" ca="1" si="19"/>
        <v>6.6206896551724674E-3</v>
      </c>
      <c r="V32" s="96">
        <f t="shared" ca="1" si="11"/>
        <v>1.0033070118617149E-2</v>
      </c>
    </row>
    <row r="33" spans="1:32" x14ac:dyDescent="0.3">
      <c r="A33" t="s">
        <v>217</v>
      </c>
      <c r="B33" s="132">
        <v>1897.8332894230011</v>
      </c>
      <c r="C33" s="55">
        <f t="shared" si="0"/>
        <v>1.8102040816326631E-2</v>
      </c>
      <c r="D33" s="55" t="str">
        <f t="shared" si="1"/>
        <v>Oct-13,1897.8</v>
      </c>
      <c r="E33" s="55" t="str">
        <f t="shared" si="2"/>
        <v>Oct-13,0.0181</v>
      </c>
      <c r="N33" s="165">
        <v>37</v>
      </c>
      <c r="O33" s="163">
        <f ca="1">OFFSET(Index_CALCULATION!$P$15,0,main_chart!$P$4-N33)</f>
        <v>41151</v>
      </c>
      <c r="P33" s="97">
        <f ca="1">OFFSET(Index_CALCULATION!$P$15,26,main_chart!$P$4-N33)</f>
        <v>2647.9280329994463</v>
      </c>
      <c r="Q33" s="34">
        <f t="shared" ca="1" si="7"/>
        <v>1.9393939393939253E-3</v>
      </c>
      <c r="R33" s="165"/>
      <c r="S33" s="163">
        <f t="shared" ca="1" si="17"/>
        <v>41151</v>
      </c>
      <c r="T33" s="118">
        <f t="shared" ca="1" si="18"/>
        <v>2647.9280329994463</v>
      </c>
      <c r="U33" s="34">
        <f t="shared" ca="1" si="19"/>
        <v>1.9393939393939253E-3</v>
      </c>
      <c r="V33" s="96">
        <f t="shared" ca="1" si="11"/>
        <v>1.0033070118617149E-2</v>
      </c>
    </row>
    <row r="34" spans="1:32" x14ac:dyDescent="0.3">
      <c r="A34" t="s">
        <v>218</v>
      </c>
      <c r="B34" s="132">
        <v>1922.9652909559802</v>
      </c>
      <c r="C34" s="55">
        <f t="shared" si="0"/>
        <v>1.3155555555555446E-2</v>
      </c>
      <c r="D34" s="55" t="str">
        <f t="shared" si="1"/>
        <v>Nov-13,1923.0</v>
      </c>
      <c r="E34" s="55" t="str">
        <f t="shared" si="2"/>
        <v>Nov-13,0.0132</v>
      </c>
      <c r="N34" s="165">
        <v>36</v>
      </c>
      <c r="O34" s="163">
        <f ca="1">OFFSET(Index_CALCULATION!$P$15,0,main_chart!$P$4-N34)</f>
        <v>41181</v>
      </c>
      <c r="P34" s="97">
        <f ca="1">OFFSET(Index_CALCULATION!$P$15,26,main_chart!$P$4-N34)</f>
        <v>2654.3550396368601</v>
      </c>
      <c r="Q34" s="34">
        <f t="shared" ca="1" si="7"/>
        <v>2.4242424242424242E-3</v>
      </c>
      <c r="R34" s="165"/>
      <c r="S34" s="163">
        <f t="shared" ca="1" si="17"/>
        <v>41181</v>
      </c>
      <c r="T34" s="118">
        <f t="shared" ca="1" si="18"/>
        <v>2654.3550396368601</v>
      </c>
      <c r="U34" s="34">
        <f t="shared" ca="1" si="19"/>
        <v>2.4242424242424242E-3</v>
      </c>
      <c r="V34" s="96">
        <f t="shared" ca="1" si="11"/>
        <v>1.0033070118617149E-2</v>
      </c>
    </row>
    <row r="35" spans="1:32" x14ac:dyDescent="0.3">
      <c r="N35" s="165">
        <v>35</v>
      </c>
      <c r="O35" s="163">
        <f ca="1">OFFSET(Index_CALCULATION!$P$15,0,main_chart!$P$4-N35)</f>
        <v>41212</v>
      </c>
      <c r="P35" s="97">
        <f ca="1">OFFSET(Index_CALCULATION!$P$15,26,main_chart!$P$4-N35)</f>
        <v>2673.6690423347254</v>
      </c>
      <c r="Q35" s="34">
        <f t="shared" ca="1" si="7"/>
        <v>7.2500000000000021E-3</v>
      </c>
      <c r="R35" s="165"/>
      <c r="S35" s="163">
        <f t="shared" ca="1" si="17"/>
        <v>41212</v>
      </c>
      <c r="T35" s="118">
        <f t="shared" ca="1" si="18"/>
        <v>2673.6690423347254</v>
      </c>
      <c r="U35" s="34">
        <f t="shared" ca="1" si="19"/>
        <v>7.2500000000000021E-3</v>
      </c>
      <c r="V35" s="96">
        <f t="shared" ca="1" si="11"/>
        <v>1.0033070118617149E-2</v>
      </c>
    </row>
    <row r="36" spans="1:32" x14ac:dyDescent="0.3">
      <c r="N36" s="165">
        <v>34</v>
      </c>
      <c r="O36" s="163">
        <f ca="1">OFFSET(Index_CALCULATION!$P$15,0,main_chart!$P$4-N36)</f>
        <v>41242</v>
      </c>
      <c r="P36" s="97">
        <f ca="1">OFFSET(Index_CALCULATION!$P$15,26,main_chart!$P$4-N36)</f>
        <v>2679.9674352849156</v>
      </c>
      <c r="Q36" s="34">
        <f t="shared" ca="1" si="7"/>
        <v>2.3529411764704948E-3</v>
      </c>
      <c r="R36" s="165"/>
      <c r="S36" s="163">
        <f t="shared" ca="1" si="17"/>
        <v>41242</v>
      </c>
      <c r="T36" s="118">
        <f t="shared" ca="1" si="18"/>
        <v>2679.9674352849156</v>
      </c>
      <c r="U36" s="34">
        <f t="shared" ca="1" si="19"/>
        <v>2.3529411764704948E-3</v>
      </c>
      <c r="V36" s="96">
        <f t="shared" ca="1" si="11"/>
        <v>1.0033070118617149E-2</v>
      </c>
    </row>
    <row r="37" spans="1:32" x14ac:dyDescent="0.3">
      <c r="N37" s="165">
        <v>33</v>
      </c>
      <c r="O37" s="163">
        <f ca="1">OFFSET(Index_CALCULATION!$P$15,0,main_chart!$P$4-N37)</f>
        <v>41273</v>
      </c>
      <c r="P37" s="97">
        <f ca="1">OFFSET(Index_CALCULATION!$P$15,26,main_chart!$P$4-N37)</f>
        <v>2679.9674352849156</v>
      </c>
      <c r="Q37" s="34">
        <f t="shared" ca="1" si="7"/>
        <v>0</v>
      </c>
      <c r="R37" s="165"/>
      <c r="S37" s="163">
        <f t="shared" ca="1" si="17"/>
        <v>41273</v>
      </c>
      <c r="T37" s="118">
        <f t="shared" ca="1" si="18"/>
        <v>2679.9674352849156</v>
      </c>
      <c r="U37" s="34">
        <f t="shared" ca="1" si="19"/>
        <v>0</v>
      </c>
      <c r="V37" s="96">
        <f t="shared" ca="1" si="11"/>
        <v>1.0033070118617149E-2</v>
      </c>
    </row>
    <row r="38" spans="1:32" x14ac:dyDescent="0.3">
      <c r="N38" s="165">
        <v>32</v>
      </c>
      <c r="O38" s="163">
        <f ca="1">OFFSET(Index_CALCULATION!$P$15,0,main_chart!$P$4-N38)</f>
        <v>41304</v>
      </c>
      <c r="P38" s="97">
        <f ca="1">OFFSET(Index_CALCULATION!$P$15,26,main_chart!$P$4-N38)</f>
        <v>2689.6674102611514</v>
      </c>
      <c r="Q38" s="34">
        <f t="shared" ca="1" si="7"/>
        <v>3.6129032258063625E-3</v>
      </c>
      <c r="R38" s="165"/>
      <c r="S38" s="163">
        <f t="shared" ca="1" si="17"/>
        <v>41304</v>
      </c>
      <c r="T38" s="118">
        <f t="shared" ca="1" si="18"/>
        <v>2689.6674102611514</v>
      </c>
      <c r="U38" s="34">
        <f t="shared" ca="1" si="19"/>
        <v>3.6129032258063625E-3</v>
      </c>
      <c r="V38" s="96">
        <f t="shared" ca="1" si="11"/>
        <v>1.0033070118617149E-2</v>
      </c>
    </row>
    <row r="39" spans="1:32" x14ac:dyDescent="0.3">
      <c r="N39" s="165">
        <v>31</v>
      </c>
      <c r="O39" s="163">
        <f ca="1">OFFSET(Index_CALCULATION!$P$15,0,main_chart!$P$4-N39)</f>
        <v>41332</v>
      </c>
      <c r="P39" s="97">
        <f ca="1">OFFSET(Index_CALCULATION!$P$15,26,main_chart!$P$4-N39)</f>
        <v>2688.973392096957</v>
      </c>
      <c r="Q39" s="34">
        <f t="shared" ca="1" si="7"/>
        <v>-2.580645161289831E-4</v>
      </c>
      <c r="R39" s="165"/>
      <c r="S39" s="163">
        <f t="shared" ca="1" si="17"/>
        <v>41332</v>
      </c>
      <c r="T39" s="118">
        <f t="shared" ca="1" si="18"/>
        <v>2688.973392096957</v>
      </c>
      <c r="U39" s="34">
        <f t="shared" ca="1" si="19"/>
        <v>-2.580645161289831E-4</v>
      </c>
      <c r="V39" s="96">
        <f t="shared" ca="1" si="11"/>
        <v>1.0033070118617149E-2</v>
      </c>
    </row>
    <row r="40" spans="1:32" x14ac:dyDescent="0.3">
      <c r="N40" s="165">
        <v>30</v>
      </c>
      <c r="O40" s="163">
        <f ca="1">OFFSET(Index_CALCULATION!$P$15,0,main_chart!$P$4-N40)</f>
        <v>41363</v>
      </c>
      <c r="P40" s="97">
        <f ca="1">OFFSET(Index_CALCULATION!$P$15,26,main_chart!$P$4-N40)</f>
        <v>2676.8109683758216</v>
      </c>
      <c r="Q40" s="34">
        <f t="shared" ca="1" si="7"/>
        <v>-4.5333333333333527E-3</v>
      </c>
      <c r="R40" s="165"/>
      <c r="S40" s="163">
        <f t="shared" ca="1" si="17"/>
        <v>41363</v>
      </c>
      <c r="T40" s="118">
        <f t="shared" ca="1" si="18"/>
        <v>2676.8109683758216</v>
      </c>
      <c r="U40" s="34">
        <f t="shared" ca="1" si="19"/>
        <v>-4.5333333333333527E-3</v>
      </c>
      <c r="V40" s="96">
        <f t="shared" ca="1" si="11"/>
        <v>1.0033070118617149E-2</v>
      </c>
    </row>
    <row r="41" spans="1:32" x14ac:dyDescent="0.3">
      <c r="A41" s="47"/>
      <c r="B41" s="134"/>
      <c r="C41" s="134"/>
      <c r="D41" s="134"/>
      <c r="E41" s="134"/>
      <c r="F41" s="40"/>
      <c r="G41" s="41"/>
      <c r="H41" s="41"/>
      <c r="I41" s="41"/>
      <c r="N41" s="165">
        <v>29</v>
      </c>
      <c r="O41" s="163">
        <f ca="1">OFFSET(Index_CALCULATION!$P$15,0,main_chart!$P$4-N41)</f>
        <v>41393</v>
      </c>
      <c r="P41" s="97">
        <f ca="1">OFFSET(Index_CALCULATION!$P$15,26,main_chart!$P$4-N41)</f>
        <v>2679.5755547229032</v>
      </c>
      <c r="Q41" s="34">
        <f t="shared" ca="1" si="7"/>
        <v>1.0322580645160931E-3</v>
      </c>
      <c r="R41" s="165"/>
      <c r="S41" s="163">
        <f t="shared" ca="1" si="17"/>
        <v>41393</v>
      </c>
      <c r="T41" s="118">
        <f t="shared" ca="1" si="18"/>
        <v>2679.5755547229032</v>
      </c>
      <c r="U41" s="34">
        <f t="shared" ca="1" si="19"/>
        <v>1.0322580645160931E-3</v>
      </c>
      <c r="V41" s="96">
        <f t="shared" ca="1" si="11"/>
        <v>1.0033070118617149E-2</v>
      </c>
    </row>
    <row r="42" spans="1:32" x14ac:dyDescent="0.3">
      <c r="A42" s="48"/>
      <c r="B42" s="135"/>
      <c r="C42" s="135"/>
      <c r="D42" s="135"/>
      <c r="E42" s="135"/>
      <c r="F42" s="40"/>
      <c r="G42" s="209"/>
      <c r="H42" s="209"/>
      <c r="I42" s="43"/>
      <c r="J42" s="165"/>
      <c r="K42" s="165"/>
      <c r="L42" s="165"/>
      <c r="M42" s="165"/>
      <c r="N42" s="165">
        <v>28</v>
      </c>
      <c r="O42" s="163">
        <f ca="1">OFFSET(Index_CALCULATION!$P$15,0,main_chart!$P$4-N42)</f>
        <v>41424</v>
      </c>
      <c r="P42" s="97">
        <f ca="1">OFFSET(Index_CALCULATION!$P$15,26,main_chart!$P$4-N42)</f>
        <v>2694.1365454214911</v>
      </c>
      <c r="Q42" s="34">
        <f t="shared" ref="Q42:Q58" ca="1" si="20">LN(P42/P41)</f>
        <v>5.4193548387097253E-3</v>
      </c>
      <c r="R42" s="165"/>
      <c r="S42" s="163">
        <f t="shared" ca="1" si="17"/>
        <v>41424</v>
      </c>
      <c r="T42" s="118">
        <f t="shared" ca="1" si="18"/>
        <v>2694.1365454214911</v>
      </c>
      <c r="U42" s="34">
        <f t="shared" ca="1" si="19"/>
        <v>5.4193548387097253E-3</v>
      </c>
      <c r="V42" s="96">
        <f t="shared" ca="1" si="11"/>
        <v>1.0033070118617149E-2</v>
      </c>
    </row>
    <row r="43" spans="1:32" x14ac:dyDescent="0.3">
      <c r="A43" s="48"/>
      <c r="B43" s="135"/>
      <c r="C43" s="135"/>
      <c r="D43" s="135"/>
      <c r="E43" s="135"/>
      <c r="F43" s="40"/>
      <c r="G43" s="209"/>
      <c r="H43" s="209"/>
      <c r="I43" s="43"/>
      <c r="J43" s="165"/>
      <c r="K43" s="165"/>
      <c r="L43" s="165"/>
      <c r="M43" s="165"/>
      <c r="N43" s="165">
        <v>27</v>
      </c>
      <c r="O43" s="163">
        <f ca="1">OFFSET(Index_CALCULATION!$P$15,0,main_chart!$P$4-N43)</f>
        <v>41454</v>
      </c>
      <c r="P43" s="97">
        <f ca="1">OFFSET(Index_CALCULATION!$P$15,26,main_chart!$P$4-N43)</f>
        <v>2697.0118242793792</v>
      </c>
      <c r="Q43" s="34">
        <f t="shared" ca="1" si="20"/>
        <v>1.0666666666667021E-3</v>
      </c>
      <c r="R43" s="165"/>
      <c r="S43" s="163">
        <f t="shared" ca="1" si="17"/>
        <v>41454</v>
      </c>
      <c r="T43" s="118">
        <f t="shared" ca="1" si="18"/>
        <v>2697.0118242793792</v>
      </c>
      <c r="U43" s="34">
        <f t="shared" ca="1" si="19"/>
        <v>1.0666666666667021E-3</v>
      </c>
      <c r="V43" s="96">
        <f t="shared" ca="1" si="11"/>
        <v>1.0033070118617149E-2</v>
      </c>
    </row>
    <row r="44" spans="1:32" x14ac:dyDescent="0.3">
      <c r="A44" s="48"/>
      <c r="B44" s="135"/>
      <c r="C44" s="135"/>
      <c r="D44" s="135"/>
      <c r="E44" s="135"/>
      <c r="F44" s="40"/>
      <c r="G44" s="209"/>
      <c r="H44" s="209"/>
      <c r="I44" s="43"/>
      <c r="J44" s="165"/>
      <c r="K44" s="165"/>
      <c r="L44" s="165"/>
      <c r="M44" s="165"/>
      <c r="N44" s="165">
        <v>26</v>
      </c>
      <c r="O44" s="163">
        <f ca="1">OFFSET(Index_CALCULATION!$P$15,0,main_chart!$P$4-N44)</f>
        <v>41485</v>
      </c>
      <c r="P44" s="97">
        <f ca="1">OFFSET(Index_CALCULATION!$P$15,26,main_chart!$P$4-N44)</f>
        <v>2706.1556374086172</v>
      </c>
      <c r="Q44" s="34">
        <f t="shared" ca="1" si="20"/>
        <v>3.3846153846154086E-3</v>
      </c>
      <c r="R44" s="165"/>
      <c r="S44" s="163">
        <f t="shared" ca="1" si="17"/>
        <v>41485</v>
      </c>
      <c r="T44" s="118">
        <f t="shared" ca="1" si="18"/>
        <v>2706.1556374086172</v>
      </c>
      <c r="U44" s="34">
        <f t="shared" ca="1" si="19"/>
        <v>3.3846153846154086E-3</v>
      </c>
      <c r="V44" s="96">
        <f t="shared" ca="1" si="11"/>
        <v>1.0033070118617149E-2</v>
      </c>
    </row>
    <row r="45" spans="1:32" x14ac:dyDescent="0.3">
      <c r="A45" s="48"/>
      <c r="B45" s="135"/>
      <c r="C45" s="135"/>
      <c r="D45" s="135"/>
      <c r="E45" s="135"/>
      <c r="F45" s="40"/>
      <c r="G45" s="209"/>
      <c r="H45" s="209"/>
      <c r="I45" s="43"/>
      <c r="J45" s="165"/>
      <c r="K45" s="165"/>
      <c r="L45" s="165"/>
      <c r="M45" s="165"/>
      <c r="N45" s="165">
        <v>25</v>
      </c>
      <c r="O45" s="163">
        <f ca="1">OFFSET(Index_CALCULATION!$P$15,0,main_chart!$P$4-N45)</f>
        <v>41516</v>
      </c>
      <c r="P45" s="97">
        <f ca="1">OFFSET(Index_CALCULATION!$P$15,26,main_chart!$P$4-N45)</f>
        <v>2706.7924548282954</v>
      </c>
      <c r="Q45" s="34">
        <f t="shared" ca="1" si="20"/>
        <v>2.3529411764708884E-4</v>
      </c>
      <c r="R45" s="165"/>
      <c r="S45" s="163">
        <f t="shared" ca="1" si="17"/>
        <v>41516</v>
      </c>
      <c r="T45" s="118">
        <f t="shared" ca="1" si="18"/>
        <v>2706.7924548282954</v>
      </c>
      <c r="U45" s="34">
        <f t="shared" ca="1" si="19"/>
        <v>2.3529411764708884E-4</v>
      </c>
      <c r="V45" s="96">
        <f t="shared" ca="1" si="11"/>
        <v>1.0033070118617149E-2</v>
      </c>
    </row>
    <row r="46" spans="1:32" x14ac:dyDescent="0.3">
      <c r="A46" s="48"/>
      <c r="B46" s="135"/>
      <c r="C46" s="135"/>
      <c r="D46" s="245" t="s">
        <v>2116</v>
      </c>
      <c r="E46" s="242">
        <f ca="1">P69</f>
        <v>2754.786879723044</v>
      </c>
      <c r="F46" s="270" t="s">
        <v>2115</v>
      </c>
      <c r="G46" s="270"/>
      <c r="H46" s="270"/>
      <c r="I46" s="270"/>
      <c r="J46" s="270"/>
      <c r="K46" s="165"/>
      <c r="L46" s="165"/>
      <c r="M46" s="165"/>
      <c r="N46" s="165">
        <v>24</v>
      </c>
      <c r="O46" s="163">
        <f ca="1">OFFSET(Index_CALCULATION!$P$15,0,main_chart!$P$4-N46)</f>
        <v>41546</v>
      </c>
      <c r="P46" s="97">
        <f ca="1">OFFSET(Index_CALCULATION!$P$15,26,main_chart!$P$4-N46)</f>
        <v>2691.1983026878206</v>
      </c>
      <c r="Q46" s="34">
        <f t="shared" ca="1" si="20"/>
        <v>-5.7777777777777983E-3</v>
      </c>
      <c r="R46" s="165"/>
      <c r="S46" s="163">
        <f t="shared" ca="1" si="17"/>
        <v>41546</v>
      </c>
      <c r="T46" s="118">
        <f t="shared" ca="1" si="18"/>
        <v>2691.1983026878206</v>
      </c>
      <c r="U46" s="34">
        <f t="shared" ca="1" si="19"/>
        <v>-5.7777777777777983E-3</v>
      </c>
      <c r="V46" s="96">
        <f t="shared" ca="1" si="11"/>
        <v>1.0033070118617149E-2</v>
      </c>
    </row>
    <row r="47" spans="1:32" x14ac:dyDescent="0.3">
      <c r="A47" s="48"/>
      <c r="B47" s="135"/>
      <c r="C47" s="135"/>
      <c r="D47" s="241" t="s">
        <v>2113</v>
      </c>
      <c r="E47" s="242">
        <f ca="1">P68</f>
        <v>2757.7268867864263</v>
      </c>
      <c r="F47" s="270"/>
      <c r="G47" s="270"/>
      <c r="H47" s="270"/>
      <c r="I47" s="270"/>
      <c r="J47" s="270"/>
      <c r="K47" s="165"/>
      <c r="L47" s="165"/>
      <c r="M47" s="165"/>
      <c r="N47" s="165">
        <v>23</v>
      </c>
      <c r="O47" s="163">
        <f ca="1">OFFSET(Index_CALCULATION!$P$15,0,main_chart!$P$4-N47)</f>
        <v>41577</v>
      </c>
      <c r="P47" s="97">
        <f ca="1">OFFSET(Index_CALCULATION!$P$15,26,main_chart!$P$4-N47)</f>
        <v>2692.7365697523746</v>
      </c>
      <c r="Q47" s="34">
        <f t="shared" ca="1" si="20"/>
        <v>5.714285714285654E-4</v>
      </c>
      <c r="R47" s="165"/>
      <c r="S47" s="163">
        <f t="shared" ca="1" si="17"/>
        <v>41577</v>
      </c>
      <c r="T47" s="118">
        <f t="shared" ca="1" si="18"/>
        <v>2692.7365697523746</v>
      </c>
      <c r="U47" s="34">
        <f t="shared" ca="1" si="19"/>
        <v>5.714285714285654E-4</v>
      </c>
      <c r="V47" s="96">
        <f t="shared" ca="1" si="11"/>
        <v>1.0033070118617149E-2</v>
      </c>
    </row>
    <row r="48" spans="1:32" x14ac:dyDescent="0.3">
      <c r="A48" s="48"/>
      <c r="B48" s="135"/>
      <c r="C48" s="135"/>
      <c r="D48" s="243" t="s">
        <v>2114</v>
      </c>
      <c r="E48" s="244">
        <f ca="1">LN(E46/E47)</f>
        <v>-1.0666666666667845E-3</v>
      </c>
      <c r="F48" s="270"/>
      <c r="G48" s="270"/>
      <c r="H48" s="270"/>
      <c r="I48" s="270"/>
      <c r="J48" s="270"/>
      <c r="K48" s="165"/>
      <c r="L48" s="165"/>
      <c r="M48" s="165"/>
      <c r="N48" s="165">
        <v>22</v>
      </c>
      <c r="O48" s="163">
        <f ca="1">OFFSET(Index_CALCULATION!$P$15,0,main_chart!$P$4-N48)</f>
        <v>41607</v>
      </c>
      <c r="P48" s="97">
        <f ca="1">OFFSET(Index_CALCULATION!$P$15,26,main_chart!$P$4-N48)</f>
        <v>2703.1562118276292</v>
      </c>
      <c r="Q48" s="34">
        <f t="shared" ca="1" si="20"/>
        <v>3.8620689655171343E-3</v>
      </c>
      <c r="R48" s="165"/>
      <c r="S48" s="163">
        <f t="shared" ca="1" si="17"/>
        <v>41607</v>
      </c>
      <c r="T48" s="118">
        <f t="shared" ca="1" si="18"/>
        <v>2703.1562118276292</v>
      </c>
      <c r="U48" s="34">
        <f t="shared" ca="1" si="19"/>
        <v>3.8620689655171343E-3</v>
      </c>
      <c r="V48" s="96">
        <f t="shared" ca="1" si="11"/>
        <v>1.0033070118617149E-2</v>
      </c>
      <c r="AC48" s="166" t="s">
        <v>79</v>
      </c>
      <c r="AD48" s="166" t="s">
        <v>498</v>
      </c>
      <c r="AE48" s="166" t="s">
        <v>499</v>
      </c>
      <c r="AF48" t="s">
        <v>500</v>
      </c>
    </row>
    <row r="49" spans="1:41" x14ac:dyDescent="0.3">
      <c r="A49" s="48"/>
      <c r="B49" s="135"/>
      <c r="C49" s="135"/>
      <c r="D49" s="135"/>
      <c r="E49" s="135"/>
      <c r="F49" s="40"/>
      <c r="G49" s="209"/>
      <c r="H49" s="209"/>
      <c r="I49" s="43"/>
      <c r="J49" s="165"/>
      <c r="K49" s="165"/>
      <c r="L49" s="165"/>
      <c r="M49" s="165"/>
      <c r="N49" s="165">
        <v>21</v>
      </c>
      <c r="O49" s="163">
        <f ca="1">OFFSET(Index_CALCULATION!$P$15,0,main_chart!$P$4-N49)</f>
        <v>41638</v>
      </c>
      <c r="P49" s="97">
        <f ca="1">OFFSET(Index_CALCULATION!$P$15,26,main_chart!$P$4-N49)</f>
        <v>2699.8312968573823</v>
      </c>
      <c r="Q49" s="34">
        <f t="shared" ca="1" si="20"/>
        <v>-1.2307692307692054E-3</v>
      </c>
      <c r="R49" s="165"/>
      <c r="S49" s="163">
        <f t="shared" ca="1" si="17"/>
        <v>41638</v>
      </c>
      <c r="T49" s="118">
        <f t="shared" ca="1" si="18"/>
        <v>2699.8312968573823</v>
      </c>
      <c r="U49" s="34">
        <f t="shared" ca="1" si="19"/>
        <v>-1.2307692307692054E-3</v>
      </c>
      <c r="V49" s="96">
        <f t="shared" ca="1" si="11"/>
        <v>1.0033070118617149E-2</v>
      </c>
      <c r="AC49" s="205">
        <f>Index_CALCULATION!C50</f>
        <v>42246</v>
      </c>
      <c r="AD49" s="166">
        <f>MATCH(AC49,Calcs!$E:$E,0)</f>
        <v>1906</v>
      </c>
      <c r="AE49" s="166">
        <f>5+AD49</f>
        <v>1911</v>
      </c>
    </row>
    <row r="50" spans="1:41" x14ac:dyDescent="0.3">
      <c r="A50" s="48"/>
      <c r="B50" s="135"/>
      <c r="C50" s="135"/>
      <c r="D50" s="135"/>
      <c r="E50" s="135"/>
      <c r="F50" s="40"/>
      <c r="G50" s="209"/>
      <c r="H50" s="209"/>
      <c r="I50" s="43"/>
      <c r="J50" s="165"/>
      <c r="K50" s="165"/>
      <c r="L50" s="165"/>
      <c r="M50" s="165"/>
      <c r="N50" s="165">
        <v>20</v>
      </c>
      <c r="O50" s="163">
        <f ca="1">OFFSET(Index_CALCULATION!$P$15,0,main_chart!$P$4-N50)</f>
        <v>41669</v>
      </c>
      <c r="P50" s="97">
        <f ca="1">OFFSET(Index_CALCULATION!$P$15,26,main_chart!$P$4-N50)</f>
        <v>2701.3744984711984</v>
      </c>
      <c r="Q50" s="34">
        <f t="shared" ca="1" si="20"/>
        <v>5.714285714285654E-4</v>
      </c>
      <c r="R50" s="165"/>
      <c r="S50" s="163">
        <f t="shared" ca="1" si="17"/>
        <v>41669</v>
      </c>
      <c r="T50" s="118">
        <f t="shared" ca="1" si="18"/>
        <v>2701.3744984711984</v>
      </c>
      <c r="U50" s="34">
        <f t="shared" ca="1" si="19"/>
        <v>5.714285714285654E-4</v>
      </c>
      <c r="V50" s="96">
        <f t="shared" ca="1" si="11"/>
        <v>1.0033070118617149E-2</v>
      </c>
    </row>
    <row r="51" spans="1:41" x14ac:dyDescent="0.3">
      <c r="A51" s="48"/>
      <c r="B51" s="135"/>
      <c r="C51" s="135"/>
      <c r="D51" s="135"/>
      <c r="E51" s="135"/>
      <c r="F51" s="40"/>
      <c r="G51" s="42"/>
      <c r="H51" s="42"/>
      <c r="I51" s="43"/>
      <c r="N51" s="165">
        <v>19</v>
      </c>
      <c r="O51" s="163">
        <f ca="1">OFFSET(Index_CALCULATION!$P$15,0,main_chart!$P$4-N51)</f>
        <v>41697</v>
      </c>
      <c r="P51" s="97">
        <f ca="1">OFFSET(Index_CALCULATION!$P$15,26,main_chart!$P$4-N51)</f>
        <v>2703.1039315097614</v>
      </c>
      <c r="Q51" s="34">
        <f t="shared" ca="1" si="20"/>
        <v>6.4000000000009774E-4</v>
      </c>
      <c r="R51" s="165"/>
      <c r="S51" s="163">
        <f t="shared" ca="1" si="17"/>
        <v>41697</v>
      </c>
      <c r="T51" s="118">
        <f t="shared" ca="1" si="18"/>
        <v>2703.1039315097614</v>
      </c>
      <c r="U51" s="34">
        <f t="shared" ca="1" si="19"/>
        <v>6.4000000000009774E-4</v>
      </c>
      <c r="V51" s="96">
        <f t="shared" ca="1" si="11"/>
        <v>1.0033070118617149E-2</v>
      </c>
    </row>
    <row r="52" spans="1:41" x14ac:dyDescent="0.3">
      <c r="A52" s="48"/>
      <c r="B52" s="135"/>
      <c r="C52" s="135"/>
      <c r="D52" s="135"/>
      <c r="E52" s="135"/>
      <c r="F52" s="40"/>
      <c r="G52" s="42"/>
      <c r="H52" s="42"/>
      <c r="I52" s="43"/>
      <c r="N52" s="165">
        <v>18</v>
      </c>
      <c r="O52" s="163">
        <f ca="1">OFFSET(Index_CALCULATION!$P$15,0,main_chart!$P$4-N52)</f>
        <v>41728</v>
      </c>
      <c r="P52" s="97">
        <f ca="1">OFFSET(Index_CALCULATION!$P$15,26,main_chart!$P$4-N52)</f>
        <v>2710.3218282454964</v>
      </c>
      <c r="Q52" s="34">
        <f t="shared" ca="1" si="20"/>
        <v>2.666666666666585E-3</v>
      </c>
      <c r="R52" s="165"/>
      <c r="S52" s="163">
        <f t="shared" ca="1" si="17"/>
        <v>41728</v>
      </c>
      <c r="T52" s="118">
        <f t="shared" ca="1" si="18"/>
        <v>2710.3218282454964</v>
      </c>
      <c r="U52" s="34">
        <f t="shared" ca="1" si="19"/>
        <v>2.666666666666585E-3</v>
      </c>
      <c r="V52" s="96">
        <f t="shared" ca="1" si="11"/>
        <v>1.0033070118617149E-2</v>
      </c>
      <c r="AC52" s="132" t="str">
        <f ca="1">"&lt;li&gt;&lt;span style=""color: #000000;""&gt;" &amp; AH59 &amp; " +" &amp;TEXT(AI59,"0.0%") &amp;".&lt;/span&gt;&lt;/li&gt;"</f>
        <v>&lt;li&gt;&lt;span style="color: #000000;"&gt;Attackers: Insider threat +1.3%.&lt;/span&gt;&lt;/li&gt;</v>
      </c>
    </row>
    <row r="53" spans="1:41" x14ac:dyDescent="0.3">
      <c r="A53" s="49"/>
      <c r="B53" s="136"/>
      <c r="C53" s="136"/>
      <c r="D53" s="136"/>
      <c r="E53" s="136"/>
      <c r="F53" s="44"/>
      <c r="G53" s="45"/>
      <c r="H53" s="45"/>
      <c r="I53" s="46"/>
      <c r="N53" s="165">
        <v>17</v>
      </c>
      <c r="O53" s="163">
        <f ca="1">OFFSET(Index_CALCULATION!$P$15,0,main_chart!$P$4-N53)</f>
        <v>41758</v>
      </c>
      <c r="P53" s="97">
        <f ca="1">OFFSET(Index_CALCULATION!$P$15,26,main_chart!$P$4-N53)</f>
        <v>2727.1284391866229</v>
      </c>
      <c r="Q53" s="34">
        <f t="shared" ca="1" si="20"/>
        <v>6.181818181818185E-3</v>
      </c>
      <c r="R53" s="165"/>
      <c r="S53" s="163">
        <f t="shared" ca="1" si="17"/>
        <v>41758</v>
      </c>
      <c r="T53" s="118">
        <f t="shared" ca="1" si="18"/>
        <v>2727.1284391866229</v>
      </c>
      <c r="U53" s="34">
        <f t="shared" ca="1" si="19"/>
        <v>6.181818181818185E-3</v>
      </c>
      <c r="V53" s="96">
        <f t="shared" ca="1" si="11"/>
        <v>1.0033070118617149E-2</v>
      </c>
      <c r="AC53" s="132" t="e">
        <f ca="1">"&lt;li&gt;&lt;span style=""color: #000000;""&gt;" &amp; AH60 &amp; " +" &amp;TEXT(AI60,"0.0%") &amp;".&lt;/span&gt;&lt;/li&gt;"</f>
        <v>#N/A</v>
      </c>
    </row>
    <row r="54" spans="1:41" x14ac:dyDescent="0.3">
      <c r="A54" s="49"/>
      <c r="B54" s="136"/>
      <c r="C54" s="136"/>
      <c r="D54" s="136"/>
      <c r="E54" s="136"/>
      <c r="F54" s="44"/>
      <c r="G54" s="45"/>
      <c r="H54" s="45"/>
      <c r="I54" s="46"/>
      <c r="N54" s="165">
        <v>16</v>
      </c>
      <c r="O54" s="163">
        <f ca="1">OFFSET(Index_CALCULATION!$P$15,0,main_chart!$P$4-N54)</f>
        <v>41789</v>
      </c>
      <c r="P54" s="97">
        <f ca="1">OFFSET(Index_CALCULATION!$P$15,26,main_chart!$P$4-N54)</f>
        <v>2741.4598792115489</v>
      </c>
      <c r="Q54" s="34">
        <f t="shared" ca="1" si="20"/>
        <v>5.2413793103447204E-3</v>
      </c>
      <c r="R54" s="165"/>
      <c r="S54" s="163">
        <f t="shared" ca="1" si="17"/>
        <v>41789</v>
      </c>
      <c r="T54" s="118">
        <f t="shared" ca="1" si="18"/>
        <v>2741.4598792115489</v>
      </c>
      <c r="U54" s="34">
        <f t="shared" ca="1" si="19"/>
        <v>5.2413793103447204E-3</v>
      </c>
      <c r="V54" s="96">
        <f t="shared" ca="1" si="11"/>
        <v>1.0033070118617149E-2</v>
      </c>
      <c r="AC54" s="132" t="str">
        <f ca="1">"&lt;li&gt;&lt;span style=""color: #000000;""&gt;" &amp; AH61 &amp; " +" &amp;TEXT(AI61,"0.0%") &amp;".&lt;/span&gt;&lt;/li&gt;"</f>
        <v>&lt;li&gt;&lt;span style="color: #000000;"&gt;Attackers: Criminals +0.7%.&lt;/span&gt;&lt;/li&gt;</v>
      </c>
    </row>
    <row r="55" spans="1:41" x14ac:dyDescent="0.3">
      <c r="A55" s="49"/>
      <c r="B55" s="136"/>
      <c r="C55" s="136"/>
      <c r="D55" s="136"/>
      <c r="E55" s="136"/>
      <c r="F55" s="44"/>
      <c r="G55" s="45"/>
      <c r="H55" s="45"/>
      <c r="I55" s="46"/>
      <c r="N55" s="165">
        <v>15</v>
      </c>
      <c r="O55" s="163">
        <f ca="1">OFFSET(Index_CALCULATION!$P$15,0,main_chart!$P$4-N55)</f>
        <v>41819</v>
      </c>
      <c r="P55" s="97">
        <f ca="1">OFFSET(Index_CALCULATION!$P$15,26,main_chart!$P$4-N55)</f>
        <v>2742.3738514915367</v>
      </c>
      <c r="Q55" s="34">
        <f t="shared" ca="1" si="20"/>
        <v>3.3333333333338254E-4</v>
      </c>
      <c r="R55" s="165"/>
      <c r="S55" s="163">
        <f t="shared" ca="1" si="17"/>
        <v>41819</v>
      </c>
      <c r="T55" s="118">
        <f t="shared" ca="1" si="18"/>
        <v>2742.3738514915367</v>
      </c>
      <c r="U55" s="34">
        <f t="shared" ca="1" si="19"/>
        <v>3.3333333333338254E-4</v>
      </c>
      <c r="V55" s="96">
        <f t="shared" ca="1" si="11"/>
        <v>1.0033070118617149E-2</v>
      </c>
    </row>
    <row r="56" spans="1:41" x14ac:dyDescent="0.3">
      <c r="A56" s="48"/>
      <c r="B56" s="135"/>
      <c r="C56" s="272"/>
      <c r="D56" s="272"/>
      <c r="E56" s="272"/>
      <c r="F56" s="272"/>
      <c r="G56" s="272"/>
      <c r="H56" s="272"/>
      <c r="I56" s="272"/>
      <c r="J56" s="272"/>
      <c r="K56" s="272"/>
      <c r="L56" s="272"/>
      <c r="M56" s="272"/>
      <c r="N56" s="165">
        <v>14</v>
      </c>
      <c r="O56" s="163">
        <f ca="1">OFFSET(Index_CALCULATION!$P$15,0,main_chart!$P$4-N56)</f>
        <v>41850</v>
      </c>
      <c r="P56" s="97">
        <f ca="1">OFFSET(Index_CALCULATION!$P$15,26,main_chart!$P$4-N56)</f>
        <v>2749.4033224351347</v>
      </c>
      <c r="Q56" s="34">
        <f t="shared" ca="1" si="20"/>
        <v>2.5599999999999204E-3</v>
      </c>
      <c r="R56" s="165"/>
      <c r="S56" s="163">
        <f t="shared" ca="1" si="17"/>
        <v>41850</v>
      </c>
      <c r="T56" s="118">
        <f t="shared" ca="1" si="18"/>
        <v>2749.4033224351347</v>
      </c>
      <c r="U56" s="34">
        <f t="shared" ca="1" si="19"/>
        <v>2.5599999999999204E-3</v>
      </c>
      <c r="V56" s="96">
        <f t="shared" ca="1" si="11"/>
        <v>1.0033070118617149E-2</v>
      </c>
    </row>
    <row r="57" spans="1:41" x14ac:dyDescent="0.3">
      <c r="A57" s="48"/>
      <c r="B57" s="135"/>
      <c r="C57" s="135"/>
      <c r="D57" s="135"/>
      <c r="E57" s="135"/>
      <c r="F57" s="40"/>
      <c r="G57" s="42"/>
      <c r="H57" s="42"/>
      <c r="I57" s="43"/>
      <c r="N57" s="165">
        <v>13</v>
      </c>
      <c r="O57" s="163">
        <f ca="1">OFFSET(Index_CALCULATION!$P$15,0,main_chart!$P$4-N57)</f>
        <v>41881</v>
      </c>
      <c r="P57" s="97">
        <f ca="1">OFFSET(Index_CALCULATION!$P$15,26,main_chart!$P$4-N57)</f>
        <v>2748.557482318</v>
      </c>
      <c r="Q57" s="34">
        <f t="shared" ca="1" si="20"/>
        <v>-3.0769230769229149E-4</v>
      </c>
      <c r="R57" s="165"/>
      <c r="S57" s="163">
        <f t="shared" ca="1" si="17"/>
        <v>41881</v>
      </c>
      <c r="T57" s="118">
        <f t="shared" ca="1" si="18"/>
        <v>2748.557482318</v>
      </c>
      <c r="U57" s="34">
        <f t="shared" ca="1" si="19"/>
        <v>-3.0769230769229149E-4</v>
      </c>
      <c r="V57" s="96">
        <f t="shared" ca="1" si="11"/>
        <v>1.0033070118617149E-2</v>
      </c>
      <c r="AD57" s="273" t="s">
        <v>118</v>
      </c>
      <c r="AE57" s="273"/>
      <c r="AF57" s="40"/>
      <c r="AL57" s="40"/>
      <c r="AM57" s="40"/>
      <c r="AN57" s="273" t="s">
        <v>118</v>
      </c>
      <c r="AO57" s="273"/>
    </row>
    <row r="58" spans="1:41" x14ac:dyDescent="0.3">
      <c r="A58" s="48"/>
      <c r="B58" s="135"/>
      <c r="C58" s="135"/>
      <c r="D58" s="135"/>
      <c r="E58" s="135"/>
      <c r="F58" s="40"/>
      <c r="G58" s="42"/>
      <c r="H58" s="42"/>
      <c r="I58" s="43"/>
      <c r="N58" s="165">
        <v>12</v>
      </c>
      <c r="O58" s="163">
        <f ca="1">OFFSET(Index_CALCULATION!$P$15,0,main_chart!$P$4-N58)</f>
        <v>41911</v>
      </c>
      <c r="P58" s="97">
        <f ca="1">OFFSET(Index_CALCULATION!$P$15,26,main_chart!$P$4-N58)</f>
        <v>2760.0536976556182</v>
      </c>
      <c r="Q58" s="34">
        <f t="shared" ca="1" si="20"/>
        <v>4.1739130434781989E-3</v>
      </c>
      <c r="S58" s="163">
        <f t="shared" ref="S58:S69" ca="1" si="21">O58</f>
        <v>41911</v>
      </c>
      <c r="T58" s="118">
        <f t="shared" ref="T58:T69" ca="1" si="22">P58</f>
        <v>2760.0536976556182</v>
      </c>
      <c r="U58" s="34">
        <f t="shared" ref="U58:U69" ca="1" si="23">Q58</f>
        <v>4.1739130434781989E-3</v>
      </c>
      <c r="V58" s="96">
        <f t="shared" ca="1" si="11"/>
        <v>1.0033070118617149E-2</v>
      </c>
      <c r="AB58" s="274" t="s">
        <v>109</v>
      </c>
      <c r="AC58" s="275"/>
      <c r="AD58" s="229" t="s">
        <v>110</v>
      </c>
      <c r="AE58" s="229" t="s">
        <v>111</v>
      </c>
      <c r="AF58" s="68"/>
      <c r="AG58" s="278" t="s">
        <v>116</v>
      </c>
      <c r="AH58" s="279"/>
      <c r="AI58" s="240" t="s">
        <v>117</v>
      </c>
      <c r="AL58" s="276" t="s">
        <v>112</v>
      </c>
      <c r="AM58" s="277"/>
      <c r="AN58" s="100" t="s">
        <v>110</v>
      </c>
      <c r="AO58" s="100" t="s">
        <v>111</v>
      </c>
    </row>
    <row r="59" spans="1:41" x14ac:dyDescent="0.3">
      <c r="A59" s="49"/>
      <c r="B59" s="136"/>
      <c r="C59" s="136"/>
      <c r="D59" s="136"/>
      <c r="E59" s="136"/>
      <c r="F59" s="44"/>
      <c r="G59" s="45"/>
      <c r="H59" s="45"/>
      <c r="I59" s="46"/>
      <c r="N59" s="165">
        <v>11</v>
      </c>
      <c r="O59" s="163">
        <f ca="1">OFFSET(Index_CALCULATION!$P$15,0,main_chart!$P$4-N59)</f>
        <v>41942</v>
      </c>
      <c r="P59" s="97">
        <f ca="1">OFFSET(Index_CALCULATION!$P$15,26,main_chart!$P$4-N59)</f>
        <v>2768.6539025413572</v>
      </c>
      <c r="Q59" s="34">
        <f t="shared" ref="Q59:Q69" ca="1" si="24">LN(P59/P58)</f>
        <v>3.1111111111110589E-3</v>
      </c>
      <c r="S59" s="163">
        <f t="shared" ca="1" si="21"/>
        <v>41942</v>
      </c>
      <c r="T59" s="118">
        <f t="shared" ca="1" si="22"/>
        <v>2768.6539025413572</v>
      </c>
      <c r="U59" s="34">
        <f t="shared" ca="1" si="23"/>
        <v>3.1111111111110589E-3</v>
      </c>
      <c r="V59" s="96">
        <f t="shared" ca="1" si="11"/>
        <v>1.0033070118617149E-2</v>
      </c>
      <c r="AB59" s="69">
        <v>1</v>
      </c>
      <c r="AC59" s="70" t="str">
        <f ca="1">Index_CALCULATION!B52</f>
        <v>Overall: Media &amp; public perception</v>
      </c>
      <c r="AD59" s="99">
        <f ca="1">Index_CALCULATION!C52</f>
        <v>11289.620543819703</v>
      </c>
      <c r="AE59" s="99">
        <f ca="1">Index_CALCULATION!D52</f>
        <v>11289.620543819703</v>
      </c>
      <c r="AF59" s="68"/>
      <c r="AG59" s="72">
        <v>1</v>
      </c>
      <c r="AH59" s="70" t="str">
        <f ca="1">VLOOKUP(AG59,OFFSET(Calcs!$A$1,$AE$49,2,26,12),3,0)</f>
        <v>Attackers: Insider threat</v>
      </c>
      <c r="AI59" s="71">
        <f ca="1">VLOOKUP(AG59,OFFSET(Calcs!$A$1,$AE$49,2,26,12),12,0)-1</f>
        <v>1.3422618604342462E-2</v>
      </c>
      <c r="AL59" s="70">
        <v>1</v>
      </c>
      <c r="AM59" s="70" t="str">
        <f ca="1">Index_CALCULATION!B76</f>
        <v>Effect desired: Data modification</v>
      </c>
      <c r="AN59" s="99">
        <f ca="1">Index_CALCULATION!C76</f>
        <v>1138.1416810484702</v>
      </c>
      <c r="AO59" s="99">
        <f ca="1">Index_CALCULATION!D76</f>
        <v>1145.7546405911432</v>
      </c>
    </row>
    <row r="60" spans="1:41" x14ac:dyDescent="0.3">
      <c r="A60" s="49"/>
      <c r="B60" s="136"/>
      <c r="C60" s="136"/>
      <c r="D60" s="136"/>
      <c r="E60" s="136"/>
      <c r="F60" s="44"/>
      <c r="G60" s="45"/>
      <c r="H60" s="45"/>
      <c r="I60" s="46"/>
      <c r="N60" s="165">
        <v>10</v>
      </c>
      <c r="O60" s="163">
        <f ca="1">OFFSET(Index_CALCULATION!$P$15,0,main_chart!$P$4-N60)</f>
        <v>41972</v>
      </c>
      <c r="P60" s="97">
        <f ca="1">OFFSET(Index_CALCULATION!$P$15,26,main_chart!$P$4-N60)</f>
        <v>2772.3479031979246</v>
      </c>
      <c r="Q60" s="34">
        <f t="shared" ca="1" si="24"/>
        <v>1.3333333333334415E-3</v>
      </c>
      <c r="S60" s="163">
        <f t="shared" ca="1" si="21"/>
        <v>41972</v>
      </c>
      <c r="T60" s="118">
        <f t="shared" ca="1" si="22"/>
        <v>2772.3479031979246</v>
      </c>
      <c r="U60" s="34">
        <f t="shared" ca="1" si="23"/>
        <v>1.3333333333334415E-3</v>
      </c>
      <c r="V60" s="96">
        <f t="shared" ca="1" si="11"/>
        <v>1.0033070118617149E-2</v>
      </c>
      <c r="AB60" s="69">
        <v>2</v>
      </c>
      <c r="AC60" s="70" t="str">
        <f ca="1">Index_CALCULATION!B53</f>
        <v>Weapons: Phishing/social engineering</v>
      </c>
      <c r="AD60" s="99">
        <f ca="1">Index_CALCULATION!C53</f>
        <v>5722.929332891732</v>
      </c>
      <c r="AE60" s="99">
        <f ca="1">Index_CALCULATION!D53</f>
        <v>5647.1300598887283</v>
      </c>
      <c r="AF60" s="68"/>
      <c r="AG60" s="72">
        <v>2</v>
      </c>
      <c r="AH60" s="70" t="e">
        <f ca="1">VLOOKUP(AG60,OFFSET(Calcs!$A$1,$AE$49,2,26,12),3,0)</f>
        <v>#N/A</v>
      </c>
      <c r="AI60" s="71" t="e">
        <f ca="1">VLOOKUP(AG60,OFFSET(Calcs!$A$1,$AE$49,2,26,12),12,0)-1</f>
        <v>#N/A</v>
      </c>
      <c r="AL60" s="70">
        <v>2</v>
      </c>
      <c r="AM60" s="70" t="str">
        <f ca="1">Index_CALCULATION!B75</f>
        <v>Overall: False claims of digital identity</v>
      </c>
      <c r="AN60" s="99">
        <f ca="1">Index_CALCULATION!C75</f>
        <v>1152.8560468976777</v>
      </c>
      <c r="AO60" s="99">
        <f ca="1">Index_CALCULATION!D75</f>
        <v>1152.8560468976777</v>
      </c>
    </row>
    <row r="61" spans="1:41" x14ac:dyDescent="0.3">
      <c r="A61" s="49"/>
      <c r="B61" s="136"/>
      <c r="C61" s="136"/>
      <c r="D61" s="136"/>
      <c r="E61" s="136"/>
      <c r="F61" s="44"/>
      <c r="G61" s="45"/>
      <c r="H61" s="45"/>
      <c r="I61" s="46"/>
      <c r="N61" s="165">
        <v>9</v>
      </c>
      <c r="O61" s="163">
        <f ca="1">OFFSET(Index_CALCULATION!$P$15,0,main_chart!$P$4-N61)</f>
        <v>42003</v>
      </c>
      <c r="P61" s="97">
        <f ca="1">OFFSET(Index_CALCULATION!$P$15,26,main_chart!$P$4-N61)</f>
        <v>2774.277164013065</v>
      </c>
      <c r="Q61" s="34">
        <f t="shared" ca="1" si="24"/>
        <v>6.9565217391311899E-4</v>
      </c>
      <c r="S61" s="163">
        <f t="shared" ca="1" si="21"/>
        <v>42003</v>
      </c>
      <c r="T61" s="118">
        <f t="shared" ca="1" si="22"/>
        <v>2774.277164013065</v>
      </c>
      <c r="U61" s="34">
        <f t="shared" ca="1" si="23"/>
        <v>6.9565217391311899E-4</v>
      </c>
      <c r="V61" s="96">
        <f t="shared" ca="1" si="11"/>
        <v>1.0033070118617149E-2</v>
      </c>
      <c r="AB61" s="69">
        <v>3</v>
      </c>
      <c r="AC61" s="70" t="str">
        <f ca="1">Index_CALCULATION!B54</f>
        <v>Target: Counterparties</v>
      </c>
      <c r="AD61" s="99">
        <f ca="1">Index_CALCULATION!C54</f>
        <v>4603.9701547168643</v>
      </c>
      <c r="AE61" s="99">
        <f ca="1">Index_CALCULATION!D54</f>
        <v>4603.9701547168643</v>
      </c>
      <c r="AF61" s="68"/>
      <c r="AG61" s="72">
        <v>3</v>
      </c>
      <c r="AH61" s="70" t="str">
        <f ca="1">VLOOKUP(AG61,OFFSET(Calcs!$A$1,$AE$49,2,26,12),3,0)</f>
        <v>Attackers: Criminals</v>
      </c>
      <c r="AI61" s="71">
        <f ca="1">VLOOKUP(AG61,OFFSET(Calcs!$A$1,$AE$49,2,26,12),12,0)-1</f>
        <v>6.6889383540194025E-3</v>
      </c>
      <c r="AL61" s="70">
        <v>3</v>
      </c>
      <c r="AM61" s="70" t="str">
        <f ca="1">Index_CALCULATION!B74</f>
        <v>Target: Autonomous network connected devices</v>
      </c>
      <c r="AN61" s="99">
        <f ca="1">Index_CALCULATION!C74</f>
        <v>1219.799156216902</v>
      </c>
      <c r="AO61" s="99">
        <f ca="1">Index_CALCULATION!D74</f>
        <v>1219.799156216902</v>
      </c>
    </row>
    <row r="62" spans="1:41" x14ac:dyDescent="0.3">
      <c r="A62" s="48"/>
      <c r="B62" s="135"/>
      <c r="C62" s="135"/>
      <c r="D62" s="135"/>
      <c r="E62" s="135"/>
      <c r="F62" s="40"/>
      <c r="G62" s="42"/>
      <c r="H62" s="42"/>
      <c r="I62" s="43"/>
      <c r="N62" s="165">
        <v>8</v>
      </c>
      <c r="O62" s="163">
        <f ca="1">OFFSET(Index_CALCULATION!$P$15,0,main_chart!$P$4-N62)</f>
        <v>42034</v>
      </c>
      <c r="P62" s="97">
        <f ca="1">OFFSET(Index_CALCULATION!$P$15,26,main_chart!$P$4-N62)</f>
        <v>2783.1690704003677</v>
      </c>
      <c r="Q62" s="34">
        <f t="shared" ca="1" si="24"/>
        <v>3.2000000000000852E-3</v>
      </c>
      <c r="S62" s="163">
        <f t="shared" ca="1" si="21"/>
        <v>42034</v>
      </c>
      <c r="T62" s="118">
        <f t="shared" ca="1" si="22"/>
        <v>2783.1690704003677</v>
      </c>
      <c r="U62" s="34">
        <f t="shared" ca="1" si="23"/>
        <v>3.2000000000000852E-3</v>
      </c>
      <c r="V62" s="96">
        <f t="shared" ca="1" si="11"/>
        <v>1.0033070118617149E-2</v>
      </c>
    </row>
    <row r="63" spans="1:41" x14ac:dyDescent="0.3">
      <c r="A63" s="50"/>
      <c r="B63" s="135"/>
      <c r="C63" s="135"/>
      <c r="D63" s="135"/>
      <c r="E63" s="135"/>
      <c r="F63" s="40"/>
      <c r="G63" s="42"/>
      <c r="H63" s="42"/>
      <c r="I63" s="43"/>
      <c r="N63" s="165">
        <v>7</v>
      </c>
      <c r="O63" s="163">
        <f ca="1">OFFSET(Index_CALCULATION!$P$15,0,main_chart!$P$4-N63)</f>
        <v>42062</v>
      </c>
      <c r="P63" s="97">
        <f ca="1">OFFSET(Index_CALCULATION!$P$15,26,main_chart!$P$4-N63)</f>
        <v>2769.4198307463785</v>
      </c>
      <c r="Q63" s="34">
        <f t="shared" ca="1" si="24"/>
        <v>-4.9523809523809208E-3</v>
      </c>
      <c r="S63" s="163">
        <f t="shared" ca="1" si="21"/>
        <v>42062</v>
      </c>
      <c r="T63" s="118">
        <f t="shared" ca="1" si="22"/>
        <v>2769.4198307463785</v>
      </c>
      <c r="U63" s="34">
        <f t="shared" ca="1" si="23"/>
        <v>-4.9523809523809208E-3</v>
      </c>
      <c r="V63" s="96">
        <f t="shared" ca="1" si="11"/>
        <v>1.0033070118617149E-2</v>
      </c>
    </row>
    <row r="64" spans="1:41" x14ac:dyDescent="0.3">
      <c r="N64" s="165">
        <v>6</v>
      </c>
      <c r="O64" s="163">
        <f ca="1">OFFSET(Index_CALCULATION!$P$15,0,main_chart!$P$4-N64)</f>
        <v>42093</v>
      </c>
      <c r="P64" s="97">
        <f ca="1">OFFSET(Index_CALCULATION!$P$15,26,main_chart!$P$4-N64)</f>
        <v>2759.9409358604985</v>
      </c>
      <c r="Q64" s="34">
        <f t="shared" ca="1" si="24"/>
        <v>-3.428571428571526E-3</v>
      </c>
      <c r="S64" s="163">
        <f t="shared" ca="1" si="21"/>
        <v>42093</v>
      </c>
      <c r="T64" s="118">
        <f t="shared" ca="1" si="22"/>
        <v>2759.9409358604985</v>
      </c>
      <c r="U64" s="34">
        <f t="shared" ca="1" si="23"/>
        <v>-3.428571428571526E-3</v>
      </c>
      <c r="V64" s="96">
        <f t="shared" ca="1" si="11"/>
        <v>1.0033070118617149E-2</v>
      </c>
    </row>
    <row r="65" spans="14:34" x14ac:dyDescent="0.3">
      <c r="N65" s="165">
        <v>5</v>
      </c>
      <c r="O65" s="163">
        <f ca="1">OFFSET(Index_CALCULATION!$P$15,0,main_chart!$P$4-N65)</f>
        <v>42123</v>
      </c>
      <c r="P65" s="97">
        <f ca="1">OFFSET(Index_CALCULATION!$P$15,26,main_chart!$P$4-N65)</f>
        <v>2767.3106002080485</v>
      </c>
      <c r="Q65" s="34">
        <f t="shared" ca="1" si="24"/>
        <v>2.666666666666585E-3</v>
      </c>
      <c r="S65" s="163">
        <f t="shared" ca="1" si="21"/>
        <v>42123</v>
      </c>
      <c r="T65" s="118">
        <f t="shared" ca="1" si="22"/>
        <v>2767.3106002080485</v>
      </c>
      <c r="U65" s="34">
        <f t="shared" ca="1" si="23"/>
        <v>2.666666666666585E-3</v>
      </c>
      <c r="V65" s="96">
        <f t="shared" ca="1" si="11"/>
        <v>1.0033070118617149E-2</v>
      </c>
    </row>
    <row r="66" spans="14:34" x14ac:dyDescent="0.3">
      <c r="N66" s="165">
        <v>4</v>
      </c>
      <c r="O66" s="163">
        <f ca="1">OFFSET(Index_CALCULATION!$P$15,0,main_chart!$P$4-N66)</f>
        <v>42154</v>
      </c>
      <c r="P66" s="97">
        <f ca="1">OFFSET(Index_CALCULATION!$P$15,26,main_chart!$P$4-N66)</f>
        <v>2763.0564725296367</v>
      </c>
      <c r="Q66" s="34">
        <f t="shared" ca="1" si="24"/>
        <v>-1.5384615384613873E-3</v>
      </c>
      <c r="S66" s="163">
        <f t="shared" ca="1" si="21"/>
        <v>42154</v>
      </c>
      <c r="T66" s="118">
        <f t="shared" ca="1" si="22"/>
        <v>2763.0564725296367</v>
      </c>
      <c r="U66" s="34">
        <f t="shared" ca="1" si="23"/>
        <v>-1.5384615384613873E-3</v>
      </c>
      <c r="V66" s="96">
        <f t="shared" ca="1" si="11"/>
        <v>1.0033070118617149E-2</v>
      </c>
    </row>
    <row r="67" spans="14:34" x14ac:dyDescent="0.3">
      <c r="N67" s="165">
        <v>3</v>
      </c>
      <c r="O67" s="163">
        <f ca="1">OFFSET(Index_CALCULATION!$P$15,0,main_chart!$P$4-N67)</f>
        <v>42184</v>
      </c>
      <c r="P67" s="97">
        <f ca="1">OFFSET(Index_CALCULATION!$P$15,26,main_chart!$P$4-N67)</f>
        <v>2766.407662504198</v>
      </c>
      <c r="Q67" s="34">
        <f t="shared" ca="1" si="24"/>
        <v>1.2121212121212911E-3</v>
      </c>
      <c r="S67" s="163">
        <f t="shared" ca="1" si="21"/>
        <v>42184</v>
      </c>
      <c r="T67" s="118">
        <f t="shared" ca="1" si="22"/>
        <v>2766.407662504198</v>
      </c>
      <c r="U67" s="34">
        <f t="shared" ca="1" si="23"/>
        <v>1.2121212121212911E-3</v>
      </c>
      <c r="V67" s="96">
        <f t="shared" ca="1" si="11"/>
        <v>1.0033070118617149E-2</v>
      </c>
    </row>
    <row r="68" spans="14:34" x14ac:dyDescent="0.3">
      <c r="N68" s="165">
        <v>2</v>
      </c>
      <c r="O68" s="163">
        <f ca="1">OFFSET(Index_CALCULATION!$P$15,0,main_chart!$P$4-N68)</f>
        <v>42215</v>
      </c>
      <c r="P68" s="97">
        <f ca="1">OFFSET(Index_CALCULATION!$P$15,26,main_chart!$P$4-N68)</f>
        <v>2757.7268867864263</v>
      </c>
      <c r="Q68" s="34">
        <f t="shared" ca="1" si="24"/>
        <v>-3.1428571428571217E-3</v>
      </c>
      <c r="S68" s="163">
        <f t="shared" ca="1" si="21"/>
        <v>42215</v>
      </c>
      <c r="T68" s="118">
        <f t="shared" ca="1" si="22"/>
        <v>2757.7268867864263</v>
      </c>
      <c r="U68" s="34">
        <f t="shared" ca="1" si="23"/>
        <v>-3.1428571428571217E-3</v>
      </c>
      <c r="V68" s="96">
        <f t="shared" ca="1" si="11"/>
        <v>1.0033070118617149E-2</v>
      </c>
      <c r="AC68" t="str">
        <f>SUBSTITUTE(AC72,"August","September")</f>
        <v>&lt;h1&gt;&lt;span style="font-size: 18pt;"&gt;ICS Value, September 2016 = 3366 (Base = 1000, March 2011)&lt;/span&gt;&lt;/h1&gt;
&lt;p&gt;&lt;img style="border-width: 0px; border-style: none; border: 0;" src="images/stories/ics_aug_2016.png" alt="September 2016, Index of Cyber Security" width="833" height="481" border="0" /&gt;&lt;/p&gt;
&lt;p&gt;The Index of Cyber Security is a measure of risk. A higher index value indicates a perception of increasing risk, while a lower index value indicates the opposite.&lt;/p&gt;
&lt;p&gt; &lt;/p&gt;
&lt;hr /&gt;
&lt;p&gt; &lt;/p&gt;
&lt;p&gt;&lt;span style="color: #53623c; font-family: 'Trebuchet MS', Arial, Helvetica, sans-serif; font-size: 30px;"&gt;Introduction - September 2016&lt;/span&gt;&lt;/p&gt;
&lt;p&gt;The Index of Cyber Security rose by 1.1% over the previous month.&lt;/p&gt;
&lt;h1&gt;Key findings&lt;/h1&gt;
&lt;p&gt;The fastest rising risks for the month were as follows:&lt;/p&gt;
&lt;ul&gt;
&lt;li&gt;&lt;span style="color: #000000;"&gt;Weapons: Phishing/social engineering +2.8%.&lt;/span&gt;&lt;/li&gt;
&lt;li&gt;&lt;span style="color: #000000;"&gt;Overall: Media &amp;amp; public perception +2.8%.&lt;/span&gt;&lt;/li&gt;
&lt;li&gt;&lt;span style="color: #000000;"&gt;Attackers: Nation states +2.3%.&lt;/span&gt;&lt;/li&gt;
&lt;/ul&gt;
&lt;p&gt;Most risk indicators were up when compared to the previous month.&lt;/p&gt;
&lt;p&gt;&lt;span style="color: #53623c; font-family: 'Trebuchet MS', Arial, Helvetica, sans-serif; font-size: 30px;"&gt;Detailed report&lt;/span&gt;&lt;/p&gt;
&lt;p&gt;As before, in the coming days, we will share with our respondents the detailed report from this survey, outlining each of the component sub-indices that constitute the aggregate index. We continue to expand our respondent base each month and are looking for qualified referrals to security practitioners. If you would like to participate in this project, or know of someone who might be a valuable contributor to this effort, please do let us know. Our contact information is available under the 'Contacts' tab on this website.&lt;/p&gt;</v>
      </c>
    </row>
    <row r="69" spans="14:34" x14ac:dyDescent="0.3">
      <c r="N69" s="165">
        <v>1</v>
      </c>
      <c r="O69" s="163">
        <f ca="1">OFFSET(Index_CALCULATION!$P$15,0,main_chart!$P$4-N69)</f>
        <v>42246</v>
      </c>
      <c r="P69" s="97">
        <f ca="1">OFFSET(Index_CALCULATION!$P$15,26,main_chart!$P$4-N69)</f>
        <v>2754.786879723044</v>
      </c>
      <c r="Q69" s="34">
        <f t="shared" ca="1" si="24"/>
        <v>-1.0666666666667845E-3</v>
      </c>
      <c r="S69" s="163">
        <f t="shared" ca="1" si="21"/>
        <v>42246</v>
      </c>
      <c r="T69" s="118">
        <f t="shared" ca="1" si="22"/>
        <v>2754.786879723044</v>
      </c>
      <c r="U69" s="34">
        <f t="shared" ca="1" si="23"/>
        <v>-1.0666666666667845E-3</v>
      </c>
      <c r="V69" s="96">
        <f t="shared" ca="1" si="11"/>
        <v>1.0033070118617149E-2</v>
      </c>
    </row>
    <row r="72" spans="14:34" x14ac:dyDescent="0.3">
      <c r="AC72" s="280" t="s">
        <v>1426</v>
      </c>
      <c r="AD72" s="281"/>
      <c r="AE72" s="281"/>
      <c r="AF72" s="281"/>
      <c r="AG72" s="281"/>
      <c r="AH72" s="281"/>
    </row>
    <row r="73" spans="14:34" x14ac:dyDescent="0.3">
      <c r="AC73" s="281"/>
      <c r="AD73" s="281"/>
      <c r="AE73" s="281"/>
      <c r="AF73" s="281"/>
      <c r="AG73" s="281"/>
      <c r="AH73" s="281"/>
    </row>
    <row r="74" spans="14:34" x14ac:dyDescent="0.3">
      <c r="AC74" s="281"/>
      <c r="AD74" s="281"/>
      <c r="AE74" s="281"/>
      <c r="AF74" s="281"/>
      <c r="AG74" s="281"/>
      <c r="AH74" s="281"/>
    </row>
    <row r="75" spans="14:34" x14ac:dyDescent="0.3">
      <c r="AC75" s="281"/>
      <c r="AD75" s="281"/>
      <c r="AE75" s="281"/>
      <c r="AF75" s="281"/>
      <c r="AG75" s="281"/>
      <c r="AH75" s="281"/>
    </row>
    <row r="76" spans="14:34" x14ac:dyDescent="0.3">
      <c r="AC76" s="281"/>
      <c r="AD76" s="281"/>
      <c r="AE76" s="281"/>
      <c r="AF76" s="281"/>
      <c r="AG76" s="281"/>
      <c r="AH76" s="281"/>
    </row>
    <row r="77" spans="14:34" x14ac:dyDescent="0.3">
      <c r="AC77" s="281"/>
      <c r="AD77" s="281"/>
      <c r="AE77" s="281"/>
      <c r="AF77" s="281"/>
      <c r="AG77" s="281"/>
      <c r="AH77" s="281"/>
    </row>
    <row r="78" spans="14:34" x14ac:dyDescent="0.3">
      <c r="AC78" s="281"/>
      <c r="AD78" s="281"/>
      <c r="AE78" s="281"/>
      <c r="AF78" s="281"/>
      <c r="AG78" s="281"/>
      <c r="AH78" s="281"/>
    </row>
    <row r="79" spans="14:34" x14ac:dyDescent="0.3">
      <c r="AC79" s="281"/>
      <c r="AD79" s="281"/>
      <c r="AE79" s="281"/>
      <c r="AF79" s="281"/>
      <c r="AG79" s="281"/>
      <c r="AH79" s="281"/>
    </row>
    <row r="80" spans="14:34" x14ac:dyDescent="0.3">
      <c r="AC80" s="281"/>
      <c r="AD80" s="281"/>
      <c r="AE80" s="281"/>
      <c r="AF80" s="281"/>
      <c r="AG80" s="281"/>
      <c r="AH80" s="281"/>
    </row>
    <row r="81" spans="3:34" x14ac:dyDescent="0.3">
      <c r="AC81" s="281"/>
      <c r="AD81" s="281"/>
      <c r="AE81" s="281"/>
      <c r="AF81" s="281"/>
      <c r="AG81" s="281"/>
      <c r="AH81" s="281"/>
    </row>
    <row r="82" spans="3:34" x14ac:dyDescent="0.3">
      <c r="AC82" s="281"/>
      <c r="AD82" s="281"/>
      <c r="AE82" s="281"/>
      <c r="AF82" s="281"/>
      <c r="AG82" s="281"/>
      <c r="AH82" s="281"/>
    </row>
    <row r="83" spans="3:34" x14ac:dyDescent="0.3">
      <c r="AC83" s="281"/>
      <c r="AD83" s="281"/>
      <c r="AE83" s="281"/>
      <c r="AF83" s="281"/>
      <c r="AG83" s="281"/>
      <c r="AH83" s="281"/>
    </row>
    <row r="84" spans="3:34" x14ac:dyDescent="0.3">
      <c r="AC84" s="281"/>
      <c r="AD84" s="281"/>
      <c r="AE84" s="281"/>
      <c r="AF84" s="281"/>
      <c r="AG84" s="281"/>
      <c r="AH84" s="281"/>
    </row>
    <row r="85" spans="3:34" ht="15" customHeight="1" x14ac:dyDescent="0.3">
      <c r="C85" s="271" t="s">
        <v>1244</v>
      </c>
      <c r="D85" s="271"/>
      <c r="E85" s="271"/>
      <c r="F85" s="271"/>
      <c r="G85" s="271"/>
      <c r="H85" s="271"/>
      <c r="I85" s="271"/>
      <c r="J85" s="271"/>
      <c r="K85" s="271"/>
      <c r="L85" s="271"/>
      <c r="M85" s="217"/>
      <c r="AC85" s="281"/>
      <c r="AD85" s="281"/>
      <c r="AE85" s="281"/>
      <c r="AF85" s="281"/>
      <c r="AG85" s="281"/>
      <c r="AH85" s="281"/>
    </row>
    <row r="86" spans="3:34" x14ac:dyDescent="0.3">
      <c r="AC86" s="281"/>
      <c r="AD86" s="281"/>
      <c r="AE86" s="281"/>
      <c r="AF86" s="281"/>
      <c r="AG86" s="281"/>
      <c r="AH86" s="281"/>
    </row>
    <row r="87" spans="3:34" x14ac:dyDescent="0.3">
      <c r="AC87" s="281"/>
      <c r="AD87" s="281"/>
      <c r="AE87" s="281"/>
      <c r="AF87" s="281"/>
      <c r="AG87" s="281"/>
      <c r="AH87" s="281"/>
    </row>
  </sheetData>
  <mergeCells count="9">
    <mergeCell ref="F46:J48"/>
    <mergeCell ref="C85:L85"/>
    <mergeCell ref="C56:M56"/>
    <mergeCell ref="AD57:AE57"/>
    <mergeCell ref="AN57:AO57"/>
    <mergeCell ref="AB58:AC58"/>
    <mergeCell ref="AL58:AM58"/>
    <mergeCell ref="AG58:AH58"/>
    <mergeCell ref="AC72:AH87"/>
  </mergeCells>
  <pageMargins left="0.7" right="0.7" top="0.75" bottom="0.75" header="0.3" footer="0.3"/>
  <pageSetup orientation="portrait" r:id="rId1"/>
  <headerFooter>
    <oddHeader>&amp;L&amp;08 pareem\home\My Documents\ICS\Index_Report_Aug_2011.xlsx &amp;A &amp;D &amp;T</oddHead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4"/>
  <dimension ref="A1:EC260"/>
  <sheetViews>
    <sheetView showGridLines="0" topLeftCell="CQ11" zoomScaleNormal="100" workbookViewId="0">
      <selection activeCell="DD80" sqref="DD80"/>
    </sheetView>
  </sheetViews>
  <sheetFormatPr defaultColWidth="8.77734375" defaultRowHeight="14.4" x14ac:dyDescent="0.3"/>
  <cols>
    <col min="1" max="1" width="20.6640625" customWidth="1"/>
    <col min="3" max="5" width="9.6640625" bestFit="1" customWidth="1"/>
    <col min="6" max="14" width="9.44140625" bestFit="1" customWidth="1"/>
    <col min="17" max="38" width="9.109375" customWidth="1"/>
    <col min="39" max="49" width="9.109375" style="132" customWidth="1"/>
    <col min="50" max="61" width="9.109375" style="165" customWidth="1"/>
    <col min="63" max="67" width="9.109375" style="165"/>
    <col min="68" max="69" width="9" style="165"/>
    <col min="70" max="92" width="9.109375" style="165"/>
    <col min="93" max="93" width="10" style="165" customWidth="1"/>
    <col min="94" max="94" width="9.109375" style="165"/>
    <col min="95" max="95" width="10.44140625" style="165" customWidth="1"/>
    <col min="96" max="102" width="9.77734375" style="247" customWidth="1"/>
    <col min="103" max="103" width="9.109375" style="247"/>
    <col min="108" max="108" width="9.109375" style="165"/>
    <col min="114" max="114" width="9.109375" style="165"/>
    <col min="122" max="122" width="12.44140625" customWidth="1"/>
    <col min="123" max="123" width="11.77734375" customWidth="1"/>
    <col min="133" max="133" width="9.109375" style="165"/>
  </cols>
  <sheetData>
    <row r="1" spans="1:120" x14ac:dyDescent="0.3">
      <c r="A1">
        <v>0</v>
      </c>
      <c r="B1" s="4" t="s">
        <v>67</v>
      </c>
      <c r="C1" s="4" t="s">
        <v>68</v>
      </c>
      <c r="D1" s="4" t="s">
        <v>69</v>
      </c>
      <c r="E1" s="4" t="s">
        <v>74</v>
      </c>
      <c r="F1" s="4" t="s">
        <v>76</v>
      </c>
      <c r="G1" s="4" t="s">
        <v>78</v>
      </c>
      <c r="H1" s="4" t="s">
        <v>85</v>
      </c>
      <c r="I1" s="4" t="s">
        <v>87</v>
      </c>
      <c r="J1" s="4" t="s">
        <v>91</v>
      </c>
      <c r="K1" s="120" t="s">
        <v>94</v>
      </c>
      <c r="L1" s="121" t="s">
        <v>95</v>
      </c>
      <c r="M1" s="4" t="s">
        <v>97</v>
      </c>
      <c r="N1" s="4" t="s">
        <v>67</v>
      </c>
      <c r="O1" s="4" t="s">
        <v>68</v>
      </c>
      <c r="P1" s="4" t="s">
        <v>69</v>
      </c>
      <c r="Q1" s="4" t="s">
        <v>74</v>
      </c>
      <c r="R1" s="4" t="s">
        <v>76</v>
      </c>
      <c r="S1" s="4" t="s">
        <v>78</v>
      </c>
      <c r="T1" s="4" t="s">
        <v>85</v>
      </c>
      <c r="U1" s="4" t="s">
        <v>87</v>
      </c>
      <c r="V1" s="4" t="s">
        <v>91</v>
      </c>
      <c r="W1" s="120" t="s">
        <v>184</v>
      </c>
      <c r="X1" s="121" t="s">
        <v>185</v>
      </c>
      <c r="Y1" s="4" t="s">
        <v>97</v>
      </c>
      <c r="Z1" s="4" t="s">
        <v>67</v>
      </c>
      <c r="AA1" s="4" t="s">
        <v>68</v>
      </c>
      <c r="AB1" s="4" t="s">
        <v>69</v>
      </c>
      <c r="AC1" s="4" t="s">
        <v>74</v>
      </c>
      <c r="AD1" s="4" t="s">
        <v>76</v>
      </c>
      <c r="AE1" s="4" t="s">
        <v>78</v>
      </c>
      <c r="AF1" s="4" t="s">
        <v>85</v>
      </c>
      <c r="AG1" s="4" t="s">
        <v>87</v>
      </c>
      <c r="AH1" s="4" t="s">
        <v>91</v>
      </c>
      <c r="AI1" s="120" t="s">
        <v>206</v>
      </c>
      <c r="AJ1" s="121" t="s">
        <v>207</v>
      </c>
      <c r="AK1" s="121" t="s">
        <v>97</v>
      </c>
      <c r="AL1" s="121" t="s">
        <v>67</v>
      </c>
      <c r="AM1" s="23" t="s">
        <v>68</v>
      </c>
      <c r="AN1" s="121" t="s">
        <v>69</v>
      </c>
      <c r="AO1" s="121" t="s">
        <v>74</v>
      </c>
      <c r="AP1" s="4" t="s">
        <v>76</v>
      </c>
      <c r="AQ1" s="4" t="s">
        <v>78</v>
      </c>
      <c r="AR1" s="4" t="s">
        <v>85</v>
      </c>
      <c r="AS1" s="4" t="s">
        <v>87</v>
      </c>
      <c r="AT1" s="121" t="s">
        <v>91</v>
      </c>
      <c r="AU1" s="121" t="s">
        <v>291</v>
      </c>
      <c r="AV1" s="121" t="s">
        <v>290</v>
      </c>
      <c r="AW1" s="121" t="s">
        <v>97</v>
      </c>
      <c r="AX1" s="121" t="s">
        <v>67</v>
      </c>
      <c r="AY1" s="121" t="s">
        <v>68</v>
      </c>
      <c r="AZ1" s="121" t="s">
        <v>69</v>
      </c>
      <c r="BA1" s="121" t="s">
        <v>74</v>
      </c>
      <c r="BB1" s="121" t="s">
        <v>76</v>
      </c>
      <c r="BC1" s="121" t="s">
        <v>78</v>
      </c>
      <c r="BD1" s="121" t="s">
        <v>85</v>
      </c>
      <c r="BE1" s="121" t="s">
        <v>87</v>
      </c>
      <c r="BF1" s="121" t="s">
        <v>91</v>
      </c>
      <c r="BG1" s="121" t="s">
        <v>1029</v>
      </c>
      <c r="BH1" s="121" t="s">
        <v>1030</v>
      </c>
      <c r="BI1" s="121" t="s">
        <v>97</v>
      </c>
      <c r="BJ1" s="121" t="s">
        <v>67</v>
      </c>
      <c r="BK1" s="121" t="s">
        <v>68</v>
      </c>
      <c r="BL1" s="121" t="s">
        <v>69</v>
      </c>
      <c r="BM1" s="121" t="s">
        <v>74</v>
      </c>
      <c r="BN1" s="121" t="s">
        <v>76</v>
      </c>
      <c r="BO1" s="121" t="s">
        <v>78</v>
      </c>
      <c r="BP1" s="121" t="s">
        <v>85</v>
      </c>
      <c r="BQ1" s="121" t="s">
        <v>87</v>
      </c>
      <c r="BR1" s="121" t="s">
        <v>91</v>
      </c>
      <c r="BS1" s="121" t="s">
        <v>1570</v>
      </c>
      <c r="BT1" s="121" t="s">
        <v>1624</v>
      </c>
      <c r="BU1" s="121" t="s">
        <v>97</v>
      </c>
      <c r="BV1" s="121" t="s">
        <v>67</v>
      </c>
      <c r="BW1" s="121" t="s">
        <v>68</v>
      </c>
      <c r="BX1" s="121" t="s">
        <v>69</v>
      </c>
      <c r="BY1" s="121" t="s">
        <v>74</v>
      </c>
      <c r="BZ1" s="121" t="s">
        <v>76</v>
      </c>
      <c r="CA1" s="121" t="s">
        <v>78</v>
      </c>
      <c r="CB1" s="121" t="s">
        <v>85</v>
      </c>
      <c r="CC1" s="121" t="s">
        <v>87</v>
      </c>
      <c r="CD1" s="121" t="s">
        <v>91</v>
      </c>
      <c r="CE1" s="121" t="s">
        <v>2071</v>
      </c>
      <c r="CF1" s="121" t="s">
        <v>2108</v>
      </c>
      <c r="CG1" s="121" t="s">
        <v>97</v>
      </c>
      <c r="CH1" s="121" t="s">
        <v>67</v>
      </c>
      <c r="CI1" s="121" t="s">
        <v>68</v>
      </c>
      <c r="CJ1" s="121" t="s">
        <v>69</v>
      </c>
      <c r="CK1" s="121" t="s">
        <v>74</v>
      </c>
      <c r="CL1" s="121" t="s">
        <v>76</v>
      </c>
      <c r="CM1" s="121" t="s">
        <v>78</v>
      </c>
      <c r="CN1" s="121" t="s">
        <v>85</v>
      </c>
      <c r="CO1" s="121" t="s">
        <v>87</v>
      </c>
      <c r="CP1" s="121" t="s">
        <v>91</v>
      </c>
      <c r="CQ1" s="248" t="s">
        <v>2545</v>
      </c>
      <c r="CR1" s="155" t="s">
        <v>2549</v>
      </c>
      <c r="CS1" s="155" t="s">
        <v>2614</v>
      </c>
      <c r="CT1" s="155" t="s">
        <v>2654</v>
      </c>
      <c r="CU1" s="155" t="s">
        <v>2682</v>
      </c>
      <c r="CV1" s="155" t="s">
        <v>2717</v>
      </c>
      <c r="CW1" s="155" t="s">
        <v>2776</v>
      </c>
      <c r="CX1" s="155" t="s">
        <v>2797</v>
      </c>
      <c r="CY1" s="155" t="s">
        <v>2822</v>
      </c>
      <c r="DA1" s="57"/>
      <c r="DL1" s="54"/>
      <c r="DM1" s="23"/>
      <c r="DN1" s="23"/>
    </row>
    <row r="2" spans="1:120" x14ac:dyDescent="0.3">
      <c r="A2" t="s">
        <v>152</v>
      </c>
      <c r="B2">
        <v>1000</v>
      </c>
      <c r="C2" s="30">
        <v>1012.4001963784259</v>
      </c>
      <c r="D2" s="30">
        <v>1038.7709436846849</v>
      </c>
      <c r="E2" s="30">
        <v>1052.6342218415105</v>
      </c>
      <c r="F2" s="30">
        <v>1085.243384892394</v>
      </c>
      <c r="G2" s="30">
        <v>1114.0853873638068</v>
      </c>
      <c r="H2" s="30">
        <v>1136.5914050927829</v>
      </c>
      <c r="I2" s="30">
        <v>1153.2522871934073</v>
      </c>
      <c r="J2" s="30">
        <v>1171.4133681390579</v>
      </c>
      <c r="K2" s="31">
        <v>1191.2914250136018</v>
      </c>
      <c r="L2" s="31">
        <v>1224.4563703399263</v>
      </c>
      <c r="M2" s="31">
        <v>1246.8251177222246</v>
      </c>
      <c r="N2" s="31">
        <v>1267.3955551287481</v>
      </c>
      <c r="O2" s="31">
        <v>1294.0765916386404</v>
      </c>
      <c r="P2">
        <v>1297.4276728715008</v>
      </c>
      <c r="Q2" s="91">
        <v>1320.6519636716441</v>
      </c>
      <c r="R2" s="31">
        <v>1344.5374557526609</v>
      </c>
      <c r="S2" s="31">
        <v>1363.4147010543693</v>
      </c>
      <c r="T2" s="31">
        <v>1394.1361431374614</v>
      </c>
      <c r="U2" s="31">
        <v>1436.8932312205573</v>
      </c>
      <c r="V2" s="31">
        <v>1473.2683565496418</v>
      </c>
      <c r="W2" s="31">
        <v>1500.9937253901428</v>
      </c>
      <c r="X2" s="31">
        <v>1533.8010393480292</v>
      </c>
      <c r="Y2" s="31">
        <v>1567.8915462419136</v>
      </c>
      <c r="Z2" s="31">
        <v>1573.2457523608466</v>
      </c>
      <c r="AA2" s="31">
        <v>1587.1068591448627</v>
      </c>
      <c r="AB2" s="31">
        <v>1605.8407756998938</v>
      </c>
      <c r="AC2" s="31">
        <v>1624.7958239496616</v>
      </c>
      <c r="AD2" s="31">
        <v>1645.8209277225351</v>
      </c>
      <c r="AE2" s="31">
        <v>1666.129805021068</v>
      </c>
      <c r="AF2" s="31">
        <v>1687.6279577561918</v>
      </c>
      <c r="AG2" s="31">
        <v>1721.5446271874346</v>
      </c>
      <c r="AH2" s="31">
        <v>1754.3717502809986</v>
      </c>
      <c r="AI2" s="31">
        <v>1780.4291050863878</v>
      </c>
      <c r="AJ2" s="31">
        <v>1824.5503483136558</v>
      </c>
      <c r="AK2" s="31">
        <v>1852.3402715039199</v>
      </c>
      <c r="AL2" s="31">
        <v>1865.9436887137954</v>
      </c>
      <c r="AM2">
        <v>1885.5735415801728</v>
      </c>
      <c r="AN2" s="31">
        <v>1895.2403742772603</v>
      </c>
      <c r="AO2" s="31">
        <v>1922.0072205257909</v>
      </c>
      <c r="AP2" s="31">
        <v>1926.1302233522663</v>
      </c>
      <c r="AQ2" s="31">
        <v>1934.1725090762443</v>
      </c>
      <c r="AR2" s="31">
        <v>1963.1700585507006</v>
      </c>
      <c r="AS2" s="31">
        <v>2001.0623020367548</v>
      </c>
      <c r="AT2" s="31">
        <v>2020.9073861566831</v>
      </c>
      <c r="AU2" s="31">
        <v>2051.7194353897062</v>
      </c>
      <c r="AV2" s="31">
        <v>2038.9361782093472</v>
      </c>
      <c r="AW2" s="31">
        <v>2063.2250066424922</v>
      </c>
      <c r="AX2" s="185">
        <v>2067.0971825604433</v>
      </c>
      <c r="AY2" s="185">
        <v>2083.4809585480657</v>
      </c>
      <c r="AZ2" s="185">
        <v>2106.4743850988384</v>
      </c>
      <c r="BA2" s="185">
        <v>2098.7818517824116</v>
      </c>
      <c r="BB2" s="185">
        <v>2128.7741445002598</v>
      </c>
      <c r="BC2" s="185">
        <v>2155.5508269178117</v>
      </c>
      <c r="BD2" s="185">
        <v>2173.588804328348</v>
      </c>
      <c r="BE2" s="185">
        <v>2208.181005205754</v>
      </c>
      <c r="BF2" s="185">
        <v>2243.2144124557472</v>
      </c>
      <c r="BG2" s="185">
        <v>2292.3477470848948</v>
      </c>
      <c r="BH2" s="185">
        <v>2326.3078378919549</v>
      </c>
      <c r="BI2" s="185">
        <v>2322.675820148047</v>
      </c>
      <c r="BJ2">
        <v>2382.8067886901631</v>
      </c>
      <c r="BK2" s="165">
        <v>2403.3186291842244</v>
      </c>
      <c r="BL2" s="165">
        <v>2436.4942462040294</v>
      </c>
      <c r="BM2" s="165">
        <v>2438.5955778946254</v>
      </c>
      <c r="BN2" s="165">
        <v>2457.5893032752651</v>
      </c>
      <c r="BO2" s="165">
        <v>2500.786178597933</v>
      </c>
      <c r="BP2" s="165">
        <v>2512.1792622564176</v>
      </c>
      <c r="BQ2" s="165">
        <v>2589.900242144146</v>
      </c>
      <c r="BR2" s="165">
        <v>2647.6651653594176</v>
      </c>
      <c r="BS2" s="165">
        <v>2643.2560653544479</v>
      </c>
      <c r="BT2" s="165">
        <v>2662.5107798621871</v>
      </c>
      <c r="BU2" s="165">
        <v>2651.7964652560581</v>
      </c>
      <c r="BV2" s="165">
        <v>2645.1752540554658</v>
      </c>
      <c r="BW2" s="165">
        <v>2647.3093203004332</v>
      </c>
      <c r="BX2" s="165">
        <v>2636.6561784870864</v>
      </c>
      <c r="BY2" s="165">
        <v>2625.6929669618576</v>
      </c>
      <c r="BZ2" s="165">
        <v>2605.5728131730443</v>
      </c>
      <c r="CA2" s="165">
        <v>2640.2875588794263</v>
      </c>
      <c r="CB2" s="165">
        <v>2600.2564044640394</v>
      </c>
      <c r="CC2" s="165">
        <v>2621.2355001196188</v>
      </c>
      <c r="CD2" s="165">
        <v>2639.3754660356058</v>
      </c>
      <c r="CE2" s="165">
        <v>2611.6061108096333</v>
      </c>
      <c r="CF2" s="165">
        <v>2586.081954944766</v>
      </c>
      <c r="CG2" s="165">
        <v>2570.6119197308171</v>
      </c>
      <c r="CH2" s="165">
        <v>2613.8144729486735</v>
      </c>
      <c r="CI2" s="165">
        <f ca="1">Index_CALCULATION!CW16</f>
        <v>2051.8590237911217</v>
      </c>
      <c r="CJ2" s="165">
        <v>2656.7712739125386</v>
      </c>
      <c r="CK2" s="165">
        <v>2665.0866701831019</v>
      </c>
      <c r="CL2" s="165">
        <v>2694.5644541331189</v>
      </c>
      <c r="CM2" s="165">
        <v>2760.1224378145971</v>
      </c>
      <c r="CN2" s="165">
        <v>2802.4455076332943</v>
      </c>
      <c r="CO2" s="165">
        <v>2877.383345209807</v>
      </c>
      <c r="CP2" s="165">
        <v>2934.8988435988272</v>
      </c>
      <c r="CQ2" s="165">
        <v>2925.3441081223091</v>
      </c>
      <c r="CR2" s="247">
        <v>2984.4399791457545</v>
      </c>
      <c r="CS2" s="247">
        <v>3068.5032295905617</v>
      </c>
      <c r="CT2" s="247">
        <v>3093.3342547152065</v>
      </c>
      <c r="CU2" s="247">
        <v>3057.8671805367285</v>
      </c>
      <c r="CV2" s="247">
        <v>3099.3090872927996</v>
      </c>
      <c r="CW2" s="247">
        <v>3160.9612718151184</v>
      </c>
      <c r="CX2" s="247">
        <v>3209.3061229772106</v>
      </c>
      <c r="CY2" s="247">
        <v>3209.3061229772106</v>
      </c>
      <c r="DB2" s="55"/>
      <c r="DC2" s="55"/>
      <c r="DD2" s="186"/>
      <c r="DE2" s="55"/>
      <c r="DF2" s="55"/>
      <c r="DG2" s="55"/>
      <c r="DH2" s="55"/>
      <c r="DI2" s="55"/>
      <c r="DJ2" s="186"/>
      <c r="DK2" s="55"/>
      <c r="DL2" s="55"/>
      <c r="DM2" s="55"/>
      <c r="DN2" s="55"/>
      <c r="DO2" s="55"/>
      <c r="DP2" s="55"/>
    </row>
    <row r="3" spans="1:120" x14ac:dyDescent="0.3">
      <c r="A3" t="s">
        <v>153</v>
      </c>
      <c r="B3">
        <v>1000</v>
      </c>
      <c r="C3" s="30">
        <v>1037.2984802053893</v>
      </c>
      <c r="D3" s="30">
        <v>1067.3630280002481</v>
      </c>
      <c r="E3" s="30">
        <v>1103.1234900394613</v>
      </c>
      <c r="F3" s="30">
        <v>1121.9798465675817</v>
      </c>
      <c r="G3" s="30">
        <v>1137.7234261032913</v>
      </c>
      <c r="H3" s="30">
        <v>1167.0553909364069</v>
      </c>
      <c r="I3" s="30">
        <v>1198.8340844588611</v>
      </c>
      <c r="J3" s="30">
        <v>1203.6605180156464</v>
      </c>
      <c r="K3" s="31">
        <v>1237.6964628659964</v>
      </c>
      <c r="L3" s="31">
        <v>1272.1533007644705</v>
      </c>
      <c r="M3" s="31">
        <v>1298.7478815665488</v>
      </c>
      <c r="N3" s="31">
        <v>1321.9764204830865</v>
      </c>
      <c r="O3" s="31">
        <v>1358.0119712058395</v>
      </c>
      <c r="P3">
        <v>1379.2489140169057</v>
      </c>
      <c r="Q3" s="91">
        <v>1405.6371656944104</v>
      </c>
      <c r="R3" s="31">
        <v>1431.0597117652421</v>
      </c>
      <c r="S3" s="31">
        <v>1463.7642641952425</v>
      </c>
      <c r="T3" s="31">
        <v>1491.8741076630536</v>
      </c>
      <c r="U3" s="31">
        <v>1529.6410805058185</v>
      </c>
      <c r="V3" s="31">
        <v>1546.4633589569003</v>
      </c>
      <c r="W3" s="31">
        <v>1592.3452159668955</v>
      </c>
      <c r="X3" s="31">
        <v>1617.8308758326816</v>
      </c>
      <c r="Y3" s="31">
        <v>1654.5020370505977</v>
      </c>
      <c r="Z3" s="31">
        <v>1685.4973537091828</v>
      </c>
      <c r="AA3" s="31">
        <v>1707.8214977562252</v>
      </c>
      <c r="AB3" s="31">
        <v>1728.8621551823189</v>
      </c>
      <c r="AC3" s="31">
        <v>1743.0330774373178</v>
      </c>
      <c r="AD3" s="31">
        <v>1764.3275050352186</v>
      </c>
      <c r="AE3" s="31">
        <v>1801.3282650259996</v>
      </c>
      <c r="AF3" s="31">
        <v>1836.3044245179185</v>
      </c>
      <c r="AG3" s="31">
        <v>1881.8303298592998</v>
      </c>
      <c r="AH3" s="31">
        <v>1897.5777724881527</v>
      </c>
      <c r="AI3" s="31">
        <v>1928.2326486431334</v>
      </c>
      <c r="AJ3" s="31">
        <v>1946.3948319347335</v>
      </c>
      <c r="AK3" s="31">
        <v>1962.3022321615913</v>
      </c>
      <c r="AL3" s="31">
        <v>1970.6958128071681</v>
      </c>
      <c r="AM3">
        <v>1997.225121413855</v>
      </c>
      <c r="AN3" s="31">
        <v>2007.4643619851608</v>
      </c>
      <c r="AO3" s="31">
        <v>2011.1399136513576</v>
      </c>
      <c r="AP3" s="31">
        <v>2024.1103161501296</v>
      </c>
      <c r="AQ3" s="31">
        <v>2034.9828611582102</v>
      </c>
      <c r="AR3" s="31">
        <v>2052.0119074799281</v>
      </c>
      <c r="AS3" s="31">
        <v>2070.1980097135761</v>
      </c>
      <c r="AT3" s="31">
        <v>2089.3537045559938</v>
      </c>
      <c r="AU3" s="31">
        <v>2131.0005857554788</v>
      </c>
      <c r="AV3" s="31">
        <v>2149.2401375233312</v>
      </c>
      <c r="AW3" s="31">
        <v>2170.5547419110426</v>
      </c>
      <c r="AX3" s="185">
        <v>2178.7096030012776</v>
      </c>
      <c r="AY3" s="185">
        <v>2194.53376982808</v>
      </c>
      <c r="AZ3" s="185">
        <v>2201.2346311025035</v>
      </c>
      <c r="BA3" s="185">
        <v>2225.5275945700191</v>
      </c>
      <c r="BB3" s="185">
        <v>2246.6797689679615</v>
      </c>
      <c r="BC3" s="185">
        <v>2259.9344785347171</v>
      </c>
      <c r="BD3" s="185">
        <v>2269.3705169569857</v>
      </c>
      <c r="BE3" s="185">
        <v>2294.8940990845836</v>
      </c>
      <c r="BF3" s="185">
        <v>2331.3032337430645</v>
      </c>
      <c r="BG3" s="185">
        <v>2358.6610484144749</v>
      </c>
      <c r="BH3" s="185">
        <v>2372.5764125865189</v>
      </c>
      <c r="BI3" s="185">
        <v>2361.4809858752001</v>
      </c>
      <c r="BJ3">
        <v>2368.3538406888006</v>
      </c>
      <c r="BK3" s="165">
        <v>2392.1561925021538</v>
      </c>
      <c r="BL3" s="165">
        <v>2374.8566251565771</v>
      </c>
      <c r="BM3" s="165">
        <v>2370.7655725513032</v>
      </c>
      <c r="BN3" s="165">
        <v>2366.6815674078598</v>
      </c>
      <c r="BO3" s="165">
        <v>2395.5431822167984</v>
      </c>
      <c r="BP3" s="165">
        <v>2424.7567636024201</v>
      </c>
      <c r="BQ3" s="165">
        <v>2413.4173138714855</v>
      </c>
      <c r="BR3" s="165">
        <v>2402.7933370204264</v>
      </c>
      <c r="BS3" s="165">
        <v>2426.9418115262069</v>
      </c>
      <c r="BT3" s="165">
        <v>2460.4435249864296</v>
      </c>
      <c r="BU3" s="165">
        <v>2421.0772751689938</v>
      </c>
      <c r="BV3" s="165">
        <v>2411.0104403259948</v>
      </c>
      <c r="BW3" s="165">
        <v>2407.1248481937319</v>
      </c>
      <c r="BX3" s="165">
        <v>2412.9555878125648</v>
      </c>
      <c r="BY3" s="165">
        <v>2408.937344632343</v>
      </c>
      <c r="BZ3" s="165">
        <v>2401.9984996684225</v>
      </c>
      <c r="CA3" s="165">
        <v>2417.9467898506114</v>
      </c>
      <c r="CB3" s="165">
        <v>2391.2294191147521</v>
      </c>
      <c r="CC3" s="165">
        <v>2386.9631768591639</v>
      </c>
      <c r="CD3" s="165">
        <v>2364.4351638858957</v>
      </c>
      <c r="CE3" s="165">
        <v>2346.316975765787</v>
      </c>
      <c r="CF3" s="165">
        <v>2342.1308627366479</v>
      </c>
      <c r="CG3" s="165">
        <v>2360.9430580883463</v>
      </c>
      <c r="CH3" s="165">
        <v>2363.1301288519712</v>
      </c>
      <c r="CI3" s="165">
        <f ca="1">Index_CALCULATION!CW17</f>
        <v>2073.0182773599063</v>
      </c>
      <c r="CJ3" s="165">
        <v>2426.183276444794</v>
      </c>
      <c r="CK3" s="165">
        <v>2441.3944071907877</v>
      </c>
      <c r="CL3" s="165">
        <v>2473.3397291818592</v>
      </c>
      <c r="CM3" s="165">
        <v>2502.043544997181</v>
      </c>
      <c r="CN3" s="165">
        <v>2504.7646361320608</v>
      </c>
      <c r="CO3" s="165">
        <v>2494.3498293965899</v>
      </c>
      <c r="CP3" s="165">
        <v>2489.1586765804509</v>
      </c>
      <c r="CQ3" s="165">
        <v>2497.2887466969105</v>
      </c>
      <c r="CR3" s="247">
        <v>2529.9654387065839</v>
      </c>
      <c r="CS3" s="247">
        <v>2561.7884863768345</v>
      </c>
      <c r="CT3" s="247">
        <v>2572.9073197272546</v>
      </c>
      <c r="CU3" s="247">
        <v>2570.954088375116</v>
      </c>
      <c r="CV3" s="247">
        <v>2558.623397016861</v>
      </c>
      <c r="CW3" s="247">
        <v>2543.1634840924812</v>
      </c>
      <c r="CX3" s="247">
        <v>2518.3082423739315</v>
      </c>
      <c r="CY3" s="247">
        <v>2518.3082423739315</v>
      </c>
      <c r="DB3" s="55"/>
      <c r="DC3" s="55"/>
      <c r="DD3" s="186"/>
      <c r="DE3" s="55"/>
      <c r="DF3" s="55"/>
      <c r="DG3" s="55"/>
      <c r="DH3" s="55"/>
      <c r="DI3" s="55"/>
      <c r="DJ3" s="186"/>
      <c r="DK3" s="55"/>
      <c r="DL3" s="55"/>
      <c r="DM3" s="55"/>
      <c r="DN3" s="55"/>
      <c r="DO3" s="55"/>
      <c r="DP3" s="55"/>
    </row>
    <row r="4" spans="1:120" x14ac:dyDescent="0.3">
      <c r="A4" t="s">
        <v>154</v>
      </c>
      <c r="B4">
        <v>1000</v>
      </c>
      <c r="C4" s="30">
        <v>1028.2074038575311</v>
      </c>
      <c r="D4" s="30">
        <v>1058.7644506703687</v>
      </c>
      <c r="E4" s="30">
        <v>1130.8976598402246</v>
      </c>
      <c r="F4" s="30">
        <v>1175.3559391240976</v>
      </c>
      <c r="G4" s="30">
        <v>1208.5724637536086</v>
      </c>
      <c r="H4" s="30">
        <v>1237.4789989020869</v>
      </c>
      <c r="I4" s="30">
        <v>1280.2193988733789</v>
      </c>
      <c r="J4" s="30">
        <v>1300.960577245407</v>
      </c>
      <c r="K4" s="31">
        <v>1335.8198255129453</v>
      </c>
      <c r="L4" s="31">
        <v>1391.1336292547369</v>
      </c>
      <c r="M4" s="31">
        <v>1427.5804872687295</v>
      </c>
      <c r="N4" s="31">
        <v>1471.7255998566509</v>
      </c>
      <c r="O4" s="31">
        <v>1508.9825107959093</v>
      </c>
      <c r="P4">
        <v>1574.768068882694</v>
      </c>
      <c r="Q4" s="91">
        <v>1602.956824479041</v>
      </c>
      <c r="R4" s="31">
        <v>1621.9715117709204</v>
      </c>
      <c r="S4" s="31">
        <v>1640.794955627932</v>
      </c>
      <c r="T4" s="31">
        <v>1689.6622882377744</v>
      </c>
      <c r="U4" s="31">
        <v>1777.2185198978816</v>
      </c>
      <c r="V4" s="31">
        <v>1826.0092469151766</v>
      </c>
      <c r="W4" s="31">
        <v>1929.4164350780879</v>
      </c>
      <c r="X4" s="31">
        <v>1990.3264550219703</v>
      </c>
      <c r="Y4" s="31">
        <v>2063.7104864407434</v>
      </c>
      <c r="Z4" s="31">
        <v>2119.1619863918495</v>
      </c>
      <c r="AA4" s="31">
        <v>2187.1507480465548</v>
      </c>
      <c r="AB4" s="31">
        <v>2228.8309703809268</v>
      </c>
      <c r="AC4" s="31">
        <v>2259.7467052760039</v>
      </c>
      <c r="AD4" s="31">
        <v>2279.1992115369421</v>
      </c>
      <c r="AE4" s="31">
        <v>2337.9999843969363</v>
      </c>
      <c r="AF4" s="31">
        <v>2369.6858528891271</v>
      </c>
      <c r="AG4" s="31">
        <v>2392.7689992159962</v>
      </c>
      <c r="AH4" s="31">
        <v>2415.4744243887253</v>
      </c>
      <c r="AI4" s="31">
        <v>2459.2205122228825</v>
      </c>
      <c r="AJ4" s="31">
        <v>2474.6387722973923</v>
      </c>
      <c r="AK4" s="31">
        <v>2481.8429557823943</v>
      </c>
      <c r="AL4" s="31">
        <v>2504.6468661172557</v>
      </c>
      <c r="AM4">
        <v>2525.1167211911456</v>
      </c>
      <c r="AN4" s="31">
        <v>2562.6964761530753</v>
      </c>
      <c r="AO4" s="31">
        <v>2554.8952752576693</v>
      </c>
      <c r="AP4" s="31">
        <v>2593.5075726390332</v>
      </c>
      <c r="AQ4" s="31">
        <v>2638.6650843850202</v>
      </c>
      <c r="AR4" s="31">
        <v>2689.4070948080653</v>
      </c>
      <c r="AS4" s="31">
        <v>2741.3168455837172</v>
      </c>
      <c r="AT4" s="31">
        <v>2761.2272801959684</v>
      </c>
      <c r="AU4" s="31">
        <v>2900.8893224504914</v>
      </c>
      <c r="AV4" s="31">
        <v>2981.0932038282299</v>
      </c>
      <c r="AW4" s="31">
        <v>3018.590740230698</v>
      </c>
      <c r="AX4" s="185">
        <v>3052.7416245985132</v>
      </c>
      <c r="AY4" s="185">
        <v>3060.7857349029646</v>
      </c>
      <c r="AZ4" s="185">
        <v>3088.9091434733296</v>
      </c>
      <c r="BA4" s="85">
        <v>3087.0262364036571</v>
      </c>
      <c r="BB4" s="185">
        <v>3145.985398704523</v>
      </c>
      <c r="BC4" s="185">
        <v>3187.9002062892018</v>
      </c>
      <c r="BD4" s="185">
        <v>3174.6449231134779</v>
      </c>
      <c r="BE4" s="185">
        <v>3212.4628826444018</v>
      </c>
      <c r="BF4" s="185">
        <v>3239.345261007144</v>
      </c>
      <c r="BG4" s="185">
        <v>3285.5625852909898</v>
      </c>
      <c r="BH4" s="185">
        <v>3319.5592356248335</v>
      </c>
      <c r="BI4" s="185">
        <v>3283.4493921726048</v>
      </c>
      <c r="BJ4">
        <v>3289.9223240684755</v>
      </c>
      <c r="BK4" s="165">
        <v>3334.8756201487045</v>
      </c>
      <c r="BL4" s="165">
        <v>3351.0512180358483</v>
      </c>
      <c r="BM4" s="165">
        <v>3391.7399813813795</v>
      </c>
      <c r="BN4" s="165">
        <v>3435.8834835039602</v>
      </c>
      <c r="BO4" s="165">
        <v>3430.6815412985202</v>
      </c>
      <c r="BP4" s="165">
        <v>3404.7897285024992</v>
      </c>
      <c r="BQ4" s="165">
        <v>3453.0078229289102</v>
      </c>
      <c r="BR4" s="165">
        <v>3453.0078229289102</v>
      </c>
      <c r="BS4" s="165">
        <v>3430.064334048142</v>
      </c>
      <c r="BT4" s="165">
        <v>3438.3729234520893</v>
      </c>
      <c r="BU4" s="165">
        <v>3421.7758217735291</v>
      </c>
      <c r="BV4" s="165">
        <v>3413.2320663632299</v>
      </c>
      <c r="BW4" s="165">
        <v>3446.4236900160654</v>
      </c>
      <c r="BX4" s="165">
        <v>3510.9458316945411</v>
      </c>
      <c r="BY4" s="165">
        <v>3531.4862002090345</v>
      </c>
      <c r="BZ4" s="165">
        <v>3562.1797555824292</v>
      </c>
      <c r="CA4" s="165">
        <v>3585.831176027109</v>
      </c>
      <c r="CB4" s="165">
        <v>3590.8149572629677</v>
      </c>
      <c r="CC4" s="165">
        <v>3574.8202623549159</v>
      </c>
      <c r="CD4" s="165">
        <v>3584.0774525161701</v>
      </c>
      <c r="CE4" s="165">
        <v>3546.3687137569168</v>
      </c>
      <c r="CF4" s="165">
        <v>3511.708790336781</v>
      </c>
      <c r="CG4" s="165">
        <v>3480.2452097154287</v>
      </c>
      <c r="CH4" s="165">
        <v>3499.6337124093643</v>
      </c>
      <c r="CI4" s="165">
        <f ca="1">Index_CALCULATION!CW18</f>
        <v>2757.1280247192531</v>
      </c>
      <c r="CJ4" s="165">
        <v>3528.8269941678027</v>
      </c>
      <c r="CK4" s="165">
        <v>3517.8166224770571</v>
      </c>
      <c r="CL4" s="165">
        <v>3507.2789869661178</v>
      </c>
      <c r="CM4" s="165">
        <v>3483.751569109334</v>
      </c>
      <c r="CN4" s="165">
        <v>3476.1864220982338</v>
      </c>
      <c r="CO4" s="165">
        <v>3476.1864220982338</v>
      </c>
      <c r="CP4" s="165">
        <v>3490.7007493734013</v>
      </c>
      <c r="CQ4" s="165">
        <v>3468.0093837149948</v>
      </c>
      <c r="CR4" s="247">
        <v>3440.3759895996809</v>
      </c>
      <c r="CS4" s="247">
        <v>3469.1655795314973</v>
      </c>
      <c r="CT4" s="247">
        <v>3479.8629672432553</v>
      </c>
      <c r="CU4" s="247">
        <v>3410.1333620472215</v>
      </c>
      <c r="CV4" s="247">
        <v>3423.2745148415966</v>
      </c>
      <c r="CW4" s="247">
        <v>3402.5901398071919</v>
      </c>
      <c r="CX4" s="247">
        <v>3378.3725189917545</v>
      </c>
      <c r="CY4" s="247">
        <v>3378.3725189917545</v>
      </c>
      <c r="DB4" s="55"/>
      <c r="DC4" s="55"/>
      <c r="DD4" s="186"/>
      <c r="DE4" s="55"/>
      <c r="DF4" s="55"/>
      <c r="DG4" s="55"/>
      <c r="DH4" s="55"/>
      <c r="DI4" s="55"/>
      <c r="DJ4" s="186"/>
      <c r="DK4" s="55"/>
      <c r="DL4" s="55"/>
      <c r="DM4" s="55"/>
      <c r="DN4" s="55"/>
      <c r="DO4" s="55"/>
      <c r="DP4" s="55"/>
    </row>
    <row r="5" spans="1:120" x14ac:dyDescent="0.3">
      <c r="A5" s="83" t="s">
        <v>155</v>
      </c>
      <c r="B5" s="83">
        <v>1000</v>
      </c>
      <c r="C5" s="84">
        <v>1000</v>
      </c>
      <c r="D5" s="84">
        <v>1000</v>
      </c>
      <c r="E5" s="84">
        <v>1000</v>
      </c>
      <c r="F5" s="84">
        <v>1000</v>
      </c>
      <c r="G5" s="84">
        <v>1000</v>
      </c>
      <c r="H5" s="84">
        <v>1000</v>
      </c>
      <c r="I5" s="84">
        <v>1000</v>
      </c>
      <c r="J5" s="84">
        <v>1000</v>
      </c>
      <c r="K5" s="85">
        <v>1000</v>
      </c>
      <c r="L5" s="85">
        <v>1000</v>
      </c>
      <c r="M5" s="85">
        <v>1000</v>
      </c>
      <c r="N5" s="85">
        <v>1000</v>
      </c>
      <c r="O5" s="85">
        <v>1000</v>
      </c>
      <c r="P5">
        <v>1023.1077691270353</v>
      </c>
      <c r="Q5" s="91">
        <v>1056.6493299534172</v>
      </c>
      <c r="R5" s="85">
        <v>1093.6676389976083</v>
      </c>
      <c r="S5" s="85">
        <v>1112.7612585947879</v>
      </c>
      <c r="T5" s="85">
        <v>1132.8984279727015</v>
      </c>
      <c r="U5" s="85">
        <v>1164.6067727843697</v>
      </c>
      <c r="V5" s="85">
        <v>1181.7150663220482</v>
      </c>
      <c r="W5" s="85">
        <v>1221.4243487705992</v>
      </c>
      <c r="X5" s="85">
        <v>1261.6874981559488</v>
      </c>
      <c r="Y5" s="85">
        <v>1299.2152833268499</v>
      </c>
      <c r="Z5" s="85">
        <v>1340.2029531395733</v>
      </c>
      <c r="AA5" s="85">
        <v>1366.3176927607101</v>
      </c>
      <c r="AB5" s="85">
        <v>1393.7769116664201</v>
      </c>
      <c r="AC5" s="85">
        <v>1433.4419200676473</v>
      </c>
      <c r="AD5" s="85">
        <v>1456.1453528747693</v>
      </c>
      <c r="AE5" s="85">
        <v>1485.2811721064247</v>
      </c>
      <c r="AF5" s="85">
        <v>1520.9300831510745</v>
      </c>
      <c r="AG5" s="85">
        <v>1557.0475506323294</v>
      </c>
      <c r="AH5" s="85">
        <v>1595.577718696177</v>
      </c>
      <c r="AI5" s="85">
        <v>1652.8354820438581</v>
      </c>
      <c r="AJ5" s="85">
        <v>1725.8530563361774</v>
      </c>
      <c r="AK5" s="85">
        <v>1761.3319117186904</v>
      </c>
      <c r="AL5" s="85">
        <v>1805.9202413473718</v>
      </c>
      <c r="AM5">
        <v>1880.9330657442763</v>
      </c>
      <c r="AN5" s="85">
        <v>1914.3566279171368</v>
      </c>
      <c r="AO5" s="85">
        <v>1942.57759419076</v>
      </c>
      <c r="AP5" s="85">
        <v>1987.4907050844711</v>
      </c>
      <c r="AQ5" s="85">
        <v>2035.3797578078556</v>
      </c>
      <c r="AR5" s="85">
        <v>2121.9788673889343</v>
      </c>
      <c r="AS5" s="85">
        <v>2206.3061009302028</v>
      </c>
      <c r="AT5" s="85">
        <v>2265.1374898959471</v>
      </c>
      <c r="AU5" s="85">
        <v>2350.1462594817108</v>
      </c>
      <c r="AV5" s="85">
        <v>2416.4957979145647</v>
      </c>
      <c r="AW5" s="85">
        <v>2537.0517636919594</v>
      </c>
      <c r="AX5" s="85">
        <v>2633.9975782825959</v>
      </c>
      <c r="AY5" s="85">
        <v>2670.6408795071839</v>
      </c>
      <c r="AZ5" s="85">
        <v>2710.0107989309927</v>
      </c>
      <c r="BA5" s="185">
        <v>2787.0993631066367</v>
      </c>
      <c r="BB5" s="85">
        <v>2848.0171686181143</v>
      </c>
      <c r="BC5" s="85">
        <v>2952.5004857270546</v>
      </c>
      <c r="BD5" s="85">
        <v>2995.8732757196726</v>
      </c>
      <c r="BE5" s="85">
        <v>3059.6128810957707</v>
      </c>
      <c r="BF5" s="85">
        <v>3108.1544924211366</v>
      </c>
      <c r="BG5" s="85">
        <v>3168.3020260793064</v>
      </c>
      <c r="BH5" s="85">
        <v>3255.681709439536</v>
      </c>
      <c r="BI5" s="85">
        <v>3286.3472455653555</v>
      </c>
      <c r="BJ5">
        <v>3372.932431314473</v>
      </c>
      <c r="BK5" s="165">
        <v>3498.0689759539159</v>
      </c>
      <c r="BL5" s="165">
        <v>3572.189942601015</v>
      </c>
      <c r="BM5" s="165">
        <v>3742.4128900111627</v>
      </c>
      <c r="BN5" s="165">
        <v>3860.3777597839721</v>
      </c>
      <c r="BO5" s="165">
        <v>3904.4958852850687</v>
      </c>
      <c r="BP5" s="165">
        <v>3982.1650347652503</v>
      </c>
      <c r="BQ5" s="165">
        <v>4127.8766646271624</v>
      </c>
      <c r="BR5" s="165">
        <v>4182.8734730047154</v>
      </c>
      <c r="BS5" s="165">
        <v>4224.9120503003469</v>
      </c>
      <c r="BT5" s="165">
        <v>4262.557839225964</v>
      </c>
      <c r="BU5" s="165">
        <v>4304.0086438730623</v>
      </c>
      <c r="BV5" s="165">
        <v>4329.1887314826881</v>
      </c>
      <c r="BW5" s="165">
        <v>4410.2375385387595</v>
      </c>
      <c r="BX5" s="165">
        <v>4610.2560157300341</v>
      </c>
      <c r="BY5" s="165">
        <v>4723.0277055995703</v>
      </c>
      <c r="BZ5" s="165">
        <v>4814.7341277565656</v>
      </c>
      <c r="CA5" s="165">
        <v>4904.0587529042778</v>
      </c>
      <c r="CB5" s="165">
        <v>5007.2983217219262</v>
      </c>
      <c r="CC5" s="165">
        <v>5092.9681704580071</v>
      </c>
      <c r="CD5" s="165">
        <v>5258.0348271868588</v>
      </c>
      <c r="CE5" s="165">
        <v>5334.4214085434251</v>
      </c>
      <c r="CF5" s="165">
        <v>5353.5069746554709</v>
      </c>
      <c r="CG5" s="165">
        <v>5380.3415400368804</v>
      </c>
      <c r="CH5" s="165">
        <v>5410.3155103054378</v>
      </c>
      <c r="CI5" s="165">
        <f ca="1">Index_CALCULATION!CW19</f>
        <v>2939.2810739686188</v>
      </c>
      <c r="CJ5" s="165">
        <v>5584.7921881585216</v>
      </c>
      <c r="CK5" s="165">
        <v>5690.4949079432527</v>
      </c>
      <c r="CL5" s="165">
        <v>5834.5504723814847</v>
      </c>
      <c r="CM5" s="165">
        <v>5970.7595432185017</v>
      </c>
      <c r="CN5" s="165">
        <v>6088.7290378966654</v>
      </c>
      <c r="CO5" s="165">
        <v>6063.4121137914653</v>
      </c>
      <c r="CP5" s="165">
        <v>6152.4847833884733</v>
      </c>
      <c r="CQ5" s="165">
        <v>6192.7408111210452</v>
      </c>
      <c r="CR5" s="247">
        <v>6317.8424739440688</v>
      </c>
      <c r="CS5" s="247">
        <v>6370.7111413887069</v>
      </c>
      <c r="CT5" s="247">
        <v>6153.2600971489301</v>
      </c>
      <c r="CU5" s="247">
        <v>6483.5657320408773</v>
      </c>
      <c r="CV5" s="247">
        <v>6634.9262298636941</v>
      </c>
      <c r="CW5" s="247">
        <v>6700.5930287808469</v>
      </c>
      <c r="CX5" s="247">
        <v>6688.6383610737776</v>
      </c>
      <c r="CY5" s="247">
        <v>6688.6383610737776</v>
      </c>
      <c r="DA5" t="s">
        <v>113</v>
      </c>
      <c r="DB5" s="55">
        <v>0.01</v>
      </c>
      <c r="DC5" s="55">
        <v>0.02</v>
      </c>
      <c r="DD5" s="186"/>
      <c r="DE5" s="55">
        <v>0.03</v>
      </c>
      <c r="DF5" s="55"/>
      <c r="DG5" s="55"/>
      <c r="DH5" s="55"/>
      <c r="DI5" s="55"/>
      <c r="DJ5" s="186"/>
      <c r="DK5" s="55"/>
      <c r="DL5" s="55"/>
      <c r="DM5" s="55"/>
      <c r="DN5" s="55"/>
      <c r="DO5" s="55"/>
      <c r="DP5" s="55"/>
    </row>
    <row r="6" spans="1:120" x14ac:dyDescent="0.3">
      <c r="A6" t="s">
        <v>156</v>
      </c>
      <c r="B6">
        <v>1000</v>
      </c>
      <c r="C6" s="30">
        <v>1046.1015264363746</v>
      </c>
      <c r="D6" s="30">
        <v>1074.8845706534476</v>
      </c>
      <c r="E6" s="30">
        <v>1107.5357719031097</v>
      </c>
      <c r="F6" s="30">
        <v>1130.7716027225174</v>
      </c>
      <c r="G6" s="30">
        <v>1160.8235872029941</v>
      </c>
      <c r="H6" s="30">
        <v>1194.003039181435</v>
      </c>
      <c r="I6" s="30">
        <v>1232.0196860586145</v>
      </c>
      <c r="J6" s="30">
        <v>1245.8469231622257</v>
      </c>
      <c r="K6" s="31">
        <v>1279.229400661902</v>
      </c>
      <c r="L6" s="31">
        <v>1321.8664975935235</v>
      </c>
      <c r="M6" s="31">
        <v>1351.2465135101652</v>
      </c>
      <c r="N6" s="31">
        <v>1377.2908518959659</v>
      </c>
      <c r="O6" s="31">
        <v>1415.9064603495915</v>
      </c>
      <c r="P6">
        <v>1461.1670288568619</v>
      </c>
      <c r="Q6" s="91">
        <v>1514.5563352148338</v>
      </c>
      <c r="R6" s="31">
        <v>1561.712421618774</v>
      </c>
      <c r="S6" s="31">
        <v>1593.567531101379</v>
      </c>
      <c r="T6" s="31">
        <v>1643.7060746661521</v>
      </c>
      <c r="U6" s="31">
        <v>1729.7816049318762</v>
      </c>
      <c r="V6" s="31">
        <v>1767.1168625469963</v>
      </c>
      <c r="W6" s="31">
        <v>1818.003930587226</v>
      </c>
      <c r="X6" s="31">
        <v>1872.2315276051791</v>
      </c>
      <c r="Y6" s="31">
        <v>1951.3283777866923</v>
      </c>
      <c r="Z6" s="31">
        <v>2026.6600609553759</v>
      </c>
      <c r="AA6" s="31">
        <v>2094.4351204005411</v>
      </c>
      <c r="AB6" s="31">
        <v>2132.1716783303937</v>
      </c>
      <c r="AC6" s="31">
        <v>2166.1629013656052</v>
      </c>
      <c r="AD6" s="31">
        <v>2219.4137144670922</v>
      </c>
      <c r="AE6" s="31">
        <v>2264.8897614094199</v>
      </c>
      <c r="AF6" s="31">
        <v>2313.3112355405369</v>
      </c>
      <c r="AG6" s="31">
        <v>2362.2116045635075</v>
      </c>
      <c r="AH6" s="31">
        <v>2395.2489943112951</v>
      </c>
      <c r="AI6" s="31">
        <v>2463.7690655595866</v>
      </c>
      <c r="AJ6" s="31">
        <v>2519.5697459678127</v>
      </c>
      <c r="AK6" s="31">
        <v>2583.3529577566924</v>
      </c>
      <c r="AL6" s="31">
        <v>2661.7031503840808</v>
      </c>
      <c r="AM6">
        <v>2706.9611669663841</v>
      </c>
      <c r="AN6" s="31">
        <v>2767.614495018066</v>
      </c>
      <c r="AO6" s="31">
        <v>2772.6818378118851</v>
      </c>
      <c r="AP6" s="31">
        <v>2836.7872651714038</v>
      </c>
      <c r="AQ6" s="31">
        <v>2913.7994470275657</v>
      </c>
      <c r="AR6" s="31">
        <v>2996.4674312806878</v>
      </c>
      <c r="AS6" s="31">
        <v>3043.0954832080238</v>
      </c>
      <c r="AT6" s="31">
        <v>3095.596171213143</v>
      </c>
      <c r="AU6" s="31">
        <v>3290.9119739385847</v>
      </c>
      <c r="AV6" s="31">
        <v>3410.8453937911854</v>
      </c>
      <c r="AW6" s="31">
        <v>3534.1983284466696</v>
      </c>
      <c r="AX6" s="185">
        <v>3632.7374859531155</v>
      </c>
      <c r="AY6" s="185">
        <v>3654.3109214995015</v>
      </c>
      <c r="AZ6" s="185">
        <v>3762.8469473390464</v>
      </c>
      <c r="BA6" s="185">
        <v>3917.3669832797195</v>
      </c>
      <c r="BB6" s="185">
        <v>4016.5356005998638</v>
      </c>
      <c r="BC6" s="185">
        <v>4094.0610010538076</v>
      </c>
      <c r="BD6" s="185">
        <v>4119.7290112877081</v>
      </c>
      <c r="BE6" s="185">
        <v>4174.2941660062097</v>
      </c>
      <c r="BF6" s="185">
        <v>4276.0058277090257</v>
      </c>
      <c r="BG6" s="185">
        <v>4329.7913598003342</v>
      </c>
      <c r="BH6" s="185">
        <v>4368.1644452744804</v>
      </c>
      <c r="BI6" s="185">
        <v>4398.9863327463008</v>
      </c>
      <c r="BJ6">
        <v>4456.2429825004192</v>
      </c>
      <c r="BK6" s="165">
        <v>4520.3604882902891</v>
      </c>
      <c r="BL6" s="165">
        <v>4542.2862036368351</v>
      </c>
      <c r="BM6" s="165">
        <v>4601.4040669672504</v>
      </c>
      <c r="BN6" s="165">
        <v>4689.5048730738545</v>
      </c>
      <c r="BO6" s="165">
        <v>4797.3048893527966</v>
      </c>
      <c r="BP6" s="165">
        <v>4841.1155898046127</v>
      </c>
      <c r="BQ6" s="165">
        <v>4936.5980391766088</v>
      </c>
      <c r="BR6" s="165">
        <v>5002.3696594200455</v>
      </c>
      <c r="BS6" s="165">
        <v>5099.1731478548181</v>
      </c>
      <c r="BT6" s="165">
        <v>5119.7758396726331</v>
      </c>
      <c r="BU6" s="165">
        <v>5228.2593306676936</v>
      </c>
      <c r="BV6" s="165">
        <v>5276.4053734281897</v>
      </c>
      <c r="BW6" s="165">
        <v>5301.9982354511321</v>
      </c>
      <c r="BX6" s="165">
        <v>5440.6047755865229</v>
      </c>
      <c r="BY6" s="165">
        <v>5504.4502054716386</v>
      </c>
      <c r="BZ6" s="165">
        <v>5616.7275117858799</v>
      </c>
      <c r="CA6" s="165">
        <v>5679.0196033733991</v>
      </c>
      <c r="CB6" s="165">
        <v>5750.4528762527443</v>
      </c>
      <c r="CC6" s="165">
        <v>5859.2910368386738</v>
      </c>
      <c r="CD6" s="165">
        <v>5966.3303762689748</v>
      </c>
      <c r="CE6" s="165">
        <v>6029.7707040153209</v>
      </c>
      <c r="CF6" s="165">
        <v>6045.9435259035927</v>
      </c>
      <c r="CG6" s="165">
        <v>6131.1820124479873</v>
      </c>
      <c r="CH6" s="165">
        <v>6251.566047872032</v>
      </c>
      <c r="CI6" s="165">
        <f ca="1">Index_CALCULATION!CW20</f>
        <v>3874.0885974653897</v>
      </c>
      <c r="CJ6" s="165">
        <v>6524.1091412699388</v>
      </c>
      <c r="CK6" s="165">
        <v>6640.6692372199223</v>
      </c>
      <c r="CL6" s="165">
        <v>6795.1746306476907</v>
      </c>
      <c r="CM6" s="165">
        <v>6854.2342041454795</v>
      </c>
      <c r="CN6" s="165">
        <v>7221.3398201372802</v>
      </c>
      <c r="CO6" s="165">
        <v>7332.5129217320382</v>
      </c>
      <c r="CP6" s="165">
        <v>7401.5784692769548</v>
      </c>
      <c r="CQ6" s="165">
        <v>7474.340536313789</v>
      </c>
      <c r="CR6" s="247">
        <v>7671.2217552537895</v>
      </c>
      <c r="CS6" s="247">
        <v>7767.7138463597103</v>
      </c>
      <c r="CT6" s="247">
        <v>7627.8869573062466</v>
      </c>
      <c r="CU6" s="247">
        <v>7932.025555701297</v>
      </c>
      <c r="CV6" s="247">
        <v>8024.0789836663207</v>
      </c>
      <c r="CW6" s="247">
        <v>8183.6958480026142</v>
      </c>
      <c r="CX6" s="247">
        <v>8235.0041183785543</v>
      </c>
      <c r="CY6" s="247">
        <v>8235.0041183785543</v>
      </c>
      <c r="DA6" t="s">
        <v>108</v>
      </c>
      <c r="DB6" s="55">
        <v>0.01</v>
      </c>
      <c r="DC6" s="55">
        <v>0.02</v>
      </c>
      <c r="DD6" s="186"/>
      <c r="DE6" s="55">
        <v>0.03</v>
      </c>
      <c r="DF6" s="55"/>
      <c r="DG6" s="55"/>
      <c r="DH6" s="55"/>
      <c r="DI6" s="55"/>
      <c r="DJ6" s="186"/>
      <c r="DK6" s="55"/>
      <c r="DL6" s="55"/>
      <c r="DM6" s="55"/>
      <c r="DN6" s="55"/>
      <c r="DO6" s="55"/>
      <c r="DP6" s="55"/>
    </row>
    <row r="7" spans="1:120" x14ac:dyDescent="0.3">
      <c r="A7" t="s">
        <v>157</v>
      </c>
      <c r="B7">
        <v>1000</v>
      </c>
      <c r="C7" s="30">
        <v>1000</v>
      </c>
      <c r="D7" s="30">
        <v>1000</v>
      </c>
      <c r="E7" s="30">
        <v>1000</v>
      </c>
      <c r="F7" s="30">
        <v>1000</v>
      </c>
      <c r="G7" s="30">
        <v>1000</v>
      </c>
      <c r="H7" s="30">
        <v>1000</v>
      </c>
      <c r="I7" s="30">
        <v>1000</v>
      </c>
      <c r="J7" s="30">
        <v>1000</v>
      </c>
      <c r="K7" s="31">
        <v>1000</v>
      </c>
      <c r="L7" s="31">
        <v>1000</v>
      </c>
      <c r="M7" s="31">
        <v>1000</v>
      </c>
      <c r="N7" s="31">
        <v>1000</v>
      </c>
      <c r="O7" s="31">
        <v>1000</v>
      </c>
      <c r="P7">
        <v>1011.7059152296835</v>
      </c>
      <c r="Q7" s="91">
        <v>1041.9285958270304</v>
      </c>
      <c r="R7" s="31">
        <v>1045.8678296912065</v>
      </c>
      <c r="S7" s="31">
        <v>1053.4374071146342</v>
      </c>
      <c r="T7" s="31">
        <v>1080.6924753352998</v>
      </c>
      <c r="U7" s="31">
        <v>1124.3278043876705</v>
      </c>
      <c r="V7" s="31">
        <v>1138.4701071909487</v>
      </c>
      <c r="W7" s="31">
        <v>1177.7238735002259</v>
      </c>
      <c r="X7" s="31">
        <v>1207.5380953023812</v>
      </c>
      <c r="Y7" s="31">
        <v>1234.3770298880768</v>
      </c>
      <c r="Z7" s="31">
        <v>1267.5445009370499</v>
      </c>
      <c r="AA7" s="31">
        <v>1304.2006664989281</v>
      </c>
      <c r="AB7" s="31">
        <v>1324.9923204675947</v>
      </c>
      <c r="AC7" s="31">
        <v>1329.0546340623723</v>
      </c>
      <c r="AD7" s="31">
        <v>1337.6260782615725</v>
      </c>
      <c r="AE7" s="31">
        <v>1352.2170654065844</v>
      </c>
      <c r="AF7" s="31">
        <v>1357.4279147139564</v>
      </c>
      <c r="AG7" s="31">
        <v>1357.4279147139564</v>
      </c>
      <c r="AH7" s="31">
        <v>1371.0702920615454</v>
      </c>
      <c r="AI7" s="31">
        <v>1380.7722608633167</v>
      </c>
      <c r="AJ7" s="31">
        <v>1405.4412146969087</v>
      </c>
      <c r="AK7" s="31">
        <v>1417.7515703310301</v>
      </c>
      <c r="AL7" s="31">
        <v>1425.5533019251664</v>
      </c>
      <c r="AM7">
        <v>1420.5891050864723</v>
      </c>
      <c r="AN7" s="31">
        <v>1423.0126287046173</v>
      </c>
      <c r="AO7" s="31">
        <v>1432.5893066090514</v>
      </c>
      <c r="AP7" s="31">
        <v>1417.3220702839276</v>
      </c>
      <c r="AQ7" s="31">
        <v>1441.1420532608586</v>
      </c>
      <c r="AR7" s="31">
        <v>1475.8667076171982</v>
      </c>
      <c r="AS7" s="31">
        <v>1487.8522704967388</v>
      </c>
      <c r="AT7" s="31">
        <v>1518.5081729542653</v>
      </c>
      <c r="AU7" s="31">
        <v>1535.5868155885219</v>
      </c>
      <c r="AV7" s="31">
        <v>1557.5547814244094</v>
      </c>
      <c r="AW7" s="31">
        <v>1564.7442731198278</v>
      </c>
      <c r="AX7" s="185">
        <v>1577.5096092912293</v>
      </c>
      <c r="AY7" s="185">
        <v>1582.7073298331657</v>
      </c>
      <c r="AZ7" s="185">
        <v>1584.6386381108498</v>
      </c>
      <c r="BA7" s="185">
        <v>1603.1040140110742</v>
      </c>
      <c r="BB7" s="185">
        <v>1619.4343048928324</v>
      </c>
      <c r="BC7" s="185">
        <v>1632.585785030165</v>
      </c>
      <c r="BD7" s="185">
        <v>1625.7974963483098</v>
      </c>
      <c r="BE7" s="185">
        <v>1632.2278010857535</v>
      </c>
      <c r="BF7" s="185">
        <v>1648.9372936919669</v>
      </c>
      <c r="BG7" s="185">
        <v>1668.2875524796975</v>
      </c>
      <c r="BH7" s="185">
        <v>1668.2875524796975</v>
      </c>
      <c r="BI7" s="185">
        <v>1672.2021871012914</v>
      </c>
      <c r="BJ7">
        <v>1691.3658899210895</v>
      </c>
      <c r="BK7" s="165">
        <v>1699.8438967251982</v>
      </c>
      <c r="BL7" s="165">
        <v>1710.8460843082059</v>
      </c>
      <c r="BM7" s="165">
        <v>1740.5991858005705</v>
      </c>
      <c r="BN7" s="165">
        <v>1740.5991858005705</v>
      </c>
      <c r="BO7" s="165">
        <v>1726.1544625246008</v>
      </c>
      <c r="BP7" s="165">
        <v>1736.6477705056179</v>
      </c>
      <c r="BQ7" s="165">
        <v>1835.6991852735014</v>
      </c>
      <c r="BR7" s="165">
        <v>1862.8942350235277</v>
      </c>
      <c r="BS7" s="165">
        <v>1897.3622877295481</v>
      </c>
      <c r="BT7" s="165">
        <v>1901.9582377363149</v>
      </c>
      <c r="BU7" s="165">
        <v>1898.893035760897</v>
      </c>
      <c r="BV7" s="165">
        <v>1886.2758528624249</v>
      </c>
      <c r="BW7" s="165">
        <v>1904.6187480996509</v>
      </c>
      <c r="BX7" s="165">
        <v>1904.6187480996509</v>
      </c>
      <c r="BY7" s="165">
        <v>1904.6187480996509</v>
      </c>
      <c r="BZ7" s="165">
        <v>1904.6187480996509</v>
      </c>
      <c r="CA7" s="165">
        <v>1917.2646396292766</v>
      </c>
      <c r="CB7" s="165">
        <v>1880.3446019096141</v>
      </c>
      <c r="CC7" s="165">
        <v>1887.0721246275789</v>
      </c>
      <c r="CD7" s="165">
        <v>1890.3285036728889</v>
      </c>
      <c r="CE7" s="165">
        <v>1872.239374398242</v>
      </c>
      <c r="CF7" s="165">
        <v>1880.616270407166</v>
      </c>
      <c r="CG7" s="165">
        <v>1895.7215410918043</v>
      </c>
      <c r="CH7" s="165">
        <v>1892.2141941910927</v>
      </c>
      <c r="CI7" s="165">
        <f ca="1">Index_CALCULATION!CW21</f>
        <v>1614.0924268272679</v>
      </c>
      <c r="CJ7" s="165">
        <v>1873.4010301454318</v>
      </c>
      <c r="CK7" s="165">
        <v>1867.555789871024</v>
      </c>
      <c r="CL7" s="165">
        <v>1841.5921781657062</v>
      </c>
      <c r="CM7" s="165">
        <v>1838.0540578752946</v>
      </c>
      <c r="CN7" s="165">
        <v>1810.295412788314</v>
      </c>
      <c r="CO7" s="165">
        <v>1782.8483209126275</v>
      </c>
      <c r="CP7" s="165">
        <v>1762.5364429372162</v>
      </c>
      <c r="CQ7" s="165">
        <v>1758.7090037416449</v>
      </c>
      <c r="CR7" s="247">
        <v>1748.1883432625948</v>
      </c>
      <c r="CS7" s="247">
        <v>1748.1883432625948</v>
      </c>
      <c r="CT7" s="247">
        <v>1766.0768952262902</v>
      </c>
      <c r="CU7" s="247">
        <v>1705.8713758054519</v>
      </c>
      <c r="CV7" s="247">
        <v>1692.7996287059218</v>
      </c>
      <c r="CW7" s="247">
        <v>1712.1457008042225</v>
      </c>
      <c r="CX7" s="247">
        <v>1699.9596620340028</v>
      </c>
      <c r="CY7" s="247">
        <v>1699.9596620340028</v>
      </c>
      <c r="DB7" s="55"/>
      <c r="DC7" s="55"/>
      <c r="DD7" s="186"/>
      <c r="DE7" s="55"/>
      <c r="DF7" s="55"/>
      <c r="DG7" s="55"/>
      <c r="DH7" s="55"/>
      <c r="DI7" s="55"/>
      <c r="DJ7" s="186"/>
      <c r="DK7" s="55"/>
      <c r="DL7" s="55"/>
      <c r="DM7" s="55"/>
      <c r="DN7" s="55"/>
      <c r="DO7" s="55"/>
      <c r="DP7" s="55"/>
    </row>
    <row r="8" spans="1:120" x14ac:dyDescent="0.3">
      <c r="A8" t="s">
        <v>158</v>
      </c>
      <c r="B8">
        <v>1000</v>
      </c>
      <c r="C8" s="30">
        <v>1047.9448766671974</v>
      </c>
      <c r="D8" s="30">
        <v>1080.2452824966854</v>
      </c>
      <c r="E8" s="30">
        <v>1108.4312246480806</v>
      </c>
      <c r="F8" s="30">
        <v>1127.378309491789</v>
      </c>
      <c r="G8" s="30">
        <v>1159.7141421831629</v>
      </c>
      <c r="H8" s="30">
        <v>1192.8618832469015</v>
      </c>
      <c r="I8" s="30">
        <v>1217.1409410260942</v>
      </c>
      <c r="J8" s="30">
        <v>1239.6241005467175</v>
      </c>
      <c r="K8" s="31">
        <v>1266.7351017770673</v>
      </c>
      <c r="L8" s="31">
        <v>1303.0680114760471</v>
      </c>
      <c r="M8" s="31">
        <v>1341.2483747146998</v>
      </c>
      <c r="N8" s="31">
        <v>1376.452991265038</v>
      </c>
      <c r="O8" s="31">
        <v>1437.1927220758905</v>
      </c>
      <c r="P8">
        <v>1458.4101217909965</v>
      </c>
      <c r="Q8" s="91">
        <v>1503.7951999174243</v>
      </c>
      <c r="R8" s="31">
        <v>1524.507323448516</v>
      </c>
      <c r="S8" s="31">
        <v>1554.8558334609293</v>
      </c>
      <c r="T8" s="31">
        <v>1597.6866556253408</v>
      </c>
      <c r="U8" s="31">
        <v>1626.2310140726381</v>
      </c>
      <c r="V8" s="31">
        <v>1657.0105015440311</v>
      </c>
      <c r="W8" s="31">
        <v>1697.5187371618842</v>
      </c>
      <c r="X8" s="31">
        <v>1731.1089471723812</v>
      </c>
      <c r="Y8" s="31">
        <v>1776.4629524796533</v>
      </c>
      <c r="Z8" s="31">
        <v>1804.2673066337316</v>
      </c>
      <c r="AA8" s="31">
        <v>1837.8118237440658</v>
      </c>
      <c r="AB8" s="31">
        <v>1866.1579780074526</v>
      </c>
      <c r="AC8" s="31">
        <v>1874.7467748488298</v>
      </c>
      <c r="AD8" s="31">
        <v>1894.9413394163928</v>
      </c>
      <c r="AE8" s="31">
        <v>1907.4965131134056</v>
      </c>
      <c r="AF8" s="31">
        <v>1925.9262884340626</v>
      </c>
      <c r="AG8" s="31">
        <v>1943.694831961179</v>
      </c>
      <c r="AH8" s="31">
        <v>1966.5040668221436</v>
      </c>
      <c r="AI8" s="31">
        <v>1988.0511093568878</v>
      </c>
      <c r="AJ8" s="31">
        <v>2023.5697407964292</v>
      </c>
      <c r="AK8" s="31">
        <v>2030.6410314843351</v>
      </c>
      <c r="AL8" s="31">
        <v>2059.3201673941671</v>
      </c>
      <c r="AM8">
        <v>2097.9917206682235</v>
      </c>
      <c r="AN8" s="31">
        <v>2111.1452308242492</v>
      </c>
      <c r="AO8" s="31">
        <v>2121.4686588648874</v>
      </c>
      <c r="AP8" s="31">
        <v>2130.5801781408441</v>
      </c>
      <c r="AQ8" s="31">
        <v>2159.9494160482536</v>
      </c>
      <c r="AR8" s="31">
        <v>2230.5042033418472</v>
      </c>
      <c r="AS8" s="31">
        <v>2281.9304600207461</v>
      </c>
      <c r="AT8" s="31">
        <v>2355.141298623565</v>
      </c>
      <c r="AU8" s="31">
        <v>2417.9413941090438</v>
      </c>
      <c r="AV8" s="31">
        <v>2465.1057233593874</v>
      </c>
      <c r="AW8" s="31">
        <v>2504.3373536459821</v>
      </c>
      <c r="AX8" s="185">
        <v>2529.5063624852473</v>
      </c>
      <c r="AY8" s="185">
        <v>2524.5188392341747</v>
      </c>
      <c r="AZ8" s="185">
        <v>2541.5085013772505</v>
      </c>
      <c r="BA8" s="85">
        <v>2590.0061285576603</v>
      </c>
      <c r="BB8" s="185">
        <v>2632.3486175368766</v>
      </c>
      <c r="BC8" s="185">
        <v>2665.4594870606202</v>
      </c>
      <c r="BD8" s="185">
        <v>2676.5887380950185</v>
      </c>
      <c r="BE8" s="185">
        <v>2667.7986352098696</v>
      </c>
      <c r="BF8" s="185">
        <v>2672.7435802925411</v>
      </c>
      <c r="BG8" s="185">
        <v>2704.1081932161223</v>
      </c>
      <c r="BH8" s="185">
        <v>2728.0735454021469</v>
      </c>
      <c r="BI8" s="185">
        <v>2764.5474455308322</v>
      </c>
      <c r="BJ8">
        <v>2861.3756245033073</v>
      </c>
      <c r="BK8" s="165">
        <v>2894.2646394653771</v>
      </c>
      <c r="BL8" s="165">
        <v>2898.9365749157678</v>
      </c>
      <c r="BM8" s="165">
        <v>2949.3516034355739</v>
      </c>
      <c r="BN8" s="165">
        <v>2964.6463917373408</v>
      </c>
      <c r="BO8" s="165">
        <v>2966.8931869248313</v>
      </c>
      <c r="BP8" s="165">
        <v>2998.5276981057514</v>
      </c>
      <c r="BQ8" s="165">
        <v>3048.1280585577088</v>
      </c>
      <c r="BR8" s="165">
        <v>3100.115644926283</v>
      </c>
      <c r="BS8" s="165">
        <v>3100.115644926283</v>
      </c>
      <c r="BT8" s="165">
        <v>3115.1525547807305</v>
      </c>
      <c r="BU8" s="165">
        <v>3117.6657878471933</v>
      </c>
      <c r="BV8" s="165">
        <v>3117.6657878471933</v>
      </c>
      <c r="BW8" s="165">
        <v>3125.2176593012732</v>
      </c>
      <c r="BX8" s="165">
        <v>3269.5920509382172</v>
      </c>
      <c r="BY8" s="165">
        <v>3280.508875707791</v>
      </c>
      <c r="BZ8" s="165">
        <v>3360.3227198378568</v>
      </c>
      <c r="CA8" s="165">
        <v>3385.1220373595634</v>
      </c>
      <c r="CB8" s="165">
        <v>3375.7319683894307</v>
      </c>
      <c r="CC8" s="165">
        <v>3406.0073893944927</v>
      </c>
      <c r="CD8" s="165">
        <v>3432.5360887758152</v>
      </c>
      <c r="CE8" s="165">
        <v>3416.0731175861906</v>
      </c>
      <c r="CF8" s="165">
        <v>3440.5609924355285</v>
      </c>
      <c r="CG8" s="165">
        <v>3440.5609924355285</v>
      </c>
      <c r="CH8" s="165">
        <v>3479.00261699879</v>
      </c>
      <c r="CI8" s="165">
        <f ca="1">Index_CALCULATION!CW22</f>
        <v>2560.5680303768227</v>
      </c>
      <c r="CJ8" s="165">
        <v>3468.2496293580671</v>
      </c>
      <c r="CK8" s="165">
        <v>3457.4282664523098</v>
      </c>
      <c r="CL8" s="165">
        <v>3447.0715245333868</v>
      </c>
      <c r="CM8" s="165">
        <v>3447.0715245333868</v>
      </c>
      <c r="CN8" s="165">
        <v>3450.8203784593939</v>
      </c>
      <c r="CO8" s="165">
        <v>3384.3692397365016</v>
      </c>
      <c r="CP8" s="165">
        <v>3345.8113353904523</v>
      </c>
      <c r="CQ8" s="165">
        <v>3360.3900110037998</v>
      </c>
      <c r="CR8" s="247">
        <v>3357.0313006278766</v>
      </c>
      <c r="CS8" s="247">
        <v>3371.0481124595285</v>
      </c>
      <c r="CT8" s="247">
        <v>3348.2230897464733</v>
      </c>
      <c r="CU8" s="247">
        <v>3290.4270520318728</v>
      </c>
      <c r="CV8" s="247">
        <v>3237.0784354430384</v>
      </c>
      <c r="CW8" s="247">
        <v>3251.825919949993</v>
      </c>
      <c r="CX8" s="247">
        <v>3220.0446680672244</v>
      </c>
      <c r="CY8" s="247">
        <v>3220.0446680672244</v>
      </c>
      <c r="DB8" s="55"/>
      <c r="DC8" s="55"/>
      <c r="DD8" s="186"/>
      <c r="DE8" s="55"/>
      <c r="DF8" s="55"/>
      <c r="DG8" s="55"/>
      <c r="DH8" s="55"/>
      <c r="DI8" s="55"/>
      <c r="DJ8" s="186"/>
      <c r="DK8" s="55"/>
      <c r="DL8" s="55"/>
      <c r="DM8" s="55"/>
      <c r="DN8" s="55"/>
      <c r="DO8" s="55"/>
      <c r="DP8" s="55"/>
    </row>
    <row r="9" spans="1:120" x14ac:dyDescent="0.3">
      <c r="A9" s="83" t="s">
        <v>159</v>
      </c>
      <c r="B9" s="83">
        <v>1000</v>
      </c>
      <c r="C9" s="84">
        <v>1000</v>
      </c>
      <c r="D9" s="84">
        <v>1000</v>
      </c>
      <c r="E9" s="84">
        <v>1000</v>
      </c>
      <c r="F9" s="84">
        <v>1000</v>
      </c>
      <c r="G9" s="84">
        <v>1000</v>
      </c>
      <c r="H9" s="84">
        <v>1000</v>
      </c>
      <c r="I9" s="84">
        <v>1000</v>
      </c>
      <c r="J9" s="84">
        <v>1000</v>
      </c>
      <c r="K9" s="85">
        <v>1000</v>
      </c>
      <c r="L9" s="85">
        <v>1000</v>
      </c>
      <c r="M9" s="85">
        <v>1000</v>
      </c>
      <c r="N9" s="85">
        <v>1000</v>
      </c>
      <c r="O9" s="85">
        <v>1000</v>
      </c>
      <c r="P9">
        <v>1020.4652193217524</v>
      </c>
      <c r="Q9" s="91">
        <v>1074.5172854217869</v>
      </c>
      <c r="R9" s="85">
        <v>1105.3625831648267</v>
      </c>
      <c r="S9" s="85">
        <v>1121.9601133411236</v>
      </c>
      <c r="T9" s="85">
        <v>1168.0020600735822</v>
      </c>
      <c r="U9" s="85">
        <v>1207.5916224838647</v>
      </c>
      <c r="V9" s="85">
        <v>1224.0556492940045</v>
      </c>
      <c r="W9" s="85">
        <v>1242.3442967394099</v>
      </c>
      <c r="X9" s="85">
        <v>1271.2149918245259</v>
      </c>
      <c r="Y9" s="85">
        <v>1327.7789878233498</v>
      </c>
      <c r="Z9" s="85">
        <v>1359.845715375656</v>
      </c>
      <c r="AA9" s="85">
        <v>1393.6589855474729</v>
      </c>
      <c r="AB9" s="85">
        <v>1417.3222996162435</v>
      </c>
      <c r="AC9" s="85">
        <v>1444.3320101358456</v>
      </c>
      <c r="AD9" s="85">
        <v>1466.1602931315799</v>
      </c>
      <c r="AE9" s="85">
        <v>1498.3208551320099</v>
      </c>
      <c r="AF9" s="85">
        <v>1512.7972730591214</v>
      </c>
      <c r="AG9" s="85">
        <v>1535.3469079184435</v>
      </c>
      <c r="AH9" s="85">
        <v>1563.7545422055773</v>
      </c>
      <c r="AI9" s="85">
        <v>1611.5845581671533</v>
      </c>
      <c r="AJ9" s="85">
        <v>1669.6842877038362</v>
      </c>
      <c r="AK9" s="85">
        <v>1709.9630610904921</v>
      </c>
      <c r="AL9" s="85">
        <v>1735.1709085586417</v>
      </c>
      <c r="AM9">
        <v>1819.8977779065001</v>
      </c>
      <c r="AN9" s="85">
        <v>1851.1846547523789</v>
      </c>
      <c r="AO9" s="85">
        <v>1878.4743556086173</v>
      </c>
      <c r="AP9" s="85">
        <v>1897.3533367458087</v>
      </c>
      <c r="AQ9" s="85">
        <v>1955.8347360477737</v>
      </c>
      <c r="AR9" s="85">
        <v>2075.7880958291139</v>
      </c>
      <c r="AS9" s="85">
        <v>2161.4559882851104</v>
      </c>
      <c r="AT9" s="85">
        <v>2233.7388594564472</v>
      </c>
      <c r="AU9" s="85">
        <v>2267.7958737376316</v>
      </c>
      <c r="AV9" s="85">
        <v>2302.8541494247588</v>
      </c>
      <c r="AW9" s="85">
        <v>2321.1065309937799</v>
      </c>
      <c r="AX9" s="85">
        <v>2369.4764533560856</v>
      </c>
      <c r="AY9" s="85">
        <v>2426.2654795536791</v>
      </c>
      <c r="AZ9" s="85">
        <v>2457.5332760599572</v>
      </c>
      <c r="BA9" s="85">
        <v>2495.2826665706098</v>
      </c>
      <c r="BB9" s="85">
        <v>2579.2795715563543</v>
      </c>
      <c r="BC9" s="85">
        <v>2644.5743447765008</v>
      </c>
      <c r="BD9" s="85">
        <v>2683.4236415777546</v>
      </c>
      <c r="BE9" s="85">
        <v>2717.1769558163332</v>
      </c>
      <c r="BF9" s="85">
        <v>2762.8427294537173</v>
      </c>
      <c r="BG9" s="85">
        <v>2816.3079534209469</v>
      </c>
      <c r="BH9" s="85">
        <v>2858.0302767292001</v>
      </c>
      <c r="BI9" s="85">
        <v>2914.3998729801424</v>
      </c>
      <c r="BJ9">
        <v>2947.350493249256</v>
      </c>
      <c r="BK9" s="165">
        <v>2972.7220775021506</v>
      </c>
      <c r="BL9" s="165">
        <v>2987.1410731208734</v>
      </c>
      <c r="BM9" s="165">
        <v>3010.4073078874731</v>
      </c>
      <c r="BN9" s="165">
        <v>3070.6920942186093</v>
      </c>
      <c r="BO9" s="165">
        <v>3080.01133470685</v>
      </c>
      <c r="BP9" s="165">
        <v>3105.7853383563388</v>
      </c>
      <c r="BQ9" s="165">
        <v>3154.6943407975755</v>
      </c>
      <c r="BR9" s="165">
        <v>3170.9735973459974</v>
      </c>
      <c r="BS9" s="165">
        <v>3200.1744882648359</v>
      </c>
      <c r="BT9" s="165">
        <v>3220.8875196708823</v>
      </c>
      <c r="BU9" s="165">
        <v>3260.0864811883475</v>
      </c>
      <c r="BV9" s="165">
        <v>3301.0933210102526</v>
      </c>
      <c r="BW9" s="165">
        <v>3384.660896294014</v>
      </c>
      <c r="BX9" s="165">
        <v>3578.3395654583096</v>
      </c>
      <c r="BY9" s="165">
        <v>3671.9843751740477</v>
      </c>
      <c r="BZ9" s="165">
        <v>3725.3294636782139</v>
      </c>
      <c r="CA9" s="165">
        <v>3805.6196286549971</v>
      </c>
      <c r="CB9" s="165">
        <v>3826.8207975313435</v>
      </c>
      <c r="CC9" s="165">
        <v>3930.710089057975</v>
      </c>
      <c r="CD9" s="165">
        <v>4016.3431238136764</v>
      </c>
      <c r="CE9" s="165">
        <v>4031.8203421688518</v>
      </c>
      <c r="CF9" s="165">
        <v>4156.0916050789874</v>
      </c>
      <c r="CG9" s="165">
        <v>4206.2651434893824</v>
      </c>
      <c r="CH9" s="165">
        <v>4253.2620331870394</v>
      </c>
      <c r="CI9" s="165">
        <f ca="1">Index_CALCULATION!CW23</f>
        <v>2569.3128647252079</v>
      </c>
      <c r="CJ9" s="165">
        <v>4371.3702044138408</v>
      </c>
      <c r="CK9" s="165">
        <v>4398.7768246655132</v>
      </c>
      <c r="CL9" s="165">
        <v>4451.8801291502841</v>
      </c>
      <c r="CM9" s="165">
        <v>4481.945775901786</v>
      </c>
      <c r="CN9" s="165">
        <v>4600.4044964268496</v>
      </c>
      <c r="CO9" s="165">
        <v>4568.5679146102839</v>
      </c>
      <c r="CP9" s="165">
        <v>4573.3293189889127</v>
      </c>
      <c r="CQ9" s="165">
        <v>4608.2591064417229</v>
      </c>
      <c r="CR9" s="247">
        <v>4649.9206340590445</v>
      </c>
      <c r="CS9" s="247">
        <v>4708.4094354223525</v>
      </c>
      <c r="CT9" s="247">
        <v>4732.9235145327712</v>
      </c>
      <c r="CU9" s="247">
        <v>4744.9848857068582</v>
      </c>
      <c r="CV9" s="247">
        <v>4851.0910157995386</v>
      </c>
      <c r="CW9" s="247">
        <v>4928.8846358803494</v>
      </c>
      <c r="CX9" s="247">
        <v>4986.4282162052705</v>
      </c>
      <c r="CY9" s="247">
        <v>4986.4282162052705</v>
      </c>
      <c r="DB9" s="55"/>
      <c r="DC9" s="55"/>
      <c r="DD9" s="186"/>
      <c r="DE9" s="55"/>
      <c r="DF9" s="55"/>
      <c r="DG9" s="55"/>
      <c r="DH9" s="55"/>
      <c r="DI9" s="55"/>
      <c r="DJ9" s="186"/>
      <c r="DK9" s="55"/>
      <c r="DL9" s="55"/>
      <c r="DM9" s="55"/>
      <c r="DN9" s="55"/>
      <c r="DO9" s="55"/>
      <c r="DP9" s="55"/>
    </row>
    <row r="10" spans="1:120" x14ac:dyDescent="0.3">
      <c r="A10" s="83" t="s">
        <v>160</v>
      </c>
      <c r="B10" s="83">
        <v>1000</v>
      </c>
      <c r="C10" s="84">
        <v>1000</v>
      </c>
      <c r="D10" s="84">
        <v>1000</v>
      </c>
      <c r="E10" s="84">
        <v>1000</v>
      </c>
      <c r="F10" s="84">
        <v>1000</v>
      </c>
      <c r="G10" s="84">
        <v>1000</v>
      </c>
      <c r="H10" s="84">
        <v>1000</v>
      </c>
      <c r="I10" s="84">
        <v>1000</v>
      </c>
      <c r="J10" s="84">
        <v>1000</v>
      </c>
      <c r="K10" s="85">
        <v>1000</v>
      </c>
      <c r="L10" s="85">
        <v>1000</v>
      </c>
      <c r="M10" s="85">
        <v>1000</v>
      </c>
      <c r="N10" s="85">
        <v>1000</v>
      </c>
      <c r="O10" s="85">
        <v>1000</v>
      </c>
      <c r="P10">
        <v>1045.8475258241865</v>
      </c>
      <c r="Q10" s="91">
        <v>1088.4415919530147</v>
      </c>
      <c r="R10" s="85">
        <v>1129.2338499469809</v>
      </c>
      <c r="S10" s="85">
        <v>1182.5737887006619</v>
      </c>
      <c r="T10" s="85">
        <v>1232.4420256986964</v>
      </c>
      <c r="U10" s="85">
        <v>1283.5409013386691</v>
      </c>
      <c r="V10" s="85">
        <v>1337.4548218869177</v>
      </c>
      <c r="W10" s="85">
        <v>1402.4574907191536</v>
      </c>
      <c r="X10" s="85">
        <v>1459.4956242220144</v>
      </c>
      <c r="Y10" s="85">
        <v>1532.3428055857883</v>
      </c>
      <c r="Z10" s="85">
        <v>1599.3556670244416</v>
      </c>
      <c r="AA10" s="85">
        <v>1644.8858923617217</v>
      </c>
      <c r="AB10" s="85">
        <v>1688.2482005904544</v>
      </c>
      <c r="AC10" s="85">
        <v>1730.9864072635519</v>
      </c>
      <c r="AD10" s="85">
        <v>1778.6137713771911</v>
      </c>
      <c r="AE10" s="85">
        <v>1840.9251479073762</v>
      </c>
      <c r="AF10" s="85">
        <v>1885.1100322714167</v>
      </c>
      <c r="AG10" s="85">
        <v>1979.7405159956827</v>
      </c>
      <c r="AH10" s="85">
        <v>2050.2582966742648</v>
      </c>
      <c r="AI10" s="85">
        <v>2130.6504784694584</v>
      </c>
      <c r="AJ10" s="85">
        <v>2208.6132326932175</v>
      </c>
      <c r="AK10" s="85">
        <v>2284.3596680779392</v>
      </c>
      <c r="AL10" s="85">
        <v>2378.1661244533284</v>
      </c>
      <c r="AM10">
        <v>2488.4959502602765</v>
      </c>
      <c r="AN10" s="85">
        <v>2570.4085510928185</v>
      </c>
      <c r="AO10" s="85">
        <v>2662.9398232615586</v>
      </c>
      <c r="AP10" s="85">
        <v>2720.6185992810997</v>
      </c>
      <c r="AQ10" s="85">
        <v>2807.8158392619357</v>
      </c>
      <c r="AR10" s="85">
        <v>2887.4769414776561</v>
      </c>
      <c r="AS10" s="85">
        <v>3046.7015937647825</v>
      </c>
      <c r="AT10" s="85">
        <v>3198.6977418188444</v>
      </c>
      <c r="AU10" s="85">
        <v>3334.061197423855</v>
      </c>
      <c r="AV10" s="85">
        <v>3453.6043072784828</v>
      </c>
      <c r="AW10" s="85">
        <v>3597.3874947971849</v>
      </c>
      <c r="AX10" s="85">
        <v>3725.525389801267</v>
      </c>
      <c r="AY10" s="85">
        <v>3817.3252895450692</v>
      </c>
      <c r="AZ10" s="85">
        <v>3937.8998663978414</v>
      </c>
      <c r="BA10" s="85">
        <v>4064.7606860226279</v>
      </c>
      <c r="BB10" s="85">
        <v>4218.6578464756958</v>
      </c>
      <c r="BC10" s="85">
        <v>4431.69326320452</v>
      </c>
      <c r="BD10" s="85">
        <v>4540.7277339977591</v>
      </c>
      <c r="BE10" s="85">
        <v>4695.6658543566255</v>
      </c>
      <c r="BF10" s="85">
        <v>4801.1820443704</v>
      </c>
      <c r="BG10" s="85">
        <v>4992.9594669358139</v>
      </c>
      <c r="BH10" s="85">
        <v>5157.1378980390609</v>
      </c>
      <c r="BI10" s="85">
        <v>5375.1581921804818</v>
      </c>
      <c r="BJ10">
        <v>5606.4618720234357</v>
      </c>
      <c r="BK10" s="165">
        <v>5923.4546724223637</v>
      </c>
      <c r="BL10" s="165">
        <v>6217.1209821883758</v>
      </c>
      <c r="BM10" s="165">
        <v>6547.1580691954023</v>
      </c>
      <c r="BN10" s="165">
        <v>6918.5311581790147</v>
      </c>
      <c r="BO10" s="165">
        <v>7109.8149303741011</v>
      </c>
      <c r="BP10" s="165">
        <v>7273.2518359705364</v>
      </c>
      <c r="BQ10" s="165">
        <v>7521.7380634894862</v>
      </c>
      <c r="BR10" s="165">
        <v>7746.2511319758842</v>
      </c>
      <c r="BS10" s="165">
        <v>7804.5664244598402</v>
      </c>
      <c r="BT10" s="165">
        <v>7989.2436897914458</v>
      </c>
      <c r="BU10" s="165">
        <v>8304.568421579841</v>
      </c>
      <c r="BV10" s="165">
        <v>8437.1038919143957</v>
      </c>
      <c r="BW10" s="165">
        <v>8601.9932328204213</v>
      </c>
      <c r="BX10" s="165">
        <v>8805.5397849593755</v>
      </c>
      <c r="BY10" s="165">
        <v>9043.5130541955823</v>
      </c>
      <c r="BZ10" s="165">
        <v>9353.0412449983596</v>
      </c>
      <c r="CA10" s="165">
        <v>9596.8685386963407</v>
      </c>
      <c r="CB10" s="165">
        <v>9991.2991490267414</v>
      </c>
      <c r="CC10" s="165">
        <v>10198.598852359137</v>
      </c>
      <c r="CD10" s="165">
        <v>10529.142566659679</v>
      </c>
      <c r="CE10" s="165">
        <v>10620.655545072283</v>
      </c>
      <c r="CF10" s="165">
        <v>10735.060070009846</v>
      </c>
      <c r="CG10" s="165">
        <v>10973.848432484352</v>
      </c>
      <c r="CH10" s="165">
        <v>11314.335868605229</v>
      </c>
      <c r="CI10" s="165">
        <f ca="1">Index_CALCULATION!CW24</f>
        <v>4633.6461462622701</v>
      </c>
      <c r="CJ10" s="165">
        <v>12475.888422244157</v>
      </c>
      <c r="CK10" s="165">
        <v>12858.514367931422</v>
      </c>
      <c r="CL10" s="165">
        <v>13356.540482387283</v>
      </c>
      <c r="CM10" s="165">
        <v>13773.898930806195</v>
      </c>
      <c r="CN10" s="165">
        <v>14417.28153071089</v>
      </c>
      <c r="CO10" s="165">
        <v>14700.360801068182</v>
      </c>
      <c r="CP10" s="165">
        <v>15151.209611436185</v>
      </c>
      <c r="CQ10" s="165">
        <v>15928.028739637472</v>
      </c>
      <c r="CR10" s="247">
        <v>16845.446301530767</v>
      </c>
      <c r="CS10" s="247">
        <v>17247.918718848272</v>
      </c>
      <c r="CT10" s="247">
        <v>17493.093590707718</v>
      </c>
      <c r="CU10" s="247">
        <v>18473.592425541021</v>
      </c>
      <c r="CV10" s="247">
        <v>18687.983755682089</v>
      </c>
      <c r="CW10" s="247">
        <v>19248.366345293689</v>
      </c>
      <c r="CX10" s="247">
        <v>19718.027815359957</v>
      </c>
      <c r="CY10" s="247">
        <v>19718.027815359957</v>
      </c>
      <c r="DB10" s="55"/>
      <c r="DC10" s="55"/>
      <c r="DD10" s="186"/>
      <c r="DE10" s="55"/>
      <c r="DF10" s="55"/>
      <c r="DG10" s="55"/>
      <c r="DH10" s="55"/>
      <c r="DI10" s="55"/>
      <c r="DJ10" s="186"/>
      <c r="DK10" s="55"/>
      <c r="DL10" s="55"/>
      <c r="DM10" s="55"/>
      <c r="DN10" s="55"/>
      <c r="DO10" s="55"/>
      <c r="DP10" s="55"/>
    </row>
    <row r="11" spans="1:120" x14ac:dyDescent="0.3">
      <c r="A11" s="83" t="s">
        <v>161</v>
      </c>
      <c r="B11" s="83">
        <v>1000</v>
      </c>
      <c r="C11" s="84">
        <v>1000</v>
      </c>
      <c r="D11" s="84">
        <v>1000</v>
      </c>
      <c r="E11" s="84">
        <v>1000</v>
      </c>
      <c r="F11" s="84">
        <v>1000</v>
      </c>
      <c r="G11" s="84">
        <v>1000</v>
      </c>
      <c r="H11" s="84">
        <v>1000</v>
      </c>
      <c r="I11" s="84">
        <v>1000</v>
      </c>
      <c r="J11" s="84">
        <v>1000</v>
      </c>
      <c r="K11" s="85">
        <v>1000</v>
      </c>
      <c r="L11" s="85">
        <v>1000</v>
      </c>
      <c r="M11" s="85">
        <v>1000</v>
      </c>
      <c r="N11" s="85">
        <v>1000</v>
      </c>
      <c r="O11" s="85">
        <v>1000</v>
      </c>
      <c r="P11">
        <v>1039.5553809752741</v>
      </c>
      <c r="Q11" s="91">
        <v>1079.2788681594968</v>
      </c>
      <c r="R11" s="85">
        <v>1118.6718797943499</v>
      </c>
      <c r="S11" s="85">
        <v>1141.4900470271002</v>
      </c>
      <c r="T11" s="85">
        <v>1163.4109992779991</v>
      </c>
      <c r="U11" s="85">
        <v>1198.4675594200671</v>
      </c>
      <c r="V11" s="85">
        <v>1231.3695930620011</v>
      </c>
      <c r="W11" s="85">
        <v>1280.8626802594508</v>
      </c>
      <c r="X11" s="85">
        <v>1306.2081715831323</v>
      </c>
      <c r="Y11" s="85">
        <v>1346.8006120329501</v>
      </c>
      <c r="Z11" s="85">
        <v>1376.7168352475803</v>
      </c>
      <c r="AA11" s="85">
        <v>1392.5060931225594</v>
      </c>
      <c r="AB11" s="85">
        <v>1408.9429781379679</v>
      </c>
      <c r="AC11" s="85">
        <v>1425.5738811116059</v>
      </c>
      <c r="AD11" s="85">
        <v>1434.7678048681007</v>
      </c>
      <c r="AE11" s="85">
        <v>1458.6516208537289</v>
      </c>
      <c r="AF11" s="85">
        <v>1468.9733327310225</v>
      </c>
      <c r="AG11" s="85">
        <v>1516.9573735889883</v>
      </c>
      <c r="AH11" s="85">
        <v>1539.0279952940803</v>
      </c>
      <c r="AI11" s="85">
        <v>1569.917138807094</v>
      </c>
      <c r="AJ11" s="85">
        <v>1605.4734114117566</v>
      </c>
      <c r="AK11" s="85">
        <v>1641.3378914414757</v>
      </c>
      <c r="AL11" s="85">
        <v>1667.5664619642273</v>
      </c>
      <c r="AM11">
        <v>1698.8813523309257</v>
      </c>
      <c r="AN11" s="85">
        <v>1709.532611295213</v>
      </c>
      <c r="AO11" s="85">
        <v>1728.3991204287354</v>
      </c>
      <c r="AP11" s="85">
        <v>1721.0075460285293</v>
      </c>
      <c r="AQ11" s="85">
        <v>1745.7698203771731</v>
      </c>
      <c r="AR11" s="85">
        <v>1811.4006360337569</v>
      </c>
      <c r="AS11" s="85">
        <v>1843.6502480879969</v>
      </c>
      <c r="AT11" s="85">
        <v>1854.5989802633883</v>
      </c>
      <c r="AU11" s="85">
        <v>1887.8368455490418</v>
      </c>
      <c r="AV11" s="85">
        <v>1903.9951226062221</v>
      </c>
      <c r="AW11" s="85">
        <v>1944.5041450460255</v>
      </c>
      <c r="AX11" s="85">
        <v>1970.1939827208928</v>
      </c>
      <c r="AY11" s="85">
        <v>2005.5035255822729</v>
      </c>
      <c r="AZ11" s="85">
        <v>2035.0681566085561</v>
      </c>
      <c r="BA11" s="85">
        <v>2063.8098176624972</v>
      </c>
      <c r="BB11" s="85">
        <v>2077.8016952174739</v>
      </c>
      <c r="BC11" s="85">
        <v>2122.5835172078791</v>
      </c>
      <c r="BD11" s="85">
        <v>2143.3203867343395</v>
      </c>
      <c r="BE11" s="85">
        <v>2197.5788006469847</v>
      </c>
      <c r="BF11" s="85">
        <v>2267.8623474077722</v>
      </c>
      <c r="BG11" s="85">
        <v>2296.3885440454701</v>
      </c>
      <c r="BH11" s="85">
        <v>2345.881459195627</v>
      </c>
      <c r="BI11" s="85">
        <v>2373.5339675043283</v>
      </c>
      <c r="BJ11">
        <v>2424.2534659828248</v>
      </c>
      <c r="BK11" s="165">
        <v>2528.6017577876</v>
      </c>
      <c r="BL11" s="165">
        <v>2582.1805773709561</v>
      </c>
      <c r="BM11" s="165">
        <v>2647.5487899029413</v>
      </c>
      <c r="BN11" s="165">
        <v>2719.2561398898733</v>
      </c>
      <c r="BO11" s="165">
        <v>2764.9568569817311</v>
      </c>
      <c r="BP11" s="165">
        <v>2790.2074298382258</v>
      </c>
      <c r="BQ11" s="165">
        <v>2845.2393402966268</v>
      </c>
      <c r="BR11" s="165">
        <v>2906.5613624850466</v>
      </c>
      <c r="BS11" s="165">
        <v>2892.064827211907</v>
      </c>
      <c r="BT11" s="165">
        <v>2924.9021954573727</v>
      </c>
      <c r="BU11" s="165">
        <v>2927.261938932058</v>
      </c>
      <c r="BV11" s="165">
        <v>2922.3872324176709</v>
      </c>
      <c r="BW11" s="165">
        <v>2936.5620821351554</v>
      </c>
      <c r="BX11" s="165">
        <v>2950.8056860417782</v>
      </c>
      <c r="BY11" s="165">
        <v>2975.4984771571758</v>
      </c>
      <c r="BZ11" s="165">
        <v>3024.5361296528572</v>
      </c>
      <c r="CA11" s="165">
        <v>3058.0796265027147</v>
      </c>
      <c r="CB11" s="165">
        <v>3003.3597850435017</v>
      </c>
      <c r="CC11" s="165">
        <v>3027.5911539617273</v>
      </c>
      <c r="CD11" s="165">
        <v>3101.5600774220925</v>
      </c>
      <c r="CE11" s="165">
        <v>3101.5600774220925</v>
      </c>
      <c r="CF11" s="165">
        <v>3096.0265194310559</v>
      </c>
      <c r="CG11" s="165">
        <v>3155.4134122369596</v>
      </c>
      <c r="CH11" s="165">
        <v>3205.4749256964001</v>
      </c>
      <c r="CI11" s="165">
        <f ca="1">Index_CALCULATION!CW25</f>
        <v>2139.732294083432</v>
      </c>
      <c r="CJ11" s="165">
        <v>3387.2984149468562</v>
      </c>
      <c r="CK11" s="165">
        <v>3473.0482825734425</v>
      </c>
      <c r="CL11" s="165">
        <v>3493.9492123554778</v>
      </c>
      <c r="CM11" s="165">
        <v>3568.6469633383895</v>
      </c>
      <c r="CN11" s="165">
        <v>3735.3394425665829</v>
      </c>
      <c r="CO11" s="165">
        <v>3777.0746470239933</v>
      </c>
      <c r="CP11" s="165">
        <v>3856.5891018049228</v>
      </c>
      <c r="CQ11" s="165">
        <v>3949.9233905281144</v>
      </c>
      <c r="CR11" s="247">
        <v>4013.6304622721182</v>
      </c>
      <c r="CS11" s="247">
        <v>4115.2360011650562</v>
      </c>
      <c r="CT11" s="247">
        <v>4241.1206849679884</v>
      </c>
      <c r="CU11" s="247">
        <v>4199.3690136598079</v>
      </c>
      <c r="CV11" s="247">
        <v>4260.3757306845009</v>
      </c>
      <c r="CW11" s="247">
        <v>4325.4183811645007</v>
      </c>
      <c r="CX11" s="247">
        <v>4348.6524438797378</v>
      </c>
      <c r="CY11" s="247">
        <v>4348.6524438797378</v>
      </c>
      <c r="DB11" s="55"/>
      <c r="DC11" s="55"/>
      <c r="DD11" s="186"/>
      <c r="DE11" s="55"/>
      <c r="DF11" s="55"/>
      <c r="DG11" s="55"/>
      <c r="DH11" s="55"/>
      <c r="DI11" s="55"/>
      <c r="DJ11" s="186"/>
      <c r="DK11" s="55"/>
      <c r="DL11" s="55"/>
      <c r="DM11" s="55"/>
      <c r="DN11" s="55"/>
      <c r="DO11" s="55"/>
      <c r="DP11" s="55"/>
    </row>
    <row r="12" spans="1:120" x14ac:dyDescent="0.3">
      <c r="A12" s="83" t="s">
        <v>162</v>
      </c>
      <c r="B12" s="83">
        <v>1000</v>
      </c>
      <c r="C12" s="84">
        <v>1000</v>
      </c>
      <c r="D12" s="84">
        <v>1000</v>
      </c>
      <c r="E12" s="84">
        <v>1000</v>
      </c>
      <c r="F12" s="84">
        <v>1000</v>
      </c>
      <c r="G12" s="84">
        <v>1000</v>
      </c>
      <c r="H12" s="84">
        <v>1000</v>
      </c>
      <c r="I12" s="84">
        <v>1000</v>
      </c>
      <c r="J12" s="84">
        <v>1000</v>
      </c>
      <c r="K12" s="85">
        <v>1000</v>
      </c>
      <c r="L12" s="85">
        <v>1000</v>
      </c>
      <c r="M12" s="85">
        <v>1000</v>
      </c>
      <c r="N12" s="85">
        <v>1000</v>
      </c>
      <c r="O12" s="85">
        <v>1000</v>
      </c>
      <c r="P12">
        <v>1027.5272342746637</v>
      </c>
      <c r="Q12" s="91">
        <v>1068.9440600556579</v>
      </c>
      <c r="R12" s="85">
        <v>1103.2662243631335</v>
      </c>
      <c r="S12" s="85">
        <v>1135.008862923831</v>
      </c>
      <c r="T12" s="85">
        <v>1169.447908065622</v>
      </c>
      <c r="U12" s="85">
        <v>1212.2392437423694</v>
      </c>
      <c r="V12" s="85">
        <v>1237.1146388239222</v>
      </c>
      <c r="W12" s="85">
        <v>1272.7394116579389</v>
      </c>
      <c r="X12" s="85">
        <v>1313.3623304509504</v>
      </c>
      <c r="Y12" s="85">
        <v>1373.5767438128141</v>
      </c>
      <c r="Z12" s="85">
        <v>1421.7489896954003</v>
      </c>
      <c r="AA12" s="85">
        <v>1450.0885719979167</v>
      </c>
      <c r="AB12" s="85">
        <v>1479.9862570690029</v>
      </c>
      <c r="AC12" s="85">
        <v>1517.4522875412031</v>
      </c>
      <c r="AD12" s="85">
        <v>1564.7828927369253</v>
      </c>
      <c r="AE12" s="85">
        <v>1602.1267948224474</v>
      </c>
      <c r="AF12" s="85">
        <v>1643.7381683966114</v>
      </c>
      <c r="AG12" s="85">
        <v>1681.0557162390921</v>
      </c>
      <c r="AH12" s="85">
        <v>1697.9506070650907</v>
      </c>
      <c r="AI12" s="85">
        <v>1778.1541728649293</v>
      </c>
      <c r="AJ12" s="85">
        <v>1820.3218838880521</v>
      </c>
      <c r="AK12" s="85">
        <v>1870.7490761249394</v>
      </c>
      <c r="AL12" s="85">
        <v>1918.1073144580062</v>
      </c>
      <c r="AM12">
        <v>2001.2676136026332</v>
      </c>
      <c r="AN12" s="85">
        <v>2035.6725203630876</v>
      </c>
      <c r="AO12" s="85">
        <v>2073.253109283693</v>
      </c>
      <c r="AP12" s="85">
        <v>2116.6469511528389</v>
      </c>
      <c r="AQ12" s="85">
        <v>2168.9387045729004</v>
      </c>
      <c r="AR12" s="85">
        <v>2277.4297295946621</v>
      </c>
      <c r="AS12" s="85">
        <v>2387.1646410400058</v>
      </c>
      <c r="AT12" s="85">
        <v>2475.1240835884087</v>
      </c>
      <c r="AU12" s="85">
        <v>2561.2644334321999</v>
      </c>
      <c r="AV12" s="85">
        <v>2630.5832806564736</v>
      </c>
      <c r="AW12" s="85">
        <v>2732.900490844846</v>
      </c>
      <c r="AX12" s="85">
        <v>2847.9900391504925</v>
      </c>
      <c r="AY12" s="85">
        <v>2925.8562715835556</v>
      </c>
      <c r="AZ12" s="85">
        <v>2990.79249200505</v>
      </c>
      <c r="BA12" s="85">
        <v>3090.909020521498</v>
      </c>
      <c r="BB12" s="85">
        <v>3197.1155504644116</v>
      </c>
      <c r="BC12" s="85">
        <v>3292.5448537027837</v>
      </c>
      <c r="BD12" s="85">
        <v>3366.5315467912296</v>
      </c>
      <c r="BE12" s="85">
        <v>3479.1142537303699</v>
      </c>
      <c r="BF12" s="85">
        <v>3554.0010774420493</v>
      </c>
      <c r="BG12" s="85">
        <v>3677.527677222291</v>
      </c>
      <c r="BH12" s="85">
        <v>3734.753712689143</v>
      </c>
      <c r="BI12" s="85">
        <v>3805.4409669068391</v>
      </c>
      <c r="BJ12">
        <v>3956.7438770970562</v>
      </c>
      <c r="BK12" s="165">
        <v>4100.609903042614</v>
      </c>
      <c r="BL12" s="165">
        <v>4170.6470988739811</v>
      </c>
      <c r="BM12" s="165">
        <v>4346.8459524215241</v>
      </c>
      <c r="BN12" s="165">
        <v>4518.7871001103858</v>
      </c>
      <c r="BO12" s="165">
        <v>4619.1620497046224</v>
      </c>
      <c r="BP12" s="165">
        <v>4725.3450599862254</v>
      </c>
      <c r="BQ12" s="165">
        <v>4856.3364503428147</v>
      </c>
      <c r="BR12" s="165">
        <v>4953.7124135730201</v>
      </c>
      <c r="BS12" s="165">
        <v>5100.3233755508636</v>
      </c>
      <c r="BT12" s="165">
        <v>5221.0108964298706</v>
      </c>
      <c r="BU12" s="165">
        <v>5318.755931592028</v>
      </c>
      <c r="BV12" s="165">
        <v>5390.1475639113723</v>
      </c>
      <c r="BW12" s="165">
        <v>5455.7469322968946</v>
      </c>
      <c r="BX12" s="165">
        <v>5508.8007813763261</v>
      </c>
      <c r="BY12" s="165">
        <v>5550.2721103235281</v>
      </c>
      <c r="BZ12" s="165">
        <v>5696.2524511491483</v>
      </c>
      <c r="CA12" s="165">
        <v>5784.8918777989074</v>
      </c>
      <c r="CB12" s="165">
        <v>5841.4081689705254</v>
      </c>
      <c r="CC12" s="165">
        <v>5962.6058393044159</v>
      </c>
      <c r="CD12" s="165">
        <v>6177.1217977801944</v>
      </c>
      <c r="CE12" s="165">
        <v>6303.1199575129012</v>
      </c>
      <c r="CF12" s="165">
        <v>6422.4183844178806</v>
      </c>
      <c r="CG12" s="165">
        <v>6539.0686178994392</v>
      </c>
      <c r="CH12" s="165">
        <v>6766.9739076577416</v>
      </c>
      <c r="CI12" s="165">
        <f ca="1">Index_CALCULATION!CW26</f>
        <v>3093.1350238236932</v>
      </c>
      <c r="CJ12" s="165">
        <v>7103.8958378262032</v>
      </c>
      <c r="CK12" s="165">
        <v>7321.7668840408933</v>
      </c>
      <c r="CL12" s="165">
        <v>7605.3479423087538</v>
      </c>
      <c r="CM12" s="165">
        <v>7888.374852075156</v>
      </c>
      <c r="CN12" s="165">
        <v>8114.4872016375339</v>
      </c>
      <c r="CO12" s="165">
        <v>8171.0339227376517</v>
      </c>
      <c r="CP12" s="165">
        <v>8343.0494024621221</v>
      </c>
      <c r="CQ12" s="165">
        <v>8480.1923570005038</v>
      </c>
      <c r="CR12" s="247">
        <v>8747.1954864153031</v>
      </c>
      <c r="CS12" s="247">
        <v>8968.6317944046459</v>
      </c>
      <c r="CT12" s="247">
        <v>9007.3731243342427</v>
      </c>
      <c r="CU12" s="247">
        <v>9395.7824300227931</v>
      </c>
      <c r="CV12" s="247">
        <v>9605.8884971349562</v>
      </c>
      <c r="CW12" s="247">
        <v>9804.3958477944943</v>
      </c>
      <c r="CX12" s="247">
        <v>10115.620780473546</v>
      </c>
      <c r="CY12" s="247">
        <v>10115.620780473546</v>
      </c>
      <c r="DB12" s="55"/>
      <c r="DC12" s="55"/>
      <c r="DD12" s="186"/>
      <c r="DE12" s="55"/>
      <c r="DF12" s="55"/>
      <c r="DG12" s="55"/>
      <c r="DH12" s="55"/>
      <c r="DI12" s="55"/>
      <c r="DJ12" s="186"/>
      <c r="DK12" s="55"/>
      <c r="DL12" s="55"/>
      <c r="DM12" s="55"/>
      <c r="DN12" s="55"/>
      <c r="DO12" s="55"/>
      <c r="DP12" s="55"/>
    </row>
    <row r="13" spans="1:120" x14ac:dyDescent="0.3">
      <c r="A13" s="83" t="s">
        <v>163</v>
      </c>
      <c r="B13" s="83">
        <v>1000</v>
      </c>
      <c r="C13" s="84">
        <v>1000</v>
      </c>
      <c r="D13" s="84">
        <v>1000</v>
      </c>
      <c r="E13" s="84">
        <v>1000</v>
      </c>
      <c r="F13" s="84">
        <v>1000</v>
      </c>
      <c r="G13" s="84">
        <v>1000</v>
      </c>
      <c r="H13" s="84">
        <v>1000</v>
      </c>
      <c r="I13" s="84">
        <v>1000</v>
      </c>
      <c r="J13" s="84">
        <v>1000</v>
      </c>
      <c r="K13" s="85">
        <v>1000</v>
      </c>
      <c r="L13" s="85">
        <v>1000</v>
      </c>
      <c r="M13" s="85">
        <v>1000</v>
      </c>
      <c r="N13" s="85">
        <v>1000</v>
      </c>
      <c r="O13" s="85">
        <v>1000</v>
      </c>
      <c r="P13">
        <v>1007.3544986609897</v>
      </c>
      <c r="Q13" s="91">
        <v>1017.1504137216882</v>
      </c>
      <c r="R13" s="85">
        <v>1028.2456135330174</v>
      </c>
      <c r="S13" s="85">
        <v>1036.6839807675424</v>
      </c>
      <c r="T13" s="85">
        <v>1036.6839807675424</v>
      </c>
      <c r="U13" s="85">
        <v>1048.0849471854165</v>
      </c>
      <c r="V13" s="85">
        <v>1051.365335582655</v>
      </c>
      <c r="W13" s="85">
        <v>1054.0416990155525</v>
      </c>
      <c r="X13" s="85">
        <v>1053.6856639914038</v>
      </c>
      <c r="Y13" s="85">
        <v>1065.1014322772382</v>
      </c>
      <c r="Z13" s="85">
        <v>1067.5248702141957</v>
      </c>
      <c r="AA13" s="85">
        <v>1071.2771506115819</v>
      </c>
      <c r="AB13" s="85">
        <v>1085.5826435524295</v>
      </c>
      <c r="AC13" s="85">
        <v>1085.0289161257479</v>
      </c>
      <c r="AD13" s="85">
        <v>1085.0289161257479</v>
      </c>
      <c r="AE13" s="85">
        <v>1089.6449622367472</v>
      </c>
      <c r="AF13" s="85">
        <v>1083.3766480548154</v>
      </c>
      <c r="AG13" s="85">
        <v>1090.0299126619852</v>
      </c>
      <c r="AH13" s="85">
        <v>1091.8481439549457</v>
      </c>
      <c r="AI13" s="85">
        <v>1101.6908812126451</v>
      </c>
      <c r="AJ13" s="85">
        <v>1102.2648279989446</v>
      </c>
      <c r="AK13" s="85">
        <v>1106.1166522561939</v>
      </c>
      <c r="AL13" s="85">
        <v>1112.2034910319694</v>
      </c>
      <c r="AM13">
        <v>1116.0900455848634</v>
      </c>
      <c r="AN13" s="85">
        <v>1117.9940941065413</v>
      </c>
      <c r="AO13" s="85">
        <v>1127.5787982462768</v>
      </c>
      <c r="AP13" s="85">
        <v>1137.2852992365761</v>
      </c>
      <c r="AQ13" s="85">
        <v>1142.7138584014795</v>
      </c>
      <c r="AR13" s="85">
        <v>1156.3988917189838</v>
      </c>
      <c r="AS13" s="85">
        <v>1158.9525871675442</v>
      </c>
      <c r="AT13" s="85">
        <v>1161.2422523843593</v>
      </c>
      <c r="AU13" s="85">
        <v>1168.1384250316876</v>
      </c>
      <c r="AV13" s="85">
        <v>1168.1384250316876</v>
      </c>
      <c r="AW13" s="85">
        <v>1172.7586105500825</v>
      </c>
      <c r="AX13" s="85">
        <v>1170.5617483572189</v>
      </c>
      <c r="AY13" s="85">
        <v>1170.5617483572189</v>
      </c>
      <c r="AZ13" s="85">
        <v>1179.1582465696647</v>
      </c>
      <c r="BA13" s="85">
        <v>1187.0938182560767</v>
      </c>
      <c r="BB13" s="85">
        <v>1198.3763633621163</v>
      </c>
      <c r="BC13" s="85">
        <v>1206.3330935569993</v>
      </c>
      <c r="BD13" s="85">
        <v>1196.3220882335304</v>
      </c>
      <c r="BE13" s="85">
        <v>1191.6090723258492</v>
      </c>
      <c r="BF13" s="85">
        <v>1185.00737694642</v>
      </c>
      <c r="BG13" s="85">
        <v>1179.0971279970747</v>
      </c>
      <c r="BH13" s="85">
        <v>1179.0971279970747</v>
      </c>
      <c r="BI13" s="85">
        <v>1166.2710237811839</v>
      </c>
      <c r="BJ13">
        <v>1171.9486998735547</v>
      </c>
      <c r="BK13" s="165">
        <v>1181.1931381071236</v>
      </c>
      <c r="BL13" s="165">
        <v>1179.2895234701452</v>
      </c>
      <c r="BM13" s="165">
        <v>1185.405099377391</v>
      </c>
      <c r="BN13" s="165">
        <v>1190.5256318184549</v>
      </c>
      <c r="BO13" s="165">
        <v>1205.9573162953045</v>
      </c>
      <c r="BP13" s="165">
        <v>1201.3979367977713</v>
      </c>
      <c r="BQ13" s="165">
        <v>1201.3979367977713</v>
      </c>
      <c r="BR13" s="165">
        <v>1204.0510044071234</v>
      </c>
      <c r="BS13" s="165">
        <v>1198.0457749695711</v>
      </c>
      <c r="BT13" s="165">
        <v>1203.8568182928107</v>
      </c>
      <c r="BU13" s="165">
        <v>1195.1507805483839</v>
      </c>
      <c r="BV13" s="165">
        <v>1193.1605215906427</v>
      </c>
      <c r="BW13" s="165">
        <v>1193.1605215906427</v>
      </c>
      <c r="BX13" s="165">
        <v>1213.5393479322793</v>
      </c>
      <c r="BY13" s="165">
        <v>1214.5510522071231</v>
      </c>
      <c r="BZ13" s="165">
        <v>1221.5783290077627</v>
      </c>
      <c r="CA13" s="165">
        <v>1226.9795508644984</v>
      </c>
      <c r="CB13" s="165">
        <v>1213.4219044831277</v>
      </c>
      <c r="CC13" s="165">
        <v>1201.562700412622</v>
      </c>
      <c r="CD13" s="165">
        <v>1207.7937808686459</v>
      </c>
      <c r="CE13" s="165">
        <v>1214.7819607404028</v>
      </c>
      <c r="CF13" s="165">
        <v>1209.3709142027506</v>
      </c>
      <c r="CG13" s="165">
        <v>1216.6489519671602</v>
      </c>
      <c r="CH13" s="165">
        <v>1222.2946446532194</v>
      </c>
      <c r="CI13" s="165">
        <f ca="1">Index_CALCULATION!CW27</f>
        <v>1154.5390527901013</v>
      </c>
      <c r="CJ13" s="165">
        <v>1226.0842563051669</v>
      </c>
      <c r="CK13" s="165">
        <v>1237.6328456362467</v>
      </c>
      <c r="CL13" s="165">
        <v>1238.8710975046295</v>
      </c>
      <c r="CM13" s="165">
        <v>1242.4499234185728</v>
      </c>
      <c r="CN13" s="165">
        <v>1257.3944672825726</v>
      </c>
      <c r="CO13" s="165">
        <v>1252.1662234076427</v>
      </c>
      <c r="CP13" s="165">
        <v>1241.7748623520988</v>
      </c>
      <c r="CQ13" s="165">
        <v>1237.7321913901876</v>
      </c>
      <c r="CR13" s="247">
        <v>1237.7321913901876</v>
      </c>
      <c r="CS13" s="247">
        <v>1258.5339275284018</v>
      </c>
      <c r="CT13" s="247">
        <v>1217.1743413939673</v>
      </c>
      <c r="CU13" s="247">
        <v>1260.0330743762916</v>
      </c>
      <c r="CV13" s="247">
        <v>1267.32350582873</v>
      </c>
      <c r="CW13" s="247">
        <v>1273.0971792630442</v>
      </c>
      <c r="CX13" s="247">
        <v>1273.0971792630442</v>
      </c>
      <c r="CY13" s="247">
        <v>1273.0971792630442</v>
      </c>
      <c r="DB13" s="55"/>
      <c r="DC13" s="55"/>
      <c r="DD13" s="186"/>
      <c r="DE13" s="55"/>
      <c r="DF13" s="55"/>
      <c r="DG13" s="55"/>
      <c r="DH13" s="55"/>
      <c r="DI13" s="55"/>
      <c r="DJ13" s="186"/>
      <c r="DK13" s="55"/>
      <c r="DL13" s="55"/>
      <c r="DM13" s="55"/>
      <c r="DN13" s="55"/>
      <c r="DO13" s="55"/>
      <c r="DP13" s="55"/>
    </row>
    <row r="14" spans="1:120" x14ac:dyDescent="0.3">
      <c r="A14" s="83" t="s">
        <v>164</v>
      </c>
      <c r="B14" s="83">
        <v>1000</v>
      </c>
      <c r="C14" s="84">
        <v>1000</v>
      </c>
      <c r="D14" s="84">
        <v>1000</v>
      </c>
      <c r="E14" s="84">
        <v>1000</v>
      </c>
      <c r="F14" s="84">
        <v>1000</v>
      </c>
      <c r="G14" s="84">
        <v>1000</v>
      </c>
      <c r="H14" s="84">
        <v>1000</v>
      </c>
      <c r="I14" s="84">
        <v>1000</v>
      </c>
      <c r="J14" s="84">
        <v>1000</v>
      </c>
      <c r="K14" s="85">
        <v>1000</v>
      </c>
      <c r="L14" s="85">
        <v>1000</v>
      </c>
      <c r="M14" s="85">
        <v>1000</v>
      </c>
      <c r="N14" s="85">
        <v>1000</v>
      </c>
      <c r="O14" s="85">
        <v>1000</v>
      </c>
      <c r="P14">
        <v>1025.757161957775</v>
      </c>
      <c r="Q14" s="91">
        <v>1039.497565264882</v>
      </c>
      <c r="R14" s="85">
        <v>1050.8365305097605</v>
      </c>
      <c r="S14" s="85">
        <v>1060.4794933749367</v>
      </c>
      <c r="T14" s="85">
        <v>1103.3986199468548</v>
      </c>
      <c r="U14" s="85">
        <v>1161.1800096796171</v>
      </c>
      <c r="V14" s="85">
        <v>1168.4601113596325</v>
      </c>
      <c r="W14" s="85">
        <v>1211.824912721067</v>
      </c>
      <c r="X14" s="85">
        <v>1247.1284043129112</v>
      </c>
      <c r="Y14" s="85">
        <v>1277.0471879090219</v>
      </c>
      <c r="Z14" s="85">
        <v>1319.8328159357536</v>
      </c>
      <c r="AA14" s="85">
        <v>1363.9703352371196</v>
      </c>
      <c r="AB14" s="85">
        <v>1393.513676313105</v>
      </c>
      <c r="AC14" s="85">
        <v>1417.1745231369573</v>
      </c>
      <c r="AD14" s="85">
        <v>1429.3739418681805</v>
      </c>
      <c r="AE14" s="85">
        <v>1472.4880582313294</v>
      </c>
      <c r="AF14" s="85">
        <v>1481.007734001256</v>
      </c>
      <c r="AG14" s="85">
        <v>1496.1974244383869</v>
      </c>
      <c r="AH14" s="85">
        <v>1503.6971452381663</v>
      </c>
      <c r="AI14" s="85">
        <v>1528.9687762619162</v>
      </c>
      <c r="AJ14" s="85">
        <v>1537.7536341376806</v>
      </c>
      <c r="AK14" s="85">
        <v>1561.1753256342909</v>
      </c>
      <c r="AL14" s="85">
        <v>1591.936415445512</v>
      </c>
      <c r="AM14">
        <v>1604.0140778377929</v>
      </c>
      <c r="AN14" s="85">
        <v>1615.9057732218205</v>
      </c>
      <c r="AO14" s="85">
        <v>1621.8284511724412</v>
      </c>
      <c r="AP14" s="85">
        <v>1628.7940601779776</v>
      </c>
      <c r="AQ14" s="85">
        <v>1654.1976557035409</v>
      </c>
      <c r="AR14" s="85">
        <v>1668.0402334676703</v>
      </c>
      <c r="AS14" s="85">
        <v>1685.2999200777676</v>
      </c>
      <c r="AT14" s="85">
        <v>1708.7452539438107</v>
      </c>
      <c r="AU14" s="85">
        <v>1740.513847320954</v>
      </c>
      <c r="AV14" s="85">
        <v>1785.5894164146134</v>
      </c>
      <c r="AW14" s="85">
        <v>1806.8602513975027</v>
      </c>
      <c r="AX14" s="85">
        <v>1817.0524790779411</v>
      </c>
      <c r="AY14" s="85">
        <v>1848.4009877985525</v>
      </c>
      <c r="AZ14" s="85">
        <v>1868.8000570460774</v>
      </c>
      <c r="BA14" s="185">
        <v>1897.5061029934452</v>
      </c>
      <c r="BB14" s="85">
        <v>1927.2246969146595</v>
      </c>
      <c r="BC14" s="85">
        <v>1957.21425472039</v>
      </c>
      <c r="BD14" s="85">
        <v>1961.2960347956309</v>
      </c>
      <c r="BE14" s="85">
        <v>1987.273088454788</v>
      </c>
      <c r="BF14" s="85">
        <v>1998.3442191675122</v>
      </c>
      <c r="BG14" s="85">
        <v>2018.4279124618267</v>
      </c>
      <c r="BH14" s="85">
        <v>2055.8744903795864</v>
      </c>
      <c r="BI14" s="85">
        <v>2071.9989138518904</v>
      </c>
      <c r="BJ14">
        <v>2097.3715547502866</v>
      </c>
      <c r="BK14" s="165">
        <v>2133.6364495285834</v>
      </c>
      <c r="BL14" s="165">
        <v>2163.0893505503191</v>
      </c>
      <c r="BM14" s="165">
        <v>2198.8110117952738</v>
      </c>
      <c r="BN14" s="165">
        <v>2215.9371039199973</v>
      </c>
      <c r="BO14" s="165">
        <v>2260.0170454078793</v>
      </c>
      <c r="BP14" s="165">
        <v>2289.3115595493055</v>
      </c>
      <c r="BQ14" s="165">
        <v>2373.0798905178663</v>
      </c>
      <c r="BR14" s="165">
        <v>2415.3294648640981</v>
      </c>
      <c r="BS14" s="165">
        <v>2411.3072685173443</v>
      </c>
      <c r="BT14" s="165">
        <v>2405.4805119476268</v>
      </c>
      <c r="BU14" s="165">
        <v>2407.4211980158198</v>
      </c>
      <c r="BV14" s="165">
        <v>2419.4884469882381</v>
      </c>
      <c r="BW14" s="165">
        <v>2431.2240187662724</v>
      </c>
      <c r="BX14" s="165">
        <v>2545.590340212163</v>
      </c>
      <c r="BY14" s="165">
        <v>2612.208199882185</v>
      </c>
      <c r="BZ14" s="165">
        <v>2665.4908510583555</v>
      </c>
      <c r="CA14" s="165">
        <v>2691.0919710838634</v>
      </c>
      <c r="CB14" s="165">
        <v>2672.4685718197638</v>
      </c>
      <c r="CC14" s="165">
        <v>2667.7005649289613</v>
      </c>
      <c r="CD14" s="165">
        <v>2688.4787424945025</v>
      </c>
      <c r="CE14" s="165">
        <v>2688.4787424945025</v>
      </c>
      <c r="CF14" s="165">
        <v>2669.343743543443</v>
      </c>
      <c r="CG14" s="165">
        <v>2677.3637988419805</v>
      </c>
      <c r="CH14" s="165">
        <v>2692.27943613144</v>
      </c>
      <c r="CI14" s="165">
        <f ca="1">Index_CALCULATION!CW28</f>
        <v>1901.5177638147452</v>
      </c>
      <c r="CJ14" s="165">
        <v>2810.9734365298891</v>
      </c>
      <c r="CK14" s="165">
        <v>2828.5970368908756</v>
      </c>
      <c r="CL14" s="165">
        <v>2842.7754385411308</v>
      </c>
      <c r="CM14" s="165">
        <v>2829.1410501668006</v>
      </c>
      <c r="CN14" s="165">
        <v>2850.7492241388854</v>
      </c>
      <c r="CO14" s="165">
        <v>2838.8958141248618</v>
      </c>
      <c r="CP14" s="165">
        <v>2815.3366485347196</v>
      </c>
      <c r="CQ14" s="165">
        <v>2843.0131387323504</v>
      </c>
      <c r="CR14" s="247">
        <v>2834.496880091308</v>
      </c>
      <c r="CS14" s="247">
        <v>2882.1343711369482</v>
      </c>
      <c r="CT14" s="247">
        <v>2774.9733323204937</v>
      </c>
      <c r="CU14" s="247">
        <v>2854.2493919327621</v>
      </c>
      <c r="CV14" s="247">
        <v>2835.1026065298815</v>
      </c>
      <c r="CW14" s="247">
        <v>2874.0278931210037</v>
      </c>
      <c r="CX14" s="247">
        <v>2868.9002800432459</v>
      </c>
      <c r="CY14" s="247">
        <v>2868.9002800432459</v>
      </c>
      <c r="DB14" s="55"/>
      <c r="DC14" s="55"/>
      <c r="DD14" s="186"/>
      <c r="DE14" s="55"/>
      <c r="DF14" s="55"/>
      <c r="DG14" s="55"/>
      <c r="DH14" s="55"/>
      <c r="DI14" s="55"/>
      <c r="DJ14" s="186"/>
      <c r="DK14" s="55"/>
      <c r="DL14" s="55"/>
      <c r="DM14" s="55"/>
      <c r="DN14" s="55"/>
      <c r="DO14" s="55"/>
      <c r="DP14" s="55"/>
    </row>
    <row r="15" spans="1:120" x14ac:dyDescent="0.3">
      <c r="A15" t="s">
        <v>165</v>
      </c>
      <c r="B15">
        <v>1000</v>
      </c>
      <c r="C15" s="30">
        <v>1026.3987721275282</v>
      </c>
      <c r="D15" s="30">
        <v>1049.7545112536357</v>
      </c>
      <c r="E15" s="30">
        <v>1082.872187626333</v>
      </c>
      <c r="F15" s="30">
        <v>1114.5274499904863</v>
      </c>
      <c r="G15" s="30">
        <v>1137.601736687262</v>
      </c>
      <c r="H15" s="30">
        <v>1156.3701790176733</v>
      </c>
      <c r="I15" s="30">
        <v>1187.4147683937433</v>
      </c>
      <c r="J15" s="30">
        <v>1211.5103036167807</v>
      </c>
      <c r="K15" s="31">
        <v>1240.9860033324157</v>
      </c>
      <c r="L15" s="31">
        <v>1271.3591886743361</v>
      </c>
      <c r="M15" s="31">
        <v>1308.6104719557054</v>
      </c>
      <c r="N15" s="31">
        <v>1340.518896129533</v>
      </c>
      <c r="O15" s="31">
        <v>1385.4310523878414</v>
      </c>
      <c r="P15">
        <v>1424.1818767560319</v>
      </c>
      <c r="Q15" s="91">
        <v>1463.7723167718364</v>
      </c>
      <c r="R15" s="31">
        <v>1510.059354371956</v>
      </c>
      <c r="S15" s="31">
        <v>1527.5840255955222</v>
      </c>
      <c r="T15" s="31">
        <v>1567.9583759813572</v>
      </c>
      <c r="U15" s="31">
        <v>1640.6407645915931</v>
      </c>
      <c r="V15" s="31">
        <v>1686.5601531186312</v>
      </c>
      <c r="W15" s="31">
        <v>1743.2337924715609</v>
      </c>
      <c r="X15" s="31">
        <v>1805.5712521587359</v>
      </c>
      <c r="Y15" s="31">
        <v>1866.503099708365</v>
      </c>
      <c r="Z15" s="31">
        <v>1925.387576928623</v>
      </c>
      <c r="AA15" s="31">
        <v>1970.6686475726426</v>
      </c>
      <c r="AB15" s="31">
        <v>2014.380443041551</v>
      </c>
      <c r="AC15" s="31">
        <v>2063.2682764101646</v>
      </c>
      <c r="AD15" s="31">
        <v>2133.7109547913151</v>
      </c>
      <c r="AE15" s="31">
        <v>2192.8919255305345</v>
      </c>
      <c r="AF15" s="31">
        <v>2234.0384912586323</v>
      </c>
      <c r="AG15" s="31">
        <v>2289.425072875536</v>
      </c>
      <c r="AH15" s="31">
        <v>2335.6745272384746</v>
      </c>
      <c r="AI15" s="31">
        <v>2422.5947771309116</v>
      </c>
      <c r="AJ15" s="31">
        <v>2474.8835746550299</v>
      </c>
      <c r="AK15" s="31">
        <v>2539.011290950707</v>
      </c>
      <c r="AL15" s="31">
        <v>2620.8064265139769</v>
      </c>
      <c r="AM15">
        <v>2793.8918584512176</v>
      </c>
      <c r="AN15" s="31">
        <v>2864.6195675801305</v>
      </c>
      <c r="AO15" s="31">
        <v>2910.3961725929739</v>
      </c>
      <c r="AP15" s="31">
        <v>2977.6856061966564</v>
      </c>
      <c r="AQ15" s="31">
        <v>3074.9517611405863</v>
      </c>
      <c r="AR15" s="31">
        <v>3242.2430970753799</v>
      </c>
      <c r="AS15" s="31">
        <v>3403.4676738347562</v>
      </c>
      <c r="AT15" s="31">
        <v>3457.6331338420046</v>
      </c>
      <c r="AU15" s="31">
        <v>3545.1635333544737</v>
      </c>
      <c r="AV15" s="31">
        <v>3606.1104152140438</v>
      </c>
      <c r="AW15" s="31">
        <v>3699.832835033541</v>
      </c>
      <c r="AX15" s="185">
        <v>3774.5744161762095</v>
      </c>
      <c r="AY15" s="185">
        <v>3859.9570634700226</v>
      </c>
      <c r="AZ15" s="185">
        <v>3952.8488538148003</v>
      </c>
      <c r="BA15" s="85">
        <v>4028.2779896642123</v>
      </c>
      <c r="BB15" s="185">
        <v>4083.0836532256062</v>
      </c>
      <c r="BC15" s="185">
        <v>4161.8935348698751</v>
      </c>
      <c r="BD15" s="185">
        <v>4170.5731845632772</v>
      </c>
      <c r="BE15" s="185">
        <v>4267.720297447634</v>
      </c>
      <c r="BF15" s="185">
        <v>4339.4450147626903</v>
      </c>
      <c r="BG15" s="185">
        <v>4467.8760085202439</v>
      </c>
      <c r="BH15" s="185">
        <v>4544.0782170281545</v>
      </c>
      <c r="BI15" s="185">
        <v>4648.2050974111853</v>
      </c>
      <c r="BJ15">
        <v>4701.6607793853354</v>
      </c>
      <c r="BK15" s="165">
        <v>4813.8021141345289</v>
      </c>
      <c r="BL15" s="165">
        <v>4860.6134369526162</v>
      </c>
      <c r="BM15" s="165">
        <v>4983.6604519317298</v>
      </c>
      <c r="BN15" s="165">
        <v>5109.8224169252107</v>
      </c>
      <c r="BO15" s="165">
        <v>5191.7651350659407</v>
      </c>
      <c r="BP15" s="165">
        <v>5243.1487654693892</v>
      </c>
      <c r="BQ15" s="165">
        <v>5304.9533439712422</v>
      </c>
      <c r="BR15" s="165">
        <v>5431.2558605013173</v>
      </c>
      <c r="BS15" s="165">
        <v>5463.0307730801751</v>
      </c>
      <c r="BT15" s="165">
        <v>5538.4429196404653</v>
      </c>
      <c r="BU15" s="165">
        <v>5592.3009373308032</v>
      </c>
      <c r="BV15" s="165">
        <v>5662.6434236716632</v>
      </c>
      <c r="BW15" s="165">
        <v>5768.6564720137048</v>
      </c>
      <c r="BX15" s="165">
        <v>5876.654241196863</v>
      </c>
      <c r="BY15" s="165">
        <v>5876.654241196863</v>
      </c>
      <c r="BZ15" s="165">
        <v>6054.4605760159711</v>
      </c>
      <c r="CA15" s="165">
        <v>6144.1546598262203</v>
      </c>
      <c r="CB15" s="165">
        <v>6204.1808178069496</v>
      </c>
      <c r="CC15" s="165">
        <v>6401.1226577047119</v>
      </c>
      <c r="CD15" s="165">
        <v>6523.6817848588562</v>
      </c>
      <c r="CE15" s="165">
        <v>6682.4010997147052</v>
      </c>
      <c r="CF15" s="165">
        <v>6754.3831840606954</v>
      </c>
      <c r="CG15" s="165">
        <v>6774.6767587547401</v>
      </c>
      <c r="CH15" s="165">
        <v>6959.0537287799652</v>
      </c>
      <c r="CI15" s="165">
        <f ca="1">Index_CALCULATION!CW29</f>
        <v>4130.9202285144638</v>
      </c>
      <c r="CJ15" s="165">
        <v>7274.4025677408799</v>
      </c>
      <c r="CK15" s="165">
        <v>7388.9577395199021</v>
      </c>
      <c r="CL15" s="165">
        <v>7500.6275352800831</v>
      </c>
      <c r="CM15" s="165">
        <v>7675.7316006423007</v>
      </c>
      <c r="CN15" s="165">
        <v>7751.1887615169644</v>
      </c>
      <c r="CO15" s="165">
        <v>7837.7933265702586</v>
      </c>
      <c r="CP15" s="165">
        <v>8011.1340577035216</v>
      </c>
      <c r="CQ15" s="165">
        <v>8240.7651767127827</v>
      </c>
      <c r="CR15" s="247">
        <v>8315.2668178027052</v>
      </c>
      <c r="CS15" s="247">
        <v>8513.9356732842589</v>
      </c>
      <c r="CT15" s="247">
        <v>8728.6905850950589</v>
      </c>
      <c r="CU15" s="247">
        <v>8494.5311808279384</v>
      </c>
      <c r="CV15" s="247">
        <v>8568.3605400236047</v>
      </c>
      <c r="CW15" s="247">
        <v>8725.5737939582123</v>
      </c>
      <c r="CX15" s="247">
        <v>8780.279407133572</v>
      </c>
      <c r="CY15" s="247">
        <v>8780.279407133572</v>
      </c>
      <c r="DB15" s="55"/>
      <c r="DC15" s="55"/>
      <c r="DD15" s="186"/>
      <c r="DE15" s="55"/>
      <c r="DF15" s="55"/>
      <c r="DG15" s="55"/>
      <c r="DH15" s="55"/>
      <c r="DI15" s="55"/>
      <c r="DJ15" s="186"/>
      <c r="DK15" s="55"/>
      <c r="DL15" s="55"/>
      <c r="DM15" s="55"/>
      <c r="DN15" s="55"/>
      <c r="DO15" s="55"/>
      <c r="DP15" s="55"/>
    </row>
    <row r="16" spans="1:120" x14ac:dyDescent="0.3">
      <c r="A16" s="83" t="s">
        <v>166</v>
      </c>
      <c r="B16" s="83">
        <v>1000</v>
      </c>
      <c r="C16" s="84">
        <v>1000</v>
      </c>
      <c r="D16" s="84">
        <v>1000</v>
      </c>
      <c r="E16" s="84">
        <v>1000</v>
      </c>
      <c r="F16" s="84">
        <v>1000</v>
      </c>
      <c r="G16" s="84">
        <v>1000</v>
      </c>
      <c r="H16" s="84">
        <v>1000</v>
      </c>
      <c r="I16" s="84">
        <v>1000</v>
      </c>
      <c r="J16" s="84">
        <v>1000</v>
      </c>
      <c r="K16" s="85">
        <v>1000</v>
      </c>
      <c r="L16" s="85">
        <v>1000</v>
      </c>
      <c r="M16" s="85">
        <v>1000</v>
      </c>
      <c r="N16" s="85">
        <v>1000</v>
      </c>
      <c r="O16" s="85">
        <v>1000</v>
      </c>
      <c r="P16">
        <v>1019.585887002794</v>
      </c>
      <c r="Q16" s="91">
        <v>1044.9753806134643</v>
      </c>
      <c r="R16" s="85">
        <v>1063.3732388317592</v>
      </c>
      <c r="S16" s="85">
        <v>1081.4179310772863</v>
      </c>
      <c r="T16" s="85">
        <v>1113.0204289863555</v>
      </c>
      <c r="U16" s="85">
        <v>1155.5511623707937</v>
      </c>
      <c r="V16" s="85">
        <v>1182.3383068912306</v>
      </c>
      <c r="W16" s="85">
        <v>1207.6550865383706</v>
      </c>
      <c r="X16" s="85">
        <v>1225.7408040530904</v>
      </c>
      <c r="Y16" s="85">
        <v>1256.7705802394048</v>
      </c>
      <c r="Z16" s="85">
        <v>1284.6869836565891</v>
      </c>
      <c r="AA16" s="85">
        <v>1306.85091209241</v>
      </c>
      <c r="AB16" s="85">
        <v>1335.1570571998082</v>
      </c>
      <c r="AC16" s="85">
        <v>1361.9900332356194</v>
      </c>
      <c r="AD16" s="85">
        <v>1390.4969144576612</v>
      </c>
      <c r="AE16" s="85">
        <v>1420.9977829086176</v>
      </c>
      <c r="AF16" s="85">
        <v>1450.44747082395</v>
      </c>
      <c r="AG16" s="85">
        <v>1467.5682851719596</v>
      </c>
      <c r="AH16" s="85">
        <v>1477.3847589617887</v>
      </c>
      <c r="AI16" s="85">
        <v>1496.4475253206817</v>
      </c>
      <c r="AJ16" s="85">
        <v>1539.9343968828368</v>
      </c>
      <c r="AK16" s="85">
        <v>1567.9406522873571</v>
      </c>
      <c r="AL16" s="85">
        <v>1603.716980037444</v>
      </c>
      <c r="AM16">
        <v>1676.1677625321802</v>
      </c>
      <c r="AN16" s="85">
        <v>1710.8060598537065</v>
      </c>
      <c r="AO16" s="85">
        <v>1720.2204382031405</v>
      </c>
      <c r="AP16" s="85">
        <v>1733.789693914425</v>
      </c>
      <c r="AQ16" s="85">
        <v>1788.2937771864717</v>
      </c>
      <c r="AR16" s="85">
        <v>1861.0538634972497</v>
      </c>
      <c r="AS16" s="85">
        <v>1947.8596528708129</v>
      </c>
      <c r="AT16" s="85">
        <v>2011.6755825295436</v>
      </c>
      <c r="AU16" s="85">
        <v>2050.4247059308641</v>
      </c>
      <c r="AV16" s="85">
        <v>2093.9865149808084</v>
      </c>
      <c r="AW16" s="85">
        <v>2121.7210329200525</v>
      </c>
      <c r="AX16" s="85">
        <v>2152.4410438484597</v>
      </c>
      <c r="AY16" s="85">
        <v>2189.5758088652224</v>
      </c>
      <c r="AZ16" s="85">
        <v>2217.7933355141449</v>
      </c>
      <c r="BA16" s="85">
        <v>2260.1137583223617</v>
      </c>
      <c r="BB16" s="85">
        <v>2283.13679037561</v>
      </c>
      <c r="BC16" s="85">
        <v>2303.371253407633</v>
      </c>
      <c r="BD16" s="85">
        <v>2308.1749456275147</v>
      </c>
      <c r="BE16" s="85">
        <v>2340.2855103862048</v>
      </c>
      <c r="BF16" s="85">
        <v>2384.0279030418992</v>
      </c>
      <c r="BG16" s="85">
        <v>2418.041995958431</v>
      </c>
      <c r="BH16" s="85">
        <v>2418.041995958431</v>
      </c>
      <c r="BI16" s="85">
        <v>2446.5451098399635</v>
      </c>
      <c r="BJ16">
        <v>2476.2111227796545</v>
      </c>
      <c r="BK16" s="165">
        <v>2513.6342614803852</v>
      </c>
      <c r="BL16" s="165">
        <v>2538.0778389417987</v>
      </c>
      <c r="BM16" s="165">
        <v>2577.7689573255198</v>
      </c>
      <c r="BN16" s="165">
        <v>2611.3186250665226</v>
      </c>
      <c r="BO16" s="165">
        <v>2637.1632131026404</v>
      </c>
      <c r="BP16" s="165">
        <v>2667.3018950768751</v>
      </c>
      <c r="BQ16" s="165">
        <v>2713.5423873083078</v>
      </c>
      <c r="BR16" s="165">
        <v>2737.5913507139494</v>
      </c>
      <c r="BS16" s="165">
        <v>2733.0324985615098</v>
      </c>
      <c r="BT16" s="165">
        <v>2781.9544869235701</v>
      </c>
      <c r="BU16" s="165">
        <v>2815.8115298070175</v>
      </c>
      <c r="BV16" s="165">
        <v>2825.2132290331419</v>
      </c>
      <c r="BW16" s="165">
        <v>2880.4273822807627</v>
      </c>
      <c r="BX16" s="165">
        <v>2970.0650087817185</v>
      </c>
      <c r="BY16" s="165">
        <v>2999.9146583708157</v>
      </c>
      <c r="BZ16" s="165">
        <v>3058.1636158709684</v>
      </c>
      <c r="CA16" s="165">
        <v>3112.6102072259209</v>
      </c>
      <c r="CB16" s="165">
        <v>3112.6102072259209</v>
      </c>
      <c r="CC16" s="165">
        <v>3163.0384412985195</v>
      </c>
      <c r="CD16" s="165">
        <v>3218.0464309893396</v>
      </c>
      <c r="CE16" s="165">
        <v>3299.511664243043</v>
      </c>
      <c r="CF16" s="165">
        <v>3395.1430837643434</v>
      </c>
      <c r="CG16" s="165">
        <v>3398.5399249856482</v>
      </c>
      <c r="CH16" s="165">
        <v>3481.3494083106762</v>
      </c>
      <c r="CI16" s="165">
        <f ca="1">Index_CALCULATION!CW30</f>
        <v>2232.3655152515203</v>
      </c>
      <c r="CJ16" s="165">
        <v>3623.5963574355628</v>
      </c>
      <c r="CK16" s="165">
        <v>3657.7273121545541</v>
      </c>
      <c r="CL16" s="165">
        <v>3724.1625269655206</v>
      </c>
      <c r="CM16" s="165">
        <v>3745.7101769222663</v>
      </c>
      <c r="CN16" s="165">
        <v>3762.0313283970522</v>
      </c>
      <c r="CO16" s="165">
        <v>3746.3888090749388</v>
      </c>
      <c r="CP16" s="165">
        <v>3793.5125791622631</v>
      </c>
      <c r="CQ16" s="165">
        <v>3818.33372914754</v>
      </c>
      <c r="CR16" s="247">
        <v>3833.6376515036181</v>
      </c>
      <c r="CS16" s="247">
        <v>3865.7181148796003</v>
      </c>
      <c r="CT16" s="247">
        <v>3907.8404336591566</v>
      </c>
      <c r="CU16" s="247">
        <v>3827.9370761213331</v>
      </c>
      <c r="CV16" s="247">
        <v>3831.6195549871827</v>
      </c>
      <c r="CW16" s="247">
        <v>3875.4090188475384</v>
      </c>
      <c r="CX16" s="247">
        <v>3868.4948208280039</v>
      </c>
      <c r="CY16" s="247">
        <v>3868.4948208280039</v>
      </c>
      <c r="DB16" s="55"/>
      <c r="DC16" s="55"/>
      <c r="DD16" s="186"/>
      <c r="DE16" s="55"/>
      <c r="DF16" s="55"/>
      <c r="DG16" s="55"/>
      <c r="DH16" s="55"/>
      <c r="DI16" s="55"/>
      <c r="DJ16" s="186"/>
      <c r="DK16" s="55"/>
      <c r="DL16" s="55"/>
      <c r="DM16" s="55"/>
      <c r="DN16" s="55"/>
      <c r="DO16" s="55"/>
      <c r="DP16" s="55"/>
    </row>
    <row r="17" spans="1:133" x14ac:dyDescent="0.3">
      <c r="A17" s="83" t="s">
        <v>167</v>
      </c>
      <c r="B17" s="83">
        <v>1000</v>
      </c>
      <c r="C17" s="84">
        <v>1000</v>
      </c>
      <c r="D17" s="84">
        <v>1000</v>
      </c>
      <c r="E17" s="84">
        <v>1000</v>
      </c>
      <c r="F17" s="84">
        <v>1000</v>
      </c>
      <c r="G17" s="84">
        <v>1000</v>
      </c>
      <c r="H17" s="84">
        <v>1000</v>
      </c>
      <c r="I17" s="84">
        <v>1000</v>
      </c>
      <c r="J17" s="84">
        <v>1000</v>
      </c>
      <c r="K17" s="85">
        <v>1000</v>
      </c>
      <c r="L17" s="85">
        <v>1000</v>
      </c>
      <c r="M17" s="85">
        <v>1000</v>
      </c>
      <c r="N17" s="85">
        <v>1000</v>
      </c>
      <c r="O17" s="85">
        <v>1000</v>
      </c>
      <c r="P17">
        <v>1023.5488589107315</v>
      </c>
      <c r="Q17" s="91">
        <v>1060.9481175317599</v>
      </c>
      <c r="R17" s="85">
        <v>1086.267887323994</v>
      </c>
      <c r="S17" s="85">
        <v>1116.4474345856088</v>
      </c>
      <c r="T17" s="85">
        <v>1162.2631571781924</v>
      </c>
      <c r="U17" s="85">
        <v>1184.2611783543093</v>
      </c>
      <c r="V17" s="85">
        <v>1202.2842254822369</v>
      </c>
      <c r="W17" s="85">
        <v>1237.4302224233422</v>
      </c>
      <c r="X17" s="85">
        <v>1268.3273562847967</v>
      </c>
      <c r="Y17" s="85">
        <v>1316.2252167776542</v>
      </c>
      <c r="Z17" s="85">
        <v>1344.4433710074625</v>
      </c>
      <c r="AA17" s="85">
        <v>1356.2886107626834</v>
      </c>
      <c r="AB17" s="85">
        <v>1372.9983219751625</v>
      </c>
      <c r="AC17" s="85">
        <v>1382.8405618569118</v>
      </c>
      <c r="AD17" s="85">
        <v>1383.8286579648372</v>
      </c>
      <c r="AE17" s="85">
        <v>1400.243990427266</v>
      </c>
      <c r="AF17" s="85">
        <v>1426.517620566859</v>
      </c>
      <c r="AG17" s="85">
        <v>1450.7388503154323</v>
      </c>
      <c r="AH17" s="85">
        <v>1462.8788538281285</v>
      </c>
      <c r="AI17" s="85">
        <v>1496.0708070767737</v>
      </c>
      <c r="AJ17" s="85">
        <v>1517.2579255764388</v>
      </c>
      <c r="AK17" s="85">
        <v>1545.7502026047648</v>
      </c>
      <c r="AL17" s="85">
        <v>1567.5811315852297</v>
      </c>
      <c r="AM17">
        <v>1601.6676675891749</v>
      </c>
      <c r="AN17" s="85">
        <v>1622.7359138873423</v>
      </c>
      <c r="AO17" s="85">
        <v>1650.6790211527527</v>
      </c>
      <c r="AP17" s="85">
        <v>1668.4599527005234</v>
      </c>
      <c r="AQ17" s="85">
        <v>1705.6134256459725</v>
      </c>
      <c r="AR17" s="85">
        <v>1767.629020531306</v>
      </c>
      <c r="AS17" s="85">
        <v>1816.3790648266449</v>
      </c>
      <c r="AT17" s="85">
        <v>1887.02759358611</v>
      </c>
      <c r="AU17" s="85">
        <v>1941.1728707682366</v>
      </c>
      <c r="AV17" s="85">
        <v>1977.9132265593789</v>
      </c>
      <c r="AW17" s="85">
        <v>2019.9949159121352</v>
      </c>
      <c r="AX17" s="85">
        <v>2058.2271274912819</v>
      </c>
      <c r="AY17" s="85">
        <v>2070.4501495088243</v>
      </c>
      <c r="AZ17" s="85">
        <v>2108.6727688992059</v>
      </c>
      <c r="BA17" s="85">
        <v>2163.3728018557231</v>
      </c>
      <c r="BB17" s="85">
        <v>2234.6864303952166</v>
      </c>
      <c r="BC17" s="85">
        <v>2284.5286938003583</v>
      </c>
      <c r="BD17" s="85">
        <v>2313.2645272685149</v>
      </c>
      <c r="BE17" s="85">
        <v>2331.5994213096042</v>
      </c>
      <c r="BF17" s="85">
        <v>2368.5908961379896</v>
      </c>
      <c r="BG17" s="85">
        <v>2408.3982172883743</v>
      </c>
      <c r="BH17" s="85">
        <v>2444.0775431073666</v>
      </c>
      <c r="BI17" s="85">
        <v>2515.7576703415593</v>
      </c>
      <c r="BJ17">
        <v>2555.7986000853066</v>
      </c>
      <c r="BK17" s="165">
        <v>2622.3714033005158</v>
      </c>
      <c r="BL17" s="165">
        <v>2654.286282381106</v>
      </c>
      <c r="BM17" s="165">
        <v>2747.4097452416831</v>
      </c>
      <c r="BN17" s="165">
        <v>2783.1672881507593</v>
      </c>
      <c r="BO17" s="165">
        <v>2785.2765470783761</v>
      </c>
      <c r="BP17" s="165">
        <v>2855.7861585615301</v>
      </c>
      <c r="BQ17" s="165">
        <v>2889.4492621117724</v>
      </c>
      <c r="BR17" s="165">
        <v>2908.6340265090989</v>
      </c>
      <c r="BS17" s="165">
        <v>2925.6506418721042</v>
      </c>
      <c r="BT17" s="165">
        <v>2944.58682608657</v>
      </c>
      <c r="BU17" s="165">
        <v>2987.6425737459267</v>
      </c>
      <c r="BV17" s="165">
        <v>2980.182795919146</v>
      </c>
      <c r="BW17" s="165">
        <v>3001.8918424502108</v>
      </c>
      <c r="BX17" s="165">
        <v>3102.8071071548629</v>
      </c>
      <c r="BY17" s="165">
        <v>3152.3258754313169</v>
      </c>
      <c r="BZ17" s="165">
        <v>3182.7828944729231</v>
      </c>
      <c r="CA17" s="165">
        <v>3201.5603203717887</v>
      </c>
      <c r="CB17" s="165">
        <v>3206.0100212826433</v>
      </c>
      <c r="CC17" s="165">
        <v>3240.5448060587187</v>
      </c>
      <c r="CD17" s="165">
        <v>3291.2212847512142</v>
      </c>
      <c r="CE17" s="165">
        <v>3313.4484547687593</v>
      </c>
      <c r="CF17" s="165">
        <v>3349.1405544479358</v>
      </c>
      <c r="CG17" s="165">
        <v>3352.4913701309906</v>
      </c>
      <c r="CH17" s="165">
        <v>3399.3786023362436</v>
      </c>
      <c r="CI17" s="165">
        <f ca="1">Index_CALCULATION!CW31</f>
        <v>1946.4818885354571</v>
      </c>
      <c r="CJ17" s="165">
        <v>3495.692591288112</v>
      </c>
      <c r="CK17" s="165">
        <v>3488.4174792626222</v>
      </c>
      <c r="CL17" s="165">
        <v>3530.5306627577556</v>
      </c>
      <c r="CM17" s="165">
        <v>3544.135773748686</v>
      </c>
      <c r="CN17" s="165">
        <v>3582.8691146150236</v>
      </c>
      <c r="CO17" s="165">
        <v>3543.2798056876982</v>
      </c>
      <c r="CP17" s="165">
        <v>3565.4946535589329</v>
      </c>
      <c r="CQ17" s="165">
        <v>3616.2342854998592</v>
      </c>
      <c r="CR17" s="247">
        <v>3609.0090445781948</v>
      </c>
      <c r="CS17" s="247">
        <v>3594.0027916298573</v>
      </c>
      <c r="CT17" s="247">
        <v>3474.1088277453118</v>
      </c>
      <c r="CU17" s="247">
        <v>3624.4375034017585</v>
      </c>
      <c r="CV17" s="247">
        <v>3627.9242154979756</v>
      </c>
      <c r="CW17" s="247">
        <v>3652.744581151534</v>
      </c>
      <c r="CX17" s="247">
        <v>3656.0074166480781</v>
      </c>
      <c r="CY17" s="247">
        <v>3656.0074166480781</v>
      </c>
      <c r="DB17" s="55"/>
      <c r="DC17" s="55"/>
      <c r="DD17" s="186"/>
      <c r="DE17" s="55"/>
      <c r="DF17" s="55"/>
      <c r="DG17" s="55"/>
      <c r="DH17" s="55"/>
      <c r="DI17" s="55"/>
      <c r="DJ17" s="186"/>
      <c r="DK17" s="55"/>
      <c r="DL17" s="55"/>
      <c r="DM17" s="55"/>
      <c r="DN17" s="55"/>
      <c r="DO17" s="55"/>
      <c r="DP17" s="55"/>
    </row>
    <row r="18" spans="1:133" x14ac:dyDescent="0.3">
      <c r="A18" s="83" t="s">
        <v>168</v>
      </c>
      <c r="B18" s="83">
        <v>1000</v>
      </c>
      <c r="C18" s="84">
        <v>1000</v>
      </c>
      <c r="D18" s="84">
        <v>1000</v>
      </c>
      <c r="E18" s="84">
        <v>1000</v>
      </c>
      <c r="F18" s="84">
        <v>1000</v>
      </c>
      <c r="G18" s="84">
        <v>1000</v>
      </c>
      <c r="H18" s="84">
        <v>1000</v>
      </c>
      <c r="I18" s="84">
        <v>1000</v>
      </c>
      <c r="J18" s="84">
        <v>1000</v>
      </c>
      <c r="K18" s="85">
        <v>1000</v>
      </c>
      <c r="L18" s="85">
        <v>1000</v>
      </c>
      <c r="M18" s="85">
        <v>1000</v>
      </c>
      <c r="N18" s="85">
        <v>1000</v>
      </c>
      <c r="O18" s="85">
        <v>1000</v>
      </c>
      <c r="P18">
        <v>1031.9657899548642</v>
      </c>
      <c r="Q18" s="91">
        <v>1072.6960954214649</v>
      </c>
      <c r="R18" s="85">
        <v>1109.2296448076622</v>
      </c>
      <c r="S18" s="85">
        <v>1145.5413260882067</v>
      </c>
      <c r="T18" s="85">
        <v>1193.1992781938879</v>
      </c>
      <c r="U18" s="85">
        <v>1232.3585275435562</v>
      </c>
      <c r="V18" s="85">
        <v>1260.9261644022947</v>
      </c>
      <c r="W18" s="85">
        <v>1310.4961737533265</v>
      </c>
      <c r="X18" s="85">
        <v>1337.3313446280679</v>
      </c>
      <c r="Y18" s="85">
        <v>1390.8293616864905</v>
      </c>
      <c r="Z18" s="85">
        <v>1427.6597938459108</v>
      </c>
      <c r="AA18" s="85">
        <v>1459.9541293638711</v>
      </c>
      <c r="AB18" s="85">
        <v>1484.7430866679167</v>
      </c>
      <c r="AC18" s="85">
        <v>1514.5823295113407</v>
      </c>
      <c r="AD18" s="85">
        <v>1542.9730996507415</v>
      </c>
      <c r="AE18" s="85">
        <v>1576.8185681638215</v>
      </c>
      <c r="AF18" s="85">
        <v>1626.0902004337788</v>
      </c>
      <c r="AG18" s="85">
        <v>1651.1707897912756</v>
      </c>
      <c r="AH18" s="85">
        <v>1666.839053141096</v>
      </c>
      <c r="AI18" s="85">
        <v>1692.6810054289058</v>
      </c>
      <c r="AJ18" s="85">
        <v>1721.1287616446923</v>
      </c>
      <c r="AK18" s="85">
        <v>1769.836747174787</v>
      </c>
      <c r="AL18" s="85">
        <v>1795.9272375376936</v>
      </c>
      <c r="AM18">
        <v>1839.2514436480496</v>
      </c>
      <c r="AN18" s="85">
        <v>1858.158488727953</v>
      </c>
      <c r="AO18" s="85">
        <v>1885.5509960992117</v>
      </c>
      <c r="AP18" s="85">
        <v>1918.1533780270966</v>
      </c>
      <c r="AQ18" s="85">
        <v>1944.5943932398343</v>
      </c>
      <c r="AR18" s="85">
        <v>1987.896862119695</v>
      </c>
      <c r="AS18" s="85">
        <v>2014.3821453979469</v>
      </c>
      <c r="AT18" s="85">
        <v>2077.6419514264135</v>
      </c>
      <c r="AU18" s="85">
        <v>2106.5454175839632</v>
      </c>
      <c r="AV18" s="85">
        <v>2142.7602137391709</v>
      </c>
      <c r="AW18" s="85">
        <v>2172.5695835774309</v>
      </c>
      <c r="AX18" s="85">
        <v>2180.7320145084955</v>
      </c>
      <c r="AY18" s="85">
        <v>2176.4321828148391</v>
      </c>
      <c r="AZ18" s="85">
        <v>2204.4803247743444</v>
      </c>
      <c r="BA18" s="85">
        <v>2235.6146266349447</v>
      </c>
      <c r="BB18" s="85">
        <v>2279.8525859382744</v>
      </c>
      <c r="BC18" s="85">
        <v>2318.7367899290889</v>
      </c>
      <c r="BD18" s="85">
        <v>2347.9029082766983</v>
      </c>
      <c r="BE18" s="85">
        <v>2361.8462037272338</v>
      </c>
      <c r="BF18" s="85">
        <v>2410.4512563987564</v>
      </c>
      <c r="BG18" s="85">
        <v>2406.4371836279179</v>
      </c>
      <c r="BH18" s="85">
        <v>2402.9009062579535</v>
      </c>
      <c r="BI18" s="85">
        <v>2412.305594496062</v>
      </c>
      <c r="BJ18">
        <v>2426.931199403889</v>
      </c>
      <c r="BK18" s="165">
        <v>2447.822874670434</v>
      </c>
      <c r="BL18" s="165">
        <v>2451.7741617464362</v>
      </c>
      <c r="BM18" s="165">
        <v>2526.877432169013</v>
      </c>
      <c r="BN18" s="165">
        <v>2577.479311085583</v>
      </c>
      <c r="BO18" s="165">
        <v>2585.3017005718802</v>
      </c>
      <c r="BP18" s="165">
        <v>2602.9889866675608</v>
      </c>
      <c r="BQ18" s="165">
        <v>2615.2191395693576</v>
      </c>
      <c r="BR18" s="165">
        <v>2620.9943727190357</v>
      </c>
      <c r="BS18" s="165">
        <v>2634.1321616846626</v>
      </c>
      <c r="BT18" s="165">
        <v>2666.190171971326</v>
      </c>
      <c r="BU18" s="165">
        <v>2700.8155348349837</v>
      </c>
      <c r="BV18" s="165">
        <v>2671.7146144687276</v>
      </c>
      <c r="BW18" s="165">
        <v>2691.1766343698723</v>
      </c>
      <c r="BX18" s="165">
        <v>2680.3469643683879</v>
      </c>
      <c r="BY18" s="165">
        <v>2689.2963616252332</v>
      </c>
      <c r="BZ18" s="165">
        <v>2720.5064160007555</v>
      </c>
      <c r="CA18" s="165">
        <v>2714.5119129216441</v>
      </c>
      <c r="CB18" s="165">
        <v>2695.7264385845729</v>
      </c>
      <c r="CC18" s="165">
        <v>2717.4757948093088</v>
      </c>
      <c r="CD18" s="165">
        <v>2731.5681183384427</v>
      </c>
      <c r="CE18" s="165">
        <v>2710.6366646928241</v>
      </c>
      <c r="CF18" s="165">
        <v>2739.8353425509345</v>
      </c>
      <c r="CG18" s="165">
        <v>2726.1703567713371</v>
      </c>
      <c r="CH18" s="165">
        <v>2741.3578961892022</v>
      </c>
      <c r="CI18" s="165">
        <f ca="1">Index_CALCULATION!CW32</f>
        <v>2012.3116124690985</v>
      </c>
      <c r="CJ18" s="165">
        <v>2790.3442600951917</v>
      </c>
      <c r="CK18" s="165">
        <v>2784.5370941182787</v>
      </c>
      <c r="CL18" s="165">
        <v>2809.7110408015074</v>
      </c>
      <c r="CM18" s="165">
        <v>2825.9677614866073</v>
      </c>
      <c r="CN18" s="165">
        <v>2897.5074759667914</v>
      </c>
      <c r="CO18" s="165">
        <v>2885.4596452279416</v>
      </c>
      <c r="CP18" s="165">
        <v>2918.7123501304131</v>
      </c>
      <c r="CQ18" s="165">
        <v>2950.6105299873361</v>
      </c>
      <c r="CR18" s="247">
        <v>2968.3674105383034</v>
      </c>
      <c r="CS18" s="247">
        <v>2968.3674105383034</v>
      </c>
      <c r="CT18" s="247">
        <v>2965.6878291261655</v>
      </c>
      <c r="CU18" s="247">
        <v>2937.0246023968775</v>
      </c>
      <c r="CV18" s="247">
        <v>2937.0246023968775</v>
      </c>
      <c r="CW18" s="247">
        <v>2943.7072493519267</v>
      </c>
      <c r="CX18" s="247">
        <v>2930.5949893462225</v>
      </c>
      <c r="CY18" s="247">
        <v>2930.5949893462225</v>
      </c>
      <c r="DB18" s="55"/>
      <c r="DC18" s="55"/>
      <c r="DD18" s="186"/>
      <c r="DE18" s="55"/>
      <c r="DF18" s="55"/>
      <c r="DG18" s="55"/>
      <c r="DH18" s="55"/>
      <c r="DI18" s="55"/>
      <c r="DJ18" s="186"/>
      <c r="DK18" s="55"/>
      <c r="DL18" s="55"/>
      <c r="DM18" s="55"/>
      <c r="DN18" s="55"/>
      <c r="DO18" s="55"/>
      <c r="DP18" s="55"/>
    </row>
    <row r="19" spans="1:133" x14ac:dyDescent="0.3">
      <c r="A19" s="83" t="s">
        <v>169</v>
      </c>
      <c r="B19" s="83">
        <v>1000</v>
      </c>
      <c r="C19" s="84">
        <v>1000</v>
      </c>
      <c r="D19" s="84">
        <v>1000</v>
      </c>
      <c r="E19" s="84">
        <v>1000</v>
      </c>
      <c r="F19" s="84">
        <v>1000</v>
      </c>
      <c r="G19" s="84">
        <v>1000</v>
      </c>
      <c r="H19" s="84">
        <v>1000</v>
      </c>
      <c r="I19" s="84">
        <v>1000</v>
      </c>
      <c r="J19" s="84">
        <v>1000</v>
      </c>
      <c r="K19" s="85">
        <v>1000</v>
      </c>
      <c r="L19" s="85">
        <v>1000</v>
      </c>
      <c r="M19" s="85">
        <v>1000</v>
      </c>
      <c r="N19" s="85">
        <v>1000</v>
      </c>
      <c r="O19" s="85">
        <v>1000</v>
      </c>
      <c r="P19">
        <v>1029.3003610727915</v>
      </c>
      <c r="Q19" s="91">
        <v>1051.1103191546267</v>
      </c>
      <c r="R19" s="85">
        <v>1073.1537779409803</v>
      </c>
      <c r="S19" s="85">
        <v>1093.465236139217</v>
      </c>
      <c r="T19" s="85">
        <v>1112.6483490281028</v>
      </c>
      <c r="U19" s="85">
        <v>1147.9675989745058</v>
      </c>
      <c r="V19" s="85">
        <v>1172.7451003187937</v>
      </c>
      <c r="W19" s="85">
        <v>1202.9428974679149</v>
      </c>
      <c r="X19" s="85">
        <v>1216.018235706033</v>
      </c>
      <c r="Y19" s="85">
        <v>1248.9533965426576</v>
      </c>
      <c r="Z19" s="85">
        <v>1279.116434713728</v>
      </c>
      <c r="AA19" s="85">
        <v>1306.9037398882863</v>
      </c>
      <c r="AB19" s="85">
        <v>1333.1689021360012</v>
      </c>
      <c r="AC19" s="85">
        <v>1357.1893193910901</v>
      </c>
      <c r="AD19" s="85">
        <v>1389.5602259548264</v>
      </c>
      <c r="AE19" s="85">
        <v>1434.1768866132627</v>
      </c>
      <c r="AF19" s="85">
        <v>1466.717607293027</v>
      </c>
      <c r="AG19" s="85">
        <v>1482.5169268705997</v>
      </c>
      <c r="AH19" s="85">
        <v>1499.9142447079003</v>
      </c>
      <c r="AI19" s="85">
        <v>1528.0580484849388</v>
      </c>
      <c r="AJ19" s="85">
        <v>1553.7390968971617</v>
      </c>
      <c r="AK19" s="85">
        <v>1592.1462538307508</v>
      </c>
      <c r="AL19" s="85">
        <v>1615.6172754140803</v>
      </c>
      <c r="AM19">
        <v>1687.6242128846388</v>
      </c>
      <c r="AN19" s="85">
        <v>1727.3996810742901</v>
      </c>
      <c r="AO19" s="85">
        <v>1755.0035185243873</v>
      </c>
      <c r="AP19" s="85">
        <v>1760.024984398314</v>
      </c>
      <c r="AQ19" s="85">
        <v>1793.8705855819039</v>
      </c>
      <c r="AR19" s="85">
        <v>1849.1623754555787</v>
      </c>
      <c r="AS19" s="85">
        <v>1880.7009088953459</v>
      </c>
      <c r="AT19" s="85">
        <v>1918.1887345103837</v>
      </c>
      <c r="AU19" s="85">
        <v>1955.1371036341484</v>
      </c>
      <c r="AV19" s="85">
        <v>1975.2354243305742</v>
      </c>
      <c r="AW19" s="85">
        <v>1994.824376215083</v>
      </c>
      <c r="AX19" s="85">
        <v>2023.7070736511553</v>
      </c>
      <c r="AY19" s="85">
        <v>2035.7250943000447</v>
      </c>
      <c r="AZ19" s="85">
        <v>2083.4450524809799</v>
      </c>
      <c r="BA19" s="185">
        <v>2116.7384930176408</v>
      </c>
      <c r="BB19" s="85">
        <v>2154.2529939780957</v>
      </c>
      <c r="BC19" s="85">
        <v>2205.5423374915677</v>
      </c>
      <c r="BD19" s="85">
        <v>2227.0896845414545</v>
      </c>
      <c r="BE19" s="85">
        <v>2269.9881388258136</v>
      </c>
      <c r="BF19" s="85">
        <v>2314.5587178694227</v>
      </c>
      <c r="BG19" s="85">
        <v>2320.3523536913553</v>
      </c>
      <c r="BH19" s="85">
        <v>2346.0861285679471</v>
      </c>
      <c r="BI19" s="85">
        <v>2362.6401762829196</v>
      </c>
      <c r="BJ19">
        <v>2411.6419921774586</v>
      </c>
      <c r="BK19" s="165">
        <v>2441.1047352884407</v>
      </c>
      <c r="BL19" s="165">
        <v>2480.7966277470086</v>
      </c>
      <c r="BM19" s="165">
        <v>2493.6615771809552</v>
      </c>
      <c r="BN19" s="165">
        <v>2550.1850785467327</v>
      </c>
      <c r="BO19" s="165">
        <v>2589.1184513778135</v>
      </c>
      <c r="BP19" s="165">
        <v>2622.6788031644637</v>
      </c>
      <c r="BQ19" s="165">
        <v>2705.9315651525726</v>
      </c>
      <c r="BR19" s="165">
        <v>2746.0187123958867</v>
      </c>
      <c r="BS19" s="165">
        <v>2792.1692101232666</v>
      </c>
      <c r="BT19" s="165">
        <v>2819.3213720025474</v>
      </c>
      <c r="BU19" s="165">
        <v>2839.8586286213822</v>
      </c>
      <c r="BV19" s="165">
        <v>2858.8542679223606</v>
      </c>
      <c r="BW19" s="165">
        <v>2893.6471992954439</v>
      </c>
      <c r="BX19" s="165">
        <v>2879.6795006607163</v>
      </c>
      <c r="BY19" s="165">
        <v>2908.6207607912097</v>
      </c>
      <c r="BZ19" s="165">
        <v>2959.4004459338621</v>
      </c>
      <c r="CA19" s="165">
        <v>3005.4516982272362</v>
      </c>
      <c r="CB19" s="165">
        <v>3030.6017754901318</v>
      </c>
      <c r="CC19" s="165">
        <v>3079.7013689311798</v>
      </c>
      <c r="CD19" s="165">
        <v>3103.6885370315836</v>
      </c>
      <c r="CE19" s="165">
        <v>3130.6639322540004</v>
      </c>
      <c r="CF19" s="165">
        <v>3204.190187065441</v>
      </c>
      <c r="CG19" s="165">
        <v>3188.2092218368489</v>
      </c>
      <c r="CH19" s="165">
        <v>3268.9191225447444</v>
      </c>
      <c r="CI19" s="165">
        <f ca="1">Index_CALCULATION!CW33</f>
        <v>2118.4841760206382</v>
      </c>
      <c r="CJ19" s="165">
        <v>3370.3737728070205</v>
      </c>
      <c r="CK19" s="165">
        <v>3380.922664906238</v>
      </c>
      <c r="CL19" s="165">
        <v>3411.4883079663527</v>
      </c>
      <c r="CM19" s="165">
        <v>3481.0743162765457</v>
      </c>
      <c r="CN19" s="165">
        <v>3557.5783981010959</v>
      </c>
      <c r="CO19" s="165">
        <v>3542.7859936859149</v>
      </c>
      <c r="CP19" s="165">
        <v>3606.0816048433189</v>
      </c>
      <c r="CQ19" s="165">
        <v>3673.3351723251135</v>
      </c>
      <c r="CR19" s="247">
        <v>3736.3156878632713</v>
      </c>
      <c r="CS19" s="247">
        <v>3751.9161482851428</v>
      </c>
      <c r="CT19" s="247">
        <v>3603.898844711794</v>
      </c>
      <c r="CU19" s="247">
        <v>3921.261870544568</v>
      </c>
      <c r="CV19" s="247">
        <v>3966.7692374330568</v>
      </c>
      <c r="CW19" s="247">
        <v>4036.4928629203696</v>
      </c>
      <c r="CX19" s="247">
        <v>4120.2421091901333</v>
      </c>
      <c r="CY19" s="247">
        <v>4120.2421091901333</v>
      </c>
      <c r="DB19" s="55"/>
      <c r="DC19" s="55"/>
      <c r="DD19" s="186"/>
      <c r="DE19" s="55"/>
      <c r="DF19" s="55"/>
      <c r="DG19" s="55"/>
      <c r="DH19" s="55"/>
      <c r="DI19" s="55"/>
      <c r="DJ19" s="186"/>
      <c r="DK19" s="55"/>
      <c r="DL19" s="55"/>
      <c r="DM19" s="55"/>
      <c r="DN19" s="55"/>
      <c r="DO19" s="55"/>
      <c r="DP19" s="55"/>
    </row>
    <row r="20" spans="1:133" s="165" customFormat="1" x14ac:dyDescent="0.3">
      <c r="A20" s="165" t="s">
        <v>180</v>
      </c>
      <c r="B20" s="165">
        <v>1000</v>
      </c>
      <c r="C20" s="184">
        <v>1039.4922724379753</v>
      </c>
      <c r="D20" s="184">
        <v>1079.5988502931452</v>
      </c>
      <c r="E20" s="184">
        <v>1125.9588590213673</v>
      </c>
      <c r="F20" s="184">
        <v>1164.7812449994578</v>
      </c>
      <c r="G20" s="184">
        <v>1205.578489914775</v>
      </c>
      <c r="H20" s="184">
        <v>1244.5545916308945</v>
      </c>
      <c r="I20" s="184">
        <v>1279.8754682985934</v>
      </c>
      <c r="J20" s="184">
        <v>1315.2081284137432</v>
      </c>
      <c r="K20" s="185">
        <v>1351.0985504099492</v>
      </c>
      <c r="L20" s="185">
        <v>1391.5610844677647</v>
      </c>
      <c r="M20" s="185">
        <v>1433.5696300506459</v>
      </c>
      <c r="N20" s="185">
        <v>1463.8598345496052</v>
      </c>
      <c r="O20" s="185">
        <v>1519.7968422756157</v>
      </c>
      <c r="P20" s="165">
        <v>1563.5311786916795</v>
      </c>
      <c r="Q20" s="195">
        <v>1623.2768275291885</v>
      </c>
      <c r="R20" s="185">
        <v>1680.9388888061176</v>
      </c>
      <c r="S20" s="185">
        <v>1728.4708485737551</v>
      </c>
      <c r="T20" s="185">
        <v>1800.3804157289528</v>
      </c>
      <c r="U20" s="185">
        <v>1865.2864826721329</v>
      </c>
      <c r="V20" s="185">
        <v>1910.5152778316187</v>
      </c>
      <c r="W20" s="185">
        <v>1968.8659762080408</v>
      </c>
      <c r="X20" s="185">
        <v>2020.0725085336039</v>
      </c>
      <c r="Y20" s="185">
        <v>2073.8909098956442</v>
      </c>
      <c r="Z20" s="185">
        <v>2135.2701576097024</v>
      </c>
      <c r="AA20" s="185">
        <v>2178.7876860380843</v>
      </c>
      <c r="AB20" s="185">
        <v>2223.7095682815784</v>
      </c>
      <c r="AC20" s="185">
        <v>2270.7158754391498</v>
      </c>
      <c r="AD20" s="185">
        <v>2314.9332644978617</v>
      </c>
      <c r="AE20" s="185">
        <v>2369.0619313554976</v>
      </c>
      <c r="AF20" s="185">
        <v>2410.4218159369966</v>
      </c>
      <c r="AG20" s="185">
        <v>2479.0191651823143</v>
      </c>
      <c r="AH20" s="185">
        <v>2510.8987626362486</v>
      </c>
      <c r="AI20" s="185">
        <v>2589.3580622649747</v>
      </c>
      <c r="AJ20" s="185">
        <v>2657.6749437113986</v>
      </c>
      <c r="AK20" s="185">
        <v>2744.0320873510714</v>
      </c>
      <c r="AL20" s="185">
        <v>2813.4975903652639</v>
      </c>
      <c r="AM20" s="165">
        <v>2933.7717109143919</v>
      </c>
      <c r="AN20" s="185">
        <v>2984.2078152536642</v>
      </c>
      <c r="AO20" s="185">
        <v>3043.0080557603283</v>
      </c>
      <c r="AP20" s="185">
        <v>3093.4132398628772</v>
      </c>
      <c r="AQ20" s="185">
        <v>3173.6118614341754</v>
      </c>
      <c r="AR20" s="185">
        <v>3312.5804261199164</v>
      </c>
      <c r="AS20" s="185">
        <v>3449.2908081993219</v>
      </c>
      <c r="AT20" s="185">
        <v>3538.9375033869401</v>
      </c>
      <c r="AU20" s="185">
        <v>3650.0745587478514</v>
      </c>
      <c r="AV20" s="185">
        <v>3706.501736185231</v>
      </c>
      <c r="AW20" s="185">
        <v>3800.332274360765</v>
      </c>
      <c r="AX20" s="185">
        <v>3886.808965100091</v>
      </c>
      <c r="AY20" s="185">
        <v>3925.3555164953136</v>
      </c>
      <c r="AZ20" s="185">
        <v>4081.5683531187642</v>
      </c>
      <c r="BA20" s="185">
        <v>4177.2454519907151</v>
      </c>
      <c r="BB20" s="185">
        <v>4259.9040694928444</v>
      </c>
      <c r="BC20" s="185">
        <v>4345.3207753320494</v>
      </c>
      <c r="BD20" s="185">
        <v>4363.4640508042221</v>
      </c>
      <c r="BE20" s="185">
        <v>4424.1671163326773</v>
      </c>
      <c r="BF20" s="185">
        <v>4531.9672308329164</v>
      </c>
      <c r="BG20" s="185">
        <v>4596.6270254131477</v>
      </c>
      <c r="BH20" s="185">
        <v>4685.3490949571978</v>
      </c>
      <c r="BI20" s="185">
        <v>4729.4807867982345</v>
      </c>
      <c r="BJ20" s="165">
        <v>4832.5688640173566</v>
      </c>
      <c r="BK20" s="165">
        <v>4916.1270685546197</v>
      </c>
      <c r="BL20" s="165">
        <v>4983.9897093491218</v>
      </c>
      <c r="BM20" s="165">
        <v>5075.0387736236253</v>
      </c>
      <c r="BN20" s="165">
        <v>5185.6017410879585</v>
      </c>
      <c r="BO20" s="165">
        <v>5300.7885161774011</v>
      </c>
      <c r="BP20" s="165">
        <v>5447.3448877251567</v>
      </c>
      <c r="BQ20" s="165">
        <v>5507.2522435671472</v>
      </c>
      <c r="BR20" s="165">
        <v>5584.7317539551414</v>
      </c>
      <c r="BS20" s="165">
        <v>5622.0876803810816</v>
      </c>
      <c r="BT20" s="165">
        <v>5663.0415987857668</v>
      </c>
      <c r="BU20" s="165">
        <v>5667.6104098319483</v>
      </c>
      <c r="BV20" s="165">
        <v>5677.0643032377711</v>
      </c>
      <c r="BW20" s="165">
        <v>5774.0268706983115</v>
      </c>
      <c r="BX20" s="165">
        <v>5886.8707442928435</v>
      </c>
      <c r="BY20" s="165">
        <v>6015.8114236108022</v>
      </c>
      <c r="BZ20" s="165">
        <v>6179.9755630944865</v>
      </c>
      <c r="CA20" s="165">
        <v>6303.8922396569142</v>
      </c>
      <c r="CB20" s="165">
        <v>6286.4057259485826</v>
      </c>
      <c r="CC20" s="165">
        <v>6416.8362157756392</v>
      </c>
      <c r="CD20" s="165">
        <v>6607.6993663849998</v>
      </c>
      <c r="CE20" s="165">
        <v>6665.1295175720206</v>
      </c>
      <c r="CF20" s="165">
        <v>6785.2187214341711</v>
      </c>
      <c r="CG20" s="165">
        <v>6826.0524123344785</v>
      </c>
      <c r="CH20" s="165">
        <v>6953.6384968457696</v>
      </c>
      <c r="CI20" s="165">
        <f ca="1">Index_CALCULATION!CW34</f>
        <v>4181.6910406464822</v>
      </c>
      <c r="CJ20" s="165">
        <v>7231.2420700469665</v>
      </c>
      <c r="CK20" s="165">
        <v>7391.1683063224591</v>
      </c>
      <c r="CL20" s="165">
        <v>7457.9890634469202</v>
      </c>
      <c r="CM20" s="165">
        <v>7705.8372265316157</v>
      </c>
      <c r="CN20" s="165">
        <v>7943.9680564034188</v>
      </c>
      <c r="CO20" s="165">
        <v>8066.2660772412282</v>
      </c>
      <c r="CP20" s="165">
        <v>8261.8539933595166</v>
      </c>
      <c r="CQ20" s="165">
        <v>8526.4300412774737</v>
      </c>
      <c r="CR20" s="247">
        <v>8672.6184326187904</v>
      </c>
      <c r="CS20" s="247">
        <v>8818.373323311358</v>
      </c>
      <c r="CT20" s="247">
        <v>9059.8169603472106</v>
      </c>
      <c r="CU20" s="247">
        <v>9225.5454120343366</v>
      </c>
      <c r="CV20" s="247">
        <v>9296.784792310862</v>
      </c>
      <c r="CW20" s="247">
        <v>9445.8709549391442</v>
      </c>
      <c r="CX20" s="247">
        <v>9598.9060476177619</v>
      </c>
      <c r="CY20" s="247">
        <v>9598.9060476177619</v>
      </c>
      <c r="DB20" s="186"/>
      <c r="DC20" s="186"/>
      <c r="DD20" s="186"/>
      <c r="DE20" s="186"/>
      <c r="DF20" s="186"/>
      <c r="DG20" s="186"/>
      <c r="DH20" s="186"/>
      <c r="DI20" s="186"/>
      <c r="DJ20" s="186"/>
      <c r="DK20" s="186"/>
      <c r="DL20" s="186"/>
      <c r="DM20" s="186"/>
      <c r="DN20" s="186"/>
      <c r="DO20" s="186"/>
      <c r="DP20" s="186"/>
    </row>
    <row r="21" spans="1:133" x14ac:dyDescent="0.3">
      <c r="A21" t="s">
        <v>211</v>
      </c>
      <c r="B21">
        <v>0</v>
      </c>
      <c r="C21" s="30">
        <v>0</v>
      </c>
      <c r="D21" s="30">
        <v>0</v>
      </c>
      <c r="E21" s="30">
        <v>0</v>
      </c>
      <c r="F21" s="30">
        <v>0</v>
      </c>
      <c r="G21" s="30">
        <v>0</v>
      </c>
      <c r="H21" s="30">
        <v>0</v>
      </c>
      <c r="I21" s="30">
        <v>0</v>
      </c>
      <c r="J21" s="30">
        <v>0</v>
      </c>
      <c r="K21" s="31">
        <v>0</v>
      </c>
      <c r="L21" s="31">
        <v>0</v>
      </c>
      <c r="M21" s="31">
        <v>0</v>
      </c>
      <c r="N21" s="31">
        <v>0</v>
      </c>
      <c r="O21" s="31">
        <v>0</v>
      </c>
      <c r="P21">
        <v>0</v>
      </c>
      <c r="Q21" s="91">
        <v>0</v>
      </c>
      <c r="R21" s="31">
        <v>0</v>
      </c>
      <c r="S21" s="31">
        <v>0</v>
      </c>
      <c r="T21" s="31">
        <v>0</v>
      </c>
      <c r="U21" s="31">
        <v>0</v>
      </c>
      <c r="V21" s="31">
        <v>0</v>
      </c>
      <c r="W21" s="31">
        <v>0</v>
      </c>
      <c r="X21" s="31">
        <v>0</v>
      </c>
      <c r="Y21" s="31">
        <v>0</v>
      </c>
      <c r="Z21" s="31">
        <v>0</v>
      </c>
      <c r="AA21" s="31">
        <v>0</v>
      </c>
      <c r="AB21" s="31">
        <v>1000</v>
      </c>
      <c r="AC21" s="31">
        <v>1005.628023047493</v>
      </c>
      <c r="AD21" s="31">
        <v>1011.3909186280831</v>
      </c>
      <c r="AE21" s="31">
        <v>1014.2574001847328</v>
      </c>
      <c r="AF21" s="31">
        <v>1014.2574001847328</v>
      </c>
      <c r="AG21" s="31">
        <v>1017.3670269816038</v>
      </c>
      <c r="AH21" s="31">
        <v>1019.064052488332</v>
      </c>
      <c r="AI21" s="31">
        <v>1032.2130848033689</v>
      </c>
      <c r="AJ21" s="31">
        <v>1036.5229452974168</v>
      </c>
      <c r="AK21" s="31">
        <v>1045.6019206014746</v>
      </c>
      <c r="AL21" s="31">
        <v>1060.3691586920945</v>
      </c>
      <c r="AM21">
        <v>1088.4774676484062</v>
      </c>
      <c r="AN21" s="31">
        <v>1101.5427743124544</v>
      </c>
      <c r="AO21" s="31">
        <v>1103.5596357104357</v>
      </c>
      <c r="AP21" s="31">
        <v>1101.1973969365174</v>
      </c>
      <c r="AQ21" s="31">
        <v>1110.4123843645266</v>
      </c>
      <c r="AR21" s="31">
        <v>1131.0923471971896</v>
      </c>
      <c r="AS21" s="31">
        <v>1147.8489666371654</v>
      </c>
      <c r="AT21" s="31">
        <v>1159.2324999118175</v>
      </c>
      <c r="AU21" s="31">
        <v>1176.1328753569342</v>
      </c>
      <c r="AV21" s="31">
        <v>1176.1328753569342</v>
      </c>
      <c r="AW21" s="31">
        <v>1178.4564825216062</v>
      </c>
      <c r="AX21" s="185">
        <v>1180.668161227168</v>
      </c>
      <c r="AY21" s="185">
        <v>1176.7907651734909</v>
      </c>
      <c r="AZ21" s="185">
        <v>1189.7779018754748</v>
      </c>
      <c r="BA21" s="165">
        <v>1196.3251193438355</v>
      </c>
      <c r="BB21" s="185">
        <v>1201.1849303560882</v>
      </c>
      <c r="BC21" s="185">
        <v>1209.1603082901026</v>
      </c>
      <c r="BD21" s="185">
        <v>1204.1326219592661</v>
      </c>
      <c r="BE21" s="185">
        <v>1218.476852533078</v>
      </c>
      <c r="BF21" s="185">
        <v>1234.3747420997981</v>
      </c>
      <c r="BG21" s="185">
        <v>1235.4038164396366</v>
      </c>
      <c r="BH21" s="185">
        <v>1235.4038164396366</v>
      </c>
      <c r="BI21" s="185">
        <v>1238.3026899247834</v>
      </c>
      <c r="BJ21">
        <v>1256.8095865652629</v>
      </c>
      <c r="BK21" s="165">
        <v>1264.0119141118951</v>
      </c>
      <c r="BL21" s="165">
        <v>1260.9575170962542</v>
      </c>
      <c r="BM21" s="165">
        <v>1267.4966080134045</v>
      </c>
      <c r="BN21" s="165">
        <v>1274.069609438596</v>
      </c>
      <c r="BO21" s="165">
        <v>1276.9685151505494</v>
      </c>
      <c r="BP21" s="165">
        <v>1299.4137014420166</v>
      </c>
      <c r="BQ21" s="165">
        <v>1345.9087209065694</v>
      </c>
      <c r="BR21" s="165">
        <v>1346.8987235989155</v>
      </c>
      <c r="BS21" s="165">
        <v>1379.8452768109544</v>
      </c>
      <c r="BT21" s="165">
        <v>1414.7762262984875</v>
      </c>
      <c r="BU21" s="165">
        <v>1449.422096741785</v>
      </c>
      <c r="BV21" s="165">
        <v>1438.5920942910009</v>
      </c>
      <c r="BW21" s="165">
        <v>1452.5815349312113</v>
      </c>
      <c r="BX21" s="165">
        <v>1466.7070144459594</v>
      </c>
      <c r="BY21" s="165">
        <v>1491.3569771105845</v>
      </c>
      <c r="BZ21" s="165">
        <v>1504.3189555421391</v>
      </c>
      <c r="CA21" s="165">
        <v>1517.651089833261</v>
      </c>
      <c r="CB21" s="165">
        <v>1530.3510251507837</v>
      </c>
      <c r="CC21" s="165">
        <v>1553.7567508698419</v>
      </c>
      <c r="CD21" s="165">
        <v>1547.0739364593715</v>
      </c>
      <c r="CE21" s="165">
        <v>1569.5491944209477</v>
      </c>
      <c r="CF21" s="165">
        <v>1594.9778825300377</v>
      </c>
      <c r="CG21" s="165">
        <v>1591.7911145951684</v>
      </c>
      <c r="CH21" s="165">
        <v>1617.0453243918589</v>
      </c>
      <c r="CI21" s="165">
        <f ca="1">Index_CALCULATION!CW35</f>
        <v>1233.3207180696568</v>
      </c>
      <c r="CJ21" s="165">
        <v>1652.3384371504687</v>
      </c>
      <c r="CK21" s="165">
        <v>1652.3384371504687</v>
      </c>
      <c r="CL21" s="165">
        <v>1662.2822694387576</v>
      </c>
      <c r="CM21" s="165">
        <v>1671.900076452233</v>
      </c>
      <c r="CN21" s="165">
        <v>1677.360823080063</v>
      </c>
      <c r="CO21" s="165">
        <v>1677.360823080063</v>
      </c>
      <c r="CP21" s="165">
        <v>1702.0015704983928</v>
      </c>
      <c r="CQ21" s="165">
        <v>1702.0015704983928</v>
      </c>
      <c r="CR21" s="247">
        <v>1703.7044233534143</v>
      </c>
      <c r="CS21" s="247">
        <v>1717.9612812845364</v>
      </c>
      <c r="CT21" s="247">
        <v>1705.7338506577876</v>
      </c>
      <c r="CU21" s="247">
        <v>1699.4842015275076</v>
      </c>
      <c r="CV21" s="247">
        <v>1694.5889071690603</v>
      </c>
      <c r="CW21" s="247">
        <v>1710.0644978836981</v>
      </c>
      <c r="CX21" s="247">
        <v>1693.3514290168819</v>
      </c>
      <c r="CY21" s="247">
        <v>1693.3514290168819</v>
      </c>
      <c r="DB21" s="55"/>
      <c r="DC21" s="55"/>
      <c r="DD21" s="186"/>
      <c r="DE21" s="55"/>
      <c r="DF21" s="55"/>
      <c r="DG21" s="55"/>
      <c r="DH21" s="55"/>
      <c r="DI21" s="55"/>
      <c r="DJ21" s="186"/>
      <c r="DK21" s="55"/>
      <c r="DL21" s="55"/>
      <c r="DM21" s="55"/>
      <c r="DN21" s="55"/>
      <c r="DO21" s="55"/>
      <c r="DP21" s="55"/>
    </row>
    <row r="22" spans="1:133" x14ac:dyDescent="0.3">
      <c r="A22" t="s">
        <v>170</v>
      </c>
      <c r="B22">
        <v>1000</v>
      </c>
      <c r="C22">
        <v>1010.6193697555466</v>
      </c>
      <c r="D22">
        <v>1013.8730154304494</v>
      </c>
      <c r="E22">
        <v>1013.8730154304494</v>
      </c>
      <c r="F22">
        <v>1008.7308133854847</v>
      </c>
      <c r="G22">
        <v>1012.4584122392997</v>
      </c>
      <c r="H22">
        <v>1017.9960014561888</v>
      </c>
      <c r="I22">
        <v>1022.564412661091</v>
      </c>
      <c r="J22">
        <v>1018.464137607309</v>
      </c>
      <c r="K22">
        <v>1021.4062563276769</v>
      </c>
      <c r="L22">
        <v>1023.9210016892142</v>
      </c>
      <c r="M22">
        <v>1019.9565889205263</v>
      </c>
      <c r="N22">
        <v>1019.9565889205263</v>
      </c>
      <c r="O22">
        <v>1029.271196522438</v>
      </c>
      <c r="P22">
        <v>1038.6301689737084</v>
      </c>
      <c r="Q22" s="92">
        <v>1061.0655801529399</v>
      </c>
      <c r="R22">
        <v>1072.6398119144401</v>
      </c>
      <c r="S22">
        <v>1088.2226847846321</v>
      </c>
      <c r="T22">
        <v>1109.1207009991726</v>
      </c>
      <c r="U22">
        <v>1124.8278932064832</v>
      </c>
      <c r="V22">
        <v>1137.7906702325708</v>
      </c>
      <c r="W22">
        <v>1146.5019132788304</v>
      </c>
      <c r="X22">
        <v>1160.530994518605</v>
      </c>
      <c r="Y22">
        <v>1183.2610234404865</v>
      </c>
      <c r="Z22">
        <v>1201.7808628249968</v>
      </c>
      <c r="AA22">
        <v>1204.9476089866916</v>
      </c>
      <c r="AB22">
        <v>1214.2045234964073</v>
      </c>
      <c r="AC22">
        <v>1214.2045234964073</v>
      </c>
      <c r="AD22">
        <v>1228.1607445525708</v>
      </c>
      <c r="AE22">
        <v>1235.1323100553905</v>
      </c>
      <c r="AF22">
        <v>1241.4825907559634</v>
      </c>
      <c r="AG22">
        <v>1247.1963844860604</v>
      </c>
      <c r="AH22">
        <v>1255.5388042172435</v>
      </c>
      <c r="AI22">
        <v>1274.1870867652169</v>
      </c>
      <c r="AJ22">
        <v>1276.1795603028693</v>
      </c>
      <c r="AK22">
        <v>1292.6076264795395</v>
      </c>
      <c r="AL22">
        <v>1295.7641758932257</v>
      </c>
      <c r="AM22">
        <v>1330.8858915546882</v>
      </c>
      <c r="AN22" s="132">
        <v>1326.3565054918492</v>
      </c>
      <c r="AO22" s="132">
        <v>1328.7849878878758</v>
      </c>
      <c r="AP22" s="132">
        <v>1320.2701969746945</v>
      </c>
      <c r="AQ22" s="132">
        <v>1328.9431859932768</v>
      </c>
      <c r="AR22" s="132">
        <v>1358.5362575122685</v>
      </c>
      <c r="AS22" s="132">
        <v>1367.5563840697255</v>
      </c>
      <c r="AT22" s="132">
        <v>1374.7730237471837</v>
      </c>
      <c r="AU22" s="132">
        <v>1390.2350789365973</v>
      </c>
      <c r="AV22" s="132">
        <v>1396.5687130132878</v>
      </c>
      <c r="AW22" s="132">
        <v>1383.7646367888483</v>
      </c>
      <c r="AX22" s="165">
        <v>1386.3616294025651</v>
      </c>
      <c r="AY22" s="165">
        <v>1396.4309005324685</v>
      </c>
      <c r="AZ22" s="165">
        <v>1404.1153068161227</v>
      </c>
      <c r="BA22" s="185">
        <v>1404.1153068161227</v>
      </c>
      <c r="BB22" s="165">
        <v>1430.9325269898475</v>
      </c>
      <c r="BC22" s="165">
        <v>1431.9850701766777</v>
      </c>
      <c r="BD22" s="165">
        <v>1423.0630737697832</v>
      </c>
      <c r="BE22" s="165">
        <v>1434.342246715112</v>
      </c>
      <c r="BF22" s="165">
        <v>1442.332990711204</v>
      </c>
      <c r="BG22" s="165">
        <v>1435.1393249089513</v>
      </c>
      <c r="BH22" s="165">
        <v>1422.5320330654363</v>
      </c>
      <c r="BI22" s="165">
        <v>1433.6890900800547</v>
      </c>
      <c r="BJ22">
        <v>1432.52821051664</v>
      </c>
      <c r="BK22" s="165">
        <v>1444.8597979104768</v>
      </c>
      <c r="BL22" s="165">
        <v>1448.3596584489351</v>
      </c>
      <c r="BM22" s="165">
        <v>1452.1102640168131</v>
      </c>
      <c r="BN22" s="165">
        <v>1459.6406374904568</v>
      </c>
      <c r="BO22" s="165">
        <v>1461.8538904973398</v>
      </c>
      <c r="BP22" s="165">
        <v>1458.5352678821971</v>
      </c>
      <c r="BQ22" s="165">
        <v>1465.388200964215</v>
      </c>
      <c r="BR22" s="165">
        <v>1456.7935734691187</v>
      </c>
      <c r="BS22" s="165">
        <v>1442.2982352199574</v>
      </c>
      <c r="BT22" s="165">
        <v>1445.7918909265072</v>
      </c>
      <c r="BU22" s="165">
        <v>1445.7918909265072</v>
      </c>
      <c r="BV22" s="165">
        <v>1445.7918909265072</v>
      </c>
      <c r="BW22" s="165">
        <v>1458.6745203654607</v>
      </c>
      <c r="BX22" s="165">
        <v>1476.4269336494103</v>
      </c>
      <c r="BY22" s="165">
        <v>1483.8275544517094</v>
      </c>
      <c r="BZ22" s="165">
        <v>1492.4128394676004</v>
      </c>
      <c r="CA22" s="165">
        <v>1499.0115590555231</v>
      </c>
      <c r="CB22" s="165">
        <v>1488.6378181853634</v>
      </c>
      <c r="CC22" s="165">
        <v>1500.6482780502477</v>
      </c>
      <c r="CD22" s="165">
        <v>1500.6482780502477</v>
      </c>
      <c r="CE22" s="165">
        <v>1500.6482780502477</v>
      </c>
      <c r="CF22" s="165">
        <v>1515.4594020651157</v>
      </c>
      <c r="CG22" s="165">
        <v>1512.4315121601869</v>
      </c>
      <c r="CH22" s="165">
        <v>1520.8572927247433</v>
      </c>
      <c r="CI22" s="165">
        <f ca="1">Index_CALCULATION!CW36</f>
        <v>1380.2738490361658</v>
      </c>
      <c r="CJ22" s="165">
        <v>1544.4592834711309</v>
      </c>
      <c r="CK22" s="165">
        <v>1531.6422678464328</v>
      </c>
      <c r="CL22" s="165">
        <v>1547.0355285514634</v>
      </c>
      <c r="CM22" s="165">
        <v>1539.6157081396257</v>
      </c>
      <c r="CN22" s="165">
        <v>1559.8291926519641</v>
      </c>
      <c r="CO22" s="165">
        <v>1564.168074955945</v>
      </c>
      <c r="CP22" s="165">
        <v>1551.187501838273</v>
      </c>
      <c r="CQ22" s="165">
        <v>1537.7573912764863</v>
      </c>
      <c r="CR22" s="247">
        <v>1525.5044094228558</v>
      </c>
      <c r="CS22" s="247">
        <v>1531.8739384323817</v>
      </c>
      <c r="CT22" s="247">
        <v>1544.1539929116939</v>
      </c>
      <c r="CU22" s="247">
        <v>1511.6445006887748</v>
      </c>
      <c r="CV22" s="247">
        <v>1504.3944210916018</v>
      </c>
      <c r="CW22" s="247">
        <v>1518.1330878772185</v>
      </c>
      <c r="CX22" s="247">
        <v>1515.4245549872601</v>
      </c>
      <c r="CY22" s="247">
        <v>1515.4245549872601</v>
      </c>
      <c r="DB22" s="55"/>
      <c r="DC22" s="55"/>
      <c r="DD22" s="186"/>
      <c r="DE22" s="55"/>
      <c r="DF22" s="55"/>
      <c r="DG22" s="55"/>
      <c r="DH22" s="55"/>
      <c r="DI22" s="55"/>
      <c r="DJ22" s="186"/>
      <c r="DK22" s="55"/>
      <c r="DL22" s="55"/>
      <c r="DM22" s="55"/>
      <c r="DN22" s="55"/>
      <c r="DO22" s="55"/>
      <c r="DP22" s="55"/>
    </row>
    <row r="23" spans="1:133" x14ac:dyDescent="0.3">
      <c r="A23" t="s">
        <v>171</v>
      </c>
      <c r="B23">
        <v>1000</v>
      </c>
      <c r="C23" s="31">
        <v>1028.9317485995875</v>
      </c>
      <c r="D23" s="31">
        <v>1044.4820606013377</v>
      </c>
      <c r="E23" s="31">
        <v>1057.6200275856736</v>
      </c>
      <c r="F23" s="31">
        <v>1058.0682666243504</v>
      </c>
      <c r="G23" s="31">
        <v>1071.1576050422977</v>
      </c>
      <c r="H23" s="31">
        <v>1100.2727673242191</v>
      </c>
      <c r="I23" s="31">
        <v>1106.4482765120074</v>
      </c>
      <c r="J23" s="31">
        <v>1112.3915833513161</v>
      </c>
      <c r="K23" s="31">
        <v>1120.4426333753265</v>
      </c>
      <c r="L23" s="31">
        <v>1139.4288114923786</v>
      </c>
      <c r="M23" s="31">
        <v>1146.8196752503163</v>
      </c>
      <c r="N23" s="31">
        <v>1155.7157907391804</v>
      </c>
      <c r="O23" s="31">
        <v>1182.2828131493418</v>
      </c>
      <c r="P23" s="31">
        <v>1211.1678846359309</v>
      </c>
      <c r="Q23" s="91">
        <v>1259.4788083826684</v>
      </c>
      <c r="R23" s="31">
        <v>1289.5365585775</v>
      </c>
      <c r="S23" s="31">
        <v>1326.6384764879849</v>
      </c>
      <c r="T23" s="31">
        <v>1371.3565815722384</v>
      </c>
      <c r="U23" s="31">
        <v>1405.3404998950787</v>
      </c>
      <c r="V23" s="31">
        <v>1424.5005894790531</v>
      </c>
      <c r="W23" s="31">
        <v>1452.5386434780287</v>
      </c>
      <c r="X23" s="31">
        <v>1487.2986126864892</v>
      </c>
      <c r="Y23" s="31">
        <v>1538.1527023957028</v>
      </c>
      <c r="Z23" s="31">
        <v>1587.8808591976187</v>
      </c>
      <c r="AA23" s="31">
        <v>1608.2065798509991</v>
      </c>
      <c r="AB23" s="31">
        <v>1643.0400320762794</v>
      </c>
      <c r="AC23" s="31">
        <v>1676.0606071231173</v>
      </c>
      <c r="AD23" s="31">
        <v>1690.4885867624514</v>
      </c>
      <c r="AE23" s="31">
        <v>1727.5698412884965</v>
      </c>
      <c r="AF23" s="31">
        <v>1753.2291123627906</v>
      </c>
      <c r="AG23" s="31">
        <v>1784.8179791262214</v>
      </c>
      <c r="AH23" s="31">
        <v>1820.8736940084173</v>
      </c>
      <c r="AI23" s="31">
        <v>1840.825060291935</v>
      </c>
      <c r="AJ23" s="31">
        <v>1858.1639442571657</v>
      </c>
      <c r="AK23" s="31">
        <v>1871.1732071328136</v>
      </c>
      <c r="AL23" s="31">
        <v>1905.7169711189615</v>
      </c>
      <c r="AM23">
        <v>1942.6331509259078</v>
      </c>
      <c r="AN23" s="31">
        <v>1972.6646759642992</v>
      </c>
      <c r="AO23" s="31">
        <v>1983.5200335947718</v>
      </c>
      <c r="AP23" s="31">
        <v>2009.1870829108684</v>
      </c>
      <c r="AQ23" s="31">
        <v>2064.9606205565105</v>
      </c>
      <c r="AR23" s="31">
        <v>2132.4125971030562</v>
      </c>
      <c r="AS23" s="31">
        <v>2183.1819554425833</v>
      </c>
      <c r="AT23" s="31">
        <v>2250.2618406890979</v>
      </c>
      <c r="AU23" s="31">
        <v>2298.1379651169445</v>
      </c>
      <c r="AV23" s="31">
        <v>2340.3044619396492</v>
      </c>
      <c r="AW23" s="31">
        <v>2405.8724715229973</v>
      </c>
      <c r="AX23" s="185">
        <v>2469.8628228579901</v>
      </c>
      <c r="AY23" s="185">
        <v>2522.4111342094593</v>
      </c>
      <c r="AZ23" s="185">
        <v>2559.5958878278002</v>
      </c>
      <c r="BA23" s="185">
        <v>2605.2595786164152</v>
      </c>
      <c r="BB23" s="185">
        <v>2664.0022941365792</v>
      </c>
      <c r="BC23" s="185">
        <v>2673.8144462101081</v>
      </c>
      <c r="BD23" s="185">
        <v>2696.1893324704652</v>
      </c>
      <c r="BE23" s="185">
        <v>2758.9929323230199</v>
      </c>
      <c r="BF23" s="185">
        <v>2805.3614790769993</v>
      </c>
      <c r="BG23" s="185">
        <v>2826.4807885840578</v>
      </c>
      <c r="BH23" s="185">
        <v>2834.8062046313071</v>
      </c>
      <c r="BI23" s="185">
        <v>2883.9505607781743</v>
      </c>
      <c r="BJ23">
        <v>2923.4006138829272</v>
      </c>
      <c r="BK23" s="165">
        <v>2967.5821562581723</v>
      </c>
      <c r="BL23" s="165">
        <v>2977.1704586128026</v>
      </c>
      <c r="BM23" s="165">
        <v>3071.0140658692608</v>
      </c>
      <c r="BN23" s="165">
        <v>3086.9397730499522</v>
      </c>
      <c r="BO23" s="165">
        <v>3119.8542814642556</v>
      </c>
      <c r="BP23" s="165">
        <v>3126.9529229591922</v>
      </c>
      <c r="BQ23" s="165">
        <v>3141.6449222570732</v>
      </c>
      <c r="BR23" s="165">
        <v>3162.5041629587108</v>
      </c>
      <c r="BS23" s="165">
        <v>3154.6077771462801</v>
      </c>
      <c r="BT23" s="165">
        <v>3177.587416890226</v>
      </c>
      <c r="BU23" s="165">
        <v>3208.4875384215998</v>
      </c>
      <c r="BV23" s="165">
        <v>3216.5187921518727</v>
      </c>
      <c r="BW23" s="165">
        <v>3268.8187677094434</v>
      </c>
      <c r="BX23" s="165">
        <v>3330.0158829284446</v>
      </c>
      <c r="BY23" s="165">
        <v>3371.9023263414028</v>
      </c>
      <c r="BZ23" s="165">
        <v>3427.472905791501</v>
      </c>
      <c r="CA23" s="165">
        <v>3475.6927640554895</v>
      </c>
      <c r="CB23" s="165">
        <v>3451.6396232636212</v>
      </c>
      <c r="CC23" s="165">
        <v>3498.1778841633368</v>
      </c>
      <c r="CD23" s="165">
        <v>3528.4649501913937</v>
      </c>
      <c r="CE23" s="165">
        <v>3538.6579087854084</v>
      </c>
      <c r="CF23" s="165">
        <v>3586.3694322839665</v>
      </c>
      <c r="CG23" s="165">
        <v>3589.9575954988445</v>
      </c>
      <c r="CH23" s="165">
        <v>3630.0684385815898</v>
      </c>
      <c r="CI23" s="165">
        <f ca="1">Index_CALCULATION!CW37</f>
        <v>2285.0821819025382</v>
      </c>
      <c r="CJ23" s="165">
        <v>3797.9860425631123</v>
      </c>
      <c r="CK23" s="165">
        <v>3790.0818080775757</v>
      </c>
      <c r="CL23" s="165">
        <v>3847.3615593419131</v>
      </c>
      <c r="CM23" s="165">
        <v>3851.0627245778669</v>
      </c>
      <c r="CN23" s="165">
        <v>3901.6230016182717</v>
      </c>
      <c r="CO23" s="165">
        <v>3912.4759097945475</v>
      </c>
      <c r="CP23" s="165">
        <v>3961.6887984297978</v>
      </c>
      <c r="CQ23" s="165">
        <v>3927.3886777085754</v>
      </c>
      <c r="CR23" s="247">
        <v>3931.3180307353514</v>
      </c>
      <c r="CS23" s="247">
        <v>3980.7679240757784</v>
      </c>
      <c r="CT23" s="247">
        <v>3997.5531602126057</v>
      </c>
      <c r="CU23" s="247">
        <v>3943.0358105402406</v>
      </c>
      <c r="CV23" s="247">
        <v>3935.4603358110921</v>
      </c>
      <c r="CW23" s="247">
        <v>4007.6686097549127</v>
      </c>
      <c r="CX23" s="247">
        <v>4043.6115861361181</v>
      </c>
      <c r="CY23" s="247">
        <v>4043.6115861361181</v>
      </c>
      <c r="DB23" s="55"/>
      <c r="DC23" s="55"/>
      <c r="DD23" s="186"/>
      <c r="DE23" s="55"/>
      <c r="DF23" s="55"/>
      <c r="DG23" s="55"/>
      <c r="DH23" s="55"/>
      <c r="DI23" s="55"/>
      <c r="DJ23" s="186"/>
      <c r="DK23" s="55"/>
      <c r="DL23" s="55"/>
      <c r="DM23" s="55"/>
      <c r="DN23" s="55"/>
      <c r="DO23" s="55"/>
      <c r="DP23" s="55"/>
    </row>
    <row r="24" spans="1:133" x14ac:dyDescent="0.3">
      <c r="A24" t="s">
        <v>212</v>
      </c>
      <c r="B24">
        <v>0</v>
      </c>
      <c r="C24" s="31">
        <v>0</v>
      </c>
      <c r="D24" s="31">
        <v>0</v>
      </c>
      <c r="E24" s="31">
        <v>0</v>
      </c>
      <c r="F24" s="31">
        <v>0</v>
      </c>
      <c r="G24" s="31">
        <v>0</v>
      </c>
      <c r="H24" s="31">
        <v>0</v>
      </c>
      <c r="I24" s="31">
        <v>0</v>
      </c>
      <c r="J24" s="31">
        <v>0</v>
      </c>
      <c r="K24" s="31">
        <v>0</v>
      </c>
      <c r="L24" s="31">
        <v>0</v>
      </c>
      <c r="M24" s="31">
        <v>0</v>
      </c>
      <c r="N24" s="31">
        <v>0</v>
      </c>
      <c r="O24" s="31">
        <v>0</v>
      </c>
      <c r="P24" s="31">
        <v>0</v>
      </c>
      <c r="Q24" s="91">
        <v>0</v>
      </c>
      <c r="R24" s="31">
        <v>0</v>
      </c>
      <c r="S24" s="31">
        <v>0</v>
      </c>
      <c r="T24" s="31">
        <v>0</v>
      </c>
      <c r="U24" s="31">
        <v>0</v>
      </c>
      <c r="V24" s="31">
        <v>0</v>
      </c>
      <c r="W24" s="31">
        <v>0</v>
      </c>
      <c r="X24" s="31">
        <v>0</v>
      </c>
      <c r="Y24" s="31">
        <v>0</v>
      </c>
      <c r="Z24" s="31">
        <v>0</v>
      </c>
      <c r="AA24" s="31">
        <v>0</v>
      </c>
      <c r="AB24" s="31">
        <v>1000</v>
      </c>
      <c r="AC24" s="31">
        <v>1009.2259727871328</v>
      </c>
      <c r="AD24" s="31">
        <v>1009.2259727871328</v>
      </c>
      <c r="AE24" s="31">
        <v>1014.9547709168886</v>
      </c>
      <c r="AF24" s="31">
        <v>1028.0507809748431</v>
      </c>
      <c r="AG24" s="31">
        <v>1037.5355495039078</v>
      </c>
      <c r="AH24" s="31">
        <v>1042.7362180881662</v>
      </c>
      <c r="AI24" s="31">
        <v>1050.7881953589722</v>
      </c>
      <c r="AJ24" s="31">
        <v>1058.4781950017762</v>
      </c>
      <c r="AK24" s="31">
        <v>1070.8579166295483</v>
      </c>
      <c r="AL24" s="31">
        <v>1076.7507304453347</v>
      </c>
      <c r="AM24">
        <v>1077.3769303290835</v>
      </c>
      <c r="AN24" s="31">
        <v>1086.5983601238859</v>
      </c>
      <c r="AO24" s="31">
        <v>1096.5823486419915</v>
      </c>
      <c r="AP24" s="31">
        <v>1119.5341632662598</v>
      </c>
      <c r="AQ24" s="31">
        <v>1132.2674294088413</v>
      </c>
      <c r="AR24" s="31">
        <v>1142.4222264829784</v>
      </c>
      <c r="AS24" s="31">
        <v>1156.7921290977383</v>
      </c>
      <c r="AT24" s="31">
        <v>1161.3674380920518</v>
      </c>
      <c r="AU24" s="31">
        <v>1172.1136566371511</v>
      </c>
      <c r="AV24" s="31">
        <v>1174.1132813842644</v>
      </c>
      <c r="AW24" s="31">
        <v>1189.6642248274484</v>
      </c>
      <c r="AX24" s="185">
        <v>1203.1235139046764</v>
      </c>
      <c r="AY24" s="185">
        <v>1203.1235139046764</v>
      </c>
      <c r="AZ24" s="185">
        <v>1200.9246899411344</v>
      </c>
      <c r="BA24" s="185">
        <v>1196.5390903567093</v>
      </c>
      <c r="BB24" s="185">
        <v>1208.7278387012595</v>
      </c>
      <c r="BC24" s="185">
        <v>1204.2921451976747</v>
      </c>
      <c r="BD24" s="185">
        <v>1211.8425415155566</v>
      </c>
      <c r="BE24" s="185">
        <v>1221.4475842295467</v>
      </c>
      <c r="BF24" s="185">
        <v>1222.5790779738013</v>
      </c>
      <c r="BG24" s="185">
        <v>1231.7828922191861</v>
      </c>
      <c r="BH24" s="185">
        <v>1234.5030594452189</v>
      </c>
      <c r="BI24" s="185">
        <v>1240.3033764085574</v>
      </c>
      <c r="BJ24">
        <v>1237.337273162761</v>
      </c>
      <c r="BK24" s="165">
        <v>1233.8070693606549</v>
      </c>
      <c r="BL24" s="165">
        <v>1242.7946976080846</v>
      </c>
      <c r="BM24" s="165">
        <v>1242.7946976080846</v>
      </c>
      <c r="BN24" s="165">
        <v>1252.4745729448812</v>
      </c>
      <c r="BO24" s="165">
        <v>1263.9126177647106</v>
      </c>
      <c r="BP24" s="165">
        <v>1286.1283214608354</v>
      </c>
      <c r="BQ24" s="165">
        <v>1286.1283214608354</v>
      </c>
      <c r="BR24" s="165">
        <v>1288.9685006276427</v>
      </c>
      <c r="BS24" s="165">
        <v>1310.6313311066742</v>
      </c>
      <c r="BT24" s="165">
        <v>1323.3764304857677</v>
      </c>
      <c r="BU24" s="165">
        <v>1329.7953820243283</v>
      </c>
      <c r="BV24" s="165">
        <v>1336.4610091154602</v>
      </c>
      <c r="BW24" s="165">
        <v>1342.9434265539655</v>
      </c>
      <c r="BX24" s="165">
        <v>1346.1964167131321</v>
      </c>
      <c r="BY24" s="165">
        <v>1359.7259156292073</v>
      </c>
      <c r="BZ24" s="165">
        <v>1375.50592424713</v>
      </c>
      <c r="CA24" s="165">
        <v>1382.6039855506008</v>
      </c>
      <c r="CB24" s="165">
        <v>1399.9950027827369</v>
      </c>
      <c r="CC24" s="165">
        <v>1429.0421311306022</v>
      </c>
      <c r="CD24" s="165">
        <v>1440.1726498775824</v>
      </c>
      <c r="CE24" s="165">
        <v>1452.6897649023133</v>
      </c>
      <c r="CF24" s="165">
        <v>1456.5861141964972</v>
      </c>
      <c r="CG24" s="165">
        <v>1469.7545583360156</v>
      </c>
      <c r="CH24" s="165">
        <v>1469.7545583360156</v>
      </c>
      <c r="CI24" s="165">
        <f ca="1">Index_CALCULATION!CW38</f>
        <v>1143.6699917353874</v>
      </c>
      <c r="CJ24" s="165">
        <v>1472.8101200895815</v>
      </c>
      <c r="CK24" s="165">
        <v>1496.0035046642738</v>
      </c>
      <c r="CL24" s="165">
        <v>1509.5283065223243</v>
      </c>
      <c r="CM24" s="165">
        <v>1518.2622936437847</v>
      </c>
      <c r="CN24" s="165">
        <v>1533.1877454576324</v>
      </c>
      <c r="CO24" s="165">
        <v>1514.1421814032217</v>
      </c>
      <c r="CP24" s="165">
        <v>1509.4178726633943</v>
      </c>
      <c r="CQ24" s="165">
        <v>1529.2348923459199</v>
      </c>
      <c r="CR24" s="247">
        <v>1569.5163898489934</v>
      </c>
      <c r="CS24" s="247">
        <v>1576.069684689912</v>
      </c>
      <c r="CT24" s="247">
        <v>1557.7698649475046</v>
      </c>
      <c r="CU24" s="247">
        <v>1612.6049829898598</v>
      </c>
      <c r="CV24" s="247">
        <v>1621.9353619516723</v>
      </c>
      <c r="CW24" s="247">
        <v>1636.7474545606663</v>
      </c>
      <c r="CX24" s="247">
        <v>1663.2648397329897</v>
      </c>
      <c r="CY24" s="247">
        <v>1663.2648397329897</v>
      </c>
      <c r="DB24" s="55"/>
      <c r="DC24" s="55"/>
      <c r="DD24" s="186"/>
      <c r="DE24" s="55"/>
      <c r="DF24" s="55"/>
      <c r="DG24" s="55"/>
      <c r="DH24" s="55"/>
      <c r="DI24" s="55"/>
      <c r="DJ24" s="186"/>
      <c r="DK24" s="55"/>
      <c r="DL24" s="55"/>
      <c r="DM24" s="55"/>
      <c r="DN24" s="55"/>
      <c r="DO24" s="55"/>
      <c r="DP24" s="55"/>
    </row>
    <row r="25" spans="1:133" x14ac:dyDescent="0.3">
      <c r="A25" t="s">
        <v>172</v>
      </c>
      <c r="B25">
        <v>1000</v>
      </c>
      <c r="C25">
        <v>1028.5695124658184</v>
      </c>
      <c r="D25">
        <v>1055.7384161887585</v>
      </c>
      <c r="E25">
        <v>1108.1869384878678</v>
      </c>
      <c r="F25">
        <v>1141.5492237994727</v>
      </c>
      <c r="G25">
        <v>1169.9680865964463</v>
      </c>
      <c r="H25">
        <v>1200.1313600111916</v>
      </c>
      <c r="I25">
        <v>1215.0004538295789</v>
      </c>
      <c r="J25">
        <v>1224.8031835521952</v>
      </c>
      <c r="K25">
        <v>1264.8982739067767</v>
      </c>
      <c r="L25">
        <v>1282.6472795067928</v>
      </c>
      <c r="M25">
        <v>1306.0790764012095</v>
      </c>
      <c r="N25">
        <v>1327.6271006647587</v>
      </c>
      <c r="O25" s="31">
        <v>1363.3001830042147</v>
      </c>
      <c r="P25">
        <v>1409.914487096017</v>
      </c>
      <c r="Q25" s="91">
        <v>1488.7912349039511</v>
      </c>
      <c r="R25" s="31">
        <v>1558.4928865985678</v>
      </c>
      <c r="S25" s="31">
        <v>1605.6472531197646</v>
      </c>
      <c r="T25" s="31">
        <v>1676.9978639890169</v>
      </c>
      <c r="U25" s="31">
        <v>1775.8814226184659</v>
      </c>
      <c r="V25" s="31">
        <v>1836.0751250247663</v>
      </c>
      <c r="W25" s="31">
        <v>1896.1653291711934</v>
      </c>
      <c r="X25" s="31">
        <v>1967.291892744722</v>
      </c>
      <c r="Y25" s="31">
        <v>2134.2673805887748</v>
      </c>
      <c r="Z25" s="31">
        <v>2277.085117485768</v>
      </c>
      <c r="AA25" s="31">
        <v>2382.3123851547857</v>
      </c>
      <c r="AB25" s="31">
        <v>2463.8990522653257</v>
      </c>
      <c r="AC25" s="31">
        <v>2594.1935251555024</v>
      </c>
      <c r="AD25" s="31">
        <v>2682.7626861513477</v>
      </c>
      <c r="AE25" s="31">
        <v>2799.1056257722189</v>
      </c>
      <c r="AF25" s="31">
        <v>2936.9653954398609</v>
      </c>
      <c r="AG25" s="31">
        <v>3079.6804741894789</v>
      </c>
      <c r="AH25" s="31">
        <v>3171.7081581170337</v>
      </c>
      <c r="AI25" s="31">
        <v>3327.9191106817002</v>
      </c>
      <c r="AJ25" s="31">
        <v>3588.9800385645631</v>
      </c>
      <c r="AK25" s="31">
        <v>3759.8523131743123</v>
      </c>
      <c r="AL25" s="31">
        <v>3883.3444398628553</v>
      </c>
      <c r="AM25">
        <v>4207.7552449864788</v>
      </c>
      <c r="AN25" s="31">
        <v>4504.6541943858947</v>
      </c>
      <c r="AO25" s="31">
        <v>4644.1062037069578</v>
      </c>
      <c r="AP25" s="31">
        <v>4868.2853442695096</v>
      </c>
      <c r="AQ25" s="31">
        <v>5060.3328710228079</v>
      </c>
      <c r="AR25" s="31">
        <v>5399.5370494067256</v>
      </c>
      <c r="AS25" s="31">
        <v>5777.4376839948782</v>
      </c>
      <c r="AT25" s="31">
        <v>6021.9290340914531</v>
      </c>
      <c r="AU25" s="31">
        <v>6703.5986064891767</v>
      </c>
      <c r="AV25" s="31">
        <v>7027.3071312514221</v>
      </c>
      <c r="AW25" s="31">
        <v>7329.5112945673782</v>
      </c>
      <c r="AX25" s="185">
        <v>7581.1040472582299</v>
      </c>
      <c r="AY25" s="185">
        <v>7788.3772475602655</v>
      </c>
      <c r="AZ25" s="185">
        <v>8177.7169789847212</v>
      </c>
      <c r="BA25" s="185">
        <v>8570.827050376407</v>
      </c>
      <c r="BB25" s="185">
        <v>8949.5878101233575</v>
      </c>
      <c r="BC25" s="185">
        <v>9380.8117522078428</v>
      </c>
      <c r="BD25" s="185">
        <v>9591.6077385557746</v>
      </c>
      <c r="BE25" s="185">
        <v>10017.259696545274</v>
      </c>
      <c r="BF25" s="185">
        <v>10501.643797956822</v>
      </c>
      <c r="BG25" s="185">
        <v>10767.494176406719</v>
      </c>
      <c r="BH25" s="185">
        <v>10959.195284973039</v>
      </c>
      <c r="BI25" s="185">
        <v>11289.423973591895</v>
      </c>
      <c r="BJ25">
        <v>11522.9725528491</v>
      </c>
      <c r="BK25" s="165">
        <v>11840.02230387147</v>
      </c>
      <c r="BL25" s="165">
        <v>12071.416097169305</v>
      </c>
      <c r="BM25" s="165">
        <v>12494.931855835279</v>
      </c>
      <c r="BN25" s="165">
        <v>12866.582616500005</v>
      </c>
      <c r="BO25" s="165">
        <v>13222.318306905081</v>
      </c>
      <c r="BP25" s="165">
        <v>13577.599431736402</v>
      </c>
      <c r="BQ25" s="165">
        <v>14008.598703357597</v>
      </c>
      <c r="BR25" s="165">
        <v>14216.129731165513</v>
      </c>
      <c r="BS25" s="165">
        <v>14430.979018378061</v>
      </c>
      <c r="BT25" s="165">
        <v>14736.758613308575</v>
      </c>
      <c r="BU25" s="165">
        <v>15049.017405565673</v>
      </c>
      <c r="BV25" s="165">
        <v>15086.687016473637</v>
      </c>
      <c r="BW25" s="165">
        <v>15406.36047999027</v>
      </c>
      <c r="BX25" s="165">
        <v>15581.288900558056</v>
      </c>
      <c r="BY25" s="165">
        <v>15989.049764927511</v>
      </c>
      <c r="BZ25" s="165">
        <v>16568.130841820916</v>
      </c>
      <c r="CA25" s="165">
        <v>16987.55507094612</v>
      </c>
      <c r="CB25" s="165">
        <v>17393.422759539008</v>
      </c>
      <c r="CC25" s="165">
        <v>17849.669445184289</v>
      </c>
      <c r="CD25" s="165">
        <v>18380.592166769089</v>
      </c>
      <c r="CE25" s="165">
        <v>18576.034041035688</v>
      </c>
      <c r="CF25" s="165">
        <v>18910.728383137055</v>
      </c>
      <c r="CG25" s="165">
        <v>19408.854905072527</v>
      </c>
      <c r="CH25" s="165">
        <v>19974.033480876726</v>
      </c>
      <c r="CI25" s="165">
        <f ca="1">Index_CALCULATION!CW39</f>
        <v>9399.8962713892979</v>
      </c>
      <c r="CJ25" s="165">
        <v>20842.370603367057</v>
      </c>
      <c r="CK25" s="165">
        <v>21459.225145767577</v>
      </c>
      <c r="CL25" s="165">
        <v>22002.46801669354</v>
      </c>
      <c r="CM25" s="165">
        <v>22689.990053177695</v>
      </c>
      <c r="CN25" s="165">
        <v>23518.642996288319</v>
      </c>
      <c r="CO25" s="165">
        <v>23682.535317899961</v>
      </c>
      <c r="CP25" s="165">
        <v>24383.447885112797</v>
      </c>
      <c r="CQ25" s="165">
        <v>25055.126311914486</v>
      </c>
      <c r="CR25" s="247">
        <v>25921.648001935369</v>
      </c>
      <c r="CS25" s="247">
        <v>26138.564297883429</v>
      </c>
      <c r="CT25" s="247">
        <v>26218.087887421581</v>
      </c>
      <c r="CU25" s="247">
        <v>27148.141975538147</v>
      </c>
      <c r="CV25" s="247">
        <v>27595.556471737716</v>
      </c>
      <c r="CW25" s="247">
        <v>28208.531265307414</v>
      </c>
      <c r="CX25" s="247">
        <v>28793.802517375814</v>
      </c>
      <c r="CY25" s="247">
        <v>28793.802517375814</v>
      </c>
    </row>
    <row r="26" spans="1:133" x14ac:dyDescent="0.3">
      <c r="A26" t="s">
        <v>173</v>
      </c>
      <c r="B26">
        <v>1000</v>
      </c>
      <c r="C26">
        <v>1013.8271167856134</v>
      </c>
      <c r="D26">
        <v>1032.4624530225403</v>
      </c>
      <c r="E26">
        <v>1057.7976989417766</v>
      </c>
      <c r="F26">
        <v>1060.9398922181988</v>
      </c>
      <c r="G26">
        <v>1074.5050361397721</v>
      </c>
      <c r="H26">
        <v>1100.2049577629436</v>
      </c>
      <c r="I26">
        <v>1111.3451345248029</v>
      </c>
      <c r="J26">
        <v>1120.3115640828773</v>
      </c>
      <c r="K26">
        <v>1144.2629008513709</v>
      </c>
      <c r="L26">
        <v>1162.6992964006292</v>
      </c>
      <c r="M26">
        <v>1188.0294446443952</v>
      </c>
      <c r="N26">
        <v>1212.0292314174544</v>
      </c>
      <c r="O26" s="31">
        <v>1225.8808441533192</v>
      </c>
      <c r="P26">
        <v>1248.2756142634635</v>
      </c>
      <c r="Q26" s="91">
        <v>1283.4935178833066</v>
      </c>
      <c r="R26" s="31">
        <v>1314.7444008314585</v>
      </c>
      <c r="S26" s="31">
        <v>1337.6976533204925</v>
      </c>
      <c r="T26" s="31">
        <v>1376.041414243163</v>
      </c>
      <c r="U26" s="31">
        <v>1410.1414285347573</v>
      </c>
      <c r="V26" s="31">
        <v>1432.3479248173353</v>
      </c>
      <c r="W26" s="31">
        <v>1468.6079851670017</v>
      </c>
      <c r="X26" s="31">
        <v>1491.1053729996265</v>
      </c>
      <c r="Y26" s="31">
        <v>1521.6211714899075</v>
      </c>
      <c r="Z26" s="31">
        <v>1567.8426546635474</v>
      </c>
      <c r="AA26" s="31">
        <v>1582.3500183614847</v>
      </c>
      <c r="AB26" s="31">
        <v>1599.3949174609174</v>
      </c>
      <c r="AC26" s="31">
        <v>1624.8925778572739</v>
      </c>
      <c r="AD26" s="31">
        <v>1645.9189336403495</v>
      </c>
      <c r="AE26" s="31">
        <v>1668.5885606464697</v>
      </c>
      <c r="AF26" s="31">
        <v>1690.1184388232809</v>
      </c>
      <c r="AG26" s="31">
        <v>1725.8453285220091</v>
      </c>
      <c r="AH26" s="31">
        <v>1753.8758091492316</v>
      </c>
      <c r="AI26" s="31">
        <v>1815.6498935488466</v>
      </c>
      <c r="AJ26" s="31">
        <v>1878.1695113799476</v>
      </c>
      <c r="AK26" s="31">
        <v>1907.8850269184595</v>
      </c>
      <c r="AL26" s="31">
        <v>1941.922068602945</v>
      </c>
      <c r="AM26">
        <v>2026.1148658063726</v>
      </c>
      <c r="AN26" s="31">
        <v>2073.8681907339105</v>
      </c>
      <c r="AO26" s="31">
        <v>2100.5945688302759</v>
      </c>
      <c r="AP26" s="31">
        <v>2114.1418893620416</v>
      </c>
      <c r="AQ26" s="31">
        <v>2147.1152447751469</v>
      </c>
      <c r="AR26" s="31">
        <v>2191.0114572074831</v>
      </c>
      <c r="AS26" s="31">
        <v>2233.3013949821716</v>
      </c>
      <c r="AT26" s="31">
        <v>2270.3370605478103</v>
      </c>
      <c r="AU26" s="31">
        <v>2323.2210841450783</v>
      </c>
      <c r="AV26" s="31">
        <v>2345.7700135643686</v>
      </c>
      <c r="AW26" s="31">
        <v>2397.2547735433318</v>
      </c>
      <c r="AX26" s="185">
        <v>2428.9261310740048</v>
      </c>
      <c r="AY26" s="185">
        <v>2448.177756956783</v>
      </c>
      <c r="AZ26" s="185">
        <v>2491.8537265193504</v>
      </c>
      <c r="BA26" s="165">
        <v>2545.6050575835829</v>
      </c>
      <c r="BB26" s="185">
        <v>2587.2216595320097</v>
      </c>
      <c r="BC26" s="185">
        <v>2627.4814349691906</v>
      </c>
      <c r="BD26" s="185">
        <v>2677.2114740651855</v>
      </c>
      <c r="BE26" s="185">
        <v>2682.50066195613</v>
      </c>
      <c r="BF26" s="185">
        <v>2704.9482357919564</v>
      </c>
      <c r="BG26" s="185">
        <v>2707.2032988008691</v>
      </c>
      <c r="BH26" s="185">
        <v>2717.1745704173613</v>
      </c>
      <c r="BI26" s="185">
        <v>2749.2037644289039</v>
      </c>
      <c r="BJ26">
        <v>2788.8708637688378</v>
      </c>
      <c r="BK26" s="165">
        <v>2812.8782128278049</v>
      </c>
      <c r="BL26" s="165">
        <v>2851.7074255584553</v>
      </c>
      <c r="BM26" s="165">
        <v>2883.8459659532</v>
      </c>
      <c r="BN26" s="165">
        <v>2956.8508741551932</v>
      </c>
      <c r="BO26" s="165">
        <v>2963.5786320618113</v>
      </c>
      <c r="BP26" s="165">
        <v>2997.4477355945673</v>
      </c>
      <c r="BQ26" s="165">
        <v>3004.4812428965524</v>
      </c>
      <c r="BR26" s="165">
        <v>3017.7655893620522</v>
      </c>
      <c r="BS26" s="165">
        <v>3040.4839185245587</v>
      </c>
      <c r="BT26" s="165">
        <v>3062.6322266600823</v>
      </c>
      <c r="BU26" s="165">
        <v>3119.9692253030744</v>
      </c>
      <c r="BV26" s="165">
        <v>3106.9963990209503</v>
      </c>
      <c r="BW26" s="165">
        <v>3117.0351508801823</v>
      </c>
      <c r="BX26" s="165">
        <v>3147.3464381378662</v>
      </c>
      <c r="BY26" s="165">
        <v>3176.3297510550028</v>
      </c>
      <c r="BZ26" s="165">
        <v>3231.783190307749</v>
      </c>
      <c r="CA26" s="165">
        <v>3253.2409123388256</v>
      </c>
      <c r="CB26" s="165">
        <v>3368.1846694812925</v>
      </c>
      <c r="CC26" s="165">
        <v>3453.4506703377451</v>
      </c>
      <c r="CD26" s="165">
        <v>3474.3534642090572</v>
      </c>
      <c r="CE26" s="165">
        <v>3454.3668264990633</v>
      </c>
      <c r="CF26" s="165">
        <v>3482.2369595975415</v>
      </c>
      <c r="CG26" s="165">
        <v>3503.1931871691968</v>
      </c>
      <c r="CH26" s="165">
        <v>3578.5983022366904</v>
      </c>
      <c r="CI26" s="165">
        <f ca="1">Index_CALCULATION!CW40</f>
        <v>2373.8949567469472</v>
      </c>
      <c r="CJ26" s="165">
        <v>3665.4546492318145</v>
      </c>
      <c r="CK26" s="165">
        <v>3688.4354810816976</v>
      </c>
      <c r="CL26" s="165">
        <v>3710.6326187899394</v>
      </c>
      <c r="CM26" s="165">
        <v>3771.7856371148587</v>
      </c>
      <c r="CN26" s="165">
        <v>3808.8646089200615</v>
      </c>
      <c r="CO26" s="165">
        <v>3824.7679871535283</v>
      </c>
      <c r="CP26" s="165">
        <v>3897.1589311970533</v>
      </c>
      <c r="CQ26" s="165">
        <v>3961.2203869487453</v>
      </c>
      <c r="CR26" s="247">
        <v>4045.2856105482024</v>
      </c>
      <c r="CS26" s="247">
        <v>4062.1761314074324</v>
      </c>
      <c r="CT26" s="247">
        <v>4184.6336085926505</v>
      </c>
      <c r="CU26" s="247">
        <v>4130.4464055590497</v>
      </c>
      <c r="CV26" s="247">
        <v>4142.3783560760521</v>
      </c>
      <c r="CW26" s="247">
        <v>4170.718348690556</v>
      </c>
      <c r="CX26" s="247">
        <v>4159.5617302553146</v>
      </c>
      <c r="CY26" s="247">
        <v>4159.5617302553146</v>
      </c>
    </row>
    <row r="27" spans="1:133" x14ac:dyDescent="0.3">
      <c r="AB27">
        <v>1746.2741650195942</v>
      </c>
      <c r="AD27">
        <v>1800.249535371677</v>
      </c>
      <c r="AE27">
        <v>1834.8159082243142</v>
      </c>
      <c r="AH27" s="132">
        <v>1922.9652909559802</v>
      </c>
      <c r="AI27" s="132">
        <v>1966.1930009282819</v>
      </c>
      <c r="AJ27">
        <v>2007.5013773011312</v>
      </c>
      <c r="AK27">
        <v>2044.6291622782524</v>
      </c>
      <c r="AL27">
        <v>2079.9893547158995</v>
      </c>
      <c r="AM27">
        <v>2139.4003221570006</v>
      </c>
      <c r="AN27" s="132">
        <v>2172.819355585284</v>
      </c>
      <c r="AO27" s="132">
        <v>2197.4953826670535</v>
      </c>
      <c r="AP27" s="132">
        <v>2222.2456738611081</v>
      </c>
      <c r="AQ27" s="132">
        <v>2265.3034547996785</v>
      </c>
      <c r="AR27" s="132">
        <v>2334.4589568921333</v>
      </c>
      <c r="AS27" s="132">
        <v>2394.9644550933554</v>
      </c>
      <c r="AT27" s="132">
        <v>2446.3698492065882</v>
      </c>
      <c r="AU27" s="132">
        <v>2513.3216167262212</v>
      </c>
      <c r="AV27" s="132">
        <v>2555.7743025017589</v>
      </c>
      <c r="AW27" s="132">
        <v>2604.1128840754945</v>
      </c>
      <c r="AX27" s="165">
        <v>2645.6507721456901</v>
      </c>
      <c r="AY27" s="165">
        <v>2674.1393759942057</v>
      </c>
      <c r="AZ27" s="165">
        <v>2717.2034546584582</v>
      </c>
      <c r="BA27" s="165">
        <v>2763.8581940652193</v>
      </c>
      <c r="BB27" s="165">
        <v>2817.3303781167069</v>
      </c>
      <c r="BC27" s="165">
        <v>2866.7303087889823</v>
      </c>
      <c r="BD27" s="165">
        <v>2887.6698391258487</v>
      </c>
      <c r="BE27" s="165">
        <v>2930.3087344573064</v>
      </c>
      <c r="BF27" s="165">
        <v>2976.3579248697365</v>
      </c>
      <c r="BG27" s="165">
        <v>3015.2026651013389</v>
      </c>
      <c r="BH27" s="165">
        <v>3046.222629626142</v>
      </c>
      <c r="BI27" s="165">
        <v>3078.0878952689336</v>
      </c>
      <c r="BJ27">
        <v>3126.8778637470728</v>
      </c>
      <c r="BK27" s="165">
        <v>3181.1253540452194</v>
      </c>
      <c r="BL27" s="165">
        <v>3213.7181451420038</v>
      </c>
      <c r="BM27" s="165">
        <v>3274.1204140502355</v>
      </c>
      <c r="BN27" s="165">
        <v>3329.452505929703</v>
      </c>
      <c r="BO27" s="165">
        <v>3366.3806659803868</v>
      </c>
      <c r="BP27" s="165">
        <v>3405.9883117457925</v>
      </c>
      <c r="BQ27" s="165">
        <v>3469.9108450816893</v>
      </c>
      <c r="BR27" s="165">
        <v>3506.7431319682291</v>
      </c>
      <c r="BS27" s="165">
        <v>3531.0233299301694</v>
      </c>
      <c r="BT27" s="165">
        <v>3566.5107043740627</v>
      </c>
      <c r="BU27" s="165">
        <v>3595.7371341375219</v>
      </c>
      <c r="BV27" s="165">
        <v>3603.1760084037937</v>
      </c>
      <c r="BW27" s="165">
        <v>3640.2104195223269</v>
      </c>
      <c r="BX27" s="165">
        <v>3705.6101911379192</v>
      </c>
      <c r="BY27" s="165">
        <v>3746.4720324679411</v>
      </c>
      <c r="BZ27" s="165">
        <v>3804.9947281946306</v>
      </c>
      <c r="CA27" s="165">
        <v>3849.7972638443548</v>
      </c>
      <c r="CB27" s="165">
        <v>3862.222173298283</v>
      </c>
      <c r="CC27" s="165">
        <v>3912.758838150005</v>
      </c>
      <c r="CD27" s="165">
        <v>3964.230154313972</v>
      </c>
      <c r="CE27" s="165">
        <v>3982.7220674547639</v>
      </c>
      <c r="CF27" s="165">
        <v>4016.7194893787414</v>
      </c>
      <c r="CG27" s="165">
        <v>4039.1146505949769</v>
      </c>
      <c r="CH27" s="165">
        <v>4096.9702793318374</v>
      </c>
      <c r="CI27" s="165">
        <f ca="1">Index_CALCULATION!CW41</f>
        <v>2727.1284391866229</v>
      </c>
      <c r="CJ27" s="165">
        <v>4219.7040095303755</v>
      </c>
      <c r="CK27" s="165">
        <v>4258.7399025437562</v>
      </c>
      <c r="CL27" s="165">
        <v>4309.2906965218926</v>
      </c>
      <c r="CM27" s="165">
        <v>4360.9782258520454</v>
      </c>
      <c r="CN27" s="165">
        <v>4435.5557487452315</v>
      </c>
      <c r="CO27" s="165">
        <v>4440.4868830333462</v>
      </c>
      <c r="CP27" s="165">
        <v>4482.6857389659717</v>
      </c>
      <c r="CQ27" s="165">
        <v>4530.4943327035517</v>
      </c>
      <c r="CR27" s="201">
        <v>4585.0043651514179</v>
      </c>
      <c r="CS27" s="201">
        <v>4637.2633226859625</v>
      </c>
      <c r="CT27" s="201">
        <v>4630.2556188121134</v>
      </c>
      <c r="CU27" s="201">
        <v>4679.4098901892157</v>
      </c>
      <c r="CV27" s="201">
        <v>4705.2175505945934</v>
      </c>
      <c r="CW27" s="201">
        <v>4761.7316974979394</v>
      </c>
      <c r="CX27" s="201">
        <v>4785.5999769585187</v>
      </c>
      <c r="CY27" s="201">
        <v>4785.5999769585187</v>
      </c>
    </row>
    <row r="28" spans="1:133" x14ac:dyDescent="0.3">
      <c r="A28" t="str">
        <f>A29</f>
        <v>Attackers: Insider threat</v>
      </c>
    </row>
    <row r="29" spans="1:133" x14ac:dyDescent="0.3">
      <c r="A29" t="str">
        <f>A30</f>
        <v>Attackers: Insider threat</v>
      </c>
      <c r="B29" s="122" t="str">
        <f>C$1</f>
        <v>Apr</v>
      </c>
      <c r="C29" s="122" t="str">
        <f t="shared" ref="C29:N29" si="0">D$1</f>
        <v>May</v>
      </c>
      <c r="D29" s="122" t="str">
        <f t="shared" si="0"/>
        <v>Jun</v>
      </c>
      <c r="E29" s="122" t="str">
        <f t="shared" si="0"/>
        <v>Jul</v>
      </c>
      <c r="F29" s="122" t="str">
        <f t="shared" si="0"/>
        <v>Aug</v>
      </c>
      <c r="G29" s="122" t="str">
        <f t="shared" si="0"/>
        <v>Sep</v>
      </c>
      <c r="H29" s="122" t="str">
        <f t="shared" si="0"/>
        <v>Oct</v>
      </c>
      <c r="I29" s="122" t="str">
        <f t="shared" si="0"/>
        <v>Nov</v>
      </c>
      <c r="J29" s="122" t="str">
        <f t="shared" si="0"/>
        <v>Dec 2011</v>
      </c>
      <c r="K29" s="122" t="str">
        <f t="shared" si="0"/>
        <v>Jan 2012</v>
      </c>
      <c r="L29" s="122" t="str">
        <f t="shared" si="0"/>
        <v>Feb</v>
      </c>
      <c r="M29" s="122" t="str">
        <f t="shared" si="0"/>
        <v>Mar</v>
      </c>
      <c r="N29" s="122" t="str">
        <f t="shared" si="0"/>
        <v>Apr</v>
      </c>
      <c r="O29" s="122" t="str">
        <f t="shared" ref="O29:AD29" si="1">P$1</f>
        <v>May</v>
      </c>
      <c r="P29" s="122" t="str">
        <f t="shared" si="1"/>
        <v>Jun</v>
      </c>
      <c r="Q29" s="122" t="str">
        <f t="shared" si="1"/>
        <v>Jul</v>
      </c>
      <c r="R29" s="122" t="str">
        <f t="shared" si="1"/>
        <v>Aug</v>
      </c>
      <c r="S29" s="122" t="str">
        <f t="shared" si="1"/>
        <v>Sep</v>
      </c>
      <c r="T29" s="122" t="str">
        <f t="shared" si="1"/>
        <v>Oct</v>
      </c>
      <c r="U29" s="122" t="str">
        <f t="shared" si="1"/>
        <v>Nov</v>
      </c>
      <c r="V29" s="122" t="str">
        <f t="shared" si="1"/>
        <v>Dec 2012</v>
      </c>
      <c r="W29" s="122" t="str">
        <f t="shared" si="1"/>
        <v>Jan 2013</v>
      </c>
      <c r="X29" s="122" t="str">
        <f t="shared" si="1"/>
        <v>Feb</v>
      </c>
      <c r="Y29" s="122" t="str">
        <f t="shared" si="1"/>
        <v>Mar</v>
      </c>
      <c r="Z29" s="122" t="str">
        <f t="shared" si="1"/>
        <v>Apr</v>
      </c>
      <c r="AA29" s="122" t="str">
        <f t="shared" si="1"/>
        <v>May</v>
      </c>
      <c r="AB29" s="122" t="str">
        <f t="shared" si="1"/>
        <v>Jun</v>
      </c>
      <c r="AC29" s="122" t="str">
        <f t="shared" si="1"/>
        <v>Jul</v>
      </c>
      <c r="AD29" s="122" t="str">
        <f t="shared" si="1"/>
        <v>Aug</v>
      </c>
      <c r="AE29" s="122" t="str">
        <f>AF$1</f>
        <v>Sep</v>
      </c>
      <c r="AF29" s="122" t="str">
        <f t="shared" ref="AF29:AK29" si="2">AG$1</f>
        <v>Oct</v>
      </c>
      <c r="AG29" s="122" t="str">
        <f t="shared" si="2"/>
        <v>Nov</v>
      </c>
      <c r="AH29" s="122" t="str">
        <f t="shared" si="2"/>
        <v>Dec 2013</v>
      </c>
      <c r="AI29" s="122" t="str">
        <f t="shared" si="2"/>
        <v>Jan 2014</v>
      </c>
      <c r="AJ29" s="122" t="str">
        <f t="shared" si="2"/>
        <v>Feb</v>
      </c>
      <c r="AK29" s="122" t="str">
        <f t="shared" si="2"/>
        <v>Mar</v>
      </c>
      <c r="AL29" s="122" t="str">
        <f t="shared" ref="AL29:CI29" si="3">AM$1</f>
        <v>Apr</v>
      </c>
      <c r="AM29" s="122" t="str">
        <f t="shared" si="3"/>
        <v>May</v>
      </c>
      <c r="AN29" s="122" t="str">
        <f t="shared" si="3"/>
        <v>Jun</v>
      </c>
      <c r="AO29" s="122" t="str">
        <f t="shared" si="3"/>
        <v>Jul</v>
      </c>
      <c r="AP29" s="122" t="str">
        <f t="shared" si="3"/>
        <v>Aug</v>
      </c>
      <c r="AQ29" s="122" t="str">
        <f t="shared" si="3"/>
        <v>Sep</v>
      </c>
      <c r="AR29" s="122" t="str">
        <f t="shared" si="3"/>
        <v>Oct</v>
      </c>
      <c r="AS29" s="122" t="str">
        <f t="shared" si="3"/>
        <v>Nov</v>
      </c>
      <c r="AT29" s="122" t="str">
        <f t="shared" si="3"/>
        <v>Dec '14</v>
      </c>
      <c r="AU29" s="122" t="str">
        <f t="shared" si="3"/>
        <v>Jan '15</v>
      </c>
      <c r="AV29" s="122" t="str">
        <f t="shared" si="3"/>
        <v>Feb</v>
      </c>
      <c r="AW29" s="122" t="str">
        <f t="shared" si="3"/>
        <v>Mar</v>
      </c>
      <c r="AX29" s="122" t="str">
        <f t="shared" si="3"/>
        <v>Apr</v>
      </c>
      <c r="AY29" s="122" t="str">
        <f t="shared" si="3"/>
        <v>May</v>
      </c>
      <c r="AZ29" s="122" t="str">
        <f t="shared" si="3"/>
        <v>Jun</v>
      </c>
      <c r="BA29" s="122" t="str">
        <f t="shared" si="3"/>
        <v>Jul</v>
      </c>
      <c r="BB29" s="122" t="str">
        <f t="shared" si="3"/>
        <v>Aug</v>
      </c>
      <c r="BC29" s="122" t="str">
        <f t="shared" si="3"/>
        <v>Sep</v>
      </c>
      <c r="BD29" s="122" t="str">
        <f t="shared" si="3"/>
        <v>Oct</v>
      </c>
      <c r="BE29" s="122" t="str">
        <f t="shared" si="3"/>
        <v>Nov</v>
      </c>
      <c r="BF29" s="122" t="str">
        <f t="shared" si="3"/>
        <v>Dec '15</v>
      </c>
      <c r="BG29" s="122" t="str">
        <f t="shared" si="3"/>
        <v>Jan '16</v>
      </c>
      <c r="BH29" s="122" t="str">
        <f t="shared" si="3"/>
        <v>Feb</v>
      </c>
      <c r="BI29" s="122" t="str">
        <f t="shared" si="3"/>
        <v>Mar</v>
      </c>
      <c r="BJ29" s="122" t="str">
        <f t="shared" si="3"/>
        <v>Apr</v>
      </c>
      <c r="BK29" s="122" t="str">
        <f t="shared" si="3"/>
        <v>May</v>
      </c>
      <c r="BL29" s="122" t="str">
        <f t="shared" si="3"/>
        <v>Jun</v>
      </c>
      <c r="BM29" s="122" t="str">
        <f t="shared" si="3"/>
        <v>Jul</v>
      </c>
      <c r="BN29" s="122" t="str">
        <f t="shared" si="3"/>
        <v>Aug</v>
      </c>
      <c r="BO29" s="122" t="str">
        <f t="shared" si="3"/>
        <v>Sep</v>
      </c>
      <c r="BP29" s="122" t="str">
        <f t="shared" si="3"/>
        <v>Oct</v>
      </c>
      <c r="BQ29" s="122" t="str">
        <f t="shared" si="3"/>
        <v>Nov</v>
      </c>
      <c r="BR29" s="122" t="str">
        <f t="shared" si="3"/>
        <v>Dec-16</v>
      </c>
      <c r="BS29" s="122" t="str">
        <f t="shared" si="3"/>
        <v>Jan-17</v>
      </c>
      <c r="BT29" s="122" t="str">
        <f t="shared" si="3"/>
        <v>Feb</v>
      </c>
      <c r="BU29" s="122" t="str">
        <f t="shared" si="3"/>
        <v>Mar</v>
      </c>
      <c r="BV29" s="122" t="str">
        <f t="shared" si="3"/>
        <v>Apr</v>
      </c>
      <c r="BW29" s="122" t="str">
        <f t="shared" si="3"/>
        <v>May</v>
      </c>
      <c r="BX29" s="122" t="str">
        <f t="shared" si="3"/>
        <v>Jun</v>
      </c>
      <c r="BY29" s="122" t="str">
        <f t="shared" si="3"/>
        <v>Jul</v>
      </c>
      <c r="BZ29" s="122" t="str">
        <f t="shared" si="3"/>
        <v>Aug</v>
      </c>
      <c r="CA29" s="122" t="str">
        <f t="shared" si="3"/>
        <v>Sep</v>
      </c>
      <c r="CB29" s="122" t="str">
        <f t="shared" si="3"/>
        <v>Oct</v>
      </c>
      <c r="CC29" s="122" t="str">
        <f t="shared" si="3"/>
        <v>Nov</v>
      </c>
      <c r="CD29" s="122" t="str">
        <f t="shared" si="3"/>
        <v>Dec</v>
      </c>
      <c r="CE29" s="122" t="str">
        <f t="shared" si="3"/>
        <v>Jan '18</v>
      </c>
      <c r="CF29" s="122" t="str">
        <f t="shared" si="3"/>
        <v>Feb</v>
      </c>
      <c r="CG29" s="122" t="str">
        <f t="shared" si="3"/>
        <v>Mar</v>
      </c>
      <c r="CH29" s="122" t="str">
        <f t="shared" si="3"/>
        <v>Apr</v>
      </c>
      <c r="CI29" s="122" t="str">
        <f t="shared" si="3"/>
        <v>May</v>
      </c>
      <c r="CJ29" s="122" t="str">
        <f t="shared" ref="CJ29:CO29" si="4">CK$1</f>
        <v>Jun</v>
      </c>
      <c r="CK29" s="122" t="str">
        <f t="shared" si="4"/>
        <v>Jul</v>
      </c>
      <c r="CL29" s="122" t="str">
        <f t="shared" si="4"/>
        <v>Aug</v>
      </c>
      <c r="CM29" s="122" t="str">
        <f t="shared" si="4"/>
        <v>Sep</v>
      </c>
      <c r="CN29" s="122" t="str">
        <f t="shared" si="4"/>
        <v>Oct</v>
      </c>
      <c r="CO29" s="122" t="str">
        <f t="shared" si="4"/>
        <v>Nov</v>
      </c>
      <c r="CP29" s="122" t="str">
        <f t="shared" ref="CP29:CX29" si="5">CQ$1</f>
        <v>Dec-18</v>
      </c>
      <c r="CQ29" s="122" t="str">
        <f t="shared" si="5"/>
        <v>Jan-19</v>
      </c>
      <c r="CR29" s="122" t="str">
        <f t="shared" si="5"/>
        <v>Feb-19</v>
      </c>
      <c r="CS29" s="122" t="str">
        <f t="shared" si="5"/>
        <v>Mar-19</v>
      </c>
      <c r="CT29" s="122" t="str">
        <f t="shared" si="5"/>
        <v>Apr-19</v>
      </c>
      <c r="CU29" s="122" t="str">
        <f t="shared" si="5"/>
        <v>May-19</v>
      </c>
      <c r="CV29" s="122" t="str">
        <f t="shared" si="5"/>
        <v>June-19</v>
      </c>
      <c r="CW29" s="122" t="str">
        <f t="shared" si="5"/>
        <v>July-19</v>
      </c>
      <c r="CX29" s="122" t="str">
        <f t="shared" si="5"/>
        <v>Aug-19</v>
      </c>
      <c r="CZ29" t="str">
        <f>A29</f>
        <v>Attackers: Insider threat</v>
      </c>
      <c r="DG29" t="str">
        <f>A34</f>
        <v>Attackers: Strategic rivals</v>
      </c>
      <c r="DO29" s="88"/>
      <c r="DQ29" s="122" t="str">
        <f t="array" aca="1" ref="DQ29:EC162" ca="1">subindex</f>
        <v>Aug</v>
      </c>
      <c r="DR29" s="122" t="str">
        <f ca="1"/>
        <v>Sep</v>
      </c>
      <c r="DS29" s="122" t="str">
        <f ca="1"/>
        <v>Oct</v>
      </c>
      <c r="DT29" s="122" t="str">
        <f ca="1"/>
        <v>Nov</v>
      </c>
      <c r="DU29" s="122" t="str">
        <f ca="1"/>
        <v>Dec-18</v>
      </c>
      <c r="DV29" s="122" t="str">
        <f ca="1"/>
        <v>Jan-19</v>
      </c>
      <c r="DW29" s="122" t="str">
        <f ca="1"/>
        <v>Feb-19</v>
      </c>
      <c r="DX29" s="122" t="str">
        <f ca="1"/>
        <v>Mar-19</v>
      </c>
      <c r="DY29" s="122" t="str">
        <f ca="1"/>
        <v>Apr-19</v>
      </c>
      <c r="DZ29" s="122" t="str">
        <f ca="1"/>
        <v>May-19</v>
      </c>
      <c r="EA29" s="122" t="str">
        <f ca="1"/>
        <v>June-19</v>
      </c>
      <c r="EB29" s="122" t="str">
        <f ca="1"/>
        <v>July-19</v>
      </c>
      <c r="EC29" s="122" t="str">
        <f ca="1"/>
        <v>Aug-19</v>
      </c>
    </row>
    <row r="30" spans="1:133" x14ac:dyDescent="0.3">
      <c r="A30" t="str">
        <f>A2</f>
        <v>Attackers: Insider threat</v>
      </c>
      <c r="B30">
        <f t="shared" ref="B30:CI30" si="6">C2</f>
        <v>1012.4001963784259</v>
      </c>
      <c r="C30" s="56">
        <f t="shared" si="6"/>
        <v>1038.7709436846849</v>
      </c>
      <c r="D30" s="56">
        <f t="shared" si="6"/>
        <v>1052.6342218415105</v>
      </c>
      <c r="E30" s="56">
        <f t="shared" si="6"/>
        <v>1085.243384892394</v>
      </c>
      <c r="F30" s="56">
        <f t="shared" si="6"/>
        <v>1114.0853873638068</v>
      </c>
      <c r="G30" s="56">
        <f t="shared" si="6"/>
        <v>1136.5914050927829</v>
      </c>
      <c r="H30" s="56">
        <f t="shared" si="6"/>
        <v>1153.2522871934073</v>
      </c>
      <c r="I30" s="56">
        <f t="shared" si="6"/>
        <v>1171.4133681390579</v>
      </c>
      <c r="J30" s="56">
        <f t="shared" si="6"/>
        <v>1191.2914250136018</v>
      </c>
      <c r="K30" s="56">
        <f t="shared" si="6"/>
        <v>1224.4563703399263</v>
      </c>
      <c r="L30" s="56">
        <f t="shared" si="6"/>
        <v>1246.8251177222246</v>
      </c>
      <c r="M30" s="56">
        <f t="shared" si="6"/>
        <v>1267.3955551287481</v>
      </c>
      <c r="N30" s="56">
        <f t="shared" si="6"/>
        <v>1294.0765916386404</v>
      </c>
      <c r="O30" s="56">
        <f t="shared" si="6"/>
        <v>1297.4276728715008</v>
      </c>
      <c r="P30" s="56">
        <f t="shared" si="6"/>
        <v>1320.6519636716441</v>
      </c>
      <c r="Q30" s="56">
        <f t="shared" si="6"/>
        <v>1344.5374557526609</v>
      </c>
      <c r="R30" s="56">
        <f t="shared" si="6"/>
        <v>1363.4147010543693</v>
      </c>
      <c r="S30" s="56">
        <f t="shared" si="6"/>
        <v>1394.1361431374614</v>
      </c>
      <c r="T30" s="56">
        <f t="shared" si="6"/>
        <v>1436.8932312205573</v>
      </c>
      <c r="U30" s="56">
        <f t="shared" si="6"/>
        <v>1473.2683565496418</v>
      </c>
      <c r="V30" s="56">
        <f t="shared" si="6"/>
        <v>1500.9937253901428</v>
      </c>
      <c r="W30" s="56">
        <f t="shared" si="6"/>
        <v>1533.8010393480292</v>
      </c>
      <c r="X30" s="56">
        <f t="shared" si="6"/>
        <v>1567.8915462419136</v>
      </c>
      <c r="Y30" s="56">
        <f t="shared" si="6"/>
        <v>1573.2457523608466</v>
      </c>
      <c r="Z30" s="56">
        <f t="shared" si="6"/>
        <v>1587.1068591448627</v>
      </c>
      <c r="AA30" s="56">
        <f t="shared" si="6"/>
        <v>1605.8407756998938</v>
      </c>
      <c r="AB30" s="56">
        <f t="shared" si="6"/>
        <v>1624.7958239496616</v>
      </c>
      <c r="AC30" s="56">
        <f t="shared" si="6"/>
        <v>1645.8209277225351</v>
      </c>
      <c r="AD30" s="56">
        <f t="shared" si="6"/>
        <v>1666.129805021068</v>
      </c>
      <c r="AE30" s="56">
        <f t="shared" si="6"/>
        <v>1687.6279577561918</v>
      </c>
      <c r="AF30" s="56">
        <f t="shared" si="6"/>
        <v>1721.5446271874346</v>
      </c>
      <c r="AG30" s="56">
        <f t="shared" si="6"/>
        <v>1754.3717502809986</v>
      </c>
      <c r="AH30" s="56">
        <f t="shared" si="6"/>
        <v>1780.4291050863878</v>
      </c>
      <c r="AI30" s="56">
        <f t="shared" si="6"/>
        <v>1824.5503483136558</v>
      </c>
      <c r="AJ30" s="56">
        <f t="shared" si="6"/>
        <v>1852.3402715039199</v>
      </c>
      <c r="AK30" s="56">
        <f t="shared" si="6"/>
        <v>1865.9436887137954</v>
      </c>
      <c r="AL30" s="56">
        <f t="shared" si="6"/>
        <v>1885.5735415801728</v>
      </c>
      <c r="AM30" s="56">
        <f t="shared" si="6"/>
        <v>1895.2403742772603</v>
      </c>
      <c r="AN30" s="56">
        <f t="shared" si="6"/>
        <v>1922.0072205257909</v>
      </c>
      <c r="AO30" s="56">
        <f t="shared" si="6"/>
        <v>1926.1302233522663</v>
      </c>
      <c r="AP30" s="56">
        <f t="shared" si="6"/>
        <v>1934.1725090762443</v>
      </c>
      <c r="AQ30" s="56">
        <f t="shared" si="6"/>
        <v>1963.1700585507006</v>
      </c>
      <c r="AR30" s="56">
        <f t="shared" si="6"/>
        <v>2001.0623020367548</v>
      </c>
      <c r="AS30" s="56">
        <f t="shared" si="6"/>
        <v>2020.9073861566831</v>
      </c>
      <c r="AT30" s="56">
        <f t="shared" si="6"/>
        <v>2051.7194353897062</v>
      </c>
      <c r="AU30" s="56">
        <f t="shared" si="6"/>
        <v>2038.9361782093472</v>
      </c>
      <c r="AV30" s="56">
        <f t="shared" si="6"/>
        <v>2063.2250066424922</v>
      </c>
      <c r="AW30" s="56">
        <f t="shared" si="6"/>
        <v>2067.0971825604433</v>
      </c>
      <c r="AX30" s="56">
        <f t="shared" si="6"/>
        <v>2083.4809585480657</v>
      </c>
      <c r="AY30" s="56">
        <f t="shared" si="6"/>
        <v>2106.4743850988384</v>
      </c>
      <c r="AZ30" s="56">
        <f t="shared" si="6"/>
        <v>2098.7818517824116</v>
      </c>
      <c r="BA30" s="56">
        <f t="shared" si="6"/>
        <v>2128.7741445002598</v>
      </c>
      <c r="BB30" s="56">
        <f t="shared" si="6"/>
        <v>2155.5508269178117</v>
      </c>
      <c r="BC30" s="56">
        <f t="shared" si="6"/>
        <v>2173.588804328348</v>
      </c>
      <c r="BD30" s="56">
        <f t="shared" si="6"/>
        <v>2208.181005205754</v>
      </c>
      <c r="BE30" s="56">
        <f t="shared" si="6"/>
        <v>2243.2144124557472</v>
      </c>
      <c r="BF30" s="56">
        <f t="shared" si="6"/>
        <v>2292.3477470848948</v>
      </c>
      <c r="BG30" s="56">
        <f t="shared" si="6"/>
        <v>2326.3078378919549</v>
      </c>
      <c r="BH30" s="56">
        <f t="shared" si="6"/>
        <v>2322.675820148047</v>
      </c>
      <c r="BI30" s="56">
        <f t="shared" si="6"/>
        <v>2382.8067886901631</v>
      </c>
      <c r="BJ30" s="56">
        <f t="shared" si="6"/>
        <v>2403.3186291842244</v>
      </c>
      <c r="BK30" s="56">
        <f t="shared" si="6"/>
        <v>2436.4942462040294</v>
      </c>
      <c r="BL30" s="56">
        <f t="shared" si="6"/>
        <v>2438.5955778946254</v>
      </c>
      <c r="BM30" s="56">
        <f t="shared" si="6"/>
        <v>2457.5893032752651</v>
      </c>
      <c r="BN30" s="56">
        <f t="shared" si="6"/>
        <v>2500.786178597933</v>
      </c>
      <c r="BO30" s="56">
        <f t="shared" si="6"/>
        <v>2512.1792622564176</v>
      </c>
      <c r="BP30" s="56">
        <f t="shared" si="6"/>
        <v>2589.900242144146</v>
      </c>
      <c r="BQ30" s="56">
        <f t="shared" si="6"/>
        <v>2647.6651653594176</v>
      </c>
      <c r="BR30" s="56">
        <f t="shared" si="6"/>
        <v>2643.2560653544479</v>
      </c>
      <c r="BS30" s="56">
        <f t="shared" si="6"/>
        <v>2662.5107798621871</v>
      </c>
      <c r="BT30" s="56">
        <f t="shared" si="6"/>
        <v>2651.7964652560581</v>
      </c>
      <c r="BU30" s="56">
        <f t="shared" si="6"/>
        <v>2645.1752540554658</v>
      </c>
      <c r="BV30" s="56">
        <f t="shared" si="6"/>
        <v>2647.3093203004332</v>
      </c>
      <c r="BW30" s="56">
        <f t="shared" si="6"/>
        <v>2636.6561784870864</v>
      </c>
      <c r="BX30" s="56">
        <f t="shared" si="6"/>
        <v>2625.6929669618576</v>
      </c>
      <c r="BY30" s="56">
        <f t="shared" si="6"/>
        <v>2605.5728131730443</v>
      </c>
      <c r="BZ30" s="56">
        <f t="shared" si="6"/>
        <v>2640.2875588794263</v>
      </c>
      <c r="CA30" s="56">
        <f t="shared" si="6"/>
        <v>2600.2564044640394</v>
      </c>
      <c r="CB30" s="56">
        <f t="shared" si="6"/>
        <v>2621.2355001196188</v>
      </c>
      <c r="CC30" s="56">
        <f t="shared" si="6"/>
        <v>2639.3754660356058</v>
      </c>
      <c r="CD30" s="56">
        <f t="shared" si="6"/>
        <v>2611.6061108096333</v>
      </c>
      <c r="CE30" s="56">
        <f t="shared" si="6"/>
        <v>2586.081954944766</v>
      </c>
      <c r="CF30" s="56">
        <f t="shared" si="6"/>
        <v>2570.6119197308171</v>
      </c>
      <c r="CG30" s="56">
        <f t="shared" si="6"/>
        <v>2613.8144729486735</v>
      </c>
      <c r="CH30" s="56">
        <f t="shared" ca="1" si="6"/>
        <v>2051.8590237911217</v>
      </c>
      <c r="CI30" s="56">
        <f t="shared" si="6"/>
        <v>2656.7712739125386</v>
      </c>
      <c r="CJ30" s="56">
        <f t="shared" ref="CJ30:CO30" si="7">CK2</f>
        <v>2665.0866701831019</v>
      </c>
      <c r="CK30" s="56">
        <f t="shared" si="7"/>
        <v>2694.5644541331189</v>
      </c>
      <c r="CL30" s="56">
        <f t="shared" si="7"/>
        <v>2760.1224378145971</v>
      </c>
      <c r="CM30" s="56">
        <f t="shared" si="7"/>
        <v>2802.4455076332943</v>
      </c>
      <c r="CN30" s="56">
        <f t="shared" si="7"/>
        <v>2877.383345209807</v>
      </c>
      <c r="CO30" s="56">
        <f t="shared" si="7"/>
        <v>2934.8988435988272</v>
      </c>
      <c r="CP30" s="56">
        <f t="shared" ref="CP30:CX30" si="8">CQ2</f>
        <v>2925.3441081223091</v>
      </c>
      <c r="CQ30" s="56">
        <f t="shared" si="8"/>
        <v>2984.4399791457545</v>
      </c>
      <c r="CR30" s="56">
        <f t="shared" si="8"/>
        <v>3068.5032295905617</v>
      </c>
      <c r="CS30" s="56">
        <f t="shared" si="8"/>
        <v>3093.3342547152065</v>
      </c>
      <c r="CT30" s="56">
        <f t="shared" si="8"/>
        <v>3057.8671805367285</v>
      </c>
      <c r="CU30" s="56">
        <f t="shared" si="8"/>
        <v>3099.3090872927996</v>
      </c>
      <c r="CV30" s="56">
        <f t="shared" si="8"/>
        <v>3160.9612718151184</v>
      </c>
      <c r="CW30" s="56">
        <f t="shared" si="8"/>
        <v>3209.3061229772106</v>
      </c>
      <c r="CX30" s="56">
        <f t="shared" si="8"/>
        <v>3209.3061229772106</v>
      </c>
      <c r="DO30" s="88"/>
      <c r="DQ30" s="56">
        <f ca="1"/>
        <v>2760.1224378145971</v>
      </c>
      <c r="DR30" s="56">
        <f ca="1"/>
        <v>2802.4455076332943</v>
      </c>
      <c r="DS30" s="56">
        <f ca="1"/>
        <v>2877.383345209807</v>
      </c>
      <c r="DT30" s="56">
        <f ca="1"/>
        <v>2934.8988435988272</v>
      </c>
      <c r="DU30" s="56">
        <f ca="1"/>
        <v>2925.3441081223091</v>
      </c>
      <c r="DV30" s="56">
        <f ca="1"/>
        <v>2984.4399791457545</v>
      </c>
      <c r="DW30" s="56">
        <f ca="1"/>
        <v>3068.5032295905617</v>
      </c>
      <c r="DX30" s="56">
        <f ca="1"/>
        <v>3093.3342547152065</v>
      </c>
      <c r="DY30" s="56">
        <f ca="1"/>
        <v>3057.8671805367285</v>
      </c>
      <c r="DZ30" s="56">
        <f ca="1"/>
        <v>3099.3090872927996</v>
      </c>
      <c r="EA30" s="56">
        <f ca="1"/>
        <v>3160.9612718151184</v>
      </c>
      <c r="EB30" s="56">
        <f ca="1"/>
        <v>3209.3061229772106</v>
      </c>
      <c r="EC30" s="56">
        <f ca="1"/>
        <v>3209.3061229772106</v>
      </c>
    </row>
    <row r="31" spans="1:133" x14ac:dyDescent="0.3">
      <c r="A31" t="s">
        <v>108</v>
      </c>
      <c r="B31">
        <v>0</v>
      </c>
      <c r="C31" s="55">
        <f t="shared" ref="C31:M31" si="9">LN(C30)-LN(B30)</f>
        <v>2.5714285714285801E-2</v>
      </c>
      <c r="D31" s="55">
        <f t="shared" si="9"/>
        <v>1.3257575757576134E-2</v>
      </c>
      <c r="E31" s="55">
        <f t="shared" si="9"/>
        <v>3.0508474576270928E-2</v>
      </c>
      <c r="F31" s="55">
        <f t="shared" si="9"/>
        <v>2.6229508196721874E-2</v>
      </c>
      <c r="G31" s="55">
        <f t="shared" si="9"/>
        <v>1.9999999999999574E-2</v>
      </c>
      <c r="H31" s="55">
        <f t="shared" si="9"/>
        <v>1.4552238805970674E-2</v>
      </c>
      <c r="I31" s="55">
        <f t="shared" si="9"/>
        <v>1.5625E-2</v>
      </c>
      <c r="J31" s="55">
        <f t="shared" si="9"/>
        <v>1.6826923076922462E-2</v>
      </c>
      <c r="K31" s="55">
        <f t="shared" si="9"/>
        <v>2.7459016393442504E-2</v>
      </c>
      <c r="L31" s="55">
        <f t="shared" si="9"/>
        <v>1.8103448275862632E-2</v>
      </c>
      <c r="M31" s="55">
        <f t="shared" si="9"/>
        <v>1.636363636363658E-2</v>
      </c>
      <c r="N31" s="55">
        <f t="shared" ref="N31:AD31" si="10">LN(N30)-LN(M30)</f>
        <v>2.0833333333333037E-2</v>
      </c>
      <c r="O31" s="55">
        <f t="shared" si="10"/>
        <v>2.586206896551424E-3</v>
      </c>
      <c r="P31" s="55">
        <f t="shared" si="10"/>
        <v>1.7741935483870819E-2</v>
      </c>
      <c r="Q31" s="55">
        <f t="shared" si="10"/>
        <v>1.7924528301887399E-2</v>
      </c>
      <c r="R31" s="55">
        <f t="shared" si="10"/>
        <v>1.394230769230731E-2</v>
      </c>
      <c r="S31" s="55">
        <f t="shared" si="10"/>
        <v>2.2282608695652684E-2</v>
      </c>
      <c r="T31" s="55">
        <f t="shared" si="10"/>
        <v>3.0208333333333393E-2</v>
      </c>
      <c r="U31" s="55">
        <f t="shared" si="10"/>
        <v>2.4999999999999467E-2</v>
      </c>
      <c r="V31" s="55">
        <f t="shared" si="10"/>
        <v>1.8644067796610209E-2</v>
      </c>
      <c r="W31" s="55">
        <f t="shared" si="10"/>
        <v>2.1621621621621401E-2</v>
      </c>
      <c r="X31" s="55">
        <f t="shared" si="10"/>
        <v>2.1982758620690213E-2</v>
      </c>
      <c r="Y31" s="55">
        <f t="shared" si="10"/>
        <v>3.4090909090904731E-3</v>
      </c>
      <c r="Z31" s="55">
        <f t="shared" si="10"/>
        <v>8.7719298245616528E-3</v>
      </c>
      <c r="AA31" s="55">
        <f t="shared" si="10"/>
        <v>1.1734693877550662E-2</v>
      </c>
      <c r="AB31" s="55">
        <f t="shared" si="10"/>
        <v>1.1734693877550662E-2</v>
      </c>
      <c r="AC31" s="55">
        <f t="shared" si="10"/>
        <v>1.2857142857143344E-2</v>
      </c>
      <c r="AD31" s="55">
        <f t="shared" si="10"/>
        <v>1.2264150943396501E-2</v>
      </c>
      <c r="AE31" s="55">
        <f>LN(AE30)-LN(AD30)</f>
        <v>1.2820512820512775E-2</v>
      </c>
      <c r="AF31" s="55">
        <f t="shared" ref="AF31:CI31" si="11">LN(AF30)-LN(AE30)</f>
        <v>1.9897959183673208E-2</v>
      </c>
      <c r="AG31" s="55">
        <f t="shared" si="11"/>
        <v>1.8888888888889177E-2</v>
      </c>
      <c r="AH31" s="55">
        <f t="shared" si="11"/>
        <v>1.4743589743589247E-2</v>
      </c>
      <c r="AI31" s="55">
        <f t="shared" si="11"/>
        <v>2.4479166666666607E-2</v>
      </c>
      <c r="AJ31" s="55">
        <f t="shared" si="11"/>
        <v>1.511627906976809E-2</v>
      </c>
      <c r="AK31" s="55">
        <f t="shared" si="11"/>
        <v>7.3170731707312697E-3</v>
      </c>
      <c r="AL31" s="55">
        <f t="shared" si="11"/>
        <v>1.0465116279069875E-2</v>
      </c>
      <c r="AM31" s="55">
        <f t="shared" si="11"/>
        <v>5.1136363636361537E-3</v>
      </c>
      <c r="AN31" s="55">
        <f t="shared" si="11"/>
        <v>1.4024390243903007E-2</v>
      </c>
      <c r="AO31" s="55">
        <f t="shared" si="11"/>
        <v>2.1428571428563359E-3</v>
      </c>
      <c r="AP31" s="55">
        <f t="shared" si="11"/>
        <v>4.166666666667318E-3</v>
      </c>
      <c r="AQ31" s="55">
        <f t="shared" si="11"/>
        <v>1.488095238095255E-2</v>
      </c>
      <c r="AR31" s="55">
        <f t="shared" si="11"/>
        <v>1.9117647058823017E-2</v>
      </c>
      <c r="AS31" s="55">
        <f t="shared" si="11"/>
        <v>9.8684210526318594E-3</v>
      </c>
      <c r="AT31" s="55">
        <f t="shared" si="11"/>
        <v>1.5131578947368496E-2</v>
      </c>
      <c r="AU31" s="55">
        <f t="shared" si="11"/>
        <v>-6.2500000000005329E-3</v>
      </c>
      <c r="AV31" s="55">
        <f t="shared" si="11"/>
        <v>1.1842105263157876E-2</v>
      </c>
      <c r="AW31" s="186">
        <f t="shared" si="11"/>
        <v>1.8750000000000711E-3</v>
      </c>
      <c r="AX31" s="186">
        <f t="shared" si="11"/>
        <v>7.8947368421058428E-3</v>
      </c>
      <c r="AY31" s="186">
        <f t="shared" si="11"/>
        <v>1.0975609756097349E-2</v>
      </c>
      <c r="AZ31" s="186">
        <f t="shared" si="11"/>
        <v>-3.658536585366079E-3</v>
      </c>
      <c r="BA31" s="186">
        <f t="shared" si="11"/>
        <v>1.4189189189189655E-2</v>
      </c>
      <c r="BB31" s="186">
        <f t="shared" si="11"/>
        <v>1.2500000000000178E-2</v>
      </c>
      <c r="BC31" s="186">
        <f t="shared" si="11"/>
        <v>8.3333333333328596E-3</v>
      </c>
      <c r="BD31" s="186">
        <f t="shared" si="11"/>
        <v>1.5789473684210797E-2</v>
      </c>
      <c r="BE31" s="186">
        <f t="shared" si="11"/>
        <v>1.5740740740739945E-2</v>
      </c>
      <c r="BF31" s="186">
        <f t="shared" si="11"/>
        <v>2.1666666666667389E-2</v>
      </c>
      <c r="BG31" s="186">
        <f t="shared" si="11"/>
        <v>1.4705882352941124E-2</v>
      </c>
      <c r="BH31" s="186">
        <f t="shared" si="11"/>
        <v>-1.5625000000003553E-3</v>
      </c>
      <c r="BI31" s="186">
        <f t="shared" si="11"/>
        <v>2.5559223996724612E-2</v>
      </c>
      <c r="BJ31" s="186">
        <f t="shared" si="11"/>
        <v>8.5714285714280081E-3</v>
      </c>
      <c r="BK31" s="186">
        <f t="shared" si="11"/>
        <v>1.3709677419354804E-2</v>
      </c>
      <c r="BL31" s="186">
        <f t="shared" si="11"/>
        <v>8.6206896551743739E-4</v>
      </c>
      <c r="BM31" s="186">
        <f t="shared" si="11"/>
        <v>7.7586206896551602E-3</v>
      </c>
      <c r="BN31" s="186">
        <f t="shared" si="11"/>
        <v>1.7424242424242564E-2</v>
      </c>
      <c r="BO31" s="186">
        <f t="shared" si="11"/>
        <v>4.5454545454539641E-3</v>
      </c>
      <c r="BP31" s="186">
        <f t="shared" si="11"/>
        <v>3.0468749999999822E-2</v>
      </c>
      <c r="BQ31" s="186">
        <f t="shared" si="11"/>
        <v>2.205882352941213E-2</v>
      </c>
      <c r="BR31" s="186">
        <f t="shared" si="11"/>
        <v>-1.6666666666669272E-3</v>
      </c>
      <c r="BS31" s="186">
        <f t="shared" si="11"/>
        <v>7.2580645161295365E-3</v>
      </c>
      <c r="BT31" s="186">
        <f t="shared" si="11"/>
        <v>-4.0322580645160144E-3</v>
      </c>
      <c r="BU31" s="186">
        <f t="shared" si="11"/>
        <v>-2.5000000000003908E-3</v>
      </c>
      <c r="BV31" s="186">
        <f t="shared" si="11"/>
        <v>8.0645161290338052E-4</v>
      </c>
      <c r="BW31" s="186">
        <f t="shared" si="11"/>
        <v>-4.0322580645160144E-3</v>
      </c>
      <c r="BX31" s="186">
        <f t="shared" si="11"/>
        <v>-4.166666666667318E-3</v>
      </c>
      <c r="BY31" s="186">
        <f t="shared" si="11"/>
        <v>-7.692307692307665E-3</v>
      </c>
      <c r="BZ31" s="186">
        <f t="shared" si="11"/>
        <v>1.3235294117647456E-2</v>
      </c>
      <c r="CA31" s="186">
        <f t="shared" si="11"/>
        <v>-1.5277777777777501E-2</v>
      </c>
      <c r="CB31" s="186">
        <f t="shared" si="11"/>
        <v>8.0357142857137021E-3</v>
      </c>
      <c r="CC31" s="186">
        <f t="shared" si="11"/>
        <v>6.896551724138611E-3</v>
      </c>
      <c r="CD31" s="186">
        <f t="shared" si="11"/>
        <v>-1.0576923076923705E-2</v>
      </c>
      <c r="CE31" s="186">
        <f t="shared" si="11"/>
        <v>-9.8214285714286476E-3</v>
      </c>
      <c r="CF31" s="186">
        <f t="shared" si="11"/>
        <v>-6.0000000000002274E-3</v>
      </c>
      <c r="CG31" s="186">
        <f t="shared" si="11"/>
        <v>1.6666666666666607E-2</v>
      </c>
      <c r="CH31" s="186">
        <f t="shared" ca="1" si="11"/>
        <v>-0.24206441520254618</v>
      </c>
      <c r="CI31" s="186">
        <f t="shared" ca="1" si="11"/>
        <v>0.25836535564141805</v>
      </c>
      <c r="CJ31" s="186">
        <f t="shared" ref="CJ31:CX31" si="12">LN(CJ30)-LN(CI30)</f>
        <v>3.1249999999998224E-3</v>
      </c>
      <c r="CK31" s="186">
        <f t="shared" si="12"/>
        <v>1.1000000000000121E-2</v>
      </c>
      <c r="CL31" s="186">
        <f t="shared" si="12"/>
        <v>2.4038461538461675E-2</v>
      </c>
      <c r="CM31" s="186">
        <f t="shared" si="12"/>
        <v>1.5217391304346961E-2</v>
      </c>
      <c r="CN31" s="186">
        <f t="shared" si="12"/>
        <v>2.6388888888889461E-2</v>
      </c>
      <c r="CO31" s="186">
        <f t="shared" si="12"/>
        <v>1.979166666666643E-2</v>
      </c>
      <c r="CP31" s="186">
        <f t="shared" si="12"/>
        <v>-3.2608695652172059E-3</v>
      </c>
      <c r="CQ31" s="186">
        <f t="shared" si="12"/>
        <v>2.0000000000000462E-2</v>
      </c>
      <c r="CR31" s="186">
        <f t="shared" si="12"/>
        <v>2.7777777777776791E-2</v>
      </c>
      <c r="CS31" s="186">
        <f t="shared" si="12"/>
        <v>8.0596606458680498E-3</v>
      </c>
      <c r="CT31" s="186">
        <f t="shared" si="12"/>
        <v>-1.1531882868089482E-2</v>
      </c>
      <c r="CU31" s="186">
        <f t="shared" si="12"/>
        <v>1.346153846153797E-2</v>
      </c>
      <c r="CV31" s="186">
        <f t="shared" si="12"/>
        <v>1.9696969696969546E-2</v>
      </c>
      <c r="CW31" s="186">
        <f t="shared" si="12"/>
        <v>1.5178571428572596E-2</v>
      </c>
      <c r="CX31" s="186">
        <f t="shared" si="12"/>
        <v>0</v>
      </c>
      <c r="DO31" s="88"/>
      <c r="DQ31" s="55">
        <f ca="1"/>
        <v>2.4038461538461675E-2</v>
      </c>
      <c r="DR31" s="55">
        <f ca="1"/>
        <v>1.5217391304346961E-2</v>
      </c>
      <c r="DS31" s="55">
        <f ca="1"/>
        <v>2.6388888888889461E-2</v>
      </c>
      <c r="DT31" s="55">
        <f ca="1"/>
        <v>1.979166666666643E-2</v>
      </c>
      <c r="DU31" s="55">
        <f ca="1"/>
        <v>-3.2608695652172059E-3</v>
      </c>
      <c r="DV31" s="55">
        <f ca="1"/>
        <v>2.0000000000000462E-2</v>
      </c>
      <c r="DW31" s="55">
        <f ca="1"/>
        <v>2.7777777777776791E-2</v>
      </c>
      <c r="DX31" s="55">
        <f ca="1"/>
        <v>8.0596606458680498E-3</v>
      </c>
      <c r="DY31" s="55">
        <f ca="1"/>
        <v>-1.1531882868089482E-2</v>
      </c>
      <c r="DZ31" s="55">
        <f ca="1"/>
        <v>1.346153846153797E-2</v>
      </c>
      <c r="EA31" s="55">
        <f ca="1"/>
        <v>1.9696969696969546E-2</v>
      </c>
      <c r="EB31" s="55">
        <f ca="1"/>
        <v>1.5178571428572596E-2</v>
      </c>
      <c r="EC31" s="186">
        <f ca="1"/>
        <v>0</v>
      </c>
    </row>
    <row r="32" spans="1:133" x14ac:dyDescent="0.3">
      <c r="C32" s="55"/>
      <c r="D32" s="55"/>
      <c r="E32" s="55"/>
      <c r="F32" s="55"/>
      <c r="G32" s="55"/>
      <c r="H32" s="55"/>
      <c r="I32" s="55"/>
      <c r="J32" s="55"/>
      <c r="K32" s="55"/>
      <c r="L32" s="55"/>
      <c r="M32" s="55"/>
      <c r="N32" s="55"/>
      <c r="O32" s="55"/>
      <c r="P32" s="55"/>
      <c r="Q32" s="55"/>
      <c r="R32" s="55"/>
      <c r="S32" s="55"/>
      <c r="T32" s="55"/>
      <c r="U32" s="55"/>
      <c r="V32" s="55"/>
      <c r="W32" s="55"/>
      <c r="X32" s="55"/>
      <c r="Y32" s="55"/>
      <c r="Z32" s="55"/>
      <c r="AA32" s="55"/>
      <c r="AB32" s="55"/>
      <c r="AC32" s="55"/>
      <c r="AD32" s="55"/>
      <c r="AE32" s="55"/>
      <c r="AF32" s="55"/>
      <c r="AG32" s="55"/>
      <c r="AH32" s="55"/>
      <c r="AI32" s="55"/>
      <c r="AJ32" s="55"/>
      <c r="AK32" s="55"/>
      <c r="AL32" s="55"/>
      <c r="AM32" s="55"/>
      <c r="AN32" s="55"/>
      <c r="AO32" s="55"/>
      <c r="AP32" s="55"/>
      <c r="AQ32" s="55"/>
      <c r="AR32" s="55"/>
      <c r="AS32" s="55"/>
      <c r="AT32" s="55"/>
      <c r="AU32" s="55"/>
      <c r="AV32" s="55"/>
      <c r="AW32" s="186"/>
      <c r="AX32" s="186"/>
      <c r="AY32" s="186"/>
      <c r="AZ32" s="186"/>
      <c r="BA32" s="186"/>
      <c r="BB32" s="186"/>
      <c r="BC32" s="186"/>
      <c r="BD32" s="186"/>
      <c r="BE32" s="186"/>
      <c r="BF32" s="186"/>
      <c r="BG32" s="186"/>
      <c r="BH32" s="186"/>
      <c r="BI32" s="186"/>
      <c r="BJ32" s="186"/>
      <c r="BK32" s="186"/>
      <c r="BL32" s="186"/>
      <c r="BM32" s="186"/>
      <c r="BN32" s="186"/>
      <c r="BO32" s="186"/>
      <c r="BP32" s="186"/>
      <c r="BQ32" s="186"/>
      <c r="BR32" s="186"/>
      <c r="BS32" s="186"/>
      <c r="BT32" s="186"/>
      <c r="BU32" s="186"/>
      <c r="BV32" s="186"/>
      <c r="BW32" s="186"/>
      <c r="BX32" s="186"/>
      <c r="BY32" s="186"/>
      <c r="BZ32" s="186"/>
      <c r="CA32" s="186"/>
      <c r="CB32" s="186"/>
      <c r="CC32" s="186"/>
      <c r="CD32" s="186"/>
      <c r="CE32" s="186"/>
      <c r="CF32" s="186"/>
      <c r="CG32" s="186"/>
      <c r="CH32" s="186"/>
      <c r="CI32" s="186"/>
      <c r="CJ32" s="186"/>
      <c r="CK32" s="186"/>
      <c r="CL32" s="186"/>
      <c r="CM32" s="186"/>
      <c r="CN32" s="186"/>
      <c r="CO32" s="186"/>
      <c r="CP32" s="186"/>
      <c r="CQ32" s="186"/>
      <c r="CR32" s="186"/>
      <c r="CS32" s="186"/>
      <c r="CT32" s="186"/>
      <c r="CU32" s="186"/>
      <c r="CV32" s="186"/>
      <c r="CW32" s="186"/>
      <c r="CX32" s="186"/>
      <c r="DO32" s="88"/>
      <c r="DQ32" s="55">
        <f ca="1"/>
        <v>0</v>
      </c>
      <c r="DR32" s="55">
        <f ca="1"/>
        <v>0</v>
      </c>
      <c r="DS32" s="55">
        <f ca="1"/>
        <v>0</v>
      </c>
      <c r="DT32" s="55">
        <f ca="1"/>
        <v>0</v>
      </c>
      <c r="DU32" s="55">
        <f ca="1"/>
        <v>0</v>
      </c>
      <c r="DV32" s="55">
        <f ca="1"/>
        <v>0</v>
      </c>
      <c r="DW32" s="55">
        <f ca="1"/>
        <v>0</v>
      </c>
      <c r="DX32" s="55">
        <f ca="1"/>
        <v>0</v>
      </c>
      <c r="DY32" s="55">
        <f ca="1"/>
        <v>0</v>
      </c>
      <c r="DZ32" s="55">
        <f ca="1"/>
        <v>0</v>
      </c>
      <c r="EA32" s="55">
        <f ca="1"/>
        <v>0</v>
      </c>
      <c r="EB32" s="55">
        <f ca="1"/>
        <v>0</v>
      </c>
      <c r="EC32" s="186">
        <f ca="1"/>
        <v>0</v>
      </c>
    </row>
    <row r="33" spans="1:133" x14ac:dyDescent="0.3">
      <c r="A33" t="str">
        <f>A34</f>
        <v>Attackers: Strategic rivals</v>
      </c>
      <c r="C33" s="55"/>
      <c r="D33" s="55"/>
      <c r="E33" s="55"/>
      <c r="F33" s="55"/>
      <c r="G33" s="55"/>
      <c r="H33" s="55"/>
      <c r="I33" s="55"/>
      <c r="J33" s="55"/>
      <c r="K33" s="55"/>
      <c r="L33" s="55"/>
      <c r="M33" s="55"/>
      <c r="N33" s="55"/>
      <c r="O33" s="55"/>
      <c r="P33" s="55"/>
      <c r="Q33" s="55"/>
      <c r="R33" s="55"/>
      <c r="S33" s="55"/>
      <c r="T33" s="55"/>
      <c r="U33" s="55"/>
      <c r="V33" s="55"/>
      <c r="W33" s="55"/>
      <c r="X33" s="55"/>
      <c r="Y33" s="55"/>
      <c r="Z33" s="55"/>
      <c r="AA33" s="55"/>
      <c r="AB33" s="55"/>
      <c r="AC33" s="55"/>
      <c r="AD33" s="55"/>
      <c r="AE33" s="55"/>
      <c r="AF33" s="55"/>
      <c r="AG33" s="55"/>
      <c r="AH33" s="55"/>
      <c r="AI33" s="55"/>
      <c r="AJ33" s="55"/>
      <c r="AK33" s="55"/>
      <c r="AL33" s="55"/>
      <c r="AM33" s="55"/>
      <c r="AN33" s="55"/>
      <c r="AO33" s="55"/>
      <c r="AP33" s="55"/>
      <c r="AQ33" s="55"/>
      <c r="AR33" s="55"/>
      <c r="AS33" s="55"/>
      <c r="AT33" s="55"/>
      <c r="AU33" s="55"/>
      <c r="AV33" s="55"/>
      <c r="AW33" s="186"/>
      <c r="AX33" s="186"/>
      <c r="AY33" s="186"/>
      <c r="AZ33" s="186"/>
      <c r="BA33" s="186"/>
      <c r="BB33" s="186"/>
      <c r="BC33" s="186"/>
      <c r="BD33" s="186"/>
      <c r="BE33" s="186"/>
      <c r="BF33" s="186"/>
      <c r="BG33" s="186"/>
      <c r="BH33" s="186"/>
      <c r="BI33" s="186"/>
      <c r="BJ33" s="186"/>
      <c r="BK33" s="186"/>
      <c r="BL33" s="186"/>
      <c r="BM33" s="186"/>
      <c r="BN33" s="186"/>
      <c r="BO33" s="186"/>
      <c r="BP33" s="186"/>
      <c r="BQ33" s="186"/>
      <c r="BR33" s="186"/>
      <c r="BS33" s="186"/>
      <c r="BT33" s="186"/>
      <c r="BU33" s="186"/>
      <c r="BV33" s="186"/>
      <c r="BW33" s="186"/>
      <c r="BX33" s="186"/>
      <c r="BY33" s="186"/>
      <c r="BZ33" s="186"/>
      <c r="CA33" s="186"/>
      <c r="CB33" s="186"/>
      <c r="CC33" s="186"/>
      <c r="CD33" s="186"/>
      <c r="CE33" s="186"/>
      <c r="CF33" s="186"/>
      <c r="CG33" s="186"/>
      <c r="CH33" s="186"/>
      <c r="CI33" s="186"/>
      <c r="CJ33" s="186"/>
      <c r="CK33" s="186"/>
      <c r="CL33" s="186"/>
      <c r="CM33" s="186"/>
      <c r="CN33" s="186"/>
      <c r="CO33" s="186"/>
      <c r="CP33" s="186"/>
      <c r="CQ33" s="186"/>
      <c r="CR33" s="186"/>
      <c r="CS33" s="186"/>
      <c r="CT33" s="186"/>
      <c r="CU33" s="186"/>
      <c r="CV33" s="186"/>
      <c r="CW33" s="186"/>
      <c r="CX33" s="186"/>
      <c r="DO33" s="88"/>
      <c r="DQ33" s="55">
        <f ca="1"/>
        <v>0</v>
      </c>
      <c r="DR33" s="55">
        <f ca="1"/>
        <v>0</v>
      </c>
      <c r="DS33" s="55">
        <f ca="1"/>
        <v>0</v>
      </c>
      <c r="DT33" s="55">
        <f ca="1"/>
        <v>0</v>
      </c>
      <c r="DU33" s="55">
        <f ca="1"/>
        <v>0</v>
      </c>
      <c r="DV33" s="55">
        <f ca="1"/>
        <v>0</v>
      </c>
      <c r="DW33" s="55">
        <f ca="1"/>
        <v>0</v>
      </c>
      <c r="DX33" s="55">
        <f ca="1"/>
        <v>0</v>
      </c>
      <c r="DY33" s="55">
        <f ca="1"/>
        <v>0</v>
      </c>
      <c r="DZ33" s="55">
        <f ca="1"/>
        <v>0</v>
      </c>
      <c r="EA33" s="55">
        <f ca="1"/>
        <v>0</v>
      </c>
      <c r="EB33" s="55">
        <f ca="1"/>
        <v>0</v>
      </c>
      <c r="EC33" s="186">
        <f ca="1"/>
        <v>0</v>
      </c>
    </row>
    <row r="34" spans="1:133" x14ac:dyDescent="0.3">
      <c r="A34" t="str">
        <f>A35</f>
        <v>Attackers: Strategic rivals</v>
      </c>
      <c r="B34" s="57" t="str">
        <f>C$1</f>
        <v>Apr</v>
      </c>
      <c r="C34" s="57" t="str">
        <f t="shared" ref="C34:N34" si="13">D$1</f>
        <v>May</v>
      </c>
      <c r="D34" s="57" t="str">
        <f t="shared" si="13"/>
        <v>Jun</v>
      </c>
      <c r="E34" s="57" t="str">
        <f t="shared" si="13"/>
        <v>Jul</v>
      </c>
      <c r="F34" s="57" t="str">
        <f t="shared" si="13"/>
        <v>Aug</v>
      </c>
      <c r="G34" s="57" t="str">
        <f t="shared" si="13"/>
        <v>Sep</v>
      </c>
      <c r="H34" s="57" t="str">
        <f t="shared" si="13"/>
        <v>Oct</v>
      </c>
      <c r="I34" s="57" t="str">
        <f t="shared" si="13"/>
        <v>Nov</v>
      </c>
      <c r="J34" s="57" t="str">
        <f t="shared" si="13"/>
        <v>Dec 2011</v>
      </c>
      <c r="K34" s="57" t="str">
        <f t="shared" si="13"/>
        <v>Jan 2012</v>
      </c>
      <c r="L34" s="57" t="str">
        <f t="shared" si="13"/>
        <v>Feb</v>
      </c>
      <c r="M34" s="57" t="str">
        <f t="shared" si="13"/>
        <v>Mar</v>
      </c>
      <c r="N34" s="57" t="str">
        <f t="shared" si="13"/>
        <v>Apr</v>
      </c>
      <c r="O34" s="57" t="str">
        <f t="shared" ref="O34:AD34" si="14">P$1</f>
        <v>May</v>
      </c>
      <c r="P34" s="57" t="str">
        <f t="shared" si="14"/>
        <v>Jun</v>
      </c>
      <c r="Q34" s="57" t="str">
        <f t="shared" si="14"/>
        <v>Jul</v>
      </c>
      <c r="R34" s="57" t="str">
        <f t="shared" si="14"/>
        <v>Aug</v>
      </c>
      <c r="S34" s="57" t="str">
        <f t="shared" si="14"/>
        <v>Sep</v>
      </c>
      <c r="T34" s="57" t="str">
        <f t="shared" si="14"/>
        <v>Oct</v>
      </c>
      <c r="U34" s="57" t="str">
        <f t="shared" si="14"/>
        <v>Nov</v>
      </c>
      <c r="V34" s="57" t="str">
        <f t="shared" si="14"/>
        <v>Dec 2012</v>
      </c>
      <c r="W34" s="57" t="str">
        <f t="shared" si="14"/>
        <v>Jan 2013</v>
      </c>
      <c r="X34" s="57" t="str">
        <f t="shared" si="14"/>
        <v>Feb</v>
      </c>
      <c r="Y34" s="57" t="str">
        <f t="shared" si="14"/>
        <v>Mar</v>
      </c>
      <c r="Z34" s="57" t="str">
        <f t="shared" si="14"/>
        <v>Apr</v>
      </c>
      <c r="AA34" s="57" t="str">
        <f t="shared" si="14"/>
        <v>May</v>
      </c>
      <c r="AB34" s="57" t="str">
        <f t="shared" si="14"/>
        <v>Jun</v>
      </c>
      <c r="AC34" s="57" t="str">
        <f t="shared" si="14"/>
        <v>Jul</v>
      </c>
      <c r="AD34" s="57" t="str">
        <f t="shared" si="14"/>
        <v>Aug</v>
      </c>
      <c r="AE34" s="57" t="str">
        <f>AF$1</f>
        <v>Sep</v>
      </c>
      <c r="AF34" s="57" t="str">
        <f t="shared" ref="AF34:AK34" si="15">AG$1</f>
        <v>Oct</v>
      </c>
      <c r="AG34" s="57" t="str">
        <f t="shared" si="15"/>
        <v>Nov</v>
      </c>
      <c r="AH34" s="57" t="str">
        <f t="shared" si="15"/>
        <v>Dec 2013</v>
      </c>
      <c r="AI34" s="57" t="str">
        <f t="shared" si="15"/>
        <v>Jan 2014</v>
      </c>
      <c r="AJ34" s="57" t="str">
        <f t="shared" si="15"/>
        <v>Feb</v>
      </c>
      <c r="AK34" s="57" t="str">
        <f t="shared" si="15"/>
        <v>Mar</v>
      </c>
      <c r="AL34" s="57" t="str">
        <f t="shared" ref="AL34:CI34" si="16">AM$1</f>
        <v>Apr</v>
      </c>
      <c r="AM34" s="57" t="str">
        <f t="shared" si="16"/>
        <v>May</v>
      </c>
      <c r="AN34" s="57" t="str">
        <f t="shared" si="16"/>
        <v>Jun</v>
      </c>
      <c r="AO34" s="57" t="str">
        <f t="shared" si="16"/>
        <v>Jul</v>
      </c>
      <c r="AP34" s="57" t="str">
        <f t="shared" si="16"/>
        <v>Aug</v>
      </c>
      <c r="AQ34" s="57" t="str">
        <f t="shared" si="16"/>
        <v>Sep</v>
      </c>
      <c r="AR34" s="57" t="str">
        <f t="shared" si="16"/>
        <v>Oct</v>
      </c>
      <c r="AS34" s="57" t="str">
        <f t="shared" si="16"/>
        <v>Nov</v>
      </c>
      <c r="AT34" s="57" t="str">
        <f t="shared" si="16"/>
        <v>Dec '14</v>
      </c>
      <c r="AU34" s="57" t="str">
        <f t="shared" si="16"/>
        <v>Jan '15</v>
      </c>
      <c r="AV34" s="57" t="str">
        <f t="shared" si="16"/>
        <v>Feb</v>
      </c>
      <c r="AW34" s="57" t="str">
        <f t="shared" si="16"/>
        <v>Mar</v>
      </c>
      <c r="AX34" s="57" t="str">
        <f t="shared" si="16"/>
        <v>Apr</v>
      </c>
      <c r="AY34" s="57" t="str">
        <f t="shared" si="16"/>
        <v>May</v>
      </c>
      <c r="AZ34" s="57" t="str">
        <f t="shared" si="16"/>
        <v>Jun</v>
      </c>
      <c r="BA34" s="57" t="str">
        <f t="shared" si="16"/>
        <v>Jul</v>
      </c>
      <c r="BB34" s="57" t="str">
        <f t="shared" si="16"/>
        <v>Aug</v>
      </c>
      <c r="BC34" s="57" t="str">
        <f t="shared" si="16"/>
        <v>Sep</v>
      </c>
      <c r="BD34" s="57" t="str">
        <f t="shared" si="16"/>
        <v>Oct</v>
      </c>
      <c r="BE34" s="57" t="str">
        <f t="shared" si="16"/>
        <v>Nov</v>
      </c>
      <c r="BF34" s="57" t="str">
        <f t="shared" si="16"/>
        <v>Dec '15</v>
      </c>
      <c r="BG34" s="57" t="str">
        <f t="shared" si="16"/>
        <v>Jan '16</v>
      </c>
      <c r="BH34" s="57" t="str">
        <f t="shared" si="16"/>
        <v>Feb</v>
      </c>
      <c r="BI34" s="57" t="str">
        <f t="shared" si="16"/>
        <v>Mar</v>
      </c>
      <c r="BJ34" s="57" t="str">
        <f t="shared" si="16"/>
        <v>Apr</v>
      </c>
      <c r="BK34" s="57" t="str">
        <f t="shared" si="16"/>
        <v>May</v>
      </c>
      <c r="BL34" s="57" t="str">
        <f t="shared" si="16"/>
        <v>Jun</v>
      </c>
      <c r="BM34" s="57" t="str">
        <f t="shared" si="16"/>
        <v>Jul</v>
      </c>
      <c r="BN34" s="57" t="str">
        <f t="shared" si="16"/>
        <v>Aug</v>
      </c>
      <c r="BO34" s="57" t="str">
        <f t="shared" si="16"/>
        <v>Sep</v>
      </c>
      <c r="BP34" s="57" t="str">
        <f t="shared" si="16"/>
        <v>Oct</v>
      </c>
      <c r="BQ34" s="57" t="str">
        <f t="shared" si="16"/>
        <v>Nov</v>
      </c>
      <c r="BR34" s="57" t="str">
        <f t="shared" si="16"/>
        <v>Dec-16</v>
      </c>
      <c r="BS34" s="57" t="str">
        <f t="shared" si="16"/>
        <v>Jan-17</v>
      </c>
      <c r="BT34" s="57" t="str">
        <f t="shared" si="16"/>
        <v>Feb</v>
      </c>
      <c r="BU34" s="57" t="str">
        <f t="shared" si="16"/>
        <v>Mar</v>
      </c>
      <c r="BV34" s="57" t="str">
        <f t="shared" si="16"/>
        <v>Apr</v>
      </c>
      <c r="BW34" s="57" t="str">
        <f t="shared" si="16"/>
        <v>May</v>
      </c>
      <c r="BX34" s="57" t="str">
        <f t="shared" si="16"/>
        <v>Jun</v>
      </c>
      <c r="BY34" s="57" t="str">
        <f t="shared" si="16"/>
        <v>Jul</v>
      </c>
      <c r="BZ34" s="57" t="str">
        <f t="shared" si="16"/>
        <v>Aug</v>
      </c>
      <c r="CA34" s="57" t="str">
        <f t="shared" si="16"/>
        <v>Sep</v>
      </c>
      <c r="CB34" s="57" t="str">
        <f t="shared" si="16"/>
        <v>Oct</v>
      </c>
      <c r="CC34" s="57" t="str">
        <f t="shared" si="16"/>
        <v>Nov</v>
      </c>
      <c r="CD34" s="57" t="str">
        <f t="shared" si="16"/>
        <v>Dec</v>
      </c>
      <c r="CE34" s="57" t="str">
        <f t="shared" si="16"/>
        <v>Jan '18</v>
      </c>
      <c r="CF34" s="57" t="str">
        <f t="shared" si="16"/>
        <v>Feb</v>
      </c>
      <c r="CG34" s="57" t="str">
        <f t="shared" si="16"/>
        <v>Mar</v>
      </c>
      <c r="CH34" s="57" t="str">
        <f t="shared" si="16"/>
        <v>Apr</v>
      </c>
      <c r="CI34" s="57" t="str">
        <f t="shared" si="16"/>
        <v>May</v>
      </c>
      <c r="CJ34" s="57" t="str">
        <f t="shared" ref="CJ34:CO34" si="17">CK$1</f>
        <v>Jun</v>
      </c>
      <c r="CK34" s="57" t="str">
        <f t="shared" si="17"/>
        <v>Jul</v>
      </c>
      <c r="CL34" s="57" t="str">
        <f t="shared" si="17"/>
        <v>Aug</v>
      </c>
      <c r="CM34" s="57" t="str">
        <f t="shared" si="17"/>
        <v>Sep</v>
      </c>
      <c r="CN34" s="57" t="str">
        <f t="shared" si="17"/>
        <v>Oct</v>
      </c>
      <c r="CO34" s="57" t="str">
        <f t="shared" si="17"/>
        <v>Nov</v>
      </c>
      <c r="CP34" s="57" t="str">
        <f t="shared" ref="CP34:CX34" si="18">CQ$1</f>
        <v>Dec-18</v>
      </c>
      <c r="CQ34" s="57" t="str">
        <f t="shared" si="18"/>
        <v>Jan-19</v>
      </c>
      <c r="CR34" s="57" t="str">
        <f t="shared" si="18"/>
        <v>Feb-19</v>
      </c>
      <c r="CS34" s="57" t="str">
        <f t="shared" si="18"/>
        <v>Mar-19</v>
      </c>
      <c r="CT34" s="57" t="str">
        <f t="shared" si="18"/>
        <v>Apr-19</v>
      </c>
      <c r="CU34" s="57" t="str">
        <f t="shared" si="18"/>
        <v>May-19</v>
      </c>
      <c r="CV34" s="57" t="str">
        <f t="shared" si="18"/>
        <v>June-19</v>
      </c>
      <c r="CW34" s="57" t="str">
        <f t="shared" si="18"/>
        <v>July-19</v>
      </c>
      <c r="CX34" s="57" t="str">
        <f t="shared" si="18"/>
        <v>Aug-19</v>
      </c>
      <c r="DO34" s="88"/>
      <c r="DQ34" s="57" t="str">
        <f ca="1"/>
        <v>Aug</v>
      </c>
      <c r="DR34" s="57" t="str">
        <f ca="1"/>
        <v>Sep</v>
      </c>
      <c r="DS34" s="57" t="str">
        <f ca="1"/>
        <v>Oct</v>
      </c>
      <c r="DT34" s="57" t="str">
        <f ca="1"/>
        <v>Nov</v>
      </c>
      <c r="DU34" s="57" t="str">
        <f ca="1"/>
        <v>Dec-18</v>
      </c>
      <c r="DV34" s="57" t="str">
        <f ca="1"/>
        <v>Jan-19</v>
      </c>
      <c r="DW34" s="57" t="str">
        <f ca="1"/>
        <v>Feb-19</v>
      </c>
      <c r="DX34" s="57" t="str">
        <f ca="1"/>
        <v>Mar-19</v>
      </c>
      <c r="DY34" s="57" t="str">
        <f ca="1"/>
        <v>Apr-19</v>
      </c>
      <c r="DZ34" s="57" t="str">
        <f ca="1"/>
        <v>May-19</v>
      </c>
      <c r="EA34" s="57" t="str">
        <f ca="1"/>
        <v>June-19</v>
      </c>
      <c r="EB34" s="57" t="str">
        <f ca="1"/>
        <v>July-19</v>
      </c>
      <c r="EC34" s="57" t="str">
        <f ca="1"/>
        <v>Aug-19</v>
      </c>
    </row>
    <row r="35" spans="1:133" x14ac:dyDescent="0.3">
      <c r="A35" t="str">
        <f>A3</f>
        <v>Attackers: Strategic rivals</v>
      </c>
      <c r="B35">
        <f t="shared" ref="B35:CI35" si="19">C3</f>
        <v>1037.2984802053893</v>
      </c>
      <c r="C35" s="56">
        <f t="shared" si="19"/>
        <v>1067.3630280002481</v>
      </c>
      <c r="D35" s="56">
        <f t="shared" si="19"/>
        <v>1103.1234900394613</v>
      </c>
      <c r="E35" s="56">
        <f t="shared" si="19"/>
        <v>1121.9798465675817</v>
      </c>
      <c r="F35" s="56">
        <f t="shared" si="19"/>
        <v>1137.7234261032913</v>
      </c>
      <c r="G35" s="56">
        <f t="shared" si="19"/>
        <v>1167.0553909364069</v>
      </c>
      <c r="H35" s="56">
        <f t="shared" si="19"/>
        <v>1198.8340844588611</v>
      </c>
      <c r="I35" s="56">
        <f t="shared" si="19"/>
        <v>1203.6605180156464</v>
      </c>
      <c r="J35" s="56">
        <f t="shared" si="19"/>
        <v>1237.6964628659964</v>
      </c>
      <c r="K35" s="56">
        <f t="shared" si="19"/>
        <v>1272.1533007644705</v>
      </c>
      <c r="L35" s="56">
        <f t="shared" si="19"/>
        <v>1298.7478815665488</v>
      </c>
      <c r="M35" s="56">
        <f t="shared" si="19"/>
        <v>1321.9764204830865</v>
      </c>
      <c r="N35" s="56">
        <f t="shared" si="19"/>
        <v>1358.0119712058395</v>
      </c>
      <c r="O35" s="56">
        <f t="shared" si="19"/>
        <v>1379.2489140169057</v>
      </c>
      <c r="P35" s="56">
        <f t="shared" si="19"/>
        <v>1405.6371656944104</v>
      </c>
      <c r="Q35" s="56">
        <f t="shared" si="19"/>
        <v>1431.0597117652421</v>
      </c>
      <c r="R35" s="56">
        <f t="shared" si="19"/>
        <v>1463.7642641952425</v>
      </c>
      <c r="S35" s="56">
        <f t="shared" si="19"/>
        <v>1491.8741076630536</v>
      </c>
      <c r="T35" s="56">
        <f t="shared" si="19"/>
        <v>1529.6410805058185</v>
      </c>
      <c r="U35" s="56">
        <f t="shared" si="19"/>
        <v>1546.4633589569003</v>
      </c>
      <c r="V35" s="56">
        <f t="shared" si="19"/>
        <v>1592.3452159668955</v>
      </c>
      <c r="W35" s="56">
        <f t="shared" si="19"/>
        <v>1617.8308758326816</v>
      </c>
      <c r="X35" s="56">
        <f t="shared" si="19"/>
        <v>1654.5020370505977</v>
      </c>
      <c r="Y35" s="56">
        <f t="shared" si="19"/>
        <v>1685.4973537091828</v>
      </c>
      <c r="Z35" s="56">
        <f t="shared" si="19"/>
        <v>1707.8214977562252</v>
      </c>
      <c r="AA35" s="56">
        <f t="shared" si="19"/>
        <v>1728.8621551823189</v>
      </c>
      <c r="AB35" s="56">
        <f t="shared" si="19"/>
        <v>1743.0330774373178</v>
      </c>
      <c r="AC35" s="56">
        <f t="shared" si="19"/>
        <v>1764.3275050352186</v>
      </c>
      <c r="AD35" s="56">
        <f t="shared" si="19"/>
        <v>1801.3282650259996</v>
      </c>
      <c r="AE35" s="56">
        <f t="shared" si="19"/>
        <v>1836.3044245179185</v>
      </c>
      <c r="AF35" s="56">
        <f t="shared" si="19"/>
        <v>1881.8303298592998</v>
      </c>
      <c r="AG35" s="56">
        <f t="shared" si="19"/>
        <v>1897.5777724881527</v>
      </c>
      <c r="AH35" s="56">
        <f t="shared" si="19"/>
        <v>1928.2326486431334</v>
      </c>
      <c r="AI35" s="56">
        <f t="shared" si="19"/>
        <v>1946.3948319347335</v>
      </c>
      <c r="AJ35" s="56">
        <f t="shared" si="19"/>
        <v>1962.3022321615913</v>
      </c>
      <c r="AK35" s="56">
        <f t="shared" si="19"/>
        <v>1970.6958128071681</v>
      </c>
      <c r="AL35" s="56">
        <f t="shared" si="19"/>
        <v>1997.225121413855</v>
      </c>
      <c r="AM35" s="56">
        <f t="shared" si="19"/>
        <v>2007.4643619851608</v>
      </c>
      <c r="AN35" s="56">
        <f t="shared" si="19"/>
        <v>2011.1399136513576</v>
      </c>
      <c r="AO35" s="56">
        <f t="shared" si="19"/>
        <v>2024.1103161501296</v>
      </c>
      <c r="AP35" s="56">
        <f t="shared" si="19"/>
        <v>2034.9828611582102</v>
      </c>
      <c r="AQ35" s="56">
        <f t="shared" si="19"/>
        <v>2052.0119074799281</v>
      </c>
      <c r="AR35" s="56">
        <f t="shared" si="19"/>
        <v>2070.1980097135761</v>
      </c>
      <c r="AS35" s="56">
        <f t="shared" si="19"/>
        <v>2089.3537045559938</v>
      </c>
      <c r="AT35" s="56">
        <f t="shared" si="19"/>
        <v>2131.0005857554788</v>
      </c>
      <c r="AU35" s="56">
        <f t="shared" si="19"/>
        <v>2149.2401375233312</v>
      </c>
      <c r="AV35" s="56">
        <f t="shared" si="19"/>
        <v>2170.5547419110426</v>
      </c>
      <c r="AW35" s="56">
        <f t="shared" si="19"/>
        <v>2178.7096030012776</v>
      </c>
      <c r="AX35" s="56">
        <f t="shared" si="19"/>
        <v>2194.53376982808</v>
      </c>
      <c r="AY35" s="56">
        <f t="shared" si="19"/>
        <v>2201.2346311025035</v>
      </c>
      <c r="AZ35" s="56">
        <f t="shared" si="19"/>
        <v>2225.5275945700191</v>
      </c>
      <c r="BA35" s="56">
        <f t="shared" si="19"/>
        <v>2246.6797689679615</v>
      </c>
      <c r="BB35" s="56">
        <f t="shared" si="19"/>
        <v>2259.9344785347171</v>
      </c>
      <c r="BC35" s="56">
        <f t="shared" si="19"/>
        <v>2269.3705169569857</v>
      </c>
      <c r="BD35" s="56">
        <f t="shared" si="19"/>
        <v>2294.8940990845836</v>
      </c>
      <c r="BE35" s="56">
        <f t="shared" si="19"/>
        <v>2331.3032337430645</v>
      </c>
      <c r="BF35" s="56">
        <f t="shared" si="19"/>
        <v>2358.6610484144749</v>
      </c>
      <c r="BG35" s="56">
        <f t="shared" si="19"/>
        <v>2372.5764125865189</v>
      </c>
      <c r="BH35" s="56">
        <f t="shared" si="19"/>
        <v>2361.4809858752001</v>
      </c>
      <c r="BI35" s="56">
        <f t="shared" si="19"/>
        <v>2368.3538406888006</v>
      </c>
      <c r="BJ35" s="56">
        <f t="shared" si="19"/>
        <v>2392.1561925021538</v>
      </c>
      <c r="BK35" s="56">
        <f t="shared" si="19"/>
        <v>2374.8566251565771</v>
      </c>
      <c r="BL35" s="56">
        <f t="shared" si="19"/>
        <v>2370.7655725513032</v>
      </c>
      <c r="BM35" s="56">
        <f t="shared" si="19"/>
        <v>2366.6815674078598</v>
      </c>
      <c r="BN35" s="56">
        <f t="shared" si="19"/>
        <v>2395.5431822167984</v>
      </c>
      <c r="BO35" s="56">
        <f t="shared" si="19"/>
        <v>2424.7567636024201</v>
      </c>
      <c r="BP35" s="56">
        <f t="shared" si="19"/>
        <v>2413.4173138714855</v>
      </c>
      <c r="BQ35" s="56">
        <f t="shared" si="19"/>
        <v>2402.7933370204264</v>
      </c>
      <c r="BR35" s="56">
        <f t="shared" si="19"/>
        <v>2426.9418115262069</v>
      </c>
      <c r="BS35" s="56">
        <f t="shared" si="19"/>
        <v>2460.4435249864296</v>
      </c>
      <c r="BT35" s="56">
        <f t="shared" si="19"/>
        <v>2421.0772751689938</v>
      </c>
      <c r="BU35" s="56">
        <f t="shared" si="19"/>
        <v>2411.0104403259948</v>
      </c>
      <c r="BV35" s="56">
        <f t="shared" si="19"/>
        <v>2407.1248481937319</v>
      </c>
      <c r="BW35" s="56">
        <f t="shared" si="19"/>
        <v>2412.9555878125648</v>
      </c>
      <c r="BX35" s="56">
        <f t="shared" si="19"/>
        <v>2408.937344632343</v>
      </c>
      <c r="BY35" s="56">
        <f t="shared" si="19"/>
        <v>2401.9984996684225</v>
      </c>
      <c r="BZ35" s="56">
        <f t="shared" si="19"/>
        <v>2417.9467898506114</v>
      </c>
      <c r="CA35" s="56">
        <f t="shared" si="19"/>
        <v>2391.2294191147521</v>
      </c>
      <c r="CB35" s="56">
        <f t="shared" si="19"/>
        <v>2386.9631768591639</v>
      </c>
      <c r="CC35" s="56">
        <f t="shared" si="19"/>
        <v>2364.4351638858957</v>
      </c>
      <c r="CD35" s="56">
        <f t="shared" si="19"/>
        <v>2346.316975765787</v>
      </c>
      <c r="CE35" s="56">
        <f t="shared" si="19"/>
        <v>2342.1308627366479</v>
      </c>
      <c r="CF35" s="56">
        <f t="shared" si="19"/>
        <v>2360.9430580883463</v>
      </c>
      <c r="CG35" s="56">
        <f t="shared" si="19"/>
        <v>2363.1301288519712</v>
      </c>
      <c r="CH35" s="56">
        <f t="shared" ca="1" si="19"/>
        <v>2073.0182773599063</v>
      </c>
      <c r="CI35" s="56">
        <f t="shared" si="19"/>
        <v>2426.183276444794</v>
      </c>
      <c r="CJ35" s="56">
        <f t="shared" ref="CJ35:CO35" si="20">CK3</f>
        <v>2441.3944071907877</v>
      </c>
      <c r="CK35" s="56">
        <f t="shared" si="20"/>
        <v>2473.3397291818592</v>
      </c>
      <c r="CL35" s="56">
        <f t="shared" si="20"/>
        <v>2502.043544997181</v>
      </c>
      <c r="CM35" s="56">
        <f t="shared" si="20"/>
        <v>2504.7646361320608</v>
      </c>
      <c r="CN35" s="56">
        <f t="shared" si="20"/>
        <v>2494.3498293965899</v>
      </c>
      <c r="CO35" s="56">
        <f t="shared" si="20"/>
        <v>2489.1586765804509</v>
      </c>
      <c r="CP35" s="56">
        <f t="shared" ref="CP35:CX35" si="21">CQ3</f>
        <v>2497.2887466969105</v>
      </c>
      <c r="CQ35" s="56">
        <f t="shared" si="21"/>
        <v>2529.9654387065839</v>
      </c>
      <c r="CR35" s="56">
        <f t="shared" si="21"/>
        <v>2561.7884863768345</v>
      </c>
      <c r="CS35" s="56">
        <f t="shared" si="21"/>
        <v>2572.9073197272546</v>
      </c>
      <c r="CT35" s="56">
        <f t="shared" si="21"/>
        <v>2570.954088375116</v>
      </c>
      <c r="CU35" s="56">
        <f t="shared" si="21"/>
        <v>2558.623397016861</v>
      </c>
      <c r="CV35" s="56">
        <f t="shared" si="21"/>
        <v>2543.1634840924812</v>
      </c>
      <c r="CW35" s="56">
        <f t="shared" si="21"/>
        <v>2518.3082423739315</v>
      </c>
      <c r="CX35" s="56">
        <f t="shared" si="21"/>
        <v>2518.3082423739315</v>
      </c>
      <c r="DO35" s="88"/>
      <c r="DQ35" s="56">
        <f ca="1"/>
        <v>2502.043544997181</v>
      </c>
      <c r="DR35" s="56">
        <f ca="1"/>
        <v>2504.7646361320608</v>
      </c>
      <c r="DS35" s="56">
        <f ca="1"/>
        <v>2494.3498293965899</v>
      </c>
      <c r="DT35" s="56">
        <f ca="1"/>
        <v>2489.1586765804509</v>
      </c>
      <c r="DU35" s="56">
        <f ca="1"/>
        <v>2497.2887466969105</v>
      </c>
      <c r="DV35" s="56">
        <f ca="1"/>
        <v>2529.9654387065839</v>
      </c>
      <c r="DW35" s="56">
        <f ca="1"/>
        <v>2561.7884863768345</v>
      </c>
      <c r="DX35" s="56">
        <f ca="1"/>
        <v>2572.9073197272546</v>
      </c>
      <c r="DY35" s="56">
        <f ca="1"/>
        <v>2570.954088375116</v>
      </c>
      <c r="DZ35" s="56">
        <f ca="1"/>
        <v>2558.623397016861</v>
      </c>
      <c r="EA35" s="56">
        <f ca="1"/>
        <v>2543.1634840924812</v>
      </c>
      <c r="EB35" s="56">
        <f ca="1"/>
        <v>2518.3082423739315</v>
      </c>
      <c r="EC35" s="56">
        <f ca="1"/>
        <v>2518.3082423739315</v>
      </c>
    </row>
    <row r="36" spans="1:133" x14ac:dyDescent="0.3">
      <c r="A36" t="s">
        <v>108</v>
      </c>
      <c r="C36" s="55">
        <f>LN(C35)-LN(B35)</f>
        <v>2.857142857142847E-2</v>
      </c>
      <c r="D36" s="55">
        <f t="shared" ref="D36:AD36" si="22">LN(D35)-LN(C35)</f>
        <v>3.2954545454545681E-2</v>
      </c>
      <c r="E36" s="55">
        <f t="shared" si="22"/>
        <v>1.6949152542372836E-2</v>
      </c>
      <c r="F36" s="55">
        <f t="shared" si="22"/>
        <v>1.3934426229507579E-2</v>
      </c>
      <c r="G36" s="55">
        <f t="shared" si="22"/>
        <v>2.5454545454545396E-2</v>
      </c>
      <c r="H36" s="55">
        <f t="shared" si="22"/>
        <v>2.6865671641790989E-2</v>
      </c>
      <c r="I36" s="55">
        <f t="shared" si="22"/>
        <v>4.0178571428572951E-3</v>
      </c>
      <c r="J36" s="55">
        <f t="shared" si="22"/>
        <v>2.7884615384615508E-2</v>
      </c>
      <c r="K36" s="55">
        <f t="shared" si="22"/>
        <v>2.7459016393442504E-2</v>
      </c>
      <c r="L36" s="55">
        <f t="shared" si="22"/>
        <v>2.0689655172414056E-2</v>
      </c>
      <c r="M36" s="55">
        <f t="shared" si="22"/>
        <v>1.7727272727272592E-2</v>
      </c>
      <c r="N36" s="55">
        <f t="shared" si="22"/>
        <v>2.6893939393939803E-2</v>
      </c>
      <c r="O36" s="55">
        <f t="shared" si="22"/>
        <v>1.551724137931032E-2</v>
      </c>
      <c r="P36" s="55">
        <f t="shared" si="22"/>
        <v>1.8951612903225445E-2</v>
      </c>
      <c r="Q36" s="55">
        <f t="shared" si="22"/>
        <v>1.7924528301887399E-2</v>
      </c>
      <c r="R36" s="55">
        <f t="shared" si="22"/>
        <v>2.2596153846153655E-2</v>
      </c>
      <c r="S36" s="55">
        <f t="shared" si="22"/>
        <v>1.902173913043459E-2</v>
      </c>
      <c r="T36" s="55">
        <f t="shared" si="22"/>
        <v>2.5000000000000355E-2</v>
      </c>
      <c r="U36" s="55">
        <f t="shared" si="22"/>
        <v>1.0937499999999822E-2</v>
      </c>
      <c r="V36" s="55">
        <f t="shared" si="22"/>
        <v>2.9237288135593786E-2</v>
      </c>
      <c r="W36" s="55">
        <f t="shared" si="22"/>
        <v>1.5878378378378244E-2</v>
      </c>
      <c r="X36" s="55">
        <f t="shared" si="22"/>
        <v>2.2413793103448043E-2</v>
      </c>
      <c r="Y36" s="55">
        <f t="shared" si="22"/>
        <v>1.8560606060606055E-2</v>
      </c>
      <c r="Z36" s="55">
        <f t="shared" si="22"/>
        <v>1.3157894736842479E-2</v>
      </c>
      <c r="AA36" s="55">
        <f t="shared" si="22"/>
        <v>1.2244897959183376E-2</v>
      </c>
      <c r="AB36" s="55">
        <f t="shared" si="22"/>
        <v>8.1632653061225469E-3</v>
      </c>
      <c r="AC36" s="55">
        <f t="shared" si="22"/>
        <v>1.2142857142857011E-2</v>
      </c>
      <c r="AD36" s="55">
        <f t="shared" si="22"/>
        <v>2.0754716981132404E-2</v>
      </c>
      <c r="AE36" s="55">
        <f>LN(AE35)-LN(AD35)</f>
        <v>1.9230769230769162E-2</v>
      </c>
      <c r="AF36" s="55">
        <f t="shared" ref="AF36:CI36" si="23">LN(AF35)-LN(AE35)</f>
        <v>2.4489795918366752E-2</v>
      </c>
      <c r="AG36" s="55">
        <f t="shared" si="23"/>
        <v>8.3333333333337478E-3</v>
      </c>
      <c r="AH36" s="55">
        <f t="shared" si="23"/>
        <v>1.6025641025640525E-2</v>
      </c>
      <c r="AI36" s="55">
        <f t="shared" si="23"/>
        <v>9.3750000000003553E-3</v>
      </c>
      <c r="AJ36" s="55">
        <f t="shared" si="23"/>
        <v>8.1395348837212111E-3</v>
      </c>
      <c r="AK36" s="55">
        <f t="shared" si="23"/>
        <v>4.2682926829265E-3</v>
      </c>
      <c r="AL36" s="55">
        <f t="shared" si="23"/>
        <v>1.3372093023256149E-2</v>
      </c>
      <c r="AM36" s="55">
        <f t="shared" si="23"/>
        <v>5.1136363636361537E-3</v>
      </c>
      <c r="AN36" s="55">
        <f t="shared" si="23"/>
        <v>1.8292682926830395E-3</v>
      </c>
      <c r="AO36" s="55">
        <f t="shared" si="23"/>
        <v>6.4285714285716722E-3</v>
      </c>
      <c r="AP36" s="55">
        <f t="shared" si="23"/>
        <v>5.357142857142172E-3</v>
      </c>
      <c r="AQ36" s="55">
        <f t="shared" si="23"/>
        <v>8.3333333333337478E-3</v>
      </c>
      <c r="AR36" s="55">
        <f t="shared" si="23"/>
        <v>8.8235294117646745E-3</v>
      </c>
      <c r="AS36" s="55">
        <f t="shared" si="23"/>
        <v>9.2105263157895578E-3</v>
      </c>
      <c r="AT36" s="55">
        <f t="shared" si="23"/>
        <v>1.9736842105262831E-2</v>
      </c>
      <c r="AU36" s="55">
        <f t="shared" si="23"/>
        <v>8.522727272727515E-3</v>
      </c>
      <c r="AV36" s="55">
        <f t="shared" si="23"/>
        <v>9.8684210526318594E-3</v>
      </c>
      <c r="AW36" s="186">
        <f t="shared" si="23"/>
        <v>3.7500000000001421E-3</v>
      </c>
      <c r="AX36" s="186">
        <f t="shared" si="23"/>
        <v>7.236842105262653E-3</v>
      </c>
      <c r="AY36" s="186">
        <f t="shared" si="23"/>
        <v>3.0487804878047697E-3</v>
      </c>
      <c r="AZ36" s="186">
        <f t="shared" si="23"/>
        <v>1.0975609756098237E-2</v>
      </c>
      <c r="BA36" s="186">
        <f t="shared" si="23"/>
        <v>9.4594594594585857E-3</v>
      </c>
      <c r="BB36" s="186">
        <f t="shared" si="23"/>
        <v>5.8823529411764497E-3</v>
      </c>
      <c r="BC36" s="186">
        <f t="shared" si="23"/>
        <v>4.166666666667318E-3</v>
      </c>
      <c r="BD36" s="186">
        <f t="shared" si="23"/>
        <v>1.1184210526315574E-2</v>
      </c>
      <c r="BE36" s="186">
        <f t="shared" si="23"/>
        <v>1.5740740740740833E-2</v>
      </c>
      <c r="BF36" s="186">
        <f t="shared" si="23"/>
        <v>1.1666666666666714E-2</v>
      </c>
      <c r="BG36" s="186">
        <f t="shared" si="23"/>
        <v>5.8823529411764497E-3</v>
      </c>
      <c r="BH36" s="186">
        <f t="shared" si="23"/>
        <v>-4.6875000000001776E-3</v>
      </c>
      <c r="BI36" s="186">
        <f t="shared" si="23"/>
        <v>2.9061732186734801E-3</v>
      </c>
      <c r="BJ36" s="186">
        <f t="shared" si="23"/>
        <v>9.9999999999997868E-3</v>
      </c>
      <c r="BK36" s="186">
        <f t="shared" si="23"/>
        <v>-7.2580645161295365E-3</v>
      </c>
      <c r="BL36" s="186">
        <f t="shared" si="23"/>
        <v>-1.7241379310339866E-3</v>
      </c>
      <c r="BM36" s="186">
        <f t="shared" si="23"/>
        <v>-1.7241379310348748E-3</v>
      </c>
      <c r="BN36" s="186">
        <f t="shared" si="23"/>
        <v>1.2121212121212643E-2</v>
      </c>
      <c r="BO36" s="186">
        <f t="shared" si="23"/>
        <v>1.2121212121211755E-2</v>
      </c>
      <c r="BP36" s="186">
        <f t="shared" si="23"/>
        <v>-4.6875000000001776E-3</v>
      </c>
      <c r="BQ36" s="186">
        <f t="shared" si="23"/>
        <v>-4.4117647058818932E-3</v>
      </c>
      <c r="BR36" s="186">
        <f t="shared" si="23"/>
        <v>9.9999999999997868E-3</v>
      </c>
      <c r="BS36" s="186">
        <f t="shared" si="23"/>
        <v>1.3709677419354804E-2</v>
      </c>
      <c r="BT36" s="186">
        <f t="shared" si="23"/>
        <v>-1.6129032258064946E-2</v>
      </c>
      <c r="BU36" s="186">
        <f t="shared" si="23"/>
        <v>-4.1666666666664298E-3</v>
      </c>
      <c r="BV36" s="186">
        <f t="shared" si="23"/>
        <v>-1.612903225806761E-3</v>
      </c>
      <c r="BW36" s="186">
        <f t="shared" si="23"/>
        <v>2.4193548387101416E-3</v>
      </c>
      <c r="BX36" s="186">
        <f t="shared" si="23"/>
        <v>-1.6666666666669272E-3</v>
      </c>
      <c r="BY36" s="186">
        <f t="shared" si="23"/>
        <v>-2.8846153846151523E-3</v>
      </c>
      <c r="BZ36" s="186">
        <f t="shared" si="23"/>
        <v>6.6176470588228398E-3</v>
      </c>
      <c r="CA36" s="186">
        <f t="shared" si="23"/>
        <v>-1.1111111111111072E-2</v>
      </c>
      <c r="CB36" s="186">
        <f t="shared" si="23"/>
        <v>-1.7857142857140573E-3</v>
      </c>
      <c r="CC36" s="186">
        <f t="shared" si="23"/>
        <v>-9.4827586206891468E-3</v>
      </c>
      <c r="CD36" s="186">
        <f t="shared" si="23"/>
        <v>-7.692307692307665E-3</v>
      </c>
      <c r="CE36" s="186">
        <f t="shared" si="23"/>
        <v>-1.7857142857149455E-3</v>
      </c>
      <c r="CF36" s="186">
        <f t="shared" si="23"/>
        <v>8.0000000000000071E-3</v>
      </c>
      <c r="CG36" s="186">
        <f t="shared" si="23"/>
        <v>9.2592592592666279E-4</v>
      </c>
      <c r="CH36" s="186">
        <f t="shared" ca="1" si="23"/>
        <v>-0.13098141574999023</v>
      </c>
      <c r="CI36" s="186">
        <f t="shared" ca="1" si="23"/>
        <v>0.15731370415124335</v>
      </c>
      <c r="CJ36" s="186">
        <f t="shared" ref="CJ36:CX36" si="24">LN(CJ35)-LN(CI35)</f>
        <v>6.2500000000005329E-3</v>
      </c>
      <c r="CK36" s="186">
        <f t="shared" si="24"/>
        <v>1.2999999999999901E-2</v>
      </c>
      <c r="CL36" s="186">
        <f t="shared" si="24"/>
        <v>1.1538461538461497E-2</v>
      </c>
      <c r="CM36" s="186">
        <f t="shared" si="24"/>
        <v>1.0869565217390686E-3</v>
      </c>
      <c r="CN36" s="186">
        <f t="shared" si="24"/>
        <v>-4.1666666666664298E-3</v>
      </c>
      <c r="CO36" s="186">
        <f t="shared" si="24"/>
        <v>-2.0833333333332149E-3</v>
      </c>
      <c r="CP36" s="186">
        <f t="shared" si="24"/>
        <v>3.2608695652172059E-3</v>
      </c>
      <c r="CQ36" s="186">
        <f t="shared" si="24"/>
        <v>1.3000000000000789E-2</v>
      </c>
      <c r="CR36" s="186">
        <f t="shared" si="24"/>
        <v>1.2499999999999289E-2</v>
      </c>
      <c r="CS36" s="186">
        <f t="shared" si="24"/>
        <v>4.3308702791469145E-3</v>
      </c>
      <c r="CT36" s="186">
        <f t="shared" si="24"/>
        <v>-7.5944170771791164E-4</v>
      </c>
      <c r="CU36" s="186">
        <f t="shared" si="24"/>
        <v>-4.8076923076925127E-3</v>
      </c>
      <c r="CV36" s="186">
        <f t="shared" si="24"/>
        <v>-6.0606060606058776E-3</v>
      </c>
      <c r="CW36" s="186">
        <f t="shared" si="24"/>
        <v>-9.8214285714286476E-3</v>
      </c>
      <c r="CX36" s="186">
        <f t="shared" si="24"/>
        <v>0</v>
      </c>
      <c r="DO36" s="88"/>
      <c r="DQ36" s="55">
        <f ca="1"/>
        <v>1.1538461538461497E-2</v>
      </c>
      <c r="DR36" s="55">
        <f ca="1"/>
        <v>1.0869565217390686E-3</v>
      </c>
      <c r="DS36" s="55">
        <f ca="1"/>
        <v>-4.1666666666664298E-3</v>
      </c>
      <c r="DT36" s="55">
        <f ca="1"/>
        <v>-2.0833333333332149E-3</v>
      </c>
      <c r="DU36" s="55">
        <f ca="1"/>
        <v>3.2608695652172059E-3</v>
      </c>
      <c r="DV36" s="55">
        <f ca="1"/>
        <v>1.3000000000000789E-2</v>
      </c>
      <c r="DW36" s="55">
        <f ca="1"/>
        <v>1.2499999999999289E-2</v>
      </c>
      <c r="DX36" s="55">
        <f ca="1"/>
        <v>4.3308702791469145E-3</v>
      </c>
      <c r="DY36" s="55">
        <f ca="1"/>
        <v>-7.5944170771791164E-4</v>
      </c>
      <c r="DZ36" s="55">
        <f ca="1"/>
        <v>-4.8076923076925127E-3</v>
      </c>
      <c r="EA36" s="55">
        <f ca="1"/>
        <v>-6.0606060606058776E-3</v>
      </c>
      <c r="EB36" s="55">
        <f ca="1"/>
        <v>-9.8214285714286476E-3</v>
      </c>
      <c r="EC36" s="186">
        <f ca="1"/>
        <v>0</v>
      </c>
    </row>
    <row r="37" spans="1:133" x14ac:dyDescent="0.3">
      <c r="C37" s="55"/>
      <c r="D37" s="55"/>
      <c r="E37" s="55"/>
      <c r="F37" s="55"/>
      <c r="G37" s="55"/>
      <c r="H37" s="55"/>
      <c r="I37" s="55"/>
      <c r="J37" s="55"/>
      <c r="K37" s="55"/>
      <c r="L37" s="55"/>
      <c r="M37" s="55"/>
      <c r="N37" s="55"/>
      <c r="O37" s="55"/>
      <c r="P37" s="55"/>
      <c r="Q37" s="55"/>
      <c r="R37" s="55"/>
      <c r="S37" s="55"/>
      <c r="T37" s="55"/>
      <c r="U37" s="55"/>
      <c r="V37" s="55"/>
      <c r="W37" s="55"/>
      <c r="X37" s="55"/>
      <c r="Y37" s="55"/>
      <c r="Z37" s="55"/>
      <c r="AA37" s="55"/>
      <c r="AB37" s="55"/>
      <c r="AC37" s="55"/>
      <c r="AD37" s="55"/>
      <c r="AE37" s="55"/>
      <c r="AF37" s="55"/>
      <c r="AG37" s="55"/>
      <c r="AH37" s="55"/>
      <c r="AI37" s="55"/>
      <c r="AJ37" s="55"/>
      <c r="AK37" s="55"/>
      <c r="AL37" s="55"/>
      <c r="AM37" s="55"/>
      <c r="AN37" s="55"/>
      <c r="AO37" s="55"/>
      <c r="AP37" s="55"/>
      <c r="AQ37" s="55"/>
      <c r="AR37" s="55"/>
      <c r="AS37" s="55"/>
      <c r="AT37" s="55"/>
      <c r="AU37" s="55"/>
      <c r="AV37" s="55"/>
      <c r="AW37" s="186"/>
      <c r="AX37" s="186"/>
      <c r="AY37" s="186"/>
      <c r="AZ37" s="186"/>
      <c r="BA37" s="186"/>
      <c r="BB37" s="186"/>
      <c r="BC37" s="186"/>
      <c r="BD37" s="186"/>
      <c r="BE37" s="186"/>
      <c r="BF37" s="186"/>
      <c r="BG37" s="186"/>
      <c r="BH37" s="186"/>
      <c r="BI37" s="186"/>
      <c r="BJ37" s="186"/>
      <c r="BK37" s="186"/>
      <c r="BL37" s="186"/>
      <c r="BM37" s="186"/>
      <c r="BN37" s="186"/>
      <c r="BO37" s="186"/>
      <c r="BP37" s="186"/>
      <c r="BQ37" s="186"/>
      <c r="BR37" s="186"/>
      <c r="BS37" s="186"/>
      <c r="BT37" s="186"/>
      <c r="BU37" s="186"/>
      <c r="BV37" s="186"/>
      <c r="BW37" s="186"/>
      <c r="BX37" s="186"/>
      <c r="BY37" s="186"/>
      <c r="BZ37" s="186"/>
      <c r="CA37" s="186"/>
      <c r="CB37" s="186"/>
      <c r="CC37" s="186"/>
      <c r="CD37" s="186"/>
      <c r="CE37" s="186"/>
      <c r="CF37" s="186"/>
      <c r="CG37" s="186"/>
      <c r="CH37" s="186"/>
      <c r="CI37" s="186"/>
      <c r="CJ37" s="186"/>
      <c r="CK37" s="186"/>
      <c r="CL37" s="186"/>
      <c r="CM37" s="186"/>
      <c r="CN37" s="186"/>
      <c r="CO37" s="186"/>
      <c r="CP37" s="186"/>
      <c r="CQ37" s="186"/>
      <c r="CR37" s="186"/>
      <c r="CS37" s="186"/>
      <c r="CT37" s="186"/>
      <c r="CU37" s="186"/>
      <c r="CV37" s="186"/>
      <c r="CW37" s="186"/>
      <c r="CX37" s="186"/>
      <c r="CZ37" t="str">
        <f>A39</f>
        <v>Attackers: Activist/hacktivists</v>
      </c>
      <c r="DG37" t="str">
        <f>A44</f>
        <v>Attackers: Criminals</v>
      </c>
      <c r="DO37" s="88"/>
      <c r="DQ37" s="55">
        <f ca="1"/>
        <v>0</v>
      </c>
      <c r="DR37" s="55">
        <f ca="1"/>
        <v>0</v>
      </c>
      <c r="DS37" s="55">
        <f ca="1"/>
        <v>0</v>
      </c>
      <c r="DT37" s="55">
        <f ca="1"/>
        <v>0</v>
      </c>
      <c r="DU37" s="55">
        <f ca="1"/>
        <v>0</v>
      </c>
      <c r="DV37" s="55">
        <f ca="1"/>
        <v>0</v>
      </c>
      <c r="DW37" s="55">
        <f ca="1"/>
        <v>0</v>
      </c>
      <c r="DX37" s="55">
        <f ca="1"/>
        <v>0</v>
      </c>
      <c r="DY37" s="55">
        <f ca="1"/>
        <v>0</v>
      </c>
      <c r="DZ37" s="55">
        <f ca="1"/>
        <v>0</v>
      </c>
      <c r="EA37" s="55">
        <f ca="1"/>
        <v>0</v>
      </c>
      <c r="EB37" s="55">
        <f ca="1"/>
        <v>0</v>
      </c>
      <c r="EC37" s="186">
        <f ca="1"/>
        <v>0</v>
      </c>
    </row>
    <row r="38" spans="1:133" x14ac:dyDescent="0.3">
      <c r="A38" t="str">
        <f>A39</f>
        <v>Attackers: Activist/hacktivists</v>
      </c>
      <c r="C38" s="55"/>
      <c r="D38" s="55"/>
      <c r="E38" s="55"/>
      <c r="F38" s="55"/>
      <c r="G38" s="55"/>
      <c r="H38" s="55"/>
      <c r="I38" s="55"/>
      <c r="J38" s="55"/>
      <c r="K38" s="55"/>
      <c r="L38" s="55"/>
      <c r="M38" s="55"/>
      <c r="N38" s="55"/>
      <c r="O38" s="55"/>
      <c r="P38" s="55"/>
      <c r="Q38" s="55"/>
      <c r="R38" s="55"/>
      <c r="S38" s="55"/>
      <c r="T38" s="55"/>
      <c r="U38" s="55"/>
      <c r="V38" s="55"/>
      <c r="W38" s="55"/>
      <c r="X38" s="55"/>
      <c r="Y38" s="55"/>
      <c r="Z38" s="55"/>
      <c r="AA38" s="55"/>
      <c r="AB38" s="55"/>
      <c r="AC38" s="55"/>
      <c r="AD38" s="55"/>
      <c r="AE38" s="55"/>
      <c r="AF38" s="55"/>
      <c r="AG38" s="55"/>
      <c r="AH38" s="55"/>
      <c r="AI38" s="55"/>
      <c r="AJ38" s="55"/>
      <c r="AK38" s="55"/>
      <c r="AL38" s="55"/>
      <c r="AM38" s="55"/>
      <c r="AN38" s="55"/>
      <c r="AO38" s="55"/>
      <c r="AP38" s="55"/>
      <c r="AQ38" s="55"/>
      <c r="AR38" s="55"/>
      <c r="AS38" s="55"/>
      <c r="AT38" s="55"/>
      <c r="AU38" s="55"/>
      <c r="AV38" s="55"/>
      <c r="AW38" s="186"/>
      <c r="AX38" s="186"/>
      <c r="AY38" s="186"/>
      <c r="AZ38" s="186"/>
      <c r="BA38" s="186"/>
      <c r="BB38" s="186"/>
      <c r="BC38" s="186"/>
      <c r="BD38" s="186"/>
      <c r="BE38" s="186"/>
      <c r="BF38" s="186"/>
      <c r="BG38" s="186"/>
      <c r="BH38" s="186"/>
      <c r="BI38" s="186"/>
      <c r="BJ38" s="186"/>
      <c r="BK38" s="186"/>
      <c r="BL38" s="186"/>
      <c r="BM38" s="186"/>
      <c r="BN38" s="186"/>
      <c r="BO38" s="186"/>
      <c r="BP38" s="186"/>
      <c r="BQ38" s="186"/>
      <c r="BR38" s="186"/>
      <c r="BS38" s="186"/>
      <c r="BT38" s="186"/>
      <c r="BU38" s="186"/>
      <c r="BV38" s="186"/>
      <c r="BW38" s="186"/>
      <c r="BX38" s="186"/>
      <c r="BY38" s="186"/>
      <c r="BZ38" s="186"/>
      <c r="CA38" s="186"/>
      <c r="CB38" s="186"/>
      <c r="CC38" s="186"/>
      <c r="CD38" s="186"/>
      <c r="CE38" s="186"/>
      <c r="CF38" s="186"/>
      <c r="CG38" s="186"/>
      <c r="CH38" s="186"/>
      <c r="CI38" s="186"/>
      <c r="CJ38" s="186"/>
      <c r="CK38" s="186"/>
      <c r="CL38" s="186"/>
      <c r="CM38" s="186"/>
      <c r="CN38" s="186"/>
      <c r="CO38" s="186"/>
      <c r="CP38" s="186"/>
      <c r="CQ38" s="186"/>
      <c r="CR38" s="186"/>
      <c r="CS38" s="186"/>
      <c r="CT38" s="186"/>
      <c r="CU38" s="186"/>
      <c r="CV38" s="186"/>
      <c r="CW38" s="186"/>
      <c r="CX38" s="186"/>
      <c r="DO38" s="88"/>
      <c r="DQ38" s="55">
        <f ca="1"/>
        <v>0</v>
      </c>
      <c r="DR38" s="55">
        <f ca="1"/>
        <v>0</v>
      </c>
      <c r="DS38" s="55">
        <f ca="1"/>
        <v>0</v>
      </c>
      <c r="DT38" s="55">
        <f ca="1"/>
        <v>0</v>
      </c>
      <c r="DU38" s="55">
        <f ca="1"/>
        <v>0</v>
      </c>
      <c r="DV38" s="55">
        <f ca="1"/>
        <v>0</v>
      </c>
      <c r="DW38" s="55">
        <f ca="1"/>
        <v>0</v>
      </c>
      <c r="DX38" s="55">
        <f ca="1"/>
        <v>0</v>
      </c>
      <c r="DY38" s="55">
        <f ca="1"/>
        <v>0</v>
      </c>
      <c r="DZ38" s="55">
        <f ca="1"/>
        <v>0</v>
      </c>
      <c r="EA38" s="55">
        <f ca="1"/>
        <v>0</v>
      </c>
      <c r="EB38" s="55">
        <f ca="1"/>
        <v>0</v>
      </c>
      <c r="EC38" s="186">
        <f ca="1"/>
        <v>0</v>
      </c>
    </row>
    <row r="39" spans="1:133" x14ac:dyDescent="0.3">
      <c r="A39" t="str">
        <f>A40</f>
        <v>Attackers: Activist/hacktivists</v>
      </c>
      <c r="B39" s="57" t="str">
        <f>C$1</f>
        <v>Apr</v>
      </c>
      <c r="C39" s="57" t="str">
        <f t="shared" ref="C39:N39" si="25">D$1</f>
        <v>May</v>
      </c>
      <c r="D39" s="57" t="str">
        <f t="shared" si="25"/>
        <v>Jun</v>
      </c>
      <c r="E39" s="57" t="str">
        <f t="shared" si="25"/>
        <v>Jul</v>
      </c>
      <c r="F39" s="57" t="str">
        <f t="shared" si="25"/>
        <v>Aug</v>
      </c>
      <c r="G39" s="57" t="str">
        <f t="shared" si="25"/>
        <v>Sep</v>
      </c>
      <c r="H39" s="57" t="str">
        <f t="shared" si="25"/>
        <v>Oct</v>
      </c>
      <c r="I39" s="57" t="str">
        <f t="shared" si="25"/>
        <v>Nov</v>
      </c>
      <c r="J39" s="57" t="str">
        <f t="shared" si="25"/>
        <v>Dec 2011</v>
      </c>
      <c r="K39" s="57" t="str">
        <f t="shared" si="25"/>
        <v>Jan 2012</v>
      </c>
      <c r="L39" s="57" t="str">
        <f t="shared" si="25"/>
        <v>Feb</v>
      </c>
      <c r="M39" s="57" t="str">
        <f t="shared" si="25"/>
        <v>Mar</v>
      </c>
      <c r="N39" s="57" t="str">
        <f t="shared" si="25"/>
        <v>Apr</v>
      </c>
      <c r="O39" s="57" t="str">
        <f t="shared" ref="O39:AD39" si="26">P$1</f>
        <v>May</v>
      </c>
      <c r="P39" s="57" t="str">
        <f t="shared" si="26"/>
        <v>Jun</v>
      </c>
      <c r="Q39" s="57" t="str">
        <f t="shared" si="26"/>
        <v>Jul</v>
      </c>
      <c r="R39" s="57" t="str">
        <f t="shared" si="26"/>
        <v>Aug</v>
      </c>
      <c r="S39" s="57" t="str">
        <f t="shared" si="26"/>
        <v>Sep</v>
      </c>
      <c r="T39" s="57" t="str">
        <f t="shared" si="26"/>
        <v>Oct</v>
      </c>
      <c r="U39" s="57" t="str">
        <f t="shared" si="26"/>
        <v>Nov</v>
      </c>
      <c r="V39" s="57" t="str">
        <f t="shared" si="26"/>
        <v>Dec 2012</v>
      </c>
      <c r="W39" s="57" t="str">
        <f t="shared" si="26"/>
        <v>Jan 2013</v>
      </c>
      <c r="X39" s="57" t="str">
        <f t="shared" si="26"/>
        <v>Feb</v>
      </c>
      <c r="Y39" s="57" t="str">
        <f t="shared" si="26"/>
        <v>Mar</v>
      </c>
      <c r="Z39" s="57" t="str">
        <f t="shared" si="26"/>
        <v>Apr</v>
      </c>
      <c r="AA39" s="57" t="str">
        <f t="shared" si="26"/>
        <v>May</v>
      </c>
      <c r="AB39" s="57" t="str">
        <f t="shared" si="26"/>
        <v>Jun</v>
      </c>
      <c r="AC39" s="57" t="str">
        <f t="shared" si="26"/>
        <v>Jul</v>
      </c>
      <c r="AD39" s="57" t="str">
        <f t="shared" si="26"/>
        <v>Aug</v>
      </c>
      <c r="AE39" s="57" t="str">
        <f>AF$1</f>
        <v>Sep</v>
      </c>
      <c r="AF39" s="57" t="str">
        <f t="shared" ref="AF39:AK39" si="27">AG$1</f>
        <v>Oct</v>
      </c>
      <c r="AG39" s="57" t="str">
        <f t="shared" si="27"/>
        <v>Nov</v>
      </c>
      <c r="AH39" s="57" t="str">
        <f t="shared" si="27"/>
        <v>Dec 2013</v>
      </c>
      <c r="AI39" s="57" t="str">
        <f t="shared" si="27"/>
        <v>Jan 2014</v>
      </c>
      <c r="AJ39" s="57" t="str">
        <f t="shared" si="27"/>
        <v>Feb</v>
      </c>
      <c r="AK39" s="57" t="str">
        <f t="shared" si="27"/>
        <v>Mar</v>
      </c>
      <c r="AL39" s="57" t="str">
        <f t="shared" ref="AL39:CI39" si="28">AM$1</f>
        <v>Apr</v>
      </c>
      <c r="AM39" s="57" t="str">
        <f t="shared" si="28"/>
        <v>May</v>
      </c>
      <c r="AN39" s="57" t="str">
        <f t="shared" si="28"/>
        <v>Jun</v>
      </c>
      <c r="AO39" s="57" t="str">
        <f t="shared" si="28"/>
        <v>Jul</v>
      </c>
      <c r="AP39" s="57" t="str">
        <f t="shared" si="28"/>
        <v>Aug</v>
      </c>
      <c r="AQ39" s="57" t="str">
        <f t="shared" si="28"/>
        <v>Sep</v>
      </c>
      <c r="AR39" s="57" t="str">
        <f t="shared" si="28"/>
        <v>Oct</v>
      </c>
      <c r="AS39" s="57" t="str">
        <f t="shared" si="28"/>
        <v>Nov</v>
      </c>
      <c r="AT39" s="57" t="str">
        <f t="shared" si="28"/>
        <v>Dec '14</v>
      </c>
      <c r="AU39" s="57" t="str">
        <f t="shared" si="28"/>
        <v>Jan '15</v>
      </c>
      <c r="AV39" s="57" t="str">
        <f t="shared" si="28"/>
        <v>Feb</v>
      </c>
      <c r="AW39" s="57" t="str">
        <f t="shared" si="28"/>
        <v>Mar</v>
      </c>
      <c r="AX39" s="57" t="str">
        <f t="shared" si="28"/>
        <v>Apr</v>
      </c>
      <c r="AY39" s="57" t="str">
        <f t="shared" si="28"/>
        <v>May</v>
      </c>
      <c r="AZ39" s="57" t="str">
        <f t="shared" si="28"/>
        <v>Jun</v>
      </c>
      <c r="BA39" s="57" t="str">
        <f t="shared" si="28"/>
        <v>Jul</v>
      </c>
      <c r="BB39" s="57" t="str">
        <f t="shared" si="28"/>
        <v>Aug</v>
      </c>
      <c r="BC39" s="57" t="str">
        <f t="shared" si="28"/>
        <v>Sep</v>
      </c>
      <c r="BD39" s="57" t="str">
        <f t="shared" si="28"/>
        <v>Oct</v>
      </c>
      <c r="BE39" s="57" t="str">
        <f t="shared" si="28"/>
        <v>Nov</v>
      </c>
      <c r="BF39" s="57" t="str">
        <f t="shared" si="28"/>
        <v>Dec '15</v>
      </c>
      <c r="BG39" s="57" t="str">
        <f t="shared" si="28"/>
        <v>Jan '16</v>
      </c>
      <c r="BH39" s="57" t="str">
        <f t="shared" si="28"/>
        <v>Feb</v>
      </c>
      <c r="BI39" s="57" t="str">
        <f t="shared" si="28"/>
        <v>Mar</v>
      </c>
      <c r="BJ39" s="57" t="str">
        <f t="shared" si="28"/>
        <v>Apr</v>
      </c>
      <c r="BK39" s="57" t="str">
        <f t="shared" si="28"/>
        <v>May</v>
      </c>
      <c r="BL39" s="57" t="str">
        <f t="shared" si="28"/>
        <v>Jun</v>
      </c>
      <c r="BM39" s="57" t="str">
        <f t="shared" si="28"/>
        <v>Jul</v>
      </c>
      <c r="BN39" s="57" t="str">
        <f t="shared" si="28"/>
        <v>Aug</v>
      </c>
      <c r="BO39" s="57" t="str">
        <f t="shared" si="28"/>
        <v>Sep</v>
      </c>
      <c r="BP39" s="57" t="str">
        <f t="shared" si="28"/>
        <v>Oct</v>
      </c>
      <c r="BQ39" s="57" t="str">
        <f t="shared" si="28"/>
        <v>Nov</v>
      </c>
      <c r="BR39" s="57" t="str">
        <f t="shared" si="28"/>
        <v>Dec-16</v>
      </c>
      <c r="BS39" s="57" t="str">
        <f t="shared" si="28"/>
        <v>Jan-17</v>
      </c>
      <c r="BT39" s="57" t="str">
        <f t="shared" si="28"/>
        <v>Feb</v>
      </c>
      <c r="BU39" s="57" t="str">
        <f t="shared" si="28"/>
        <v>Mar</v>
      </c>
      <c r="BV39" s="57" t="str">
        <f t="shared" si="28"/>
        <v>Apr</v>
      </c>
      <c r="BW39" s="57" t="str">
        <f t="shared" si="28"/>
        <v>May</v>
      </c>
      <c r="BX39" s="57" t="str">
        <f t="shared" si="28"/>
        <v>Jun</v>
      </c>
      <c r="BY39" s="57" t="str">
        <f t="shared" si="28"/>
        <v>Jul</v>
      </c>
      <c r="BZ39" s="57" t="str">
        <f t="shared" si="28"/>
        <v>Aug</v>
      </c>
      <c r="CA39" s="57" t="str">
        <f t="shared" si="28"/>
        <v>Sep</v>
      </c>
      <c r="CB39" s="57" t="str">
        <f t="shared" si="28"/>
        <v>Oct</v>
      </c>
      <c r="CC39" s="57" t="str">
        <f t="shared" si="28"/>
        <v>Nov</v>
      </c>
      <c r="CD39" s="57" t="str">
        <f t="shared" si="28"/>
        <v>Dec</v>
      </c>
      <c r="CE39" s="57" t="str">
        <f t="shared" si="28"/>
        <v>Jan '18</v>
      </c>
      <c r="CF39" s="57" t="str">
        <f t="shared" si="28"/>
        <v>Feb</v>
      </c>
      <c r="CG39" s="57" t="str">
        <f t="shared" si="28"/>
        <v>Mar</v>
      </c>
      <c r="CH39" s="57" t="str">
        <f t="shared" si="28"/>
        <v>Apr</v>
      </c>
      <c r="CI39" s="57" t="str">
        <f t="shared" si="28"/>
        <v>May</v>
      </c>
      <c r="CJ39" s="57" t="str">
        <f t="shared" ref="CJ39:CO39" si="29">CK$1</f>
        <v>Jun</v>
      </c>
      <c r="CK39" s="57" t="str">
        <f t="shared" si="29"/>
        <v>Jul</v>
      </c>
      <c r="CL39" s="57" t="str">
        <f t="shared" si="29"/>
        <v>Aug</v>
      </c>
      <c r="CM39" s="57" t="str">
        <f t="shared" si="29"/>
        <v>Sep</v>
      </c>
      <c r="CN39" s="57" t="str">
        <f t="shared" si="29"/>
        <v>Oct</v>
      </c>
      <c r="CO39" s="57" t="str">
        <f t="shared" si="29"/>
        <v>Nov</v>
      </c>
      <c r="CP39" s="57" t="str">
        <f t="shared" ref="CP39:CX39" si="30">CQ$1</f>
        <v>Dec-18</v>
      </c>
      <c r="CQ39" s="57" t="str">
        <f t="shared" si="30"/>
        <v>Jan-19</v>
      </c>
      <c r="CR39" s="57" t="str">
        <f t="shared" si="30"/>
        <v>Feb-19</v>
      </c>
      <c r="CS39" s="57" t="str">
        <f t="shared" si="30"/>
        <v>Mar-19</v>
      </c>
      <c r="CT39" s="57" t="str">
        <f t="shared" si="30"/>
        <v>Apr-19</v>
      </c>
      <c r="CU39" s="57" t="str">
        <f t="shared" si="30"/>
        <v>May-19</v>
      </c>
      <c r="CV39" s="57" t="str">
        <f t="shared" si="30"/>
        <v>June-19</v>
      </c>
      <c r="CW39" s="57" t="str">
        <f t="shared" si="30"/>
        <v>July-19</v>
      </c>
      <c r="CX39" s="57" t="str">
        <f t="shared" si="30"/>
        <v>Aug-19</v>
      </c>
      <c r="DO39" s="88"/>
      <c r="DQ39" s="57" t="str">
        <f ca="1"/>
        <v>Aug</v>
      </c>
      <c r="DR39" s="57" t="str">
        <f ca="1"/>
        <v>Sep</v>
      </c>
      <c r="DS39" s="57" t="str">
        <f ca="1"/>
        <v>Oct</v>
      </c>
      <c r="DT39" s="57" t="str">
        <f ca="1"/>
        <v>Nov</v>
      </c>
      <c r="DU39" s="57" t="str">
        <f ca="1"/>
        <v>Dec-18</v>
      </c>
      <c r="DV39" s="57" t="str">
        <f ca="1"/>
        <v>Jan-19</v>
      </c>
      <c r="DW39" s="57" t="str">
        <f ca="1"/>
        <v>Feb-19</v>
      </c>
      <c r="DX39" s="57" t="str">
        <f ca="1"/>
        <v>Mar-19</v>
      </c>
      <c r="DY39" s="57" t="str">
        <f ca="1"/>
        <v>Apr-19</v>
      </c>
      <c r="DZ39" s="57" t="str">
        <f ca="1"/>
        <v>May-19</v>
      </c>
      <c r="EA39" s="57" t="str">
        <f ca="1"/>
        <v>June-19</v>
      </c>
      <c r="EB39" s="57" t="str">
        <f ca="1"/>
        <v>July-19</v>
      </c>
      <c r="EC39" s="57" t="str">
        <f ca="1"/>
        <v>Aug-19</v>
      </c>
    </row>
    <row r="40" spans="1:133" x14ac:dyDescent="0.3">
      <c r="A40" t="str">
        <f>A4</f>
        <v>Attackers: Activist/hacktivists</v>
      </c>
      <c r="B40">
        <f t="shared" ref="B40:CI40" si="31">C4</f>
        <v>1028.2074038575311</v>
      </c>
      <c r="C40" s="56">
        <f t="shared" si="31"/>
        <v>1058.7644506703687</v>
      </c>
      <c r="D40" s="56">
        <f t="shared" si="31"/>
        <v>1130.8976598402246</v>
      </c>
      <c r="E40" s="56">
        <f t="shared" si="31"/>
        <v>1175.3559391240976</v>
      </c>
      <c r="F40" s="56">
        <f t="shared" si="31"/>
        <v>1208.5724637536086</v>
      </c>
      <c r="G40" s="56">
        <f t="shared" si="31"/>
        <v>1237.4789989020869</v>
      </c>
      <c r="H40" s="56">
        <f t="shared" si="31"/>
        <v>1280.2193988733789</v>
      </c>
      <c r="I40" s="56">
        <f t="shared" si="31"/>
        <v>1300.960577245407</v>
      </c>
      <c r="J40" s="56">
        <f t="shared" si="31"/>
        <v>1335.8198255129453</v>
      </c>
      <c r="K40" s="56">
        <f t="shared" si="31"/>
        <v>1391.1336292547369</v>
      </c>
      <c r="L40" s="56">
        <f t="shared" si="31"/>
        <v>1427.5804872687295</v>
      </c>
      <c r="M40" s="56">
        <f t="shared" si="31"/>
        <v>1471.7255998566509</v>
      </c>
      <c r="N40" s="56">
        <f t="shared" si="31"/>
        <v>1508.9825107959093</v>
      </c>
      <c r="O40" s="56">
        <f t="shared" si="31"/>
        <v>1574.768068882694</v>
      </c>
      <c r="P40" s="56">
        <f t="shared" si="31"/>
        <v>1602.956824479041</v>
      </c>
      <c r="Q40" s="56">
        <f t="shared" si="31"/>
        <v>1621.9715117709204</v>
      </c>
      <c r="R40" s="56">
        <f t="shared" si="31"/>
        <v>1640.794955627932</v>
      </c>
      <c r="S40" s="56">
        <f t="shared" si="31"/>
        <v>1689.6622882377744</v>
      </c>
      <c r="T40" s="56">
        <f t="shared" si="31"/>
        <v>1777.2185198978816</v>
      </c>
      <c r="U40" s="56">
        <f t="shared" si="31"/>
        <v>1826.0092469151766</v>
      </c>
      <c r="V40" s="56">
        <f t="shared" si="31"/>
        <v>1929.4164350780879</v>
      </c>
      <c r="W40" s="56">
        <f t="shared" si="31"/>
        <v>1990.3264550219703</v>
      </c>
      <c r="X40" s="56">
        <f t="shared" si="31"/>
        <v>2063.7104864407434</v>
      </c>
      <c r="Y40" s="56">
        <f t="shared" si="31"/>
        <v>2119.1619863918495</v>
      </c>
      <c r="Z40" s="56">
        <f t="shared" si="31"/>
        <v>2187.1507480465548</v>
      </c>
      <c r="AA40" s="56">
        <f t="shared" si="31"/>
        <v>2228.8309703809268</v>
      </c>
      <c r="AB40" s="56">
        <f t="shared" si="31"/>
        <v>2259.7467052760039</v>
      </c>
      <c r="AC40" s="56">
        <f t="shared" si="31"/>
        <v>2279.1992115369421</v>
      </c>
      <c r="AD40" s="56">
        <f t="shared" si="31"/>
        <v>2337.9999843969363</v>
      </c>
      <c r="AE40" s="56">
        <f t="shared" si="31"/>
        <v>2369.6858528891271</v>
      </c>
      <c r="AF40" s="56">
        <f t="shared" si="31"/>
        <v>2392.7689992159962</v>
      </c>
      <c r="AG40" s="56">
        <f t="shared" si="31"/>
        <v>2415.4744243887253</v>
      </c>
      <c r="AH40" s="56">
        <f t="shared" si="31"/>
        <v>2459.2205122228825</v>
      </c>
      <c r="AI40" s="56">
        <f t="shared" si="31"/>
        <v>2474.6387722973923</v>
      </c>
      <c r="AJ40" s="56">
        <f t="shared" si="31"/>
        <v>2481.8429557823943</v>
      </c>
      <c r="AK40" s="56">
        <f t="shared" si="31"/>
        <v>2504.6468661172557</v>
      </c>
      <c r="AL40" s="56">
        <f t="shared" si="31"/>
        <v>2525.1167211911456</v>
      </c>
      <c r="AM40" s="56">
        <f t="shared" si="31"/>
        <v>2562.6964761530753</v>
      </c>
      <c r="AN40" s="56">
        <f t="shared" si="31"/>
        <v>2554.8952752576693</v>
      </c>
      <c r="AO40" s="56">
        <f t="shared" si="31"/>
        <v>2593.5075726390332</v>
      </c>
      <c r="AP40" s="56">
        <f t="shared" si="31"/>
        <v>2638.6650843850202</v>
      </c>
      <c r="AQ40" s="56">
        <f t="shared" si="31"/>
        <v>2689.4070948080653</v>
      </c>
      <c r="AR40" s="56">
        <f t="shared" si="31"/>
        <v>2741.3168455837172</v>
      </c>
      <c r="AS40" s="56">
        <f t="shared" si="31"/>
        <v>2761.2272801959684</v>
      </c>
      <c r="AT40" s="56">
        <f t="shared" si="31"/>
        <v>2900.8893224504914</v>
      </c>
      <c r="AU40" s="56">
        <f t="shared" si="31"/>
        <v>2981.0932038282299</v>
      </c>
      <c r="AV40" s="56">
        <f t="shared" si="31"/>
        <v>3018.590740230698</v>
      </c>
      <c r="AW40" s="56">
        <f t="shared" si="31"/>
        <v>3052.7416245985132</v>
      </c>
      <c r="AX40" s="56">
        <f t="shared" si="31"/>
        <v>3060.7857349029646</v>
      </c>
      <c r="AY40" s="56">
        <f t="shared" si="31"/>
        <v>3088.9091434733296</v>
      </c>
      <c r="AZ40" s="56">
        <f t="shared" si="31"/>
        <v>3087.0262364036571</v>
      </c>
      <c r="BA40" s="56">
        <f t="shared" si="31"/>
        <v>3145.985398704523</v>
      </c>
      <c r="BB40" s="56">
        <f t="shared" si="31"/>
        <v>3187.9002062892018</v>
      </c>
      <c r="BC40" s="56">
        <f t="shared" si="31"/>
        <v>3174.6449231134779</v>
      </c>
      <c r="BD40" s="56">
        <f t="shared" si="31"/>
        <v>3212.4628826444018</v>
      </c>
      <c r="BE40" s="56">
        <f t="shared" si="31"/>
        <v>3239.345261007144</v>
      </c>
      <c r="BF40" s="56">
        <f t="shared" si="31"/>
        <v>3285.5625852909898</v>
      </c>
      <c r="BG40" s="56">
        <f t="shared" si="31"/>
        <v>3319.5592356248335</v>
      </c>
      <c r="BH40" s="56">
        <f t="shared" si="31"/>
        <v>3283.4493921726048</v>
      </c>
      <c r="BI40" s="56">
        <f t="shared" si="31"/>
        <v>3289.9223240684755</v>
      </c>
      <c r="BJ40" s="56">
        <f t="shared" si="31"/>
        <v>3334.8756201487045</v>
      </c>
      <c r="BK40" s="56">
        <f t="shared" si="31"/>
        <v>3351.0512180358483</v>
      </c>
      <c r="BL40" s="56">
        <f t="shared" si="31"/>
        <v>3391.7399813813795</v>
      </c>
      <c r="BM40" s="56">
        <f t="shared" si="31"/>
        <v>3435.8834835039602</v>
      </c>
      <c r="BN40" s="56">
        <f t="shared" si="31"/>
        <v>3430.6815412985202</v>
      </c>
      <c r="BO40" s="56">
        <f t="shared" si="31"/>
        <v>3404.7897285024992</v>
      </c>
      <c r="BP40" s="56">
        <f t="shared" si="31"/>
        <v>3453.0078229289102</v>
      </c>
      <c r="BQ40" s="56">
        <f t="shared" si="31"/>
        <v>3453.0078229289102</v>
      </c>
      <c r="BR40" s="56">
        <f t="shared" si="31"/>
        <v>3430.064334048142</v>
      </c>
      <c r="BS40" s="56">
        <f t="shared" si="31"/>
        <v>3438.3729234520893</v>
      </c>
      <c r="BT40" s="56">
        <f t="shared" si="31"/>
        <v>3421.7758217735291</v>
      </c>
      <c r="BU40" s="56">
        <f t="shared" si="31"/>
        <v>3413.2320663632299</v>
      </c>
      <c r="BV40" s="56">
        <f t="shared" si="31"/>
        <v>3446.4236900160654</v>
      </c>
      <c r="BW40" s="56">
        <f t="shared" si="31"/>
        <v>3510.9458316945411</v>
      </c>
      <c r="BX40" s="56">
        <f t="shared" si="31"/>
        <v>3531.4862002090345</v>
      </c>
      <c r="BY40" s="56">
        <f t="shared" si="31"/>
        <v>3562.1797555824292</v>
      </c>
      <c r="BZ40" s="56">
        <f t="shared" si="31"/>
        <v>3585.831176027109</v>
      </c>
      <c r="CA40" s="56">
        <f t="shared" si="31"/>
        <v>3590.8149572629677</v>
      </c>
      <c r="CB40" s="56">
        <f t="shared" si="31"/>
        <v>3574.8202623549159</v>
      </c>
      <c r="CC40" s="56">
        <f t="shared" si="31"/>
        <v>3584.0774525161701</v>
      </c>
      <c r="CD40" s="56">
        <f t="shared" si="31"/>
        <v>3546.3687137569168</v>
      </c>
      <c r="CE40" s="56">
        <f t="shared" si="31"/>
        <v>3511.708790336781</v>
      </c>
      <c r="CF40" s="56">
        <f t="shared" si="31"/>
        <v>3480.2452097154287</v>
      </c>
      <c r="CG40" s="56">
        <f t="shared" si="31"/>
        <v>3499.6337124093643</v>
      </c>
      <c r="CH40" s="56">
        <f t="shared" ca="1" si="31"/>
        <v>2757.1280247192531</v>
      </c>
      <c r="CI40" s="56">
        <f t="shared" si="31"/>
        <v>3528.8269941678027</v>
      </c>
      <c r="CJ40" s="56">
        <f t="shared" ref="CJ40:CO40" si="32">CK4</f>
        <v>3517.8166224770571</v>
      </c>
      <c r="CK40" s="56">
        <f t="shared" si="32"/>
        <v>3507.2789869661178</v>
      </c>
      <c r="CL40" s="56">
        <f t="shared" si="32"/>
        <v>3483.751569109334</v>
      </c>
      <c r="CM40" s="56">
        <f t="shared" si="32"/>
        <v>3476.1864220982338</v>
      </c>
      <c r="CN40" s="56">
        <f t="shared" si="32"/>
        <v>3476.1864220982338</v>
      </c>
      <c r="CO40" s="56">
        <f t="shared" si="32"/>
        <v>3490.7007493734013</v>
      </c>
      <c r="CP40" s="56">
        <f t="shared" ref="CP40:CX40" si="33">CQ4</f>
        <v>3468.0093837149948</v>
      </c>
      <c r="CQ40" s="56">
        <f t="shared" si="33"/>
        <v>3440.3759895996809</v>
      </c>
      <c r="CR40" s="56">
        <f t="shared" si="33"/>
        <v>3469.1655795314973</v>
      </c>
      <c r="CS40" s="56">
        <f t="shared" si="33"/>
        <v>3479.8629672432553</v>
      </c>
      <c r="CT40" s="56">
        <f t="shared" si="33"/>
        <v>3410.1333620472215</v>
      </c>
      <c r="CU40" s="56">
        <f t="shared" si="33"/>
        <v>3423.2745148415966</v>
      </c>
      <c r="CV40" s="56">
        <f t="shared" si="33"/>
        <v>3402.5901398071919</v>
      </c>
      <c r="CW40" s="56">
        <f t="shared" si="33"/>
        <v>3378.3725189917545</v>
      </c>
      <c r="CX40" s="56">
        <f t="shared" si="33"/>
        <v>3378.3725189917545</v>
      </c>
      <c r="DO40" s="88"/>
      <c r="DQ40" s="56">
        <f ca="1"/>
        <v>3483.751569109334</v>
      </c>
      <c r="DR40" s="56">
        <f ca="1"/>
        <v>3476.1864220982338</v>
      </c>
      <c r="DS40" s="56">
        <f ca="1"/>
        <v>3476.1864220982338</v>
      </c>
      <c r="DT40" s="56">
        <f ca="1"/>
        <v>3490.7007493734013</v>
      </c>
      <c r="DU40" s="56">
        <f ca="1"/>
        <v>3468.0093837149948</v>
      </c>
      <c r="DV40" s="56">
        <f ca="1"/>
        <v>3440.3759895996809</v>
      </c>
      <c r="DW40" s="56">
        <f ca="1"/>
        <v>3469.1655795314973</v>
      </c>
      <c r="DX40" s="56">
        <f ca="1"/>
        <v>3479.8629672432553</v>
      </c>
      <c r="DY40" s="56">
        <f ca="1"/>
        <v>3410.1333620472215</v>
      </c>
      <c r="DZ40" s="56">
        <f ca="1"/>
        <v>3423.2745148415966</v>
      </c>
      <c r="EA40" s="56">
        <f ca="1"/>
        <v>3402.5901398071919</v>
      </c>
      <c r="EB40" s="56">
        <f ca="1"/>
        <v>3378.3725189917545</v>
      </c>
      <c r="EC40" s="56">
        <f ca="1"/>
        <v>3378.3725189917545</v>
      </c>
    </row>
    <row r="41" spans="1:133" x14ac:dyDescent="0.3">
      <c r="A41" t="s">
        <v>108</v>
      </c>
      <c r="C41" s="55">
        <f t="shared" ref="C41:M41" si="34">LN(C40)-LN(B40)</f>
        <v>2.9285714285714803E-2</v>
      </c>
      <c r="D41" s="55">
        <f t="shared" si="34"/>
        <v>6.5909090909090473E-2</v>
      </c>
      <c r="E41" s="55">
        <f t="shared" si="34"/>
        <v>3.8559322033898447E-2</v>
      </c>
      <c r="F41" s="55">
        <f t="shared" si="34"/>
        <v>2.7868852459016047E-2</v>
      </c>
      <c r="G41" s="55">
        <f t="shared" si="34"/>
        <v>2.3636363636364344E-2</v>
      </c>
      <c r="H41" s="55">
        <f t="shared" si="34"/>
        <v>3.3955223880596463E-2</v>
      </c>
      <c r="I41" s="55">
        <f t="shared" si="34"/>
        <v>1.6071428571428292E-2</v>
      </c>
      <c r="J41" s="55">
        <f t="shared" si="34"/>
        <v>2.6442307692308376E-2</v>
      </c>
      <c r="K41" s="55">
        <f t="shared" si="34"/>
        <v>4.0573770491802996E-2</v>
      </c>
      <c r="L41" s="55">
        <f t="shared" si="34"/>
        <v>2.5862068965516904E-2</v>
      </c>
      <c r="M41" s="55">
        <f t="shared" si="34"/>
        <v>3.045454545454529E-2</v>
      </c>
      <c r="N41" s="55">
        <f t="shared" ref="N41:AD41" si="35">LN(N40)-LN(M40)</f>
        <v>2.5000000000000355E-2</v>
      </c>
      <c r="O41" s="55">
        <f t="shared" si="35"/>
        <v>4.2672413793103381E-2</v>
      </c>
      <c r="P41" s="55">
        <f t="shared" si="35"/>
        <v>1.7741935483870819E-2</v>
      </c>
      <c r="Q41" s="55">
        <f t="shared" si="35"/>
        <v>1.1792452830189148E-2</v>
      </c>
      <c r="R41" s="55">
        <f t="shared" si="35"/>
        <v>1.1538461538461497E-2</v>
      </c>
      <c r="S41" s="55">
        <f t="shared" si="35"/>
        <v>2.934782608695663E-2</v>
      </c>
      <c r="T41" s="55">
        <f t="shared" si="35"/>
        <v>5.052083333333357E-2</v>
      </c>
      <c r="U41" s="55">
        <f t="shared" si="35"/>
        <v>2.7083333333332682E-2</v>
      </c>
      <c r="V41" s="55">
        <f t="shared" si="35"/>
        <v>5.508474576271194E-2</v>
      </c>
      <c r="W41" s="55">
        <f t="shared" si="35"/>
        <v>3.1081081081081763E-2</v>
      </c>
      <c r="X41" s="55">
        <f t="shared" si="35"/>
        <v>3.6206896551723489E-2</v>
      </c>
      <c r="Y41" s="55">
        <f t="shared" si="35"/>
        <v>2.6515151515151381E-2</v>
      </c>
      <c r="Z41" s="55">
        <f t="shared" si="35"/>
        <v>3.1578947368421595E-2</v>
      </c>
      <c r="AA41" s="55">
        <f t="shared" si="35"/>
        <v>1.8877551020407779E-2</v>
      </c>
      <c r="AB41" s="55">
        <f t="shared" si="35"/>
        <v>1.377551020408152E-2</v>
      </c>
      <c r="AC41" s="55">
        <f t="shared" si="35"/>
        <v>8.5714285714288962E-3</v>
      </c>
      <c r="AD41" s="55">
        <f t="shared" si="35"/>
        <v>2.5471698113207708E-2</v>
      </c>
      <c r="AE41" s="55">
        <f>LN(AE40)-LN(AD40)</f>
        <v>1.346153846153797E-2</v>
      </c>
      <c r="AF41" s="55">
        <f t="shared" ref="AF41:CI41" si="36">LN(AF40)-LN(AE40)</f>
        <v>9.6938775510206909E-3</v>
      </c>
      <c r="AG41" s="55">
        <f t="shared" si="36"/>
        <v>9.4444444444441444E-3</v>
      </c>
      <c r="AH41" s="55">
        <f t="shared" si="36"/>
        <v>1.7948717948717885E-2</v>
      </c>
      <c r="AI41" s="55">
        <f t="shared" si="36"/>
        <v>6.2500000000005329E-3</v>
      </c>
      <c r="AJ41" s="55">
        <f t="shared" si="36"/>
        <v>2.9069767441862737E-3</v>
      </c>
      <c r="AK41" s="55">
        <f t="shared" si="36"/>
        <v>9.1463414634143092E-3</v>
      </c>
      <c r="AL41" s="55">
        <f t="shared" si="36"/>
        <v>8.1395348837212111E-3</v>
      </c>
      <c r="AM41" s="55">
        <f t="shared" si="36"/>
        <v>1.477272727272716E-2</v>
      </c>
      <c r="AN41" s="55">
        <f t="shared" si="36"/>
        <v>-3.0487804878047697E-3</v>
      </c>
      <c r="AO41" s="55">
        <f t="shared" si="36"/>
        <v>1.499999999999968E-2</v>
      </c>
      <c r="AP41" s="55">
        <f t="shared" si="36"/>
        <v>1.7261904761904923E-2</v>
      </c>
      <c r="AQ41" s="55">
        <f t="shared" si="36"/>
        <v>1.904761904761898E-2</v>
      </c>
      <c r="AR41" s="55">
        <f t="shared" si="36"/>
        <v>1.9117647058823017E-2</v>
      </c>
      <c r="AS41" s="55">
        <f t="shared" si="36"/>
        <v>7.2368421052635412E-3</v>
      </c>
      <c r="AT41" s="55">
        <f t="shared" si="36"/>
        <v>4.9342105263157521E-2</v>
      </c>
      <c r="AU41" s="55">
        <f t="shared" si="36"/>
        <v>2.7272727272727337E-2</v>
      </c>
      <c r="AV41" s="55">
        <f t="shared" si="36"/>
        <v>1.2500000000001066E-2</v>
      </c>
      <c r="AW41" s="186">
        <f t="shared" si="36"/>
        <v>1.124999999999865E-2</v>
      </c>
      <c r="AX41" s="186">
        <f t="shared" si="36"/>
        <v>2.6315789473692064E-3</v>
      </c>
      <c r="AY41" s="186">
        <f t="shared" si="36"/>
        <v>9.146341463413421E-3</v>
      </c>
      <c r="AZ41" s="186">
        <f t="shared" si="36"/>
        <v>-6.0975609756042104E-4</v>
      </c>
      <c r="BA41" s="186">
        <f t="shared" si="36"/>
        <v>1.8918918918918948E-2</v>
      </c>
      <c r="BB41" s="186">
        <f t="shared" si="36"/>
        <v>1.3235294117647456E-2</v>
      </c>
      <c r="BC41" s="186">
        <f t="shared" si="36"/>
        <v>-4.1666666666664298E-3</v>
      </c>
      <c r="BD41" s="186">
        <f t="shared" si="36"/>
        <v>1.1842105263157876E-2</v>
      </c>
      <c r="BE41" s="186">
        <f t="shared" si="36"/>
        <v>8.3333333333328596E-3</v>
      </c>
      <c r="BF41" s="186">
        <f t="shared" si="36"/>
        <v>1.4166666666666217E-2</v>
      </c>
      <c r="BG41" s="186">
        <f t="shared" si="36"/>
        <v>1.0294117647060119E-2</v>
      </c>
      <c r="BH41" s="186">
        <f t="shared" si="36"/>
        <v>-1.0937500000000711E-2</v>
      </c>
      <c r="BI41" s="186">
        <f t="shared" si="36"/>
        <v>1.969441031940633E-3</v>
      </c>
      <c r="BJ41" s="186">
        <f t="shared" si="36"/>
        <v>1.3571428571427901E-2</v>
      </c>
      <c r="BK41" s="186">
        <f t="shared" si="36"/>
        <v>4.8387096774202831E-3</v>
      </c>
      <c r="BL41" s="186">
        <f t="shared" si="36"/>
        <v>1.2068965517240571E-2</v>
      </c>
      <c r="BM41" s="186">
        <f t="shared" si="36"/>
        <v>1.2931034482759785E-2</v>
      </c>
      <c r="BN41" s="186">
        <f t="shared" si="36"/>
        <v>-1.5151515151519135E-3</v>
      </c>
      <c r="BO41" s="186">
        <f t="shared" si="36"/>
        <v>-7.5757575757577911E-3</v>
      </c>
      <c r="BP41" s="186">
        <f t="shared" si="36"/>
        <v>1.4062499999999645E-2</v>
      </c>
      <c r="BQ41" s="186">
        <f t="shared" si="36"/>
        <v>0</v>
      </c>
      <c r="BR41" s="186">
        <f t="shared" si="36"/>
        <v>-6.6666666666659324E-3</v>
      </c>
      <c r="BS41" s="186">
        <f t="shared" si="36"/>
        <v>2.4193548387092534E-3</v>
      </c>
      <c r="BT41" s="186">
        <f t="shared" si="36"/>
        <v>-4.8387096774185068E-3</v>
      </c>
      <c r="BU41" s="186">
        <f t="shared" si="36"/>
        <v>-2.500000000001279E-3</v>
      </c>
      <c r="BV41" s="186">
        <f t="shared" si="36"/>
        <v>9.6774193548387899E-3</v>
      </c>
      <c r="BW41" s="186">
        <f t="shared" si="36"/>
        <v>1.8548387096775087E-2</v>
      </c>
      <c r="BX41" s="186">
        <f t="shared" si="36"/>
        <v>5.833333333333357E-3</v>
      </c>
      <c r="BY41" s="186">
        <f t="shared" si="36"/>
        <v>8.6538461538463451E-3</v>
      </c>
      <c r="BZ41" s="186">
        <f t="shared" si="36"/>
        <v>6.6176470588228398E-3</v>
      </c>
      <c r="CA41" s="186">
        <f t="shared" si="36"/>
        <v>1.3888888888882178E-3</v>
      </c>
      <c r="CB41" s="186">
        <f t="shared" si="36"/>
        <v>-4.4642857142846992E-3</v>
      </c>
      <c r="CC41" s="186">
        <f t="shared" si="36"/>
        <v>2.5862068965523122E-3</v>
      </c>
      <c r="CD41" s="186">
        <f t="shared" si="36"/>
        <v>-1.0576923076923705E-2</v>
      </c>
      <c r="CE41" s="186">
        <f t="shared" si="36"/>
        <v>-9.8214285714295357E-3</v>
      </c>
      <c r="CF41" s="186">
        <f t="shared" si="36"/>
        <v>-8.9999999999985647E-3</v>
      </c>
      <c r="CG41" s="186">
        <f t="shared" si="36"/>
        <v>5.5555555555546476E-3</v>
      </c>
      <c r="CH41" s="186">
        <f t="shared" ca="1" si="36"/>
        <v>-0.23846874221592085</v>
      </c>
      <c r="CI41" s="186">
        <f t="shared" ca="1" si="36"/>
        <v>0.24677595224726989</v>
      </c>
      <c r="CJ41" s="186">
        <f t="shared" ref="CJ41:CX41" si="37">LN(CJ40)-LN(CI40)</f>
        <v>-3.1250000000007105E-3</v>
      </c>
      <c r="CK41" s="186">
        <f t="shared" si="37"/>
        <v>-3.0000000000001137E-3</v>
      </c>
      <c r="CL41" s="186">
        <f t="shared" si="37"/>
        <v>-6.7307692307689848E-3</v>
      </c>
      <c r="CM41" s="186">
        <f t="shared" si="37"/>
        <v>-2.1739130434781373E-3</v>
      </c>
      <c r="CN41" s="186">
        <f t="shared" si="37"/>
        <v>0</v>
      </c>
      <c r="CO41" s="186">
        <f t="shared" si="37"/>
        <v>4.1666666666664298E-3</v>
      </c>
      <c r="CP41" s="186">
        <f t="shared" si="37"/>
        <v>-6.5217391304344119E-3</v>
      </c>
      <c r="CQ41" s="186">
        <f t="shared" si="37"/>
        <v>-8.0000000000008953E-3</v>
      </c>
      <c r="CR41" s="186">
        <f t="shared" si="37"/>
        <v>8.333333333334636E-3</v>
      </c>
      <c r="CS41" s="186">
        <f t="shared" si="37"/>
        <v>3.0788177339893252E-3</v>
      </c>
      <c r="CT41" s="186">
        <f t="shared" si="37"/>
        <v>-2.0241516146688454E-2</v>
      </c>
      <c r="CU41" s="186">
        <f t="shared" si="37"/>
        <v>3.8461538461547207E-3</v>
      </c>
      <c r="CV41" s="186">
        <f t="shared" si="37"/>
        <v>-6.0606060606058776E-3</v>
      </c>
      <c r="CW41" s="186">
        <f t="shared" si="37"/>
        <v>-7.1428571428580057E-3</v>
      </c>
      <c r="CX41" s="186">
        <f t="shared" si="37"/>
        <v>0</v>
      </c>
      <c r="DO41" s="88"/>
      <c r="DQ41" s="55">
        <f ca="1"/>
        <v>-6.7307692307689848E-3</v>
      </c>
      <c r="DR41" s="55">
        <f ca="1"/>
        <v>-2.1739130434781373E-3</v>
      </c>
      <c r="DS41" s="55">
        <f ca="1"/>
        <v>0</v>
      </c>
      <c r="DT41" s="55">
        <f ca="1"/>
        <v>4.1666666666664298E-3</v>
      </c>
      <c r="DU41" s="55">
        <f ca="1"/>
        <v>-6.5217391304344119E-3</v>
      </c>
      <c r="DV41" s="55">
        <f ca="1"/>
        <v>-8.0000000000008953E-3</v>
      </c>
      <c r="DW41" s="55">
        <f ca="1"/>
        <v>8.333333333334636E-3</v>
      </c>
      <c r="DX41" s="55">
        <f ca="1"/>
        <v>3.0788177339893252E-3</v>
      </c>
      <c r="DY41" s="55">
        <f ca="1"/>
        <v>-2.0241516146688454E-2</v>
      </c>
      <c r="DZ41" s="55">
        <f ca="1"/>
        <v>3.8461538461547207E-3</v>
      </c>
      <c r="EA41" s="55">
        <f ca="1"/>
        <v>-6.0606060606058776E-3</v>
      </c>
      <c r="EB41" s="55">
        <f ca="1"/>
        <v>-7.1428571428580057E-3</v>
      </c>
      <c r="EC41" s="186">
        <f ca="1"/>
        <v>0</v>
      </c>
    </row>
    <row r="42" spans="1:133" x14ac:dyDescent="0.3">
      <c r="C42" s="55"/>
      <c r="D42" s="55"/>
      <c r="E42" s="55"/>
      <c r="F42" s="55"/>
      <c r="G42" s="55"/>
      <c r="H42" s="55"/>
      <c r="I42" s="55"/>
      <c r="J42" s="55"/>
      <c r="K42" s="55"/>
      <c r="L42" s="55"/>
      <c r="M42" s="55"/>
      <c r="N42" s="55"/>
      <c r="O42" s="55"/>
      <c r="P42" s="55"/>
      <c r="Q42" s="55"/>
      <c r="R42" s="55"/>
      <c r="S42" s="55"/>
      <c r="T42" s="55"/>
      <c r="U42" s="55"/>
      <c r="V42" s="55"/>
      <c r="W42" s="55"/>
      <c r="X42" s="55"/>
      <c r="Y42" s="55"/>
      <c r="Z42" s="55"/>
      <c r="AA42" s="55"/>
      <c r="AB42" s="55"/>
      <c r="AC42" s="55"/>
      <c r="AD42" s="55"/>
      <c r="AE42" s="55"/>
      <c r="AF42" s="55"/>
      <c r="AG42" s="55"/>
      <c r="AH42" s="55"/>
      <c r="AI42" s="55"/>
      <c r="AJ42" s="55"/>
      <c r="AK42" s="55"/>
      <c r="AL42" s="55"/>
      <c r="AM42" s="55"/>
      <c r="AN42" s="55"/>
      <c r="AO42" s="55"/>
      <c r="AP42" s="55"/>
      <c r="AQ42" s="55"/>
      <c r="AR42" s="55"/>
      <c r="AS42" s="55"/>
      <c r="AT42" s="55"/>
      <c r="AU42" s="55"/>
      <c r="AV42" s="55"/>
      <c r="AW42" s="186"/>
      <c r="AX42" s="186"/>
      <c r="AY42" s="186"/>
      <c r="AZ42" s="186"/>
      <c r="BA42" s="186"/>
      <c r="BB42" s="186"/>
      <c r="BC42" s="186"/>
      <c r="BD42" s="186"/>
      <c r="BE42" s="186"/>
      <c r="BF42" s="186"/>
      <c r="BG42" s="186"/>
      <c r="BH42" s="186"/>
      <c r="BI42" s="186"/>
      <c r="BJ42" s="186"/>
      <c r="BK42" s="186"/>
      <c r="BL42" s="186"/>
      <c r="BM42" s="186"/>
      <c r="BN42" s="186"/>
      <c r="BO42" s="186"/>
      <c r="BP42" s="186"/>
      <c r="BQ42" s="186"/>
      <c r="BR42" s="186"/>
      <c r="BS42" s="186"/>
      <c r="BT42" s="186"/>
      <c r="BU42" s="186"/>
      <c r="BV42" s="186"/>
      <c r="BW42" s="186"/>
      <c r="BX42" s="186"/>
      <c r="BY42" s="186"/>
      <c r="BZ42" s="186"/>
      <c r="CA42" s="186"/>
      <c r="CB42" s="186"/>
      <c r="CC42" s="186"/>
      <c r="CD42" s="186"/>
      <c r="CE42" s="186"/>
      <c r="CF42" s="186"/>
      <c r="CG42" s="186"/>
      <c r="CH42" s="186"/>
      <c r="CI42" s="186"/>
      <c r="CJ42" s="186"/>
      <c r="CK42" s="186"/>
      <c r="CL42" s="186"/>
      <c r="CM42" s="186"/>
      <c r="CN42" s="186"/>
      <c r="CO42" s="186"/>
      <c r="CP42" s="186"/>
      <c r="CQ42" s="186"/>
      <c r="CR42" s="186"/>
      <c r="CS42" s="186"/>
      <c r="CT42" s="186"/>
      <c r="CU42" s="186"/>
      <c r="CV42" s="186"/>
      <c r="CW42" s="186"/>
      <c r="CX42" s="186"/>
      <c r="DO42" s="88"/>
      <c r="DQ42" s="55">
        <f ca="1"/>
        <v>0</v>
      </c>
      <c r="DR42" s="55">
        <f ca="1"/>
        <v>0</v>
      </c>
      <c r="DS42" s="55">
        <f ca="1"/>
        <v>0</v>
      </c>
      <c r="DT42" s="55">
        <f ca="1"/>
        <v>0</v>
      </c>
      <c r="DU42" s="55">
        <f ca="1"/>
        <v>0</v>
      </c>
      <c r="DV42" s="55">
        <f ca="1"/>
        <v>0</v>
      </c>
      <c r="DW42" s="55">
        <f ca="1"/>
        <v>0</v>
      </c>
      <c r="DX42" s="55">
        <f ca="1"/>
        <v>0</v>
      </c>
      <c r="DY42" s="55">
        <f ca="1"/>
        <v>0</v>
      </c>
      <c r="DZ42" s="55">
        <f ca="1"/>
        <v>0</v>
      </c>
      <c r="EA42" s="55">
        <f ca="1"/>
        <v>0</v>
      </c>
      <c r="EB42" s="55">
        <f ca="1"/>
        <v>0</v>
      </c>
      <c r="EC42" s="186">
        <f ca="1"/>
        <v>0</v>
      </c>
    </row>
    <row r="43" spans="1:133" x14ac:dyDescent="0.3">
      <c r="A43" t="str">
        <f>A44</f>
        <v>Attackers: Criminals</v>
      </c>
      <c r="C43" s="55"/>
      <c r="D43" s="55"/>
      <c r="E43" s="55"/>
      <c r="F43" s="55"/>
      <c r="G43" s="55"/>
      <c r="H43" s="55"/>
      <c r="I43" s="55"/>
      <c r="J43" s="55"/>
      <c r="K43" s="55"/>
      <c r="L43" s="55"/>
      <c r="M43" s="55"/>
      <c r="N43" s="55"/>
      <c r="O43" s="55"/>
      <c r="P43" s="55"/>
      <c r="Q43" s="55"/>
      <c r="R43" s="55"/>
      <c r="S43" s="55"/>
      <c r="T43" s="55"/>
      <c r="U43" s="55"/>
      <c r="V43" s="55"/>
      <c r="W43" s="55"/>
      <c r="X43" s="55"/>
      <c r="Y43" s="55"/>
      <c r="Z43" s="55"/>
      <c r="AA43" s="55"/>
      <c r="AB43" s="55"/>
      <c r="AC43" s="55"/>
      <c r="AD43" s="55"/>
      <c r="AE43" s="55"/>
      <c r="AF43" s="55"/>
      <c r="AG43" s="55"/>
      <c r="AH43" s="55"/>
      <c r="AI43" s="55"/>
      <c r="AJ43" s="55"/>
      <c r="AK43" s="55"/>
      <c r="AL43" s="55"/>
      <c r="AM43" s="55"/>
      <c r="AN43" s="55"/>
      <c r="AO43" s="55"/>
      <c r="AP43" s="55"/>
      <c r="AQ43" s="55"/>
      <c r="AR43" s="55"/>
      <c r="AS43" s="55"/>
      <c r="AT43" s="55"/>
      <c r="AU43" s="55"/>
      <c r="AV43" s="55"/>
      <c r="AW43" s="186"/>
      <c r="AX43" s="186"/>
      <c r="AY43" s="186"/>
      <c r="AZ43" s="186"/>
      <c r="BA43" s="186"/>
      <c r="BB43" s="186"/>
      <c r="BC43" s="186"/>
      <c r="BD43" s="186"/>
      <c r="BE43" s="186"/>
      <c r="BF43" s="186"/>
      <c r="BG43" s="186"/>
      <c r="BH43" s="186"/>
      <c r="BI43" s="186"/>
      <c r="BJ43" s="186"/>
      <c r="BK43" s="186"/>
      <c r="BL43" s="186"/>
      <c r="BM43" s="186"/>
      <c r="BN43" s="186"/>
      <c r="BO43" s="186"/>
      <c r="BP43" s="186"/>
      <c r="BQ43" s="186"/>
      <c r="BR43" s="186"/>
      <c r="BS43" s="186"/>
      <c r="BT43" s="186"/>
      <c r="BU43" s="186"/>
      <c r="BV43" s="186"/>
      <c r="BW43" s="186"/>
      <c r="BX43" s="186"/>
      <c r="BY43" s="186"/>
      <c r="BZ43" s="186"/>
      <c r="CA43" s="186"/>
      <c r="CB43" s="186"/>
      <c r="CC43" s="186"/>
      <c r="CD43" s="186"/>
      <c r="CE43" s="186"/>
      <c r="CF43" s="186"/>
      <c r="CG43" s="186"/>
      <c r="CH43" s="186"/>
      <c r="CI43" s="186"/>
      <c r="CJ43" s="186"/>
      <c r="CK43" s="186"/>
      <c r="CL43" s="186"/>
      <c r="CM43" s="186"/>
      <c r="CN43" s="186"/>
      <c r="CO43" s="186"/>
      <c r="CP43" s="186"/>
      <c r="CQ43" s="186"/>
      <c r="CR43" s="186"/>
      <c r="CS43" s="186"/>
      <c r="CT43" s="186"/>
      <c r="CU43" s="186"/>
      <c r="CV43" s="186"/>
      <c r="CW43" s="186"/>
      <c r="CX43" s="186"/>
      <c r="DO43" s="88"/>
      <c r="DQ43" s="55">
        <f ca="1"/>
        <v>0</v>
      </c>
      <c r="DR43" s="55">
        <f ca="1"/>
        <v>0</v>
      </c>
      <c r="DS43" s="55">
        <f ca="1"/>
        <v>0</v>
      </c>
      <c r="DT43" s="55">
        <f ca="1"/>
        <v>0</v>
      </c>
      <c r="DU43" s="55">
        <f ca="1"/>
        <v>0</v>
      </c>
      <c r="DV43" s="55">
        <f ca="1"/>
        <v>0</v>
      </c>
      <c r="DW43" s="55">
        <f ca="1"/>
        <v>0</v>
      </c>
      <c r="DX43" s="55">
        <f ca="1"/>
        <v>0</v>
      </c>
      <c r="DY43" s="55">
        <f ca="1"/>
        <v>0</v>
      </c>
      <c r="DZ43" s="55">
        <f ca="1"/>
        <v>0</v>
      </c>
      <c r="EA43" s="55">
        <f ca="1"/>
        <v>0</v>
      </c>
      <c r="EB43" s="55">
        <f ca="1"/>
        <v>0</v>
      </c>
      <c r="EC43" s="186">
        <f ca="1"/>
        <v>0</v>
      </c>
    </row>
    <row r="44" spans="1:133" x14ac:dyDescent="0.3">
      <c r="A44" t="str">
        <f>A45</f>
        <v>Attackers: Criminals</v>
      </c>
      <c r="B44" s="57" t="str">
        <f>C$1</f>
        <v>Apr</v>
      </c>
      <c r="C44" s="57" t="str">
        <f t="shared" ref="C44:N44" si="38">D$1</f>
        <v>May</v>
      </c>
      <c r="D44" s="57" t="str">
        <f t="shared" si="38"/>
        <v>Jun</v>
      </c>
      <c r="E44" s="57" t="str">
        <f t="shared" si="38"/>
        <v>Jul</v>
      </c>
      <c r="F44" s="57" t="str">
        <f t="shared" si="38"/>
        <v>Aug</v>
      </c>
      <c r="G44" s="57" t="str">
        <f t="shared" si="38"/>
        <v>Sep</v>
      </c>
      <c r="H44" s="57" t="str">
        <f t="shared" si="38"/>
        <v>Oct</v>
      </c>
      <c r="I44" s="57" t="str">
        <f t="shared" si="38"/>
        <v>Nov</v>
      </c>
      <c r="J44" s="57" t="str">
        <f t="shared" si="38"/>
        <v>Dec 2011</v>
      </c>
      <c r="K44" s="57" t="str">
        <f t="shared" si="38"/>
        <v>Jan 2012</v>
      </c>
      <c r="L44" s="57" t="str">
        <f t="shared" si="38"/>
        <v>Feb</v>
      </c>
      <c r="M44" s="57" t="str">
        <f t="shared" si="38"/>
        <v>Mar</v>
      </c>
      <c r="N44" s="57" t="str">
        <f t="shared" si="38"/>
        <v>Apr</v>
      </c>
      <c r="O44" s="57" t="str">
        <f t="shared" ref="O44:AD44" si="39">P$1</f>
        <v>May</v>
      </c>
      <c r="P44" s="57" t="str">
        <f t="shared" si="39"/>
        <v>Jun</v>
      </c>
      <c r="Q44" s="57" t="str">
        <f t="shared" si="39"/>
        <v>Jul</v>
      </c>
      <c r="R44" s="57" t="str">
        <f t="shared" si="39"/>
        <v>Aug</v>
      </c>
      <c r="S44" s="57" t="str">
        <f t="shared" si="39"/>
        <v>Sep</v>
      </c>
      <c r="T44" s="57" t="str">
        <f t="shared" si="39"/>
        <v>Oct</v>
      </c>
      <c r="U44" s="57" t="str">
        <f t="shared" si="39"/>
        <v>Nov</v>
      </c>
      <c r="V44" s="57" t="str">
        <f t="shared" si="39"/>
        <v>Dec 2012</v>
      </c>
      <c r="W44" s="57" t="str">
        <f t="shared" si="39"/>
        <v>Jan 2013</v>
      </c>
      <c r="X44" s="57" t="str">
        <f t="shared" si="39"/>
        <v>Feb</v>
      </c>
      <c r="Y44" s="57" t="str">
        <f t="shared" si="39"/>
        <v>Mar</v>
      </c>
      <c r="Z44" s="57" t="str">
        <f t="shared" si="39"/>
        <v>Apr</v>
      </c>
      <c r="AA44" s="57" t="str">
        <f t="shared" si="39"/>
        <v>May</v>
      </c>
      <c r="AB44" s="57" t="str">
        <f t="shared" si="39"/>
        <v>Jun</v>
      </c>
      <c r="AC44" s="57" t="str">
        <f t="shared" si="39"/>
        <v>Jul</v>
      </c>
      <c r="AD44" s="57" t="str">
        <f t="shared" si="39"/>
        <v>Aug</v>
      </c>
      <c r="AE44" s="57" t="str">
        <f>AF$1</f>
        <v>Sep</v>
      </c>
      <c r="AF44" s="57" t="str">
        <f t="shared" ref="AF44:AK44" si="40">AG$1</f>
        <v>Oct</v>
      </c>
      <c r="AG44" s="57" t="str">
        <f t="shared" si="40"/>
        <v>Nov</v>
      </c>
      <c r="AH44" s="57" t="str">
        <f t="shared" si="40"/>
        <v>Dec 2013</v>
      </c>
      <c r="AI44" s="57" t="str">
        <f t="shared" si="40"/>
        <v>Jan 2014</v>
      </c>
      <c r="AJ44" s="57" t="str">
        <f t="shared" si="40"/>
        <v>Feb</v>
      </c>
      <c r="AK44" s="57" t="str">
        <f t="shared" si="40"/>
        <v>Mar</v>
      </c>
      <c r="AL44" s="57" t="str">
        <f t="shared" ref="AL44:CI44" si="41">AM$1</f>
        <v>Apr</v>
      </c>
      <c r="AM44" s="57" t="str">
        <f t="shared" si="41"/>
        <v>May</v>
      </c>
      <c r="AN44" s="57" t="str">
        <f t="shared" si="41"/>
        <v>Jun</v>
      </c>
      <c r="AO44" s="57" t="str">
        <f t="shared" si="41"/>
        <v>Jul</v>
      </c>
      <c r="AP44" s="57" t="str">
        <f t="shared" si="41"/>
        <v>Aug</v>
      </c>
      <c r="AQ44" s="57" t="str">
        <f t="shared" si="41"/>
        <v>Sep</v>
      </c>
      <c r="AR44" s="57" t="str">
        <f t="shared" si="41"/>
        <v>Oct</v>
      </c>
      <c r="AS44" s="57" t="str">
        <f t="shared" si="41"/>
        <v>Nov</v>
      </c>
      <c r="AT44" s="57" t="str">
        <f t="shared" si="41"/>
        <v>Dec '14</v>
      </c>
      <c r="AU44" s="57" t="str">
        <f t="shared" si="41"/>
        <v>Jan '15</v>
      </c>
      <c r="AV44" s="57" t="str">
        <f t="shared" si="41"/>
        <v>Feb</v>
      </c>
      <c r="AW44" s="57" t="str">
        <f t="shared" si="41"/>
        <v>Mar</v>
      </c>
      <c r="AX44" s="57" t="str">
        <f t="shared" si="41"/>
        <v>Apr</v>
      </c>
      <c r="AY44" s="57" t="str">
        <f t="shared" si="41"/>
        <v>May</v>
      </c>
      <c r="AZ44" s="57" t="str">
        <f t="shared" si="41"/>
        <v>Jun</v>
      </c>
      <c r="BA44" s="57" t="str">
        <f t="shared" si="41"/>
        <v>Jul</v>
      </c>
      <c r="BB44" s="57" t="str">
        <f t="shared" si="41"/>
        <v>Aug</v>
      </c>
      <c r="BC44" s="57" t="str">
        <f t="shared" si="41"/>
        <v>Sep</v>
      </c>
      <c r="BD44" s="57" t="str">
        <f t="shared" si="41"/>
        <v>Oct</v>
      </c>
      <c r="BE44" s="57" t="str">
        <f t="shared" si="41"/>
        <v>Nov</v>
      </c>
      <c r="BF44" s="57" t="str">
        <f t="shared" si="41"/>
        <v>Dec '15</v>
      </c>
      <c r="BG44" s="57" t="str">
        <f t="shared" si="41"/>
        <v>Jan '16</v>
      </c>
      <c r="BH44" s="57" t="str">
        <f t="shared" si="41"/>
        <v>Feb</v>
      </c>
      <c r="BI44" s="57" t="str">
        <f t="shared" si="41"/>
        <v>Mar</v>
      </c>
      <c r="BJ44" s="57" t="str">
        <f t="shared" si="41"/>
        <v>Apr</v>
      </c>
      <c r="BK44" s="57" t="str">
        <f t="shared" si="41"/>
        <v>May</v>
      </c>
      <c r="BL44" s="57" t="str">
        <f t="shared" si="41"/>
        <v>Jun</v>
      </c>
      <c r="BM44" s="57" t="str">
        <f t="shared" si="41"/>
        <v>Jul</v>
      </c>
      <c r="BN44" s="57" t="str">
        <f t="shared" si="41"/>
        <v>Aug</v>
      </c>
      <c r="BO44" s="57" t="str">
        <f t="shared" si="41"/>
        <v>Sep</v>
      </c>
      <c r="BP44" s="57" t="str">
        <f t="shared" si="41"/>
        <v>Oct</v>
      </c>
      <c r="BQ44" s="57" t="str">
        <f t="shared" si="41"/>
        <v>Nov</v>
      </c>
      <c r="BR44" s="57" t="str">
        <f t="shared" si="41"/>
        <v>Dec-16</v>
      </c>
      <c r="BS44" s="57" t="str">
        <f t="shared" si="41"/>
        <v>Jan-17</v>
      </c>
      <c r="BT44" s="57" t="str">
        <f t="shared" si="41"/>
        <v>Feb</v>
      </c>
      <c r="BU44" s="57" t="str">
        <f t="shared" si="41"/>
        <v>Mar</v>
      </c>
      <c r="BV44" s="57" t="str">
        <f t="shared" si="41"/>
        <v>Apr</v>
      </c>
      <c r="BW44" s="57" t="str">
        <f t="shared" si="41"/>
        <v>May</v>
      </c>
      <c r="BX44" s="57" t="str">
        <f t="shared" si="41"/>
        <v>Jun</v>
      </c>
      <c r="BY44" s="57" t="str">
        <f t="shared" si="41"/>
        <v>Jul</v>
      </c>
      <c r="BZ44" s="57" t="str">
        <f t="shared" si="41"/>
        <v>Aug</v>
      </c>
      <c r="CA44" s="57" t="str">
        <f t="shared" si="41"/>
        <v>Sep</v>
      </c>
      <c r="CB44" s="57" t="str">
        <f t="shared" si="41"/>
        <v>Oct</v>
      </c>
      <c r="CC44" s="57" t="str">
        <f t="shared" si="41"/>
        <v>Nov</v>
      </c>
      <c r="CD44" s="57" t="str">
        <f t="shared" si="41"/>
        <v>Dec</v>
      </c>
      <c r="CE44" s="57" t="str">
        <f t="shared" si="41"/>
        <v>Jan '18</v>
      </c>
      <c r="CF44" s="57" t="str">
        <f t="shared" si="41"/>
        <v>Feb</v>
      </c>
      <c r="CG44" s="57" t="str">
        <f t="shared" si="41"/>
        <v>Mar</v>
      </c>
      <c r="CH44" s="57" t="str">
        <f t="shared" si="41"/>
        <v>Apr</v>
      </c>
      <c r="CI44" s="57" t="str">
        <f t="shared" si="41"/>
        <v>May</v>
      </c>
      <c r="CJ44" s="57" t="str">
        <f t="shared" ref="CJ44:CO44" si="42">CK$1</f>
        <v>Jun</v>
      </c>
      <c r="CK44" s="57" t="str">
        <f t="shared" si="42"/>
        <v>Jul</v>
      </c>
      <c r="CL44" s="57" t="str">
        <f t="shared" si="42"/>
        <v>Aug</v>
      </c>
      <c r="CM44" s="57" t="str">
        <f t="shared" si="42"/>
        <v>Sep</v>
      </c>
      <c r="CN44" s="57" t="str">
        <f t="shared" si="42"/>
        <v>Oct</v>
      </c>
      <c r="CO44" s="57" t="str">
        <f t="shared" si="42"/>
        <v>Nov</v>
      </c>
      <c r="CP44" s="57" t="str">
        <f t="shared" ref="CP44:CX44" si="43">CQ$1</f>
        <v>Dec-18</v>
      </c>
      <c r="CQ44" s="57" t="str">
        <f t="shared" si="43"/>
        <v>Jan-19</v>
      </c>
      <c r="CR44" s="57" t="str">
        <f t="shared" si="43"/>
        <v>Feb-19</v>
      </c>
      <c r="CS44" s="57" t="str">
        <f t="shared" si="43"/>
        <v>Mar-19</v>
      </c>
      <c r="CT44" s="57" t="str">
        <f t="shared" si="43"/>
        <v>Apr-19</v>
      </c>
      <c r="CU44" s="57" t="str">
        <f t="shared" si="43"/>
        <v>May-19</v>
      </c>
      <c r="CV44" s="57" t="str">
        <f t="shared" si="43"/>
        <v>June-19</v>
      </c>
      <c r="CW44" s="57" t="str">
        <f t="shared" si="43"/>
        <v>July-19</v>
      </c>
      <c r="CX44" s="57" t="str">
        <f t="shared" si="43"/>
        <v>Aug-19</v>
      </c>
      <c r="DO44" s="88"/>
      <c r="DQ44" s="57" t="str">
        <f ca="1"/>
        <v>Aug</v>
      </c>
      <c r="DR44" s="57" t="str">
        <f ca="1"/>
        <v>Sep</v>
      </c>
      <c r="DS44" s="57" t="str">
        <f ca="1"/>
        <v>Oct</v>
      </c>
      <c r="DT44" s="57" t="str">
        <f ca="1"/>
        <v>Nov</v>
      </c>
      <c r="DU44" s="57" t="str">
        <f ca="1"/>
        <v>Dec-18</v>
      </c>
      <c r="DV44" s="57" t="str">
        <f ca="1"/>
        <v>Jan-19</v>
      </c>
      <c r="DW44" s="57" t="str">
        <f ca="1"/>
        <v>Feb-19</v>
      </c>
      <c r="DX44" s="57" t="str">
        <f ca="1"/>
        <v>Mar-19</v>
      </c>
      <c r="DY44" s="57" t="str">
        <f ca="1"/>
        <v>Apr-19</v>
      </c>
      <c r="DZ44" s="57" t="str">
        <f ca="1"/>
        <v>May-19</v>
      </c>
      <c r="EA44" s="57" t="str">
        <f ca="1"/>
        <v>June-19</v>
      </c>
      <c r="EB44" s="57" t="str">
        <f ca="1"/>
        <v>July-19</v>
      </c>
      <c r="EC44" s="57" t="str">
        <f ca="1"/>
        <v>Aug-19</v>
      </c>
    </row>
    <row r="45" spans="1:133" x14ac:dyDescent="0.3">
      <c r="A45" t="str">
        <f>A5</f>
        <v>Attackers: Criminals</v>
      </c>
      <c r="B45">
        <f t="shared" ref="B45:CI45" si="44">C5</f>
        <v>1000</v>
      </c>
      <c r="C45" s="56">
        <f t="shared" si="44"/>
        <v>1000</v>
      </c>
      <c r="D45" s="56">
        <f t="shared" si="44"/>
        <v>1000</v>
      </c>
      <c r="E45" s="56">
        <f t="shared" si="44"/>
        <v>1000</v>
      </c>
      <c r="F45" s="56">
        <f t="shared" si="44"/>
        <v>1000</v>
      </c>
      <c r="G45" s="56">
        <f t="shared" si="44"/>
        <v>1000</v>
      </c>
      <c r="H45" s="56">
        <f t="shared" si="44"/>
        <v>1000</v>
      </c>
      <c r="I45" s="56">
        <f t="shared" si="44"/>
        <v>1000</v>
      </c>
      <c r="J45" s="56">
        <f t="shared" si="44"/>
        <v>1000</v>
      </c>
      <c r="K45" s="56">
        <f t="shared" si="44"/>
        <v>1000</v>
      </c>
      <c r="L45" s="56">
        <f t="shared" si="44"/>
        <v>1000</v>
      </c>
      <c r="M45" s="56">
        <f t="shared" si="44"/>
        <v>1000</v>
      </c>
      <c r="N45" s="56">
        <f t="shared" si="44"/>
        <v>1000</v>
      </c>
      <c r="O45" s="56">
        <f t="shared" si="44"/>
        <v>1023.1077691270353</v>
      </c>
      <c r="P45" s="56">
        <f t="shared" si="44"/>
        <v>1056.6493299534172</v>
      </c>
      <c r="Q45" s="56">
        <f t="shared" si="44"/>
        <v>1093.6676389976083</v>
      </c>
      <c r="R45" s="56">
        <f t="shared" si="44"/>
        <v>1112.7612585947879</v>
      </c>
      <c r="S45" s="56">
        <f t="shared" si="44"/>
        <v>1132.8984279727015</v>
      </c>
      <c r="T45" s="56">
        <f t="shared" si="44"/>
        <v>1164.6067727843697</v>
      </c>
      <c r="U45" s="56">
        <f t="shared" si="44"/>
        <v>1181.7150663220482</v>
      </c>
      <c r="V45" s="56">
        <f t="shared" si="44"/>
        <v>1221.4243487705992</v>
      </c>
      <c r="W45" s="56">
        <f t="shared" si="44"/>
        <v>1261.6874981559488</v>
      </c>
      <c r="X45" s="56">
        <f t="shared" si="44"/>
        <v>1299.2152833268499</v>
      </c>
      <c r="Y45" s="56">
        <f t="shared" si="44"/>
        <v>1340.2029531395733</v>
      </c>
      <c r="Z45" s="56">
        <f t="shared" si="44"/>
        <v>1366.3176927607101</v>
      </c>
      <c r="AA45" s="56">
        <f t="shared" si="44"/>
        <v>1393.7769116664201</v>
      </c>
      <c r="AB45" s="56">
        <f t="shared" si="44"/>
        <v>1433.4419200676473</v>
      </c>
      <c r="AC45" s="56">
        <f t="shared" si="44"/>
        <v>1456.1453528747693</v>
      </c>
      <c r="AD45" s="56">
        <f t="shared" si="44"/>
        <v>1485.2811721064247</v>
      </c>
      <c r="AE45" s="56">
        <f t="shared" si="44"/>
        <v>1520.9300831510745</v>
      </c>
      <c r="AF45" s="56">
        <f t="shared" si="44"/>
        <v>1557.0475506323294</v>
      </c>
      <c r="AG45" s="56">
        <f t="shared" si="44"/>
        <v>1595.577718696177</v>
      </c>
      <c r="AH45" s="56">
        <f t="shared" si="44"/>
        <v>1652.8354820438581</v>
      </c>
      <c r="AI45" s="56">
        <f t="shared" si="44"/>
        <v>1725.8530563361774</v>
      </c>
      <c r="AJ45" s="56">
        <f t="shared" si="44"/>
        <v>1761.3319117186904</v>
      </c>
      <c r="AK45" s="56">
        <f t="shared" si="44"/>
        <v>1805.9202413473718</v>
      </c>
      <c r="AL45" s="56">
        <f t="shared" si="44"/>
        <v>1880.9330657442763</v>
      </c>
      <c r="AM45" s="56">
        <f t="shared" si="44"/>
        <v>1914.3566279171368</v>
      </c>
      <c r="AN45" s="56">
        <f t="shared" si="44"/>
        <v>1942.57759419076</v>
      </c>
      <c r="AO45" s="56">
        <f t="shared" si="44"/>
        <v>1987.4907050844711</v>
      </c>
      <c r="AP45" s="56">
        <f t="shared" si="44"/>
        <v>2035.3797578078556</v>
      </c>
      <c r="AQ45" s="56">
        <f t="shared" si="44"/>
        <v>2121.9788673889343</v>
      </c>
      <c r="AR45" s="56">
        <f t="shared" si="44"/>
        <v>2206.3061009302028</v>
      </c>
      <c r="AS45" s="56">
        <f t="shared" si="44"/>
        <v>2265.1374898959471</v>
      </c>
      <c r="AT45" s="56">
        <f t="shared" si="44"/>
        <v>2350.1462594817108</v>
      </c>
      <c r="AU45" s="56">
        <f t="shared" si="44"/>
        <v>2416.4957979145647</v>
      </c>
      <c r="AV45" s="56">
        <f t="shared" si="44"/>
        <v>2537.0517636919594</v>
      </c>
      <c r="AW45" s="56">
        <f t="shared" si="44"/>
        <v>2633.9975782825959</v>
      </c>
      <c r="AX45" s="56">
        <f t="shared" si="44"/>
        <v>2670.6408795071839</v>
      </c>
      <c r="AY45" s="56">
        <f t="shared" si="44"/>
        <v>2710.0107989309927</v>
      </c>
      <c r="AZ45" s="56">
        <f t="shared" si="44"/>
        <v>2787.0993631066367</v>
      </c>
      <c r="BA45" s="56">
        <f t="shared" si="44"/>
        <v>2848.0171686181143</v>
      </c>
      <c r="BB45" s="56">
        <f t="shared" si="44"/>
        <v>2952.5004857270546</v>
      </c>
      <c r="BC45" s="56">
        <f t="shared" si="44"/>
        <v>2995.8732757196726</v>
      </c>
      <c r="BD45" s="56">
        <f t="shared" si="44"/>
        <v>3059.6128810957707</v>
      </c>
      <c r="BE45" s="56">
        <f t="shared" si="44"/>
        <v>3108.1544924211366</v>
      </c>
      <c r="BF45" s="56">
        <f t="shared" si="44"/>
        <v>3168.3020260793064</v>
      </c>
      <c r="BG45" s="56">
        <f t="shared" si="44"/>
        <v>3255.681709439536</v>
      </c>
      <c r="BH45" s="56">
        <f t="shared" si="44"/>
        <v>3286.3472455653555</v>
      </c>
      <c r="BI45" s="56">
        <f t="shared" si="44"/>
        <v>3372.932431314473</v>
      </c>
      <c r="BJ45" s="56">
        <f t="shared" si="44"/>
        <v>3498.0689759539159</v>
      </c>
      <c r="BK45" s="56">
        <f t="shared" si="44"/>
        <v>3572.189942601015</v>
      </c>
      <c r="BL45" s="56">
        <f t="shared" si="44"/>
        <v>3742.4128900111627</v>
      </c>
      <c r="BM45" s="56">
        <f t="shared" si="44"/>
        <v>3860.3777597839721</v>
      </c>
      <c r="BN45" s="56">
        <f t="shared" si="44"/>
        <v>3904.4958852850687</v>
      </c>
      <c r="BO45" s="56">
        <f t="shared" si="44"/>
        <v>3982.1650347652503</v>
      </c>
      <c r="BP45" s="56">
        <f t="shared" si="44"/>
        <v>4127.8766646271624</v>
      </c>
      <c r="BQ45" s="56">
        <f t="shared" si="44"/>
        <v>4182.8734730047154</v>
      </c>
      <c r="BR45" s="56">
        <f t="shared" si="44"/>
        <v>4224.9120503003469</v>
      </c>
      <c r="BS45" s="56">
        <f t="shared" si="44"/>
        <v>4262.557839225964</v>
      </c>
      <c r="BT45" s="56">
        <f t="shared" si="44"/>
        <v>4304.0086438730623</v>
      </c>
      <c r="BU45" s="56">
        <f t="shared" si="44"/>
        <v>4329.1887314826881</v>
      </c>
      <c r="BV45" s="56">
        <f t="shared" si="44"/>
        <v>4410.2375385387595</v>
      </c>
      <c r="BW45" s="56">
        <f t="shared" si="44"/>
        <v>4610.2560157300341</v>
      </c>
      <c r="BX45" s="56">
        <f t="shared" si="44"/>
        <v>4723.0277055995703</v>
      </c>
      <c r="BY45" s="56">
        <f t="shared" si="44"/>
        <v>4814.7341277565656</v>
      </c>
      <c r="BZ45" s="56">
        <f t="shared" si="44"/>
        <v>4904.0587529042778</v>
      </c>
      <c r="CA45" s="56">
        <f t="shared" si="44"/>
        <v>5007.2983217219262</v>
      </c>
      <c r="CB45" s="56">
        <f t="shared" si="44"/>
        <v>5092.9681704580071</v>
      </c>
      <c r="CC45" s="56">
        <f t="shared" si="44"/>
        <v>5258.0348271868588</v>
      </c>
      <c r="CD45" s="56">
        <f t="shared" si="44"/>
        <v>5334.4214085434251</v>
      </c>
      <c r="CE45" s="56">
        <f t="shared" si="44"/>
        <v>5353.5069746554709</v>
      </c>
      <c r="CF45" s="56">
        <f t="shared" si="44"/>
        <v>5380.3415400368804</v>
      </c>
      <c r="CG45" s="56">
        <f t="shared" si="44"/>
        <v>5410.3155103054378</v>
      </c>
      <c r="CH45" s="56">
        <f t="shared" ca="1" si="44"/>
        <v>2939.2810739686188</v>
      </c>
      <c r="CI45" s="56">
        <f t="shared" si="44"/>
        <v>5584.7921881585216</v>
      </c>
      <c r="CJ45" s="56">
        <f t="shared" ref="CJ45:CO45" si="45">CK5</f>
        <v>5690.4949079432527</v>
      </c>
      <c r="CK45" s="56">
        <f t="shared" si="45"/>
        <v>5834.5504723814847</v>
      </c>
      <c r="CL45" s="56">
        <f t="shared" si="45"/>
        <v>5970.7595432185017</v>
      </c>
      <c r="CM45" s="56">
        <f t="shared" si="45"/>
        <v>6088.7290378966654</v>
      </c>
      <c r="CN45" s="56">
        <f t="shared" si="45"/>
        <v>6063.4121137914653</v>
      </c>
      <c r="CO45" s="56">
        <f t="shared" si="45"/>
        <v>6152.4847833884733</v>
      </c>
      <c r="CP45" s="56">
        <f t="shared" ref="CP45:CX45" si="46">CQ5</f>
        <v>6192.7408111210452</v>
      </c>
      <c r="CQ45" s="56">
        <f t="shared" si="46"/>
        <v>6317.8424739440688</v>
      </c>
      <c r="CR45" s="56">
        <f t="shared" si="46"/>
        <v>6370.7111413887069</v>
      </c>
      <c r="CS45" s="56">
        <f t="shared" si="46"/>
        <v>6153.2600971489301</v>
      </c>
      <c r="CT45" s="56">
        <f t="shared" si="46"/>
        <v>6483.5657320408773</v>
      </c>
      <c r="CU45" s="56">
        <f t="shared" si="46"/>
        <v>6634.9262298636941</v>
      </c>
      <c r="CV45" s="56">
        <f t="shared" si="46"/>
        <v>6700.5930287808469</v>
      </c>
      <c r="CW45" s="56">
        <f t="shared" si="46"/>
        <v>6688.6383610737776</v>
      </c>
      <c r="CX45" s="56">
        <f t="shared" si="46"/>
        <v>6688.6383610737776</v>
      </c>
      <c r="CZ45" t="str">
        <f>A49</f>
        <v>Attackers: Nation states</v>
      </c>
      <c r="DG45" t="str">
        <f>A54</f>
        <v>Weapons: Botnets</v>
      </c>
      <c r="DO45" s="88"/>
      <c r="DQ45" s="56">
        <f ca="1"/>
        <v>5970.7595432185017</v>
      </c>
      <c r="DR45" s="56">
        <f ca="1"/>
        <v>6088.7290378966654</v>
      </c>
      <c r="DS45" s="56">
        <f ca="1"/>
        <v>6063.4121137914653</v>
      </c>
      <c r="DT45" s="56">
        <f ca="1"/>
        <v>6152.4847833884733</v>
      </c>
      <c r="DU45" s="56">
        <f ca="1"/>
        <v>6192.7408111210452</v>
      </c>
      <c r="DV45" s="56">
        <f ca="1"/>
        <v>6317.8424739440688</v>
      </c>
      <c r="DW45" s="56">
        <f ca="1"/>
        <v>6370.7111413887069</v>
      </c>
      <c r="DX45" s="56">
        <f ca="1"/>
        <v>6153.2600971489301</v>
      </c>
      <c r="DY45" s="56">
        <f ca="1"/>
        <v>6483.5657320408773</v>
      </c>
      <c r="DZ45" s="56">
        <f ca="1"/>
        <v>6634.9262298636941</v>
      </c>
      <c r="EA45" s="56">
        <f ca="1"/>
        <v>6700.5930287808469</v>
      </c>
      <c r="EB45" s="56">
        <f ca="1"/>
        <v>6688.6383610737776</v>
      </c>
      <c r="EC45" s="56">
        <f ca="1"/>
        <v>6688.6383610737776</v>
      </c>
    </row>
    <row r="46" spans="1:133" x14ac:dyDescent="0.3">
      <c r="A46" t="s">
        <v>108</v>
      </c>
      <c r="C46" s="55">
        <f t="shared" ref="C46:M46" si="47">LN(C45)-LN(B45)</f>
        <v>0</v>
      </c>
      <c r="D46" s="55">
        <f t="shared" si="47"/>
        <v>0</v>
      </c>
      <c r="E46" s="55">
        <f t="shared" si="47"/>
        <v>0</v>
      </c>
      <c r="F46" s="55">
        <f t="shared" si="47"/>
        <v>0</v>
      </c>
      <c r="G46" s="55">
        <f t="shared" si="47"/>
        <v>0</v>
      </c>
      <c r="H46" s="55">
        <f t="shared" si="47"/>
        <v>0</v>
      </c>
      <c r="I46" s="55">
        <f t="shared" si="47"/>
        <v>0</v>
      </c>
      <c r="J46" s="55">
        <f t="shared" si="47"/>
        <v>0</v>
      </c>
      <c r="K46" s="55">
        <f t="shared" si="47"/>
        <v>0</v>
      </c>
      <c r="L46" s="55">
        <f t="shared" si="47"/>
        <v>0</v>
      </c>
      <c r="M46" s="55">
        <f t="shared" si="47"/>
        <v>0</v>
      </c>
      <c r="N46" s="55">
        <f t="shared" ref="N46:AD46" si="48">LN(N45)-LN(M45)</f>
        <v>0</v>
      </c>
      <c r="O46" s="55">
        <f t="shared" si="48"/>
        <v>2.2844827586206762E-2</v>
      </c>
      <c r="P46" s="55">
        <f t="shared" si="48"/>
        <v>3.2258064516129004E-2</v>
      </c>
      <c r="Q46" s="55">
        <f t="shared" si="48"/>
        <v>3.4433962264150964E-2</v>
      </c>
      <c r="R46" s="55">
        <f t="shared" si="48"/>
        <v>1.730769230769269E-2</v>
      </c>
      <c r="S46" s="55">
        <f t="shared" si="48"/>
        <v>1.7934782608695521E-2</v>
      </c>
      <c r="T46" s="55">
        <f t="shared" si="48"/>
        <v>2.760416666666643E-2</v>
      </c>
      <c r="U46" s="55">
        <f t="shared" si="48"/>
        <v>1.4583333333333393E-2</v>
      </c>
      <c r="V46" s="55">
        <f t="shared" si="48"/>
        <v>3.3050847457626986E-2</v>
      </c>
      <c r="W46" s="55">
        <f t="shared" si="48"/>
        <v>3.2432432432432989E-2</v>
      </c>
      <c r="X46" s="55">
        <f t="shared" si="48"/>
        <v>2.9310344827585766E-2</v>
      </c>
      <c r="Y46" s="55">
        <f t="shared" si="48"/>
        <v>3.1060606060606233E-2</v>
      </c>
      <c r="Z46" s="55">
        <f t="shared" si="48"/>
        <v>1.9298245614034926E-2</v>
      </c>
      <c r="AA46" s="55">
        <f t="shared" si="48"/>
        <v>1.9897959183674097E-2</v>
      </c>
      <c r="AB46" s="55">
        <f t="shared" si="48"/>
        <v>2.8061224489795755E-2</v>
      </c>
      <c r="AC46" s="55">
        <f t="shared" si="48"/>
        <v>1.5714285714286014E-2</v>
      </c>
      <c r="AD46" s="55">
        <f t="shared" si="48"/>
        <v>1.981132075471681E-2</v>
      </c>
      <c r="AE46" s="55">
        <f>LN(AE45)-LN(AD45)</f>
        <v>2.3717948717949078E-2</v>
      </c>
      <c r="AF46" s="55">
        <f t="shared" ref="AF46:CI46" si="49">LN(AF45)-LN(AE45)</f>
        <v>2.3469387755101323E-2</v>
      </c>
      <c r="AG46" s="55">
        <f t="shared" si="49"/>
        <v>2.4444444444444713E-2</v>
      </c>
      <c r="AH46" s="55">
        <f t="shared" si="49"/>
        <v>3.5256410256410575E-2</v>
      </c>
      <c r="AI46" s="55">
        <f t="shared" si="49"/>
        <v>4.322916666666643E-2</v>
      </c>
      <c r="AJ46" s="55">
        <f t="shared" si="49"/>
        <v>2.034883720930214E-2</v>
      </c>
      <c r="AK46" s="55">
        <f t="shared" si="49"/>
        <v>2.5000000000000355E-2</v>
      </c>
      <c r="AL46" s="55">
        <f t="shared" si="49"/>
        <v>4.0697674418604279E-2</v>
      </c>
      <c r="AM46" s="55">
        <f t="shared" si="49"/>
        <v>1.7613636363636331E-2</v>
      </c>
      <c r="AN46" s="55">
        <f t="shared" si="49"/>
        <v>1.4634146341463428E-2</v>
      </c>
      <c r="AO46" s="55">
        <f t="shared" si="49"/>
        <v>2.2857142857143131E-2</v>
      </c>
      <c r="AP46" s="55">
        <f t="shared" si="49"/>
        <v>2.3809523809523725E-2</v>
      </c>
      <c r="AQ46" s="55">
        <f t="shared" si="49"/>
        <v>4.1666666666666963E-2</v>
      </c>
      <c r="AR46" s="55">
        <f t="shared" si="49"/>
        <v>3.8970588235294201E-2</v>
      </c>
      <c r="AS46" s="55">
        <f t="shared" si="49"/>
        <v>2.631578947368407E-2</v>
      </c>
      <c r="AT46" s="55">
        <f t="shared" si="49"/>
        <v>3.6842105263157343E-2</v>
      </c>
      <c r="AU46" s="55">
        <f t="shared" si="49"/>
        <v>2.7840909090909527E-2</v>
      </c>
      <c r="AV46" s="55">
        <f t="shared" si="49"/>
        <v>4.8684210526315219E-2</v>
      </c>
      <c r="AW46" s="186">
        <f t="shared" si="49"/>
        <v>3.7500000000000533E-2</v>
      </c>
      <c r="AX46" s="186">
        <f t="shared" si="49"/>
        <v>1.3815789473683893E-2</v>
      </c>
      <c r="AY46" s="186">
        <f t="shared" si="49"/>
        <v>1.4634146341463428E-2</v>
      </c>
      <c r="AZ46" s="186">
        <f t="shared" si="49"/>
        <v>2.8048780487805125E-2</v>
      </c>
      <c r="BA46" s="186">
        <f t="shared" si="49"/>
        <v>2.1621621621621401E-2</v>
      </c>
      <c r="BB46" s="186">
        <f t="shared" si="49"/>
        <v>3.6029411764705976E-2</v>
      </c>
      <c r="BC46" s="186">
        <f t="shared" si="49"/>
        <v>1.4583333333333393E-2</v>
      </c>
      <c r="BD46" s="186">
        <f t="shared" si="49"/>
        <v>2.1052631578946546E-2</v>
      </c>
      <c r="BE46" s="186">
        <f t="shared" si="49"/>
        <v>1.5740740740740833E-2</v>
      </c>
      <c r="BF46" s="186">
        <f t="shared" si="49"/>
        <v>1.9166666666666998E-2</v>
      </c>
      <c r="BG46" s="186">
        <f t="shared" si="49"/>
        <v>2.7205882352941302E-2</v>
      </c>
      <c r="BH46" s="186">
        <f t="shared" si="49"/>
        <v>9.3750000000003553E-3</v>
      </c>
      <c r="BI46" s="186">
        <f t="shared" si="49"/>
        <v>2.6005835380834341E-2</v>
      </c>
      <c r="BJ46" s="186">
        <f t="shared" si="49"/>
        <v>3.6428571428572809E-2</v>
      </c>
      <c r="BK46" s="186">
        <f t="shared" si="49"/>
        <v>2.0967741935482564E-2</v>
      </c>
      <c r="BL46" s="186">
        <f t="shared" si="49"/>
        <v>4.6551724137930961E-2</v>
      </c>
      <c r="BM46" s="186">
        <f t="shared" si="49"/>
        <v>3.1034482758620641E-2</v>
      </c>
      <c r="BN46" s="186">
        <f t="shared" si="49"/>
        <v>1.1363636363636687E-2</v>
      </c>
      <c r="BO46" s="186">
        <f t="shared" si="49"/>
        <v>1.9696969696969546E-2</v>
      </c>
      <c r="BP46" s="186">
        <f t="shared" si="49"/>
        <v>3.5937500000001066E-2</v>
      </c>
      <c r="BQ46" s="186">
        <f t="shared" si="49"/>
        <v>1.323529411764568E-2</v>
      </c>
      <c r="BR46" s="186">
        <f t="shared" si="49"/>
        <v>9.9999999999997868E-3</v>
      </c>
      <c r="BS46" s="186">
        <f t="shared" si="49"/>
        <v>8.8709677419362976E-3</v>
      </c>
      <c r="BT46" s="186">
        <f t="shared" si="49"/>
        <v>9.6774193548387899E-3</v>
      </c>
      <c r="BU46" s="186">
        <f t="shared" si="49"/>
        <v>5.833333333333357E-3</v>
      </c>
      <c r="BV46" s="186">
        <f t="shared" si="49"/>
        <v>1.8548387096773311E-2</v>
      </c>
      <c r="BW46" s="186">
        <f t="shared" si="49"/>
        <v>4.4354838709677935E-2</v>
      </c>
      <c r="BX46" s="186">
        <f t="shared" si="49"/>
        <v>2.4166666666666003E-2</v>
      </c>
      <c r="BY46" s="186">
        <f t="shared" si="49"/>
        <v>1.9230769230770051E-2</v>
      </c>
      <c r="BZ46" s="186">
        <f t="shared" si="49"/>
        <v>1.8382352941175739E-2</v>
      </c>
      <c r="CA46" s="186">
        <f t="shared" si="49"/>
        <v>2.0833333333333925E-2</v>
      </c>
      <c r="CB46" s="186">
        <f t="shared" si="49"/>
        <v>1.6964285714285765E-2</v>
      </c>
      <c r="CC46" s="186">
        <f t="shared" si="49"/>
        <v>3.1896551724138078E-2</v>
      </c>
      <c r="CD46" s="186">
        <f t="shared" si="49"/>
        <v>1.442307692307665E-2</v>
      </c>
      <c r="CE46" s="186">
        <f t="shared" si="49"/>
        <v>3.5714285714281147E-3</v>
      </c>
      <c r="CF46" s="186">
        <f t="shared" si="49"/>
        <v>5.0000000000007816E-3</v>
      </c>
      <c r="CG46" s="186">
        <f t="shared" si="49"/>
        <v>5.555555555556424E-3</v>
      </c>
      <c r="CH46" s="186">
        <f t="shared" ca="1" si="49"/>
        <v>-0.61014239220863331</v>
      </c>
      <c r="CI46" s="186">
        <f t="shared" ca="1" si="49"/>
        <v>0.64188220412085784</v>
      </c>
      <c r="CJ46" s="186">
        <f t="shared" ref="CJ46:CX46" si="50">LN(CJ45)-LN(CI45)</f>
        <v>1.8750000000000711E-2</v>
      </c>
      <c r="CK46" s="186">
        <f t="shared" si="50"/>
        <v>2.5000000000000355E-2</v>
      </c>
      <c r="CL46" s="186">
        <f t="shared" si="50"/>
        <v>2.3076923076922995E-2</v>
      </c>
      <c r="CM46" s="186">
        <f t="shared" si="50"/>
        <v>1.9565217391303236E-2</v>
      </c>
      <c r="CN46" s="186">
        <f t="shared" si="50"/>
        <v>-4.1666666666664298E-3</v>
      </c>
      <c r="CO46" s="186">
        <f t="shared" si="50"/>
        <v>1.4583333333334281E-2</v>
      </c>
      <c r="CP46" s="186">
        <f t="shared" si="50"/>
        <v>6.5217391304344119E-3</v>
      </c>
      <c r="CQ46" s="186">
        <f t="shared" si="50"/>
        <v>1.9999999999999574E-2</v>
      </c>
      <c r="CR46" s="186">
        <f t="shared" si="50"/>
        <v>8.3333333333328596E-3</v>
      </c>
      <c r="CS46" s="186">
        <f t="shared" si="50"/>
        <v>-3.4729064039408897E-2</v>
      </c>
      <c r="CT46" s="186">
        <f t="shared" si="50"/>
        <v>5.2288587848932977E-2</v>
      </c>
      <c r="CU46" s="186">
        <f t="shared" si="50"/>
        <v>2.3076923076922995E-2</v>
      </c>
      <c r="CV46" s="186">
        <f t="shared" si="50"/>
        <v>9.8484848484847731E-3</v>
      </c>
      <c r="CW46" s="186">
        <f t="shared" si="50"/>
        <v>-1.7857142857131691E-3</v>
      </c>
      <c r="CX46" s="186">
        <f t="shared" si="50"/>
        <v>0</v>
      </c>
      <c r="DO46" s="88"/>
      <c r="DQ46" s="55">
        <f ca="1"/>
        <v>2.3076923076922995E-2</v>
      </c>
      <c r="DR46" s="55">
        <f ca="1"/>
        <v>1.9565217391303236E-2</v>
      </c>
      <c r="DS46" s="55">
        <f ca="1"/>
        <v>-4.1666666666664298E-3</v>
      </c>
      <c r="DT46" s="55">
        <f ca="1"/>
        <v>1.4583333333334281E-2</v>
      </c>
      <c r="DU46" s="55">
        <f ca="1"/>
        <v>6.5217391304344119E-3</v>
      </c>
      <c r="DV46" s="55">
        <f ca="1"/>
        <v>1.9999999999999574E-2</v>
      </c>
      <c r="DW46" s="55">
        <f ca="1"/>
        <v>8.3333333333328596E-3</v>
      </c>
      <c r="DX46" s="55">
        <f ca="1"/>
        <v>-3.4729064039408897E-2</v>
      </c>
      <c r="DY46" s="55">
        <f ca="1"/>
        <v>5.2288587848932977E-2</v>
      </c>
      <c r="DZ46" s="55">
        <f ca="1"/>
        <v>2.3076923076922995E-2</v>
      </c>
      <c r="EA46" s="55">
        <f ca="1"/>
        <v>9.8484848484847731E-3</v>
      </c>
      <c r="EB46" s="55">
        <f ca="1"/>
        <v>-1.7857142857131691E-3</v>
      </c>
      <c r="EC46" s="186">
        <f ca="1"/>
        <v>0</v>
      </c>
    </row>
    <row r="47" spans="1:133" x14ac:dyDescent="0.3">
      <c r="C47" s="55"/>
      <c r="D47" s="55"/>
      <c r="E47" s="55"/>
      <c r="F47" s="55"/>
      <c r="G47" s="55"/>
      <c r="H47" s="55"/>
      <c r="I47" s="55"/>
      <c r="J47" s="55"/>
      <c r="K47" s="55"/>
      <c r="L47" s="55"/>
      <c r="M47" s="55"/>
      <c r="N47" s="55"/>
      <c r="O47" s="55"/>
      <c r="P47" s="55"/>
      <c r="Q47" s="55"/>
      <c r="R47" s="55"/>
      <c r="S47" s="55"/>
      <c r="T47" s="55"/>
      <c r="U47" s="55"/>
      <c r="V47" s="55"/>
      <c r="W47" s="55"/>
      <c r="X47" s="55"/>
      <c r="Y47" s="55"/>
      <c r="Z47" s="55"/>
      <c r="AA47" s="55"/>
      <c r="AB47" s="55"/>
      <c r="AC47" s="55"/>
      <c r="AD47" s="55"/>
      <c r="AE47" s="55"/>
      <c r="AF47" s="55"/>
      <c r="AG47" s="55"/>
      <c r="AH47" s="55"/>
      <c r="AI47" s="55"/>
      <c r="AJ47" s="55"/>
      <c r="AK47" s="55"/>
      <c r="AL47" s="55"/>
      <c r="AM47" s="55"/>
      <c r="AN47" s="55"/>
      <c r="AO47" s="55"/>
      <c r="AP47" s="55"/>
      <c r="AQ47" s="55"/>
      <c r="AR47" s="55"/>
      <c r="AS47" s="55"/>
      <c r="AT47" s="55"/>
      <c r="AU47" s="55"/>
      <c r="AV47" s="55"/>
      <c r="AW47" s="186"/>
      <c r="AX47" s="186"/>
      <c r="AY47" s="186"/>
      <c r="AZ47" s="186"/>
      <c r="BA47" s="186"/>
      <c r="BB47" s="186"/>
      <c r="BC47" s="186"/>
      <c r="BD47" s="186"/>
      <c r="BE47" s="186"/>
      <c r="BF47" s="186"/>
      <c r="BG47" s="186"/>
      <c r="BH47" s="186"/>
      <c r="BI47" s="186"/>
      <c r="BJ47" s="186"/>
      <c r="BK47" s="186"/>
      <c r="BL47" s="186"/>
      <c r="BM47" s="186"/>
      <c r="BN47" s="186"/>
      <c r="BO47" s="186"/>
      <c r="BP47" s="186"/>
      <c r="BQ47" s="186"/>
      <c r="BR47" s="186"/>
      <c r="BS47" s="186"/>
      <c r="BT47" s="186"/>
      <c r="BU47" s="186"/>
      <c r="BV47" s="186"/>
      <c r="BW47" s="186"/>
      <c r="BX47" s="186"/>
      <c r="BY47" s="186"/>
      <c r="BZ47" s="186"/>
      <c r="CA47" s="186"/>
      <c r="CB47" s="186"/>
      <c r="CC47" s="186"/>
      <c r="CD47" s="186"/>
      <c r="CE47" s="186"/>
      <c r="CF47" s="186"/>
      <c r="CG47" s="186"/>
      <c r="CH47" s="186"/>
      <c r="CI47" s="186"/>
      <c r="CJ47" s="186"/>
      <c r="CK47" s="186"/>
      <c r="CL47" s="186"/>
      <c r="CM47" s="186"/>
      <c r="CN47" s="186"/>
      <c r="CO47" s="186"/>
      <c r="CP47" s="186"/>
      <c r="CQ47" s="186"/>
      <c r="CR47" s="186"/>
      <c r="CS47" s="186"/>
      <c r="CT47" s="186"/>
      <c r="CU47" s="186"/>
      <c r="CV47" s="186"/>
      <c r="CW47" s="186"/>
      <c r="CX47" s="186"/>
      <c r="DO47" s="88"/>
      <c r="DQ47" s="55">
        <f ca="1"/>
        <v>0</v>
      </c>
      <c r="DR47" s="55">
        <f ca="1"/>
        <v>0</v>
      </c>
      <c r="DS47" s="55">
        <f ca="1"/>
        <v>0</v>
      </c>
      <c r="DT47" s="55">
        <f ca="1"/>
        <v>0</v>
      </c>
      <c r="DU47" s="55">
        <f ca="1"/>
        <v>0</v>
      </c>
      <c r="DV47" s="55">
        <f ca="1"/>
        <v>0</v>
      </c>
      <c r="DW47" s="55">
        <f ca="1"/>
        <v>0</v>
      </c>
      <c r="DX47" s="55">
        <f ca="1"/>
        <v>0</v>
      </c>
      <c r="DY47" s="55">
        <f ca="1"/>
        <v>0</v>
      </c>
      <c r="DZ47" s="55">
        <f ca="1"/>
        <v>0</v>
      </c>
      <c r="EA47" s="55">
        <f ca="1"/>
        <v>0</v>
      </c>
      <c r="EB47" s="55">
        <f ca="1"/>
        <v>0</v>
      </c>
      <c r="EC47" s="186">
        <f ca="1"/>
        <v>0</v>
      </c>
    </row>
    <row r="48" spans="1:133" x14ac:dyDescent="0.3">
      <c r="A48" t="str">
        <f>A49</f>
        <v>Attackers: Nation states</v>
      </c>
      <c r="C48" s="55"/>
      <c r="D48" s="55"/>
      <c r="E48" s="55"/>
      <c r="F48" s="55"/>
      <c r="G48" s="55"/>
      <c r="H48" s="55"/>
      <c r="I48" s="55"/>
      <c r="J48" s="55"/>
      <c r="K48" s="55"/>
      <c r="L48" s="55"/>
      <c r="M48" s="55"/>
      <c r="N48" s="55"/>
      <c r="O48" s="55"/>
      <c r="P48" s="55"/>
      <c r="Q48" s="55"/>
      <c r="R48" s="55"/>
      <c r="S48" s="55"/>
      <c r="T48" s="55"/>
      <c r="U48" s="55"/>
      <c r="V48" s="55"/>
      <c r="W48" s="55"/>
      <c r="X48" s="55"/>
      <c r="Y48" s="55"/>
      <c r="Z48" s="55"/>
      <c r="AA48" s="55"/>
      <c r="AB48" s="55"/>
      <c r="AC48" s="55"/>
      <c r="AD48" s="55"/>
      <c r="AE48" s="55"/>
      <c r="AF48" s="55"/>
      <c r="AG48" s="55"/>
      <c r="AH48" s="55"/>
      <c r="AI48" s="55"/>
      <c r="AJ48" s="55"/>
      <c r="AK48" s="55"/>
      <c r="AL48" s="55"/>
      <c r="AM48" s="55"/>
      <c r="AN48" s="55"/>
      <c r="AO48" s="55"/>
      <c r="AP48" s="55"/>
      <c r="AQ48" s="55"/>
      <c r="AR48" s="55"/>
      <c r="AS48" s="55"/>
      <c r="AT48" s="55"/>
      <c r="AU48" s="55"/>
      <c r="AV48" s="55"/>
      <c r="AW48" s="186"/>
      <c r="AX48" s="186"/>
      <c r="AY48" s="186"/>
      <c r="AZ48" s="186"/>
      <c r="BA48" s="186"/>
      <c r="BB48" s="186"/>
      <c r="BC48" s="186"/>
      <c r="BD48" s="186"/>
      <c r="BE48" s="186"/>
      <c r="BF48" s="186"/>
      <c r="BG48" s="186"/>
      <c r="BH48" s="186"/>
      <c r="BI48" s="186"/>
      <c r="BJ48" s="186"/>
      <c r="BK48" s="186"/>
      <c r="BL48" s="186"/>
      <c r="BM48" s="186"/>
      <c r="BN48" s="186"/>
      <c r="BO48" s="186"/>
      <c r="BP48" s="186"/>
      <c r="BQ48" s="186"/>
      <c r="BR48" s="186"/>
      <c r="BS48" s="186"/>
      <c r="BT48" s="186"/>
      <c r="BU48" s="186"/>
      <c r="BV48" s="186"/>
      <c r="BW48" s="186"/>
      <c r="BX48" s="186"/>
      <c r="BY48" s="186"/>
      <c r="BZ48" s="186"/>
      <c r="CA48" s="186"/>
      <c r="CB48" s="186"/>
      <c r="CC48" s="186"/>
      <c r="CD48" s="186"/>
      <c r="CE48" s="186"/>
      <c r="CF48" s="186"/>
      <c r="CG48" s="186"/>
      <c r="CH48" s="186"/>
      <c r="CI48" s="186"/>
      <c r="CJ48" s="186"/>
      <c r="CK48" s="186"/>
      <c r="CL48" s="186"/>
      <c r="CM48" s="186"/>
      <c r="CN48" s="186"/>
      <c r="CO48" s="186"/>
      <c r="CP48" s="186"/>
      <c r="CQ48" s="186"/>
      <c r="CR48" s="186"/>
      <c r="CS48" s="186"/>
      <c r="CT48" s="186"/>
      <c r="CU48" s="186"/>
      <c r="CV48" s="186"/>
      <c r="CW48" s="186"/>
      <c r="CX48" s="186"/>
      <c r="DO48" s="88"/>
      <c r="DQ48" s="55">
        <f ca="1"/>
        <v>0</v>
      </c>
      <c r="DR48" s="55">
        <f ca="1"/>
        <v>0</v>
      </c>
      <c r="DS48" s="55">
        <f ca="1"/>
        <v>0</v>
      </c>
      <c r="DT48" s="55">
        <f ca="1"/>
        <v>0</v>
      </c>
      <c r="DU48" s="55">
        <f ca="1"/>
        <v>0</v>
      </c>
      <c r="DV48" s="55">
        <f ca="1"/>
        <v>0</v>
      </c>
      <c r="DW48" s="55">
        <f ca="1"/>
        <v>0</v>
      </c>
      <c r="DX48" s="55">
        <f ca="1"/>
        <v>0</v>
      </c>
      <c r="DY48" s="55">
        <f ca="1"/>
        <v>0</v>
      </c>
      <c r="DZ48" s="55">
        <f ca="1"/>
        <v>0</v>
      </c>
      <c r="EA48" s="55">
        <f ca="1"/>
        <v>0</v>
      </c>
      <c r="EB48" s="55">
        <f ca="1"/>
        <v>0</v>
      </c>
      <c r="EC48" s="186">
        <f ca="1"/>
        <v>0</v>
      </c>
    </row>
    <row r="49" spans="1:133" x14ac:dyDescent="0.3">
      <c r="A49" t="str">
        <f>A50</f>
        <v>Attackers: Nation states</v>
      </c>
      <c r="B49" s="57" t="str">
        <f>C$1</f>
        <v>Apr</v>
      </c>
      <c r="C49" s="57" t="str">
        <f t="shared" ref="C49:N49" si="51">D$1</f>
        <v>May</v>
      </c>
      <c r="D49" s="57" t="str">
        <f t="shared" si="51"/>
        <v>Jun</v>
      </c>
      <c r="E49" s="57" t="str">
        <f t="shared" si="51"/>
        <v>Jul</v>
      </c>
      <c r="F49" s="57" t="str">
        <f t="shared" si="51"/>
        <v>Aug</v>
      </c>
      <c r="G49" s="57" t="str">
        <f t="shared" si="51"/>
        <v>Sep</v>
      </c>
      <c r="H49" s="57" t="str">
        <f t="shared" si="51"/>
        <v>Oct</v>
      </c>
      <c r="I49" s="57" t="str">
        <f t="shared" si="51"/>
        <v>Nov</v>
      </c>
      <c r="J49" s="57" t="str">
        <f t="shared" si="51"/>
        <v>Dec 2011</v>
      </c>
      <c r="K49" s="57" t="str">
        <f t="shared" si="51"/>
        <v>Jan 2012</v>
      </c>
      <c r="L49" s="57" t="str">
        <f t="shared" si="51"/>
        <v>Feb</v>
      </c>
      <c r="M49" s="57" t="str">
        <f t="shared" si="51"/>
        <v>Mar</v>
      </c>
      <c r="N49" s="57" t="str">
        <f t="shared" si="51"/>
        <v>Apr</v>
      </c>
      <c r="O49" s="57" t="str">
        <f t="shared" ref="O49:AD49" si="52">P$1</f>
        <v>May</v>
      </c>
      <c r="P49" s="57" t="str">
        <f t="shared" si="52"/>
        <v>Jun</v>
      </c>
      <c r="Q49" s="57" t="str">
        <f t="shared" si="52"/>
        <v>Jul</v>
      </c>
      <c r="R49" s="57" t="str">
        <f t="shared" si="52"/>
        <v>Aug</v>
      </c>
      <c r="S49" s="57" t="str">
        <f t="shared" si="52"/>
        <v>Sep</v>
      </c>
      <c r="T49" s="57" t="str">
        <f t="shared" si="52"/>
        <v>Oct</v>
      </c>
      <c r="U49" s="57" t="str">
        <f t="shared" si="52"/>
        <v>Nov</v>
      </c>
      <c r="V49" s="57" t="str">
        <f t="shared" si="52"/>
        <v>Dec 2012</v>
      </c>
      <c r="W49" s="57" t="str">
        <f t="shared" si="52"/>
        <v>Jan 2013</v>
      </c>
      <c r="X49" s="57" t="str">
        <f t="shared" si="52"/>
        <v>Feb</v>
      </c>
      <c r="Y49" s="57" t="str">
        <f t="shared" si="52"/>
        <v>Mar</v>
      </c>
      <c r="Z49" s="57" t="str">
        <f t="shared" si="52"/>
        <v>Apr</v>
      </c>
      <c r="AA49" s="57" t="str">
        <f t="shared" si="52"/>
        <v>May</v>
      </c>
      <c r="AB49" s="57" t="str">
        <f t="shared" si="52"/>
        <v>Jun</v>
      </c>
      <c r="AC49" s="57" t="str">
        <f t="shared" si="52"/>
        <v>Jul</v>
      </c>
      <c r="AD49" s="57" t="str">
        <f t="shared" si="52"/>
        <v>Aug</v>
      </c>
      <c r="AE49" s="57" t="str">
        <f>AF$1</f>
        <v>Sep</v>
      </c>
      <c r="AF49" s="57" t="str">
        <f t="shared" ref="AF49:AK49" si="53">AG$1</f>
        <v>Oct</v>
      </c>
      <c r="AG49" s="57" t="str">
        <f t="shared" si="53"/>
        <v>Nov</v>
      </c>
      <c r="AH49" s="57" t="str">
        <f t="shared" si="53"/>
        <v>Dec 2013</v>
      </c>
      <c r="AI49" s="57" t="str">
        <f t="shared" si="53"/>
        <v>Jan 2014</v>
      </c>
      <c r="AJ49" s="57" t="str">
        <f t="shared" si="53"/>
        <v>Feb</v>
      </c>
      <c r="AK49" s="57" t="str">
        <f t="shared" si="53"/>
        <v>Mar</v>
      </c>
      <c r="AL49" s="57" t="str">
        <f t="shared" ref="AL49:CI49" si="54">AM$1</f>
        <v>Apr</v>
      </c>
      <c r="AM49" s="57" t="str">
        <f t="shared" si="54"/>
        <v>May</v>
      </c>
      <c r="AN49" s="57" t="str">
        <f t="shared" si="54"/>
        <v>Jun</v>
      </c>
      <c r="AO49" s="57" t="str">
        <f t="shared" si="54"/>
        <v>Jul</v>
      </c>
      <c r="AP49" s="57" t="str">
        <f t="shared" si="54"/>
        <v>Aug</v>
      </c>
      <c r="AQ49" s="57" t="str">
        <f t="shared" si="54"/>
        <v>Sep</v>
      </c>
      <c r="AR49" s="57" t="str">
        <f t="shared" si="54"/>
        <v>Oct</v>
      </c>
      <c r="AS49" s="57" t="str">
        <f t="shared" si="54"/>
        <v>Nov</v>
      </c>
      <c r="AT49" s="57" t="str">
        <f t="shared" si="54"/>
        <v>Dec '14</v>
      </c>
      <c r="AU49" s="57" t="str">
        <f t="shared" si="54"/>
        <v>Jan '15</v>
      </c>
      <c r="AV49" s="57" t="str">
        <f t="shared" si="54"/>
        <v>Feb</v>
      </c>
      <c r="AW49" s="57" t="str">
        <f t="shared" si="54"/>
        <v>Mar</v>
      </c>
      <c r="AX49" s="57" t="str">
        <f t="shared" si="54"/>
        <v>Apr</v>
      </c>
      <c r="AY49" s="57" t="str">
        <f t="shared" si="54"/>
        <v>May</v>
      </c>
      <c r="AZ49" s="57" t="str">
        <f t="shared" si="54"/>
        <v>Jun</v>
      </c>
      <c r="BA49" s="57" t="str">
        <f t="shared" si="54"/>
        <v>Jul</v>
      </c>
      <c r="BB49" s="57" t="str">
        <f t="shared" si="54"/>
        <v>Aug</v>
      </c>
      <c r="BC49" s="57" t="str">
        <f t="shared" si="54"/>
        <v>Sep</v>
      </c>
      <c r="BD49" s="57" t="str">
        <f t="shared" si="54"/>
        <v>Oct</v>
      </c>
      <c r="BE49" s="57" t="str">
        <f t="shared" si="54"/>
        <v>Nov</v>
      </c>
      <c r="BF49" s="57" t="str">
        <f t="shared" si="54"/>
        <v>Dec '15</v>
      </c>
      <c r="BG49" s="57" t="str">
        <f t="shared" si="54"/>
        <v>Jan '16</v>
      </c>
      <c r="BH49" s="57" t="str">
        <f t="shared" si="54"/>
        <v>Feb</v>
      </c>
      <c r="BI49" s="57" t="str">
        <f t="shared" si="54"/>
        <v>Mar</v>
      </c>
      <c r="BJ49" s="57" t="str">
        <f t="shared" si="54"/>
        <v>Apr</v>
      </c>
      <c r="BK49" s="57" t="str">
        <f t="shared" si="54"/>
        <v>May</v>
      </c>
      <c r="BL49" s="57" t="str">
        <f t="shared" si="54"/>
        <v>Jun</v>
      </c>
      <c r="BM49" s="57" t="str">
        <f t="shared" si="54"/>
        <v>Jul</v>
      </c>
      <c r="BN49" s="57" t="str">
        <f t="shared" si="54"/>
        <v>Aug</v>
      </c>
      <c r="BO49" s="57" t="str">
        <f t="shared" si="54"/>
        <v>Sep</v>
      </c>
      <c r="BP49" s="57" t="str">
        <f t="shared" si="54"/>
        <v>Oct</v>
      </c>
      <c r="BQ49" s="57" t="str">
        <f t="shared" si="54"/>
        <v>Nov</v>
      </c>
      <c r="BR49" s="57" t="str">
        <f t="shared" si="54"/>
        <v>Dec-16</v>
      </c>
      <c r="BS49" s="57" t="str">
        <f t="shared" si="54"/>
        <v>Jan-17</v>
      </c>
      <c r="BT49" s="57" t="str">
        <f t="shared" si="54"/>
        <v>Feb</v>
      </c>
      <c r="BU49" s="57" t="str">
        <f t="shared" si="54"/>
        <v>Mar</v>
      </c>
      <c r="BV49" s="57" t="str">
        <f t="shared" si="54"/>
        <v>Apr</v>
      </c>
      <c r="BW49" s="57" t="str">
        <f t="shared" si="54"/>
        <v>May</v>
      </c>
      <c r="BX49" s="57" t="str">
        <f t="shared" si="54"/>
        <v>Jun</v>
      </c>
      <c r="BY49" s="57" t="str">
        <f t="shared" si="54"/>
        <v>Jul</v>
      </c>
      <c r="BZ49" s="57" t="str">
        <f t="shared" si="54"/>
        <v>Aug</v>
      </c>
      <c r="CA49" s="57" t="str">
        <f t="shared" si="54"/>
        <v>Sep</v>
      </c>
      <c r="CB49" s="57" t="str">
        <f t="shared" si="54"/>
        <v>Oct</v>
      </c>
      <c r="CC49" s="57" t="str">
        <f t="shared" si="54"/>
        <v>Nov</v>
      </c>
      <c r="CD49" s="57" t="str">
        <f t="shared" si="54"/>
        <v>Dec</v>
      </c>
      <c r="CE49" s="57" t="str">
        <f t="shared" si="54"/>
        <v>Jan '18</v>
      </c>
      <c r="CF49" s="57" t="str">
        <f t="shared" si="54"/>
        <v>Feb</v>
      </c>
      <c r="CG49" s="57" t="str">
        <f t="shared" si="54"/>
        <v>Mar</v>
      </c>
      <c r="CH49" s="57" t="str">
        <f t="shared" si="54"/>
        <v>Apr</v>
      </c>
      <c r="CI49" s="57" t="str">
        <f t="shared" si="54"/>
        <v>May</v>
      </c>
      <c r="CJ49" s="57" t="str">
        <f t="shared" ref="CJ49:CO49" si="55">CK$1</f>
        <v>Jun</v>
      </c>
      <c r="CK49" s="57" t="str">
        <f t="shared" si="55"/>
        <v>Jul</v>
      </c>
      <c r="CL49" s="57" t="str">
        <f t="shared" si="55"/>
        <v>Aug</v>
      </c>
      <c r="CM49" s="57" t="str">
        <f t="shared" si="55"/>
        <v>Sep</v>
      </c>
      <c r="CN49" s="57" t="str">
        <f t="shared" si="55"/>
        <v>Oct</v>
      </c>
      <c r="CO49" s="57" t="str">
        <f t="shared" si="55"/>
        <v>Nov</v>
      </c>
      <c r="CP49" s="57" t="str">
        <f t="shared" ref="CP49:CX49" si="56">CQ$1</f>
        <v>Dec-18</v>
      </c>
      <c r="CQ49" s="57" t="str">
        <f t="shared" si="56"/>
        <v>Jan-19</v>
      </c>
      <c r="CR49" s="57" t="str">
        <f t="shared" si="56"/>
        <v>Feb-19</v>
      </c>
      <c r="CS49" s="57" t="str">
        <f t="shared" si="56"/>
        <v>Mar-19</v>
      </c>
      <c r="CT49" s="57" t="str">
        <f t="shared" si="56"/>
        <v>Apr-19</v>
      </c>
      <c r="CU49" s="57" t="str">
        <f t="shared" si="56"/>
        <v>May-19</v>
      </c>
      <c r="CV49" s="57" t="str">
        <f t="shared" si="56"/>
        <v>June-19</v>
      </c>
      <c r="CW49" s="57" t="str">
        <f t="shared" si="56"/>
        <v>July-19</v>
      </c>
      <c r="CX49" s="57" t="str">
        <f t="shared" si="56"/>
        <v>Aug-19</v>
      </c>
      <c r="DO49" s="88"/>
      <c r="DQ49" s="57" t="str">
        <f ca="1"/>
        <v>Aug</v>
      </c>
      <c r="DR49" s="57" t="str">
        <f ca="1"/>
        <v>Sep</v>
      </c>
      <c r="DS49" s="57" t="str">
        <f ca="1"/>
        <v>Oct</v>
      </c>
      <c r="DT49" s="57" t="str">
        <f ca="1"/>
        <v>Nov</v>
      </c>
      <c r="DU49" s="57" t="str">
        <f ca="1"/>
        <v>Dec-18</v>
      </c>
      <c r="DV49" s="57" t="str">
        <f ca="1"/>
        <v>Jan-19</v>
      </c>
      <c r="DW49" s="57" t="str">
        <f ca="1"/>
        <v>Feb-19</v>
      </c>
      <c r="DX49" s="57" t="str">
        <f ca="1"/>
        <v>Mar-19</v>
      </c>
      <c r="DY49" s="57" t="str">
        <f ca="1"/>
        <v>Apr-19</v>
      </c>
      <c r="DZ49" s="57" t="str">
        <f ca="1"/>
        <v>May-19</v>
      </c>
      <c r="EA49" s="57" t="str">
        <f ca="1"/>
        <v>June-19</v>
      </c>
      <c r="EB49" s="57" t="str">
        <f ca="1"/>
        <v>July-19</v>
      </c>
      <c r="EC49" s="57" t="str">
        <f ca="1"/>
        <v>Aug-19</v>
      </c>
    </row>
    <row r="50" spans="1:133" x14ac:dyDescent="0.3">
      <c r="A50" t="str">
        <f>A6</f>
        <v>Attackers: Nation states</v>
      </c>
      <c r="B50">
        <f t="shared" ref="B50:CI50" si="57">C6</f>
        <v>1046.1015264363746</v>
      </c>
      <c r="C50" s="56">
        <f t="shared" si="57"/>
        <v>1074.8845706534476</v>
      </c>
      <c r="D50" s="56">
        <f t="shared" si="57"/>
        <v>1107.5357719031097</v>
      </c>
      <c r="E50" s="56">
        <f t="shared" si="57"/>
        <v>1130.7716027225174</v>
      </c>
      <c r="F50" s="56">
        <f t="shared" si="57"/>
        <v>1160.8235872029941</v>
      </c>
      <c r="G50" s="56">
        <f t="shared" si="57"/>
        <v>1194.003039181435</v>
      </c>
      <c r="H50" s="56">
        <f t="shared" si="57"/>
        <v>1232.0196860586145</v>
      </c>
      <c r="I50" s="56">
        <f t="shared" si="57"/>
        <v>1245.8469231622257</v>
      </c>
      <c r="J50" s="56">
        <f t="shared" si="57"/>
        <v>1279.229400661902</v>
      </c>
      <c r="K50" s="56">
        <f t="shared" si="57"/>
        <v>1321.8664975935235</v>
      </c>
      <c r="L50" s="56">
        <f t="shared" si="57"/>
        <v>1351.2465135101652</v>
      </c>
      <c r="M50" s="56">
        <f t="shared" si="57"/>
        <v>1377.2908518959659</v>
      </c>
      <c r="N50" s="56">
        <f t="shared" si="57"/>
        <v>1415.9064603495915</v>
      </c>
      <c r="O50" s="56">
        <f t="shared" si="57"/>
        <v>1461.1670288568619</v>
      </c>
      <c r="P50" s="56">
        <f t="shared" si="57"/>
        <v>1514.5563352148338</v>
      </c>
      <c r="Q50" s="56">
        <f t="shared" si="57"/>
        <v>1561.712421618774</v>
      </c>
      <c r="R50" s="56">
        <f t="shared" si="57"/>
        <v>1593.567531101379</v>
      </c>
      <c r="S50" s="56">
        <f t="shared" si="57"/>
        <v>1643.7060746661521</v>
      </c>
      <c r="T50" s="56">
        <f t="shared" si="57"/>
        <v>1729.7816049318762</v>
      </c>
      <c r="U50" s="56">
        <f t="shared" si="57"/>
        <v>1767.1168625469963</v>
      </c>
      <c r="V50" s="56">
        <f t="shared" si="57"/>
        <v>1818.003930587226</v>
      </c>
      <c r="W50" s="56">
        <f t="shared" si="57"/>
        <v>1872.2315276051791</v>
      </c>
      <c r="X50" s="56">
        <f t="shared" si="57"/>
        <v>1951.3283777866923</v>
      </c>
      <c r="Y50" s="56">
        <f t="shared" si="57"/>
        <v>2026.6600609553759</v>
      </c>
      <c r="Z50" s="56">
        <f t="shared" si="57"/>
        <v>2094.4351204005411</v>
      </c>
      <c r="AA50" s="56">
        <f t="shared" si="57"/>
        <v>2132.1716783303937</v>
      </c>
      <c r="AB50" s="56">
        <f t="shared" si="57"/>
        <v>2166.1629013656052</v>
      </c>
      <c r="AC50" s="56">
        <f t="shared" si="57"/>
        <v>2219.4137144670922</v>
      </c>
      <c r="AD50" s="56">
        <f t="shared" si="57"/>
        <v>2264.8897614094199</v>
      </c>
      <c r="AE50" s="56">
        <f t="shared" si="57"/>
        <v>2313.3112355405369</v>
      </c>
      <c r="AF50" s="56">
        <f t="shared" si="57"/>
        <v>2362.2116045635075</v>
      </c>
      <c r="AG50" s="56">
        <f t="shared" si="57"/>
        <v>2395.2489943112951</v>
      </c>
      <c r="AH50" s="56">
        <f t="shared" si="57"/>
        <v>2463.7690655595866</v>
      </c>
      <c r="AI50" s="56">
        <f t="shared" si="57"/>
        <v>2519.5697459678127</v>
      </c>
      <c r="AJ50" s="56">
        <f t="shared" si="57"/>
        <v>2583.3529577566924</v>
      </c>
      <c r="AK50" s="56">
        <f t="shared" si="57"/>
        <v>2661.7031503840808</v>
      </c>
      <c r="AL50" s="56">
        <f t="shared" si="57"/>
        <v>2706.9611669663841</v>
      </c>
      <c r="AM50" s="56">
        <f t="shared" si="57"/>
        <v>2767.614495018066</v>
      </c>
      <c r="AN50" s="56">
        <f t="shared" si="57"/>
        <v>2772.6818378118851</v>
      </c>
      <c r="AO50" s="56">
        <f t="shared" si="57"/>
        <v>2836.7872651714038</v>
      </c>
      <c r="AP50" s="56">
        <f t="shared" si="57"/>
        <v>2913.7994470275657</v>
      </c>
      <c r="AQ50" s="56">
        <f t="shared" si="57"/>
        <v>2996.4674312806878</v>
      </c>
      <c r="AR50" s="56">
        <f t="shared" si="57"/>
        <v>3043.0954832080238</v>
      </c>
      <c r="AS50" s="56">
        <f t="shared" si="57"/>
        <v>3095.596171213143</v>
      </c>
      <c r="AT50" s="56">
        <f t="shared" si="57"/>
        <v>3290.9119739385847</v>
      </c>
      <c r="AU50" s="56">
        <f t="shared" si="57"/>
        <v>3410.8453937911854</v>
      </c>
      <c r="AV50" s="56">
        <f t="shared" si="57"/>
        <v>3534.1983284466696</v>
      </c>
      <c r="AW50" s="56">
        <f t="shared" si="57"/>
        <v>3632.7374859531155</v>
      </c>
      <c r="AX50" s="56">
        <f t="shared" si="57"/>
        <v>3654.3109214995015</v>
      </c>
      <c r="AY50" s="56">
        <f t="shared" si="57"/>
        <v>3762.8469473390464</v>
      </c>
      <c r="AZ50" s="56">
        <f t="shared" si="57"/>
        <v>3917.3669832797195</v>
      </c>
      <c r="BA50" s="56">
        <f t="shared" si="57"/>
        <v>4016.5356005998638</v>
      </c>
      <c r="BB50" s="56">
        <f t="shared" si="57"/>
        <v>4094.0610010538076</v>
      </c>
      <c r="BC50" s="56">
        <f t="shared" si="57"/>
        <v>4119.7290112877081</v>
      </c>
      <c r="BD50" s="56">
        <f t="shared" si="57"/>
        <v>4174.2941660062097</v>
      </c>
      <c r="BE50" s="56">
        <f t="shared" si="57"/>
        <v>4276.0058277090257</v>
      </c>
      <c r="BF50" s="56">
        <f t="shared" si="57"/>
        <v>4329.7913598003342</v>
      </c>
      <c r="BG50" s="56">
        <f t="shared" si="57"/>
        <v>4368.1644452744804</v>
      </c>
      <c r="BH50" s="56">
        <f t="shared" si="57"/>
        <v>4398.9863327463008</v>
      </c>
      <c r="BI50" s="56">
        <f t="shared" si="57"/>
        <v>4456.2429825004192</v>
      </c>
      <c r="BJ50" s="56">
        <f t="shared" si="57"/>
        <v>4520.3604882902891</v>
      </c>
      <c r="BK50" s="56">
        <f t="shared" si="57"/>
        <v>4542.2862036368351</v>
      </c>
      <c r="BL50" s="56">
        <f t="shared" si="57"/>
        <v>4601.4040669672504</v>
      </c>
      <c r="BM50" s="56">
        <f t="shared" si="57"/>
        <v>4689.5048730738545</v>
      </c>
      <c r="BN50" s="56">
        <f t="shared" si="57"/>
        <v>4797.3048893527966</v>
      </c>
      <c r="BO50" s="56">
        <f t="shared" si="57"/>
        <v>4841.1155898046127</v>
      </c>
      <c r="BP50" s="56">
        <f t="shared" si="57"/>
        <v>4936.5980391766088</v>
      </c>
      <c r="BQ50" s="56">
        <f t="shared" si="57"/>
        <v>5002.3696594200455</v>
      </c>
      <c r="BR50" s="56">
        <f t="shared" si="57"/>
        <v>5099.1731478548181</v>
      </c>
      <c r="BS50" s="56">
        <f t="shared" si="57"/>
        <v>5119.7758396726331</v>
      </c>
      <c r="BT50" s="56">
        <f t="shared" si="57"/>
        <v>5228.2593306676936</v>
      </c>
      <c r="BU50" s="56">
        <f t="shared" si="57"/>
        <v>5276.4053734281897</v>
      </c>
      <c r="BV50" s="56">
        <f t="shared" si="57"/>
        <v>5301.9982354511321</v>
      </c>
      <c r="BW50" s="56">
        <f t="shared" si="57"/>
        <v>5440.6047755865229</v>
      </c>
      <c r="BX50" s="56">
        <f t="shared" si="57"/>
        <v>5504.4502054716386</v>
      </c>
      <c r="BY50" s="56">
        <f t="shared" si="57"/>
        <v>5616.7275117858799</v>
      </c>
      <c r="BZ50" s="56">
        <f t="shared" si="57"/>
        <v>5679.0196033733991</v>
      </c>
      <c r="CA50" s="56">
        <f t="shared" si="57"/>
        <v>5750.4528762527443</v>
      </c>
      <c r="CB50" s="56">
        <f t="shared" si="57"/>
        <v>5859.2910368386738</v>
      </c>
      <c r="CC50" s="56">
        <f t="shared" si="57"/>
        <v>5966.3303762689748</v>
      </c>
      <c r="CD50" s="56">
        <f t="shared" si="57"/>
        <v>6029.7707040153209</v>
      </c>
      <c r="CE50" s="56">
        <f t="shared" si="57"/>
        <v>6045.9435259035927</v>
      </c>
      <c r="CF50" s="56">
        <f t="shared" si="57"/>
        <v>6131.1820124479873</v>
      </c>
      <c r="CG50" s="56">
        <f t="shared" si="57"/>
        <v>6251.566047872032</v>
      </c>
      <c r="CH50" s="56">
        <f t="shared" ca="1" si="57"/>
        <v>3874.0885974653897</v>
      </c>
      <c r="CI50" s="56">
        <f t="shared" si="57"/>
        <v>6524.1091412699388</v>
      </c>
      <c r="CJ50" s="56">
        <f t="shared" ref="CJ50:CO50" si="58">CK6</f>
        <v>6640.6692372199223</v>
      </c>
      <c r="CK50" s="56">
        <f t="shared" si="58"/>
        <v>6795.1746306476907</v>
      </c>
      <c r="CL50" s="56">
        <f t="shared" si="58"/>
        <v>6854.2342041454795</v>
      </c>
      <c r="CM50" s="56">
        <f t="shared" si="58"/>
        <v>7221.3398201372802</v>
      </c>
      <c r="CN50" s="56">
        <f t="shared" si="58"/>
        <v>7332.5129217320382</v>
      </c>
      <c r="CO50" s="56">
        <f t="shared" si="58"/>
        <v>7401.5784692769548</v>
      </c>
      <c r="CP50" s="56">
        <f t="shared" ref="CP50:CX50" si="59">CQ6</f>
        <v>7474.340536313789</v>
      </c>
      <c r="CQ50" s="56">
        <f t="shared" si="59"/>
        <v>7671.2217552537895</v>
      </c>
      <c r="CR50" s="56">
        <f t="shared" si="59"/>
        <v>7767.7138463597103</v>
      </c>
      <c r="CS50" s="56">
        <f t="shared" si="59"/>
        <v>7627.8869573062466</v>
      </c>
      <c r="CT50" s="56">
        <f t="shared" si="59"/>
        <v>7932.025555701297</v>
      </c>
      <c r="CU50" s="56">
        <f t="shared" si="59"/>
        <v>8024.0789836663207</v>
      </c>
      <c r="CV50" s="56">
        <f t="shared" si="59"/>
        <v>8183.6958480026142</v>
      </c>
      <c r="CW50" s="56">
        <f t="shared" si="59"/>
        <v>8235.0041183785543</v>
      </c>
      <c r="CX50" s="56">
        <f t="shared" si="59"/>
        <v>8235.0041183785543</v>
      </c>
      <c r="DO50" s="88"/>
      <c r="DQ50" s="56">
        <f ca="1"/>
        <v>6854.2342041454795</v>
      </c>
      <c r="DR50" s="56">
        <f ca="1"/>
        <v>7221.3398201372802</v>
      </c>
      <c r="DS50" s="56">
        <f ca="1"/>
        <v>7332.5129217320382</v>
      </c>
      <c r="DT50" s="56">
        <f ca="1"/>
        <v>7401.5784692769548</v>
      </c>
      <c r="DU50" s="56">
        <f ca="1"/>
        <v>7474.340536313789</v>
      </c>
      <c r="DV50" s="56">
        <f ca="1"/>
        <v>7671.2217552537895</v>
      </c>
      <c r="DW50" s="56">
        <f ca="1"/>
        <v>7767.7138463597103</v>
      </c>
      <c r="DX50" s="56">
        <f ca="1"/>
        <v>7627.8869573062466</v>
      </c>
      <c r="DY50" s="56">
        <f ca="1"/>
        <v>7932.025555701297</v>
      </c>
      <c r="DZ50" s="56">
        <f ca="1"/>
        <v>8024.0789836663207</v>
      </c>
      <c r="EA50" s="56">
        <f ca="1"/>
        <v>8183.6958480026142</v>
      </c>
      <c r="EB50" s="56">
        <f ca="1"/>
        <v>8235.0041183785543</v>
      </c>
      <c r="EC50" s="56">
        <f ca="1"/>
        <v>8235.0041183785543</v>
      </c>
    </row>
    <row r="51" spans="1:133" x14ac:dyDescent="0.3">
      <c r="A51" t="s">
        <v>108</v>
      </c>
      <c r="C51" s="55">
        <f t="shared" ref="C51:M51" si="60">LN(C50)-LN(B50)</f>
        <v>2.7142857142857579E-2</v>
      </c>
      <c r="D51" s="55">
        <f t="shared" si="60"/>
        <v>2.9924242424241854E-2</v>
      </c>
      <c r="E51" s="55">
        <f t="shared" si="60"/>
        <v>2.0762711864406924E-2</v>
      </c>
      <c r="F51" s="55">
        <f t="shared" si="60"/>
        <v>2.6229508196721874E-2</v>
      </c>
      <c r="G51" s="55">
        <f t="shared" si="60"/>
        <v>2.8181818181818308E-2</v>
      </c>
      <c r="H51" s="55">
        <f t="shared" si="60"/>
        <v>3.1343283582089043E-2</v>
      </c>
      <c r="I51" s="55">
        <f t="shared" si="60"/>
        <v>1.1160714285714413E-2</v>
      </c>
      <c r="J51" s="55">
        <f t="shared" si="60"/>
        <v>2.6442307692307487E-2</v>
      </c>
      <c r="K51" s="55">
        <f t="shared" si="60"/>
        <v>3.278688524590212E-2</v>
      </c>
      <c r="L51" s="55">
        <f t="shared" si="60"/>
        <v>2.1982758620689324E-2</v>
      </c>
      <c r="M51" s="55">
        <f t="shared" si="60"/>
        <v>1.9090909090908603E-2</v>
      </c>
      <c r="N51" s="55">
        <f t="shared" ref="N51:AD51" si="61">LN(N50)-LN(M50)</f>
        <v>2.765151515151576E-2</v>
      </c>
      <c r="O51" s="55">
        <f t="shared" si="61"/>
        <v>3.1465517241379359E-2</v>
      </c>
      <c r="P51" s="55">
        <f t="shared" si="61"/>
        <v>3.5887096774192884E-2</v>
      </c>
      <c r="Q51" s="55">
        <f t="shared" si="61"/>
        <v>3.0660377358491253E-2</v>
      </c>
      <c r="R51" s="55">
        <f t="shared" si="61"/>
        <v>2.0192307692306954E-2</v>
      </c>
      <c r="S51" s="55">
        <f t="shared" si="61"/>
        <v>3.0978260869565233E-2</v>
      </c>
      <c r="T51" s="55">
        <f t="shared" si="61"/>
        <v>5.104166666666643E-2</v>
      </c>
      <c r="U51" s="55">
        <f t="shared" si="61"/>
        <v>2.1354166666666785E-2</v>
      </c>
      <c r="V51" s="55">
        <f t="shared" si="61"/>
        <v>2.83898305084751E-2</v>
      </c>
      <c r="W51" s="55">
        <f t="shared" si="61"/>
        <v>2.9391891891891397E-2</v>
      </c>
      <c r="X51" s="55">
        <f t="shared" si="61"/>
        <v>4.1379310344828113E-2</v>
      </c>
      <c r="Y51" s="55">
        <f t="shared" si="61"/>
        <v>3.7878787878788067E-2</v>
      </c>
      <c r="Z51" s="55">
        <f t="shared" si="61"/>
        <v>3.289473684210531E-2</v>
      </c>
      <c r="AA51" s="55">
        <f t="shared" si="61"/>
        <v>1.785714285714235E-2</v>
      </c>
      <c r="AB51" s="55">
        <f t="shared" si="61"/>
        <v>1.5816326530612379E-2</v>
      </c>
      <c r="AC51" s="55">
        <f t="shared" si="61"/>
        <v>2.4285714285714022E-2</v>
      </c>
      <c r="AD51" s="55">
        <f t="shared" si="61"/>
        <v>2.0283018867925051E-2</v>
      </c>
      <c r="AE51" s="55">
        <f>LN(AE50)-LN(AD50)</f>
        <v>2.1153846153845635E-2</v>
      </c>
      <c r="AF51" s="55">
        <f t="shared" ref="AF51:CI51" si="62">LN(AF50)-LN(AE50)</f>
        <v>2.0918367346939526E-2</v>
      </c>
      <c r="AG51" s="55">
        <f t="shared" si="62"/>
        <v>1.3888888888888395E-2</v>
      </c>
      <c r="AH51" s="55">
        <f t="shared" si="62"/>
        <v>2.8205128205128105E-2</v>
      </c>
      <c r="AI51" s="55">
        <f t="shared" si="62"/>
        <v>2.2395833333333393E-2</v>
      </c>
      <c r="AJ51" s="55">
        <f t="shared" si="62"/>
        <v>2.5000000000000355E-2</v>
      </c>
      <c r="AK51" s="55">
        <f t="shared" si="62"/>
        <v>2.9878048780487276E-2</v>
      </c>
      <c r="AL51" s="55">
        <f t="shared" si="62"/>
        <v>1.6860465116279144E-2</v>
      </c>
      <c r="AM51" s="55">
        <f t="shared" si="62"/>
        <v>2.2159090909091184E-2</v>
      </c>
      <c r="AN51" s="55">
        <f t="shared" si="62"/>
        <v>1.8292682926830395E-3</v>
      </c>
      <c r="AO51" s="55">
        <f t="shared" si="62"/>
        <v>2.2857142857142243E-2</v>
      </c>
      <c r="AP51" s="55">
        <f t="shared" si="62"/>
        <v>2.6785714285714413E-2</v>
      </c>
      <c r="AQ51" s="55">
        <f t="shared" si="62"/>
        <v>2.7976190476190155E-2</v>
      </c>
      <c r="AR51" s="55">
        <f t="shared" si="62"/>
        <v>1.5441176470588402E-2</v>
      </c>
      <c r="AS51" s="55">
        <f t="shared" si="62"/>
        <v>1.7105263157894512E-2</v>
      </c>
      <c r="AT51" s="55">
        <f t="shared" si="62"/>
        <v>6.1184210526317173E-2</v>
      </c>
      <c r="AU51" s="55">
        <f t="shared" si="62"/>
        <v>3.5795454545453964E-2</v>
      </c>
      <c r="AV51" s="55">
        <f t="shared" si="62"/>
        <v>3.5526315789473628E-2</v>
      </c>
      <c r="AW51" s="186">
        <f t="shared" si="62"/>
        <v>2.7499999999999858E-2</v>
      </c>
      <c r="AX51" s="186">
        <f t="shared" si="62"/>
        <v>5.9210526315798262E-3</v>
      </c>
      <c r="AY51" s="186">
        <f t="shared" si="62"/>
        <v>2.9268292682926855E-2</v>
      </c>
      <c r="AZ51" s="186">
        <f t="shared" si="62"/>
        <v>4.0243902439023316E-2</v>
      </c>
      <c r="BA51" s="186">
        <f t="shared" si="62"/>
        <v>2.5000000000000355E-2</v>
      </c>
      <c r="BB51" s="186">
        <f t="shared" si="62"/>
        <v>1.9117647058823906E-2</v>
      </c>
      <c r="BC51" s="186">
        <f t="shared" si="62"/>
        <v>6.2499999999996447E-3</v>
      </c>
      <c r="BD51" s="186">
        <f t="shared" si="62"/>
        <v>1.3157894736842479E-2</v>
      </c>
      <c r="BE51" s="186">
        <f t="shared" si="62"/>
        <v>2.4074074074073692E-2</v>
      </c>
      <c r="BF51" s="186">
        <f t="shared" si="62"/>
        <v>1.2499999999999289E-2</v>
      </c>
      <c r="BG51" s="186">
        <f t="shared" si="62"/>
        <v>8.8235294117655627E-3</v>
      </c>
      <c r="BH51" s="186">
        <f t="shared" si="62"/>
        <v>7.0312499999989342E-3</v>
      </c>
      <c r="BI51" s="186">
        <f t="shared" si="62"/>
        <v>1.2931894963145396E-2</v>
      </c>
      <c r="BJ51" s="186">
        <f t="shared" si="62"/>
        <v>1.4285714285714235E-2</v>
      </c>
      <c r="BK51" s="186">
        <f t="shared" si="62"/>
        <v>4.8387096774202831E-3</v>
      </c>
      <c r="BL51" s="186">
        <f t="shared" si="62"/>
        <v>1.2931034482758008E-2</v>
      </c>
      <c r="BM51" s="186">
        <f t="shared" si="62"/>
        <v>1.896551724138007E-2</v>
      </c>
      <c r="BN51" s="186">
        <f t="shared" si="62"/>
        <v>2.2727272727271597E-2</v>
      </c>
      <c r="BO51" s="186">
        <f t="shared" si="62"/>
        <v>9.0909090909097046E-3</v>
      </c>
      <c r="BP51" s="186">
        <f t="shared" si="62"/>
        <v>1.953125E-2</v>
      </c>
      <c r="BQ51" s="186">
        <f t="shared" si="62"/>
        <v>1.323529411764568E-2</v>
      </c>
      <c r="BR51" s="186">
        <f t="shared" si="62"/>
        <v>1.9166666666666998E-2</v>
      </c>
      <c r="BS51" s="186">
        <f t="shared" si="62"/>
        <v>4.0322580645160144E-3</v>
      </c>
      <c r="BT51" s="186">
        <f t="shared" si="62"/>
        <v>2.0967741935484341E-2</v>
      </c>
      <c r="BU51" s="186">
        <f t="shared" si="62"/>
        <v>9.1666666666672114E-3</v>
      </c>
      <c r="BV51" s="186">
        <f t="shared" si="62"/>
        <v>4.8387096774185068E-3</v>
      </c>
      <c r="BW51" s="186">
        <f t="shared" si="62"/>
        <v>2.5806451612904624E-2</v>
      </c>
      <c r="BX51" s="186">
        <f t="shared" si="62"/>
        <v>1.1666666666666714E-2</v>
      </c>
      <c r="BY51" s="186">
        <f t="shared" si="62"/>
        <v>2.0192307692306954E-2</v>
      </c>
      <c r="BZ51" s="186">
        <f t="shared" si="62"/>
        <v>1.1029411764706509E-2</v>
      </c>
      <c r="CA51" s="186">
        <f t="shared" si="62"/>
        <v>1.2499999999999289E-2</v>
      </c>
      <c r="CB51" s="186">
        <f t="shared" si="62"/>
        <v>1.8750000000000711E-2</v>
      </c>
      <c r="CC51" s="186">
        <f t="shared" si="62"/>
        <v>1.8103448275860856E-2</v>
      </c>
      <c r="CD51" s="186">
        <f t="shared" si="62"/>
        <v>1.0576923076923705E-2</v>
      </c>
      <c r="CE51" s="186">
        <f t="shared" si="62"/>
        <v>2.6785714285715301E-3</v>
      </c>
      <c r="CF51" s="186">
        <f t="shared" si="62"/>
        <v>1.3999999999999346E-2</v>
      </c>
      <c r="CG51" s="186">
        <f t="shared" si="62"/>
        <v>1.9444444444443931E-2</v>
      </c>
      <c r="CH51" s="186">
        <f t="shared" ca="1" si="62"/>
        <v>-0.47852156553379643</v>
      </c>
      <c r="CI51" s="186">
        <f t="shared" ca="1" si="62"/>
        <v>0.5211939793269007</v>
      </c>
      <c r="CJ51" s="186">
        <f t="shared" ref="CJ51:CX51" si="63">LN(CJ50)-LN(CI50)</f>
        <v>1.7708333333333215E-2</v>
      </c>
      <c r="CK51" s="186">
        <f t="shared" si="63"/>
        <v>2.2999999999999687E-2</v>
      </c>
      <c r="CL51" s="186">
        <f t="shared" si="63"/>
        <v>8.6538461538463451E-3</v>
      </c>
      <c r="CM51" s="186">
        <f t="shared" si="63"/>
        <v>5.2173913043478848E-2</v>
      </c>
      <c r="CN51" s="186">
        <f t="shared" si="63"/>
        <v>1.5277777777777501E-2</v>
      </c>
      <c r="CO51" s="186">
        <f t="shared" si="63"/>
        <v>9.3750000000003553E-3</v>
      </c>
      <c r="CP51" s="186">
        <f t="shared" si="63"/>
        <v>9.7826086956516178E-3</v>
      </c>
      <c r="CQ51" s="186">
        <f t="shared" si="63"/>
        <v>2.5999999999999801E-2</v>
      </c>
      <c r="CR51" s="186">
        <f t="shared" si="63"/>
        <v>1.2500000000001066E-2</v>
      </c>
      <c r="CS51" s="186">
        <f t="shared" si="63"/>
        <v>-1.8165024630542703E-2</v>
      </c>
      <c r="CT51" s="186">
        <f t="shared" si="63"/>
        <v>3.9097564313081534E-2</v>
      </c>
      <c r="CU51" s="186">
        <f t="shared" si="63"/>
        <v>1.1538461538460609E-2</v>
      </c>
      <c r="CV51" s="186">
        <f t="shared" si="63"/>
        <v>1.9696969696971323E-2</v>
      </c>
      <c r="CW51" s="186">
        <f t="shared" si="63"/>
        <v>6.2499999999996447E-3</v>
      </c>
      <c r="CX51" s="186">
        <f t="shared" si="63"/>
        <v>0</v>
      </c>
      <c r="DO51" s="88"/>
      <c r="DQ51" s="55">
        <f ca="1"/>
        <v>8.6538461538463451E-3</v>
      </c>
      <c r="DR51" s="55">
        <f ca="1"/>
        <v>5.2173913043478848E-2</v>
      </c>
      <c r="DS51" s="55">
        <f ca="1"/>
        <v>1.5277777777777501E-2</v>
      </c>
      <c r="DT51" s="55">
        <f ca="1"/>
        <v>9.3750000000003553E-3</v>
      </c>
      <c r="DU51" s="55">
        <f ca="1"/>
        <v>9.7826086956516178E-3</v>
      </c>
      <c r="DV51" s="55">
        <f ca="1"/>
        <v>2.5999999999999801E-2</v>
      </c>
      <c r="DW51" s="55">
        <f ca="1"/>
        <v>1.2500000000001066E-2</v>
      </c>
      <c r="DX51" s="55">
        <f ca="1"/>
        <v>-1.8165024630542703E-2</v>
      </c>
      <c r="DY51" s="55">
        <f ca="1"/>
        <v>3.9097564313081534E-2</v>
      </c>
      <c r="DZ51" s="55">
        <f ca="1"/>
        <v>1.1538461538460609E-2</v>
      </c>
      <c r="EA51" s="55">
        <f ca="1"/>
        <v>1.9696969696971323E-2</v>
      </c>
      <c r="EB51" s="55">
        <f ca="1"/>
        <v>6.2499999999996447E-3</v>
      </c>
      <c r="EC51" s="186">
        <f ca="1"/>
        <v>0</v>
      </c>
    </row>
    <row r="52" spans="1:133" x14ac:dyDescent="0.3">
      <c r="C52" s="55"/>
      <c r="D52" s="55"/>
      <c r="E52" s="55"/>
      <c r="F52" s="55"/>
      <c r="G52" s="55"/>
      <c r="H52" s="55"/>
      <c r="I52" s="55"/>
      <c r="J52" s="55"/>
      <c r="K52" s="55"/>
      <c r="L52" s="55"/>
      <c r="M52" s="55"/>
      <c r="N52" s="55"/>
      <c r="O52" s="55"/>
      <c r="P52" s="55"/>
      <c r="Q52" s="55"/>
      <c r="R52" s="55"/>
      <c r="S52" s="55"/>
      <c r="T52" s="55"/>
      <c r="U52" s="55"/>
      <c r="V52" s="55"/>
      <c r="W52" s="55"/>
      <c r="X52" s="55"/>
      <c r="Y52" s="55"/>
      <c r="Z52" s="55"/>
      <c r="AA52" s="55"/>
      <c r="AB52" s="55"/>
      <c r="AC52" s="55"/>
      <c r="AD52" s="55"/>
      <c r="AE52" s="55"/>
      <c r="AF52" s="55"/>
      <c r="AG52" s="55"/>
      <c r="AH52" s="55"/>
      <c r="AI52" s="55"/>
      <c r="AJ52" s="55"/>
      <c r="AK52" s="55"/>
      <c r="AL52" s="55"/>
      <c r="AM52" s="55"/>
      <c r="AN52" s="55"/>
      <c r="AO52" s="55"/>
      <c r="AP52" s="55"/>
      <c r="AQ52" s="55"/>
      <c r="AR52" s="55"/>
      <c r="AS52" s="55"/>
      <c r="AT52" s="55"/>
      <c r="AU52" s="55"/>
      <c r="AV52" s="55"/>
      <c r="AW52" s="186"/>
      <c r="AX52" s="186"/>
      <c r="AY52" s="186"/>
      <c r="AZ52" s="186"/>
      <c r="BA52" s="186"/>
      <c r="BB52" s="186"/>
      <c r="BC52" s="186"/>
      <c r="BD52" s="186"/>
      <c r="BE52" s="186"/>
      <c r="BF52" s="186"/>
      <c r="BG52" s="186"/>
      <c r="BH52" s="186"/>
      <c r="BI52" s="186"/>
      <c r="BJ52" s="186"/>
      <c r="BK52" s="186"/>
      <c r="BL52" s="186"/>
      <c r="BM52" s="186"/>
      <c r="BN52" s="186"/>
      <c r="BO52" s="186"/>
      <c r="BP52" s="186"/>
      <c r="BQ52" s="186"/>
      <c r="BR52" s="186"/>
      <c r="BS52" s="186"/>
      <c r="BT52" s="186"/>
      <c r="BU52" s="186"/>
      <c r="BV52" s="186"/>
      <c r="BW52" s="186"/>
      <c r="BX52" s="186"/>
      <c r="BY52" s="186"/>
      <c r="BZ52" s="186"/>
      <c r="CA52" s="186"/>
      <c r="CB52" s="186"/>
      <c r="CC52" s="186"/>
      <c r="CD52" s="186"/>
      <c r="CE52" s="186"/>
      <c r="CF52" s="186"/>
      <c r="CG52" s="186"/>
      <c r="CH52" s="186"/>
      <c r="CI52" s="186"/>
      <c r="CJ52" s="186"/>
      <c r="CK52" s="186"/>
      <c r="CL52" s="186"/>
      <c r="CM52" s="186"/>
      <c r="CN52" s="186"/>
      <c r="CO52" s="186"/>
      <c r="CP52" s="186"/>
      <c r="CQ52" s="186"/>
      <c r="CR52" s="186"/>
      <c r="CS52" s="186"/>
      <c r="CT52" s="186"/>
      <c r="CU52" s="186"/>
      <c r="CV52" s="186"/>
      <c r="CW52" s="186"/>
      <c r="CX52" s="186"/>
      <c r="DO52" s="88"/>
      <c r="DQ52" s="55">
        <f ca="1"/>
        <v>0</v>
      </c>
      <c r="DR52" s="55">
        <f ca="1"/>
        <v>0</v>
      </c>
      <c r="DS52" s="55">
        <f ca="1"/>
        <v>0</v>
      </c>
      <c r="DT52" s="55">
        <f ca="1"/>
        <v>0</v>
      </c>
      <c r="DU52" s="55">
        <f ca="1"/>
        <v>0</v>
      </c>
      <c r="DV52" s="55">
        <f ca="1"/>
        <v>0</v>
      </c>
      <c r="DW52" s="55">
        <f ca="1"/>
        <v>0</v>
      </c>
      <c r="DX52" s="55">
        <f ca="1"/>
        <v>0</v>
      </c>
      <c r="DY52" s="55">
        <f ca="1"/>
        <v>0</v>
      </c>
      <c r="DZ52" s="55">
        <f ca="1"/>
        <v>0</v>
      </c>
      <c r="EA52" s="55">
        <f ca="1"/>
        <v>0</v>
      </c>
      <c r="EB52" s="55">
        <f ca="1"/>
        <v>0</v>
      </c>
      <c r="EC52" s="186">
        <f ca="1"/>
        <v>0</v>
      </c>
    </row>
    <row r="53" spans="1:133" x14ac:dyDescent="0.3">
      <c r="A53" t="str">
        <f>A54</f>
        <v>Weapons: Botnets</v>
      </c>
      <c r="C53" s="55"/>
      <c r="D53" s="55"/>
      <c r="E53" s="55"/>
      <c r="F53" s="55"/>
      <c r="G53" s="55"/>
      <c r="H53" s="55"/>
      <c r="I53" s="55"/>
      <c r="J53" s="55"/>
      <c r="K53" s="55"/>
      <c r="L53" s="55"/>
      <c r="M53" s="55"/>
      <c r="N53" s="55"/>
      <c r="O53" s="55"/>
      <c r="P53" s="55"/>
      <c r="Q53" s="55"/>
      <c r="R53" s="55"/>
      <c r="S53" s="55"/>
      <c r="T53" s="55"/>
      <c r="U53" s="55"/>
      <c r="V53" s="55"/>
      <c r="W53" s="55"/>
      <c r="X53" s="55"/>
      <c r="Y53" s="55"/>
      <c r="Z53" s="55"/>
      <c r="AA53" s="55"/>
      <c r="AB53" s="55"/>
      <c r="AC53" s="55"/>
      <c r="AD53" s="55"/>
      <c r="AE53" s="55"/>
      <c r="AF53" s="55"/>
      <c r="AG53" s="55"/>
      <c r="AH53" s="55"/>
      <c r="AI53" s="55"/>
      <c r="AJ53" s="55"/>
      <c r="AK53" s="55"/>
      <c r="AL53" s="55"/>
      <c r="AM53" s="55"/>
      <c r="AN53" s="55"/>
      <c r="AO53" s="55"/>
      <c r="AP53" s="55"/>
      <c r="AQ53" s="55"/>
      <c r="AR53" s="55"/>
      <c r="AS53" s="55"/>
      <c r="AT53" s="55"/>
      <c r="AU53" s="55"/>
      <c r="AV53" s="55"/>
      <c r="AW53" s="186"/>
      <c r="AX53" s="186"/>
      <c r="AY53" s="186"/>
      <c r="AZ53" s="186"/>
      <c r="BA53" s="186"/>
      <c r="BB53" s="186"/>
      <c r="BC53" s="186"/>
      <c r="BD53" s="186"/>
      <c r="BE53" s="186"/>
      <c r="BF53" s="186"/>
      <c r="BG53" s="186"/>
      <c r="BH53" s="186"/>
      <c r="BI53" s="186"/>
      <c r="BJ53" s="186"/>
      <c r="BK53" s="186"/>
      <c r="BL53" s="186"/>
      <c r="BM53" s="186"/>
      <c r="BN53" s="186"/>
      <c r="BO53" s="186"/>
      <c r="BP53" s="186"/>
      <c r="BQ53" s="186"/>
      <c r="BR53" s="186"/>
      <c r="BS53" s="186"/>
      <c r="BT53" s="186"/>
      <c r="BU53" s="186"/>
      <c r="BV53" s="186"/>
      <c r="BW53" s="186"/>
      <c r="BX53" s="186"/>
      <c r="BY53" s="186"/>
      <c r="BZ53" s="186"/>
      <c r="CA53" s="186"/>
      <c r="CB53" s="186"/>
      <c r="CC53" s="186"/>
      <c r="CD53" s="186"/>
      <c r="CE53" s="186"/>
      <c r="CF53" s="186"/>
      <c r="CG53" s="186"/>
      <c r="CH53" s="186"/>
      <c r="CI53" s="186"/>
      <c r="CJ53" s="186"/>
      <c r="CK53" s="186"/>
      <c r="CL53" s="186"/>
      <c r="CM53" s="186"/>
      <c r="CN53" s="186"/>
      <c r="CO53" s="186"/>
      <c r="CP53" s="186"/>
      <c r="CQ53" s="186"/>
      <c r="CR53" s="186"/>
      <c r="CS53" s="186"/>
      <c r="CT53" s="186"/>
      <c r="CU53" s="186"/>
      <c r="CV53" s="186"/>
      <c r="CW53" s="186"/>
      <c r="CX53" s="186"/>
      <c r="CZ53" t="str">
        <f>A59</f>
        <v>Weapons: Mass malware</v>
      </c>
      <c r="DG53" t="str">
        <f>A64</f>
        <v>Weapons: Vulnerability exploitation</v>
      </c>
      <c r="DO53" s="88"/>
      <c r="DQ53" s="55">
        <f ca="1"/>
        <v>0</v>
      </c>
      <c r="DR53" s="55">
        <f ca="1"/>
        <v>0</v>
      </c>
      <c r="DS53" s="55">
        <f ca="1"/>
        <v>0</v>
      </c>
      <c r="DT53" s="55">
        <f ca="1"/>
        <v>0</v>
      </c>
      <c r="DU53" s="55">
        <f ca="1"/>
        <v>0</v>
      </c>
      <c r="DV53" s="55">
        <f ca="1"/>
        <v>0</v>
      </c>
      <c r="DW53" s="55">
        <f ca="1"/>
        <v>0</v>
      </c>
      <c r="DX53" s="55">
        <f ca="1"/>
        <v>0</v>
      </c>
      <c r="DY53" s="55">
        <f ca="1"/>
        <v>0</v>
      </c>
      <c r="DZ53" s="55">
        <f ca="1"/>
        <v>0</v>
      </c>
      <c r="EA53" s="55">
        <f ca="1"/>
        <v>0</v>
      </c>
      <c r="EB53" s="55">
        <f ca="1"/>
        <v>0</v>
      </c>
      <c r="EC53" s="186">
        <f ca="1"/>
        <v>0</v>
      </c>
    </row>
    <row r="54" spans="1:133" x14ac:dyDescent="0.3">
      <c r="A54" t="str">
        <f>A55</f>
        <v>Weapons: Botnets</v>
      </c>
      <c r="B54" s="57" t="str">
        <f>C$1</f>
        <v>Apr</v>
      </c>
      <c r="C54" s="57" t="str">
        <f t="shared" ref="C54:N54" si="64">D$1</f>
        <v>May</v>
      </c>
      <c r="D54" s="57" t="str">
        <f t="shared" si="64"/>
        <v>Jun</v>
      </c>
      <c r="E54" s="57" t="str">
        <f t="shared" si="64"/>
        <v>Jul</v>
      </c>
      <c r="F54" s="57" t="str">
        <f t="shared" si="64"/>
        <v>Aug</v>
      </c>
      <c r="G54" s="57" t="str">
        <f t="shared" si="64"/>
        <v>Sep</v>
      </c>
      <c r="H54" s="57" t="str">
        <f t="shared" si="64"/>
        <v>Oct</v>
      </c>
      <c r="I54" s="57" t="str">
        <f t="shared" si="64"/>
        <v>Nov</v>
      </c>
      <c r="J54" s="57" t="str">
        <f t="shared" si="64"/>
        <v>Dec 2011</v>
      </c>
      <c r="K54" s="57" t="str">
        <f t="shared" si="64"/>
        <v>Jan 2012</v>
      </c>
      <c r="L54" s="57" t="str">
        <f t="shared" si="64"/>
        <v>Feb</v>
      </c>
      <c r="M54" s="57" t="str">
        <f t="shared" si="64"/>
        <v>Mar</v>
      </c>
      <c r="N54" s="57" t="str">
        <f t="shared" si="64"/>
        <v>Apr</v>
      </c>
      <c r="O54" s="57" t="str">
        <f t="shared" ref="O54:AD54" si="65">P$1</f>
        <v>May</v>
      </c>
      <c r="P54" s="57" t="str">
        <f t="shared" si="65"/>
        <v>Jun</v>
      </c>
      <c r="Q54" s="57" t="str">
        <f t="shared" si="65"/>
        <v>Jul</v>
      </c>
      <c r="R54" s="57" t="str">
        <f t="shared" si="65"/>
        <v>Aug</v>
      </c>
      <c r="S54" s="57" t="str">
        <f t="shared" si="65"/>
        <v>Sep</v>
      </c>
      <c r="T54" s="57" t="str">
        <f t="shared" si="65"/>
        <v>Oct</v>
      </c>
      <c r="U54" s="57" t="str">
        <f t="shared" si="65"/>
        <v>Nov</v>
      </c>
      <c r="V54" s="57" t="str">
        <f t="shared" si="65"/>
        <v>Dec 2012</v>
      </c>
      <c r="W54" s="57" t="str">
        <f t="shared" si="65"/>
        <v>Jan 2013</v>
      </c>
      <c r="X54" s="57" t="str">
        <f t="shared" si="65"/>
        <v>Feb</v>
      </c>
      <c r="Y54" s="57" t="str">
        <f t="shared" si="65"/>
        <v>Mar</v>
      </c>
      <c r="Z54" s="57" t="str">
        <f t="shared" si="65"/>
        <v>Apr</v>
      </c>
      <c r="AA54" s="57" t="str">
        <f t="shared" si="65"/>
        <v>May</v>
      </c>
      <c r="AB54" s="57" t="str">
        <f t="shared" si="65"/>
        <v>Jun</v>
      </c>
      <c r="AC54" s="57" t="str">
        <f t="shared" si="65"/>
        <v>Jul</v>
      </c>
      <c r="AD54" s="57" t="str">
        <f t="shared" si="65"/>
        <v>Aug</v>
      </c>
      <c r="AE54" s="57" t="str">
        <f>AF$1</f>
        <v>Sep</v>
      </c>
      <c r="AF54" s="57" t="str">
        <f t="shared" ref="AF54:AK54" si="66">AG$1</f>
        <v>Oct</v>
      </c>
      <c r="AG54" s="57" t="str">
        <f t="shared" si="66"/>
        <v>Nov</v>
      </c>
      <c r="AH54" s="57" t="str">
        <f t="shared" si="66"/>
        <v>Dec 2013</v>
      </c>
      <c r="AI54" s="57" t="str">
        <f t="shared" si="66"/>
        <v>Jan 2014</v>
      </c>
      <c r="AJ54" s="57" t="str">
        <f t="shared" si="66"/>
        <v>Feb</v>
      </c>
      <c r="AK54" s="57" t="str">
        <f t="shared" si="66"/>
        <v>Mar</v>
      </c>
      <c r="AL54" s="57" t="str">
        <f t="shared" ref="AL54:CI54" si="67">AM$1</f>
        <v>Apr</v>
      </c>
      <c r="AM54" s="57" t="str">
        <f t="shared" si="67"/>
        <v>May</v>
      </c>
      <c r="AN54" s="57" t="str">
        <f t="shared" si="67"/>
        <v>Jun</v>
      </c>
      <c r="AO54" s="57" t="str">
        <f t="shared" si="67"/>
        <v>Jul</v>
      </c>
      <c r="AP54" s="57" t="str">
        <f t="shared" si="67"/>
        <v>Aug</v>
      </c>
      <c r="AQ54" s="57" t="str">
        <f t="shared" si="67"/>
        <v>Sep</v>
      </c>
      <c r="AR54" s="57" t="str">
        <f t="shared" si="67"/>
        <v>Oct</v>
      </c>
      <c r="AS54" s="57" t="str">
        <f t="shared" si="67"/>
        <v>Nov</v>
      </c>
      <c r="AT54" s="57" t="str">
        <f t="shared" si="67"/>
        <v>Dec '14</v>
      </c>
      <c r="AU54" s="57" t="str">
        <f t="shared" si="67"/>
        <v>Jan '15</v>
      </c>
      <c r="AV54" s="57" t="str">
        <f t="shared" si="67"/>
        <v>Feb</v>
      </c>
      <c r="AW54" s="57" t="str">
        <f t="shared" si="67"/>
        <v>Mar</v>
      </c>
      <c r="AX54" s="57" t="str">
        <f t="shared" si="67"/>
        <v>Apr</v>
      </c>
      <c r="AY54" s="57" t="str">
        <f t="shared" si="67"/>
        <v>May</v>
      </c>
      <c r="AZ54" s="57" t="str">
        <f t="shared" si="67"/>
        <v>Jun</v>
      </c>
      <c r="BA54" s="57" t="str">
        <f t="shared" si="67"/>
        <v>Jul</v>
      </c>
      <c r="BB54" s="57" t="str">
        <f t="shared" si="67"/>
        <v>Aug</v>
      </c>
      <c r="BC54" s="57" t="str">
        <f t="shared" si="67"/>
        <v>Sep</v>
      </c>
      <c r="BD54" s="57" t="str">
        <f t="shared" si="67"/>
        <v>Oct</v>
      </c>
      <c r="BE54" s="57" t="str">
        <f t="shared" si="67"/>
        <v>Nov</v>
      </c>
      <c r="BF54" s="57" t="str">
        <f t="shared" si="67"/>
        <v>Dec '15</v>
      </c>
      <c r="BG54" s="57" t="str">
        <f t="shared" si="67"/>
        <v>Jan '16</v>
      </c>
      <c r="BH54" s="57" t="str">
        <f t="shared" si="67"/>
        <v>Feb</v>
      </c>
      <c r="BI54" s="57" t="str">
        <f t="shared" si="67"/>
        <v>Mar</v>
      </c>
      <c r="BJ54" s="57" t="str">
        <f t="shared" si="67"/>
        <v>Apr</v>
      </c>
      <c r="BK54" s="57" t="str">
        <f t="shared" si="67"/>
        <v>May</v>
      </c>
      <c r="BL54" s="57" t="str">
        <f t="shared" si="67"/>
        <v>Jun</v>
      </c>
      <c r="BM54" s="57" t="str">
        <f t="shared" si="67"/>
        <v>Jul</v>
      </c>
      <c r="BN54" s="57" t="str">
        <f t="shared" si="67"/>
        <v>Aug</v>
      </c>
      <c r="BO54" s="57" t="str">
        <f t="shared" si="67"/>
        <v>Sep</v>
      </c>
      <c r="BP54" s="57" t="str">
        <f t="shared" si="67"/>
        <v>Oct</v>
      </c>
      <c r="BQ54" s="57" t="str">
        <f t="shared" si="67"/>
        <v>Nov</v>
      </c>
      <c r="BR54" s="57" t="str">
        <f t="shared" si="67"/>
        <v>Dec-16</v>
      </c>
      <c r="BS54" s="57" t="str">
        <f t="shared" si="67"/>
        <v>Jan-17</v>
      </c>
      <c r="BT54" s="57" t="str">
        <f t="shared" si="67"/>
        <v>Feb</v>
      </c>
      <c r="BU54" s="57" t="str">
        <f t="shared" si="67"/>
        <v>Mar</v>
      </c>
      <c r="BV54" s="57" t="str">
        <f t="shared" si="67"/>
        <v>Apr</v>
      </c>
      <c r="BW54" s="57" t="str">
        <f t="shared" si="67"/>
        <v>May</v>
      </c>
      <c r="BX54" s="57" t="str">
        <f t="shared" si="67"/>
        <v>Jun</v>
      </c>
      <c r="BY54" s="57" t="str">
        <f t="shared" si="67"/>
        <v>Jul</v>
      </c>
      <c r="BZ54" s="57" t="str">
        <f t="shared" si="67"/>
        <v>Aug</v>
      </c>
      <c r="CA54" s="57" t="str">
        <f t="shared" si="67"/>
        <v>Sep</v>
      </c>
      <c r="CB54" s="57" t="str">
        <f t="shared" si="67"/>
        <v>Oct</v>
      </c>
      <c r="CC54" s="57" t="str">
        <f t="shared" si="67"/>
        <v>Nov</v>
      </c>
      <c r="CD54" s="57" t="str">
        <f t="shared" si="67"/>
        <v>Dec</v>
      </c>
      <c r="CE54" s="57" t="str">
        <f t="shared" si="67"/>
        <v>Jan '18</v>
      </c>
      <c r="CF54" s="57" t="str">
        <f t="shared" si="67"/>
        <v>Feb</v>
      </c>
      <c r="CG54" s="57" t="str">
        <f t="shared" si="67"/>
        <v>Mar</v>
      </c>
      <c r="CH54" s="57" t="str">
        <f t="shared" si="67"/>
        <v>Apr</v>
      </c>
      <c r="CI54" s="57" t="str">
        <f t="shared" si="67"/>
        <v>May</v>
      </c>
      <c r="CJ54" s="57" t="str">
        <f t="shared" ref="CJ54:CO54" si="68">CK$1</f>
        <v>Jun</v>
      </c>
      <c r="CK54" s="57" t="str">
        <f t="shared" si="68"/>
        <v>Jul</v>
      </c>
      <c r="CL54" s="57" t="str">
        <f t="shared" si="68"/>
        <v>Aug</v>
      </c>
      <c r="CM54" s="57" t="str">
        <f t="shared" si="68"/>
        <v>Sep</v>
      </c>
      <c r="CN54" s="57" t="str">
        <f t="shared" si="68"/>
        <v>Oct</v>
      </c>
      <c r="CO54" s="57" t="str">
        <f t="shared" si="68"/>
        <v>Nov</v>
      </c>
      <c r="CP54" s="57" t="str">
        <f t="shared" ref="CP54:CX54" si="69">CQ$1</f>
        <v>Dec-18</v>
      </c>
      <c r="CQ54" s="57" t="str">
        <f t="shared" si="69"/>
        <v>Jan-19</v>
      </c>
      <c r="CR54" s="57" t="str">
        <f t="shared" si="69"/>
        <v>Feb-19</v>
      </c>
      <c r="CS54" s="57" t="str">
        <f t="shared" si="69"/>
        <v>Mar-19</v>
      </c>
      <c r="CT54" s="57" t="str">
        <f t="shared" si="69"/>
        <v>Apr-19</v>
      </c>
      <c r="CU54" s="57" t="str">
        <f t="shared" si="69"/>
        <v>May-19</v>
      </c>
      <c r="CV54" s="57" t="str">
        <f t="shared" si="69"/>
        <v>June-19</v>
      </c>
      <c r="CW54" s="57" t="str">
        <f t="shared" si="69"/>
        <v>July-19</v>
      </c>
      <c r="CX54" s="57" t="str">
        <f t="shared" si="69"/>
        <v>Aug-19</v>
      </c>
      <c r="DO54" s="88"/>
      <c r="DQ54" s="57" t="str">
        <f ca="1"/>
        <v>Aug</v>
      </c>
      <c r="DR54" s="57" t="str">
        <f ca="1"/>
        <v>Sep</v>
      </c>
      <c r="DS54" s="57" t="str">
        <f ca="1"/>
        <v>Oct</v>
      </c>
      <c r="DT54" s="57" t="str">
        <f ca="1"/>
        <v>Nov</v>
      </c>
      <c r="DU54" s="57" t="str">
        <f ca="1"/>
        <v>Dec-18</v>
      </c>
      <c r="DV54" s="57" t="str">
        <f ca="1"/>
        <v>Jan-19</v>
      </c>
      <c r="DW54" s="57" t="str">
        <f ca="1"/>
        <v>Feb-19</v>
      </c>
      <c r="DX54" s="57" t="str">
        <f ca="1"/>
        <v>Mar-19</v>
      </c>
      <c r="DY54" s="57" t="str">
        <f ca="1"/>
        <v>Apr-19</v>
      </c>
      <c r="DZ54" s="57" t="str">
        <f ca="1"/>
        <v>May-19</v>
      </c>
      <c r="EA54" s="57" t="str">
        <f ca="1"/>
        <v>June-19</v>
      </c>
      <c r="EB54" s="57" t="str">
        <f ca="1"/>
        <v>July-19</v>
      </c>
      <c r="EC54" s="57" t="str">
        <f ca="1"/>
        <v>Aug-19</v>
      </c>
    </row>
    <row r="55" spans="1:133" x14ac:dyDescent="0.3">
      <c r="A55" t="str">
        <f>A7</f>
        <v>Weapons: Botnets</v>
      </c>
      <c r="B55">
        <f t="shared" ref="B55:CI55" si="70">C7</f>
        <v>1000</v>
      </c>
      <c r="C55" s="56">
        <f t="shared" si="70"/>
        <v>1000</v>
      </c>
      <c r="D55" s="56">
        <f t="shared" si="70"/>
        <v>1000</v>
      </c>
      <c r="E55" s="56">
        <f t="shared" si="70"/>
        <v>1000</v>
      </c>
      <c r="F55" s="56">
        <f t="shared" si="70"/>
        <v>1000</v>
      </c>
      <c r="G55" s="56">
        <f t="shared" si="70"/>
        <v>1000</v>
      </c>
      <c r="H55" s="56">
        <f t="shared" si="70"/>
        <v>1000</v>
      </c>
      <c r="I55" s="56">
        <f t="shared" si="70"/>
        <v>1000</v>
      </c>
      <c r="J55" s="56">
        <f t="shared" si="70"/>
        <v>1000</v>
      </c>
      <c r="K55" s="56">
        <f t="shared" si="70"/>
        <v>1000</v>
      </c>
      <c r="L55" s="56">
        <f t="shared" si="70"/>
        <v>1000</v>
      </c>
      <c r="M55" s="56">
        <f t="shared" si="70"/>
        <v>1000</v>
      </c>
      <c r="N55" s="56">
        <f t="shared" si="70"/>
        <v>1000</v>
      </c>
      <c r="O55" s="56">
        <f t="shared" si="70"/>
        <v>1011.7059152296835</v>
      </c>
      <c r="P55" s="56">
        <f t="shared" si="70"/>
        <v>1041.9285958270304</v>
      </c>
      <c r="Q55" s="56">
        <f t="shared" si="70"/>
        <v>1045.8678296912065</v>
      </c>
      <c r="R55" s="56">
        <f t="shared" si="70"/>
        <v>1053.4374071146342</v>
      </c>
      <c r="S55" s="56">
        <f t="shared" si="70"/>
        <v>1080.6924753352998</v>
      </c>
      <c r="T55" s="56">
        <f t="shared" si="70"/>
        <v>1124.3278043876705</v>
      </c>
      <c r="U55" s="56">
        <f t="shared" si="70"/>
        <v>1138.4701071909487</v>
      </c>
      <c r="V55" s="56">
        <f t="shared" si="70"/>
        <v>1177.7238735002259</v>
      </c>
      <c r="W55" s="56">
        <f t="shared" si="70"/>
        <v>1207.5380953023812</v>
      </c>
      <c r="X55" s="56">
        <f t="shared" si="70"/>
        <v>1234.3770298880768</v>
      </c>
      <c r="Y55" s="56">
        <f t="shared" si="70"/>
        <v>1267.5445009370499</v>
      </c>
      <c r="Z55" s="56">
        <f t="shared" si="70"/>
        <v>1304.2006664989281</v>
      </c>
      <c r="AA55" s="56">
        <f t="shared" si="70"/>
        <v>1324.9923204675947</v>
      </c>
      <c r="AB55" s="56">
        <f t="shared" si="70"/>
        <v>1329.0546340623723</v>
      </c>
      <c r="AC55" s="56">
        <f t="shared" si="70"/>
        <v>1337.6260782615725</v>
      </c>
      <c r="AD55" s="56">
        <f t="shared" si="70"/>
        <v>1352.2170654065844</v>
      </c>
      <c r="AE55" s="56">
        <f t="shared" si="70"/>
        <v>1357.4279147139564</v>
      </c>
      <c r="AF55" s="56">
        <f t="shared" si="70"/>
        <v>1357.4279147139564</v>
      </c>
      <c r="AG55" s="56">
        <f t="shared" si="70"/>
        <v>1371.0702920615454</v>
      </c>
      <c r="AH55" s="56">
        <f t="shared" si="70"/>
        <v>1380.7722608633167</v>
      </c>
      <c r="AI55" s="56">
        <f t="shared" si="70"/>
        <v>1405.4412146969087</v>
      </c>
      <c r="AJ55" s="56">
        <f t="shared" si="70"/>
        <v>1417.7515703310301</v>
      </c>
      <c r="AK55" s="56">
        <f t="shared" si="70"/>
        <v>1425.5533019251664</v>
      </c>
      <c r="AL55" s="56">
        <f t="shared" si="70"/>
        <v>1420.5891050864723</v>
      </c>
      <c r="AM55" s="56">
        <f t="shared" si="70"/>
        <v>1423.0126287046173</v>
      </c>
      <c r="AN55" s="56">
        <f t="shared" si="70"/>
        <v>1432.5893066090514</v>
      </c>
      <c r="AO55" s="56">
        <f t="shared" si="70"/>
        <v>1417.3220702839276</v>
      </c>
      <c r="AP55" s="56">
        <f t="shared" si="70"/>
        <v>1441.1420532608586</v>
      </c>
      <c r="AQ55" s="56">
        <f t="shared" si="70"/>
        <v>1475.8667076171982</v>
      </c>
      <c r="AR55" s="56">
        <f t="shared" si="70"/>
        <v>1487.8522704967388</v>
      </c>
      <c r="AS55" s="56">
        <f t="shared" si="70"/>
        <v>1518.5081729542653</v>
      </c>
      <c r="AT55" s="56">
        <f t="shared" si="70"/>
        <v>1535.5868155885219</v>
      </c>
      <c r="AU55" s="56">
        <f t="shared" si="70"/>
        <v>1557.5547814244094</v>
      </c>
      <c r="AV55" s="56">
        <f t="shared" si="70"/>
        <v>1564.7442731198278</v>
      </c>
      <c r="AW55" s="56">
        <f t="shared" si="70"/>
        <v>1577.5096092912293</v>
      </c>
      <c r="AX55" s="56">
        <f t="shared" si="70"/>
        <v>1582.7073298331657</v>
      </c>
      <c r="AY55" s="56">
        <f t="shared" si="70"/>
        <v>1584.6386381108498</v>
      </c>
      <c r="AZ55" s="56">
        <f t="shared" si="70"/>
        <v>1603.1040140110742</v>
      </c>
      <c r="BA55" s="56">
        <f t="shared" si="70"/>
        <v>1619.4343048928324</v>
      </c>
      <c r="BB55" s="56">
        <f t="shared" si="70"/>
        <v>1632.585785030165</v>
      </c>
      <c r="BC55" s="56">
        <f t="shared" si="70"/>
        <v>1625.7974963483098</v>
      </c>
      <c r="BD55" s="56">
        <f t="shared" si="70"/>
        <v>1632.2278010857535</v>
      </c>
      <c r="BE55" s="56">
        <f t="shared" si="70"/>
        <v>1648.9372936919669</v>
      </c>
      <c r="BF55" s="56">
        <f t="shared" si="70"/>
        <v>1668.2875524796975</v>
      </c>
      <c r="BG55" s="56">
        <f t="shared" si="70"/>
        <v>1668.2875524796975</v>
      </c>
      <c r="BH55" s="56">
        <f t="shared" si="70"/>
        <v>1672.2021871012914</v>
      </c>
      <c r="BI55" s="56">
        <f t="shared" si="70"/>
        <v>1691.3658899210895</v>
      </c>
      <c r="BJ55" s="56">
        <f t="shared" si="70"/>
        <v>1699.8438967251982</v>
      </c>
      <c r="BK55" s="56">
        <f t="shared" si="70"/>
        <v>1710.8460843082059</v>
      </c>
      <c r="BL55" s="56">
        <f t="shared" si="70"/>
        <v>1740.5991858005705</v>
      </c>
      <c r="BM55" s="56">
        <f t="shared" si="70"/>
        <v>1740.5991858005705</v>
      </c>
      <c r="BN55" s="56">
        <f t="shared" si="70"/>
        <v>1726.1544625246008</v>
      </c>
      <c r="BO55" s="56">
        <f t="shared" si="70"/>
        <v>1736.6477705056179</v>
      </c>
      <c r="BP55" s="56">
        <f t="shared" si="70"/>
        <v>1835.6991852735014</v>
      </c>
      <c r="BQ55" s="56">
        <f t="shared" si="70"/>
        <v>1862.8942350235277</v>
      </c>
      <c r="BR55" s="56">
        <f t="shared" si="70"/>
        <v>1897.3622877295481</v>
      </c>
      <c r="BS55" s="56">
        <f t="shared" si="70"/>
        <v>1901.9582377363149</v>
      </c>
      <c r="BT55" s="56">
        <f t="shared" si="70"/>
        <v>1898.893035760897</v>
      </c>
      <c r="BU55" s="56">
        <f t="shared" si="70"/>
        <v>1886.2758528624249</v>
      </c>
      <c r="BV55" s="56">
        <f t="shared" si="70"/>
        <v>1904.6187480996509</v>
      </c>
      <c r="BW55" s="56">
        <f t="shared" si="70"/>
        <v>1904.6187480996509</v>
      </c>
      <c r="BX55" s="56">
        <f t="shared" si="70"/>
        <v>1904.6187480996509</v>
      </c>
      <c r="BY55" s="56">
        <f t="shared" si="70"/>
        <v>1904.6187480996509</v>
      </c>
      <c r="BZ55" s="56">
        <f t="shared" si="70"/>
        <v>1917.2646396292766</v>
      </c>
      <c r="CA55" s="56">
        <f t="shared" si="70"/>
        <v>1880.3446019096141</v>
      </c>
      <c r="CB55" s="56">
        <f t="shared" si="70"/>
        <v>1887.0721246275789</v>
      </c>
      <c r="CC55" s="56">
        <f t="shared" si="70"/>
        <v>1890.3285036728889</v>
      </c>
      <c r="CD55" s="56">
        <f t="shared" si="70"/>
        <v>1872.239374398242</v>
      </c>
      <c r="CE55" s="56">
        <f t="shared" si="70"/>
        <v>1880.616270407166</v>
      </c>
      <c r="CF55" s="56">
        <f t="shared" si="70"/>
        <v>1895.7215410918043</v>
      </c>
      <c r="CG55" s="56">
        <f t="shared" si="70"/>
        <v>1892.2141941910927</v>
      </c>
      <c r="CH55" s="56">
        <f t="shared" ca="1" si="70"/>
        <v>1614.0924268272679</v>
      </c>
      <c r="CI55" s="56">
        <f t="shared" si="70"/>
        <v>1873.4010301454318</v>
      </c>
      <c r="CJ55" s="56">
        <f t="shared" ref="CJ55:CO55" si="71">CK7</f>
        <v>1867.555789871024</v>
      </c>
      <c r="CK55" s="56">
        <f t="shared" si="71"/>
        <v>1841.5921781657062</v>
      </c>
      <c r="CL55" s="56">
        <f t="shared" si="71"/>
        <v>1838.0540578752946</v>
      </c>
      <c r="CM55" s="56">
        <f t="shared" si="71"/>
        <v>1810.295412788314</v>
      </c>
      <c r="CN55" s="56">
        <f t="shared" si="71"/>
        <v>1782.8483209126275</v>
      </c>
      <c r="CO55" s="56">
        <f t="shared" si="71"/>
        <v>1762.5364429372162</v>
      </c>
      <c r="CP55" s="56">
        <f t="shared" ref="CP55:CX55" si="72">CQ7</f>
        <v>1758.7090037416449</v>
      </c>
      <c r="CQ55" s="56">
        <f t="shared" si="72"/>
        <v>1748.1883432625948</v>
      </c>
      <c r="CR55" s="56">
        <f t="shared" si="72"/>
        <v>1748.1883432625948</v>
      </c>
      <c r="CS55" s="56">
        <f t="shared" si="72"/>
        <v>1766.0768952262902</v>
      </c>
      <c r="CT55" s="56">
        <f t="shared" si="72"/>
        <v>1705.8713758054519</v>
      </c>
      <c r="CU55" s="56">
        <f t="shared" si="72"/>
        <v>1692.7996287059218</v>
      </c>
      <c r="CV55" s="56">
        <f t="shared" si="72"/>
        <v>1712.1457008042225</v>
      </c>
      <c r="CW55" s="56">
        <f t="shared" si="72"/>
        <v>1699.9596620340028</v>
      </c>
      <c r="CX55" s="56">
        <f t="shared" si="72"/>
        <v>1699.9596620340028</v>
      </c>
      <c r="DO55" s="88"/>
      <c r="DQ55" s="56">
        <f ca="1"/>
        <v>1838.0540578752946</v>
      </c>
      <c r="DR55" s="56">
        <f ca="1"/>
        <v>1810.295412788314</v>
      </c>
      <c r="DS55" s="56">
        <f ca="1"/>
        <v>1782.8483209126275</v>
      </c>
      <c r="DT55" s="56">
        <f ca="1"/>
        <v>1762.5364429372162</v>
      </c>
      <c r="DU55" s="56">
        <f ca="1"/>
        <v>1758.7090037416449</v>
      </c>
      <c r="DV55" s="56">
        <f ca="1"/>
        <v>1748.1883432625948</v>
      </c>
      <c r="DW55" s="56">
        <f ca="1"/>
        <v>1748.1883432625948</v>
      </c>
      <c r="DX55" s="56">
        <f ca="1"/>
        <v>1766.0768952262902</v>
      </c>
      <c r="DY55" s="56">
        <f ca="1"/>
        <v>1705.8713758054519</v>
      </c>
      <c r="DZ55" s="56">
        <f ca="1"/>
        <v>1692.7996287059218</v>
      </c>
      <c r="EA55" s="56">
        <f ca="1"/>
        <v>1712.1457008042225</v>
      </c>
      <c r="EB55" s="56">
        <f ca="1"/>
        <v>1699.9596620340028</v>
      </c>
      <c r="EC55" s="56">
        <f ca="1"/>
        <v>1699.9596620340028</v>
      </c>
    </row>
    <row r="56" spans="1:133" x14ac:dyDescent="0.3">
      <c r="A56" t="s">
        <v>108</v>
      </c>
      <c r="C56" s="55">
        <f t="shared" ref="C56:M56" si="73">LN(C55)-LN(B55)</f>
        <v>0</v>
      </c>
      <c r="D56" s="55">
        <f t="shared" si="73"/>
        <v>0</v>
      </c>
      <c r="E56" s="55">
        <f t="shared" si="73"/>
        <v>0</v>
      </c>
      <c r="F56" s="55">
        <f t="shared" si="73"/>
        <v>0</v>
      </c>
      <c r="G56" s="55">
        <f t="shared" si="73"/>
        <v>0</v>
      </c>
      <c r="H56" s="55">
        <f t="shared" si="73"/>
        <v>0</v>
      </c>
      <c r="I56" s="55">
        <f t="shared" si="73"/>
        <v>0</v>
      </c>
      <c r="J56" s="55">
        <f t="shared" si="73"/>
        <v>0</v>
      </c>
      <c r="K56" s="55">
        <f t="shared" si="73"/>
        <v>0</v>
      </c>
      <c r="L56" s="55">
        <f t="shared" si="73"/>
        <v>0</v>
      </c>
      <c r="M56" s="55">
        <f t="shared" si="73"/>
        <v>0</v>
      </c>
      <c r="N56" s="55">
        <f t="shared" ref="N56:AD56" si="74">LN(N55)-LN(M55)</f>
        <v>0</v>
      </c>
      <c r="O56" s="55">
        <f t="shared" si="74"/>
        <v>1.163793103448274E-2</v>
      </c>
      <c r="P56" s="55">
        <f t="shared" si="74"/>
        <v>2.9435483870967616E-2</v>
      </c>
      <c r="Q56" s="55">
        <f t="shared" si="74"/>
        <v>3.7735849056605986E-3</v>
      </c>
      <c r="R56" s="55">
        <f t="shared" si="74"/>
        <v>7.2115384615383249E-3</v>
      </c>
      <c r="S56" s="55">
        <f t="shared" si="74"/>
        <v>2.554347826086989E-2</v>
      </c>
      <c r="T56" s="55">
        <f t="shared" si="74"/>
        <v>3.958333333333286E-2</v>
      </c>
      <c r="U56" s="55">
        <f t="shared" si="74"/>
        <v>1.2500000000000178E-2</v>
      </c>
      <c r="V56" s="55">
        <f t="shared" si="74"/>
        <v>3.3898305084745672E-2</v>
      </c>
      <c r="W56" s="55">
        <f t="shared" si="74"/>
        <v>2.5000000000000355E-2</v>
      </c>
      <c r="X56" s="55">
        <f t="shared" si="74"/>
        <v>2.1982758620689324E-2</v>
      </c>
      <c r="Y56" s="55">
        <f t="shared" si="74"/>
        <v>2.6515151515151381E-2</v>
      </c>
      <c r="Z56" s="55">
        <f t="shared" si="74"/>
        <v>2.8508771929825372E-2</v>
      </c>
      <c r="AA56" s="55">
        <f t="shared" si="74"/>
        <v>1.5816326530611491E-2</v>
      </c>
      <c r="AB56" s="55">
        <f t="shared" si="74"/>
        <v>3.0612244897962881E-3</v>
      </c>
      <c r="AC56" s="55">
        <f t="shared" si="74"/>
        <v>6.4285714285716722E-3</v>
      </c>
      <c r="AD56" s="55">
        <f t="shared" si="74"/>
        <v>1.0849056603773555E-2</v>
      </c>
      <c r="AE56" s="55">
        <f>LN(AE55)-LN(AD55)</f>
        <v>3.8461538461538325E-3</v>
      </c>
      <c r="AF56" s="55">
        <f t="shared" ref="AF56:CI56" si="75">LN(AF55)-LN(AE55)</f>
        <v>0</v>
      </c>
      <c r="AG56" s="55">
        <f t="shared" si="75"/>
        <v>9.9999999999997868E-3</v>
      </c>
      <c r="AH56" s="55">
        <f t="shared" si="75"/>
        <v>7.0512820512824703E-3</v>
      </c>
      <c r="AI56" s="55">
        <f t="shared" si="75"/>
        <v>1.7708333333333215E-2</v>
      </c>
      <c r="AJ56" s="55">
        <f t="shared" si="75"/>
        <v>8.720930232557933E-3</v>
      </c>
      <c r="AK56" s="55">
        <f t="shared" si="75"/>
        <v>5.4878048780491184E-3</v>
      </c>
      <c r="AL56" s="55">
        <f t="shared" si="75"/>
        <v>-3.4883720930238837E-3</v>
      </c>
      <c r="AM56" s="55">
        <f t="shared" si="75"/>
        <v>1.7045454545456806E-3</v>
      </c>
      <c r="AN56" s="55">
        <f t="shared" si="75"/>
        <v>6.7073170731708487E-3</v>
      </c>
      <c r="AO56" s="55">
        <f t="shared" si="75"/>
        <v>-1.071428571428612E-2</v>
      </c>
      <c r="AP56" s="55">
        <f t="shared" si="75"/>
        <v>1.6666666666666607E-2</v>
      </c>
      <c r="AQ56" s="55">
        <f t="shared" si="75"/>
        <v>2.3809523809524613E-2</v>
      </c>
      <c r="AR56" s="55">
        <f t="shared" si="75"/>
        <v>8.0882352941173963E-3</v>
      </c>
      <c r="AS56" s="55">
        <f t="shared" si="75"/>
        <v>2.0394736842105132E-2</v>
      </c>
      <c r="AT56" s="55">
        <f t="shared" si="75"/>
        <v>1.1184210526315574E-2</v>
      </c>
      <c r="AU56" s="55">
        <f t="shared" si="75"/>
        <v>1.4204545454545858E-2</v>
      </c>
      <c r="AV56" s="55">
        <f t="shared" si="75"/>
        <v>4.6052631578943348E-3</v>
      </c>
      <c r="AW56" s="186">
        <f t="shared" si="75"/>
        <v>8.1249999999997158E-3</v>
      </c>
      <c r="AX56" s="186">
        <f t="shared" si="75"/>
        <v>3.2894736842106198E-3</v>
      </c>
      <c r="AY56" s="186">
        <f t="shared" si="75"/>
        <v>1.2195121951217303E-3</v>
      </c>
      <c r="AZ56" s="186">
        <f t="shared" si="75"/>
        <v>1.1585365853658658E-2</v>
      </c>
      <c r="BA56" s="186">
        <f t="shared" si="75"/>
        <v>1.0135135135135087E-2</v>
      </c>
      <c r="BB56" s="186">
        <f t="shared" si="75"/>
        <v>8.0882352941173963E-3</v>
      </c>
      <c r="BC56" s="186">
        <f t="shared" si="75"/>
        <v>-4.1666666666664298E-3</v>
      </c>
      <c r="BD56" s="186">
        <f t="shared" si="75"/>
        <v>3.9473684210529214E-3</v>
      </c>
      <c r="BE56" s="186">
        <f t="shared" si="75"/>
        <v>1.0185185185185297E-2</v>
      </c>
      <c r="BF56" s="186">
        <f t="shared" si="75"/>
        <v>1.1666666666666714E-2</v>
      </c>
      <c r="BG56" s="186">
        <f t="shared" si="75"/>
        <v>0</v>
      </c>
      <c r="BH56" s="186">
        <f t="shared" si="75"/>
        <v>2.3437499999996447E-3</v>
      </c>
      <c r="BI56" s="186">
        <f t="shared" si="75"/>
        <v>1.1394988738739009E-2</v>
      </c>
      <c r="BJ56" s="186">
        <f t="shared" si="75"/>
        <v>4.9999999999998934E-3</v>
      </c>
      <c r="BK56" s="186">
        <f t="shared" si="75"/>
        <v>6.4516129032252678E-3</v>
      </c>
      <c r="BL56" s="186">
        <f t="shared" si="75"/>
        <v>1.7241379310345195E-2</v>
      </c>
      <c r="BM56" s="186">
        <f t="shared" si="75"/>
        <v>0</v>
      </c>
      <c r="BN56" s="186">
        <f t="shared" si="75"/>
        <v>-8.3333333333337478E-3</v>
      </c>
      <c r="BO56" s="186">
        <f t="shared" si="75"/>
        <v>6.0606060606058776E-3</v>
      </c>
      <c r="BP56" s="186">
        <f t="shared" si="75"/>
        <v>5.5468750000000178E-2</v>
      </c>
      <c r="BQ56" s="186">
        <f t="shared" si="75"/>
        <v>1.4705882352941124E-2</v>
      </c>
      <c r="BR56" s="186">
        <f t="shared" si="75"/>
        <v>1.8333333333333535E-2</v>
      </c>
      <c r="BS56" s="186">
        <f t="shared" si="75"/>
        <v>2.4193548387101416E-3</v>
      </c>
      <c r="BT56" s="186">
        <f t="shared" si="75"/>
        <v>-1.612903225806761E-3</v>
      </c>
      <c r="BU56" s="186">
        <f t="shared" si="75"/>
        <v>-6.6666666666668206E-3</v>
      </c>
      <c r="BV56" s="186">
        <f t="shared" si="75"/>
        <v>9.6774193548387899E-3</v>
      </c>
      <c r="BW56" s="186">
        <f t="shared" si="75"/>
        <v>0</v>
      </c>
      <c r="BX56" s="186">
        <f t="shared" si="75"/>
        <v>0</v>
      </c>
      <c r="BY56" s="186">
        <f t="shared" si="75"/>
        <v>0</v>
      </c>
      <c r="BZ56" s="186">
        <f t="shared" si="75"/>
        <v>6.6176470588237279E-3</v>
      </c>
      <c r="CA56" s="186">
        <f t="shared" si="75"/>
        <v>-1.9444444444444819E-2</v>
      </c>
      <c r="CB56" s="186">
        <f t="shared" si="75"/>
        <v>3.5714285714290028E-3</v>
      </c>
      <c r="CC56" s="186">
        <f t="shared" si="75"/>
        <v>1.7241379310348748E-3</v>
      </c>
      <c r="CD56" s="186">
        <f t="shared" si="75"/>
        <v>-9.6153846153850253E-3</v>
      </c>
      <c r="CE56" s="186">
        <f t="shared" si="75"/>
        <v>4.4642857142855874E-3</v>
      </c>
      <c r="CF56" s="186">
        <f t="shared" si="75"/>
        <v>8.0000000000000071E-3</v>
      </c>
      <c r="CG56" s="186">
        <f t="shared" si="75"/>
        <v>-1.8518518518515492E-3</v>
      </c>
      <c r="CH56" s="186">
        <f t="shared" ca="1" si="75"/>
        <v>-0.15897484078189894</v>
      </c>
      <c r="CI56" s="186">
        <f t="shared" ca="1" si="75"/>
        <v>0.1489826777724943</v>
      </c>
      <c r="CJ56" s="186">
        <f t="shared" ref="CJ56:CX56" si="76">LN(CJ55)-LN(CI55)</f>
        <v>-3.1249999999998224E-3</v>
      </c>
      <c r="CK56" s="186">
        <f t="shared" si="76"/>
        <v>-1.4000000000000234E-2</v>
      </c>
      <c r="CL56" s="186">
        <f t="shared" si="76"/>
        <v>-1.9230769230764722E-3</v>
      </c>
      <c r="CM56" s="186">
        <f t="shared" si="76"/>
        <v>-1.5217391304347849E-2</v>
      </c>
      <c r="CN56" s="186">
        <f t="shared" si="76"/>
        <v>-1.5277777777777501E-2</v>
      </c>
      <c r="CO56" s="186">
        <f t="shared" si="76"/>
        <v>-1.145833333333357E-2</v>
      </c>
      <c r="CP56" s="186">
        <f t="shared" si="76"/>
        <v>-2.1739130434781373E-3</v>
      </c>
      <c r="CQ56" s="186">
        <f t="shared" si="76"/>
        <v>-6.0000000000002274E-3</v>
      </c>
      <c r="CR56" s="186">
        <f t="shared" si="76"/>
        <v>0</v>
      </c>
      <c r="CS56" s="186">
        <f t="shared" si="76"/>
        <v>1.0180623973727876E-2</v>
      </c>
      <c r="CT56" s="186">
        <f t="shared" si="76"/>
        <v>-3.468459222769571E-2</v>
      </c>
      <c r="CU56" s="186">
        <f t="shared" si="76"/>
        <v>-7.692307692307665E-3</v>
      </c>
      <c r="CV56" s="186">
        <f t="shared" si="76"/>
        <v>1.1363636363635798E-2</v>
      </c>
      <c r="CW56" s="186">
        <f t="shared" si="76"/>
        <v>-7.1428571428571175E-3</v>
      </c>
      <c r="CX56" s="186">
        <f t="shared" si="76"/>
        <v>0</v>
      </c>
      <c r="DO56" s="88"/>
      <c r="DQ56" s="55">
        <f ca="1"/>
        <v>-1.9230769230764722E-3</v>
      </c>
      <c r="DR56" s="55">
        <f ca="1"/>
        <v>-1.5217391304347849E-2</v>
      </c>
      <c r="DS56" s="55">
        <f ca="1"/>
        <v>-1.5277777777777501E-2</v>
      </c>
      <c r="DT56" s="55">
        <f ca="1"/>
        <v>-1.145833333333357E-2</v>
      </c>
      <c r="DU56" s="55">
        <f ca="1"/>
        <v>-2.1739130434781373E-3</v>
      </c>
      <c r="DV56" s="55">
        <f ca="1"/>
        <v>-6.0000000000002274E-3</v>
      </c>
      <c r="DW56" s="55">
        <f ca="1"/>
        <v>0</v>
      </c>
      <c r="DX56" s="55">
        <f ca="1"/>
        <v>1.0180623973727876E-2</v>
      </c>
      <c r="DY56" s="55">
        <f ca="1"/>
        <v>-3.468459222769571E-2</v>
      </c>
      <c r="DZ56" s="55">
        <f ca="1"/>
        <v>-7.692307692307665E-3</v>
      </c>
      <c r="EA56" s="55">
        <f ca="1"/>
        <v>1.1363636363635798E-2</v>
      </c>
      <c r="EB56" s="55">
        <f ca="1"/>
        <v>-7.1428571428571175E-3</v>
      </c>
      <c r="EC56" s="186">
        <f ca="1"/>
        <v>0</v>
      </c>
    </row>
    <row r="57" spans="1:133" x14ac:dyDescent="0.3">
      <c r="C57" s="55"/>
      <c r="D57" s="55"/>
      <c r="E57" s="55"/>
      <c r="F57" s="55"/>
      <c r="G57" s="55"/>
      <c r="H57" s="55"/>
      <c r="I57" s="55"/>
      <c r="J57" s="55"/>
      <c r="K57" s="55"/>
      <c r="L57" s="55"/>
      <c r="M57" s="55"/>
      <c r="N57" s="55"/>
      <c r="O57" s="55"/>
      <c r="P57" s="55"/>
      <c r="Q57" s="55"/>
      <c r="R57" s="55"/>
      <c r="S57" s="55"/>
      <c r="T57" s="55"/>
      <c r="U57" s="55"/>
      <c r="V57" s="55"/>
      <c r="W57" s="55"/>
      <c r="X57" s="55"/>
      <c r="Y57" s="55"/>
      <c r="Z57" s="55"/>
      <c r="AA57" s="55"/>
      <c r="AB57" s="55"/>
      <c r="AC57" s="55"/>
      <c r="AD57" s="55"/>
      <c r="AE57" s="55"/>
      <c r="AF57" s="55"/>
      <c r="AG57" s="55"/>
      <c r="AH57" s="55"/>
      <c r="AI57" s="55"/>
      <c r="AJ57" s="55"/>
      <c r="AK57" s="55"/>
      <c r="AL57" s="55"/>
      <c r="AM57" s="55"/>
      <c r="AN57" s="55"/>
      <c r="AO57" s="55"/>
      <c r="AP57" s="55"/>
      <c r="AQ57" s="55"/>
      <c r="AR57" s="55"/>
      <c r="AS57" s="55"/>
      <c r="AT57" s="55"/>
      <c r="AU57" s="55"/>
      <c r="AV57" s="55"/>
      <c r="AW57" s="186"/>
      <c r="AX57" s="186"/>
      <c r="AY57" s="186"/>
      <c r="AZ57" s="186"/>
      <c r="BA57" s="186"/>
      <c r="BB57" s="186"/>
      <c r="BC57" s="186"/>
      <c r="BD57" s="186"/>
      <c r="BE57" s="186"/>
      <c r="BF57" s="186"/>
      <c r="BG57" s="186"/>
      <c r="BH57" s="186"/>
      <c r="BI57" s="186"/>
      <c r="BJ57" s="186"/>
      <c r="BK57" s="186"/>
      <c r="BL57" s="186"/>
      <c r="BM57" s="186"/>
      <c r="BN57" s="186"/>
      <c r="BO57" s="186"/>
      <c r="BP57" s="186"/>
      <c r="BQ57" s="186"/>
      <c r="BR57" s="186"/>
      <c r="BS57" s="186"/>
      <c r="BT57" s="186"/>
      <c r="BU57" s="186"/>
      <c r="BV57" s="186"/>
      <c r="BW57" s="186"/>
      <c r="BX57" s="186"/>
      <c r="BY57" s="186"/>
      <c r="BZ57" s="186"/>
      <c r="CA57" s="186"/>
      <c r="CB57" s="186"/>
      <c r="CC57" s="186"/>
      <c r="CD57" s="186"/>
      <c r="CE57" s="186"/>
      <c r="CF57" s="186"/>
      <c r="CG57" s="186"/>
      <c r="CH57" s="186"/>
      <c r="CI57" s="186"/>
      <c r="CJ57" s="186"/>
      <c r="CK57" s="186"/>
      <c r="CL57" s="186"/>
      <c r="CM57" s="186"/>
      <c r="CN57" s="186"/>
      <c r="CO57" s="186"/>
      <c r="CP57" s="186"/>
      <c r="CQ57" s="186"/>
      <c r="CR57" s="186"/>
      <c r="CS57" s="186"/>
      <c r="CT57" s="186"/>
      <c r="CU57" s="186"/>
      <c r="CV57" s="186"/>
      <c r="CW57" s="186"/>
      <c r="CX57" s="186"/>
      <c r="DO57" s="88"/>
      <c r="DQ57" s="55">
        <f ca="1"/>
        <v>0</v>
      </c>
      <c r="DR57" s="55">
        <f ca="1"/>
        <v>0</v>
      </c>
      <c r="DS57" s="55">
        <f ca="1"/>
        <v>0</v>
      </c>
      <c r="DT57" s="55">
        <f ca="1"/>
        <v>0</v>
      </c>
      <c r="DU57" s="55">
        <f ca="1"/>
        <v>0</v>
      </c>
      <c r="DV57" s="55">
        <f ca="1"/>
        <v>0</v>
      </c>
      <c r="DW57" s="55">
        <f ca="1"/>
        <v>0</v>
      </c>
      <c r="DX57" s="55">
        <f ca="1"/>
        <v>0</v>
      </c>
      <c r="DY57" s="55">
        <f ca="1"/>
        <v>0</v>
      </c>
      <c r="DZ57" s="55">
        <f ca="1"/>
        <v>0</v>
      </c>
      <c r="EA57" s="55">
        <f ca="1"/>
        <v>0</v>
      </c>
      <c r="EB57" s="55">
        <f ca="1"/>
        <v>0</v>
      </c>
      <c r="EC57" s="186">
        <f ca="1"/>
        <v>0</v>
      </c>
    </row>
    <row r="58" spans="1:133" x14ac:dyDescent="0.3">
      <c r="A58" t="str">
        <f>A59</f>
        <v>Weapons: Mass malware</v>
      </c>
      <c r="C58" s="55"/>
      <c r="D58" s="55"/>
      <c r="E58" s="55"/>
      <c r="F58" s="55"/>
      <c r="G58" s="55"/>
      <c r="H58" s="55"/>
      <c r="I58" s="55"/>
      <c r="J58" s="55"/>
      <c r="K58" s="55"/>
      <c r="L58" s="55"/>
      <c r="M58" s="55"/>
      <c r="N58" s="55"/>
      <c r="O58" s="55"/>
      <c r="P58" s="55"/>
      <c r="Q58" s="55"/>
      <c r="R58" s="55"/>
      <c r="S58" s="55"/>
      <c r="T58" s="55"/>
      <c r="U58" s="55"/>
      <c r="V58" s="55"/>
      <c r="W58" s="55"/>
      <c r="X58" s="55"/>
      <c r="Y58" s="55"/>
      <c r="Z58" s="55"/>
      <c r="AA58" s="55"/>
      <c r="AB58" s="55"/>
      <c r="AC58" s="55"/>
      <c r="AD58" s="55"/>
      <c r="AE58" s="55"/>
      <c r="AF58" s="55"/>
      <c r="AG58" s="55"/>
      <c r="AH58" s="55"/>
      <c r="AI58" s="55"/>
      <c r="AJ58" s="55"/>
      <c r="AK58" s="55"/>
      <c r="AL58" s="55"/>
      <c r="AM58" s="55"/>
      <c r="AN58" s="55"/>
      <c r="AO58" s="55"/>
      <c r="AP58" s="55"/>
      <c r="AQ58" s="55"/>
      <c r="AR58" s="55"/>
      <c r="AS58" s="55"/>
      <c r="AT58" s="55"/>
      <c r="AU58" s="55"/>
      <c r="AV58" s="55"/>
      <c r="AW58" s="186"/>
      <c r="AX58" s="186"/>
      <c r="AY58" s="186"/>
      <c r="AZ58" s="186"/>
      <c r="BA58" s="186"/>
      <c r="BB58" s="186"/>
      <c r="BC58" s="186"/>
      <c r="BD58" s="186"/>
      <c r="BE58" s="186"/>
      <c r="BF58" s="186"/>
      <c r="BG58" s="186"/>
      <c r="BH58" s="186"/>
      <c r="BI58" s="186"/>
      <c r="BJ58" s="186"/>
      <c r="BK58" s="186"/>
      <c r="BL58" s="186"/>
      <c r="BM58" s="186"/>
      <c r="BN58" s="186"/>
      <c r="BO58" s="186"/>
      <c r="BP58" s="186"/>
      <c r="BQ58" s="186"/>
      <c r="BR58" s="186"/>
      <c r="BS58" s="186"/>
      <c r="BT58" s="186"/>
      <c r="BU58" s="186"/>
      <c r="BV58" s="186"/>
      <c r="BW58" s="186"/>
      <c r="BX58" s="186"/>
      <c r="BY58" s="186"/>
      <c r="BZ58" s="186"/>
      <c r="CA58" s="186"/>
      <c r="CB58" s="186"/>
      <c r="CC58" s="186"/>
      <c r="CD58" s="186"/>
      <c r="CE58" s="186"/>
      <c r="CF58" s="186"/>
      <c r="CG58" s="186"/>
      <c r="CH58" s="186"/>
      <c r="CI58" s="186"/>
      <c r="CJ58" s="186"/>
      <c r="CK58" s="186"/>
      <c r="CL58" s="186"/>
      <c r="CM58" s="186"/>
      <c r="CN58" s="186"/>
      <c r="CO58" s="186"/>
      <c r="CP58" s="186"/>
      <c r="CQ58" s="186"/>
      <c r="CR58" s="186"/>
      <c r="CS58" s="186"/>
      <c r="CT58" s="186"/>
      <c r="CU58" s="186"/>
      <c r="CV58" s="186"/>
      <c r="CW58" s="186"/>
      <c r="CX58" s="186"/>
      <c r="DO58" s="88"/>
      <c r="DQ58" s="55">
        <f ca="1"/>
        <v>0</v>
      </c>
      <c r="DR58" s="55">
        <f ca="1"/>
        <v>0</v>
      </c>
      <c r="DS58" s="55">
        <f ca="1"/>
        <v>0</v>
      </c>
      <c r="DT58" s="55">
        <f ca="1"/>
        <v>0</v>
      </c>
      <c r="DU58" s="55">
        <f ca="1"/>
        <v>0</v>
      </c>
      <c r="DV58" s="55">
        <f ca="1"/>
        <v>0</v>
      </c>
      <c r="DW58" s="55">
        <f ca="1"/>
        <v>0</v>
      </c>
      <c r="DX58" s="55">
        <f ca="1"/>
        <v>0</v>
      </c>
      <c r="DY58" s="55">
        <f ca="1"/>
        <v>0</v>
      </c>
      <c r="DZ58" s="55">
        <f ca="1"/>
        <v>0</v>
      </c>
      <c r="EA58" s="55">
        <f ca="1"/>
        <v>0</v>
      </c>
      <c r="EB58" s="55">
        <f ca="1"/>
        <v>0</v>
      </c>
      <c r="EC58" s="186">
        <f ca="1"/>
        <v>0</v>
      </c>
    </row>
    <row r="59" spans="1:133" x14ac:dyDescent="0.3">
      <c r="A59" t="str">
        <f>A60</f>
        <v>Weapons: Mass malware</v>
      </c>
      <c r="B59" s="57" t="str">
        <f>C$1</f>
        <v>Apr</v>
      </c>
      <c r="C59" s="57" t="str">
        <f t="shared" ref="C59:N59" si="77">D$1</f>
        <v>May</v>
      </c>
      <c r="D59" s="57" t="str">
        <f t="shared" si="77"/>
        <v>Jun</v>
      </c>
      <c r="E59" s="57" t="str">
        <f t="shared" si="77"/>
        <v>Jul</v>
      </c>
      <c r="F59" s="57" t="str">
        <f t="shared" si="77"/>
        <v>Aug</v>
      </c>
      <c r="G59" s="57" t="str">
        <f t="shared" si="77"/>
        <v>Sep</v>
      </c>
      <c r="H59" s="57" t="str">
        <f t="shared" si="77"/>
        <v>Oct</v>
      </c>
      <c r="I59" s="57" t="str">
        <f t="shared" si="77"/>
        <v>Nov</v>
      </c>
      <c r="J59" s="57" t="str">
        <f t="shared" si="77"/>
        <v>Dec 2011</v>
      </c>
      <c r="K59" s="57" t="str">
        <f t="shared" si="77"/>
        <v>Jan 2012</v>
      </c>
      <c r="L59" s="57" t="str">
        <f t="shared" si="77"/>
        <v>Feb</v>
      </c>
      <c r="M59" s="57" t="str">
        <f t="shared" si="77"/>
        <v>Mar</v>
      </c>
      <c r="N59" s="57" t="str">
        <f t="shared" si="77"/>
        <v>Apr</v>
      </c>
      <c r="O59" s="57" t="str">
        <f t="shared" ref="O59:AD59" si="78">P$1</f>
        <v>May</v>
      </c>
      <c r="P59" s="57" t="str">
        <f t="shared" si="78"/>
        <v>Jun</v>
      </c>
      <c r="Q59" s="57" t="str">
        <f t="shared" si="78"/>
        <v>Jul</v>
      </c>
      <c r="R59" s="57" t="str">
        <f t="shared" si="78"/>
        <v>Aug</v>
      </c>
      <c r="S59" s="57" t="str">
        <f t="shared" si="78"/>
        <v>Sep</v>
      </c>
      <c r="T59" s="57" t="str">
        <f t="shared" si="78"/>
        <v>Oct</v>
      </c>
      <c r="U59" s="57" t="str">
        <f t="shared" si="78"/>
        <v>Nov</v>
      </c>
      <c r="V59" s="57" t="str">
        <f t="shared" si="78"/>
        <v>Dec 2012</v>
      </c>
      <c r="W59" s="57" t="str">
        <f t="shared" si="78"/>
        <v>Jan 2013</v>
      </c>
      <c r="X59" s="57" t="str">
        <f t="shared" si="78"/>
        <v>Feb</v>
      </c>
      <c r="Y59" s="57" t="str">
        <f t="shared" si="78"/>
        <v>Mar</v>
      </c>
      <c r="Z59" s="57" t="str">
        <f t="shared" si="78"/>
        <v>Apr</v>
      </c>
      <c r="AA59" s="57" t="str">
        <f t="shared" si="78"/>
        <v>May</v>
      </c>
      <c r="AB59" s="57" t="str">
        <f t="shared" si="78"/>
        <v>Jun</v>
      </c>
      <c r="AC59" s="57" t="str">
        <f t="shared" si="78"/>
        <v>Jul</v>
      </c>
      <c r="AD59" s="57" t="str">
        <f t="shared" si="78"/>
        <v>Aug</v>
      </c>
      <c r="AE59" s="57" t="str">
        <f>AF$1</f>
        <v>Sep</v>
      </c>
      <c r="AF59" s="57" t="str">
        <f t="shared" ref="AF59:AK59" si="79">AG$1</f>
        <v>Oct</v>
      </c>
      <c r="AG59" s="57" t="str">
        <f t="shared" si="79"/>
        <v>Nov</v>
      </c>
      <c r="AH59" s="57" t="str">
        <f t="shared" si="79"/>
        <v>Dec 2013</v>
      </c>
      <c r="AI59" s="57" t="str">
        <f t="shared" si="79"/>
        <v>Jan 2014</v>
      </c>
      <c r="AJ59" s="57" t="str">
        <f t="shared" si="79"/>
        <v>Feb</v>
      </c>
      <c r="AK59" s="57" t="str">
        <f t="shared" si="79"/>
        <v>Mar</v>
      </c>
      <c r="AL59" s="57" t="str">
        <f t="shared" ref="AL59:CI59" si="80">AM$1</f>
        <v>Apr</v>
      </c>
      <c r="AM59" s="57" t="str">
        <f t="shared" si="80"/>
        <v>May</v>
      </c>
      <c r="AN59" s="57" t="str">
        <f t="shared" si="80"/>
        <v>Jun</v>
      </c>
      <c r="AO59" s="57" t="str">
        <f t="shared" si="80"/>
        <v>Jul</v>
      </c>
      <c r="AP59" s="57" t="str">
        <f t="shared" si="80"/>
        <v>Aug</v>
      </c>
      <c r="AQ59" s="57" t="str">
        <f t="shared" si="80"/>
        <v>Sep</v>
      </c>
      <c r="AR59" s="57" t="str">
        <f t="shared" si="80"/>
        <v>Oct</v>
      </c>
      <c r="AS59" s="57" t="str">
        <f t="shared" si="80"/>
        <v>Nov</v>
      </c>
      <c r="AT59" s="57" t="str">
        <f t="shared" si="80"/>
        <v>Dec '14</v>
      </c>
      <c r="AU59" s="57" t="str">
        <f t="shared" si="80"/>
        <v>Jan '15</v>
      </c>
      <c r="AV59" s="57" t="str">
        <f t="shared" si="80"/>
        <v>Feb</v>
      </c>
      <c r="AW59" s="57" t="str">
        <f t="shared" si="80"/>
        <v>Mar</v>
      </c>
      <c r="AX59" s="57" t="str">
        <f t="shared" si="80"/>
        <v>Apr</v>
      </c>
      <c r="AY59" s="57" t="str">
        <f t="shared" si="80"/>
        <v>May</v>
      </c>
      <c r="AZ59" s="57" t="str">
        <f t="shared" si="80"/>
        <v>Jun</v>
      </c>
      <c r="BA59" s="57" t="str">
        <f t="shared" si="80"/>
        <v>Jul</v>
      </c>
      <c r="BB59" s="57" t="str">
        <f t="shared" si="80"/>
        <v>Aug</v>
      </c>
      <c r="BC59" s="57" t="str">
        <f t="shared" si="80"/>
        <v>Sep</v>
      </c>
      <c r="BD59" s="57" t="str">
        <f t="shared" si="80"/>
        <v>Oct</v>
      </c>
      <c r="BE59" s="57" t="str">
        <f t="shared" si="80"/>
        <v>Nov</v>
      </c>
      <c r="BF59" s="57" t="str">
        <f t="shared" si="80"/>
        <v>Dec '15</v>
      </c>
      <c r="BG59" s="57" t="str">
        <f t="shared" si="80"/>
        <v>Jan '16</v>
      </c>
      <c r="BH59" s="57" t="str">
        <f t="shared" si="80"/>
        <v>Feb</v>
      </c>
      <c r="BI59" s="57" t="str">
        <f t="shared" si="80"/>
        <v>Mar</v>
      </c>
      <c r="BJ59" s="57" t="str">
        <f t="shared" si="80"/>
        <v>Apr</v>
      </c>
      <c r="BK59" s="57" t="str">
        <f t="shared" si="80"/>
        <v>May</v>
      </c>
      <c r="BL59" s="57" t="str">
        <f t="shared" si="80"/>
        <v>Jun</v>
      </c>
      <c r="BM59" s="57" t="str">
        <f t="shared" si="80"/>
        <v>Jul</v>
      </c>
      <c r="BN59" s="57" t="str">
        <f t="shared" si="80"/>
        <v>Aug</v>
      </c>
      <c r="BO59" s="57" t="str">
        <f t="shared" si="80"/>
        <v>Sep</v>
      </c>
      <c r="BP59" s="57" t="str">
        <f t="shared" si="80"/>
        <v>Oct</v>
      </c>
      <c r="BQ59" s="57" t="str">
        <f t="shared" si="80"/>
        <v>Nov</v>
      </c>
      <c r="BR59" s="57" t="str">
        <f t="shared" si="80"/>
        <v>Dec-16</v>
      </c>
      <c r="BS59" s="57" t="str">
        <f t="shared" si="80"/>
        <v>Jan-17</v>
      </c>
      <c r="BT59" s="57" t="str">
        <f t="shared" si="80"/>
        <v>Feb</v>
      </c>
      <c r="BU59" s="57" t="str">
        <f t="shared" si="80"/>
        <v>Mar</v>
      </c>
      <c r="BV59" s="57" t="str">
        <f t="shared" si="80"/>
        <v>Apr</v>
      </c>
      <c r="BW59" s="57" t="str">
        <f t="shared" si="80"/>
        <v>May</v>
      </c>
      <c r="BX59" s="57" t="str">
        <f t="shared" si="80"/>
        <v>Jun</v>
      </c>
      <c r="BY59" s="57" t="str">
        <f t="shared" si="80"/>
        <v>Jul</v>
      </c>
      <c r="BZ59" s="57" t="str">
        <f t="shared" si="80"/>
        <v>Aug</v>
      </c>
      <c r="CA59" s="57" t="str">
        <f t="shared" si="80"/>
        <v>Sep</v>
      </c>
      <c r="CB59" s="57" t="str">
        <f t="shared" si="80"/>
        <v>Oct</v>
      </c>
      <c r="CC59" s="57" t="str">
        <f t="shared" si="80"/>
        <v>Nov</v>
      </c>
      <c r="CD59" s="57" t="str">
        <f t="shared" si="80"/>
        <v>Dec</v>
      </c>
      <c r="CE59" s="57" t="str">
        <f t="shared" si="80"/>
        <v>Jan '18</v>
      </c>
      <c r="CF59" s="57" t="str">
        <f t="shared" si="80"/>
        <v>Feb</v>
      </c>
      <c r="CG59" s="57" t="str">
        <f t="shared" si="80"/>
        <v>Mar</v>
      </c>
      <c r="CH59" s="57" t="str">
        <f t="shared" si="80"/>
        <v>Apr</v>
      </c>
      <c r="CI59" s="57" t="str">
        <f t="shared" si="80"/>
        <v>May</v>
      </c>
      <c r="CJ59" s="57" t="str">
        <f t="shared" ref="CJ59:CO59" si="81">CK$1</f>
        <v>Jun</v>
      </c>
      <c r="CK59" s="57" t="str">
        <f t="shared" si="81"/>
        <v>Jul</v>
      </c>
      <c r="CL59" s="57" t="str">
        <f t="shared" si="81"/>
        <v>Aug</v>
      </c>
      <c r="CM59" s="57" t="str">
        <f t="shared" si="81"/>
        <v>Sep</v>
      </c>
      <c r="CN59" s="57" t="str">
        <f t="shared" si="81"/>
        <v>Oct</v>
      </c>
      <c r="CO59" s="57" t="str">
        <f t="shared" si="81"/>
        <v>Nov</v>
      </c>
      <c r="CP59" s="57" t="str">
        <f t="shared" ref="CP59:CX59" si="82">CQ$1</f>
        <v>Dec-18</v>
      </c>
      <c r="CQ59" s="57" t="str">
        <f t="shared" si="82"/>
        <v>Jan-19</v>
      </c>
      <c r="CR59" s="57" t="str">
        <f t="shared" si="82"/>
        <v>Feb-19</v>
      </c>
      <c r="CS59" s="57" t="str">
        <f t="shared" si="82"/>
        <v>Mar-19</v>
      </c>
      <c r="CT59" s="57" t="str">
        <f t="shared" si="82"/>
        <v>Apr-19</v>
      </c>
      <c r="CU59" s="57" t="str">
        <f t="shared" si="82"/>
        <v>May-19</v>
      </c>
      <c r="CV59" s="57" t="str">
        <f t="shared" si="82"/>
        <v>June-19</v>
      </c>
      <c r="CW59" s="57" t="str">
        <f t="shared" si="82"/>
        <v>July-19</v>
      </c>
      <c r="CX59" s="57" t="str">
        <f t="shared" si="82"/>
        <v>Aug-19</v>
      </c>
      <c r="DO59" s="88"/>
      <c r="DQ59" s="57" t="str">
        <f ca="1"/>
        <v>Aug</v>
      </c>
      <c r="DR59" s="57" t="str">
        <f ca="1"/>
        <v>Sep</v>
      </c>
      <c r="DS59" s="57" t="str">
        <f ca="1"/>
        <v>Oct</v>
      </c>
      <c r="DT59" s="57" t="str">
        <f ca="1"/>
        <v>Nov</v>
      </c>
      <c r="DU59" s="57" t="str">
        <f ca="1"/>
        <v>Dec-18</v>
      </c>
      <c r="DV59" s="57" t="str">
        <f ca="1"/>
        <v>Jan-19</v>
      </c>
      <c r="DW59" s="57" t="str">
        <f ca="1"/>
        <v>Feb-19</v>
      </c>
      <c r="DX59" s="57" t="str">
        <f ca="1"/>
        <v>Mar-19</v>
      </c>
      <c r="DY59" s="57" t="str">
        <f ca="1"/>
        <v>Apr-19</v>
      </c>
      <c r="DZ59" s="57" t="str">
        <f ca="1"/>
        <v>May-19</v>
      </c>
      <c r="EA59" s="57" t="str">
        <f ca="1"/>
        <v>June-19</v>
      </c>
      <c r="EB59" s="57" t="str">
        <f ca="1"/>
        <v>July-19</v>
      </c>
      <c r="EC59" s="57" t="str">
        <f ca="1"/>
        <v>Aug-19</v>
      </c>
    </row>
    <row r="60" spans="1:133" x14ac:dyDescent="0.3">
      <c r="A60" t="str">
        <f>A8</f>
        <v>Weapons: Mass malware</v>
      </c>
      <c r="B60">
        <f t="shared" ref="B60:CI60" si="83">C8</f>
        <v>1047.9448766671974</v>
      </c>
      <c r="C60" s="56">
        <f t="shared" si="83"/>
        <v>1080.2452824966854</v>
      </c>
      <c r="D60" s="56">
        <f t="shared" si="83"/>
        <v>1108.4312246480806</v>
      </c>
      <c r="E60" s="56">
        <f t="shared" si="83"/>
        <v>1127.378309491789</v>
      </c>
      <c r="F60" s="56">
        <f t="shared" si="83"/>
        <v>1159.7141421831629</v>
      </c>
      <c r="G60" s="56">
        <f t="shared" si="83"/>
        <v>1192.8618832469015</v>
      </c>
      <c r="H60" s="56">
        <f t="shared" si="83"/>
        <v>1217.1409410260942</v>
      </c>
      <c r="I60" s="56">
        <f t="shared" si="83"/>
        <v>1239.6241005467175</v>
      </c>
      <c r="J60" s="56">
        <f t="shared" si="83"/>
        <v>1266.7351017770673</v>
      </c>
      <c r="K60" s="56">
        <f t="shared" si="83"/>
        <v>1303.0680114760471</v>
      </c>
      <c r="L60" s="56">
        <f t="shared" si="83"/>
        <v>1341.2483747146998</v>
      </c>
      <c r="M60" s="56">
        <f t="shared" si="83"/>
        <v>1376.452991265038</v>
      </c>
      <c r="N60" s="56">
        <f t="shared" si="83"/>
        <v>1437.1927220758905</v>
      </c>
      <c r="O60" s="56">
        <f t="shared" si="83"/>
        <v>1458.4101217909965</v>
      </c>
      <c r="P60" s="56">
        <f t="shared" si="83"/>
        <v>1503.7951999174243</v>
      </c>
      <c r="Q60" s="56">
        <f t="shared" si="83"/>
        <v>1524.507323448516</v>
      </c>
      <c r="R60" s="56">
        <f t="shared" si="83"/>
        <v>1554.8558334609293</v>
      </c>
      <c r="S60" s="56">
        <f t="shared" si="83"/>
        <v>1597.6866556253408</v>
      </c>
      <c r="T60" s="56">
        <f t="shared" si="83"/>
        <v>1626.2310140726381</v>
      </c>
      <c r="U60" s="56">
        <f t="shared" si="83"/>
        <v>1657.0105015440311</v>
      </c>
      <c r="V60" s="56">
        <f t="shared" si="83"/>
        <v>1697.5187371618842</v>
      </c>
      <c r="W60" s="56">
        <f t="shared" si="83"/>
        <v>1731.1089471723812</v>
      </c>
      <c r="X60" s="56">
        <f t="shared" si="83"/>
        <v>1776.4629524796533</v>
      </c>
      <c r="Y60" s="56">
        <f t="shared" si="83"/>
        <v>1804.2673066337316</v>
      </c>
      <c r="Z60" s="56">
        <f t="shared" si="83"/>
        <v>1837.8118237440658</v>
      </c>
      <c r="AA60" s="56">
        <f t="shared" si="83"/>
        <v>1866.1579780074526</v>
      </c>
      <c r="AB60" s="56">
        <f t="shared" si="83"/>
        <v>1874.7467748488298</v>
      </c>
      <c r="AC60" s="56">
        <f t="shared" si="83"/>
        <v>1894.9413394163928</v>
      </c>
      <c r="AD60" s="56">
        <f t="shared" si="83"/>
        <v>1907.4965131134056</v>
      </c>
      <c r="AE60" s="56">
        <f t="shared" si="83"/>
        <v>1925.9262884340626</v>
      </c>
      <c r="AF60" s="56">
        <f t="shared" si="83"/>
        <v>1943.694831961179</v>
      </c>
      <c r="AG60" s="56">
        <f t="shared" si="83"/>
        <v>1966.5040668221436</v>
      </c>
      <c r="AH60" s="56">
        <f t="shared" si="83"/>
        <v>1988.0511093568878</v>
      </c>
      <c r="AI60" s="56">
        <f t="shared" si="83"/>
        <v>2023.5697407964292</v>
      </c>
      <c r="AJ60" s="56">
        <f t="shared" si="83"/>
        <v>2030.6410314843351</v>
      </c>
      <c r="AK60" s="56">
        <f t="shared" si="83"/>
        <v>2059.3201673941671</v>
      </c>
      <c r="AL60" s="56">
        <f t="shared" si="83"/>
        <v>2097.9917206682235</v>
      </c>
      <c r="AM60" s="56">
        <f t="shared" si="83"/>
        <v>2111.1452308242492</v>
      </c>
      <c r="AN60" s="56">
        <f t="shared" si="83"/>
        <v>2121.4686588648874</v>
      </c>
      <c r="AO60" s="56">
        <f t="shared" si="83"/>
        <v>2130.5801781408441</v>
      </c>
      <c r="AP60" s="56">
        <f t="shared" si="83"/>
        <v>2159.9494160482536</v>
      </c>
      <c r="AQ60" s="56">
        <f t="shared" si="83"/>
        <v>2230.5042033418472</v>
      </c>
      <c r="AR60" s="56">
        <f t="shared" si="83"/>
        <v>2281.9304600207461</v>
      </c>
      <c r="AS60" s="56">
        <f t="shared" si="83"/>
        <v>2355.141298623565</v>
      </c>
      <c r="AT60" s="56">
        <f t="shared" si="83"/>
        <v>2417.9413941090438</v>
      </c>
      <c r="AU60" s="56">
        <f t="shared" si="83"/>
        <v>2465.1057233593874</v>
      </c>
      <c r="AV60" s="56">
        <f t="shared" si="83"/>
        <v>2504.3373536459821</v>
      </c>
      <c r="AW60" s="56">
        <f t="shared" si="83"/>
        <v>2529.5063624852473</v>
      </c>
      <c r="AX60" s="56">
        <f t="shared" si="83"/>
        <v>2524.5188392341747</v>
      </c>
      <c r="AY60" s="56">
        <f t="shared" si="83"/>
        <v>2541.5085013772505</v>
      </c>
      <c r="AZ60" s="56">
        <f t="shared" si="83"/>
        <v>2590.0061285576603</v>
      </c>
      <c r="BA60" s="56">
        <f t="shared" si="83"/>
        <v>2632.3486175368766</v>
      </c>
      <c r="BB60" s="56">
        <f t="shared" si="83"/>
        <v>2665.4594870606202</v>
      </c>
      <c r="BC60" s="56">
        <f t="shared" si="83"/>
        <v>2676.5887380950185</v>
      </c>
      <c r="BD60" s="56">
        <f t="shared" si="83"/>
        <v>2667.7986352098696</v>
      </c>
      <c r="BE60" s="56">
        <f t="shared" si="83"/>
        <v>2672.7435802925411</v>
      </c>
      <c r="BF60" s="56">
        <f t="shared" si="83"/>
        <v>2704.1081932161223</v>
      </c>
      <c r="BG60" s="56">
        <f t="shared" si="83"/>
        <v>2728.0735454021469</v>
      </c>
      <c r="BH60" s="56">
        <f t="shared" si="83"/>
        <v>2764.5474455308322</v>
      </c>
      <c r="BI60" s="56">
        <f t="shared" si="83"/>
        <v>2861.3756245033073</v>
      </c>
      <c r="BJ60" s="56">
        <f t="shared" si="83"/>
        <v>2894.2646394653771</v>
      </c>
      <c r="BK60" s="56">
        <f t="shared" si="83"/>
        <v>2898.9365749157678</v>
      </c>
      <c r="BL60" s="56">
        <f t="shared" si="83"/>
        <v>2949.3516034355739</v>
      </c>
      <c r="BM60" s="56">
        <f t="shared" si="83"/>
        <v>2964.6463917373408</v>
      </c>
      <c r="BN60" s="56">
        <f t="shared" si="83"/>
        <v>2966.8931869248313</v>
      </c>
      <c r="BO60" s="56">
        <f t="shared" si="83"/>
        <v>2998.5276981057514</v>
      </c>
      <c r="BP60" s="56">
        <f t="shared" si="83"/>
        <v>3048.1280585577088</v>
      </c>
      <c r="BQ60" s="56">
        <f t="shared" si="83"/>
        <v>3100.115644926283</v>
      </c>
      <c r="BR60" s="56">
        <f t="shared" si="83"/>
        <v>3100.115644926283</v>
      </c>
      <c r="BS60" s="56">
        <f t="shared" si="83"/>
        <v>3115.1525547807305</v>
      </c>
      <c r="BT60" s="56">
        <f t="shared" si="83"/>
        <v>3117.6657878471933</v>
      </c>
      <c r="BU60" s="56">
        <f t="shared" si="83"/>
        <v>3117.6657878471933</v>
      </c>
      <c r="BV60" s="56">
        <f t="shared" si="83"/>
        <v>3125.2176593012732</v>
      </c>
      <c r="BW60" s="56">
        <f t="shared" si="83"/>
        <v>3269.5920509382172</v>
      </c>
      <c r="BX60" s="56">
        <f t="shared" si="83"/>
        <v>3280.508875707791</v>
      </c>
      <c r="BY60" s="56">
        <f t="shared" si="83"/>
        <v>3360.3227198378568</v>
      </c>
      <c r="BZ60" s="56">
        <f t="shared" si="83"/>
        <v>3385.1220373595634</v>
      </c>
      <c r="CA60" s="56">
        <f t="shared" si="83"/>
        <v>3375.7319683894307</v>
      </c>
      <c r="CB60" s="56">
        <f t="shared" si="83"/>
        <v>3406.0073893944927</v>
      </c>
      <c r="CC60" s="56">
        <f t="shared" si="83"/>
        <v>3432.5360887758152</v>
      </c>
      <c r="CD60" s="56">
        <f t="shared" si="83"/>
        <v>3416.0731175861906</v>
      </c>
      <c r="CE60" s="56">
        <f t="shared" si="83"/>
        <v>3440.5609924355285</v>
      </c>
      <c r="CF60" s="56">
        <f t="shared" si="83"/>
        <v>3440.5609924355285</v>
      </c>
      <c r="CG60" s="56">
        <f t="shared" si="83"/>
        <v>3479.00261699879</v>
      </c>
      <c r="CH60" s="56">
        <f t="shared" ca="1" si="83"/>
        <v>2560.5680303768227</v>
      </c>
      <c r="CI60" s="56">
        <f t="shared" si="83"/>
        <v>3468.2496293580671</v>
      </c>
      <c r="CJ60" s="56">
        <f t="shared" ref="CJ60:CO60" si="84">CK8</f>
        <v>3457.4282664523098</v>
      </c>
      <c r="CK60" s="56">
        <f t="shared" si="84"/>
        <v>3447.0715245333868</v>
      </c>
      <c r="CL60" s="56">
        <f t="shared" si="84"/>
        <v>3447.0715245333868</v>
      </c>
      <c r="CM60" s="56">
        <f t="shared" si="84"/>
        <v>3450.8203784593939</v>
      </c>
      <c r="CN60" s="56">
        <f t="shared" si="84"/>
        <v>3384.3692397365016</v>
      </c>
      <c r="CO60" s="56">
        <f t="shared" si="84"/>
        <v>3345.8113353904523</v>
      </c>
      <c r="CP60" s="56">
        <f t="shared" ref="CP60:CX60" si="85">CQ8</f>
        <v>3360.3900110037998</v>
      </c>
      <c r="CQ60" s="56">
        <f t="shared" si="85"/>
        <v>3357.0313006278766</v>
      </c>
      <c r="CR60" s="56">
        <f t="shared" si="85"/>
        <v>3371.0481124595285</v>
      </c>
      <c r="CS60" s="56">
        <f t="shared" si="85"/>
        <v>3348.2230897464733</v>
      </c>
      <c r="CT60" s="56">
        <f t="shared" si="85"/>
        <v>3290.4270520318728</v>
      </c>
      <c r="CU60" s="56">
        <f t="shared" si="85"/>
        <v>3237.0784354430384</v>
      </c>
      <c r="CV60" s="56">
        <f t="shared" si="85"/>
        <v>3251.825919949993</v>
      </c>
      <c r="CW60" s="56">
        <f t="shared" si="85"/>
        <v>3220.0446680672244</v>
      </c>
      <c r="CX60" s="56">
        <f t="shared" si="85"/>
        <v>3220.0446680672244</v>
      </c>
      <c r="DO60" s="88"/>
      <c r="DQ60" s="56">
        <f ca="1"/>
        <v>3447.0715245333868</v>
      </c>
      <c r="DR60" s="56">
        <f ca="1"/>
        <v>3450.8203784593939</v>
      </c>
      <c r="DS60" s="56">
        <f ca="1"/>
        <v>3384.3692397365016</v>
      </c>
      <c r="DT60" s="56">
        <f ca="1"/>
        <v>3345.8113353904523</v>
      </c>
      <c r="DU60" s="56">
        <f ca="1"/>
        <v>3360.3900110037998</v>
      </c>
      <c r="DV60" s="56">
        <f ca="1"/>
        <v>3357.0313006278766</v>
      </c>
      <c r="DW60" s="56">
        <f ca="1"/>
        <v>3371.0481124595285</v>
      </c>
      <c r="DX60" s="56">
        <f ca="1"/>
        <v>3348.2230897464733</v>
      </c>
      <c r="DY60" s="56">
        <f ca="1"/>
        <v>3290.4270520318728</v>
      </c>
      <c r="DZ60" s="56">
        <f ca="1"/>
        <v>3237.0784354430384</v>
      </c>
      <c r="EA60" s="56">
        <f ca="1"/>
        <v>3251.825919949993</v>
      </c>
      <c r="EB60" s="56">
        <f ca="1"/>
        <v>3220.0446680672244</v>
      </c>
      <c r="EC60" s="56">
        <f ca="1"/>
        <v>3220.0446680672244</v>
      </c>
    </row>
    <row r="61" spans="1:133" x14ac:dyDescent="0.3">
      <c r="A61" t="s">
        <v>108</v>
      </c>
      <c r="C61" s="55">
        <f t="shared" ref="C61:M61" si="86">LN(C60)-LN(B60)</f>
        <v>3.0357142857143415E-2</v>
      </c>
      <c r="D61" s="55">
        <f t="shared" si="86"/>
        <v>2.5757575757575424E-2</v>
      </c>
      <c r="E61" s="55">
        <f t="shared" si="86"/>
        <v>1.6949152542372836E-2</v>
      </c>
      <c r="F61" s="55">
        <f t="shared" si="86"/>
        <v>2.8278688524590478E-2</v>
      </c>
      <c r="G61" s="55">
        <f t="shared" si="86"/>
        <v>2.818181818181742E-2</v>
      </c>
      <c r="H61" s="55">
        <f t="shared" si="86"/>
        <v>2.0149253731343464E-2</v>
      </c>
      <c r="I61" s="55">
        <f t="shared" si="86"/>
        <v>1.830357142857153E-2</v>
      </c>
      <c r="J61" s="55">
        <f t="shared" si="86"/>
        <v>2.1634615384615863E-2</v>
      </c>
      <c r="K61" s="55">
        <f t="shared" si="86"/>
        <v>2.827868852458959E-2</v>
      </c>
      <c r="L61" s="55">
        <f t="shared" si="86"/>
        <v>2.8879310344827935E-2</v>
      </c>
      <c r="M61" s="55">
        <f t="shared" si="86"/>
        <v>2.5909090909090438E-2</v>
      </c>
      <c r="N61" s="55">
        <f t="shared" ref="N61:AD61" si="87">LN(N60)-LN(M60)</f>
        <v>4.3181818181818876E-2</v>
      </c>
      <c r="O61" s="55">
        <f t="shared" si="87"/>
        <v>1.4655172413792883E-2</v>
      </c>
      <c r="P61" s="55">
        <f t="shared" si="87"/>
        <v>3.0645161290322243E-2</v>
      </c>
      <c r="Q61" s="55">
        <f t="shared" si="87"/>
        <v>1.367924528301856E-2</v>
      </c>
      <c r="R61" s="55">
        <f t="shared" si="87"/>
        <v>1.9711538461538503E-2</v>
      </c>
      <c r="S61" s="55">
        <f t="shared" si="87"/>
        <v>2.7173913043478493E-2</v>
      </c>
      <c r="T61" s="55">
        <f t="shared" si="87"/>
        <v>1.7708333333333215E-2</v>
      </c>
      <c r="U61" s="55">
        <f t="shared" si="87"/>
        <v>1.8750000000000711E-2</v>
      </c>
      <c r="V61" s="55">
        <f t="shared" si="87"/>
        <v>2.4152542372880781E-2</v>
      </c>
      <c r="W61" s="55">
        <f t="shared" si="87"/>
        <v>1.9594594594594561E-2</v>
      </c>
      <c r="X61" s="55">
        <f t="shared" si="87"/>
        <v>2.5862068965516904E-2</v>
      </c>
      <c r="Y61" s="55">
        <f t="shared" si="87"/>
        <v>1.5530303030303116E-2</v>
      </c>
      <c r="Z61" s="55">
        <f t="shared" si="87"/>
        <v>1.8421052631579116E-2</v>
      </c>
      <c r="AA61" s="55">
        <f t="shared" si="87"/>
        <v>1.5306122448979664E-2</v>
      </c>
      <c r="AB61" s="55">
        <f t="shared" si="87"/>
        <v>4.5918367346944322E-3</v>
      </c>
      <c r="AC61" s="55">
        <f t="shared" si="87"/>
        <v>1.0714285714285232E-2</v>
      </c>
      <c r="AD61" s="55">
        <f t="shared" si="87"/>
        <v>6.6037735849056034E-3</v>
      </c>
      <c r="AE61" s="55">
        <f>LN(AE60)-LN(AD60)</f>
        <v>9.6153846153850253E-3</v>
      </c>
      <c r="AF61" s="55">
        <f t="shared" ref="AF61:CI61" si="88">LN(AF60)-LN(AE60)</f>
        <v>9.1836734693879762E-3</v>
      </c>
      <c r="AG61" s="55">
        <f t="shared" si="88"/>
        <v>1.1666666666666714E-2</v>
      </c>
      <c r="AH61" s="55">
        <f t="shared" si="88"/>
        <v>1.0897435897435415E-2</v>
      </c>
      <c r="AI61" s="55">
        <f t="shared" si="88"/>
        <v>1.7708333333333215E-2</v>
      </c>
      <c r="AJ61" s="55">
        <f t="shared" si="88"/>
        <v>3.4883720930238837E-3</v>
      </c>
      <c r="AK61" s="55">
        <f t="shared" si="88"/>
        <v>1.4024390243902118E-2</v>
      </c>
      <c r="AL61" s="55">
        <f t="shared" si="88"/>
        <v>1.8604651162790198E-2</v>
      </c>
      <c r="AM61" s="55">
        <f t="shared" si="88"/>
        <v>6.2500000000005329E-3</v>
      </c>
      <c r="AN61" s="55">
        <f t="shared" si="88"/>
        <v>4.8780487804878092E-3</v>
      </c>
      <c r="AO61" s="55">
        <f t="shared" si="88"/>
        <v>4.2857142857144481E-3</v>
      </c>
      <c r="AP61" s="55">
        <f t="shared" si="88"/>
        <v>1.369047619047592E-2</v>
      </c>
      <c r="AQ61" s="55">
        <f t="shared" si="88"/>
        <v>3.2142857142857473E-2</v>
      </c>
      <c r="AR61" s="55">
        <f t="shared" si="88"/>
        <v>2.2794117647058521E-2</v>
      </c>
      <c r="AS61" s="55">
        <f t="shared" si="88"/>
        <v>3.1578947368421595E-2</v>
      </c>
      <c r="AT61" s="55">
        <f t="shared" si="88"/>
        <v>2.631578947368407E-2</v>
      </c>
      <c r="AU61" s="55">
        <f t="shared" si="88"/>
        <v>1.9318181818182012E-2</v>
      </c>
      <c r="AV61" s="55">
        <f t="shared" si="88"/>
        <v>1.5789473684209909E-2</v>
      </c>
      <c r="AW61" s="186">
        <f t="shared" si="88"/>
        <v>9.9999999999997868E-3</v>
      </c>
      <c r="AX61" s="186">
        <f t="shared" si="88"/>
        <v>-1.9736842105260166E-3</v>
      </c>
      <c r="AY61" s="186">
        <f t="shared" si="88"/>
        <v>6.7073170731708487E-3</v>
      </c>
      <c r="AZ61" s="186">
        <f t="shared" si="88"/>
        <v>1.8902439024389928E-2</v>
      </c>
      <c r="BA61" s="186">
        <f t="shared" si="88"/>
        <v>1.6216216216216495E-2</v>
      </c>
      <c r="BB61" s="186">
        <f t="shared" si="88"/>
        <v>1.2500000000000178E-2</v>
      </c>
      <c r="BC61" s="186">
        <f t="shared" si="88"/>
        <v>4.1666666666664298E-3</v>
      </c>
      <c r="BD61" s="186">
        <f t="shared" si="88"/>
        <v>-3.2894736842106198E-3</v>
      </c>
      <c r="BE61" s="186">
        <f t="shared" si="88"/>
        <v>1.8518518518515492E-3</v>
      </c>
      <c r="BF61" s="186">
        <f t="shared" si="88"/>
        <v>1.1666666666666714E-2</v>
      </c>
      <c r="BG61" s="186">
        <f t="shared" si="88"/>
        <v>8.8235294117646745E-3</v>
      </c>
      <c r="BH61" s="186">
        <f t="shared" si="88"/>
        <v>1.3281249999999467E-2</v>
      </c>
      <c r="BI61" s="186">
        <f t="shared" si="88"/>
        <v>3.4425547706797843E-2</v>
      </c>
      <c r="BJ61" s="186">
        <f t="shared" si="88"/>
        <v>1.1428571428571566E-2</v>
      </c>
      <c r="BK61" s="186">
        <f t="shared" si="88"/>
        <v>1.612903225806761E-3</v>
      </c>
      <c r="BL61" s="186">
        <f t="shared" si="88"/>
        <v>1.7241379310344307E-2</v>
      </c>
      <c r="BM61" s="186">
        <f t="shared" si="88"/>
        <v>5.1724137931037362E-3</v>
      </c>
      <c r="BN61" s="186">
        <f t="shared" si="88"/>
        <v>7.5757575757595674E-4</v>
      </c>
      <c r="BO61" s="186">
        <f t="shared" si="88"/>
        <v>1.060606060606073E-2</v>
      </c>
      <c r="BP61" s="186">
        <f t="shared" si="88"/>
        <v>1.6406249999999289E-2</v>
      </c>
      <c r="BQ61" s="186">
        <f t="shared" si="88"/>
        <v>1.6911764705882959E-2</v>
      </c>
      <c r="BR61" s="186">
        <f t="shared" si="88"/>
        <v>0</v>
      </c>
      <c r="BS61" s="186">
        <f t="shared" si="88"/>
        <v>4.8387096774185068E-3</v>
      </c>
      <c r="BT61" s="186">
        <f t="shared" si="88"/>
        <v>8.064516129042687E-4</v>
      </c>
      <c r="BU61" s="186">
        <f t="shared" si="88"/>
        <v>0</v>
      </c>
      <c r="BV61" s="186">
        <f t="shared" si="88"/>
        <v>2.4193548387092534E-3</v>
      </c>
      <c r="BW61" s="186">
        <f t="shared" si="88"/>
        <v>4.5161290322580427E-2</v>
      </c>
      <c r="BX61" s="186">
        <f t="shared" si="88"/>
        <v>3.3333333333338544E-3</v>
      </c>
      <c r="BY61" s="186">
        <f t="shared" si="88"/>
        <v>2.4038461538461675E-2</v>
      </c>
      <c r="BZ61" s="186">
        <f t="shared" si="88"/>
        <v>7.3529411764692298E-3</v>
      </c>
      <c r="CA61" s="186">
        <f t="shared" si="88"/>
        <v>-2.7777777777764356E-3</v>
      </c>
      <c r="CB61" s="186">
        <f t="shared" si="88"/>
        <v>8.9285714285711748E-3</v>
      </c>
      <c r="CC61" s="186">
        <f t="shared" si="88"/>
        <v>7.7586206896551602E-3</v>
      </c>
      <c r="CD61" s="186">
        <f t="shared" si="88"/>
        <v>-4.8076923076934008E-3</v>
      </c>
      <c r="CE61" s="186">
        <f t="shared" si="88"/>
        <v>7.1428571428580057E-3</v>
      </c>
      <c r="CF61" s="186">
        <f t="shared" si="88"/>
        <v>0</v>
      </c>
      <c r="CG61" s="186">
        <f t="shared" si="88"/>
        <v>1.1111111111111072E-2</v>
      </c>
      <c r="CH61" s="186">
        <f t="shared" ca="1" si="88"/>
        <v>-0.30651652765265869</v>
      </c>
      <c r="CI61" s="186">
        <f t="shared" ca="1" si="88"/>
        <v>0.30342091636739088</v>
      </c>
      <c r="CJ61" s="186">
        <f t="shared" ref="CJ61:CX61" si="89">LN(CJ60)-LN(CI60)</f>
        <v>-3.1249999999989342E-3</v>
      </c>
      <c r="CK61" s="186">
        <f t="shared" si="89"/>
        <v>-3.0000000000001137E-3</v>
      </c>
      <c r="CL61" s="186">
        <f t="shared" si="89"/>
        <v>0</v>
      </c>
      <c r="CM61" s="186">
        <f t="shared" si="89"/>
        <v>1.0869565217390686E-3</v>
      </c>
      <c r="CN61" s="186">
        <f t="shared" si="89"/>
        <v>-1.9444444444443931E-2</v>
      </c>
      <c r="CO61" s="186">
        <f t="shared" si="89"/>
        <v>-1.145833333333357E-2</v>
      </c>
      <c r="CP61" s="186">
        <f t="shared" si="89"/>
        <v>4.3478260869562746E-3</v>
      </c>
      <c r="CQ61" s="186">
        <f t="shared" si="89"/>
        <v>-9.9999999999944578E-4</v>
      </c>
      <c r="CR61" s="186">
        <f t="shared" si="89"/>
        <v>4.1666666666664298E-3</v>
      </c>
      <c r="CS61" s="186">
        <f t="shared" si="89"/>
        <v>-6.793924466338197E-3</v>
      </c>
      <c r="CT61" s="186">
        <f t="shared" si="89"/>
        <v>-1.7412424740010479E-2</v>
      </c>
      <c r="CU61" s="186">
        <f t="shared" si="89"/>
        <v>-1.634615384615401E-2</v>
      </c>
      <c r="CV61" s="186">
        <f t="shared" si="89"/>
        <v>4.5454545454539641E-3</v>
      </c>
      <c r="CW61" s="186">
        <f t="shared" si="89"/>
        <v>-9.8214285714277594E-3</v>
      </c>
      <c r="CX61" s="186">
        <f t="shared" si="89"/>
        <v>0</v>
      </c>
      <c r="CZ61" t="str">
        <f>A69</f>
        <v>Weapons: Phishing/social engineering</v>
      </c>
      <c r="DG61" t="str">
        <f>A74</f>
        <v>Weapons: Customized to target</v>
      </c>
      <c r="DO61" s="88"/>
      <c r="DQ61" s="55">
        <f ca="1"/>
        <v>0</v>
      </c>
      <c r="DR61" s="55">
        <f ca="1"/>
        <v>1.0869565217390686E-3</v>
      </c>
      <c r="DS61" s="55">
        <f ca="1"/>
        <v>-1.9444444444443931E-2</v>
      </c>
      <c r="DT61" s="55">
        <f ca="1"/>
        <v>-1.145833333333357E-2</v>
      </c>
      <c r="DU61" s="55">
        <f ca="1"/>
        <v>4.3478260869562746E-3</v>
      </c>
      <c r="DV61" s="55">
        <f ca="1"/>
        <v>-9.9999999999944578E-4</v>
      </c>
      <c r="DW61" s="55">
        <f ca="1"/>
        <v>4.1666666666664298E-3</v>
      </c>
      <c r="DX61" s="55">
        <f ca="1"/>
        <v>-6.793924466338197E-3</v>
      </c>
      <c r="DY61" s="55">
        <f ca="1"/>
        <v>-1.7412424740010479E-2</v>
      </c>
      <c r="DZ61" s="55">
        <f ca="1"/>
        <v>-1.634615384615401E-2</v>
      </c>
      <c r="EA61" s="55">
        <f ca="1"/>
        <v>4.5454545454539641E-3</v>
      </c>
      <c r="EB61" s="55">
        <f ca="1"/>
        <v>-9.8214285714277594E-3</v>
      </c>
      <c r="EC61" s="186">
        <f ca="1"/>
        <v>0</v>
      </c>
    </row>
    <row r="62" spans="1:133" x14ac:dyDescent="0.3">
      <c r="C62" s="55"/>
      <c r="D62" s="55"/>
      <c r="E62" s="55"/>
      <c r="F62" s="55"/>
      <c r="G62" s="55"/>
      <c r="H62" s="55"/>
      <c r="I62" s="55"/>
      <c r="J62" s="55"/>
      <c r="K62" s="55"/>
      <c r="L62" s="55"/>
      <c r="M62" s="55"/>
      <c r="N62" s="55"/>
      <c r="O62" s="55"/>
      <c r="P62" s="55"/>
      <c r="Q62" s="55"/>
      <c r="R62" s="55"/>
      <c r="S62" s="55"/>
      <c r="T62" s="55"/>
      <c r="U62" s="55"/>
      <c r="V62" s="55"/>
      <c r="W62" s="55"/>
      <c r="X62" s="55"/>
      <c r="Y62" s="55"/>
      <c r="Z62" s="55"/>
      <c r="AA62" s="55"/>
      <c r="AB62" s="55"/>
      <c r="AC62" s="55"/>
      <c r="AD62" s="55"/>
      <c r="AE62" s="55"/>
      <c r="AF62" s="55"/>
      <c r="AG62" s="55"/>
      <c r="AH62" s="55"/>
      <c r="AI62" s="55"/>
      <c r="AJ62" s="55"/>
      <c r="AK62" s="55"/>
      <c r="AL62" s="55"/>
      <c r="AM62" s="55"/>
      <c r="AN62" s="55"/>
      <c r="AO62" s="55"/>
      <c r="AP62" s="55"/>
      <c r="AQ62" s="55"/>
      <c r="AR62" s="55"/>
      <c r="AS62" s="55"/>
      <c r="AT62" s="55"/>
      <c r="AU62" s="55"/>
      <c r="AV62" s="55"/>
      <c r="AW62" s="186"/>
      <c r="AX62" s="186"/>
      <c r="AY62" s="186"/>
      <c r="AZ62" s="186"/>
      <c r="BA62" s="186"/>
      <c r="BB62" s="186"/>
      <c r="BC62" s="186"/>
      <c r="BD62" s="186"/>
      <c r="BE62" s="186"/>
      <c r="BF62" s="186"/>
      <c r="BG62" s="186"/>
      <c r="BH62" s="186"/>
      <c r="BI62" s="186"/>
      <c r="BJ62" s="186"/>
      <c r="BK62" s="186"/>
      <c r="BL62" s="186"/>
      <c r="BM62" s="186"/>
      <c r="BN62" s="186"/>
      <c r="BO62" s="186"/>
      <c r="BP62" s="186"/>
      <c r="BQ62" s="186"/>
      <c r="BR62" s="186"/>
      <c r="BS62" s="186"/>
      <c r="BT62" s="186"/>
      <c r="BU62" s="186"/>
      <c r="BV62" s="186"/>
      <c r="BW62" s="186"/>
      <c r="BX62" s="186"/>
      <c r="BY62" s="186"/>
      <c r="BZ62" s="186"/>
      <c r="CA62" s="186"/>
      <c r="CB62" s="186"/>
      <c r="CC62" s="186"/>
      <c r="CD62" s="186"/>
      <c r="CE62" s="186"/>
      <c r="CF62" s="186"/>
      <c r="CG62" s="186"/>
      <c r="CH62" s="186"/>
      <c r="CI62" s="186"/>
      <c r="CJ62" s="186"/>
      <c r="CK62" s="186"/>
      <c r="CL62" s="186"/>
      <c r="CM62" s="186"/>
      <c r="CN62" s="186"/>
      <c r="CO62" s="186"/>
      <c r="CP62" s="186"/>
      <c r="CQ62" s="186"/>
      <c r="CR62" s="186"/>
      <c r="CS62" s="186"/>
      <c r="CT62" s="186"/>
      <c r="CU62" s="186"/>
      <c r="CV62" s="186"/>
      <c r="CW62" s="186"/>
      <c r="CX62" s="186"/>
      <c r="DO62" s="88"/>
      <c r="DQ62" s="55">
        <f ca="1"/>
        <v>0</v>
      </c>
      <c r="DR62" s="55">
        <f ca="1"/>
        <v>0</v>
      </c>
      <c r="DS62" s="55">
        <f ca="1"/>
        <v>0</v>
      </c>
      <c r="DT62" s="55">
        <f ca="1"/>
        <v>0</v>
      </c>
      <c r="DU62" s="55">
        <f ca="1"/>
        <v>0</v>
      </c>
      <c r="DV62" s="55">
        <f ca="1"/>
        <v>0</v>
      </c>
      <c r="DW62" s="55">
        <f ca="1"/>
        <v>0</v>
      </c>
      <c r="DX62" s="55">
        <f ca="1"/>
        <v>0</v>
      </c>
      <c r="DY62" s="55">
        <f ca="1"/>
        <v>0</v>
      </c>
      <c r="DZ62" s="55">
        <f ca="1"/>
        <v>0</v>
      </c>
      <c r="EA62" s="55">
        <f ca="1"/>
        <v>0</v>
      </c>
      <c r="EB62" s="55">
        <f ca="1"/>
        <v>0</v>
      </c>
      <c r="EC62" s="186">
        <f ca="1"/>
        <v>0</v>
      </c>
    </row>
    <row r="63" spans="1:133" x14ac:dyDescent="0.3">
      <c r="A63" t="str">
        <f>A64</f>
        <v>Weapons: Vulnerability exploitation</v>
      </c>
      <c r="C63" s="55"/>
      <c r="D63" s="55"/>
      <c r="E63" s="55"/>
      <c r="F63" s="55"/>
      <c r="G63" s="55"/>
      <c r="H63" s="55"/>
      <c r="I63" s="55"/>
      <c r="J63" s="55"/>
      <c r="K63" s="55"/>
      <c r="L63" s="55"/>
      <c r="M63" s="55"/>
      <c r="N63" s="55"/>
      <c r="O63" s="55"/>
      <c r="P63" s="55"/>
      <c r="Q63" s="55"/>
      <c r="R63" s="55"/>
      <c r="S63" s="55"/>
      <c r="T63" s="55"/>
      <c r="U63" s="55"/>
      <c r="V63" s="55"/>
      <c r="W63" s="55"/>
      <c r="X63" s="55"/>
      <c r="Y63" s="55"/>
      <c r="Z63" s="55"/>
      <c r="AA63" s="55"/>
      <c r="AB63" s="55"/>
      <c r="AC63" s="55"/>
      <c r="AD63" s="55"/>
      <c r="AE63" s="55"/>
      <c r="AF63" s="55"/>
      <c r="AG63" s="55"/>
      <c r="AH63" s="55"/>
      <c r="AI63" s="55"/>
      <c r="AJ63" s="55"/>
      <c r="AK63" s="55"/>
      <c r="AL63" s="55"/>
      <c r="AM63" s="55"/>
      <c r="AN63" s="55"/>
      <c r="AO63" s="55"/>
      <c r="AP63" s="55"/>
      <c r="AQ63" s="55"/>
      <c r="AR63" s="55"/>
      <c r="AS63" s="55"/>
      <c r="AT63" s="55"/>
      <c r="AU63" s="55"/>
      <c r="AV63" s="55"/>
      <c r="AW63" s="186"/>
      <c r="AX63" s="186"/>
      <c r="AY63" s="186"/>
      <c r="AZ63" s="186"/>
      <c r="BA63" s="186"/>
      <c r="BB63" s="186"/>
      <c r="BC63" s="186"/>
      <c r="BD63" s="186"/>
      <c r="BE63" s="186"/>
      <c r="BF63" s="186"/>
      <c r="BG63" s="186"/>
      <c r="BH63" s="186"/>
      <c r="BI63" s="186"/>
      <c r="BJ63" s="186"/>
      <c r="BK63" s="186"/>
      <c r="BL63" s="186"/>
      <c r="BM63" s="186"/>
      <c r="BN63" s="186"/>
      <c r="BO63" s="186"/>
      <c r="BP63" s="186"/>
      <c r="BQ63" s="186"/>
      <c r="BR63" s="186"/>
      <c r="BS63" s="186"/>
      <c r="BT63" s="186"/>
      <c r="BU63" s="186"/>
      <c r="BV63" s="186"/>
      <c r="BW63" s="186"/>
      <c r="BX63" s="186"/>
      <c r="BY63" s="186"/>
      <c r="BZ63" s="186"/>
      <c r="CA63" s="186"/>
      <c r="CB63" s="186"/>
      <c r="CC63" s="186"/>
      <c r="CD63" s="186"/>
      <c r="CE63" s="186"/>
      <c r="CF63" s="186"/>
      <c r="CG63" s="186"/>
      <c r="CH63" s="186"/>
      <c r="CI63" s="186"/>
      <c r="CJ63" s="186"/>
      <c r="CK63" s="186"/>
      <c r="CL63" s="186"/>
      <c r="CM63" s="186"/>
      <c r="CN63" s="186"/>
      <c r="CO63" s="186"/>
      <c r="CP63" s="186"/>
      <c r="CQ63" s="186"/>
      <c r="CR63" s="186"/>
      <c r="CS63" s="186"/>
      <c r="CT63" s="186"/>
      <c r="CU63" s="186"/>
      <c r="CV63" s="186"/>
      <c r="CW63" s="186"/>
      <c r="CX63" s="186"/>
      <c r="DO63" s="88"/>
      <c r="DQ63" s="55">
        <f ca="1"/>
        <v>0</v>
      </c>
      <c r="DR63" s="55">
        <f ca="1"/>
        <v>0</v>
      </c>
      <c r="DS63" s="55">
        <f ca="1"/>
        <v>0</v>
      </c>
      <c r="DT63" s="55">
        <f ca="1"/>
        <v>0</v>
      </c>
      <c r="DU63" s="55">
        <f ca="1"/>
        <v>0</v>
      </c>
      <c r="DV63" s="55">
        <f ca="1"/>
        <v>0</v>
      </c>
      <c r="DW63" s="55">
        <f ca="1"/>
        <v>0</v>
      </c>
      <c r="DX63" s="55">
        <f ca="1"/>
        <v>0</v>
      </c>
      <c r="DY63" s="55">
        <f ca="1"/>
        <v>0</v>
      </c>
      <c r="DZ63" s="55">
        <f ca="1"/>
        <v>0</v>
      </c>
      <c r="EA63" s="55">
        <f ca="1"/>
        <v>0</v>
      </c>
      <c r="EB63" s="55">
        <f ca="1"/>
        <v>0</v>
      </c>
      <c r="EC63" s="186">
        <f ca="1"/>
        <v>0</v>
      </c>
    </row>
    <row r="64" spans="1:133" x14ac:dyDescent="0.3">
      <c r="A64" t="str">
        <f>A65</f>
        <v>Weapons: Vulnerability exploitation</v>
      </c>
      <c r="B64" s="57" t="str">
        <f>C$1</f>
        <v>Apr</v>
      </c>
      <c r="C64" s="57" t="str">
        <f t="shared" ref="C64:N64" si="90">D$1</f>
        <v>May</v>
      </c>
      <c r="D64" s="57" t="str">
        <f t="shared" si="90"/>
        <v>Jun</v>
      </c>
      <c r="E64" s="57" t="str">
        <f t="shared" si="90"/>
        <v>Jul</v>
      </c>
      <c r="F64" s="57" t="str">
        <f t="shared" si="90"/>
        <v>Aug</v>
      </c>
      <c r="G64" s="57" t="str">
        <f t="shared" si="90"/>
        <v>Sep</v>
      </c>
      <c r="H64" s="57" t="str">
        <f t="shared" si="90"/>
        <v>Oct</v>
      </c>
      <c r="I64" s="57" t="str">
        <f t="shared" si="90"/>
        <v>Nov</v>
      </c>
      <c r="J64" s="57" t="str">
        <f t="shared" si="90"/>
        <v>Dec 2011</v>
      </c>
      <c r="K64" s="57" t="str">
        <f t="shared" si="90"/>
        <v>Jan 2012</v>
      </c>
      <c r="L64" s="57" t="str">
        <f t="shared" si="90"/>
        <v>Feb</v>
      </c>
      <c r="M64" s="57" t="str">
        <f t="shared" si="90"/>
        <v>Mar</v>
      </c>
      <c r="N64" s="57" t="str">
        <f t="shared" si="90"/>
        <v>Apr</v>
      </c>
      <c r="O64" s="57" t="str">
        <f t="shared" ref="O64:AD64" si="91">P$1</f>
        <v>May</v>
      </c>
      <c r="P64" s="57" t="str">
        <f t="shared" si="91"/>
        <v>Jun</v>
      </c>
      <c r="Q64" s="57" t="str">
        <f t="shared" si="91"/>
        <v>Jul</v>
      </c>
      <c r="R64" s="57" t="str">
        <f t="shared" si="91"/>
        <v>Aug</v>
      </c>
      <c r="S64" s="57" t="str">
        <f t="shared" si="91"/>
        <v>Sep</v>
      </c>
      <c r="T64" s="57" t="str">
        <f t="shared" si="91"/>
        <v>Oct</v>
      </c>
      <c r="U64" s="57" t="str">
        <f t="shared" si="91"/>
        <v>Nov</v>
      </c>
      <c r="V64" s="57" t="str">
        <f t="shared" si="91"/>
        <v>Dec 2012</v>
      </c>
      <c r="W64" s="57" t="str">
        <f t="shared" si="91"/>
        <v>Jan 2013</v>
      </c>
      <c r="X64" s="57" t="str">
        <f t="shared" si="91"/>
        <v>Feb</v>
      </c>
      <c r="Y64" s="57" t="str">
        <f t="shared" si="91"/>
        <v>Mar</v>
      </c>
      <c r="Z64" s="57" t="str">
        <f t="shared" si="91"/>
        <v>Apr</v>
      </c>
      <c r="AA64" s="57" t="str">
        <f t="shared" si="91"/>
        <v>May</v>
      </c>
      <c r="AB64" s="57" t="str">
        <f t="shared" si="91"/>
        <v>Jun</v>
      </c>
      <c r="AC64" s="57" t="str">
        <f t="shared" si="91"/>
        <v>Jul</v>
      </c>
      <c r="AD64" s="57" t="str">
        <f t="shared" si="91"/>
        <v>Aug</v>
      </c>
      <c r="AE64" s="57" t="str">
        <f>AF$1</f>
        <v>Sep</v>
      </c>
      <c r="AF64" s="57" t="str">
        <f t="shared" ref="AF64:AK64" si="92">AG$1</f>
        <v>Oct</v>
      </c>
      <c r="AG64" s="57" t="str">
        <f t="shared" si="92"/>
        <v>Nov</v>
      </c>
      <c r="AH64" s="57" t="str">
        <f t="shared" si="92"/>
        <v>Dec 2013</v>
      </c>
      <c r="AI64" s="57" t="str">
        <f t="shared" si="92"/>
        <v>Jan 2014</v>
      </c>
      <c r="AJ64" s="57" t="str">
        <f t="shared" si="92"/>
        <v>Feb</v>
      </c>
      <c r="AK64" s="57" t="str">
        <f t="shared" si="92"/>
        <v>Mar</v>
      </c>
      <c r="AL64" s="57" t="str">
        <f t="shared" ref="AL64:CI64" si="93">AM$1</f>
        <v>Apr</v>
      </c>
      <c r="AM64" s="57" t="str">
        <f t="shared" si="93"/>
        <v>May</v>
      </c>
      <c r="AN64" s="57" t="str">
        <f t="shared" si="93"/>
        <v>Jun</v>
      </c>
      <c r="AO64" s="57" t="str">
        <f t="shared" si="93"/>
        <v>Jul</v>
      </c>
      <c r="AP64" s="57" t="str">
        <f t="shared" si="93"/>
        <v>Aug</v>
      </c>
      <c r="AQ64" s="57" t="str">
        <f t="shared" si="93"/>
        <v>Sep</v>
      </c>
      <c r="AR64" s="57" t="str">
        <f t="shared" si="93"/>
        <v>Oct</v>
      </c>
      <c r="AS64" s="57" t="str">
        <f t="shared" si="93"/>
        <v>Nov</v>
      </c>
      <c r="AT64" s="57" t="str">
        <f t="shared" si="93"/>
        <v>Dec '14</v>
      </c>
      <c r="AU64" s="57" t="str">
        <f t="shared" si="93"/>
        <v>Jan '15</v>
      </c>
      <c r="AV64" s="57" t="str">
        <f t="shared" si="93"/>
        <v>Feb</v>
      </c>
      <c r="AW64" s="57" t="str">
        <f t="shared" si="93"/>
        <v>Mar</v>
      </c>
      <c r="AX64" s="57" t="str">
        <f t="shared" si="93"/>
        <v>Apr</v>
      </c>
      <c r="AY64" s="57" t="str">
        <f t="shared" si="93"/>
        <v>May</v>
      </c>
      <c r="AZ64" s="57" t="str">
        <f t="shared" si="93"/>
        <v>Jun</v>
      </c>
      <c r="BA64" s="57" t="str">
        <f t="shared" si="93"/>
        <v>Jul</v>
      </c>
      <c r="BB64" s="57" t="str">
        <f t="shared" si="93"/>
        <v>Aug</v>
      </c>
      <c r="BC64" s="57" t="str">
        <f t="shared" si="93"/>
        <v>Sep</v>
      </c>
      <c r="BD64" s="57" t="str">
        <f t="shared" si="93"/>
        <v>Oct</v>
      </c>
      <c r="BE64" s="57" t="str">
        <f t="shared" si="93"/>
        <v>Nov</v>
      </c>
      <c r="BF64" s="57" t="str">
        <f t="shared" si="93"/>
        <v>Dec '15</v>
      </c>
      <c r="BG64" s="57" t="str">
        <f t="shared" si="93"/>
        <v>Jan '16</v>
      </c>
      <c r="BH64" s="57" t="str">
        <f t="shared" si="93"/>
        <v>Feb</v>
      </c>
      <c r="BI64" s="57" t="str">
        <f t="shared" si="93"/>
        <v>Mar</v>
      </c>
      <c r="BJ64" s="57" t="str">
        <f t="shared" si="93"/>
        <v>Apr</v>
      </c>
      <c r="BK64" s="57" t="str">
        <f t="shared" si="93"/>
        <v>May</v>
      </c>
      <c r="BL64" s="57" t="str">
        <f t="shared" si="93"/>
        <v>Jun</v>
      </c>
      <c r="BM64" s="57" t="str">
        <f t="shared" si="93"/>
        <v>Jul</v>
      </c>
      <c r="BN64" s="57" t="str">
        <f t="shared" si="93"/>
        <v>Aug</v>
      </c>
      <c r="BO64" s="57" t="str">
        <f t="shared" si="93"/>
        <v>Sep</v>
      </c>
      <c r="BP64" s="57" t="str">
        <f t="shared" si="93"/>
        <v>Oct</v>
      </c>
      <c r="BQ64" s="57" t="str">
        <f t="shared" si="93"/>
        <v>Nov</v>
      </c>
      <c r="BR64" s="57" t="str">
        <f t="shared" si="93"/>
        <v>Dec-16</v>
      </c>
      <c r="BS64" s="57" t="str">
        <f t="shared" si="93"/>
        <v>Jan-17</v>
      </c>
      <c r="BT64" s="57" t="str">
        <f t="shared" si="93"/>
        <v>Feb</v>
      </c>
      <c r="BU64" s="57" t="str">
        <f t="shared" si="93"/>
        <v>Mar</v>
      </c>
      <c r="BV64" s="57" t="str">
        <f t="shared" si="93"/>
        <v>Apr</v>
      </c>
      <c r="BW64" s="57" t="str">
        <f t="shared" si="93"/>
        <v>May</v>
      </c>
      <c r="BX64" s="57" t="str">
        <f t="shared" si="93"/>
        <v>Jun</v>
      </c>
      <c r="BY64" s="57" t="str">
        <f t="shared" si="93"/>
        <v>Jul</v>
      </c>
      <c r="BZ64" s="57" t="str">
        <f t="shared" si="93"/>
        <v>Aug</v>
      </c>
      <c r="CA64" s="57" t="str">
        <f t="shared" si="93"/>
        <v>Sep</v>
      </c>
      <c r="CB64" s="57" t="str">
        <f t="shared" si="93"/>
        <v>Oct</v>
      </c>
      <c r="CC64" s="57" t="str">
        <f t="shared" si="93"/>
        <v>Nov</v>
      </c>
      <c r="CD64" s="57" t="str">
        <f t="shared" si="93"/>
        <v>Dec</v>
      </c>
      <c r="CE64" s="57" t="str">
        <f t="shared" si="93"/>
        <v>Jan '18</v>
      </c>
      <c r="CF64" s="57" t="str">
        <f t="shared" si="93"/>
        <v>Feb</v>
      </c>
      <c r="CG64" s="57" t="str">
        <f t="shared" si="93"/>
        <v>Mar</v>
      </c>
      <c r="CH64" s="57" t="str">
        <f t="shared" si="93"/>
        <v>Apr</v>
      </c>
      <c r="CI64" s="57" t="str">
        <f t="shared" si="93"/>
        <v>May</v>
      </c>
      <c r="CJ64" s="57" t="str">
        <f t="shared" ref="CJ64:CO64" si="94">CK$1</f>
        <v>Jun</v>
      </c>
      <c r="CK64" s="57" t="str">
        <f t="shared" si="94"/>
        <v>Jul</v>
      </c>
      <c r="CL64" s="57" t="str">
        <f t="shared" si="94"/>
        <v>Aug</v>
      </c>
      <c r="CM64" s="57" t="str">
        <f t="shared" si="94"/>
        <v>Sep</v>
      </c>
      <c r="CN64" s="57" t="str">
        <f t="shared" si="94"/>
        <v>Oct</v>
      </c>
      <c r="CO64" s="57" t="str">
        <f t="shared" si="94"/>
        <v>Nov</v>
      </c>
      <c r="CP64" s="57" t="str">
        <f t="shared" ref="CP64:CX64" si="95">CQ$1</f>
        <v>Dec-18</v>
      </c>
      <c r="CQ64" s="57" t="str">
        <f t="shared" si="95"/>
        <v>Jan-19</v>
      </c>
      <c r="CR64" s="57" t="str">
        <f t="shared" si="95"/>
        <v>Feb-19</v>
      </c>
      <c r="CS64" s="57" t="str">
        <f t="shared" si="95"/>
        <v>Mar-19</v>
      </c>
      <c r="CT64" s="57" t="str">
        <f t="shared" si="95"/>
        <v>Apr-19</v>
      </c>
      <c r="CU64" s="57" t="str">
        <f t="shared" si="95"/>
        <v>May-19</v>
      </c>
      <c r="CV64" s="57" t="str">
        <f t="shared" si="95"/>
        <v>June-19</v>
      </c>
      <c r="CW64" s="57" t="str">
        <f t="shared" si="95"/>
        <v>July-19</v>
      </c>
      <c r="CX64" s="57" t="str">
        <f t="shared" si="95"/>
        <v>Aug-19</v>
      </c>
      <c r="DO64" s="88"/>
      <c r="DQ64" s="57" t="str">
        <f ca="1"/>
        <v>Aug</v>
      </c>
      <c r="DR64" s="57" t="str">
        <f ca="1"/>
        <v>Sep</v>
      </c>
      <c r="DS64" s="57" t="str">
        <f ca="1"/>
        <v>Oct</v>
      </c>
      <c r="DT64" s="57" t="str">
        <f ca="1"/>
        <v>Nov</v>
      </c>
      <c r="DU64" s="57" t="str">
        <f ca="1"/>
        <v>Dec-18</v>
      </c>
      <c r="DV64" s="57" t="str">
        <f ca="1"/>
        <v>Jan-19</v>
      </c>
      <c r="DW64" s="57" t="str">
        <f ca="1"/>
        <v>Feb-19</v>
      </c>
      <c r="DX64" s="57" t="str">
        <f ca="1"/>
        <v>Mar-19</v>
      </c>
      <c r="DY64" s="57" t="str">
        <f ca="1"/>
        <v>Apr-19</v>
      </c>
      <c r="DZ64" s="57" t="str">
        <f ca="1"/>
        <v>May-19</v>
      </c>
      <c r="EA64" s="57" t="str">
        <f ca="1"/>
        <v>June-19</v>
      </c>
      <c r="EB64" s="57" t="str">
        <f ca="1"/>
        <v>July-19</v>
      </c>
      <c r="EC64" s="57" t="str">
        <f ca="1"/>
        <v>Aug-19</v>
      </c>
    </row>
    <row r="65" spans="1:133" x14ac:dyDescent="0.3">
      <c r="A65" t="str">
        <f>A9</f>
        <v>Weapons: Vulnerability exploitation</v>
      </c>
      <c r="B65">
        <f t="shared" ref="B65:CI65" si="96">C9</f>
        <v>1000</v>
      </c>
      <c r="C65" s="56">
        <f t="shared" si="96"/>
        <v>1000</v>
      </c>
      <c r="D65" s="56">
        <f t="shared" si="96"/>
        <v>1000</v>
      </c>
      <c r="E65" s="56">
        <f t="shared" si="96"/>
        <v>1000</v>
      </c>
      <c r="F65" s="56">
        <f t="shared" si="96"/>
        <v>1000</v>
      </c>
      <c r="G65" s="56">
        <f t="shared" si="96"/>
        <v>1000</v>
      </c>
      <c r="H65" s="56">
        <f t="shared" si="96"/>
        <v>1000</v>
      </c>
      <c r="I65" s="56">
        <f t="shared" si="96"/>
        <v>1000</v>
      </c>
      <c r="J65" s="56">
        <f t="shared" si="96"/>
        <v>1000</v>
      </c>
      <c r="K65" s="56">
        <f t="shared" si="96"/>
        <v>1000</v>
      </c>
      <c r="L65" s="56">
        <f t="shared" si="96"/>
        <v>1000</v>
      </c>
      <c r="M65" s="56">
        <f t="shared" si="96"/>
        <v>1000</v>
      </c>
      <c r="N65" s="56">
        <f t="shared" si="96"/>
        <v>1000</v>
      </c>
      <c r="O65" s="56">
        <f t="shared" si="96"/>
        <v>1020.4652193217524</v>
      </c>
      <c r="P65" s="56">
        <f t="shared" si="96"/>
        <v>1074.5172854217869</v>
      </c>
      <c r="Q65" s="56">
        <f t="shared" si="96"/>
        <v>1105.3625831648267</v>
      </c>
      <c r="R65" s="56">
        <f t="shared" si="96"/>
        <v>1121.9601133411236</v>
      </c>
      <c r="S65" s="56">
        <f t="shared" si="96"/>
        <v>1168.0020600735822</v>
      </c>
      <c r="T65" s="56">
        <f t="shared" si="96"/>
        <v>1207.5916224838647</v>
      </c>
      <c r="U65" s="56">
        <f t="shared" si="96"/>
        <v>1224.0556492940045</v>
      </c>
      <c r="V65" s="56">
        <f t="shared" si="96"/>
        <v>1242.3442967394099</v>
      </c>
      <c r="W65" s="56">
        <f t="shared" si="96"/>
        <v>1271.2149918245259</v>
      </c>
      <c r="X65" s="56">
        <f t="shared" si="96"/>
        <v>1327.7789878233498</v>
      </c>
      <c r="Y65" s="56">
        <f t="shared" si="96"/>
        <v>1359.845715375656</v>
      </c>
      <c r="Z65" s="56">
        <f t="shared" si="96"/>
        <v>1393.6589855474729</v>
      </c>
      <c r="AA65" s="56">
        <f t="shared" si="96"/>
        <v>1417.3222996162435</v>
      </c>
      <c r="AB65" s="56">
        <f t="shared" si="96"/>
        <v>1444.3320101358456</v>
      </c>
      <c r="AC65" s="56">
        <f t="shared" si="96"/>
        <v>1466.1602931315799</v>
      </c>
      <c r="AD65" s="56">
        <f t="shared" si="96"/>
        <v>1498.3208551320099</v>
      </c>
      <c r="AE65" s="56">
        <f t="shared" si="96"/>
        <v>1512.7972730591214</v>
      </c>
      <c r="AF65" s="56">
        <f t="shared" si="96"/>
        <v>1535.3469079184435</v>
      </c>
      <c r="AG65" s="56">
        <f t="shared" si="96"/>
        <v>1563.7545422055773</v>
      </c>
      <c r="AH65" s="56">
        <f t="shared" si="96"/>
        <v>1611.5845581671533</v>
      </c>
      <c r="AI65" s="56">
        <f t="shared" si="96"/>
        <v>1669.6842877038362</v>
      </c>
      <c r="AJ65" s="56">
        <f t="shared" si="96"/>
        <v>1709.9630610904921</v>
      </c>
      <c r="AK65" s="56">
        <f t="shared" si="96"/>
        <v>1735.1709085586417</v>
      </c>
      <c r="AL65" s="56">
        <f t="shared" si="96"/>
        <v>1819.8977779065001</v>
      </c>
      <c r="AM65" s="56">
        <f t="shared" si="96"/>
        <v>1851.1846547523789</v>
      </c>
      <c r="AN65" s="56">
        <f t="shared" si="96"/>
        <v>1878.4743556086173</v>
      </c>
      <c r="AO65" s="56">
        <f t="shared" si="96"/>
        <v>1897.3533367458087</v>
      </c>
      <c r="AP65" s="56">
        <f t="shared" si="96"/>
        <v>1955.8347360477737</v>
      </c>
      <c r="AQ65" s="56">
        <f t="shared" si="96"/>
        <v>2075.7880958291139</v>
      </c>
      <c r="AR65" s="56">
        <f t="shared" si="96"/>
        <v>2161.4559882851104</v>
      </c>
      <c r="AS65" s="56">
        <f t="shared" si="96"/>
        <v>2233.7388594564472</v>
      </c>
      <c r="AT65" s="56">
        <f t="shared" si="96"/>
        <v>2267.7958737376316</v>
      </c>
      <c r="AU65" s="56">
        <f t="shared" si="96"/>
        <v>2302.8541494247588</v>
      </c>
      <c r="AV65" s="56">
        <f t="shared" si="96"/>
        <v>2321.1065309937799</v>
      </c>
      <c r="AW65" s="56">
        <f t="shared" si="96"/>
        <v>2369.4764533560856</v>
      </c>
      <c r="AX65" s="56">
        <f t="shared" si="96"/>
        <v>2426.2654795536791</v>
      </c>
      <c r="AY65" s="56">
        <f t="shared" si="96"/>
        <v>2457.5332760599572</v>
      </c>
      <c r="AZ65" s="56">
        <f t="shared" si="96"/>
        <v>2495.2826665706098</v>
      </c>
      <c r="BA65" s="56">
        <f t="shared" si="96"/>
        <v>2579.2795715563543</v>
      </c>
      <c r="BB65" s="56">
        <f t="shared" si="96"/>
        <v>2644.5743447765008</v>
      </c>
      <c r="BC65" s="56">
        <f t="shared" si="96"/>
        <v>2683.4236415777546</v>
      </c>
      <c r="BD65" s="56">
        <f t="shared" si="96"/>
        <v>2717.1769558163332</v>
      </c>
      <c r="BE65" s="56">
        <f t="shared" si="96"/>
        <v>2762.8427294537173</v>
      </c>
      <c r="BF65" s="56">
        <f t="shared" si="96"/>
        <v>2816.3079534209469</v>
      </c>
      <c r="BG65" s="56">
        <f t="shared" si="96"/>
        <v>2858.0302767292001</v>
      </c>
      <c r="BH65" s="56">
        <f t="shared" si="96"/>
        <v>2914.3998729801424</v>
      </c>
      <c r="BI65" s="56">
        <f t="shared" si="96"/>
        <v>2947.350493249256</v>
      </c>
      <c r="BJ65" s="56">
        <f t="shared" si="96"/>
        <v>2972.7220775021506</v>
      </c>
      <c r="BK65" s="56">
        <f t="shared" si="96"/>
        <v>2987.1410731208734</v>
      </c>
      <c r="BL65" s="56">
        <f t="shared" si="96"/>
        <v>3010.4073078874731</v>
      </c>
      <c r="BM65" s="56">
        <f t="shared" si="96"/>
        <v>3070.6920942186093</v>
      </c>
      <c r="BN65" s="56">
        <f t="shared" si="96"/>
        <v>3080.01133470685</v>
      </c>
      <c r="BO65" s="56">
        <f t="shared" si="96"/>
        <v>3105.7853383563388</v>
      </c>
      <c r="BP65" s="56">
        <f t="shared" si="96"/>
        <v>3154.6943407975755</v>
      </c>
      <c r="BQ65" s="56">
        <f t="shared" si="96"/>
        <v>3170.9735973459974</v>
      </c>
      <c r="BR65" s="56">
        <f t="shared" si="96"/>
        <v>3200.1744882648359</v>
      </c>
      <c r="BS65" s="56">
        <f t="shared" si="96"/>
        <v>3220.8875196708823</v>
      </c>
      <c r="BT65" s="56">
        <f t="shared" si="96"/>
        <v>3260.0864811883475</v>
      </c>
      <c r="BU65" s="56">
        <f t="shared" si="96"/>
        <v>3301.0933210102526</v>
      </c>
      <c r="BV65" s="56">
        <f t="shared" si="96"/>
        <v>3384.660896294014</v>
      </c>
      <c r="BW65" s="56">
        <f t="shared" si="96"/>
        <v>3578.3395654583096</v>
      </c>
      <c r="BX65" s="56">
        <f t="shared" si="96"/>
        <v>3671.9843751740477</v>
      </c>
      <c r="BY65" s="56">
        <f t="shared" si="96"/>
        <v>3725.3294636782139</v>
      </c>
      <c r="BZ65" s="56">
        <f t="shared" si="96"/>
        <v>3805.6196286549971</v>
      </c>
      <c r="CA65" s="56">
        <f t="shared" si="96"/>
        <v>3826.8207975313435</v>
      </c>
      <c r="CB65" s="56">
        <f t="shared" si="96"/>
        <v>3930.710089057975</v>
      </c>
      <c r="CC65" s="56">
        <f t="shared" si="96"/>
        <v>4016.3431238136764</v>
      </c>
      <c r="CD65" s="56">
        <f t="shared" si="96"/>
        <v>4031.8203421688518</v>
      </c>
      <c r="CE65" s="56">
        <f t="shared" si="96"/>
        <v>4156.0916050789874</v>
      </c>
      <c r="CF65" s="56">
        <f t="shared" si="96"/>
        <v>4206.2651434893824</v>
      </c>
      <c r="CG65" s="56">
        <f t="shared" si="96"/>
        <v>4253.2620331870394</v>
      </c>
      <c r="CH65" s="56">
        <f t="shared" ca="1" si="96"/>
        <v>2569.3128647252079</v>
      </c>
      <c r="CI65" s="56">
        <f t="shared" si="96"/>
        <v>4371.3702044138408</v>
      </c>
      <c r="CJ65" s="56">
        <f t="shared" ref="CJ65:CO65" si="97">CK9</f>
        <v>4398.7768246655132</v>
      </c>
      <c r="CK65" s="56">
        <f t="shared" si="97"/>
        <v>4451.8801291502841</v>
      </c>
      <c r="CL65" s="56">
        <f t="shared" si="97"/>
        <v>4481.945775901786</v>
      </c>
      <c r="CM65" s="56">
        <f t="shared" si="97"/>
        <v>4600.4044964268496</v>
      </c>
      <c r="CN65" s="56">
        <f t="shared" si="97"/>
        <v>4568.5679146102839</v>
      </c>
      <c r="CO65" s="56">
        <f t="shared" si="97"/>
        <v>4573.3293189889127</v>
      </c>
      <c r="CP65" s="56">
        <f t="shared" ref="CP65:CX65" si="98">CQ9</f>
        <v>4608.2591064417229</v>
      </c>
      <c r="CQ65" s="56">
        <f t="shared" si="98"/>
        <v>4649.9206340590445</v>
      </c>
      <c r="CR65" s="56">
        <f t="shared" si="98"/>
        <v>4708.4094354223525</v>
      </c>
      <c r="CS65" s="56">
        <f t="shared" si="98"/>
        <v>4732.9235145327712</v>
      </c>
      <c r="CT65" s="56">
        <f t="shared" si="98"/>
        <v>4744.9848857068582</v>
      </c>
      <c r="CU65" s="56">
        <f t="shared" si="98"/>
        <v>4851.0910157995386</v>
      </c>
      <c r="CV65" s="56">
        <f t="shared" si="98"/>
        <v>4928.8846358803494</v>
      </c>
      <c r="CW65" s="56">
        <f t="shared" si="98"/>
        <v>4986.4282162052705</v>
      </c>
      <c r="CX65" s="56">
        <f t="shared" si="98"/>
        <v>4986.4282162052705</v>
      </c>
      <c r="DO65" s="88"/>
      <c r="DQ65" s="56">
        <f ca="1"/>
        <v>4481.945775901786</v>
      </c>
      <c r="DR65" s="56">
        <f ca="1"/>
        <v>4600.4044964268496</v>
      </c>
      <c r="DS65" s="56">
        <f ca="1"/>
        <v>4568.5679146102839</v>
      </c>
      <c r="DT65" s="56">
        <f ca="1"/>
        <v>4573.3293189889127</v>
      </c>
      <c r="DU65" s="56">
        <f ca="1"/>
        <v>4608.2591064417229</v>
      </c>
      <c r="DV65" s="56">
        <f ca="1"/>
        <v>4649.9206340590445</v>
      </c>
      <c r="DW65" s="56">
        <f ca="1"/>
        <v>4708.4094354223525</v>
      </c>
      <c r="DX65" s="56">
        <f ca="1"/>
        <v>4732.9235145327712</v>
      </c>
      <c r="DY65" s="56">
        <f ca="1"/>
        <v>4744.9848857068582</v>
      </c>
      <c r="DZ65" s="56">
        <f ca="1"/>
        <v>4851.0910157995386</v>
      </c>
      <c r="EA65" s="56">
        <f ca="1"/>
        <v>4928.8846358803494</v>
      </c>
      <c r="EB65" s="56">
        <f ca="1"/>
        <v>4986.4282162052705</v>
      </c>
      <c r="EC65" s="56">
        <f ca="1"/>
        <v>4986.4282162052705</v>
      </c>
    </row>
    <row r="66" spans="1:133" x14ac:dyDescent="0.3">
      <c r="A66" t="s">
        <v>108</v>
      </c>
      <c r="C66" s="55">
        <f t="shared" ref="C66:M66" si="99">LN(C65)-LN(B65)</f>
        <v>0</v>
      </c>
      <c r="D66" s="55">
        <f t="shared" si="99"/>
        <v>0</v>
      </c>
      <c r="E66" s="55">
        <f t="shared" si="99"/>
        <v>0</v>
      </c>
      <c r="F66" s="55">
        <f t="shared" si="99"/>
        <v>0</v>
      </c>
      <c r="G66" s="55">
        <f t="shared" si="99"/>
        <v>0</v>
      </c>
      <c r="H66" s="55">
        <f t="shared" si="99"/>
        <v>0</v>
      </c>
      <c r="I66" s="55">
        <f t="shared" si="99"/>
        <v>0</v>
      </c>
      <c r="J66" s="55">
        <f t="shared" si="99"/>
        <v>0</v>
      </c>
      <c r="K66" s="55">
        <f t="shared" si="99"/>
        <v>0</v>
      </c>
      <c r="L66" s="55">
        <f t="shared" si="99"/>
        <v>0</v>
      </c>
      <c r="M66" s="55">
        <f t="shared" si="99"/>
        <v>0</v>
      </c>
      <c r="N66" s="55">
        <f t="shared" ref="N66:AD66" si="100">LN(N65)-LN(M65)</f>
        <v>0</v>
      </c>
      <c r="O66" s="55">
        <f t="shared" si="100"/>
        <v>2.0258620689655338E-2</v>
      </c>
      <c r="P66" s="55">
        <f t="shared" si="100"/>
        <v>5.1612903225806583E-2</v>
      </c>
      <c r="Q66" s="55">
        <f t="shared" si="100"/>
        <v>2.8301886792452713E-2</v>
      </c>
      <c r="R66" s="55">
        <f t="shared" si="100"/>
        <v>1.490384615384599E-2</v>
      </c>
      <c r="S66" s="55">
        <f t="shared" si="100"/>
        <v>4.0217391304348205E-2</v>
      </c>
      <c r="T66" s="55">
        <f t="shared" si="100"/>
        <v>3.3333333333333215E-2</v>
      </c>
      <c r="U66" s="55">
        <f t="shared" si="100"/>
        <v>1.3541666666666785E-2</v>
      </c>
      <c r="V66" s="55">
        <f t="shared" si="100"/>
        <v>1.4830508474576121E-2</v>
      </c>
      <c r="W66" s="55">
        <f t="shared" si="100"/>
        <v>2.2972972972972627E-2</v>
      </c>
      <c r="X66" s="55">
        <f t="shared" si="100"/>
        <v>4.3534482758620818E-2</v>
      </c>
      <c r="Y66" s="55">
        <f t="shared" si="100"/>
        <v>2.3863636363635976E-2</v>
      </c>
      <c r="Z66" s="55">
        <f t="shared" si="100"/>
        <v>2.456140350877245E-2</v>
      </c>
      <c r="AA66" s="55">
        <f t="shared" si="100"/>
        <v>1.6836734693877808E-2</v>
      </c>
      <c r="AB66" s="55">
        <f t="shared" si="100"/>
        <v>1.8877551020407779E-2</v>
      </c>
      <c r="AC66" s="55">
        <f t="shared" si="100"/>
        <v>1.499999999999968E-2</v>
      </c>
      <c r="AD66" s="55">
        <f t="shared" si="100"/>
        <v>2.1698113207547998E-2</v>
      </c>
      <c r="AE66" s="55">
        <f>LN(AE65)-LN(AD65)</f>
        <v>9.6153846153841371E-3</v>
      </c>
      <c r="AF66" s="55">
        <f t="shared" ref="AF66:CI66" si="101">LN(AF65)-LN(AE65)</f>
        <v>1.479591836734695E-2</v>
      </c>
      <c r="AG66" s="55">
        <f t="shared" si="101"/>
        <v>1.8333333333333535E-2</v>
      </c>
      <c r="AH66" s="55">
        <f t="shared" si="101"/>
        <v>3.0128205128205465E-2</v>
      </c>
      <c r="AI66" s="55">
        <f t="shared" si="101"/>
        <v>3.541666666666643E-2</v>
      </c>
      <c r="AJ66" s="55">
        <f t="shared" si="101"/>
        <v>2.3837209302325135E-2</v>
      </c>
      <c r="AK66" s="55">
        <f t="shared" si="101"/>
        <v>1.4634146341463428E-2</v>
      </c>
      <c r="AL66" s="55">
        <f t="shared" si="101"/>
        <v>4.7674418604651159E-2</v>
      </c>
      <c r="AM66" s="55">
        <f t="shared" si="101"/>
        <v>1.704545454545503E-2</v>
      </c>
      <c r="AN66" s="55">
        <f t="shared" si="101"/>
        <v>1.4634146341463428E-2</v>
      </c>
      <c r="AO66" s="55">
        <f t="shared" si="101"/>
        <v>9.9999999999997868E-3</v>
      </c>
      <c r="AP66" s="55">
        <f t="shared" si="101"/>
        <v>3.0357142857143415E-2</v>
      </c>
      <c r="AQ66" s="55">
        <f t="shared" si="101"/>
        <v>5.9523809523809312E-2</v>
      </c>
      <c r="AR66" s="55">
        <f t="shared" si="101"/>
        <v>4.044117647058787E-2</v>
      </c>
      <c r="AS66" s="55">
        <f t="shared" si="101"/>
        <v>3.289473684210531E-2</v>
      </c>
      <c r="AT66" s="55">
        <f t="shared" si="101"/>
        <v>1.5131578947368496E-2</v>
      </c>
      <c r="AU66" s="55">
        <f t="shared" si="101"/>
        <v>1.5340909090909349E-2</v>
      </c>
      <c r="AV66" s="55">
        <f t="shared" si="101"/>
        <v>7.8947368421049546E-3</v>
      </c>
      <c r="AW66" s="186">
        <f t="shared" si="101"/>
        <v>2.0624999999999893E-2</v>
      </c>
      <c r="AX66" s="186">
        <f t="shared" si="101"/>
        <v>2.3684210526315752E-2</v>
      </c>
      <c r="AY66" s="186">
        <f t="shared" si="101"/>
        <v>1.2804878048780388E-2</v>
      </c>
      <c r="AZ66" s="186">
        <f t="shared" si="101"/>
        <v>1.5243902439024737E-2</v>
      </c>
      <c r="BA66" s="186">
        <f t="shared" si="101"/>
        <v>3.3108108108107714E-2</v>
      </c>
      <c r="BB66" s="186">
        <f t="shared" si="101"/>
        <v>2.5000000000000355E-2</v>
      </c>
      <c r="BC66" s="186">
        <f t="shared" si="101"/>
        <v>1.4583333333333393E-2</v>
      </c>
      <c r="BD66" s="186">
        <f t="shared" si="101"/>
        <v>1.2500000000000178E-2</v>
      </c>
      <c r="BE66" s="186">
        <f t="shared" si="101"/>
        <v>1.6666666666666607E-2</v>
      </c>
      <c r="BF66" s="186">
        <f t="shared" si="101"/>
        <v>1.9166666666666998E-2</v>
      </c>
      <c r="BG66" s="186">
        <f t="shared" si="101"/>
        <v>1.4705882352941124E-2</v>
      </c>
      <c r="BH66" s="186">
        <f t="shared" si="101"/>
        <v>1.953125E-2</v>
      </c>
      <c r="BI66" s="186">
        <f t="shared" si="101"/>
        <v>1.1242705773955031E-2</v>
      </c>
      <c r="BJ66" s="186">
        <f t="shared" si="101"/>
        <v>8.5714285714288962E-3</v>
      </c>
      <c r="BK66" s="186">
        <f t="shared" si="101"/>
        <v>4.8387096774202831E-3</v>
      </c>
      <c r="BL66" s="186">
        <f t="shared" si="101"/>
        <v>7.7586206896551602E-3</v>
      </c>
      <c r="BM66" s="186">
        <f t="shared" si="101"/>
        <v>1.9827586206895731E-2</v>
      </c>
      <c r="BN66" s="186">
        <f t="shared" si="101"/>
        <v>3.0303030303020506E-3</v>
      </c>
      <c r="BO66" s="186">
        <f t="shared" si="101"/>
        <v>8.333333333334636E-3</v>
      </c>
      <c r="BP66" s="186">
        <f t="shared" si="101"/>
        <v>1.5625E-2</v>
      </c>
      <c r="BQ66" s="186">
        <f t="shared" si="101"/>
        <v>5.1470588235282833E-3</v>
      </c>
      <c r="BR66" s="186">
        <f t="shared" si="101"/>
        <v>9.1666666666672114E-3</v>
      </c>
      <c r="BS66" s="186">
        <f t="shared" si="101"/>
        <v>6.4516129032252678E-3</v>
      </c>
      <c r="BT66" s="186">
        <f t="shared" si="101"/>
        <v>1.2096774193548043E-2</v>
      </c>
      <c r="BU66" s="186">
        <f t="shared" si="101"/>
        <v>1.2500000000001066E-2</v>
      </c>
      <c r="BV66" s="186">
        <f t="shared" si="101"/>
        <v>2.5000000000000355E-2</v>
      </c>
      <c r="BW66" s="186">
        <f t="shared" si="101"/>
        <v>5.564516129032171E-2</v>
      </c>
      <c r="BX66" s="186">
        <f t="shared" si="101"/>
        <v>2.5833333333332931E-2</v>
      </c>
      <c r="BY66" s="186">
        <f t="shared" si="101"/>
        <v>1.4423076923078426E-2</v>
      </c>
      <c r="BZ66" s="186">
        <f t="shared" si="101"/>
        <v>2.1323529411764852E-2</v>
      </c>
      <c r="CA66" s="186">
        <f t="shared" si="101"/>
        <v>5.5555555555546476E-3</v>
      </c>
      <c r="CB66" s="186">
        <f t="shared" si="101"/>
        <v>2.6785714285715301E-2</v>
      </c>
      <c r="CC66" s="186">
        <f t="shared" si="101"/>
        <v>2.1551724137930606E-2</v>
      </c>
      <c r="CD66" s="186">
        <f t="shared" si="101"/>
        <v>3.8461538461529443E-3</v>
      </c>
      <c r="CE66" s="186">
        <f t="shared" si="101"/>
        <v>3.0357142857143415E-2</v>
      </c>
      <c r="CF66" s="186">
        <f t="shared" si="101"/>
        <v>1.2000000000000455E-2</v>
      </c>
      <c r="CG66" s="186">
        <f t="shared" si="101"/>
        <v>1.1111111111111072E-2</v>
      </c>
      <c r="CH66" s="186">
        <f t="shared" ca="1" si="101"/>
        <v>-0.50404773040396833</v>
      </c>
      <c r="CI66" s="186">
        <f t="shared" ca="1" si="101"/>
        <v>0.53143801253562906</v>
      </c>
      <c r="CJ66" s="186">
        <f t="shared" ref="CJ66:CX66" si="102">LN(CJ65)-LN(CI65)</f>
        <v>6.2499999999996447E-3</v>
      </c>
      <c r="CK66" s="186">
        <f t="shared" si="102"/>
        <v>1.2000000000000455E-2</v>
      </c>
      <c r="CL66" s="186">
        <f t="shared" si="102"/>
        <v>6.7307692307689848E-3</v>
      </c>
      <c r="CM66" s="186">
        <f t="shared" si="102"/>
        <v>2.6086956521739424E-2</v>
      </c>
      <c r="CN66" s="186">
        <f t="shared" si="102"/>
        <v>-6.9444444444446418E-3</v>
      </c>
      <c r="CO66" s="186">
        <f t="shared" si="102"/>
        <v>1.0416666666674956E-3</v>
      </c>
      <c r="CP66" s="186">
        <f t="shared" si="102"/>
        <v>7.6086956521734805E-3</v>
      </c>
      <c r="CQ66" s="186">
        <f t="shared" si="102"/>
        <v>9.0000000000003411E-3</v>
      </c>
      <c r="CR66" s="186">
        <f t="shared" si="102"/>
        <v>1.2499999999999289E-2</v>
      </c>
      <c r="CS66" s="186">
        <f t="shared" si="102"/>
        <v>5.1929392446634637E-3</v>
      </c>
      <c r="CT66" s="186">
        <f t="shared" si="102"/>
        <v>2.5451559934328571E-3</v>
      </c>
      <c r="CU66" s="186">
        <f t="shared" si="102"/>
        <v>2.2115384615384315E-2</v>
      </c>
      <c r="CV66" s="186">
        <f t="shared" si="102"/>
        <v>1.5909090909090651E-2</v>
      </c>
      <c r="CW66" s="186">
        <f t="shared" si="102"/>
        <v>1.1607142857142705E-2</v>
      </c>
      <c r="CX66" s="186">
        <f t="shared" si="102"/>
        <v>0</v>
      </c>
      <c r="DO66" s="88"/>
      <c r="DQ66" s="55">
        <f ca="1"/>
        <v>6.7307692307689848E-3</v>
      </c>
      <c r="DR66" s="55">
        <f ca="1"/>
        <v>2.6086956521739424E-2</v>
      </c>
      <c r="DS66" s="55">
        <f ca="1"/>
        <v>-6.9444444444446418E-3</v>
      </c>
      <c r="DT66" s="55">
        <f ca="1"/>
        <v>1.0416666666674956E-3</v>
      </c>
      <c r="DU66" s="55">
        <f ca="1"/>
        <v>7.6086956521734805E-3</v>
      </c>
      <c r="DV66" s="55">
        <f ca="1"/>
        <v>9.0000000000003411E-3</v>
      </c>
      <c r="DW66" s="55">
        <f ca="1"/>
        <v>1.2499999999999289E-2</v>
      </c>
      <c r="DX66" s="55">
        <f ca="1"/>
        <v>5.1929392446634637E-3</v>
      </c>
      <c r="DY66" s="55">
        <f ca="1"/>
        <v>2.5451559934328571E-3</v>
      </c>
      <c r="DZ66" s="55">
        <f ca="1"/>
        <v>2.2115384615384315E-2</v>
      </c>
      <c r="EA66" s="55">
        <f ca="1"/>
        <v>1.5909090909090651E-2</v>
      </c>
      <c r="EB66" s="55">
        <f ca="1"/>
        <v>1.1607142857142705E-2</v>
      </c>
      <c r="EC66" s="186">
        <f ca="1"/>
        <v>0</v>
      </c>
    </row>
    <row r="67" spans="1:133" x14ac:dyDescent="0.3">
      <c r="C67" s="55"/>
      <c r="D67" s="55"/>
      <c r="E67" s="55"/>
      <c r="F67" s="55"/>
      <c r="G67" s="55"/>
      <c r="H67" s="55"/>
      <c r="I67" s="55"/>
      <c r="J67" s="55"/>
      <c r="K67" s="55"/>
      <c r="L67" s="55"/>
      <c r="M67" s="55"/>
      <c r="N67" s="55"/>
      <c r="O67" s="55"/>
      <c r="P67" s="55"/>
      <c r="Q67" s="55"/>
      <c r="R67" s="55"/>
      <c r="S67" s="55"/>
      <c r="T67" s="55"/>
      <c r="U67" s="55"/>
      <c r="V67" s="55"/>
      <c r="W67" s="55"/>
      <c r="X67" s="55"/>
      <c r="Y67" s="55"/>
      <c r="Z67" s="55"/>
      <c r="AA67" s="55"/>
      <c r="AB67" s="55"/>
      <c r="AC67" s="55"/>
      <c r="AD67" s="55"/>
      <c r="AE67" s="55"/>
      <c r="AF67" s="55"/>
      <c r="AG67" s="55"/>
      <c r="AH67" s="55"/>
      <c r="AI67" s="55"/>
      <c r="AJ67" s="55"/>
      <c r="AK67" s="55"/>
      <c r="AL67" s="55"/>
      <c r="AM67" s="55"/>
      <c r="AN67" s="55"/>
      <c r="AO67" s="55"/>
      <c r="AP67" s="55"/>
      <c r="AQ67" s="55"/>
      <c r="AR67" s="55"/>
      <c r="AS67" s="55"/>
      <c r="AT67" s="55"/>
      <c r="AU67" s="55"/>
      <c r="AV67" s="55"/>
      <c r="AW67" s="186"/>
      <c r="AX67" s="186"/>
      <c r="AY67" s="186"/>
      <c r="AZ67" s="186"/>
      <c r="BA67" s="186"/>
      <c r="BB67" s="186"/>
      <c r="BC67" s="186"/>
      <c r="BD67" s="186"/>
      <c r="BE67" s="186"/>
      <c r="BF67" s="186"/>
      <c r="BG67" s="186"/>
      <c r="BH67" s="186"/>
      <c r="BI67" s="186"/>
      <c r="BJ67" s="186"/>
      <c r="BK67" s="186"/>
      <c r="BL67" s="186"/>
      <c r="BM67" s="186"/>
      <c r="BN67" s="186"/>
      <c r="BO67" s="186"/>
      <c r="BP67" s="186"/>
      <c r="BQ67" s="186"/>
      <c r="BR67" s="186"/>
      <c r="BS67" s="186"/>
      <c r="BT67" s="186"/>
      <c r="BU67" s="186"/>
      <c r="BV67" s="186"/>
      <c r="BW67" s="186"/>
      <c r="BX67" s="186"/>
      <c r="BY67" s="186"/>
      <c r="BZ67" s="186"/>
      <c r="CA67" s="186"/>
      <c r="CB67" s="186"/>
      <c r="CC67" s="186"/>
      <c r="CD67" s="186"/>
      <c r="CE67" s="186"/>
      <c r="CF67" s="186"/>
      <c r="CG67" s="186"/>
      <c r="CH67" s="186"/>
      <c r="CI67" s="186"/>
      <c r="CJ67" s="186"/>
      <c r="CK67" s="186"/>
      <c r="CL67" s="186"/>
      <c r="CM67" s="186"/>
      <c r="CN67" s="186"/>
      <c r="CO67" s="186"/>
      <c r="CP67" s="186"/>
      <c r="CQ67" s="186"/>
      <c r="CR67" s="186"/>
      <c r="CS67" s="186"/>
      <c r="CT67" s="186"/>
      <c r="CU67" s="186"/>
      <c r="CV67" s="186"/>
      <c r="CW67" s="186"/>
      <c r="CX67" s="186"/>
      <c r="DO67" s="88"/>
      <c r="DQ67" s="55">
        <f ca="1"/>
        <v>0</v>
      </c>
      <c r="DR67" s="55">
        <f ca="1"/>
        <v>0</v>
      </c>
      <c r="DS67" s="55">
        <f ca="1"/>
        <v>0</v>
      </c>
      <c r="DT67" s="55">
        <f ca="1"/>
        <v>0</v>
      </c>
      <c r="DU67" s="55">
        <f ca="1"/>
        <v>0</v>
      </c>
      <c r="DV67" s="55">
        <f ca="1"/>
        <v>0</v>
      </c>
      <c r="DW67" s="55">
        <f ca="1"/>
        <v>0</v>
      </c>
      <c r="DX67" s="55">
        <f ca="1"/>
        <v>0</v>
      </c>
      <c r="DY67" s="55">
        <f ca="1"/>
        <v>0</v>
      </c>
      <c r="DZ67" s="55">
        <f ca="1"/>
        <v>0</v>
      </c>
      <c r="EA67" s="55">
        <f ca="1"/>
        <v>0</v>
      </c>
      <c r="EB67" s="55">
        <f ca="1"/>
        <v>0</v>
      </c>
      <c r="EC67" s="186">
        <f ca="1"/>
        <v>0</v>
      </c>
    </row>
    <row r="68" spans="1:133" x14ac:dyDescent="0.3">
      <c r="A68" t="str">
        <f>A69</f>
        <v>Weapons: Phishing/social engineering</v>
      </c>
      <c r="C68" s="55"/>
      <c r="D68" s="55"/>
      <c r="E68" s="55"/>
      <c r="F68" s="55"/>
      <c r="G68" s="55"/>
      <c r="H68" s="55"/>
      <c r="I68" s="55"/>
      <c r="J68" s="55"/>
      <c r="K68" s="55"/>
      <c r="L68" s="55"/>
      <c r="M68" s="55"/>
      <c r="N68" s="55"/>
      <c r="O68" s="55"/>
      <c r="P68" s="55"/>
      <c r="Q68" s="55"/>
      <c r="R68" s="55"/>
      <c r="S68" s="55"/>
      <c r="T68" s="55"/>
      <c r="U68" s="55"/>
      <c r="V68" s="55"/>
      <c r="W68" s="55"/>
      <c r="X68" s="55"/>
      <c r="Y68" s="55"/>
      <c r="Z68" s="55"/>
      <c r="AA68" s="55"/>
      <c r="AB68" s="55"/>
      <c r="AC68" s="55"/>
      <c r="AD68" s="55"/>
      <c r="AE68" s="55"/>
      <c r="AF68" s="55"/>
      <c r="AG68" s="55"/>
      <c r="AH68" s="55"/>
      <c r="AI68" s="55"/>
      <c r="AJ68" s="55"/>
      <c r="AK68" s="55"/>
      <c r="AL68" s="55"/>
      <c r="AM68" s="55"/>
      <c r="AN68" s="55"/>
      <c r="AO68" s="55"/>
      <c r="AP68" s="55"/>
      <c r="AQ68" s="55"/>
      <c r="AR68" s="55"/>
      <c r="AS68" s="55"/>
      <c r="AT68" s="55"/>
      <c r="AU68" s="55"/>
      <c r="AV68" s="55"/>
      <c r="AW68" s="186"/>
      <c r="AX68" s="186"/>
      <c r="AY68" s="186"/>
      <c r="AZ68" s="186"/>
      <c r="BA68" s="186"/>
      <c r="BB68" s="186"/>
      <c r="BC68" s="186"/>
      <c r="BD68" s="186"/>
      <c r="BE68" s="186"/>
      <c r="BF68" s="186"/>
      <c r="BG68" s="186"/>
      <c r="BH68" s="186"/>
      <c r="BI68" s="186"/>
      <c r="BJ68" s="186"/>
      <c r="BK68" s="186"/>
      <c r="BL68" s="186"/>
      <c r="BM68" s="186"/>
      <c r="BN68" s="186"/>
      <c r="BO68" s="186"/>
      <c r="BP68" s="186"/>
      <c r="BQ68" s="186"/>
      <c r="BR68" s="186"/>
      <c r="BS68" s="186"/>
      <c r="BT68" s="186"/>
      <c r="BU68" s="186"/>
      <c r="BV68" s="186"/>
      <c r="BW68" s="186"/>
      <c r="BX68" s="186"/>
      <c r="BY68" s="186"/>
      <c r="BZ68" s="186"/>
      <c r="CA68" s="186"/>
      <c r="CB68" s="186"/>
      <c r="CC68" s="186"/>
      <c r="CD68" s="186"/>
      <c r="CE68" s="186"/>
      <c r="CF68" s="186"/>
      <c r="CG68" s="186"/>
      <c r="CH68" s="186"/>
      <c r="CI68" s="186"/>
      <c r="CJ68" s="186"/>
      <c r="CK68" s="186"/>
      <c r="CL68" s="186"/>
      <c r="CM68" s="186"/>
      <c r="CN68" s="186"/>
      <c r="CO68" s="186"/>
      <c r="CP68" s="186"/>
      <c r="CQ68" s="186"/>
      <c r="CR68" s="186"/>
      <c r="CS68" s="186"/>
      <c r="CT68" s="186"/>
      <c r="CU68" s="186"/>
      <c r="CV68" s="186"/>
      <c r="CW68" s="186"/>
      <c r="CX68" s="186"/>
      <c r="DO68" s="88"/>
      <c r="DQ68" s="55">
        <f ca="1"/>
        <v>0</v>
      </c>
      <c r="DR68" s="55">
        <f ca="1"/>
        <v>0</v>
      </c>
      <c r="DS68" s="55">
        <f ca="1"/>
        <v>0</v>
      </c>
      <c r="DT68" s="55">
        <f ca="1"/>
        <v>0</v>
      </c>
      <c r="DU68" s="55">
        <f ca="1"/>
        <v>0</v>
      </c>
      <c r="DV68" s="55">
        <f ca="1"/>
        <v>0</v>
      </c>
      <c r="DW68" s="55">
        <f ca="1"/>
        <v>0</v>
      </c>
      <c r="DX68" s="55">
        <f ca="1"/>
        <v>0</v>
      </c>
      <c r="DY68" s="55">
        <f ca="1"/>
        <v>0</v>
      </c>
      <c r="DZ68" s="55">
        <f ca="1"/>
        <v>0</v>
      </c>
      <c r="EA68" s="55">
        <f ca="1"/>
        <v>0</v>
      </c>
      <c r="EB68" s="55">
        <f ca="1"/>
        <v>0</v>
      </c>
      <c r="EC68" s="186">
        <f ca="1"/>
        <v>0</v>
      </c>
    </row>
    <row r="69" spans="1:133" x14ac:dyDescent="0.3">
      <c r="A69" t="str">
        <f>A70</f>
        <v>Weapons: Phishing/social engineering</v>
      </c>
      <c r="B69" s="57" t="str">
        <f>C$1</f>
        <v>Apr</v>
      </c>
      <c r="C69" s="57" t="str">
        <f t="shared" ref="C69:N69" si="103">D$1</f>
        <v>May</v>
      </c>
      <c r="D69" s="57" t="str">
        <f t="shared" si="103"/>
        <v>Jun</v>
      </c>
      <c r="E69" s="57" t="str">
        <f t="shared" si="103"/>
        <v>Jul</v>
      </c>
      <c r="F69" s="57" t="str">
        <f t="shared" si="103"/>
        <v>Aug</v>
      </c>
      <c r="G69" s="57" t="str">
        <f t="shared" si="103"/>
        <v>Sep</v>
      </c>
      <c r="H69" s="57" t="str">
        <f t="shared" si="103"/>
        <v>Oct</v>
      </c>
      <c r="I69" s="57" t="str">
        <f t="shared" si="103"/>
        <v>Nov</v>
      </c>
      <c r="J69" s="57" t="str">
        <f t="shared" si="103"/>
        <v>Dec 2011</v>
      </c>
      <c r="K69" s="57" t="str">
        <f t="shared" si="103"/>
        <v>Jan 2012</v>
      </c>
      <c r="L69" s="57" t="str">
        <f t="shared" si="103"/>
        <v>Feb</v>
      </c>
      <c r="M69" s="57" t="str">
        <f t="shared" si="103"/>
        <v>Mar</v>
      </c>
      <c r="N69" s="57" t="str">
        <f t="shared" si="103"/>
        <v>Apr</v>
      </c>
      <c r="O69" s="57" t="str">
        <f t="shared" ref="O69:AD69" si="104">P$1</f>
        <v>May</v>
      </c>
      <c r="P69" s="57" t="str">
        <f t="shared" si="104"/>
        <v>Jun</v>
      </c>
      <c r="Q69" s="57" t="str">
        <f t="shared" si="104"/>
        <v>Jul</v>
      </c>
      <c r="R69" s="57" t="str">
        <f t="shared" si="104"/>
        <v>Aug</v>
      </c>
      <c r="S69" s="57" t="str">
        <f t="shared" si="104"/>
        <v>Sep</v>
      </c>
      <c r="T69" s="57" t="str">
        <f t="shared" si="104"/>
        <v>Oct</v>
      </c>
      <c r="U69" s="57" t="str">
        <f t="shared" si="104"/>
        <v>Nov</v>
      </c>
      <c r="V69" s="57" t="str">
        <f t="shared" si="104"/>
        <v>Dec 2012</v>
      </c>
      <c r="W69" s="57" t="str">
        <f t="shared" si="104"/>
        <v>Jan 2013</v>
      </c>
      <c r="X69" s="57" t="str">
        <f t="shared" si="104"/>
        <v>Feb</v>
      </c>
      <c r="Y69" s="57" t="str">
        <f t="shared" si="104"/>
        <v>Mar</v>
      </c>
      <c r="Z69" s="57" t="str">
        <f t="shared" si="104"/>
        <v>Apr</v>
      </c>
      <c r="AA69" s="57" t="str">
        <f t="shared" si="104"/>
        <v>May</v>
      </c>
      <c r="AB69" s="57" t="str">
        <f t="shared" si="104"/>
        <v>Jun</v>
      </c>
      <c r="AC69" s="57" t="str">
        <f t="shared" si="104"/>
        <v>Jul</v>
      </c>
      <c r="AD69" s="57" t="str">
        <f t="shared" si="104"/>
        <v>Aug</v>
      </c>
      <c r="AE69" s="57" t="str">
        <f>AF$1</f>
        <v>Sep</v>
      </c>
      <c r="AF69" s="57" t="str">
        <f t="shared" ref="AF69:AK69" si="105">AG$1</f>
        <v>Oct</v>
      </c>
      <c r="AG69" s="57" t="str">
        <f t="shared" si="105"/>
        <v>Nov</v>
      </c>
      <c r="AH69" s="57" t="str">
        <f t="shared" si="105"/>
        <v>Dec 2013</v>
      </c>
      <c r="AI69" s="57" t="str">
        <f t="shared" si="105"/>
        <v>Jan 2014</v>
      </c>
      <c r="AJ69" s="57" t="str">
        <f t="shared" si="105"/>
        <v>Feb</v>
      </c>
      <c r="AK69" s="57" t="str">
        <f t="shared" si="105"/>
        <v>Mar</v>
      </c>
      <c r="AL69" s="57" t="str">
        <f t="shared" ref="AL69:CI69" si="106">AM$1</f>
        <v>Apr</v>
      </c>
      <c r="AM69" s="57" t="str">
        <f t="shared" si="106"/>
        <v>May</v>
      </c>
      <c r="AN69" s="57" t="str">
        <f t="shared" si="106"/>
        <v>Jun</v>
      </c>
      <c r="AO69" s="57" t="str">
        <f t="shared" si="106"/>
        <v>Jul</v>
      </c>
      <c r="AP69" s="57" t="str">
        <f t="shared" si="106"/>
        <v>Aug</v>
      </c>
      <c r="AQ69" s="57" t="str">
        <f t="shared" si="106"/>
        <v>Sep</v>
      </c>
      <c r="AR69" s="57" t="str">
        <f t="shared" si="106"/>
        <v>Oct</v>
      </c>
      <c r="AS69" s="57" t="str">
        <f t="shared" si="106"/>
        <v>Nov</v>
      </c>
      <c r="AT69" s="57" t="str">
        <f t="shared" si="106"/>
        <v>Dec '14</v>
      </c>
      <c r="AU69" s="57" t="str">
        <f t="shared" si="106"/>
        <v>Jan '15</v>
      </c>
      <c r="AV69" s="57" t="str">
        <f t="shared" si="106"/>
        <v>Feb</v>
      </c>
      <c r="AW69" s="57" t="str">
        <f t="shared" si="106"/>
        <v>Mar</v>
      </c>
      <c r="AX69" s="57" t="str">
        <f t="shared" si="106"/>
        <v>Apr</v>
      </c>
      <c r="AY69" s="57" t="str">
        <f t="shared" si="106"/>
        <v>May</v>
      </c>
      <c r="AZ69" s="57" t="str">
        <f t="shared" si="106"/>
        <v>Jun</v>
      </c>
      <c r="BA69" s="57" t="str">
        <f t="shared" si="106"/>
        <v>Jul</v>
      </c>
      <c r="BB69" s="57" t="str">
        <f t="shared" si="106"/>
        <v>Aug</v>
      </c>
      <c r="BC69" s="57" t="str">
        <f t="shared" si="106"/>
        <v>Sep</v>
      </c>
      <c r="BD69" s="57" t="str">
        <f t="shared" si="106"/>
        <v>Oct</v>
      </c>
      <c r="BE69" s="57" t="str">
        <f t="shared" si="106"/>
        <v>Nov</v>
      </c>
      <c r="BF69" s="57" t="str">
        <f t="shared" si="106"/>
        <v>Dec '15</v>
      </c>
      <c r="BG69" s="57" t="str">
        <f t="shared" si="106"/>
        <v>Jan '16</v>
      </c>
      <c r="BH69" s="57" t="str">
        <f t="shared" si="106"/>
        <v>Feb</v>
      </c>
      <c r="BI69" s="57" t="str">
        <f t="shared" si="106"/>
        <v>Mar</v>
      </c>
      <c r="BJ69" s="57" t="str">
        <f t="shared" si="106"/>
        <v>Apr</v>
      </c>
      <c r="BK69" s="57" t="str">
        <f t="shared" si="106"/>
        <v>May</v>
      </c>
      <c r="BL69" s="57" t="str">
        <f t="shared" si="106"/>
        <v>Jun</v>
      </c>
      <c r="BM69" s="57" t="str">
        <f t="shared" si="106"/>
        <v>Jul</v>
      </c>
      <c r="BN69" s="57" t="str">
        <f t="shared" si="106"/>
        <v>Aug</v>
      </c>
      <c r="BO69" s="57" t="str">
        <f t="shared" si="106"/>
        <v>Sep</v>
      </c>
      <c r="BP69" s="57" t="str">
        <f t="shared" si="106"/>
        <v>Oct</v>
      </c>
      <c r="BQ69" s="57" t="str">
        <f t="shared" si="106"/>
        <v>Nov</v>
      </c>
      <c r="BR69" s="57" t="str">
        <f t="shared" si="106"/>
        <v>Dec-16</v>
      </c>
      <c r="BS69" s="57" t="str">
        <f t="shared" si="106"/>
        <v>Jan-17</v>
      </c>
      <c r="BT69" s="57" t="str">
        <f t="shared" si="106"/>
        <v>Feb</v>
      </c>
      <c r="BU69" s="57" t="str">
        <f t="shared" si="106"/>
        <v>Mar</v>
      </c>
      <c r="BV69" s="57" t="str">
        <f t="shared" si="106"/>
        <v>Apr</v>
      </c>
      <c r="BW69" s="57" t="str">
        <f t="shared" si="106"/>
        <v>May</v>
      </c>
      <c r="BX69" s="57" t="str">
        <f t="shared" si="106"/>
        <v>Jun</v>
      </c>
      <c r="BY69" s="57" t="str">
        <f t="shared" si="106"/>
        <v>Jul</v>
      </c>
      <c r="BZ69" s="57" t="str">
        <f t="shared" si="106"/>
        <v>Aug</v>
      </c>
      <c r="CA69" s="57" t="str">
        <f t="shared" si="106"/>
        <v>Sep</v>
      </c>
      <c r="CB69" s="57" t="str">
        <f t="shared" si="106"/>
        <v>Oct</v>
      </c>
      <c r="CC69" s="57" t="str">
        <f t="shared" si="106"/>
        <v>Nov</v>
      </c>
      <c r="CD69" s="57" t="str">
        <f t="shared" si="106"/>
        <v>Dec</v>
      </c>
      <c r="CE69" s="57" t="str">
        <f t="shared" si="106"/>
        <v>Jan '18</v>
      </c>
      <c r="CF69" s="57" t="str">
        <f t="shared" si="106"/>
        <v>Feb</v>
      </c>
      <c r="CG69" s="57" t="str">
        <f t="shared" si="106"/>
        <v>Mar</v>
      </c>
      <c r="CH69" s="57" t="str">
        <f t="shared" si="106"/>
        <v>Apr</v>
      </c>
      <c r="CI69" s="57" t="str">
        <f t="shared" si="106"/>
        <v>May</v>
      </c>
      <c r="CJ69" s="57" t="str">
        <f t="shared" ref="CJ69:CO69" si="107">CK$1</f>
        <v>Jun</v>
      </c>
      <c r="CK69" s="57" t="str">
        <f t="shared" si="107"/>
        <v>Jul</v>
      </c>
      <c r="CL69" s="57" t="str">
        <f t="shared" si="107"/>
        <v>Aug</v>
      </c>
      <c r="CM69" s="57" t="str">
        <f t="shared" si="107"/>
        <v>Sep</v>
      </c>
      <c r="CN69" s="57" t="str">
        <f t="shared" si="107"/>
        <v>Oct</v>
      </c>
      <c r="CO69" s="57" t="str">
        <f t="shared" si="107"/>
        <v>Nov</v>
      </c>
      <c r="CP69" s="57" t="str">
        <f t="shared" ref="CP69:CX69" si="108">CQ$1</f>
        <v>Dec-18</v>
      </c>
      <c r="CQ69" s="57" t="str">
        <f t="shared" si="108"/>
        <v>Jan-19</v>
      </c>
      <c r="CR69" s="57" t="str">
        <f t="shared" si="108"/>
        <v>Feb-19</v>
      </c>
      <c r="CS69" s="57" t="str">
        <f t="shared" si="108"/>
        <v>Mar-19</v>
      </c>
      <c r="CT69" s="57" t="str">
        <f t="shared" si="108"/>
        <v>Apr-19</v>
      </c>
      <c r="CU69" s="57" t="str">
        <f t="shared" si="108"/>
        <v>May-19</v>
      </c>
      <c r="CV69" s="57" t="str">
        <f t="shared" si="108"/>
        <v>June-19</v>
      </c>
      <c r="CW69" s="57" t="str">
        <f t="shared" si="108"/>
        <v>July-19</v>
      </c>
      <c r="CX69" s="57" t="str">
        <f t="shared" si="108"/>
        <v>Aug-19</v>
      </c>
      <c r="CZ69" t="str">
        <f>A79</f>
        <v>Effect desired: Data theft</v>
      </c>
      <c r="DG69" t="str">
        <f>A84</f>
        <v>Effect desired: Data modification</v>
      </c>
      <c r="DO69" s="88"/>
      <c r="DQ69" s="57" t="str">
        <f ca="1"/>
        <v>Aug</v>
      </c>
      <c r="DR69" s="57" t="str">
        <f ca="1"/>
        <v>Sep</v>
      </c>
      <c r="DS69" s="57" t="str">
        <f ca="1"/>
        <v>Oct</v>
      </c>
      <c r="DT69" s="57" t="str">
        <f ca="1"/>
        <v>Nov</v>
      </c>
      <c r="DU69" s="57" t="str">
        <f ca="1"/>
        <v>Dec-18</v>
      </c>
      <c r="DV69" s="57" t="str">
        <f ca="1"/>
        <v>Jan-19</v>
      </c>
      <c r="DW69" s="57" t="str">
        <f ca="1"/>
        <v>Feb-19</v>
      </c>
      <c r="DX69" s="57" t="str">
        <f ca="1"/>
        <v>Mar-19</v>
      </c>
      <c r="DY69" s="57" t="str">
        <f ca="1"/>
        <v>Apr-19</v>
      </c>
      <c r="DZ69" s="57" t="str">
        <f ca="1"/>
        <v>May-19</v>
      </c>
      <c r="EA69" s="57" t="str">
        <f ca="1"/>
        <v>June-19</v>
      </c>
      <c r="EB69" s="57" t="str">
        <f ca="1"/>
        <v>July-19</v>
      </c>
      <c r="EC69" s="57" t="str">
        <f ca="1"/>
        <v>Aug-19</v>
      </c>
    </row>
    <row r="70" spans="1:133" x14ac:dyDescent="0.3">
      <c r="A70" t="str">
        <f>A10</f>
        <v>Weapons: Phishing/social engineering</v>
      </c>
      <c r="B70">
        <f t="shared" ref="B70:CI70" si="109">C10</f>
        <v>1000</v>
      </c>
      <c r="C70" s="56">
        <f t="shared" si="109"/>
        <v>1000</v>
      </c>
      <c r="D70" s="56">
        <f t="shared" si="109"/>
        <v>1000</v>
      </c>
      <c r="E70" s="56">
        <f t="shared" si="109"/>
        <v>1000</v>
      </c>
      <c r="F70" s="56">
        <f t="shared" si="109"/>
        <v>1000</v>
      </c>
      <c r="G70" s="56">
        <f t="shared" si="109"/>
        <v>1000</v>
      </c>
      <c r="H70" s="56">
        <f t="shared" si="109"/>
        <v>1000</v>
      </c>
      <c r="I70" s="56">
        <f t="shared" si="109"/>
        <v>1000</v>
      </c>
      <c r="J70" s="56">
        <f t="shared" si="109"/>
        <v>1000</v>
      </c>
      <c r="K70" s="56">
        <f t="shared" si="109"/>
        <v>1000</v>
      </c>
      <c r="L70" s="56">
        <f t="shared" si="109"/>
        <v>1000</v>
      </c>
      <c r="M70" s="56">
        <f t="shared" si="109"/>
        <v>1000</v>
      </c>
      <c r="N70" s="56">
        <f t="shared" si="109"/>
        <v>1000</v>
      </c>
      <c r="O70" s="56">
        <f t="shared" si="109"/>
        <v>1045.8475258241865</v>
      </c>
      <c r="P70" s="56">
        <f t="shared" si="109"/>
        <v>1088.4415919530147</v>
      </c>
      <c r="Q70" s="56">
        <f t="shared" si="109"/>
        <v>1129.2338499469809</v>
      </c>
      <c r="R70" s="56">
        <f t="shared" si="109"/>
        <v>1182.5737887006619</v>
      </c>
      <c r="S70" s="56">
        <f t="shared" si="109"/>
        <v>1232.4420256986964</v>
      </c>
      <c r="T70" s="56">
        <f t="shared" si="109"/>
        <v>1283.5409013386691</v>
      </c>
      <c r="U70" s="56">
        <f t="shared" si="109"/>
        <v>1337.4548218869177</v>
      </c>
      <c r="V70" s="56">
        <f t="shared" si="109"/>
        <v>1402.4574907191536</v>
      </c>
      <c r="W70" s="56">
        <f t="shared" si="109"/>
        <v>1459.4956242220144</v>
      </c>
      <c r="X70" s="56">
        <f t="shared" si="109"/>
        <v>1532.3428055857883</v>
      </c>
      <c r="Y70" s="56">
        <f t="shared" si="109"/>
        <v>1599.3556670244416</v>
      </c>
      <c r="Z70" s="56">
        <f t="shared" si="109"/>
        <v>1644.8858923617217</v>
      </c>
      <c r="AA70" s="56">
        <f t="shared" si="109"/>
        <v>1688.2482005904544</v>
      </c>
      <c r="AB70" s="56">
        <f t="shared" si="109"/>
        <v>1730.9864072635519</v>
      </c>
      <c r="AC70" s="56">
        <f t="shared" si="109"/>
        <v>1778.6137713771911</v>
      </c>
      <c r="AD70" s="56">
        <f t="shared" si="109"/>
        <v>1840.9251479073762</v>
      </c>
      <c r="AE70" s="56">
        <f t="shared" si="109"/>
        <v>1885.1100322714167</v>
      </c>
      <c r="AF70" s="56">
        <f t="shared" si="109"/>
        <v>1979.7405159956827</v>
      </c>
      <c r="AG70" s="56">
        <f t="shared" si="109"/>
        <v>2050.2582966742648</v>
      </c>
      <c r="AH70" s="56">
        <f t="shared" si="109"/>
        <v>2130.6504784694584</v>
      </c>
      <c r="AI70" s="56">
        <f t="shared" si="109"/>
        <v>2208.6132326932175</v>
      </c>
      <c r="AJ70" s="56">
        <f t="shared" si="109"/>
        <v>2284.3596680779392</v>
      </c>
      <c r="AK70" s="56">
        <f t="shared" si="109"/>
        <v>2378.1661244533284</v>
      </c>
      <c r="AL70" s="56">
        <f t="shared" si="109"/>
        <v>2488.4959502602765</v>
      </c>
      <c r="AM70" s="56">
        <f t="shared" si="109"/>
        <v>2570.4085510928185</v>
      </c>
      <c r="AN70" s="56">
        <f t="shared" si="109"/>
        <v>2662.9398232615586</v>
      </c>
      <c r="AO70" s="56">
        <f t="shared" si="109"/>
        <v>2720.6185992810997</v>
      </c>
      <c r="AP70" s="56">
        <f t="shared" si="109"/>
        <v>2807.8158392619357</v>
      </c>
      <c r="AQ70" s="56">
        <f t="shared" si="109"/>
        <v>2887.4769414776561</v>
      </c>
      <c r="AR70" s="56">
        <f t="shared" si="109"/>
        <v>3046.7015937647825</v>
      </c>
      <c r="AS70" s="56">
        <f t="shared" si="109"/>
        <v>3198.6977418188444</v>
      </c>
      <c r="AT70" s="56">
        <f t="shared" si="109"/>
        <v>3334.061197423855</v>
      </c>
      <c r="AU70" s="56">
        <f t="shared" si="109"/>
        <v>3453.6043072784828</v>
      </c>
      <c r="AV70" s="56">
        <f t="shared" si="109"/>
        <v>3597.3874947971849</v>
      </c>
      <c r="AW70" s="56">
        <f t="shared" si="109"/>
        <v>3725.525389801267</v>
      </c>
      <c r="AX70" s="56">
        <f t="shared" si="109"/>
        <v>3817.3252895450692</v>
      </c>
      <c r="AY70" s="56">
        <f t="shared" si="109"/>
        <v>3937.8998663978414</v>
      </c>
      <c r="AZ70" s="56">
        <f t="shared" si="109"/>
        <v>4064.7606860226279</v>
      </c>
      <c r="BA70" s="56">
        <f t="shared" si="109"/>
        <v>4218.6578464756958</v>
      </c>
      <c r="BB70" s="56">
        <f t="shared" si="109"/>
        <v>4431.69326320452</v>
      </c>
      <c r="BC70" s="56">
        <f t="shared" si="109"/>
        <v>4540.7277339977591</v>
      </c>
      <c r="BD70" s="56">
        <f t="shared" si="109"/>
        <v>4695.6658543566255</v>
      </c>
      <c r="BE70" s="56">
        <f t="shared" si="109"/>
        <v>4801.1820443704</v>
      </c>
      <c r="BF70" s="56">
        <f t="shared" si="109"/>
        <v>4992.9594669358139</v>
      </c>
      <c r="BG70" s="56">
        <f t="shared" si="109"/>
        <v>5157.1378980390609</v>
      </c>
      <c r="BH70" s="56">
        <f t="shared" si="109"/>
        <v>5375.1581921804818</v>
      </c>
      <c r="BI70" s="56">
        <f t="shared" si="109"/>
        <v>5606.4618720234357</v>
      </c>
      <c r="BJ70" s="56">
        <f t="shared" si="109"/>
        <v>5923.4546724223637</v>
      </c>
      <c r="BK70" s="56">
        <f t="shared" si="109"/>
        <v>6217.1209821883758</v>
      </c>
      <c r="BL70" s="56">
        <f t="shared" si="109"/>
        <v>6547.1580691954023</v>
      </c>
      <c r="BM70" s="56">
        <f t="shared" si="109"/>
        <v>6918.5311581790147</v>
      </c>
      <c r="BN70" s="56">
        <f t="shared" si="109"/>
        <v>7109.8149303741011</v>
      </c>
      <c r="BO70" s="56">
        <f t="shared" si="109"/>
        <v>7273.2518359705364</v>
      </c>
      <c r="BP70" s="56">
        <f t="shared" si="109"/>
        <v>7521.7380634894862</v>
      </c>
      <c r="BQ70" s="56">
        <f t="shared" si="109"/>
        <v>7746.2511319758842</v>
      </c>
      <c r="BR70" s="56">
        <f t="shared" si="109"/>
        <v>7804.5664244598402</v>
      </c>
      <c r="BS70" s="56">
        <f t="shared" si="109"/>
        <v>7989.2436897914458</v>
      </c>
      <c r="BT70" s="56">
        <f t="shared" si="109"/>
        <v>8304.568421579841</v>
      </c>
      <c r="BU70" s="56">
        <f t="shared" si="109"/>
        <v>8437.1038919143957</v>
      </c>
      <c r="BV70" s="56">
        <f t="shared" si="109"/>
        <v>8601.9932328204213</v>
      </c>
      <c r="BW70" s="56">
        <f t="shared" si="109"/>
        <v>8805.5397849593755</v>
      </c>
      <c r="BX70" s="56">
        <f t="shared" si="109"/>
        <v>9043.5130541955823</v>
      </c>
      <c r="BY70" s="56">
        <f t="shared" si="109"/>
        <v>9353.0412449983596</v>
      </c>
      <c r="BZ70" s="56">
        <f t="shared" si="109"/>
        <v>9596.8685386963407</v>
      </c>
      <c r="CA70" s="56">
        <f t="shared" si="109"/>
        <v>9991.2991490267414</v>
      </c>
      <c r="CB70" s="56">
        <f t="shared" si="109"/>
        <v>10198.598852359137</v>
      </c>
      <c r="CC70" s="56">
        <f t="shared" si="109"/>
        <v>10529.142566659679</v>
      </c>
      <c r="CD70" s="56">
        <f t="shared" si="109"/>
        <v>10620.655545072283</v>
      </c>
      <c r="CE70" s="56">
        <f t="shared" si="109"/>
        <v>10735.060070009846</v>
      </c>
      <c r="CF70" s="56">
        <f t="shared" si="109"/>
        <v>10973.848432484352</v>
      </c>
      <c r="CG70" s="56">
        <f t="shared" si="109"/>
        <v>11314.335868605229</v>
      </c>
      <c r="CH70" s="56">
        <f t="shared" ca="1" si="109"/>
        <v>4633.6461462622701</v>
      </c>
      <c r="CI70" s="56">
        <f t="shared" si="109"/>
        <v>12475.888422244157</v>
      </c>
      <c r="CJ70" s="56">
        <f t="shared" ref="CJ70:CO70" si="110">CK10</f>
        <v>12858.514367931422</v>
      </c>
      <c r="CK70" s="56">
        <f t="shared" si="110"/>
        <v>13356.540482387283</v>
      </c>
      <c r="CL70" s="56">
        <f t="shared" si="110"/>
        <v>13773.898930806195</v>
      </c>
      <c r="CM70" s="56">
        <f t="shared" si="110"/>
        <v>14417.28153071089</v>
      </c>
      <c r="CN70" s="56">
        <f t="shared" si="110"/>
        <v>14700.360801068182</v>
      </c>
      <c r="CO70" s="56">
        <f t="shared" si="110"/>
        <v>15151.209611436185</v>
      </c>
      <c r="CP70" s="56">
        <f t="shared" ref="CP70:CX70" si="111">CQ10</f>
        <v>15928.028739637472</v>
      </c>
      <c r="CQ70" s="56">
        <f t="shared" si="111"/>
        <v>16845.446301530767</v>
      </c>
      <c r="CR70" s="56">
        <f t="shared" si="111"/>
        <v>17247.918718848272</v>
      </c>
      <c r="CS70" s="56">
        <f t="shared" si="111"/>
        <v>17493.093590707718</v>
      </c>
      <c r="CT70" s="56">
        <f t="shared" si="111"/>
        <v>18473.592425541021</v>
      </c>
      <c r="CU70" s="56">
        <f t="shared" si="111"/>
        <v>18687.983755682089</v>
      </c>
      <c r="CV70" s="56">
        <f t="shared" si="111"/>
        <v>19248.366345293689</v>
      </c>
      <c r="CW70" s="56">
        <f t="shared" si="111"/>
        <v>19718.027815359957</v>
      </c>
      <c r="CX70" s="56">
        <f t="shared" si="111"/>
        <v>19718.027815359957</v>
      </c>
      <c r="DO70" s="88"/>
      <c r="DQ70" s="56">
        <f ca="1"/>
        <v>13773.898930806195</v>
      </c>
      <c r="DR70" s="56">
        <f ca="1"/>
        <v>14417.28153071089</v>
      </c>
      <c r="DS70" s="56">
        <f ca="1"/>
        <v>14700.360801068182</v>
      </c>
      <c r="DT70" s="56">
        <f ca="1"/>
        <v>15151.209611436185</v>
      </c>
      <c r="DU70" s="56">
        <f ca="1"/>
        <v>15928.028739637472</v>
      </c>
      <c r="DV70" s="56">
        <f ca="1"/>
        <v>16845.446301530767</v>
      </c>
      <c r="DW70" s="56">
        <f ca="1"/>
        <v>17247.918718848272</v>
      </c>
      <c r="DX70" s="56">
        <f ca="1"/>
        <v>17493.093590707718</v>
      </c>
      <c r="DY70" s="56">
        <f ca="1"/>
        <v>18473.592425541021</v>
      </c>
      <c r="DZ70" s="56">
        <f ca="1"/>
        <v>18687.983755682089</v>
      </c>
      <c r="EA70" s="56">
        <f ca="1"/>
        <v>19248.366345293689</v>
      </c>
      <c r="EB70" s="56">
        <f ca="1"/>
        <v>19718.027815359957</v>
      </c>
      <c r="EC70" s="56">
        <f ca="1"/>
        <v>19718.027815359957</v>
      </c>
    </row>
    <row r="71" spans="1:133" x14ac:dyDescent="0.3">
      <c r="A71" t="s">
        <v>108</v>
      </c>
      <c r="C71" s="55">
        <f t="shared" ref="C71:M71" si="112">LN(C70)-LN(B70)</f>
        <v>0</v>
      </c>
      <c r="D71" s="55">
        <f t="shared" si="112"/>
        <v>0</v>
      </c>
      <c r="E71" s="55">
        <f t="shared" si="112"/>
        <v>0</v>
      </c>
      <c r="F71" s="55">
        <f t="shared" si="112"/>
        <v>0</v>
      </c>
      <c r="G71" s="55">
        <f t="shared" si="112"/>
        <v>0</v>
      </c>
      <c r="H71" s="55">
        <f t="shared" si="112"/>
        <v>0</v>
      </c>
      <c r="I71" s="55">
        <f t="shared" si="112"/>
        <v>0</v>
      </c>
      <c r="J71" s="55">
        <f t="shared" si="112"/>
        <v>0</v>
      </c>
      <c r="K71" s="55">
        <f t="shared" si="112"/>
        <v>0</v>
      </c>
      <c r="L71" s="55">
        <f t="shared" si="112"/>
        <v>0</v>
      </c>
      <c r="M71" s="55">
        <f t="shared" si="112"/>
        <v>0</v>
      </c>
      <c r="N71" s="55">
        <f t="shared" ref="N71:AD71" si="113">LN(N70)-LN(M70)</f>
        <v>0</v>
      </c>
      <c r="O71" s="55">
        <f t="shared" si="113"/>
        <v>4.4827586206896974E-2</v>
      </c>
      <c r="P71" s="55">
        <f t="shared" si="113"/>
        <v>3.9919354838708898E-2</v>
      </c>
      <c r="Q71" s="55">
        <f t="shared" si="113"/>
        <v>3.6792452830189504E-2</v>
      </c>
      <c r="R71" s="55">
        <f t="shared" si="113"/>
        <v>4.615384615384599E-2</v>
      </c>
      <c r="S71" s="55">
        <f t="shared" si="113"/>
        <v>4.1304347826086385E-2</v>
      </c>
      <c r="T71" s="55">
        <f t="shared" si="113"/>
        <v>4.0625000000000355E-2</v>
      </c>
      <c r="U71" s="55">
        <f t="shared" si="113"/>
        <v>4.1145833333333215E-2</v>
      </c>
      <c r="V71" s="55">
        <f t="shared" si="113"/>
        <v>4.7457627118644652E-2</v>
      </c>
      <c r="W71" s="55">
        <f t="shared" si="113"/>
        <v>3.9864864864864735E-2</v>
      </c>
      <c r="X71" s="55">
        <f t="shared" si="113"/>
        <v>4.8706896551723666E-2</v>
      </c>
      <c r="Y71" s="55">
        <f t="shared" si="113"/>
        <v>4.2803030303030454E-2</v>
      </c>
      <c r="Z71" s="55">
        <f t="shared" si="113"/>
        <v>2.8070175438596578E-2</v>
      </c>
      <c r="AA71" s="55">
        <f t="shared" si="113"/>
        <v>2.6020408163265785E-2</v>
      </c>
      <c r="AB71" s="55">
        <f t="shared" si="113"/>
        <v>2.4999999999999467E-2</v>
      </c>
      <c r="AC71" s="55">
        <f t="shared" si="113"/>
        <v>2.7142857142857579E-2</v>
      </c>
      <c r="AD71" s="55">
        <f t="shared" si="113"/>
        <v>3.4433962264150964E-2</v>
      </c>
      <c r="AE71" s="55">
        <f>LN(AE70)-LN(AD70)</f>
        <v>2.371794871794819E-2</v>
      </c>
      <c r="AF71" s="55">
        <f t="shared" ref="AF71:CI71" si="114">LN(AF70)-LN(AE70)</f>
        <v>4.8979591836735281E-2</v>
      </c>
      <c r="AG71" s="55">
        <f t="shared" si="114"/>
        <v>3.4999999999999254E-2</v>
      </c>
      <c r="AH71" s="55">
        <f t="shared" si="114"/>
        <v>3.8461538461539213E-2</v>
      </c>
      <c r="AI71" s="55">
        <f t="shared" si="114"/>
        <v>3.5937499999999289E-2</v>
      </c>
      <c r="AJ71" s="55">
        <f t="shared" si="114"/>
        <v>3.3720930232558288E-2</v>
      </c>
      <c r="AK71" s="55">
        <f t="shared" si="114"/>
        <v>4.0243902439025092E-2</v>
      </c>
      <c r="AL71" s="55">
        <f t="shared" si="114"/>
        <v>4.5348837209302495E-2</v>
      </c>
      <c r="AM71" s="55">
        <f t="shared" si="114"/>
        <v>3.2386363636363491E-2</v>
      </c>
      <c r="AN71" s="55">
        <f t="shared" si="114"/>
        <v>3.5365853658536395E-2</v>
      </c>
      <c r="AO71" s="55">
        <f t="shared" si="114"/>
        <v>2.1428571428571352E-2</v>
      </c>
      <c r="AP71" s="55">
        <f t="shared" si="114"/>
        <v>3.1547619047619158E-2</v>
      </c>
      <c r="AQ71" s="55">
        <f t="shared" si="114"/>
        <v>2.7976190476190155E-2</v>
      </c>
      <c r="AR71" s="55">
        <f t="shared" si="114"/>
        <v>5.3676470588236214E-2</v>
      </c>
      <c r="AS71" s="55">
        <f t="shared" si="114"/>
        <v>4.8684210526314331E-2</v>
      </c>
      <c r="AT71" s="55">
        <f t="shared" si="114"/>
        <v>4.1447368421053454E-2</v>
      </c>
      <c r="AU71" s="55">
        <f t="shared" si="114"/>
        <v>3.5227272727272663E-2</v>
      </c>
      <c r="AV71" s="55">
        <f t="shared" si="114"/>
        <v>4.0789473684210265E-2</v>
      </c>
      <c r="AW71" s="186">
        <f t="shared" si="114"/>
        <v>3.5000000000000142E-2</v>
      </c>
      <c r="AX71" s="186">
        <f t="shared" si="114"/>
        <v>2.4342105263157165E-2</v>
      </c>
      <c r="AY71" s="186">
        <f t="shared" si="114"/>
        <v>3.1097560975609895E-2</v>
      </c>
      <c r="AZ71" s="186">
        <f t="shared" si="114"/>
        <v>3.1707317073172092E-2</v>
      </c>
      <c r="BA71" s="186">
        <f t="shared" si="114"/>
        <v>3.7162162162161394E-2</v>
      </c>
      <c r="BB71" s="186">
        <f t="shared" si="114"/>
        <v>4.9264705882352544E-2</v>
      </c>
      <c r="BC71" s="186">
        <f t="shared" si="114"/>
        <v>2.4305555555555358E-2</v>
      </c>
      <c r="BD71" s="186">
        <f t="shared" si="114"/>
        <v>3.3552631578947612E-2</v>
      </c>
      <c r="BE71" s="186">
        <f t="shared" si="114"/>
        <v>2.2222222222222143E-2</v>
      </c>
      <c r="BF71" s="186">
        <f t="shared" si="114"/>
        <v>3.9166666666666572E-2</v>
      </c>
      <c r="BG71" s="186">
        <f t="shared" si="114"/>
        <v>3.2352941176471361E-2</v>
      </c>
      <c r="BH71" s="186">
        <f t="shared" si="114"/>
        <v>4.1406249999999645E-2</v>
      </c>
      <c r="BI71" s="186">
        <f t="shared" si="114"/>
        <v>4.2131833538084251E-2</v>
      </c>
      <c r="BJ71" s="186">
        <f t="shared" si="114"/>
        <v>5.4999999999999716E-2</v>
      </c>
      <c r="BK71" s="186">
        <f t="shared" si="114"/>
        <v>4.8387096774193949E-2</v>
      </c>
      <c r="BL71" s="186">
        <f t="shared" si="114"/>
        <v>5.1724137931033809E-2</v>
      </c>
      <c r="BM71" s="186">
        <f t="shared" si="114"/>
        <v>5.5172413793103559E-2</v>
      </c>
      <c r="BN71" s="186">
        <f t="shared" si="114"/>
        <v>2.7272727272727337E-2</v>
      </c>
      <c r="BO71" s="186">
        <f t="shared" si="114"/>
        <v>2.2727272727273373E-2</v>
      </c>
      <c r="BP71" s="186">
        <f t="shared" si="114"/>
        <v>3.3593749999999645E-2</v>
      </c>
      <c r="BQ71" s="186">
        <f t="shared" si="114"/>
        <v>2.9411764705882248E-2</v>
      </c>
      <c r="BR71" s="186">
        <f t="shared" si="114"/>
        <v>7.5000000000002842E-3</v>
      </c>
      <c r="BS71" s="186">
        <f t="shared" si="114"/>
        <v>2.3387096774193594E-2</v>
      </c>
      <c r="BT71" s="186">
        <f t="shared" si="114"/>
        <v>3.8709677419353383E-2</v>
      </c>
      <c r="BU71" s="186">
        <f t="shared" si="114"/>
        <v>1.5833333333333144E-2</v>
      </c>
      <c r="BV71" s="186">
        <f t="shared" si="114"/>
        <v>1.935483870967758E-2</v>
      </c>
      <c r="BW71" s="186">
        <f t="shared" si="114"/>
        <v>2.3387096774193594E-2</v>
      </c>
      <c r="BX71" s="186">
        <f t="shared" si="114"/>
        <v>2.6666666666667282E-2</v>
      </c>
      <c r="BY71" s="186">
        <f t="shared" si="114"/>
        <v>3.3653846153844924E-2</v>
      </c>
      <c r="BZ71" s="186">
        <f t="shared" si="114"/>
        <v>2.5735294117648522E-2</v>
      </c>
      <c r="CA71" s="186">
        <f t="shared" si="114"/>
        <v>4.0277777777777857E-2</v>
      </c>
      <c r="CB71" s="186">
        <f t="shared" si="114"/>
        <v>2.053571428571388E-2</v>
      </c>
      <c r="CC71" s="186">
        <f t="shared" si="114"/>
        <v>3.1896551724138078E-2</v>
      </c>
      <c r="CD71" s="186">
        <f t="shared" si="114"/>
        <v>8.6538461538463451E-3</v>
      </c>
      <c r="CE71" s="186">
        <f t="shared" si="114"/>
        <v>1.0714285714284344E-2</v>
      </c>
      <c r="CF71" s="186">
        <f t="shared" si="114"/>
        <v>2.2000000000000242E-2</v>
      </c>
      <c r="CG71" s="186">
        <f t="shared" si="114"/>
        <v>3.0555555555555003E-2</v>
      </c>
      <c r="CH71" s="186">
        <f t="shared" ca="1" si="114"/>
        <v>-0.89272651981512929</v>
      </c>
      <c r="CI71" s="186">
        <f t="shared" ca="1" si="114"/>
        <v>0.99045379254240196</v>
      </c>
      <c r="CJ71" s="186">
        <f t="shared" ref="CJ71:CX71" si="115">LN(CJ70)-LN(CI70)</f>
        <v>3.0208333333334281E-2</v>
      </c>
      <c r="CK71" s="186">
        <f t="shared" si="115"/>
        <v>3.8000000000000256E-2</v>
      </c>
      <c r="CL71" s="186">
        <f t="shared" si="115"/>
        <v>3.076923076923066E-2</v>
      </c>
      <c r="CM71" s="186">
        <f t="shared" si="115"/>
        <v>4.565217391304266E-2</v>
      </c>
      <c r="CN71" s="186">
        <f t="shared" si="115"/>
        <v>1.9444444444445708E-2</v>
      </c>
      <c r="CO71" s="186">
        <f t="shared" si="115"/>
        <v>3.0208333333332504E-2</v>
      </c>
      <c r="CP71" s="186">
        <f t="shared" si="115"/>
        <v>5.0000000000000711E-2</v>
      </c>
      <c r="CQ71" s="186">
        <f t="shared" si="115"/>
        <v>5.5999999999999162E-2</v>
      </c>
      <c r="CR71" s="186">
        <f t="shared" si="115"/>
        <v>2.3611111111112137E-2</v>
      </c>
      <c r="CS71" s="186">
        <f t="shared" si="115"/>
        <v>1.4114668856047174E-2</v>
      </c>
      <c r="CT71" s="186">
        <f t="shared" si="115"/>
        <v>5.4536124794745788E-2</v>
      </c>
      <c r="CU71" s="186">
        <f t="shared" si="115"/>
        <v>1.1538461538462386E-2</v>
      </c>
      <c r="CV71" s="186">
        <f t="shared" si="115"/>
        <v>2.9545454545454319E-2</v>
      </c>
      <c r="CW71" s="186">
        <f t="shared" si="115"/>
        <v>2.4107142857141994E-2</v>
      </c>
      <c r="CX71" s="186">
        <f t="shared" si="115"/>
        <v>0</v>
      </c>
      <c r="DO71" s="88"/>
      <c r="DQ71" s="55">
        <f ca="1"/>
        <v>3.076923076923066E-2</v>
      </c>
      <c r="DR71" s="55">
        <f ca="1"/>
        <v>4.565217391304266E-2</v>
      </c>
      <c r="DS71" s="55">
        <f ca="1"/>
        <v>1.9444444444445708E-2</v>
      </c>
      <c r="DT71" s="55">
        <f ca="1"/>
        <v>3.0208333333332504E-2</v>
      </c>
      <c r="DU71" s="55">
        <f ca="1"/>
        <v>5.0000000000000711E-2</v>
      </c>
      <c r="DV71" s="55">
        <f ca="1"/>
        <v>5.5999999999999162E-2</v>
      </c>
      <c r="DW71" s="55">
        <f ca="1"/>
        <v>2.3611111111112137E-2</v>
      </c>
      <c r="DX71" s="55">
        <f ca="1"/>
        <v>1.4114668856047174E-2</v>
      </c>
      <c r="DY71" s="55">
        <f ca="1"/>
        <v>5.4536124794745788E-2</v>
      </c>
      <c r="DZ71" s="55">
        <f ca="1"/>
        <v>1.1538461538462386E-2</v>
      </c>
      <c r="EA71" s="55">
        <f ca="1"/>
        <v>2.9545454545454319E-2</v>
      </c>
      <c r="EB71" s="55">
        <f ca="1"/>
        <v>2.4107142857141994E-2</v>
      </c>
      <c r="EC71" s="186">
        <f ca="1"/>
        <v>0</v>
      </c>
    </row>
    <row r="72" spans="1:133" x14ac:dyDescent="0.3">
      <c r="C72" s="55"/>
      <c r="D72" s="55"/>
      <c r="E72" s="55"/>
      <c r="F72" s="55"/>
      <c r="G72" s="55"/>
      <c r="H72" s="55"/>
      <c r="I72" s="55"/>
      <c r="J72" s="55"/>
      <c r="K72" s="55"/>
      <c r="L72" s="55"/>
      <c r="M72" s="55"/>
      <c r="N72" s="55"/>
      <c r="O72" s="55"/>
      <c r="P72" s="55"/>
      <c r="Q72" s="55"/>
      <c r="R72" s="55"/>
      <c r="S72" s="55"/>
      <c r="T72" s="55"/>
      <c r="U72" s="55"/>
      <c r="V72" s="55"/>
      <c r="W72" s="55"/>
      <c r="X72" s="55"/>
      <c r="Y72" s="55"/>
      <c r="Z72" s="55"/>
      <c r="AA72" s="55"/>
      <c r="AB72" s="55"/>
      <c r="AC72" s="55"/>
      <c r="AD72" s="55"/>
      <c r="AE72" s="55"/>
      <c r="AF72" s="55"/>
      <c r="AG72" s="55"/>
      <c r="AH72" s="55"/>
      <c r="AI72" s="55"/>
      <c r="AJ72" s="55"/>
      <c r="AK72" s="55"/>
      <c r="AL72" s="55"/>
      <c r="AM72" s="55"/>
      <c r="AN72" s="55"/>
      <c r="AO72" s="55"/>
      <c r="AP72" s="55"/>
      <c r="AQ72" s="55"/>
      <c r="AR72" s="55"/>
      <c r="AS72" s="55"/>
      <c r="AT72" s="55"/>
      <c r="AU72" s="55"/>
      <c r="AV72" s="55"/>
      <c r="AW72" s="186"/>
      <c r="AX72" s="186"/>
      <c r="AY72" s="186"/>
      <c r="AZ72" s="186"/>
      <c r="BA72" s="186"/>
      <c r="BB72" s="186"/>
      <c r="BC72" s="186"/>
      <c r="BD72" s="186"/>
      <c r="BE72" s="186"/>
      <c r="BF72" s="186"/>
      <c r="BG72" s="186"/>
      <c r="BH72" s="186"/>
      <c r="BI72" s="186"/>
      <c r="BJ72" s="186"/>
      <c r="BK72" s="186"/>
      <c r="BL72" s="186"/>
      <c r="BM72" s="186"/>
      <c r="BN72" s="186"/>
      <c r="BO72" s="186"/>
      <c r="BP72" s="186"/>
      <c r="BQ72" s="186"/>
      <c r="BR72" s="186"/>
      <c r="BS72" s="186"/>
      <c r="BT72" s="186"/>
      <c r="BU72" s="186"/>
      <c r="BV72" s="186"/>
      <c r="BW72" s="186"/>
      <c r="BX72" s="186"/>
      <c r="BY72" s="186"/>
      <c r="BZ72" s="186"/>
      <c r="CA72" s="186"/>
      <c r="CB72" s="186"/>
      <c r="CC72" s="186"/>
      <c r="CD72" s="186"/>
      <c r="CE72" s="186"/>
      <c r="CF72" s="186"/>
      <c r="CG72" s="186"/>
      <c r="CH72" s="186"/>
      <c r="CI72" s="186"/>
      <c r="CJ72" s="186"/>
      <c r="CK72" s="186"/>
      <c r="CL72" s="186"/>
      <c r="CM72" s="186"/>
      <c r="CN72" s="186"/>
      <c r="CO72" s="186"/>
      <c r="CP72" s="186"/>
      <c r="CQ72" s="186"/>
      <c r="CR72" s="186"/>
      <c r="CS72" s="186"/>
      <c r="CT72" s="186"/>
      <c r="CU72" s="186"/>
      <c r="CV72" s="186"/>
      <c r="DO72" s="88"/>
      <c r="DQ72" s="55">
        <f ca="1"/>
        <v>0</v>
      </c>
      <c r="DR72" s="55">
        <f ca="1"/>
        <v>0</v>
      </c>
      <c r="DS72" s="55">
        <f ca="1"/>
        <v>0</v>
      </c>
      <c r="DT72" s="55">
        <f ca="1"/>
        <v>0</v>
      </c>
      <c r="DU72" s="55">
        <f ca="1"/>
        <v>0</v>
      </c>
      <c r="DV72" s="55">
        <f ca="1"/>
        <v>0</v>
      </c>
      <c r="DW72" s="55">
        <f ca="1"/>
        <v>0</v>
      </c>
      <c r="DX72" s="55">
        <f ca="1"/>
        <v>0</v>
      </c>
      <c r="DY72" s="55">
        <f ca="1"/>
        <v>0</v>
      </c>
      <c r="DZ72" s="55">
        <f ca="1"/>
        <v>0</v>
      </c>
      <c r="EA72" s="55">
        <f ca="1"/>
        <v>0</v>
      </c>
      <c r="EB72" s="55">
        <f ca="1"/>
        <v>0</v>
      </c>
      <c r="EC72" s="186">
        <f ca="1"/>
        <v>0</v>
      </c>
    </row>
    <row r="73" spans="1:133" x14ac:dyDescent="0.3">
      <c r="A73" t="str">
        <f>A74</f>
        <v>Weapons: Customized to target</v>
      </c>
      <c r="C73" s="55"/>
      <c r="D73" s="55"/>
      <c r="E73" s="55"/>
      <c r="F73" s="55"/>
      <c r="G73" s="55"/>
      <c r="H73" s="55"/>
      <c r="I73" s="55"/>
      <c r="J73" s="55"/>
      <c r="K73" s="55"/>
      <c r="L73" s="55"/>
      <c r="M73" s="55"/>
      <c r="N73" s="55"/>
      <c r="O73" s="55"/>
      <c r="P73" s="55"/>
      <c r="Q73" s="55"/>
      <c r="R73" s="55"/>
      <c r="S73" s="55"/>
      <c r="T73" s="55"/>
      <c r="U73" s="55"/>
      <c r="V73" s="55"/>
      <c r="W73" s="55"/>
      <c r="X73" s="55"/>
      <c r="Y73" s="55"/>
      <c r="Z73" s="55"/>
      <c r="AA73" s="55"/>
      <c r="AB73" s="55"/>
      <c r="AC73" s="55"/>
      <c r="AD73" s="55"/>
      <c r="AE73" s="55"/>
      <c r="AF73" s="55"/>
      <c r="AG73" s="55"/>
      <c r="AH73" s="55"/>
      <c r="AI73" s="55"/>
      <c r="AJ73" s="55"/>
      <c r="AK73" s="55"/>
      <c r="AL73" s="55"/>
      <c r="AM73" s="55"/>
      <c r="AN73" s="55"/>
      <c r="AO73" s="55"/>
      <c r="AP73" s="55"/>
      <c r="AQ73" s="55"/>
      <c r="AR73" s="55"/>
      <c r="AS73" s="55"/>
      <c r="AT73" s="55"/>
      <c r="AU73" s="55"/>
      <c r="AV73" s="55"/>
      <c r="AW73" s="186"/>
      <c r="AX73" s="186"/>
      <c r="AY73" s="186"/>
      <c r="AZ73" s="186"/>
      <c r="BA73" s="186"/>
      <c r="BB73" s="186"/>
      <c r="BC73" s="186"/>
      <c r="BD73" s="186"/>
      <c r="BE73" s="186"/>
      <c r="BF73" s="186"/>
      <c r="BG73" s="186"/>
      <c r="BH73" s="186"/>
      <c r="BI73" s="186"/>
      <c r="BJ73" s="186"/>
      <c r="BK73" s="186"/>
      <c r="BL73" s="186"/>
      <c r="BM73" s="186"/>
      <c r="BN73" s="186"/>
      <c r="BO73" s="186"/>
      <c r="BP73" s="186"/>
      <c r="BQ73" s="186"/>
      <c r="BR73" s="186"/>
      <c r="BS73" s="186"/>
      <c r="BT73" s="186"/>
      <c r="BU73" s="186"/>
      <c r="BV73" s="186"/>
      <c r="BW73" s="186"/>
      <c r="BX73" s="186"/>
      <c r="BY73" s="186"/>
      <c r="BZ73" s="186"/>
      <c r="CA73" s="186"/>
      <c r="CB73" s="186"/>
      <c r="CC73" s="186"/>
      <c r="CD73" s="186"/>
      <c r="CE73" s="186"/>
      <c r="CF73" s="186"/>
      <c r="CG73" s="186"/>
      <c r="CH73" s="186"/>
      <c r="CI73" s="186"/>
      <c r="CJ73" s="186"/>
      <c r="CK73" s="186"/>
      <c r="CL73" s="186"/>
      <c r="CM73" s="186"/>
      <c r="CN73" s="186"/>
      <c r="CO73" s="186"/>
      <c r="CP73" s="186"/>
      <c r="CQ73" s="186"/>
      <c r="CR73" s="186"/>
      <c r="CS73" s="186"/>
      <c r="CT73" s="186"/>
      <c r="CU73" s="186"/>
      <c r="CV73" s="186"/>
      <c r="DO73" s="88"/>
      <c r="DQ73" s="55">
        <f ca="1"/>
        <v>0</v>
      </c>
      <c r="DR73" s="55">
        <f ca="1"/>
        <v>0</v>
      </c>
      <c r="DS73" s="55">
        <f ca="1"/>
        <v>0</v>
      </c>
      <c r="DT73" s="55">
        <f ca="1"/>
        <v>0</v>
      </c>
      <c r="DU73" s="55">
        <f ca="1"/>
        <v>0</v>
      </c>
      <c r="DV73" s="55">
        <f ca="1"/>
        <v>0</v>
      </c>
      <c r="DW73" s="55">
        <f ca="1"/>
        <v>0</v>
      </c>
      <c r="DX73" s="55">
        <f ca="1"/>
        <v>0</v>
      </c>
      <c r="DY73" s="55">
        <f ca="1"/>
        <v>0</v>
      </c>
      <c r="DZ73" s="55">
        <f ca="1"/>
        <v>0</v>
      </c>
      <c r="EA73" s="55">
        <f ca="1"/>
        <v>0</v>
      </c>
      <c r="EB73" s="55">
        <f ca="1"/>
        <v>0</v>
      </c>
      <c r="EC73" s="186">
        <f ca="1"/>
        <v>0</v>
      </c>
    </row>
    <row r="74" spans="1:133" x14ac:dyDescent="0.3">
      <c r="A74" t="str">
        <f>A75</f>
        <v>Weapons: Customized to target</v>
      </c>
      <c r="B74" s="57" t="str">
        <f>C$1</f>
        <v>Apr</v>
      </c>
      <c r="C74" s="57" t="str">
        <f t="shared" ref="C74:N74" si="116">D$1</f>
        <v>May</v>
      </c>
      <c r="D74" s="57" t="str">
        <f t="shared" si="116"/>
        <v>Jun</v>
      </c>
      <c r="E74" s="57" t="str">
        <f t="shared" si="116"/>
        <v>Jul</v>
      </c>
      <c r="F74" s="57" t="str">
        <f t="shared" si="116"/>
        <v>Aug</v>
      </c>
      <c r="G74" s="57" t="str">
        <f t="shared" si="116"/>
        <v>Sep</v>
      </c>
      <c r="H74" s="57" t="str">
        <f t="shared" si="116"/>
        <v>Oct</v>
      </c>
      <c r="I74" s="57" t="str">
        <f t="shared" si="116"/>
        <v>Nov</v>
      </c>
      <c r="J74" s="57" t="str">
        <f t="shared" si="116"/>
        <v>Dec 2011</v>
      </c>
      <c r="K74" s="57" t="str">
        <f t="shared" si="116"/>
        <v>Jan 2012</v>
      </c>
      <c r="L74" s="57" t="str">
        <f t="shared" si="116"/>
        <v>Feb</v>
      </c>
      <c r="M74" s="57" t="str">
        <f t="shared" si="116"/>
        <v>Mar</v>
      </c>
      <c r="N74" s="57" t="str">
        <f t="shared" si="116"/>
        <v>Apr</v>
      </c>
      <c r="O74" s="57" t="str">
        <f t="shared" ref="O74:AD74" si="117">P$1</f>
        <v>May</v>
      </c>
      <c r="P74" s="57" t="str">
        <f t="shared" si="117"/>
        <v>Jun</v>
      </c>
      <c r="Q74" s="57" t="str">
        <f t="shared" si="117"/>
        <v>Jul</v>
      </c>
      <c r="R74" s="57" t="str">
        <f t="shared" si="117"/>
        <v>Aug</v>
      </c>
      <c r="S74" s="57" t="str">
        <f t="shared" si="117"/>
        <v>Sep</v>
      </c>
      <c r="T74" s="57" t="str">
        <f t="shared" si="117"/>
        <v>Oct</v>
      </c>
      <c r="U74" s="57" t="str">
        <f t="shared" si="117"/>
        <v>Nov</v>
      </c>
      <c r="V74" s="57" t="str">
        <f t="shared" si="117"/>
        <v>Dec 2012</v>
      </c>
      <c r="W74" s="57" t="str">
        <f t="shared" si="117"/>
        <v>Jan 2013</v>
      </c>
      <c r="X74" s="57" t="str">
        <f t="shared" si="117"/>
        <v>Feb</v>
      </c>
      <c r="Y74" s="57" t="str">
        <f t="shared" si="117"/>
        <v>Mar</v>
      </c>
      <c r="Z74" s="57" t="str">
        <f t="shared" si="117"/>
        <v>Apr</v>
      </c>
      <c r="AA74" s="57" t="str">
        <f t="shared" si="117"/>
        <v>May</v>
      </c>
      <c r="AB74" s="57" t="str">
        <f t="shared" si="117"/>
        <v>Jun</v>
      </c>
      <c r="AC74" s="57" t="str">
        <f t="shared" si="117"/>
        <v>Jul</v>
      </c>
      <c r="AD74" s="57" t="str">
        <f t="shared" si="117"/>
        <v>Aug</v>
      </c>
      <c r="AE74" s="57" t="str">
        <f>AF$1</f>
        <v>Sep</v>
      </c>
      <c r="AF74" s="57" t="str">
        <f t="shared" ref="AF74:AK74" si="118">AG$1</f>
        <v>Oct</v>
      </c>
      <c r="AG74" s="57" t="str">
        <f t="shared" si="118"/>
        <v>Nov</v>
      </c>
      <c r="AH74" s="57" t="str">
        <f t="shared" si="118"/>
        <v>Dec 2013</v>
      </c>
      <c r="AI74" s="57" t="str">
        <f t="shared" si="118"/>
        <v>Jan 2014</v>
      </c>
      <c r="AJ74" s="57" t="str">
        <f t="shared" si="118"/>
        <v>Feb</v>
      </c>
      <c r="AK74" s="57" t="str">
        <f t="shared" si="118"/>
        <v>Mar</v>
      </c>
      <c r="AL74" s="57" t="str">
        <f t="shared" ref="AL74:CI74" si="119">AM$1</f>
        <v>Apr</v>
      </c>
      <c r="AM74" s="57" t="str">
        <f t="shared" si="119"/>
        <v>May</v>
      </c>
      <c r="AN74" s="57" t="str">
        <f t="shared" si="119"/>
        <v>Jun</v>
      </c>
      <c r="AO74" s="57" t="str">
        <f t="shared" si="119"/>
        <v>Jul</v>
      </c>
      <c r="AP74" s="57" t="str">
        <f t="shared" si="119"/>
        <v>Aug</v>
      </c>
      <c r="AQ74" s="57" t="str">
        <f t="shared" si="119"/>
        <v>Sep</v>
      </c>
      <c r="AR74" s="57" t="str">
        <f t="shared" si="119"/>
        <v>Oct</v>
      </c>
      <c r="AS74" s="57" t="str">
        <f t="shared" si="119"/>
        <v>Nov</v>
      </c>
      <c r="AT74" s="57" t="str">
        <f t="shared" si="119"/>
        <v>Dec '14</v>
      </c>
      <c r="AU74" s="57" t="str">
        <f t="shared" si="119"/>
        <v>Jan '15</v>
      </c>
      <c r="AV74" s="57" t="str">
        <f t="shared" si="119"/>
        <v>Feb</v>
      </c>
      <c r="AW74" s="57" t="str">
        <f t="shared" si="119"/>
        <v>Mar</v>
      </c>
      <c r="AX74" s="57" t="str">
        <f t="shared" si="119"/>
        <v>Apr</v>
      </c>
      <c r="AY74" s="57" t="str">
        <f t="shared" si="119"/>
        <v>May</v>
      </c>
      <c r="AZ74" s="57" t="str">
        <f t="shared" si="119"/>
        <v>Jun</v>
      </c>
      <c r="BA74" s="57" t="str">
        <f t="shared" si="119"/>
        <v>Jul</v>
      </c>
      <c r="BB74" s="57" t="str">
        <f t="shared" si="119"/>
        <v>Aug</v>
      </c>
      <c r="BC74" s="57" t="str">
        <f t="shared" si="119"/>
        <v>Sep</v>
      </c>
      <c r="BD74" s="57" t="str">
        <f t="shared" si="119"/>
        <v>Oct</v>
      </c>
      <c r="BE74" s="57" t="str">
        <f t="shared" si="119"/>
        <v>Nov</v>
      </c>
      <c r="BF74" s="57" t="str">
        <f t="shared" si="119"/>
        <v>Dec '15</v>
      </c>
      <c r="BG74" s="57" t="str">
        <f t="shared" si="119"/>
        <v>Jan '16</v>
      </c>
      <c r="BH74" s="57" t="str">
        <f t="shared" si="119"/>
        <v>Feb</v>
      </c>
      <c r="BI74" s="57" t="str">
        <f t="shared" si="119"/>
        <v>Mar</v>
      </c>
      <c r="BJ74" s="57" t="str">
        <f t="shared" si="119"/>
        <v>Apr</v>
      </c>
      <c r="BK74" s="57" t="str">
        <f t="shared" si="119"/>
        <v>May</v>
      </c>
      <c r="BL74" s="57" t="str">
        <f t="shared" si="119"/>
        <v>Jun</v>
      </c>
      <c r="BM74" s="57" t="str">
        <f t="shared" si="119"/>
        <v>Jul</v>
      </c>
      <c r="BN74" s="57" t="str">
        <f t="shared" si="119"/>
        <v>Aug</v>
      </c>
      <c r="BO74" s="57" t="str">
        <f t="shared" si="119"/>
        <v>Sep</v>
      </c>
      <c r="BP74" s="57" t="str">
        <f t="shared" si="119"/>
        <v>Oct</v>
      </c>
      <c r="BQ74" s="57" t="str">
        <f t="shared" si="119"/>
        <v>Nov</v>
      </c>
      <c r="BR74" s="57" t="str">
        <f t="shared" si="119"/>
        <v>Dec-16</v>
      </c>
      <c r="BS74" s="57" t="str">
        <f t="shared" si="119"/>
        <v>Jan-17</v>
      </c>
      <c r="BT74" s="57" t="str">
        <f t="shared" si="119"/>
        <v>Feb</v>
      </c>
      <c r="BU74" s="57" t="str">
        <f t="shared" si="119"/>
        <v>Mar</v>
      </c>
      <c r="BV74" s="57" t="str">
        <f t="shared" si="119"/>
        <v>Apr</v>
      </c>
      <c r="BW74" s="57" t="str">
        <f t="shared" si="119"/>
        <v>May</v>
      </c>
      <c r="BX74" s="57" t="str">
        <f t="shared" si="119"/>
        <v>Jun</v>
      </c>
      <c r="BY74" s="57" t="str">
        <f t="shared" si="119"/>
        <v>Jul</v>
      </c>
      <c r="BZ74" s="57" t="str">
        <f t="shared" si="119"/>
        <v>Aug</v>
      </c>
      <c r="CA74" s="57" t="str">
        <f t="shared" si="119"/>
        <v>Sep</v>
      </c>
      <c r="CB74" s="57" t="str">
        <f t="shared" si="119"/>
        <v>Oct</v>
      </c>
      <c r="CC74" s="57" t="str">
        <f t="shared" si="119"/>
        <v>Nov</v>
      </c>
      <c r="CD74" s="57" t="str">
        <f t="shared" si="119"/>
        <v>Dec</v>
      </c>
      <c r="CE74" s="57" t="str">
        <f t="shared" si="119"/>
        <v>Jan '18</v>
      </c>
      <c r="CF74" s="57" t="str">
        <f t="shared" si="119"/>
        <v>Feb</v>
      </c>
      <c r="CG74" s="57" t="str">
        <f t="shared" si="119"/>
        <v>Mar</v>
      </c>
      <c r="CH74" s="57" t="str">
        <f t="shared" si="119"/>
        <v>Apr</v>
      </c>
      <c r="CI74" s="57" t="str">
        <f t="shared" si="119"/>
        <v>May</v>
      </c>
      <c r="CJ74" s="57" t="str">
        <f t="shared" ref="CJ74:CO74" si="120">CK$1</f>
        <v>Jun</v>
      </c>
      <c r="CK74" s="57" t="str">
        <f t="shared" si="120"/>
        <v>Jul</v>
      </c>
      <c r="CL74" s="57" t="str">
        <f t="shared" si="120"/>
        <v>Aug</v>
      </c>
      <c r="CM74" s="57" t="str">
        <f t="shared" si="120"/>
        <v>Sep</v>
      </c>
      <c r="CN74" s="57" t="str">
        <f t="shared" si="120"/>
        <v>Oct</v>
      </c>
      <c r="CO74" s="57" t="str">
        <f t="shared" si="120"/>
        <v>Nov</v>
      </c>
      <c r="CP74" s="57" t="str">
        <f t="shared" ref="CP74:CX74" si="121">CQ$1</f>
        <v>Dec-18</v>
      </c>
      <c r="CQ74" s="57" t="str">
        <f t="shared" si="121"/>
        <v>Jan-19</v>
      </c>
      <c r="CR74" s="57" t="str">
        <f t="shared" si="121"/>
        <v>Feb-19</v>
      </c>
      <c r="CS74" s="57" t="str">
        <f t="shared" si="121"/>
        <v>Mar-19</v>
      </c>
      <c r="CT74" s="57" t="str">
        <f t="shared" si="121"/>
        <v>Apr-19</v>
      </c>
      <c r="CU74" s="57" t="str">
        <f t="shared" si="121"/>
        <v>May-19</v>
      </c>
      <c r="CV74" s="57" t="str">
        <f t="shared" si="121"/>
        <v>June-19</v>
      </c>
      <c r="CW74" s="57" t="str">
        <f t="shared" si="121"/>
        <v>July-19</v>
      </c>
      <c r="CX74" s="57" t="str">
        <f t="shared" si="121"/>
        <v>Aug-19</v>
      </c>
      <c r="DO74" s="88"/>
      <c r="DQ74" s="57" t="str">
        <f ca="1"/>
        <v>Aug</v>
      </c>
      <c r="DR74" s="57" t="str">
        <f ca="1"/>
        <v>Sep</v>
      </c>
      <c r="DS74" s="57" t="str">
        <f ca="1"/>
        <v>Oct</v>
      </c>
      <c r="DT74" s="57" t="str">
        <f ca="1"/>
        <v>Nov</v>
      </c>
      <c r="DU74" s="57" t="str">
        <f ca="1"/>
        <v>Dec-18</v>
      </c>
      <c r="DV74" s="57" t="str">
        <f ca="1"/>
        <v>Jan-19</v>
      </c>
      <c r="DW74" s="57" t="str">
        <f ca="1"/>
        <v>Feb-19</v>
      </c>
      <c r="DX74" s="57" t="str">
        <f ca="1"/>
        <v>Mar-19</v>
      </c>
      <c r="DY74" s="57" t="str">
        <f ca="1"/>
        <v>Apr-19</v>
      </c>
      <c r="DZ74" s="57" t="str">
        <f ca="1"/>
        <v>May-19</v>
      </c>
      <c r="EA74" s="57" t="str">
        <f ca="1"/>
        <v>June-19</v>
      </c>
      <c r="EB74" s="57" t="str">
        <f ca="1"/>
        <v>July-19</v>
      </c>
      <c r="EC74" s="57" t="str">
        <f ca="1"/>
        <v>Aug-19</v>
      </c>
    </row>
    <row r="75" spans="1:133" x14ac:dyDescent="0.3">
      <c r="A75" t="str">
        <f>A11</f>
        <v>Weapons: Customized to target</v>
      </c>
      <c r="B75">
        <f t="shared" ref="B75:CI75" si="122">C11</f>
        <v>1000</v>
      </c>
      <c r="C75" s="56">
        <f t="shared" si="122"/>
        <v>1000</v>
      </c>
      <c r="D75" s="56">
        <f t="shared" si="122"/>
        <v>1000</v>
      </c>
      <c r="E75" s="56">
        <f t="shared" si="122"/>
        <v>1000</v>
      </c>
      <c r="F75" s="56">
        <f t="shared" si="122"/>
        <v>1000</v>
      </c>
      <c r="G75" s="56">
        <f t="shared" si="122"/>
        <v>1000</v>
      </c>
      <c r="H75" s="56">
        <f t="shared" si="122"/>
        <v>1000</v>
      </c>
      <c r="I75" s="56">
        <f t="shared" si="122"/>
        <v>1000</v>
      </c>
      <c r="J75" s="56">
        <f t="shared" si="122"/>
        <v>1000</v>
      </c>
      <c r="K75" s="56">
        <f t="shared" si="122"/>
        <v>1000</v>
      </c>
      <c r="L75" s="56">
        <f t="shared" si="122"/>
        <v>1000</v>
      </c>
      <c r="M75" s="56">
        <f t="shared" si="122"/>
        <v>1000</v>
      </c>
      <c r="N75" s="56">
        <f t="shared" si="122"/>
        <v>1000</v>
      </c>
      <c r="O75" s="56">
        <f t="shared" si="122"/>
        <v>1039.5553809752741</v>
      </c>
      <c r="P75" s="56">
        <f t="shared" si="122"/>
        <v>1079.2788681594968</v>
      </c>
      <c r="Q75" s="56">
        <f t="shared" si="122"/>
        <v>1118.6718797943499</v>
      </c>
      <c r="R75" s="56">
        <f t="shared" si="122"/>
        <v>1141.4900470271002</v>
      </c>
      <c r="S75" s="56">
        <f t="shared" si="122"/>
        <v>1163.4109992779991</v>
      </c>
      <c r="T75" s="56">
        <f t="shared" si="122"/>
        <v>1198.4675594200671</v>
      </c>
      <c r="U75" s="56">
        <f t="shared" si="122"/>
        <v>1231.3695930620011</v>
      </c>
      <c r="V75" s="56">
        <f t="shared" si="122"/>
        <v>1280.8626802594508</v>
      </c>
      <c r="W75" s="56">
        <f t="shared" si="122"/>
        <v>1306.2081715831323</v>
      </c>
      <c r="X75" s="56">
        <f t="shared" si="122"/>
        <v>1346.8006120329501</v>
      </c>
      <c r="Y75" s="56">
        <f t="shared" si="122"/>
        <v>1376.7168352475803</v>
      </c>
      <c r="Z75" s="56">
        <f t="shared" si="122"/>
        <v>1392.5060931225594</v>
      </c>
      <c r="AA75" s="56">
        <f t="shared" si="122"/>
        <v>1408.9429781379679</v>
      </c>
      <c r="AB75" s="56">
        <f t="shared" si="122"/>
        <v>1425.5738811116059</v>
      </c>
      <c r="AC75" s="56">
        <f t="shared" si="122"/>
        <v>1434.7678048681007</v>
      </c>
      <c r="AD75" s="56">
        <f t="shared" si="122"/>
        <v>1458.6516208537289</v>
      </c>
      <c r="AE75" s="56">
        <f t="shared" si="122"/>
        <v>1468.9733327310225</v>
      </c>
      <c r="AF75" s="56">
        <f t="shared" si="122"/>
        <v>1516.9573735889883</v>
      </c>
      <c r="AG75" s="56">
        <f t="shared" si="122"/>
        <v>1539.0279952940803</v>
      </c>
      <c r="AH75" s="56">
        <f t="shared" si="122"/>
        <v>1569.917138807094</v>
      </c>
      <c r="AI75" s="56">
        <f t="shared" si="122"/>
        <v>1605.4734114117566</v>
      </c>
      <c r="AJ75" s="56">
        <f t="shared" si="122"/>
        <v>1641.3378914414757</v>
      </c>
      <c r="AK75" s="56">
        <f t="shared" si="122"/>
        <v>1667.5664619642273</v>
      </c>
      <c r="AL75" s="56">
        <f t="shared" si="122"/>
        <v>1698.8813523309257</v>
      </c>
      <c r="AM75" s="56">
        <f t="shared" si="122"/>
        <v>1709.532611295213</v>
      </c>
      <c r="AN75" s="56">
        <f t="shared" si="122"/>
        <v>1728.3991204287354</v>
      </c>
      <c r="AO75" s="56">
        <f t="shared" si="122"/>
        <v>1721.0075460285293</v>
      </c>
      <c r="AP75" s="56">
        <f t="shared" si="122"/>
        <v>1745.7698203771731</v>
      </c>
      <c r="AQ75" s="56">
        <f t="shared" si="122"/>
        <v>1811.4006360337569</v>
      </c>
      <c r="AR75" s="56">
        <f t="shared" si="122"/>
        <v>1843.6502480879969</v>
      </c>
      <c r="AS75" s="56">
        <f t="shared" si="122"/>
        <v>1854.5989802633883</v>
      </c>
      <c r="AT75" s="56">
        <f t="shared" si="122"/>
        <v>1887.8368455490418</v>
      </c>
      <c r="AU75" s="56">
        <f t="shared" si="122"/>
        <v>1903.9951226062221</v>
      </c>
      <c r="AV75" s="56">
        <f t="shared" si="122"/>
        <v>1944.5041450460255</v>
      </c>
      <c r="AW75" s="56">
        <f t="shared" si="122"/>
        <v>1970.1939827208928</v>
      </c>
      <c r="AX75" s="56">
        <f t="shared" si="122"/>
        <v>2005.5035255822729</v>
      </c>
      <c r="AY75" s="56">
        <f t="shared" si="122"/>
        <v>2035.0681566085561</v>
      </c>
      <c r="AZ75" s="56">
        <f t="shared" si="122"/>
        <v>2063.8098176624972</v>
      </c>
      <c r="BA75" s="56">
        <f t="shared" si="122"/>
        <v>2077.8016952174739</v>
      </c>
      <c r="BB75" s="56">
        <f t="shared" si="122"/>
        <v>2122.5835172078791</v>
      </c>
      <c r="BC75" s="56">
        <f t="shared" si="122"/>
        <v>2143.3203867343395</v>
      </c>
      <c r="BD75" s="56">
        <f t="shared" si="122"/>
        <v>2197.5788006469847</v>
      </c>
      <c r="BE75" s="56">
        <f t="shared" si="122"/>
        <v>2267.8623474077722</v>
      </c>
      <c r="BF75" s="56">
        <f t="shared" si="122"/>
        <v>2296.3885440454701</v>
      </c>
      <c r="BG75" s="56">
        <f t="shared" si="122"/>
        <v>2345.881459195627</v>
      </c>
      <c r="BH75" s="56">
        <f t="shared" si="122"/>
        <v>2373.5339675043283</v>
      </c>
      <c r="BI75" s="56">
        <f t="shared" si="122"/>
        <v>2424.2534659828248</v>
      </c>
      <c r="BJ75" s="56">
        <f t="shared" si="122"/>
        <v>2528.6017577876</v>
      </c>
      <c r="BK75" s="56">
        <f t="shared" si="122"/>
        <v>2582.1805773709561</v>
      </c>
      <c r="BL75" s="56">
        <f t="shared" si="122"/>
        <v>2647.5487899029413</v>
      </c>
      <c r="BM75" s="56">
        <f t="shared" si="122"/>
        <v>2719.2561398898733</v>
      </c>
      <c r="BN75" s="56">
        <f t="shared" si="122"/>
        <v>2764.9568569817311</v>
      </c>
      <c r="BO75" s="56">
        <f t="shared" si="122"/>
        <v>2790.2074298382258</v>
      </c>
      <c r="BP75" s="56">
        <f t="shared" si="122"/>
        <v>2845.2393402966268</v>
      </c>
      <c r="BQ75" s="56">
        <f t="shared" si="122"/>
        <v>2906.5613624850466</v>
      </c>
      <c r="BR75" s="56">
        <f t="shared" si="122"/>
        <v>2892.064827211907</v>
      </c>
      <c r="BS75" s="56">
        <f t="shared" si="122"/>
        <v>2924.9021954573727</v>
      </c>
      <c r="BT75" s="56">
        <f t="shared" si="122"/>
        <v>2927.261938932058</v>
      </c>
      <c r="BU75" s="56">
        <f t="shared" si="122"/>
        <v>2922.3872324176709</v>
      </c>
      <c r="BV75" s="56">
        <f t="shared" si="122"/>
        <v>2936.5620821351554</v>
      </c>
      <c r="BW75" s="56">
        <f t="shared" si="122"/>
        <v>2950.8056860417782</v>
      </c>
      <c r="BX75" s="56">
        <f t="shared" si="122"/>
        <v>2975.4984771571758</v>
      </c>
      <c r="BY75" s="56">
        <f t="shared" si="122"/>
        <v>3024.5361296528572</v>
      </c>
      <c r="BZ75" s="56">
        <f t="shared" si="122"/>
        <v>3058.0796265027147</v>
      </c>
      <c r="CA75" s="56">
        <f t="shared" si="122"/>
        <v>3003.3597850435017</v>
      </c>
      <c r="CB75" s="56">
        <f t="shared" si="122"/>
        <v>3027.5911539617273</v>
      </c>
      <c r="CC75" s="56">
        <f t="shared" si="122"/>
        <v>3101.5600774220925</v>
      </c>
      <c r="CD75" s="56">
        <f t="shared" si="122"/>
        <v>3101.5600774220925</v>
      </c>
      <c r="CE75" s="56">
        <f t="shared" si="122"/>
        <v>3096.0265194310559</v>
      </c>
      <c r="CF75" s="56">
        <f t="shared" si="122"/>
        <v>3155.4134122369596</v>
      </c>
      <c r="CG75" s="56">
        <f t="shared" si="122"/>
        <v>3205.4749256964001</v>
      </c>
      <c r="CH75" s="56">
        <f t="shared" ca="1" si="122"/>
        <v>2139.732294083432</v>
      </c>
      <c r="CI75" s="56">
        <f t="shared" si="122"/>
        <v>3387.2984149468562</v>
      </c>
      <c r="CJ75" s="56">
        <f t="shared" ref="CJ75:CO75" si="123">CK11</f>
        <v>3473.0482825734425</v>
      </c>
      <c r="CK75" s="56">
        <f t="shared" si="123"/>
        <v>3493.9492123554778</v>
      </c>
      <c r="CL75" s="56">
        <f t="shared" si="123"/>
        <v>3568.6469633383895</v>
      </c>
      <c r="CM75" s="56">
        <f t="shared" si="123"/>
        <v>3735.3394425665829</v>
      </c>
      <c r="CN75" s="56">
        <f t="shared" si="123"/>
        <v>3777.0746470239933</v>
      </c>
      <c r="CO75" s="56">
        <f t="shared" si="123"/>
        <v>3856.5891018049228</v>
      </c>
      <c r="CP75" s="56">
        <f t="shared" ref="CP75:CX75" si="124">CQ11</f>
        <v>3949.9233905281144</v>
      </c>
      <c r="CQ75" s="56">
        <f t="shared" si="124"/>
        <v>4013.6304622721182</v>
      </c>
      <c r="CR75" s="56">
        <f t="shared" si="124"/>
        <v>4115.2360011650562</v>
      </c>
      <c r="CS75" s="56">
        <f t="shared" si="124"/>
        <v>4241.1206849679884</v>
      </c>
      <c r="CT75" s="56">
        <f t="shared" si="124"/>
        <v>4199.3690136598079</v>
      </c>
      <c r="CU75" s="56">
        <f t="shared" si="124"/>
        <v>4260.3757306845009</v>
      </c>
      <c r="CV75" s="56">
        <f t="shared" si="124"/>
        <v>4325.4183811645007</v>
      </c>
      <c r="CW75" s="56">
        <f t="shared" si="124"/>
        <v>4348.6524438797378</v>
      </c>
      <c r="CX75" s="56">
        <f t="shared" si="124"/>
        <v>4348.6524438797378</v>
      </c>
      <c r="DO75" s="88"/>
      <c r="DQ75" s="56">
        <f ca="1"/>
        <v>3568.6469633383895</v>
      </c>
      <c r="DR75" s="56">
        <f ca="1"/>
        <v>3735.3394425665829</v>
      </c>
      <c r="DS75" s="56">
        <f ca="1"/>
        <v>3777.0746470239933</v>
      </c>
      <c r="DT75" s="56">
        <f ca="1"/>
        <v>3856.5891018049228</v>
      </c>
      <c r="DU75" s="56">
        <f ca="1"/>
        <v>3949.9233905281144</v>
      </c>
      <c r="DV75" s="56">
        <f ca="1"/>
        <v>4013.6304622721182</v>
      </c>
      <c r="DW75" s="56">
        <f ca="1"/>
        <v>4115.2360011650562</v>
      </c>
      <c r="DX75" s="56">
        <f ca="1"/>
        <v>4241.1206849679884</v>
      </c>
      <c r="DY75" s="56">
        <f ca="1"/>
        <v>4199.3690136598079</v>
      </c>
      <c r="DZ75" s="56">
        <f ca="1"/>
        <v>4260.3757306845009</v>
      </c>
      <c r="EA75" s="56">
        <f ca="1"/>
        <v>4325.4183811645007</v>
      </c>
      <c r="EB75" s="56">
        <f ca="1"/>
        <v>4348.6524438797378</v>
      </c>
      <c r="EC75" s="56">
        <f ca="1"/>
        <v>4348.6524438797378</v>
      </c>
    </row>
    <row r="76" spans="1:133" x14ac:dyDescent="0.3">
      <c r="A76" t="s">
        <v>108</v>
      </c>
      <c r="C76" s="55">
        <f t="shared" ref="C76:M76" si="125">LN(C75)-LN(B75)</f>
        <v>0</v>
      </c>
      <c r="D76" s="55">
        <f t="shared" si="125"/>
        <v>0</v>
      </c>
      <c r="E76" s="55">
        <f t="shared" si="125"/>
        <v>0</v>
      </c>
      <c r="F76" s="55">
        <f t="shared" si="125"/>
        <v>0</v>
      </c>
      <c r="G76" s="55">
        <f t="shared" si="125"/>
        <v>0</v>
      </c>
      <c r="H76" s="55">
        <f t="shared" si="125"/>
        <v>0</v>
      </c>
      <c r="I76" s="55">
        <f t="shared" si="125"/>
        <v>0</v>
      </c>
      <c r="J76" s="55">
        <f t="shared" si="125"/>
        <v>0</v>
      </c>
      <c r="K76" s="55">
        <f t="shared" si="125"/>
        <v>0</v>
      </c>
      <c r="L76" s="55">
        <f t="shared" si="125"/>
        <v>0</v>
      </c>
      <c r="M76" s="55">
        <f t="shared" si="125"/>
        <v>0</v>
      </c>
      <c r="N76" s="55">
        <f t="shared" ref="N76:AD76" si="126">LN(N75)-LN(M75)</f>
        <v>0</v>
      </c>
      <c r="O76" s="55">
        <f t="shared" si="126"/>
        <v>3.8793103448275801E-2</v>
      </c>
      <c r="P76" s="55">
        <f t="shared" si="126"/>
        <v>3.7500000000000533E-2</v>
      </c>
      <c r="Q76" s="55">
        <f t="shared" si="126"/>
        <v>3.5849056603773022E-2</v>
      </c>
      <c r="R76" s="55">
        <f t="shared" si="126"/>
        <v>2.0192307692307843E-2</v>
      </c>
      <c r="S76" s="55">
        <f t="shared" si="126"/>
        <v>1.902173913043459E-2</v>
      </c>
      <c r="T76" s="55">
        <f t="shared" si="126"/>
        <v>2.9687500000000533E-2</v>
      </c>
      <c r="U76" s="55">
        <f t="shared" si="126"/>
        <v>2.7083333333332682E-2</v>
      </c>
      <c r="V76" s="55">
        <f t="shared" si="126"/>
        <v>3.9406779661017133E-2</v>
      </c>
      <c r="W76" s="55">
        <f t="shared" si="126"/>
        <v>1.9594594594594561E-2</v>
      </c>
      <c r="X76" s="55">
        <f t="shared" si="126"/>
        <v>3.060344827586281E-2</v>
      </c>
      <c r="Y76" s="55">
        <f t="shared" si="126"/>
        <v>2.1969696969696528E-2</v>
      </c>
      <c r="Z76" s="55">
        <f t="shared" si="126"/>
        <v>1.1403508771929971E-2</v>
      </c>
      <c r="AA76" s="55">
        <f t="shared" si="126"/>
        <v>1.1734693877550662E-2</v>
      </c>
      <c r="AB76" s="55">
        <f t="shared" si="126"/>
        <v>1.1734693877550662E-2</v>
      </c>
      <c r="AC76" s="55">
        <f t="shared" si="126"/>
        <v>6.4285714285716722E-3</v>
      </c>
      <c r="AD76" s="55">
        <f t="shared" si="126"/>
        <v>1.6509433962264453E-2</v>
      </c>
      <c r="AE76" s="55">
        <f>LN(AE75)-LN(AD75)</f>
        <v>7.0512820512815821E-3</v>
      </c>
      <c r="AF76" s="55">
        <f t="shared" ref="AF76:CI76" si="127">LN(AF75)-LN(AE75)</f>
        <v>3.2142857142857473E-2</v>
      </c>
      <c r="AG76" s="55">
        <f t="shared" si="127"/>
        <v>1.4444444444444926E-2</v>
      </c>
      <c r="AH76" s="55">
        <f t="shared" si="127"/>
        <v>1.9871794871794357E-2</v>
      </c>
      <c r="AI76" s="55">
        <f t="shared" si="127"/>
        <v>2.2395833333333393E-2</v>
      </c>
      <c r="AJ76" s="55">
        <f t="shared" si="127"/>
        <v>2.2093023255814082E-2</v>
      </c>
      <c r="AK76" s="55">
        <f t="shared" si="127"/>
        <v>1.5853658536585158E-2</v>
      </c>
      <c r="AL76" s="55">
        <f t="shared" si="127"/>
        <v>1.8604651162791086E-2</v>
      </c>
      <c r="AM76" s="55">
        <f t="shared" si="127"/>
        <v>6.2499999999996447E-3</v>
      </c>
      <c r="AN76" s="55">
        <f t="shared" si="127"/>
        <v>1.0975609756097349E-2</v>
      </c>
      <c r="AO76" s="55">
        <f t="shared" si="127"/>
        <v>-4.2857142857144481E-3</v>
      </c>
      <c r="AP76" s="55">
        <f t="shared" si="127"/>
        <v>1.4285714285714235E-2</v>
      </c>
      <c r="AQ76" s="55">
        <f t="shared" si="127"/>
        <v>3.6904761904762218E-2</v>
      </c>
      <c r="AR76" s="55">
        <f t="shared" si="127"/>
        <v>1.7647058823529349E-2</v>
      </c>
      <c r="AS76" s="55">
        <f t="shared" si="127"/>
        <v>5.921052631578938E-3</v>
      </c>
      <c r="AT76" s="55">
        <f t="shared" si="127"/>
        <v>1.7763157894736814E-2</v>
      </c>
      <c r="AU76" s="55">
        <f t="shared" si="127"/>
        <v>8.522727272727515E-3</v>
      </c>
      <c r="AV76" s="55">
        <f t="shared" si="127"/>
        <v>2.1052631578946546E-2</v>
      </c>
      <c r="AW76" s="186">
        <f t="shared" si="127"/>
        <v>1.3125000000000497E-2</v>
      </c>
      <c r="AX76" s="186">
        <f t="shared" si="127"/>
        <v>1.7763157894736814E-2</v>
      </c>
      <c r="AY76" s="186">
        <f t="shared" si="127"/>
        <v>1.4634146341463428E-2</v>
      </c>
      <c r="AZ76" s="186">
        <f t="shared" si="127"/>
        <v>1.4024390243902118E-2</v>
      </c>
      <c r="BA76" s="186">
        <f t="shared" si="127"/>
        <v>6.7567567567570208E-3</v>
      </c>
      <c r="BB76" s="186">
        <f t="shared" si="127"/>
        <v>2.1323529411764852E-2</v>
      </c>
      <c r="BC76" s="186">
        <f t="shared" si="127"/>
        <v>9.7222222222219656E-3</v>
      </c>
      <c r="BD76" s="186">
        <f t="shared" si="127"/>
        <v>2.4999999999999467E-2</v>
      </c>
      <c r="BE76" s="186">
        <f t="shared" si="127"/>
        <v>3.1481481481481666E-2</v>
      </c>
      <c r="BF76" s="186">
        <f t="shared" si="127"/>
        <v>1.2500000000000178E-2</v>
      </c>
      <c r="BG76" s="186">
        <f t="shared" si="127"/>
        <v>2.1323529411764852E-2</v>
      </c>
      <c r="BH76" s="186">
        <f t="shared" si="127"/>
        <v>1.171875E-2</v>
      </c>
      <c r="BI76" s="186">
        <f t="shared" si="127"/>
        <v>2.1143657862407572E-2</v>
      </c>
      <c r="BJ76" s="186">
        <f t="shared" si="127"/>
        <v>4.214285714285726E-2</v>
      </c>
      <c r="BK76" s="186">
        <f t="shared" si="127"/>
        <v>2.0967741935483453E-2</v>
      </c>
      <c r="BL76" s="186">
        <f t="shared" si="127"/>
        <v>2.5000000000000355E-2</v>
      </c>
      <c r="BM76" s="186">
        <f t="shared" si="127"/>
        <v>2.6724137931034342E-2</v>
      </c>
      <c r="BN76" s="186">
        <f t="shared" si="127"/>
        <v>1.6666666666666607E-2</v>
      </c>
      <c r="BO76" s="186">
        <f t="shared" si="127"/>
        <v>9.0909090909088164E-3</v>
      </c>
      <c r="BP76" s="186">
        <f t="shared" si="127"/>
        <v>1.953125E-2</v>
      </c>
      <c r="BQ76" s="186">
        <f t="shared" si="127"/>
        <v>2.1323529411764852E-2</v>
      </c>
      <c r="BR76" s="186">
        <f t="shared" si="127"/>
        <v>-4.9999999999998934E-3</v>
      </c>
      <c r="BS76" s="186">
        <f t="shared" si="127"/>
        <v>1.1290322580645551E-2</v>
      </c>
      <c r="BT76" s="186">
        <f t="shared" si="127"/>
        <v>8.0645161290338052E-4</v>
      </c>
      <c r="BU76" s="186">
        <f t="shared" si="127"/>
        <v>-1.6666666666669272E-3</v>
      </c>
      <c r="BV76" s="186">
        <f t="shared" si="127"/>
        <v>4.8387096774193949E-3</v>
      </c>
      <c r="BW76" s="186">
        <f t="shared" si="127"/>
        <v>4.8387096774193949E-3</v>
      </c>
      <c r="BX76" s="186">
        <f t="shared" si="127"/>
        <v>8.3333333333328596E-3</v>
      </c>
      <c r="BY76" s="186">
        <f t="shared" si="127"/>
        <v>1.6346153846154898E-2</v>
      </c>
      <c r="BZ76" s="186">
        <f t="shared" si="127"/>
        <v>1.1029411764704733E-2</v>
      </c>
      <c r="CA76" s="186">
        <f t="shared" si="127"/>
        <v>-1.8055555555555713E-2</v>
      </c>
      <c r="CB76" s="186">
        <f t="shared" si="127"/>
        <v>8.0357142857145902E-3</v>
      </c>
      <c r="CC76" s="186">
        <f t="shared" si="127"/>
        <v>2.4137931034482918E-2</v>
      </c>
      <c r="CD76" s="186">
        <f t="shared" si="127"/>
        <v>0</v>
      </c>
      <c r="CE76" s="186">
        <f t="shared" si="127"/>
        <v>-1.7857142857149455E-3</v>
      </c>
      <c r="CF76" s="186">
        <f t="shared" si="127"/>
        <v>1.9000000000000128E-2</v>
      </c>
      <c r="CG76" s="186">
        <f t="shared" si="127"/>
        <v>1.5740740740740833E-2</v>
      </c>
      <c r="CH76" s="186">
        <f t="shared" ca="1" si="127"/>
        <v>-0.40417953715336097</v>
      </c>
      <c r="CI76" s="186">
        <f t="shared" ca="1" si="127"/>
        <v>0.45935195094646453</v>
      </c>
      <c r="CJ76" s="186">
        <f t="shared" ref="CJ76:CX76" si="128">LN(CJ75)-LN(CI75)</f>
        <v>2.5000000000000355E-2</v>
      </c>
      <c r="CK76" s="186">
        <f t="shared" si="128"/>
        <v>6.0000000000002274E-3</v>
      </c>
      <c r="CL76" s="186">
        <f t="shared" si="128"/>
        <v>2.1153846153845635E-2</v>
      </c>
      <c r="CM76" s="186">
        <f t="shared" si="128"/>
        <v>4.5652173913044436E-2</v>
      </c>
      <c r="CN76" s="186">
        <f t="shared" si="128"/>
        <v>1.1111111111111072E-2</v>
      </c>
      <c r="CO76" s="186">
        <f t="shared" si="128"/>
        <v>2.0833333333332149E-2</v>
      </c>
      <c r="CP76" s="186">
        <f t="shared" si="128"/>
        <v>2.3913043478261287E-2</v>
      </c>
      <c r="CQ76" s="186">
        <f t="shared" si="128"/>
        <v>1.6000000000000014E-2</v>
      </c>
      <c r="CR76" s="186">
        <f t="shared" si="128"/>
        <v>2.5000000000000355E-2</v>
      </c>
      <c r="CS76" s="186">
        <f t="shared" si="128"/>
        <v>3.0131362889983748E-2</v>
      </c>
      <c r="CT76" s="186">
        <f t="shared" si="128"/>
        <v>-9.8932676518881379E-3</v>
      </c>
      <c r="CU76" s="186">
        <f t="shared" si="128"/>
        <v>1.442307692307665E-2</v>
      </c>
      <c r="CV76" s="186">
        <f t="shared" si="128"/>
        <v>1.5151515151515582E-2</v>
      </c>
      <c r="CW76" s="186">
        <f t="shared" si="128"/>
        <v>5.3571428571430602E-3</v>
      </c>
      <c r="CX76" s="186">
        <f t="shared" si="128"/>
        <v>0</v>
      </c>
      <c r="DO76" s="88"/>
      <c r="DQ76" s="55">
        <f ca="1"/>
        <v>2.1153846153845635E-2</v>
      </c>
      <c r="DR76" s="55">
        <f ca="1"/>
        <v>4.5652173913044436E-2</v>
      </c>
      <c r="DS76" s="55">
        <f ca="1"/>
        <v>1.1111111111111072E-2</v>
      </c>
      <c r="DT76" s="55">
        <f ca="1"/>
        <v>2.0833333333332149E-2</v>
      </c>
      <c r="DU76" s="55">
        <f ca="1"/>
        <v>2.3913043478261287E-2</v>
      </c>
      <c r="DV76" s="55">
        <f ca="1"/>
        <v>1.6000000000000014E-2</v>
      </c>
      <c r="DW76" s="55">
        <f ca="1"/>
        <v>2.5000000000000355E-2</v>
      </c>
      <c r="DX76" s="55">
        <f ca="1"/>
        <v>3.0131362889983748E-2</v>
      </c>
      <c r="DY76" s="55">
        <f ca="1"/>
        <v>-9.8932676518881379E-3</v>
      </c>
      <c r="DZ76" s="55">
        <f ca="1"/>
        <v>1.442307692307665E-2</v>
      </c>
      <c r="EA76" s="55">
        <f ca="1"/>
        <v>1.5151515151515582E-2</v>
      </c>
      <c r="EB76" s="55">
        <f ca="1"/>
        <v>5.3571428571430602E-3</v>
      </c>
      <c r="EC76" s="186">
        <f ca="1"/>
        <v>0</v>
      </c>
    </row>
    <row r="77" spans="1:133" x14ac:dyDescent="0.3">
      <c r="C77" s="55"/>
      <c r="D77" s="55"/>
      <c r="E77" s="55"/>
      <c r="F77" s="55"/>
      <c r="G77" s="55"/>
      <c r="H77" s="55"/>
      <c r="I77" s="55"/>
      <c r="J77" s="55"/>
      <c r="K77" s="55"/>
      <c r="L77" s="55"/>
      <c r="M77" s="55"/>
      <c r="N77" s="55"/>
      <c r="O77" s="55"/>
      <c r="P77" s="55"/>
      <c r="Q77" s="55"/>
      <c r="R77" s="55"/>
      <c r="S77" s="55"/>
      <c r="T77" s="55"/>
      <c r="U77" s="55"/>
      <c r="V77" s="55"/>
      <c r="W77" s="55"/>
      <c r="X77" s="55"/>
      <c r="Y77" s="55"/>
      <c r="Z77" s="55"/>
      <c r="AA77" s="55"/>
      <c r="AB77" s="55"/>
      <c r="AC77" s="55"/>
      <c r="AD77" s="55"/>
      <c r="AE77" s="55"/>
      <c r="AF77" s="55"/>
      <c r="AG77" s="55"/>
      <c r="AH77" s="55"/>
      <c r="AI77" s="55"/>
      <c r="AJ77" s="55"/>
      <c r="AK77" s="55"/>
      <c r="AL77" s="55"/>
      <c r="AM77" s="55"/>
      <c r="AN77" s="55"/>
      <c r="AO77" s="55"/>
      <c r="AP77" s="55"/>
      <c r="AQ77" s="55"/>
      <c r="AR77" s="55"/>
      <c r="AS77" s="55"/>
      <c r="AT77" s="55"/>
      <c r="AU77" s="55"/>
      <c r="AV77" s="55"/>
      <c r="AW77" s="186"/>
      <c r="AX77" s="186"/>
      <c r="AY77" s="186"/>
      <c r="AZ77" s="186"/>
      <c r="BA77" s="186"/>
      <c r="BB77" s="186"/>
      <c r="BC77" s="186"/>
      <c r="BD77" s="186"/>
      <c r="BE77" s="186"/>
      <c r="BF77" s="186"/>
      <c r="BG77" s="186"/>
      <c r="BH77" s="186"/>
      <c r="BI77" s="186"/>
      <c r="BJ77" s="186"/>
      <c r="BK77" s="186"/>
      <c r="BL77" s="186"/>
      <c r="BM77" s="186"/>
      <c r="BN77" s="186"/>
      <c r="BO77" s="186"/>
      <c r="BP77" s="186"/>
      <c r="BQ77" s="186"/>
      <c r="BR77" s="186"/>
      <c r="BS77" s="186"/>
      <c r="BT77" s="186"/>
      <c r="BU77" s="186"/>
      <c r="BV77" s="186"/>
      <c r="BW77" s="186"/>
      <c r="BX77" s="186"/>
      <c r="BY77" s="186"/>
      <c r="BZ77" s="186"/>
      <c r="CA77" s="186"/>
      <c r="CB77" s="186"/>
      <c r="CC77" s="186"/>
      <c r="CD77" s="186"/>
      <c r="CE77" s="186"/>
      <c r="CF77" s="186"/>
      <c r="CG77" s="186"/>
      <c r="CH77" s="186"/>
      <c r="CI77" s="186"/>
      <c r="CJ77" s="186"/>
      <c r="CK77" s="186"/>
      <c r="CL77" s="186"/>
      <c r="CM77" s="186"/>
      <c r="CN77" s="186"/>
      <c r="CO77" s="186"/>
      <c r="CP77" s="186"/>
      <c r="CQ77" s="186"/>
      <c r="CR77" s="186"/>
      <c r="CS77" s="186"/>
      <c r="CT77" s="186"/>
      <c r="CU77" s="186"/>
      <c r="CV77" s="186"/>
      <c r="CW77" s="186"/>
      <c r="CX77" s="186"/>
      <c r="DO77" s="88"/>
      <c r="DQ77" s="55">
        <f ca="1"/>
        <v>0</v>
      </c>
      <c r="DR77" s="55">
        <f ca="1"/>
        <v>0</v>
      </c>
      <c r="DS77" s="55">
        <f ca="1"/>
        <v>0</v>
      </c>
      <c r="DT77" s="55">
        <f ca="1"/>
        <v>0</v>
      </c>
      <c r="DU77" s="55">
        <f ca="1"/>
        <v>0</v>
      </c>
      <c r="DV77" s="55">
        <f ca="1"/>
        <v>0</v>
      </c>
      <c r="DW77" s="55">
        <f ca="1"/>
        <v>0</v>
      </c>
      <c r="DX77" s="55">
        <f ca="1"/>
        <v>0</v>
      </c>
      <c r="DY77" s="55">
        <f ca="1"/>
        <v>0</v>
      </c>
      <c r="DZ77" s="55">
        <f ca="1"/>
        <v>0</v>
      </c>
      <c r="EA77" s="55">
        <f ca="1"/>
        <v>0</v>
      </c>
      <c r="EB77" s="55">
        <f ca="1"/>
        <v>0</v>
      </c>
      <c r="EC77" s="186">
        <f ca="1"/>
        <v>0</v>
      </c>
    </row>
    <row r="78" spans="1:133" x14ac:dyDescent="0.3">
      <c r="A78" t="str">
        <f>A79</f>
        <v>Effect desired: Data theft</v>
      </c>
      <c r="C78" s="55"/>
      <c r="D78" s="55"/>
      <c r="E78" s="55"/>
      <c r="F78" s="55"/>
      <c r="G78" s="55"/>
      <c r="H78" s="55"/>
      <c r="I78" s="55"/>
      <c r="J78" s="55"/>
      <c r="K78" s="55"/>
      <c r="L78" s="55"/>
      <c r="M78" s="55"/>
      <c r="N78" s="55"/>
      <c r="O78" s="55"/>
      <c r="P78" s="55"/>
      <c r="Q78" s="55"/>
      <c r="R78" s="55"/>
      <c r="S78" s="55"/>
      <c r="T78" s="55"/>
      <c r="U78" s="55"/>
      <c r="V78" s="55"/>
      <c r="W78" s="55"/>
      <c r="X78" s="55"/>
      <c r="Y78" s="55"/>
      <c r="Z78" s="55"/>
      <c r="AA78" s="55"/>
      <c r="AB78" s="55"/>
      <c r="AC78" s="55"/>
      <c r="AD78" s="55"/>
      <c r="AE78" s="55"/>
      <c r="AF78" s="55"/>
      <c r="AG78" s="55"/>
      <c r="AH78" s="55"/>
      <c r="AI78" s="55"/>
      <c r="AJ78" s="55"/>
      <c r="AK78" s="55"/>
      <c r="AL78" s="55"/>
      <c r="AM78" s="55"/>
      <c r="AN78" s="55"/>
      <c r="AO78" s="55"/>
      <c r="AP78" s="55"/>
      <c r="AQ78" s="55"/>
      <c r="AR78" s="55"/>
      <c r="AS78" s="55"/>
      <c r="AT78" s="55"/>
      <c r="AU78" s="55"/>
      <c r="AV78" s="55"/>
      <c r="AW78" s="186"/>
      <c r="AX78" s="186"/>
      <c r="AY78" s="186"/>
      <c r="AZ78" s="186"/>
      <c r="BA78" s="186"/>
      <c r="BB78" s="186"/>
      <c r="BC78" s="186"/>
      <c r="BD78" s="186"/>
      <c r="BE78" s="186"/>
      <c r="BF78" s="186"/>
      <c r="BG78" s="186"/>
      <c r="BH78" s="186"/>
      <c r="BI78" s="186"/>
      <c r="BJ78" s="186"/>
      <c r="BK78" s="186"/>
      <c r="BL78" s="186"/>
      <c r="BM78" s="186"/>
      <c r="BN78" s="186"/>
      <c r="BO78" s="186"/>
      <c r="BP78" s="186"/>
      <c r="BQ78" s="186"/>
      <c r="BR78" s="186"/>
      <c r="BS78" s="186"/>
      <c r="BT78" s="186"/>
      <c r="BU78" s="186"/>
      <c r="BV78" s="186"/>
      <c r="BW78" s="186"/>
      <c r="BX78" s="186"/>
      <c r="BY78" s="186"/>
      <c r="BZ78" s="186"/>
      <c r="CA78" s="186"/>
      <c r="CB78" s="186"/>
      <c r="CC78" s="186"/>
      <c r="CD78" s="186"/>
      <c r="CE78" s="186"/>
      <c r="CF78" s="186"/>
      <c r="CG78" s="186"/>
      <c r="CH78" s="186"/>
      <c r="CI78" s="186"/>
      <c r="CJ78" s="186"/>
      <c r="CK78" s="186"/>
      <c r="CL78" s="186"/>
      <c r="CM78" s="186"/>
      <c r="CN78" s="186"/>
      <c r="CO78" s="186"/>
      <c r="CP78" s="186"/>
      <c r="CQ78" s="186"/>
      <c r="CR78" s="186"/>
      <c r="CS78" s="186"/>
      <c r="CT78" s="186"/>
      <c r="CU78" s="186"/>
      <c r="CV78" s="186"/>
      <c r="CW78" s="186"/>
      <c r="CX78" s="186"/>
      <c r="DO78" s="88"/>
      <c r="DQ78" s="55">
        <f ca="1"/>
        <v>0</v>
      </c>
      <c r="DR78" s="55">
        <f ca="1"/>
        <v>0</v>
      </c>
      <c r="DS78" s="55">
        <f ca="1"/>
        <v>0</v>
      </c>
      <c r="DT78" s="55">
        <f ca="1"/>
        <v>0</v>
      </c>
      <c r="DU78" s="55">
        <f ca="1"/>
        <v>0</v>
      </c>
      <c r="DV78" s="55">
        <f ca="1"/>
        <v>0</v>
      </c>
      <c r="DW78" s="55">
        <f ca="1"/>
        <v>0</v>
      </c>
      <c r="DX78" s="55">
        <f ca="1"/>
        <v>0</v>
      </c>
      <c r="DY78" s="55">
        <f ca="1"/>
        <v>0</v>
      </c>
      <c r="DZ78" s="55">
        <f ca="1"/>
        <v>0</v>
      </c>
      <c r="EA78" s="55">
        <f ca="1"/>
        <v>0</v>
      </c>
      <c r="EB78" s="55">
        <f ca="1"/>
        <v>0</v>
      </c>
      <c r="EC78" s="186">
        <f ca="1"/>
        <v>0</v>
      </c>
    </row>
    <row r="79" spans="1:133" x14ac:dyDescent="0.3">
      <c r="A79" t="str">
        <f>A80</f>
        <v>Effect desired: Data theft</v>
      </c>
      <c r="B79" s="57" t="str">
        <f>C$1</f>
        <v>Apr</v>
      </c>
      <c r="C79" s="57" t="str">
        <f t="shared" ref="C79:N79" si="129">D$1</f>
        <v>May</v>
      </c>
      <c r="D79" s="57" t="str">
        <f t="shared" si="129"/>
        <v>Jun</v>
      </c>
      <c r="E79" s="57" t="str">
        <f t="shared" si="129"/>
        <v>Jul</v>
      </c>
      <c r="F79" s="57" t="str">
        <f t="shared" si="129"/>
        <v>Aug</v>
      </c>
      <c r="G79" s="57" t="str">
        <f t="shared" si="129"/>
        <v>Sep</v>
      </c>
      <c r="H79" s="57" t="str">
        <f t="shared" si="129"/>
        <v>Oct</v>
      </c>
      <c r="I79" s="57" t="str">
        <f t="shared" si="129"/>
        <v>Nov</v>
      </c>
      <c r="J79" s="57" t="str">
        <f t="shared" si="129"/>
        <v>Dec 2011</v>
      </c>
      <c r="K79" s="57" t="str">
        <f t="shared" si="129"/>
        <v>Jan 2012</v>
      </c>
      <c r="L79" s="57" t="str">
        <f t="shared" si="129"/>
        <v>Feb</v>
      </c>
      <c r="M79" s="57" t="str">
        <f t="shared" si="129"/>
        <v>Mar</v>
      </c>
      <c r="N79" s="57" t="str">
        <f t="shared" si="129"/>
        <v>Apr</v>
      </c>
      <c r="O79" s="57" t="str">
        <f t="shared" ref="O79:AD79" si="130">P$1</f>
        <v>May</v>
      </c>
      <c r="P79" s="57" t="str">
        <f t="shared" si="130"/>
        <v>Jun</v>
      </c>
      <c r="Q79" s="57" t="str">
        <f t="shared" si="130"/>
        <v>Jul</v>
      </c>
      <c r="R79" s="57" t="str">
        <f t="shared" si="130"/>
        <v>Aug</v>
      </c>
      <c r="S79" s="57" t="str">
        <f t="shared" si="130"/>
        <v>Sep</v>
      </c>
      <c r="T79" s="57" t="str">
        <f t="shared" si="130"/>
        <v>Oct</v>
      </c>
      <c r="U79" s="57" t="str">
        <f t="shared" si="130"/>
        <v>Nov</v>
      </c>
      <c r="V79" s="57" t="str">
        <f t="shared" si="130"/>
        <v>Dec 2012</v>
      </c>
      <c r="W79" s="57" t="str">
        <f t="shared" si="130"/>
        <v>Jan 2013</v>
      </c>
      <c r="X79" s="57" t="str">
        <f t="shared" si="130"/>
        <v>Feb</v>
      </c>
      <c r="Y79" s="57" t="str">
        <f t="shared" si="130"/>
        <v>Mar</v>
      </c>
      <c r="Z79" s="57" t="str">
        <f t="shared" si="130"/>
        <v>Apr</v>
      </c>
      <c r="AA79" s="57" t="str">
        <f t="shared" si="130"/>
        <v>May</v>
      </c>
      <c r="AB79" s="57" t="str">
        <f t="shared" si="130"/>
        <v>Jun</v>
      </c>
      <c r="AC79" s="57" t="str">
        <f t="shared" si="130"/>
        <v>Jul</v>
      </c>
      <c r="AD79" s="57" t="str">
        <f t="shared" si="130"/>
        <v>Aug</v>
      </c>
      <c r="AE79" s="57" t="str">
        <f>AF$1</f>
        <v>Sep</v>
      </c>
      <c r="AF79" s="57" t="str">
        <f t="shared" ref="AF79:AK79" si="131">AG$1</f>
        <v>Oct</v>
      </c>
      <c r="AG79" s="57" t="str">
        <f t="shared" si="131"/>
        <v>Nov</v>
      </c>
      <c r="AH79" s="57" t="str">
        <f t="shared" si="131"/>
        <v>Dec 2013</v>
      </c>
      <c r="AI79" s="57" t="str">
        <f t="shared" si="131"/>
        <v>Jan 2014</v>
      </c>
      <c r="AJ79" s="57" t="str">
        <f t="shared" si="131"/>
        <v>Feb</v>
      </c>
      <c r="AK79" s="57" t="str">
        <f t="shared" si="131"/>
        <v>Mar</v>
      </c>
      <c r="AL79" s="57" t="str">
        <f t="shared" ref="AL79:CI79" si="132">AM$1</f>
        <v>Apr</v>
      </c>
      <c r="AM79" s="57" t="str">
        <f t="shared" si="132"/>
        <v>May</v>
      </c>
      <c r="AN79" s="57" t="str">
        <f t="shared" si="132"/>
        <v>Jun</v>
      </c>
      <c r="AO79" s="57" t="str">
        <f t="shared" si="132"/>
        <v>Jul</v>
      </c>
      <c r="AP79" s="57" t="str">
        <f t="shared" si="132"/>
        <v>Aug</v>
      </c>
      <c r="AQ79" s="57" t="str">
        <f t="shared" si="132"/>
        <v>Sep</v>
      </c>
      <c r="AR79" s="57" t="str">
        <f t="shared" si="132"/>
        <v>Oct</v>
      </c>
      <c r="AS79" s="57" t="str">
        <f t="shared" si="132"/>
        <v>Nov</v>
      </c>
      <c r="AT79" s="57" t="str">
        <f t="shared" si="132"/>
        <v>Dec '14</v>
      </c>
      <c r="AU79" s="57" t="str">
        <f t="shared" si="132"/>
        <v>Jan '15</v>
      </c>
      <c r="AV79" s="57" t="str">
        <f t="shared" si="132"/>
        <v>Feb</v>
      </c>
      <c r="AW79" s="57" t="str">
        <f t="shared" si="132"/>
        <v>Mar</v>
      </c>
      <c r="AX79" s="57" t="str">
        <f t="shared" si="132"/>
        <v>Apr</v>
      </c>
      <c r="AY79" s="57" t="str">
        <f t="shared" si="132"/>
        <v>May</v>
      </c>
      <c r="AZ79" s="57" t="str">
        <f t="shared" si="132"/>
        <v>Jun</v>
      </c>
      <c r="BA79" s="57" t="str">
        <f t="shared" si="132"/>
        <v>Jul</v>
      </c>
      <c r="BB79" s="57" t="str">
        <f t="shared" si="132"/>
        <v>Aug</v>
      </c>
      <c r="BC79" s="57" t="str">
        <f t="shared" si="132"/>
        <v>Sep</v>
      </c>
      <c r="BD79" s="57" t="str">
        <f t="shared" si="132"/>
        <v>Oct</v>
      </c>
      <c r="BE79" s="57" t="str">
        <f t="shared" si="132"/>
        <v>Nov</v>
      </c>
      <c r="BF79" s="57" t="str">
        <f t="shared" si="132"/>
        <v>Dec '15</v>
      </c>
      <c r="BG79" s="57" t="str">
        <f t="shared" si="132"/>
        <v>Jan '16</v>
      </c>
      <c r="BH79" s="57" t="str">
        <f t="shared" si="132"/>
        <v>Feb</v>
      </c>
      <c r="BI79" s="57" t="str">
        <f t="shared" si="132"/>
        <v>Mar</v>
      </c>
      <c r="BJ79" s="57" t="str">
        <f t="shared" si="132"/>
        <v>Apr</v>
      </c>
      <c r="BK79" s="57" t="str">
        <f t="shared" si="132"/>
        <v>May</v>
      </c>
      <c r="BL79" s="57" t="str">
        <f t="shared" si="132"/>
        <v>Jun</v>
      </c>
      <c r="BM79" s="57" t="str">
        <f t="shared" si="132"/>
        <v>Jul</v>
      </c>
      <c r="BN79" s="57" t="str">
        <f t="shared" si="132"/>
        <v>Aug</v>
      </c>
      <c r="BO79" s="57" t="str">
        <f t="shared" si="132"/>
        <v>Sep</v>
      </c>
      <c r="BP79" s="57" t="str">
        <f t="shared" si="132"/>
        <v>Oct</v>
      </c>
      <c r="BQ79" s="57" t="str">
        <f t="shared" si="132"/>
        <v>Nov</v>
      </c>
      <c r="BR79" s="57" t="str">
        <f t="shared" si="132"/>
        <v>Dec-16</v>
      </c>
      <c r="BS79" s="57" t="str">
        <f t="shared" si="132"/>
        <v>Jan-17</v>
      </c>
      <c r="BT79" s="57" t="str">
        <f t="shared" si="132"/>
        <v>Feb</v>
      </c>
      <c r="BU79" s="57" t="str">
        <f t="shared" si="132"/>
        <v>Mar</v>
      </c>
      <c r="BV79" s="57" t="str">
        <f t="shared" si="132"/>
        <v>Apr</v>
      </c>
      <c r="BW79" s="57" t="str">
        <f t="shared" si="132"/>
        <v>May</v>
      </c>
      <c r="BX79" s="57" t="str">
        <f t="shared" si="132"/>
        <v>Jun</v>
      </c>
      <c r="BY79" s="57" t="str">
        <f t="shared" si="132"/>
        <v>Jul</v>
      </c>
      <c r="BZ79" s="57" t="str">
        <f t="shared" si="132"/>
        <v>Aug</v>
      </c>
      <c r="CA79" s="57" t="str">
        <f t="shared" si="132"/>
        <v>Sep</v>
      </c>
      <c r="CB79" s="57" t="str">
        <f t="shared" si="132"/>
        <v>Oct</v>
      </c>
      <c r="CC79" s="57" t="str">
        <f t="shared" si="132"/>
        <v>Nov</v>
      </c>
      <c r="CD79" s="57" t="str">
        <f t="shared" si="132"/>
        <v>Dec</v>
      </c>
      <c r="CE79" s="57" t="str">
        <f t="shared" si="132"/>
        <v>Jan '18</v>
      </c>
      <c r="CF79" s="57" t="str">
        <f t="shared" si="132"/>
        <v>Feb</v>
      </c>
      <c r="CG79" s="57" t="str">
        <f t="shared" si="132"/>
        <v>Mar</v>
      </c>
      <c r="CH79" s="57" t="str">
        <f t="shared" si="132"/>
        <v>Apr</v>
      </c>
      <c r="CI79" s="57" t="str">
        <f t="shared" si="132"/>
        <v>May</v>
      </c>
      <c r="CJ79" s="57" t="str">
        <f t="shared" ref="CJ79:CO79" si="133">CK$1</f>
        <v>Jun</v>
      </c>
      <c r="CK79" s="57" t="str">
        <f t="shared" si="133"/>
        <v>Jul</v>
      </c>
      <c r="CL79" s="57" t="str">
        <f t="shared" si="133"/>
        <v>Aug</v>
      </c>
      <c r="CM79" s="57" t="str">
        <f t="shared" si="133"/>
        <v>Sep</v>
      </c>
      <c r="CN79" s="57" t="str">
        <f t="shared" si="133"/>
        <v>Oct</v>
      </c>
      <c r="CO79" s="57" t="str">
        <f t="shared" si="133"/>
        <v>Nov</v>
      </c>
      <c r="CP79" s="57" t="str">
        <f t="shared" ref="CP79:CX79" si="134">CQ$1</f>
        <v>Dec-18</v>
      </c>
      <c r="CQ79" s="57" t="str">
        <f t="shared" si="134"/>
        <v>Jan-19</v>
      </c>
      <c r="CR79" s="57" t="str">
        <f t="shared" si="134"/>
        <v>Feb-19</v>
      </c>
      <c r="CS79" s="57" t="str">
        <f t="shared" si="134"/>
        <v>Mar-19</v>
      </c>
      <c r="CT79" s="57" t="str">
        <f t="shared" si="134"/>
        <v>Apr-19</v>
      </c>
      <c r="CU79" s="57" t="str">
        <f t="shared" si="134"/>
        <v>May-19</v>
      </c>
      <c r="CV79" s="57" t="str">
        <f t="shared" si="134"/>
        <v>June-19</v>
      </c>
      <c r="CW79" s="57" t="str">
        <f t="shared" si="134"/>
        <v>July-19</v>
      </c>
      <c r="CX79" s="57" t="str">
        <f t="shared" si="134"/>
        <v>Aug-19</v>
      </c>
      <c r="DO79" s="88"/>
      <c r="DQ79" s="57" t="str">
        <f ca="1"/>
        <v>Aug</v>
      </c>
      <c r="DR79" s="57" t="str">
        <f ca="1"/>
        <v>Sep</v>
      </c>
      <c r="DS79" s="57" t="str">
        <f ca="1"/>
        <v>Oct</v>
      </c>
      <c r="DT79" s="57" t="str">
        <f ca="1"/>
        <v>Nov</v>
      </c>
      <c r="DU79" s="57" t="str">
        <f ca="1"/>
        <v>Dec-18</v>
      </c>
      <c r="DV79" s="57" t="str">
        <f ca="1"/>
        <v>Jan-19</v>
      </c>
      <c r="DW79" s="57" t="str">
        <f ca="1"/>
        <v>Feb-19</v>
      </c>
      <c r="DX79" s="57" t="str">
        <f ca="1"/>
        <v>Mar-19</v>
      </c>
      <c r="DY79" s="57" t="str">
        <f ca="1"/>
        <v>Apr-19</v>
      </c>
      <c r="DZ79" s="57" t="str">
        <f ca="1"/>
        <v>May-19</v>
      </c>
      <c r="EA79" s="57" t="str">
        <f ca="1"/>
        <v>June-19</v>
      </c>
      <c r="EB79" s="57" t="str">
        <f ca="1"/>
        <v>July-19</v>
      </c>
      <c r="EC79" s="57" t="str">
        <f ca="1"/>
        <v>Aug-19</v>
      </c>
    </row>
    <row r="80" spans="1:133" x14ac:dyDescent="0.3">
      <c r="A80" t="str">
        <f>A12</f>
        <v>Effect desired: Data theft</v>
      </c>
      <c r="B80">
        <f t="shared" ref="B80:CI80" si="135">C12</f>
        <v>1000</v>
      </c>
      <c r="C80" s="56">
        <f t="shared" si="135"/>
        <v>1000</v>
      </c>
      <c r="D80" s="56">
        <f t="shared" si="135"/>
        <v>1000</v>
      </c>
      <c r="E80" s="56">
        <f t="shared" si="135"/>
        <v>1000</v>
      </c>
      <c r="F80" s="56">
        <f t="shared" si="135"/>
        <v>1000</v>
      </c>
      <c r="G80" s="56">
        <f t="shared" si="135"/>
        <v>1000</v>
      </c>
      <c r="H80" s="56">
        <f t="shared" si="135"/>
        <v>1000</v>
      </c>
      <c r="I80" s="56">
        <f t="shared" si="135"/>
        <v>1000</v>
      </c>
      <c r="J80" s="56">
        <f t="shared" si="135"/>
        <v>1000</v>
      </c>
      <c r="K80" s="56">
        <f t="shared" si="135"/>
        <v>1000</v>
      </c>
      <c r="L80" s="56">
        <f t="shared" si="135"/>
        <v>1000</v>
      </c>
      <c r="M80" s="56">
        <f t="shared" si="135"/>
        <v>1000</v>
      </c>
      <c r="N80" s="56">
        <f t="shared" si="135"/>
        <v>1000</v>
      </c>
      <c r="O80" s="56">
        <f t="shared" si="135"/>
        <v>1027.5272342746637</v>
      </c>
      <c r="P80" s="56">
        <f t="shared" si="135"/>
        <v>1068.9440600556579</v>
      </c>
      <c r="Q80" s="56">
        <f t="shared" si="135"/>
        <v>1103.2662243631335</v>
      </c>
      <c r="R80" s="56">
        <f t="shared" si="135"/>
        <v>1135.008862923831</v>
      </c>
      <c r="S80" s="56">
        <f t="shared" si="135"/>
        <v>1169.447908065622</v>
      </c>
      <c r="T80" s="56">
        <f t="shared" si="135"/>
        <v>1212.2392437423694</v>
      </c>
      <c r="U80" s="56">
        <f t="shared" si="135"/>
        <v>1237.1146388239222</v>
      </c>
      <c r="V80" s="56">
        <f t="shared" si="135"/>
        <v>1272.7394116579389</v>
      </c>
      <c r="W80" s="56">
        <f t="shared" si="135"/>
        <v>1313.3623304509504</v>
      </c>
      <c r="X80" s="56">
        <f t="shared" si="135"/>
        <v>1373.5767438128141</v>
      </c>
      <c r="Y80" s="56">
        <f t="shared" si="135"/>
        <v>1421.7489896954003</v>
      </c>
      <c r="Z80" s="56">
        <f t="shared" si="135"/>
        <v>1450.0885719979167</v>
      </c>
      <c r="AA80" s="56">
        <f t="shared" si="135"/>
        <v>1479.9862570690029</v>
      </c>
      <c r="AB80" s="56">
        <f t="shared" si="135"/>
        <v>1517.4522875412031</v>
      </c>
      <c r="AC80" s="56">
        <f t="shared" si="135"/>
        <v>1564.7828927369253</v>
      </c>
      <c r="AD80" s="56">
        <f t="shared" si="135"/>
        <v>1602.1267948224474</v>
      </c>
      <c r="AE80" s="56">
        <f t="shared" si="135"/>
        <v>1643.7381683966114</v>
      </c>
      <c r="AF80" s="56">
        <f t="shared" si="135"/>
        <v>1681.0557162390921</v>
      </c>
      <c r="AG80" s="56">
        <f t="shared" si="135"/>
        <v>1697.9506070650907</v>
      </c>
      <c r="AH80" s="56">
        <f t="shared" si="135"/>
        <v>1778.1541728649293</v>
      </c>
      <c r="AI80" s="56">
        <f t="shared" si="135"/>
        <v>1820.3218838880521</v>
      </c>
      <c r="AJ80" s="56">
        <f t="shared" si="135"/>
        <v>1870.7490761249394</v>
      </c>
      <c r="AK80" s="56">
        <f t="shared" si="135"/>
        <v>1918.1073144580062</v>
      </c>
      <c r="AL80" s="56">
        <f t="shared" si="135"/>
        <v>2001.2676136026332</v>
      </c>
      <c r="AM80" s="56">
        <f t="shared" si="135"/>
        <v>2035.6725203630876</v>
      </c>
      <c r="AN80" s="56">
        <f t="shared" si="135"/>
        <v>2073.253109283693</v>
      </c>
      <c r="AO80" s="56">
        <f t="shared" si="135"/>
        <v>2116.6469511528389</v>
      </c>
      <c r="AP80" s="56">
        <f t="shared" si="135"/>
        <v>2168.9387045729004</v>
      </c>
      <c r="AQ80" s="56">
        <f t="shared" si="135"/>
        <v>2277.4297295946621</v>
      </c>
      <c r="AR80" s="56">
        <f t="shared" si="135"/>
        <v>2387.1646410400058</v>
      </c>
      <c r="AS80" s="56">
        <f t="shared" si="135"/>
        <v>2475.1240835884087</v>
      </c>
      <c r="AT80" s="56">
        <f t="shared" si="135"/>
        <v>2561.2644334321999</v>
      </c>
      <c r="AU80" s="56">
        <f t="shared" si="135"/>
        <v>2630.5832806564736</v>
      </c>
      <c r="AV80" s="56">
        <f t="shared" si="135"/>
        <v>2732.900490844846</v>
      </c>
      <c r="AW80" s="56">
        <f t="shared" si="135"/>
        <v>2847.9900391504925</v>
      </c>
      <c r="AX80" s="56">
        <f t="shared" si="135"/>
        <v>2925.8562715835556</v>
      </c>
      <c r="AY80" s="56">
        <f t="shared" si="135"/>
        <v>2990.79249200505</v>
      </c>
      <c r="AZ80" s="56">
        <f t="shared" si="135"/>
        <v>3090.909020521498</v>
      </c>
      <c r="BA80" s="56">
        <f t="shared" si="135"/>
        <v>3197.1155504644116</v>
      </c>
      <c r="BB80" s="56">
        <f t="shared" si="135"/>
        <v>3292.5448537027837</v>
      </c>
      <c r="BC80" s="56">
        <f t="shared" si="135"/>
        <v>3366.5315467912296</v>
      </c>
      <c r="BD80" s="56">
        <f t="shared" si="135"/>
        <v>3479.1142537303699</v>
      </c>
      <c r="BE80" s="56">
        <f t="shared" si="135"/>
        <v>3554.0010774420493</v>
      </c>
      <c r="BF80" s="56">
        <f t="shared" si="135"/>
        <v>3677.527677222291</v>
      </c>
      <c r="BG80" s="56">
        <f t="shared" si="135"/>
        <v>3734.753712689143</v>
      </c>
      <c r="BH80" s="56">
        <f t="shared" si="135"/>
        <v>3805.4409669068391</v>
      </c>
      <c r="BI80" s="56">
        <f t="shared" si="135"/>
        <v>3956.7438770970562</v>
      </c>
      <c r="BJ80" s="56">
        <f t="shared" si="135"/>
        <v>4100.609903042614</v>
      </c>
      <c r="BK80" s="56">
        <f t="shared" si="135"/>
        <v>4170.6470988739811</v>
      </c>
      <c r="BL80" s="56">
        <f t="shared" si="135"/>
        <v>4346.8459524215241</v>
      </c>
      <c r="BM80" s="56">
        <f t="shared" si="135"/>
        <v>4518.7871001103858</v>
      </c>
      <c r="BN80" s="56">
        <f t="shared" si="135"/>
        <v>4619.1620497046224</v>
      </c>
      <c r="BO80" s="56">
        <f t="shared" si="135"/>
        <v>4725.3450599862254</v>
      </c>
      <c r="BP80" s="56">
        <f t="shared" si="135"/>
        <v>4856.3364503428147</v>
      </c>
      <c r="BQ80" s="56">
        <f t="shared" si="135"/>
        <v>4953.7124135730201</v>
      </c>
      <c r="BR80" s="56">
        <f t="shared" si="135"/>
        <v>5100.3233755508636</v>
      </c>
      <c r="BS80" s="56">
        <f t="shared" si="135"/>
        <v>5221.0108964298706</v>
      </c>
      <c r="BT80" s="56">
        <f t="shared" si="135"/>
        <v>5318.755931592028</v>
      </c>
      <c r="BU80" s="56">
        <f t="shared" si="135"/>
        <v>5390.1475639113723</v>
      </c>
      <c r="BV80" s="56">
        <f t="shared" si="135"/>
        <v>5455.7469322968946</v>
      </c>
      <c r="BW80" s="56">
        <f t="shared" si="135"/>
        <v>5508.8007813763261</v>
      </c>
      <c r="BX80" s="56">
        <f t="shared" si="135"/>
        <v>5550.2721103235281</v>
      </c>
      <c r="BY80" s="56">
        <f t="shared" si="135"/>
        <v>5696.2524511491483</v>
      </c>
      <c r="BZ80" s="56">
        <f t="shared" si="135"/>
        <v>5784.8918777989074</v>
      </c>
      <c r="CA80" s="56">
        <f t="shared" si="135"/>
        <v>5841.4081689705254</v>
      </c>
      <c r="CB80" s="56">
        <f t="shared" si="135"/>
        <v>5962.6058393044159</v>
      </c>
      <c r="CC80" s="56">
        <f t="shared" si="135"/>
        <v>6177.1217977801944</v>
      </c>
      <c r="CD80" s="56">
        <f t="shared" si="135"/>
        <v>6303.1199575129012</v>
      </c>
      <c r="CE80" s="56">
        <f t="shared" si="135"/>
        <v>6422.4183844178806</v>
      </c>
      <c r="CF80" s="56">
        <f t="shared" si="135"/>
        <v>6539.0686178994392</v>
      </c>
      <c r="CG80" s="56">
        <f t="shared" si="135"/>
        <v>6766.9739076577416</v>
      </c>
      <c r="CH80" s="56">
        <f t="shared" ca="1" si="135"/>
        <v>3093.1350238236932</v>
      </c>
      <c r="CI80" s="56">
        <f t="shared" si="135"/>
        <v>7103.8958378262032</v>
      </c>
      <c r="CJ80" s="56">
        <f t="shared" ref="CJ80:CO80" si="136">CK12</f>
        <v>7321.7668840408933</v>
      </c>
      <c r="CK80" s="56">
        <f t="shared" si="136"/>
        <v>7605.3479423087538</v>
      </c>
      <c r="CL80" s="56">
        <f t="shared" si="136"/>
        <v>7888.374852075156</v>
      </c>
      <c r="CM80" s="56">
        <f t="shared" si="136"/>
        <v>8114.4872016375339</v>
      </c>
      <c r="CN80" s="56">
        <f t="shared" si="136"/>
        <v>8171.0339227376517</v>
      </c>
      <c r="CO80" s="56">
        <f t="shared" si="136"/>
        <v>8343.0494024621221</v>
      </c>
      <c r="CP80" s="56">
        <f t="shared" ref="CP80:CX80" si="137">CQ12</f>
        <v>8480.1923570005038</v>
      </c>
      <c r="CQ80" s="56">
        <f t="shared" si="137"/>
        <v>8747.1954864153031</v>
      </c>
      <c r="CR80" s="56">
        <f t="shared" si="137"/>
        <v>8968.6317944046459</v>
      </c>
      <c r="CS80" s="56">
        <f t="shared" si="137"/>
        <v>9007.3731243342427</v>
      </c>
      <c r="CT80" s="56">
        <f t="shared" si="137"/>
        <v>9395.7824300227931</v>
      </c>
      <c r="CU80" s="56">
        <f t="shared" si="137"/>
        <v>9605.8884971349562</v>
      </c>
      <c r="CV80" s="56">
        <f t="shared" si="137"/>
        <v>9804.3958477944943</v>
      </c>
      <c r="CW80" s="56">
        <f t="shared" si="137"/>
        <v>10115.620780473546</v>
      </c>
      <c r="CX80" s="56">
        <f t="shared" si="137"/>
        <v>10115.620780473546</v>
      </c>
      <c r="DO80" s="88"/>
      <c r="DQ80" s="56">
        <f ca="1"/>
        <v>7888.374852075156</v>
      </c>
      <c r="DR80" s="56">
        <f ca="1"/>
        <v>8114.4872016375339</v>
      </c>
      <c r="DS80" s="56">
        <f ca="1"/>
        <v>8171.0339227376517</v>
      </c>
      <c r="DT80" s="56">
        <f ca="1"/>
        <v>8343.0494024621221</v>
      </c>
      <c r="DU80" s="56">
        <f ca="1"/>
        <v>8480.1923570005038</v>
      </c>
      <c r="DV80" s="56">
        <f ca="1"/>
        <v>8747.1954864153031</v>
      </c>
      <c r="DW80" s="56">
        <f ca="1"/>
        <v>8968.6317944046459</v>
      </c>
      <c r="DX80" s="56">
        <f ca="1"/>
        <v>9007.3731243342427</v>
      </c>
      <c r="DY80" s="56">
        <f ca="1"/>
        <v>9395.7824300227931</v>
      </c>
      <c r="DZ80" s="56">
        <f ca="1"/>
        <v>9605.8884971349562</v>
      </c>
      <c r="EA80" s="56">
        <f ca="1"/>
        <v>9804.3958477944943</v>
      </c>
      <c r="EB80" s="56">
        <f ca="1"/>
        <v>10115.620780473546</v>
      </c>
      <c r="EC80" s="56">
        <f ca="1"/>
        <v>10115.620780473546</v>
      </c>
    </row>
    <row r="81" spans="1:133" x14ac:dyDescent="0.3">
      <c r="A81" t="s">
        <v>108</v>
      </c>
      <c r="C81" s="55">
        <f t="shared" ref="C81:M81" si="138">LN(C80)-LN(B80)</f>
        <v>0</v>
      </c>
      <c r="D81" s="55">
        <f t="shared" si="138"/>
        <v>0</v>
      </c>
      <c r="E81" s="55">
        <f t="shared" si="138"/>
        <v>0</v>
      </c>
      <c r="F81" s="55">
        <f t="shared" si="138"/>
        <v>0</v>
      </c>
      <c r="G81" s="55">
        <f t="shared" si="138"/>
        <v>0</v>
      </c>
      <c r="H81" s="55">
        <f t="shared" si="138"/>
        <v>0</v>
      </c>
      <c r="I81" s="55">
        <f t="shared" si="138"/>
        <v>0</v>
      </c>
      <c r="J81" s="55">
        <f t="shared" si="138"/>
        <v>0</v>
      </c>
      <c r="K81" s="55">
        <f t="shared" si="138"/>
        <v>0</v>
      </c>
      <c r="L81" s="55">
        <f t="shared" si="138"/>
        <v>0</v>
      </c>
      <c r="M81" s="55">
        <f t="shared" si="138"/>
        <v>0</v>
      </c>
      <c r="N81" s="55">
        <f t="shared" ref="N81:AD81" si="139">LN(N80)-LN(M80)</f>
        <v>0</v>
      </c>
      <c r="O81" s="55">
        <f t="shared" si="139"/>
        <v>2.7155172413793061E-2</v>
      </c>
      <c r="P81" s="55">
        <f t="shared" si="139"/>
        <v>3.951612903225854E-2</v>
      </c>
      <c r="Q81" s="55">
        <f t="shared" si="139"/>
        <v>3.160377358490507E-2</v>
      </c>
      <c r="R81" s="55">
        <f t="shared" si="139"/>
        <v>2.8365384615384848E-2</v>
      </c>
      <c r="S81" s="55">
        <f t="shared" si="139"/>
        <v>2.9891304347826164E-2</v>
      </c>
      <c r="T81" s="55">
        <f t="shared" si="139"/>
        <v>3.5937500000000178E-2</v>
      </c>
      <c r="U81" s="55">
        <f t="shared" si="139"/>
        <v>2.0312499999999289E-2</v>
      </c>
      <c r="V81" s="55">
        <f t="shared" si="139"/>
        <v>2.83898305084751E-2</v>
      </c>
      <c r="W81" s="55">
        <f t="shared" si="139"/>
        <v>3.1418918918919125E-2</v>
      </c>
      <c r="X81" s="55">
        <f t="shared" si="139"/>
        <v>4.4827586206896086E-2</v>
      </c>
      <c r="Y81" s="55">
        <f t="shared" si="139"/>
        <v>3.4469696969696706E-2</v>
      </c>
      <c r="Z81" s="55">
        <f t="shared" si="139"/>
        <v>1.9736842105263719E-2</v>
      </c>
      <c r="AA81" s="55">
        <f t="shared" si="139"/>
        <v>2.0408163265305923E-2</v>
      </c>
      <c r="AB81" s="55">
        <f t="shared" si="139"/>
        <v>2.5000000000000355E-2</v>
      </c>
      <c r="AC81" s="55">
        <f t="shared" si="139"/>
        <v>3.0714285714284806E-2</v>
      </c>
      <c r="AD81" s="55">
        <f t="shared" si="139"/>
        <v>2.3584905660377409E-2</v>
      </c>
      <c r="AE81" s="55">
        <f>LN(AE80)-LN(AD80)</f>
        <v>2.564102564102555E-2</v>
      </c>
      <c r="AF81" s="55">
        <f t="shared" ref="AF81:CI81" si="140">LN(AF80)-LN(AE80)</f>
        <v>2.2448979591836782E-2</v>
      </c>
      <c r="AG81" s="55">
        <f t="shared" si="140"/>
        <v>9.9999999999997868E-3</v>
      </c>
      <c r="AH81" s="55">
        <f t="shared" si="140"/>
        <v>4.6153846153846878E-2</v>
      </c>
      <c r="AI81" s="55">
        <f t="shared" si="140"/>
        <v>2.34375E-2</v>
      </c>
      <c r="AJ81" s="55">
        <f t="shared" si="140"/>
        <v>2.7325581395348131E-2</v>
      </c>
      <c r="AK81" s="55">
        <f t="shared" si="140"/>
        <v>2.5000000000000355E-2</v>
      </c>
      <c r="AL81" s="55">
        <f t="shared" si="140"/>
        <v>4.2441860465116221E-2</v>
      </c>
      <c r="AM81" s="55">
        <f t="shared" si="140"/>
        <v>1.704545454545503E-2</v>
      </c>
      <c r="AN81" s="55">
        <f t="shared" si="140"/>
        <v>1.8292682926828618E-2</v>
      </c>
      <c r="AO81" s="55">
        <f t="shared" si="140"/>
        <v>2.0714285714285907E-2</v>
      </c>
      <c r="AP81" s="55">
        <f t="shared" si="140"/>
        <v>2.440476190476204E-2</v>
      </c>
      <c r="AQ81" s="55">
        <f t="shared" si="140"/>
        <v>4.880952380952408E-2</v>
      </c>
      <c r="AR81" s="55">
        <f t="shared" si="140"/>
        <v>4.7058823529411598E-2</v>
      </c>
      <c r="AS81" s="55">
        <f t="shared" si="140"/>
        <v>3.618421052631593E-2</v>
      </c>
      <c r="AT81" s="55">
        <f t="shared" si="140"/>
        <v>3.4210526315789025E-2</v>
      </c>
      <c r="AU81" s="55">
        <f t="shared" si="140"/>
        <v>2.6704545454545148E-2</v>
      </c>
      <c r="AV81" s="55">
        <f t="shared" si="140"/>
        <v>3.8157894736842835E-2</v>
      </c>
      <c r="AW81" s="186">
        <f t="shared" si="140"/>
        <v>4.1249999999999787E-2</v>
      </c>
      <c r="AX81" s="186">
        <f t="shared" si="140"/>
        <v>2.6973684210526372E-2</v>
      </c>
      <c r="AY81" s="186">
        <f t="shared" si="140"/>
        <v>2.1951219512194697E-2</v>
      </c>
      <c r="AZ81" s="186">
        <f t="shared" si="140"/>
        <v>3.2926829268292934E-2</v>
      </c>
      <c r="BA81" s="186">
        <f t="shared" si="140"/>
        <v>3.3783783783784216E-2</v>
      </c>
      <c r="BB81" s="186">
        <f t="shared" si="140"/>
        <v>2.9411764705882248E-2</v>
      </c>
      <c r="BC81" s="186">
        <f t="shared" si="140"/>
        <v>2.2222222222222143E-2</v>
      </c>
      <c r="BD81" s="186">
        <f t="shared" si="140"/>
        <v>3.2894736842104422E-2</v>
      </c>
      <c r="BE81" s="186">
        <f t="shared" si="140"/>
        <v>2.1296296296297257E-2</v>
      </c>
      <c r="BF81" s="186">
        <f t="shared" si="140"/>
        <v>3.416666666666579E-2</v>
      </c>
      <c r="BG81" s="186">
        <f t="shared" si="140"/>
        <v>1.5441176470588402E-2</v>
      </c>
      <c r="BH81" s="186">
        <f t="shared" si="140"/>
        <v>1.8750000000000711E-2</v>
      </c>
      <c r="BI81" s="186">
        <f t="shared" si="140"/>
        <v>3.8989557739558478E-2</v>
      </c>
      <c r="BJ81" s="186">
        <f t="shared" si="140"/>
        <v>3.5714285714284699E-2</v>
      </c>
      <c r="BK81" s="186">
        <f t="shared" si="140"/>
        <v>1.6935483870968326E-2</v>
      </c>
      <c r="BL81" s="186">
        <f t="shared" si="140"/>
        <v>4.1379310344828113E-2</v>
      </c>
      <c r="BM81" s="186">
        <f t="shared" si="140"/>
        <v>3.8793103448275801E-2</v>
      </c>
      <c r="BN81" s="186">
        <f t="shared" si="140"/>
        <v>2.1969696969696528E-2</v>
      </c>
      <c r="BO81" s="186">
        <f t="shared" si="140"/>
        <v>2.2727272727271597E-2</v>
      </c>
      <c r="BP81" s="186">
        <f t="shared" si="140"/>
        <v>2.734375E-2</v>
      </c>
      <c r="BQ81" s="186">
        <f t="shared" si="140"/>
        <v>1.9852941176472072E-2</v>
      </c>
      <c r="BR81" s="186">
        <f t="shared" si="140"/>
        <v>2.9166666666666785E-2</v>
      </c>
      <c r="BS81" s="186">
        <f t="shared" si="140"/>
        <v>2.3387096774191818E-2</v>
      </c>
      <c r="BT81" s="186">
        <f t="shared" si="140"/>
        <v>1.8548387096775087E-2</v>
      </c>
      <c r="BU81" s="186">
        <f t="shared" si="140"/>
        <v>1.3333333333333641E-2</v>
      </c>
      <c r="BV81" s="186">
        <f t="shared" si="140"/>
        <v>1.2096774193548043E-2</v>
      </c>
      <c r="BW81" s="186">
        <f t="shared" si="140"/>
        <v>9.6774193548387899E-3</v>
      </c>
      <c r="BX81" s="186">
        <f t="shared" si="140"/>
        <v>7.5000000000002842E-3</v>
      </c>
      <c r="BY81" s="186">
        <f t="shared" si="140"/>
        <v>2.5961538461537259E-2</v>
      </c>
      <c r="BZ81" s="186">
        <f t="shared" si="140"/>
        <v>1.5441176470588402E-2</v>
      </c>
      <c r="CA81" s="186">
        <f t="shared" si="140"/>
        <v>9.7222222222228538E-3</v>
      </c>
      <c r="CB81" s="186">
        <f t="shared" si="140"/>
        <v>2.053571428571388E-2</v>
      </c>
      <c r="CC81" s="186">
        <f t="shared" si="140"/>
        <v>3.5344827586207828E-2</v>
      </c>
      <c r="CD81" s="186">
        <f t="shared" si="140"/>
        <v>2.0192307692306954E-2</v>
      </c>
      <c r="CE81" s="186">
        <f t="shared" si="140"/>
        <v>1.8750000000000711E-2</v>
      </c>
      <c r="CF81" s="186">
        <f t="shared" si="140"/>
        <v>1.7999999999998906E-2</v>
      </c>
      <c r="CG81" s="186">
        <f t="shared" si="140"/>
        <v>3.4259259259259878E-2</v>
      </c>
      <c r="CH81" s="186">
        <f t="shared" ca="1" si="140"/>
        <v>-0.7828688540241604</v>
      </c>
      <c r="CI81" s="186">
        <f t="shared" ca="1" si="140"/>
        <v>0.83145819571694979</v>
      </c>
      <c r="CJ81" s="186">
        <f t="shared" ref="CJ81:CX81" si="141">LN(CJ80)-LN(CI80)</f>
        <v>3.0208333333334281E-2</v>
      </c>
      <c r="CK81" s="186">
        <f t="shared" si="141"/>
        <v>3.8000000000000256E-2</v>
      </c>
      <c r="CL81" s="186">
        <f t="shared" si="141"/>
        <v>3.6538461538460965E-2</v>
      </c>
      <c r="CM81" s="186">
        <f t="shared" si="141"/>
        <v>2.8260869565217561E-2</v>
      </c>
      <c r="CN81" s="186">
        <f t="shared" si="141"/>
        <v>6.9444444444446418E-3</v>
      </c>
      <c r="CO81" s="186">
        <f t="shared" si="141"/>
        <v>2.0833333333332149E-2</v>
      </c>
      <c r="CP81" s="186">
        <f t="shared" si="141"/>
        <v>1.6304347826087806E-2</v>
      </c>
      <c r="CQ81" s="186">
        <f t="shared" si="141"/>
        <v>3.0999999999998806E-2</v>
      </c>
      <c r="CR81" s="186">
        <f t="shared" si="141"/>
        <v>2.5000000000000355E-2</v>
      </c>
      <c r="CS81" s="186">
        <f t="shared" si="141"/>
        <v>4.310344827587187E-3</v>
      </c>
      <c r="CT81" s="186">
        <f t="shared" si="141"/>
        <v>4.2217432950192091E-2</v>
      </c>
      <c r="CU81" s="186">
        <f t="shared" si="141"/>
        <v>2.2115384615384315E-2</v>
      </c>
      <c r="CV81" s="186">
        <f t="shared" si="141"/>
        <v>2.0454545454544615E-2</v>
      </c>
      <c r="CW81" s="186">
        <f t="shared" si="141"/>
        <v>3.125E-2</v>
      </c>
      <c r="CX81" s="186">
        <f t="shared" si="141"/>
        <v>0</v>
      </c>
      <c r="DO81" s="88"/>
      <c r="DQ81" s="55">
        <f ca="1"/>
        <v>3.6538461538460965E-2</v>
      </c>
      <c r="DR81" s="55">
        <f ca="1"/>
        <v>2.8260869565217561E-2</v>
      </c>
      <c r="DS81" s="55">
        <f ca="1"/>
        <v>6.9444444444446418E-3</v>
      </c>
      <c r="DT81" s="55">
        <f ca="1"/>
        <v>2.0833333333332149E-2</v>
      </c>
      <c r="DU81" s="55">
        <f ca="1"/>
        <v>1.6304347826087806E-2</v>
      </c>
      <c r="DV81" s="55">
        <f ca="1"/>
        <v>3.0999999999998806E-2</v>
      </c>
      <c r="DW81" s="55">
        <f ca="1"/>
        <v>2.5000000000000355E-2</v>
      </c>
      <c r="DX81" s="55">
        <f ca="1"/>
        <v>4.310344827587187E-3</v>
      </c>
      <c r="DY81" s="55">
        <f ca="1"/>
        <v>4.2217432950192091E-2</v>
      </c>
      <c r="DZ81" s="55">
        <f ca="1"/>
        <v>2.2115384615384315E-2</v>
      </c>
      <c r="EA81" s="55">
        <f ca="1"/>
        <v>2.0454545454544615E-2</v>
      </c>
      <c r="EB81" s="55">
        <f ca="1"/>
        <v>3.125E-2</v>
      </c>
      <c r="EC81" s="186">
        <f ca="1"/>
        <v>0</v>
      </c>
    </row>
    <row r="82" spans="1:133" x14ac:dyDescent="0.3">
      <c r="C82" s="55"/>
      <c r="D82" s="55"/>
      <c r="E82" s="55"/>
      <c r="F82" s="55"/>
      <c r="G82" s="55"/>
      <c r="H82" s="55"/>
      <c r="I82" s="55"/>
      <c r="J82" s="55"/>
      <c r="K82" s="55"/>
      <c r="L82" s="55"/>
      <c r="M82" s="55"/>
      <c r="N82" s="55"/>
      <c r="O82" s="55"/>
      <c r="P82" s="55"/>
      <c r="Q82" s="55"/>
      <c r="R82" s="55"/>
      <c r="S82" s="55"/>
      <c r="T82" s="55"/>
      <c r="U82" s="55"/>
      <c r="V82" s="55"/>
      <c r="W82" s="55"/>
      <c r="X82" s="55"/>
      <c r="Y82" s="55"/>
      <c r="Z82" s="55"/>
      <c r="AA82" s="55"/>
      <c r="AB82" s="55"/>
      <c r="AC82" s="55"/>
      <c r="AD82" s="55"/>
      <c r="AE82" s="55"/>
      <c r="AF82" s="55"/>
      <c r="AG82" s="55"/>
      <c r="AH82" s="55"/>
      <c r="AI82" s="55"/>
      <c r="AJ82" s="55"/>
      <c r="AK82" s="55"/>
      <c r="AL82" s="55"/>
      <c r="AM82" s="55"/>
      <c r="AN82" s="55"/>
      <c r="AO82" s="55"/>
      <c r="AP82" s="55"/>
      <c r="AQ82" s="55"/>
      <c r="AR82" s="55"/>
      <c r="AS82" s="55"/>
      <c r="AT82" s="55"/>
      <c r="AU82" s="55"/>
      <c r="AV82" s="55"/>
      <c r="AW82" s="186"/>
      <c r="AX82" s="186"/>
      <c r="AY82" s="186"/>
      <c r="AZ82" s="186"/>
      <c r="BA82" s="186"/>
      <c r="BB82" s="186"/>
      <c r="BC82" s="186"/>
      <c r="BD82" s="186"/>
      <c r="BE82" s="186"/>
      <c r="BF82" s="186"/>
      <c r="BG82" s="186"/>
      <c r="BH82" s="186"/>
      <c r="BI82" s="186"/>
      <c r="BJ82" s="186"/>
      <c r="BK82" s="186"/>
      <c r="BL82" s="186"/>
      <c r="BM82" s="186"/>
      <c r="BN82" s="186"/>
      <c r="BO82" s="186"/>
      <c r="BP82" s="186"/>
      <c r="BQ82" s="186"/>
      <c r="BR82" s="186"/>
      <c r="BS82" s="186"/>
      <c r="BT82" s="186"/>
      <c r="BU82" s="186"/>
      <c r="BV82" s="186"/>
      <c r="BW82" s="186"/>
      <c r="BX82" s="186"/>
      <c r="BY82" s="186"/>
      <c r="BZ82" s="186"/>
      <c r="CA82" s="186"/>
      <c r="CB82" s="186"/>
      <c r="CC82" s="186"/>
      <c r="CD82" s="186"/>
      <c r="CE82" s="186"/>
      <c r="CF82" s="186"/>
      <c r="CG82" s="186"/>
      <c r="CH82" s="186"/>
      <c r="CI82" s="186"/>
      <c r="CJ82" s="186"/>
      <c r="CK82" s="186"/>
      <c r="CL82" s="186"/>
      <c r="CM82" s="186"/>
      <c r="CN82" s="186"/>
      <c r="CO82" s="186"/>
      <c r="CP82" s="186"/>
      <c r="CQ82" s="186"/>
      <c r="CR82" s="186"/>
      <c r="CS82" s="186"/>
      <c r="CT82" s="186"/>
      <c r="CU82" s="186"/>
      <c r="CV82" s="186"/>
      <c r="CW82" s="186"/>
      <c r="CX82" s="186"/>
      <c r="DO82" s="88"/>
      <c r="DQ82" s="55">
        <f ca="1"/>
        <v>0</v>
      </c>
      <c r="DR82" s="55">
        <f ca="1"/>
        <v>0</v>
      </c>
      <c r="DS82" s="55">
        <f ca="1"/>
        <v>0</v>
      </c>
      <c r="DT82" s="55">
        <f ca="1"/>
        <v>0</v>
      </c>
      <c r="DU82" s="55">
        <f ca="1"/>
        <v>0</v>
      </c>
      <c r="DV82" s="55">
        <f ca="1"/>
        <v>0</v>
      </c>
      <c r="DW82" s="55">
        <f ca="1"/>
        <v>0</v>
      </c>
      <c r="DX82" s="55">
        <f ca="1"/>
        <v>0</v>
      </c>
      <c r="DY82" s="55">
        <f ca="1"/>
        <v>0</v>
      </c>
      <c r="DZ82" s="55">
        <f ca="1"/>
        <v>0</v>
      </c>
      <c r="EA82" s="55">
        <f ca="1"/>
        <v>0</v>
      </c>
      <c r="EB82" s="55">
        <f ca="1"/>
        <v>0</v>
      </c>
      <c r="EC82" s="186">
        <f ca="1"/>
        <v>0</v>
      </c>
    </row>
    <row r="83" spans="1:133" x14ac:dyDescent="0.3">
      <c r="A83" t="str">
        <f>A84</f>
        <v>Effect desired: Data modification</v>
      </c>
      <c r="C83" s="55"/>
      <c r="D83" s="55"/>
      <c r="E83" s="55"/>
      <c r="F83" s="55"/>
      <c r="G83" s="55"/>
      <c r="H83" s="55"/>
      <c r="I83" s="55"/>
      <c r="J83" s="55"/>
      <c r="K83" s="55"/>
      <c r="L83" s="55"/>
      <c r="M83" s="55"/>
      <c r="N83" s="55"/>
      <c r="O83" s="55"/>
      <c r="P83" s="55"/>
      <c r="Q83" s="55"/>
      <c r="R83" s="55"/>
      <c r="S83" s="55"/>
      <c r="T83" s="55"/>
      <c r="U83" s="55"/>
      <c r="V83" s="55"/>
      <c r="W83" s="55"/>
      <c r="X83" s="55"/>
      <c r="Y83" s="55"/>
      <c r="Z83" s="55"/>
      <c r="AA83" s="55"/>
      <c r="AB83" s="55"/>
      <c r="AC83" s="55"/>
      <c r="AD83" s="55"/>
      <c r="AE83" s="55"/>
      <c r="AF83" s="55"/>
      <c r="AG83" s="55"/>
      <c r="AH83" s="55"/>
      <c r="AI83" s="55"/>
      <c r="AJ83" s="55"/>
      <c r="AK83" s="55"/>
      <c r="AL83" s="55"/>
      <c r="AM83" s="55"/>
      <c r="AN83" s="55"/>
      <c r="AO83" s="55"/>
      <c r="AP83" s="55"/>
      <c r="AQ83" s="55"/>
      <c r="AR83" s="55"/>
      <c r="AS83" s="55"/>
      <c r="AT83" s="55"/>
      <c r="AU83" s="55"/>
      <c r="AV83" s="55"/>
      <c r="AW83" s="186"/>
      <c r="AX83" s="186"/>
      <c r="AY83" s="186"/>
      <c r="AZ83" s="186"/>
      <c r="BA83" s="186"/>
      <c r="BB83" s="186"/>
      <c r="BC83" s="186"/>
      <c r="BD83" s="186"/>
      <c r="BE83" s="186"/>
      <c r="BF83" s="186"/>
      <c r="BG83" s="186"/>
      <c r="BH83" s="186"/>
      <c r="BI83" s="186"/>
      <c r="BJ83" s="186"/>
      <c r="BK83" s="186"/>
      <c r="BL83" s="186"/>
      <c r="BM83" s="186"/>
      <c r="BN83" s="186"/>
      <c r="BO83" s="186"/>
      <c r="BP83" s="186"/>
      <c r="BQ83" s="186"/>
      <c r="BR83" s="186"/>
      <c r="BS83" s="186"/>
      <c r="BT83" s="186"/>
      <c r="BU83" s="186"/>
      <c r="BV83" s="186"/>
      <c r="BW83" s="186"/>
      <c r="BX83" s="186"/>
      <c r="BY83" s="186"/>
      <c r="BZ83" s="186"/>
      <c r="CA83" s="186"/>
      <c r="CB83" s="186"/>
      <c r="CC83" s="186"/>
      <c r="CD83" s="186"/>
      <c r="CE83" s="186"/>
      <c r="CF83" s="186"/>
      <c r="CG83" s="186"/>
      <c r="CH83" s="186"/>
      <c r="CI83" s="186"/>
      <c r="CJ83" s="186"/>
      <c r="CK83" s="186"/>
      <c r="CL83" s="186"/>
      <c r="CM83" s="186"/>
      <c r="CN83" s="186"/>
      <c r="CO83" s="186"/>
      <c r="CP83" s="186"/>
      <c r="CQ83" s="186"/>
      <c r="CR83" s="186"/>
      <c r="CS83" s="186"/>
      <c r="CT83" s="186"/>
      <c r="CU83" s="186"/>
      <c r="CV83" s="186"/>
      <c r="CW83" s="186"/>
      <c r="CX83" s="186"/>
      <c r="DO83" s="88"/>
      <c r="DQ83" s="55">
        <f ca="1"/>
        <v>0</v>
      </c>
      <c r="DR83" s="55">
        <f ca="1"/>
        <v>0</v>
      </c>
      <c r="DS83" s="55">
        <f ca="1"/>
        <v>0</v>
      </c>
      <c r="DT83" s="55">
        <f ca="1"/>
        <v>0</v>
      </c>
      <c r="DU83" s="55">
        <f ca="1"/>
        <v>0</v>
      </c>
      <c r="DV83" s="55">
        <f ca="1"/>
        <v>0</v>
      </c>
      <c r="DW83" s="55">
        <f ca="1"/>
        <v>0</v>
      </c>
      <c r="DX83" s="55">
        <f ca="1"/>
        <v>0</v>
      </c>
      <c r="DY83" s="55">
        <f ca="1"/>
        <v>0</v>
      </c>
      <c r="DZ83" s="55">
        <f ca="1"/>
        <v>0</v>
      </c>
      <c r="EA83" s="55">
        <f ca="1"/>
        <v>0</v>
      </c>
      <c r="EB83" s="55">
        <f ca="1"/>
        <v>0</v>
      </c>
      <c r="EC83" s="186">
        <f ca="1"/>
        <v>0</v>
      </c>
    </row>
    <row r="84" spans="1:133" x14ac:dyDescent="0.3">
      <c r="A84" t="str">
        <f>A85</f>
        <v>Effect desired: Data modification</v>
      </c>
      <c r="B84" s="57" t="str">
        <f>C$1</f>
        <v>Apr</v>
      </c>
      <c r="C84" s="57" t="str">
        <f t="shared" ref="C84:N84" si="142">D$1</f>
        <v>May</v>
      </c>
      <c r="D84" s="57" t="str">
        <f t="shared" si="142"/>
        <v>Jun</v>
      </c>
      <c r="E84" s="57" t="str">
        <f t="shared" si="142"/>
        <v>Jul</v>
      </c>
      <c r="F84" s="57" t="str">
        <f t="shared" si="142"/>
        <v>Aug</v>
      </c>
      <c r="G84" s="57" t="str">
        <f t="shared" si="142"/>
        <v>Sep</v>
      </c>
      <c r="H84" s="57" t="str">
        <f t="shared" si="142"/>
        <v>Oct</v>
      </c>
      <c r="I84" s="57" t="str">
        <f t="shared" si="142"/>
        <v>Nov</v>
      </c>
      <c r="J84" s="57" t="str">
        <f t="shared" si="142"/>
        <v>Dec 2011</v>
      </c>
      <c r="K84" s="57" t="str">
        <f t="shared" si="142"/>
        <v>Jan 2012</v>
      </c>
      <c r="L84" s="57" t="str">
        <f t="shared" si="142"/>
        <v>Feb</v>
      </c>
      <c r="M84" s="57" t="str">
        <f t="shared" si="142"/>
        <v>Mar</v>
      </c>
      <c r="N84" s="57" t="str">
        <f t="shared" si="142"/>
        <v>Apr</v>
      </c>
      <c r="O84" s="57" t="str">
        <f t="shared" ref="O84:AD84" si="143">P$1</f>
        <v>May</v>
      </c>
      <c r="P84" s="57" t="str">
        <f t="shared" si="143"/>
        <v>Jun</v>
      </c>
      <c r="Q84" s="57" t="str">
        <f t="shared" si="143"/>
        <v>Jul</v>
      </c>
      <c r="R84" s="57" t="str">
        <f t="shared" si="143"/>
        <v>Aug</v>
      </c>
      <c r="S84" s="57" t="str">
        <f t="shared" si="143"/>
        <v>Sep</v>
      </c>
      <c r="T84" s="57" t="str">
        <f t="shared" si="143"/>
        <v>Oct</v>
      </c>
      <c r="U84" s="57" t="str">
        <f t="shared" si="143"/>
        <v>Nov</v>
      </c>
      <c r="V84" s="57" t="str">
        <f t="shared" si="143"/>
        <v>Dec 2012</v>
      </c>
      <c r="W84" s="57" t="str">
        <f t="shared" si="143"/>
        <v>Jan 2013</v>
      </c>
      <c r="X84" s="57" t="str">
        <f t="shared" si="143"/>
        <v>Feb</v>
      </c>
      <c r="Y84" s="57" t="str">
        <f t="shared" si="143"/>
        <v>Mar</v>
      </c>
      <c r="Z84" s="57" t="str">
        <f t="shared" si="143"/>
        <v>Apr</v>
      </c>
      <c r="AA84" s="57" t="str">
        <f t="shared" si="143"/>
        <v>May</v>
      </c>
      <c r="AB84" s="57" t="str">
        <f t="shared" si="143"/>
        <v>Jun</v>
      </c>
      <c r="AC84" s="57" t="str">
        <f t="shared" si="143"/>
        <v>Jul</v>
      </c>
      <c r="AD84" s="57" t="str">
        <f t="shared" si="143"/>
        <v>Aug</v>
      </c>
      <c r="AE84" s="57" t="str">
        <f>AF$1</f>
        <v>Sep</v>
      </c>
      <c r="AF84" s="57" t="str">
        <f t="shared" ref="AF84:AK84" si="144">AG$1</f>
        <v>Oct</v>
      </c>
      <c r="AG84" s="57" t="str">
        <f t="shared" si="144"/>
        <v>Nov</v>
      </c>
      <c r="AH84" s="57" t="str">
        <f t="shared" si="144"/>
        <v>Dec 2013</v>
      </c>
      <c r="AI84" s="57" t="str">
        <f t="shared" si="144"/>
        <v>Jan 2014</v>
      </c>
      <c r="AJ84" s="57" t="str">
        <f t="shared" si="144"/>
        <v>Feb</v>
      </c>
      <c r="AK84" s="57" t="str">
        <f t="shared" si="144"/>
        <v>Mar</v>
      </c>
      <c r="AL84" s="57" t="str">
        <f t="shared" ref="AL84:CI84" si="145">AM$1</f>
        <v>Apr</v>
      </c>
      <c r="AM84" s="57" t="str">
        <f t="shared" si="145"/>
        <v>May</v>
      </c>
      <c r="AN84" s="57" t="str">
        <f t="shared" si="145"/>
        <v>Jun</v>
      </c>
      <c r="AO84" s="57" t="str">
        <f t="shared" si="145"/>
        <v>Jul</v>
      </c>
      <c r="AP84" s="57" t="str">
        <f t="shared" si="145"/>
        <v>Aug</v>
      </c>
      <c r="AQ84" s="57" t="str">
        <f t="shared" si="145"/>
        <v>Sep</v>
      </c>
      <c r="AR84" s="57" t="str">
        <f t="shared" si="145"/>
        <v>Oct</v>
      </c>
      <c r="AS84" s="57" t="str">
        <f t="shared" si="145"/>
        <v>Nov</v>
      </c>
      <c r="AT84" s="57" t="str">
        <f t="shared" si="145"/>
        <v>Dec '14</v>
      </c>
      <c r="AU84" s="57" t="str">
        <f t="shared" si="145"/>
        <v>Jan '15</v>
      </c>
      <c r="AV84" s="57" t="str">
        <f t="shared" si="145"/>
        <v>Feb</v>
      </c>
      <c r="AW84" s="57" t="str">
        <f t="shared" si="145"/>
        <v>Mar</v>
      </c>
      <c r="AX84" s="57" t="str">
        <f t="shared" si="145"/>
        <v>Apr</v>
      </c>
      <c r="AY84" s="57" t="str">
        <f t="shared" si="145"/>
        <v>May</v>
      </c>
      <c r="AZ84" s="57" t="str">
        <f t="shared" si="145"/>
        <v>Jun</v>
      </c>
      <c r="BA84" s="57" t="str">
        <f t="shared" si="145"/>
        <v>Jul</v>
      </c>
      <c r="BB84" s="57" t="str">
        <f t="shared" si="145"/>
        <v>Aug</v>
      </c>
      <c r="BC84" s="57" t="str">
        <f t="shared" si="145"/>
        <v>Sep</v>
      </c>
      <c r="BD84" s="57" t="str">
        <f t="shared" si="145"/>
        <v>Oct</v>
      </c>
      <c r="BE84" s="57" t="str">
        <f t="shared" si="145"/>
        <v>Nov</v>
      </c>
      <c r="BF84" s="57" t="str">
        <f t="shared" si="145"/>
        <v>Dec '15</v>
      </c>
      <c r="BG84" s="57" t="str">
        <f t="shared" si="145"/>
        <v>Jan '16</v>
      </c>
      <c r="BH84" s="57" t="str">
        <f t="shared" si="145"/>
        <v>Feb</v>
      </c>
      <c r="BI84" s="57" t="str">
        <f t="shared" si="145"/>
        <v>Mar</v>
      </c>
      <c r="BJ84" s="57" t="str">
        <f t="shared" si="145"/>
        <v>Apr</v>
      </c>
      <c r="BK84" s="57" t="str">
        <f t="shared" si="145"/>
        <v>May</v>
      </c>
      <c r="BL84" s="57" t="str">
        <f t="shared" si="145"/>
        <v>Jun</v>
      </c>
      <c r="BM84" s="57" t="str">
        <f t="shared" si="145"/>
        <v>Jul</v>
      </c>
      <c r="BN84" s="57" t="str">
        <f t="shared" si="145"/>
        <v>Aug</v>
      </c>
      <c r="BO84" s="57" t="str">
        <f t="shared" si="145"/>
        <v>Sep</v>
      </c>
      <c r="BP84" s="57" t="str">
        <f t="shared" si="145"/>
        <v>Oct</v>
      </c>
      <c r="BQ84" s="57" t="str">
        <f t="shared" si="145"/>
        <v>Nov</v>
      </c>
      <c r="BR84" s="57" t="str">
        <f t="shared" si="145"/>
        <v>Dec-16</v>
      </c>
      <c r="BS84" s="57" t="str">
        <f t="shared" si="145"/>
        <v>Jan-17</v>
      </c>
      <c r="BT84" s="57" t="str">
        <f t="shared" si="145"/>
        <v>Feb</v>
      </c>
      <c r="BU84" s="57" t="str">
        <f t="shared" si="145"/>
        <v>Mar</v>
      </c>
      <c r="BV84" s="57" t="str">
        <f t="shared" si="145"/>
        <v>Apr</v>
      </c>
      <c r="BW84" s="57" t="str">
        <f t="shared" si="145"/>
        <v>May</v>
      </c>
      <c r="BX84" s="57" t="str">
        <f t="shared" si="145"/>
        <v>Jun</v>
      </c>
      <c r="BY84" s="57" t="str">
        <f t="shared" si="145"/>
        <v>Jul</v>
      </c>
      <c r="BZ84" s="57" t="str">
        <f t="shared" si="145"/>
        <v>Aug</v>
      </c>
      <c r="CA84" s="57" t="str">
        <f t="shared" si="145"/>
        <v>Sep</v>
      </c>
      <c r="CB84" s="57" t="str">
        <f t="shared" si="145"/>
        <v>Oct</v>
      </c>
      <c r="CC84" s="57" t="str">
        <f t="shared" si="145"/>
        <v>Nov</v>
      </c>
      <c r="CD84" s="57" t="str">
        <f t="shared" si="145"/>
        <v>Dec</v>
      </c>
      <c r="CE84" s="57" t="str">
        <f t="shared" si="145"/>
        <v>Jan '18</v>
      </c>
      <c r="CF84" s="57" t="str">
        <f t="shared" si="145"/>
        <v>Feb</v>
      </c>
      <c r="CG84" s="57" t="str">
        <f t="shared" si="145"/>
        <v>Mar</v>
      </c>
      <c r="CH84" s="57" t="str">
        <f t="shared" si="145"/>
        <v>Apr</v>
      </c>
      <c r="CI84" s="57" t="str">
        <f t="shared" si="145"/>
        <v>May</v>
      </c>
      <c r="CJ84" s="57" t="str">
        <f t="shared" ref="CJ84:CO84" si="146">CK$1</f>
        <v>Jun</v>
      </c>
      <c r="CK84" s="57" t="str">
        <f t="shared" si="146"/>
        <v>Jul</v>
      </c>
      <c r="CL84" s="57" t="str">
        <f t="shared" si="146"/>
        <v>Aug</v>
      </c>
      <c r="CM84" s="57" t="str">
        <f t="shared" si="146"/>
        <v>Sep</v>
      </c>
      <c r="CN84" s="57" t="str">
        <f t="shared" si="146"/>
        <v>Oct</v>
      </c>
      <c r="CO84" s="57" t="str">
        <f t="shared" si="146"/>
        <v>Nov</v>
      </c>
      <c r="CP84" s="57" t="str">
        <f t="shared" ref="CP84:CX84" si="147">CQ$1</f>
        <v>Dec-18</v>
      </c>
      <c r="CQ84" s="57" t="str">
        <f t="shared" si="147"/>
        <v>Jan-19</v>
      </c>
      <c r="CR84" s="57" t="str">
        <f t="shared" si="147"/>
        <v>Feb-19</v>
      </c>
      <c r="CS84" s="57" t="str">
        <f t="shared" si="147"/>
        <v>Mar-19</v>
      </c>
      <c r="CT84" s="57" t="str">
        <f t="shared" si="147"/>
        <v>Apr-19</v>
      </c>
      <c r="CU84" s="57" t="str">
        <f t="shared" si="147"/>
        <v>May-19</v>
      </c>
      <c r="CV84" s="57" t="str">
        <f t="shared" si="147"/>
        <v>June-19</v>
      </c>
      <c r="CW84" s="57" t="str">
        <f t="shared" si="147"/>
        <v>July-19</v>
      </c>
      <c r="CX84" s="57" t="str">
        <f t="shared" si="147"/>
        <v>Aug-19</v>
      </c>
      <c r="DO84" s="88"/>
      <c r="DQ84" s="57" t="str">
        <f ca="1"/>
        <v>Aug</v>
      </c>
      <c r="DR84" s="57" t="str">
        <f ca="1"/>
        <v>Sep</v>
      </c>
      <c r="DS84" s="57" t="str">
        <f ca="1"/>
        <v>Oct</v>
      </c>
      <c r="DT84" s="57" t="str">
        <f ca="1"/>
        <v>Nov</v>
      </c>
      <c r="DU84" s="57" t="str">
        <f ca="1"/>
        <v>Dec-18</v>
      </c>
      <c r="DV84" s="57" t="str">
        <f ca="1"/>
        <v>Jan-19</v>
      </c>
      <c r="DW84" s="57" t="str">
        <f ca="1"/>
        <v>Feb-19</v>
      </c>
      <c r="DX84" s="57" t="str">
        <f ca="1"/>
        <v>Mar-19</v>
      </c>
      <c r="DY84" s="57" t="str">
        <f ca="1"/>
        <v>Apr-19</v>
      </c>
      <c r="DZ84" s="57" t="str">
        <f ca="1"/>
        <v>May-19</v>
      </c>
      <c r="EA84" s="57" t="str">
        <f ca="1"/>
        <v>June-19</v>
      </c>
      <c r="EB84" s="57" t="str">
        <f ca="1"/>
        <v>July-19</v>
      </c>
      <c r="EC84" s="57" t="str">
        <f ca="1"/>
        <v>Aug-19</v>
      </c>
    </row>
    <row r="85" spans="1:133" x14ac:dyDescent="0.3">
      <c r="A85" t="str">
        <f>A13</f>
        <v>Effect desired: Data modification</v>
      </c>
      <c r="B85">
        <f t="shared" ref="B85:CI85" si="148">C13</f>
        <v>1000</v>
      </c>
      <c r="C85" s="56">
        <f t="shared" si="148"/>
        <v>1000</v>
      </c>
      <c r="D85" s="56">
        <f t="shared" si="148"/>
        <v>1000</v>
      </c>
      <c r="E85" s="56">
        <f t="shared" si="148"/>
        <v>1000</v>
      </c>
      <c r="F85" s="56">
        <f t="shared" si="148"/>
        <v>1000</v>
      </c>
      <c r="G85" s="56">
        <f t="shared" si="148"/>
        <v>1000</v>
      </c>
      <c r="H85" s="56">
        <f t="shared" si="148"/>
        <v>1000</v>
      </c>
      <c r="I85" s="56">
        <f t="shared" si="148"/>
        <v>1000</v>
      </c>
      <c r="J85" s="56">
        <f t="shared" si="148"/>
        <v>1000</v>
      </c>
      <c r="K85" s="56">
        <f t="shared" si="148"/>
        <v>1000</v>
      </c>
      <c r="L85" s="56">
        <f t="shared" si="148"/>
        <v>1000</v>
      </c>
      <c r="M85" s="56">
        <f t="shared" si="148"/>
        <v>1000</v>
      </c>
      <c r="N85" s="56">
        <f t="shared" si="148"/>
        <v>1000</v>
      </c>
      <c r="O85" s="56">
        <f t="shared" si="148"/>
        <v>1007.3544986609897</v>
      </c>
      <c r="P85" s="56">
        <f t="shared" si="148"/>
        <v>1017.1504137216882</v>
      </c>
      <c r="Q85" s="56">
        <f t="shared" si="148"/>
        <v>1028.2456135330174</v>
      </c>
      <c r="R85" s="56">
        <f t="shared" si="148"/>
        <v>1036.6839807675424</v>
      </c>
      <c r="S85" s="56">
        <f t="shared" si="148"/>
        <v>1036.6839807675424</v>
      </c>
      <c r="T85" s="56">
        <f t="shared" si="148"/>
        <v>1048.0849471854165</v>
      </c>
      <c r="U85" s="56">
        <f t="shared" si="148"/>
        <v>1051.365335582655</v>
      </c>
      <c r="V85" s="56">
        <f t="shared" si="148"/>
        <v>1054.0416990155525</v>
      </c>
      <c r="W85" s="56">
        <f t="shared" si="148"/>
        <v>1053.6856639914038</v>
      </c>
      <c r="X85" s="56">
        <f t="shared" si="148"/>
        <v>1065.1014322772382</v>
      </c>
      <c r="Y85" s="56">
        <f t="shared" si="148"/>
        <v>1067.5248702141957</v>
      </c>
      <c r="Z85" s="56">
        <f t="shared" si="148"/>
        <v>1071.2771506115819</v>
      </c>
      <c r="AA85" s="56">
        <f t="shared" si="148"/>
        <v>1085.5826435524295</v>
      </c>
      <c r="AB85" s="56">
        <f t="shared" si="148"/>
        <v>1085.0289161257479</v>
      </c>
      <c r="AC85" s="56">
        <f t="shared" si="148"/>
        <v>1085.0289161257479</v>
      </c>
      <c r="AD85" s="56">
        <f t="shared" si="148"/>
        <v>1089.6449622367472</v>
      </c>
      <c r="AE85" s="56">
        <f t="shared" si="148"/>
        <v>1083.3766480548154</v>
      </c>
      <c r="AF85" s="56">
        <f t="shared" si="148"/>
        <v>1090.0299126619852</v>
      </c>
      <c r="AG85" s="56">
        <f t="shared" si="148"/>
        <v>1091.8481439549457</v>
      </c>
      <c r="AH85" s="56">
        <f t="shared" si="148"/>
        <v>1101.6908812126451</v>
      </c>
      <c r="AI85" s="56">
        <f t="shared" si="148"/>
        <v>1102.2648279989446</v>
      </c>
      <c r="AJ85" s="56">
        <f t="shared" si="148"/>
        <v>1106.1166522561939</v>
      </c>
      <c r="AK85" s="56">
        <f t="shared" si="148"/>
        <v>1112.2034910319694</v>
      </c>
      <c r="AL85" s="56">
        <f t="shared" si="148"/>
        <v>1116.0900455848634</v>
      </c>
      <c r="AM85" s="56">
        <f t="shared" si="148"/>
        <v>1117.9940941065413</v>
      </c>
      <c r="AN85" s="56">
        <f t="shared" si="148"/>
        <v>1127.5787982462768</v>
      </c>
      <c r="AO85" s="56">
        <f t="shared" si="148"/>
        <v>1137.2852992365761</v>
      </c>
      <c r="AP85" s="56">
        <f t="shared" si="148"/>
        <v>1142.7138584014795</v>
      </c>
      <c r="AQ85" s="56">
        <f t="shared" si="148"/>
        <v>1156.3988917189838</v>
      </c>
      <c r="AR85" s="56">
        <f t="shared" si="148"/>
        <v>1158.9525871675442</v>
      </c>
      <c r="AS85" s="56">
        <f t="shared" si="148"/>
        <v>1161.2422523843593</v>
      </c>
      <c r="AT85" s="56">
        <f t="shared" si="148"/>
        <v>1168.1384250316876</v>
      </c>
      <c r="AU85" s="56">
        <f t="shared" si="148"/>
        <v>1168.1384250316876</v>
      </c>
      <c r="AV85" s="56">
        <f t="shared" si="148"/>
        <v>1172.7586105500825</v>
      </c>
      <c r="AW85" s="56">
        <f t="shared" si="148"/>
        <v>1170.5617483572189</v>
      </c>
      <c r="AX85" s="56">
        <f t="shared" si="148"/>
        <v>1170.5617483572189</v>
      </c>
      <c r="AY85" s="56">
        <f t="shared" si="148"/>
        <v>1179.1582465696647</v>
      </c>
      <c r="AZ85" s="56">
        <f t="shared" si="148"/>
        <v>1187.0938182560767</v>
      </c>
      <c r="BA85" s="56">
        <f t="shared" si="148"/>
        <v>1198.3763633621163</v>
      </c>
      <c r="BB85" s="56">
        <f t="shared" si="148"/>
        <v>1206.3330935569993</v>
      </c>
      <c r="BC85" s="56">
        <f t="shared" si="148"/>
        <v>1196.3220882335304</v>
      </c>
      <c r="BD85" s="56">
        <f t="shared" si="148"/>
        <v>1191.6090723258492</v>
      </c>
      <c r="BE85" s="56">
        <f t="shared" si="148"/>
        <v>1185.00737694642</v>
      </c>
      <c r="BF85" s="56">
        <f t="shared" si="148"/>
        <v>1179.0971279970747</v>
      </c>
      <c r="BG85" s="56">
        <f t="shared" si="148"/>
        <v>1179.0971279970747</v>
      </c>
      <c r="BH85" s="56">
        <f t="shared" si="148"/>
        <v>1166.2710237811839</v>
      </c>
      <c r="BI85" s="56">
        <f t="shared" si="148"/>
        <v>1171.9486998735547</v>
      </c>
      <c r="BJ85" s="56">
        <f t="shared" si="148"/>
        <v>1181.1931381071236</v>
      </c>
      <c r="BK85" s="56">
        <f t="shared" si="148"/>
        <v>1179.2895234701452</v>
      </c>
      <c r="BL85" s="56">
        <f t="shared" si="148"/>
        <v>1185.405099377391</v>
      </c>
      <c r="BM85" s="56">
        <f t="shared" si="148"/>
        <v>1190.5256318184549</v>
      </c>
      <c r="BN85" s="56">
        <f t="shared" si="148"/>
        <v>1205.9573162953045</v>
      </c>
      <c r="BO85" s="56">
        <f t="shared" si="148"/>
        <v>1201.3979367977713</v>
      </c>
      <c r="BP85" s="56">
        <f t="shared" si="148"/>
        <v>1201.3979367977713</v>
      </c>
      <c r="BQ85" s="56">
        <f t="shared" si="148"/>
        <v>1204.0510044071234</v>
      </c>
      <c r="BR85" s="56">
        <f t="shared" si="148"/>
        <v>1198.0457749695711</v>
      </c>
      <c r="BS85" s="56">
        <f t="shared" si="148"/>
        <v>1203.8568182928107</v>
      </c>
      <c r="BT85" s="56">
        <f t="shared" si="148"/>
        <v>1195.1507805483839</v>
      </c>
      <c r="BU85" s="56">
        <f t="shared" si="148"/>
        <v>1193.1605215906427</v>
      </c>
      <c r="BV85" s="56">
        <f t="shared" si="148"/>
        <v>1193.1605215906427</v>
      </c>
      <c r="BW85" s="56">
        <f t="shared" si="148"/>
        <v>1213.5393479322793</v>
      </c>
      <c r="BX85" s="56">
        <f t="shared" si="148"/>
        <v>1214.5510522071231</v>
      </c>
      <c r="BY85" s="56">
        <f t="shared" si="148"/>
        <v>1221.5783290077627</v>
      </c>
      <c r="BZ85" s="56">
        <f t="shared" si="148"/>
        <v>1226.9795508644984</v>
      </c>
      <c r="CA85" s="56">
        <f t="shared" si="148"/>
        <v>1213.4219044831277</v>
      </c>
      <c r="CB85" s="56">
        <f t="shared" si="148"/>
        <v>1201.562700412622</v>
      </c>
      <c r="CC85" s="56">
        <f t="shared" si="148"/>
        <v>1207.7937808686459</v>
      </c>
      <c r="CD85" s="56">
        <f t="shared" si="148"/>
        <v>1214.7819607404028</v>
      </c>
      <c r="CE85" s="56">
        <f t="shared" si="148"/>
        <v>1209.3709142027506</v>
      </c>
      <c r="CF85" s="56">
        <f t="shared" si="148"/>
        <v>1216.6489519671602</v>
      </c>
      <c r="CG85" s="56">
        <f t="shared" si="148"/>
        <v>1222.2946446532194</v>
      </c>
      <c r="CH85" s="56">
        <f t="shared" ca="1" si="148"/>
        <v>1154.5390527901013</v>
      </c>
      <c r="CI85" s="56">
        <f t="shared" si="148"/>
        <v>1226.0842563051669</v>
      </c>
      <c r="CJ85" s="56">
        <f t="shared" ref="CJ85:CO85" si="149">CK13</f>
        <v>1237.6328456362467</v>
      </c>
      <c r="CK85" s="56">
        <f t="shared" si="149"/>
        <v>1238.8710975046295</v>
      </c>
      <c r="CL85" s="56">
        <f t="shared" si="149"/>
        <v>1242.4499234185728</v>
      </c>
      <c r="CM85" s="56">
        <f t="shared" si="149"/>
        <v>1257.3944672825726</v>
      </c>
      <c r="CN85" s="56">
        <f t="shared" si="149"/>
        <v>1252.1662234076427</v>
      </c>
      <c r="CO85" s="56">
        <f t="shared" si="149"/>
        <v>1241.7748623520988</v>
      </c>
      <c r="CP85" s="56">
        <f t="shared" ref="CP85:CX85" si="150">CQ13</f>
        <v>1237.7321913901876</v>
      </c>
      <c r="CQ85" s="56">
        <f t="shared" si="150"/>
        <v>1237.7321913901876</v>
      </c>
      <c r="CR85" s="56">
        <f t="shared" si="150"/>
        <v>1258.5339275284018</v>
      </c>
      <c r="CS85" s="56">
        <f t="shared" si="150"/>
        <v>1217.1743413939673</v>
      </c>
      <c r="CT85" s="56">
        <f t="shared" si="150"/>
        <v>1260.0330743762916</v>
      </c>
      <c r="CU85" s="56">
        <f t="shared" si="150"/>
        <v>1267.32350582873</v>
      </c>
      <c r="CV85" s="56">
        <f t="shared" si="150"/>
        <v>1273.0971792630442</v>
      </c>
      <c r="CW85" s="56">
        <f t="shared" si="150"/>
        <v>1273.0971792630442</v>
      </c>
      <c r="CX85" s="56">
        <f t="shared" si="150"/>
        <v>1273.0971792630442</v>
      </c>
      <c r="DQ85" s="56">
        <f ca="1"/>
        <v>1242.4499234185728</v>
      </c>
      <c r="DR85" s="56">
        <f ca="1"/>
        <v>1257.3944672825726</v>
      </c>
      <c r="DS85" s="56">
        <f ca="1"/>
        <v>1252.1662234076427</v>
      </c>
      <c r="DT85" s="56">
        <f ca="1"/>
        <v>1241.7748623520988</v>
      </c>
      <c r="DU85" s="56">
        <f ca="1"/>
        <v>1237.7321913901876</v>
      </c>
      <c r="DV85" s="56">
        <f ca="1"/>
        <v>1237.7321913901876</v>
      </c>
      <c r="DW85" s="56">
        <f ca="1"/>
        <v>1258.5339275284018</v>
      </c>
      <c r="DX85" s="56">
        <f ca="1"/>
        <v>1217.1743413939673</v>
      </c>
      <c r="DY85" s="56">
        <f ca="1"/>
        <v>1260.0330743762916</v>
      </c>
      <c r="DZ85" s="56">
        <f ca="1"/>
        <v>1267.32350582873</v>
      </c>
      <c r="EA85" s="56">
        <f ca="1"/>
        <v>1273.0971792630442</v>
      </c>
      <c r="EB85" s="56">
        <f ca="1"/>
        <v>1273.0971792630442</v>
      </c>
      <c r="EC85" s="56">
        <f ca="1"/>
        <v>1273.0971792630442</v>
      </c>
    </row>
    <row r="86" spans="1:133" x14ac:dyDescent="0.3">
      <c r="A86" t="s">
        <v>108</v>
      </c>
      <c r="C86" s="55">
        <f t="shared" ref="C86:M86" si="151">LN(C85)-LN(B85)</f>
        <v>0</v>
      </c>
      <c r="D86" s="55">
        <f t="shared" si="151"/>
        <v>0</v>
      </c>
      <c r="E86" s="55">
        <f t="shared" si="151"/>
        <v>0</v>
      </c>
      <c r="F86" s="55">
        <f t="shared" si="151"/>
        <v>0</v>
      </c>
      <c r="G86" s="55">
        <f t="shared" si="151"/>
        <v>0</v>
      </c>
      <c r="H86" s="55">
        <f t="shared" si="151"/>
        <v>0</v>
      </c>
      <c r="I86" s="55">
        <f t="shared" si="151"/>
        <v>0</v>
      </c>
      <c r="J86" s="55">
        <f t="shared" si="151"/>
        <v>0</v>
      </c>
      <c r="K86" s="55">
        <f t="shared" si="151"/>
        <v>0</v>
      </c>
      <c r="L86" s="55">
        <f t="shared" si="151"/>
        <v>0</v>
      </c>
      <c r="M86" s="55">
        <f t="shared" si="151"/>
        <v>0</v>
      </c>
      <c r="N86" s="55">
        <f t="shared" ref="N86:AD86" si="152">LN(N85)-LN(M85)</f>
        <v>0</v>
      </c>
      <c r="O86" s="55">
        <f t="shared" si="152"/>
        <v>7.3275862068973296E-3</v>
      </c>
      <c r="P86" s="55">
        <f t="shared" si="152"/>
        <v>9.6774193548387899E-3</v>
      </c>
      <c r="Q86" s="55">
        <f t="shared" si="152"/>
        <v>1.0849056603773555E-2</v>
      </c>
      <c r="R86" s="55">
        <f t="shared" si="152"/>
        <v>8.1730769230761169E-3</v>
      </c>
      <c r="S86" s="55">
        <f t="shared" si="152"/>
        <v>0</v>
      </c>
      <c r="T86" s="55">
        <f t="shared" si="152"/>
        <v>1.0937500000000711E-2</v>
      </c>
      <c r="U86" s="55">
        <f t="shared" si="152"/>
        <v>3.1249999999998224E-3</v>
      </c>
      <c r="V86" s="55">
        <f t="shared" si="152"/>
        <v>2.5423728813560587E-3</v>
      </c>
      <c r="W86" s="55">
        <f t="shared" si="152"/>
        <v>-3.3783783783825072E-4</v>
      </c>
      <c r="X86" s="55">
        <f t="shared" si="152"/>
        <v>1.0775862068965303E-2</v>
      </c>
      <c r="Y86" s="55">
        <f t="shared" si="152"/>
        <v>2.2727272727269821E-3</v>
      </c>
      <c r="Z86" s="55">
        <f t="shared" si="152"/>
        <v>3.5087719298250164E-3</v>
      </c>
      <c r="AA86" s="55">
        <f t="shared" si="152"/>
        <v>1.3265306122448806E-2</v>
      </c>
      <c r="AB86" s="55">
        <f t="shared" si="152"/>
        <v>-5.1020408163271469E-4</v>
      </c>
      <c r="AC86" s="55">
        <f t="shared" si="152"/>
        <v>0</v>
      </c>
      <c r="AD86" s="55">
        <f t="shared" si="152"/>
        <v>4.2452830188679513E-3</v>
      </c>
      <c r="AE86" s="55">
        <f>LN(AE85)-LN(AD85)</f>
        <v>-5.7692307692311928E-3</v>
      </c>
      <c r="AF86" s="55">
        <f t="shared" ref="AF86:CI86" si="153">LN(AF85)-LN(AE85)</f>
        <v>6.1224489795916881E-3</v>
      </c>
      <c r="AG86" s="55">
        <f t="shared" si="153"/>
        <v>1.6666666666669272E-3</v>
      </c>
      <c r="AH86" s="55">
        <f t="shared" si="153"/>
        <v>8.9743589743589425E-3</v>
      </c>
      <c r="AI86" s="55">
        <f t="shared" si="153"/>
        <v>5.2083333333374782E-4</v>
      </c>
      <c r="AJ86" s="55">
        <f t="shared" si="153"/>
        <v>3.4883720930229956E-3</v>
      </c>
      <c r="AK86" s="55">
        <f t="shared" si="153"/>
        <v>5.4878048780491184E-3</v>
      </c>
      <c r="AL86" s="55">
        <f t="shared" si="153"/>
        <v>3.4883720930229956E-3</v>
      </c>
      <c r="AM86" s="55">
        <f t="shared" si="153"/>
        <v>1.7045454545456806E-3</v>
      </c>
      <c r="AN86" s="55">
        <f t="shared" si="153"/>
        <v>8.5365853658538882E-3</v>
      </c>
      <c r="AO86" s="55">
        <f t="shared" si="153"/>
        <v>8.5714285714280081E-3</v>
      </c>
      <c r="AP86" s="55">
        <f t="shared" si="153"/>
        <v>4.761904761904745E-3</v>
      </c>
      <c r="AQ86" s="55">
        <f t="shared" si="153"/>
        <v>1.1904761904761862E-2</v>
      </c>
      <c r="AR86" s="55">
        <f t="shared" si="153"/>
        <v>2.2058823529418348E-3</v>
      </c>
      <c r="AS86" s="55">
        <f t="shared" si="153"/>
        <v>1.9736842105260166E-3</v>
      </c>
      <c r="AT86" s="55">
        <f t="shared" si="153"/>
        <v>5.921052631578938E-3</v>
      </c>
      <c r="AU86" s="55">
        <f t="shared" si="153"/>
        <v>0</v>
      </c>
      <c r="AV86" s="55">
        <f t="shared" si="153"/>
        <v>3.9473684210520332E-3</v>
      </c>
      <c r="AW86" s="186">
        <f t="shared" si="153"/>
        <v>-1.8749999999991829E-3</v>
      </c>
      <c r="AX86" s="186">
        <f t="shared" si="153"/>
        <v>0</v>
      </c>
      <c r="AY86" s="186">
        <f t="shared" si="153"/>
        <v>7.3170731707312697E-3</v>
      </c>
      <c r="AZ86" s="186">
        <f t="shared" si="153"/>
        <v>6.7073170731708487E-3</v>
      </c>
      <c r="BA86" s="186">
        <f t="shared" si="153"/>
        <v>9.4594594594594739E-3</v>
      </c>
      <c r="BB86" s="186">
        <f t="shared" si="153"/>
        <v>6.6176470588237279E-3</v>
      </c>
      <c r="BC86" s="186">
        <f t="shared" si="153"/>
        <v>-8.3333333333337478E-3</v>
      </c>
      <c r="BD86" s="186">
        <f t="shared" si="153"/>
        <v>-3.9473684210520332E-3</v>
      </c>
      <c r="BE86" s="186">
        <f t="shared" si="153"/>
        <v>-5.5555555555555358E-3</v>
      </c>
      <c r="BF86" s="186">
        <f t="shared" si="153"/>
        <v>-4.9999999999998934E-3</v>
      </c>
      <c r="BG86" s="186">
        <f t="shared" si="153"/>
        <v>0</v>
      </c>
      <c r="BH86" s="186">
        <f t="shared" si="153"/>
        <v>-1.0937500000000711E-2</v>
      </c>
      <c r="BI86" s="186">
        <f t="shared" si="153"/>
        <v>4.856418918919303E-3</v>
      </c>
      <c r="BJ86" s="186">
        <f t="shared" si="153"/>
        <v>7.8571428571425628E-3</v>
      </c>
      <c r="BK86" s="186">
        <f t="shared" si="153"/>
        <v>-1.6129032258058729E-3</v>
      </c>
      <c r="BL86" s="186">
        <f t="shared" si="153"/>
        <v>5.172413793102848E-3</v>
      </c>
      <c r="BM86" s="186">
        <f t="shared" si="153"/>
        <v>4.3103448275862988E-3</v>
      </c>
      <c r="BN86" s="186">
        <f t="shared" si="153"/>
        <v>1.28787878787886E-2</v>
      </c>
      <c r="BO86" s="186">
        <f t="shared" si="153"/>
        <v>-3.7878787878788955E-3</v>
      </c>
      <c r="BP86" s="186">
        <f t="shared" si="153"/>
        <v>0</v>
      </c>
      <c r="BQ86" s="186">
        <f t="shared" si="153"/>
        <v>2.2058823529409466E-3</v>
      </c>
      <c r="BR86" s="186">
        <f t="shared" si="153"/>
        <v>-4.9999999999998934E-3</v>
      </c>
      <c r="BS86" s="186">
        <f t="shared" si="153"/>
        <v>4.8387096774193949E-3</v>
      </c>
      <c r="BT86" s="186">
        <f t="shared" si="153"/>
        <v>-7.2580645161286483E-3</v>
      </c>
      <c r="BU86" s="186">
        <f t="shared" si="153"/>
        <v>-1.6666666666669272E-3</v>
      </c>
      <c r="BV86" s="186">
        <f t="shared" si="153"/>
        <v>0</v>
      </c>
      <c r="BW86" s="186">
        <f t="shared" si="153"/>
        <v>1.6935483870967438E-2</v>
      </c>
      <c r="BX86" s="186">
        <f t="shared" si="153"/>
        <v>8.333333333334636E-4</v>
      </c>
      <c r="BY86" s="186">
        <f t="shared" si="153"/>
        <v>5.7692307692311928E-3</v>
      </c>
      <c r="BZ86" s="186">
        <f t="shared" si="153"/>
        <v>4.4117647058818932E-3</v>
      </c>
      <c r="CA86" s="186">
        <f t="shared" si="153"/>
        <v>-1.1111111111111072E-2</v>
      </c>
      <c r="CB86" s="186">
        <f t="shared" si="153"/>
        <v>-9.8214285714286476E-3</v>
      </c>
      <c r="CC86" s="186">
        <f t="shared" si="153"/>
        <v>5.1724137931037362E-3</v>
      </c>
      <c r="CD86" s="186">
        <f t="shared" si="153"/>
        <v>5.7692307692311928E-3</v>
      </c>
      <c r="CE86" s="186">
        <f t="shared" si="153"/>
        <v>-4.4642857142864756E-3</v>
      </c>
      <c r="CF86" s="186">
        <f t="shared" si="153"/>
        <v>6.0000000000002274E-3</v>
      </c>
      <c r="CG86" s="186">
        <f t="shared" si="153"/>
        <v>4.6296296296297612E-3</v>
      </c>
      <c r="CH86" s="186">
        <f t="shared" ca="1" si="153"/>
        <v>-5.7028772599599264E-2</v>
      </c>
      <c r="CI86" s="186">
        <f t="shared" ca="1" si="153"/>
        <v>6.0124383884866184E-2</v>
      </c>
      <c r="CJ86" s="186">
        <f t="shared" ref="CJ86:CX86" si="154">LN(CJ85)-LN(CI85)</f>
        <v>9.3749999999994671E-3</v>
      </c>
      <c r="CK86" s="186">
        <f t="shared" si="154"/>
        <v>1.000000000000334E-3</v>
      </c>
      <c r="CL86" s="186">
        <f t="shared" si="154"/>
        <v>2.8846153846151523E-3</v>
      </c>
      <c r="CM86" s="186">
        <f t="shared" si="154"/>
        <v>1.1956521739130643E-2</v>
      </c>
      <c r="CN86" s="186">
        <f t="shared" si="154"/>
        <v>-4.166666666667318E-3</v>
      </c>
      <c r="CO86" s="186">
        <f t="shared" si="154"/>
        <v>-8.3333333333328596E-3</v>
      </c>
      <c r="CP86" s="186">
        <f t="shared" si="154"/>
        <v>-3.2608695652172059E-3</v>
      </c>
      <c r="CQ86" s="186">
        <f t="shared" si="154"/>
        <v>0</v>
      </c>
      <c r="CR86" s="186">
        <f t="shared" si="154"/>
        <v>1.6666666666666607E-2</v>
      </c>
      <c r="CS86" s="186">
        <f t="shared" si="154"/>
        <v>-3.3415435139573013E-2</v>
      </c>
      <c r="CT86" s="186">
        <f t="shared" si="154"/>
        <v>3.4605911330048755E-2</v>
      </c>
      <c r="CU86" s="186">
        <f t="shared" si="154"/>
        <v>5.7692307692311928E-3</v>
      </c>
      <c r="CV86" s="186">
        <f t="shared" si="154"/>
        <v>4.5454545454539641E-3</v>
      </c>
      <c r="CW86" s="186">
        <f t="shared" si="154"/>
        <v>0</v>
      </c>
      <c r="CX86" s="186">
        <f t="shared" si="154"/>
        <v>0</v>
      </c>
      <c r="DQ86" s="55">
        <f ca="1"/>
        <v>2.8846153846151523E-3</v>
      </c>
      <c r="DR86" s="55">
        <f ca="1"/>
        <v>1.1956521739130643E-2</v>
      </c>
      <c r="DS86" s="55">
        <f ca="1"/>
        <v>-4.166666666667318E-3</v>
      </c>
      <c r="DT86" s="55">
        <f ca="1"/>
        <v>-8.3333333333328596E-3</v>
      </c>
      <c r="DU86" s="55">
        <f ca="1"/>
        <v>-3.2608695652172059E-3</v>
      </c>
      <c r="DV86" s="55">
        <f ca="1"/>
        <v>0</v>
      </c>
      <c r="DW86" s="55">
        <f ca="1"/>
        <v>1.6666666666666607E-2</v>
      </c>
      <c r="DX86" s="55">
        <f ca="1"/>
        <v>-3.3415435139573013E-2</v>
      </c>
      <c r="DY86" s="55">
        <f ca="1"/>
        <v>3.4605911330048755E-2</v>
      </c>
      <c r="DZ86" s="55">
        <f ca="1"/>
        <v>5.7692307692311928E-3</v>
      </c>
      <c r="EA86" s="55">
        <f ca="1"/>
        <v>4.5454545454539641E-3</v>
      </c>
      <c r="EB86" s="55">
        <f ca="1"/>
        <v>0</v>
      </c>
      <c r="EC86" s="186">
        <f ca="1"/>
        <v>0</v>
      </c>
    </row>
    <row r="87" spans="1:133" x14ac:dyDescent="0.3">
      <c r="C87" s="55"/>
      <c r="D87" s="55"/>
      <c r="E87" s="55"/>
      <c r="F87" s="55"/>
      <c r="G87" s="55"/>
      <c r="H87" s="55"/>
      <c r="I87" s="55"/>
      <c r="J87" s="55"/>
      <c r="K87" s="55"/>
      <c r="L87" s="55"/>
      <c r="M87" s="55"/>
      <c r="N87" s="55"/>
      <c r="O87" s="55"/>
      <c r="P87" s="55"/>
      <c r="Q87" s="55"/>
      <c r="R87" s="55"/>
      <c r="S87" s="55"/>
      <c r="T87" s="55"/>
      <c r="U87" s="55"/>
      <c r="V87" s="55"/>
      <c r="W87" s="55"/>
      <c r="X87" s="55"/>
      <c r="Y87" s="55"/>
      <c r="Z87" s="55"/>
      <c r="AA87" s="55"/>
      <c r="AB87" s="55"/>
      <c r="AC87" s="55"/>
      <c r="AD87" s="55"/>
      <c r="AE87" s="55"/>
      <c r="AF87" s="55"/>
      <c r="AG87" s="55"/>
      <c r="AH87" s="55"/>
      <c r="AI87" s="55"/>
      <c r="AJ87" s="55"/>
      <c r="AK87" s="55"/>
      <c r="AL87" s="55"/>
      <c r="AM87" s="55"/>
      <c r="AN87" s="55"/>
      <c r="AO87" s="55"/>
      <c r="AP87" s="55"/>
      <c r="AQ87" s="55"/>
      <c r="AR87" s="55"/>
      <c r="AS87" s="55"/>
      <c r="AT87" s="55"/>
      <c r="AU87" s="55"/>
      <c r="AV87" s="55"/>
      <c r="AW87" s="186"/>
      <c r="AX87" s="186"/>
      <c r="AY87" s="186"/>
      <c r="AZ87" s="186"/>
      <c r="BA87" s="186"/>
      <c r="BB87" s="186"/>
      <c r="BC87" s="186"/>
      <c r="BD87" s="186"/>
      <c r="BE87" s="186"/>
      <c r="BF87" s="186"/>
      <c r="BG87" s="186"/>
      <c r="BH87" s="186"/>
      <c r="BI87" s="186"/>
      <c r="BJ87" s="186"/>
      <c r="BK87" s="186"/>
      <c r="BL87" s="186"/>
      <c r="BM87" s="186"/>
      <c r="BN87" s="186"/>
      <c r="BO87" s="186"/>
      <c r="BP87" s="186"/>
      <c r="BQ87" s="186"/>
      <c r="BR87" s="186"/>
      <c r="BS87" s="186"/>
      <c r="BT87" s="186"/>
      <c r="BU87" s="186"/>
      <c r="BV87" s="186"/>
      <c r="BW87" s="186"/>
      <c r="BX87" s="186"/>
      <c r="BY87" s="186"/>
      <c r="BZ87" s="186"/>
      <c r="CA87" s="186"/>
      <c r="CB87" s="186"/>
      <c r="CC87" s="186"/>
      <c r="CD87" s="186"/>
      <c r="CE87" s="186"/>
      <c r="CF87" s="186"/>
      <c r="CG87" s="186"/>
      <c r="CH87" s="186"/>
      <c r="CI87" s="186"/>
      <c r="CJ87" s="186"/>
      <c r="CK87" s="186"/>
      <c r="CL87" s="186"/>
      <c r="CM87" s="186"/>
      <c r="CN87" s="186"/>
      <c r="CO87" s="186"/>
      <c r="CP87" s="186"/>
      <c r="CQ87" s="186"/>
      <c r="CR87" s="186"/>
      <c r="CS87" s="186"/>
      <c r="CT87" s="186"/>
      <c r="CU87" s="186"/>
      <c r="CV87" s="186"/>
      <c r="CW87" s="186"/>
      <c r="CX87" s="186"/>
      <c r="DQ87" s="55">
        <f ca="1"/>
        <v>0</v>
      </c>
      <c r="DR87" s="55">
        <f ca="1"/>
        <v>0</v>
      </c>
      <c r="DS87" s="55">
        <f ca="1"/>
        <v>0</v>
      </c>
      <c r="DT87" s="55">
        <f ca="1"/>
        <v>0</v>
      </c>
      <c r="DU87" s="55">
        <f ca="1"/>
        <v>0</v>
      </c>
      <c r="DV87" s="55">
        <f ca="1"/>
        <v>0</v>
      </c>
      <c r="DW87" s="55">
        <f ca="1"/>
        <v>0</v>
      </c>
      <c r="DX87" s="55">
        <f ca="1"/>
        <v>0</v>
      </c>
      <c r="DY87" s="55">
        <f ca="1"/>
        <v>0</v>
      </c>
      <c r="DZ87" s="55">
        <f ca="1"/>
        <v>0</v>
      </c>
      <c r="EA87" s="55">
        <f ca="1"/>
        <v>0</v>
      </c>
      <c r="EB87" s="55">
        <f ca="1"/>
        <v>0</v>
      </c>
      <c r="EC87" s="186">
        <f ca="1"/>
        <v>0</v>
      </c>
    </row>
    <row r="88" spans="1:133" x14ac:dyDescent="0.3">
      <c r="A88" t="str">
        <f>A89</f>
        <v>Effect desired: Business disruption</v>
      </c>
      <c r="C88" s="55"/>
      <c r="D88" s="55"/>
      <c r="E88" s="55"/>
      <c r="F88" s="55"/>
      <c r="G88" s="55"/>
      <c r="H88" s="55"/>
      <c r="I88" s="55"/>
      <c r="J88" s="55"/>
      <c r="K88" s="55"/>
      <c r="L88" s="55"/>
      <c r="M88" s="55"/>
      <c r="N88" s="55"/>
      <c r="O88" s="55"/>
      <c r="P88" s="55"/>
      <c r="Q88" s="55"/>
      <c r="R88" s="55"/>
      <c r="S88" s="55"/>
      <c r="T88" s="55"/>
      <c r="U88" s="55"/>
      <c r="V88" s="55"/>
      <c r="W88" s="55"/>
      <c r="X88" s="55"/>
      <c r="Y88" s="55"/>
      <c r="Z88" s="55"/>
      <c r="AA88" s="55"/>
      <c r="AB88" s="55"/>
      <c r="AC88" s="55"/>
      <c r="AD88" s="55"/>
      <c r="AE88" s="55"/>
      <c r="AF88" s="55"/>
      <c r="AG88" s="55"/>
      <c r="AH88" s="55"/>
      <c r="AI88" s="55"/>
      <c r="AJ88" s="55"/>
      <c r="AK88" s="55"/>
      <c r="AL88" s="55"/>
      <c r="AM88" s="55"/>
      <c r="AN88" s="55"/>
      <c r="AO88" s="55"/>
      <c r="AP88" s="55"/>
      <c r="AQ88" s="55"/>
      <c r="AR88" s="55"/>
      <c r="AS88" s="55"/>
      <c r="AT88" s="55"/>
      <c r="AU88" s="55"/>
      <c r="AV88" s="55"/>
      <c r="AW88" s="186"/>
      <c r="AX88" s="186"/>
      <c r="AY88" s="186"/>
      <c r="AZ88" s="186"/>
      <c r="BA88" s="186"/>
      <c r="BB88" s="186"/>
      <c r="BC88" s="186"/>
      <c r="BD88" s="186"/>
      <c r="BE88" s="186"/>
      <c r="BF88" s="186"/>
      <c r="BG88" s="186"/>
      <c r="BH88" s="186"/>
      <c r="BI88" s="186"/>
      <c r="BJ88" s="186"/>
      <c r="BK88" s="186"/>
      <c r="BL88" s="186"/>
      <c r="BM88" s="186"/>
      <c r="BN88" s="186"/>
      <c r="BO88" s="186"/>
      <c r="BP88" s="186"/>
      <c r="BQ88" s="186"/>
      <c r="BR88" s="186"/>
      <c r="BS88" s="186"/>
      <c r="BT88" s="186"/>
      <c r="BU88" s="186"/>
      <c r="BV88" s="186"/>
      <c r="BW88" s="186"/>
      <c r="BX88" s="186"/>
      <c r="BY88" s="186"/>
      <c r="BZ88" s="186"/>
      <c r="CA88" s="186"/>
      <c r="CB88" s="186"/>
      <c r="CC88" s="186"/>
      <c r="CD88" s="186"/>
      <c r="CE88" s="186"/>
      <c r="CF88" s="186"/>
      <c r="CG88" s="186"/>
      <c r="CH88" s="186"/>
      <c r="CI88" s="186"/>
      <c r="CJ88" s="186"/>
      <c r="CK88" s="186"/>
      <c r="CL88" s="186"/>
      <c r="CM88" s="186"/>
      <c r="CN88" s="186"/>
      <c r="CO88" s="186"/>
      <c r="CP88" s="186"/>
      <c r="CQ88" s="186"/>
      <c r="CR88" s="186"/>
      <c r="CS88" s="186"/>
      <c r="CT88" s="186"/>
      <c r="CU88" s="186"/>
      <c r="CV88" s="186"/>
      <c r="CW88" s="186"/>
      <c r="CX88" s="186"/>
      <c r="DQ88" s="55">
        <f ca="1"/>
        <v>0</v>
      </c>
      <c r="DR88" s="55">
        <f ca="1"/>
        <v>0</v>
      </c>
      <c r="DS88" s="55">
        <f ca="1"/>
        <v>0</v>
      </c>
      <c r="DT88" s="55">
        <f ca="1"/>
        <v>0</v>
      </c>
      <c r="DU88" s="55">
        <f ca="1"/>
        <v>0</v>
      </c>
      <c r="DV88" s="55">
        <f ca="1"/>
        <v>0</v>
      </c>
      <c r="DW88" s="55">
        <f ca="1"/>
        <v>0</v>
      </c>
      <c r="DX88" s="55">
        <f ca="1"/>
        <v>0</v>
      </c>
      <c r="DY88" s="55">
        <f ca="1"/>
        <v>0</v>
      </c>
      <c r="DZ88" s="55">
        <f ca="1"/>
        <v>0</v>
      </c>
      <c r="EA88" s="55">
        <f ca="1"/>
        <v>0</v>
      </c>
      <c r="EB88" s="55">
        <f ca="1"/>
        <v>0</v>
      </c>
      <c r="EC88" s="186">
        <f ca="1"/>
        <v>0</v>
      </c>
    </row>
    <row r="89" spans="1:133" x14ac:dyDescent="0.3">
      <c r="A89" t="str">
        <f>A90</f>
        <v>Effect desired: Business disruption</v>
      </c>
      <c r="B89" s="57" t="str">
        <f>C$1</f>
        <v>Apr</v>
      </c>
      <c r="C89" s="57" t="str">
        <f t="shared" ref="C89:N89" si="155">D$1</f>
        <v>May</v>
      </c>
      <c r="D89" s="57" t="str">
        <f t="shared" si="155"/>
        <v>Jun</v>
      </c>
      <c r="E89" s="57" t="str">
        <f t="shared" si="155"/>
        <v>Jul</v>
      </c>
      <c r="F89" s="57" t="str">
        <f t="shared" si="155"/>
        <v>Aug</v>
      </c>
      <c r="G89" s="57" t="str">
        <f t="shared" si="155"/>
        <v>Sep</v>
      </c>
      <c r="H89" s="57" t="str">
        <f t="shared" si="155"/>
        <v>Oct</v>
      </c>
      <c r="I89" s="57" t="str">
        <f t="shared" si="155"/>
        <v>Nov</v>
      </c>
      <c r="J89" s="57" t="str">
        <f t="shared" si="155"/>
        <v>Dec 2011</v>
      </c>
      <c r="K89" s="57" t="str">
        <f t="shared" si="155"/>
        <v>Jan 2012</v>
      </c>
      <c r="L89" s="57" t="str">
        <f t="shared" si="155"/>
        <v>Feb</v>
      </c>
      <c r="M89" s="57" t="str">
        <f t="shared" si="155"/>
        <v>Mar</v>
      </c>
      <c r="N89" s="57" t="str">
        <f t="shared" si="155"/>
        <v>Apr</v>
      </c>
      <c r="O89" s="57" t="str">
        <f t="shared" ref="O89:AD89" si="156">P$1</f>
        <v>May</v>
      </c>
      <c r="P89" s="57" t="str">
        <f t="shared" si="156"/>
        <v>Jun</v>
      </c>
      <c r="Q89" s="57" t="str">
        <f t="shared" si="156"/>
        <v>Jul</v>
      </c>
      <c r="R89" s="57" t="str">
        <f t="shared" si="156"/>
        <v>Aug</v>
      </c>
      <c r="S89" s="57" t="str">
        <f t="shared" si="156"/>
        <v>Sep</v>
      </c>
      <c r="T89" s="57" t="str">
        <f t="shared" si="156"/>
        <v>Oct</v>
      </c>
      <c r="U89" s="57" t="str">
        <f t="shared" si="156"/>
        <v>Nov</v>
      </c>
      <c r="V89" s="57" t="str">
        <f t="shared" si="156"/>
        <v>Dec 2012</v>
      </c>
      <c r="W89" s="57" t="str">
        <f t="shared" si="156"/>
        <v>Jan 2013</v>
      </c>
      <c r="X89" s="57" t="str">
        <f t="shared" si="156"/>
        <v>Feb</v>
      </c>
      <c r="Y89" s="57" t="str">
        <f t="shared" si="156"/>
        <v>Mar</v>
      </c>
      <c r="Z89" s="57" t="str">
        <f t="shared" si="156"/>
        <v>Apr</v>
      </c>
      <c r="AA89" s="57" t="str">
        <f t="shared" si="156"/>
        <v>May</v>
      </c>
      <c r="AB89" s="57" t="str">
        <f t="shared" si="156"/>
        <v>Jun</v>
      </c>
      <c r="AC89" s="57" t="str">
        <f t="shared" si="156"/>
        <v>Jul</v>
      </c>
      <c r="AD89" s="57" t="str">
        <f t="shared" si="156"/>
        <v>Aug</v>
      </c>
      <c r="AE89" s="57" t="str">
        <f>AF$1</f>
        <v>Sep</v>
      </c>
      <c r="AF89" s="57" t="str">
        <f t="shared" ref="AF89:AK89" si="157">AG$1</f>
        <v>Oct</v>
      </c>
      <c r="AG89" s="57" t="str">
        <f t="shared" si="157"/>
        <v>Nov</v>
      </c>
      <c r="AH89" s="57" t="str">
        <f t="shared" si="157"/>
        <v>Dec 2013</v>
      </c>
      <c r="AI89" s="57" t="str">
        <f t="shared" si="157"/>
        <v>Jan 2014</v>
      </c>
      <c r="AJ89" s="57" t="str">
        <f t="shared" si="157"/>
        <v>Feb</v>
      </c>
      <c r="AK89" s="57" t="str">
        <f t="shared" si="157"/>
        <v>Mar</v>
      </c>
      <c r="AL89" s="57" t="str">
        <f t="shared" ref="AL89:CI89" si="158">AM$1</f>
        <v>Apr</v>
      </c>
      <c r="AM89" s="57" t="str">
        <f t="shared" si="158"/>
        <v>May</v>
      </c>
      <c r="AN89" s="57" t="str">
        <f t="shared" si="158"/>
        <v>Jun</v>
      </c>
      <c r="AO89" s="57" t="str">
        <f t="shared" si="158"/>
        <v>Jul</v>
      </c>
      <c r="AP89" s="57" t="str">
        <f t="shared" si="158"/>
        <v>Aug</v>
      </c>
      <c r="AQ89" s="57" t="str">
        <f t="shared" si="158"/>
        <v>Sep</v>
      </c>
      <c r="AR89" s="57" t="str">
        <f t="shared" si="158"/>
        <v>Oct</v>
      </c>
      <c r="AS89" s="57" t="str">
        <f t="shared" si="158"/>
        <v>Nov</v>
      </c>
      <c r="AT89" s="57" t="str">
        <f t="shared" si="158"/>
        <v>Dec '14</v>
      </c>
      <c r="AU89" s="57" t="str">
        <f t="shared" si="158"/>
        <v>Jan '15</v>
      </c>
      <c r="AV89" s="57" t="str">
        <f t="shared" si="158"/>
        <v>Feb</v>
      </c>
      <c r="AW89" s="57" t="str">
        <f t="shared" si="158"/>
        <v>Mar</v>
      </c>
      <c r="AX89" s="57" t="str">
        <f t="shared" si="158"/>
        <v>Apr</v>
      </c>
      <c r="AY89" s="57" t="str">
        <f t="shared" si="158"/>
        <v>May</v>
      </c>
      <c r="AZ89" s="57" t="str">
        <f t="shared" si="158"/>
        <v>Jun</v>
      </c>
      <c r="BA89" s="57" t="str">
        <f t="shared" si="158"/>
        <v>Jul</v>
      </c>
      <c r="BB89" s="57" t="str">
        <f t="shared" si="158"/>
        <v>Aug</v>
      </c>
      <c r="BC89" s="57" t="str">
        <f t="shared" si="158"/>
        <v>Sep</v>
      </c>
      <c r="BD89" s="57" t="str">
        <f t="shared" si="158"/>
        <v>Oct</v>
      </c>
      <c r="BE89" s="57" t="str">
        <f t="shared" si="158"/>
        <v>Nov</v>
      </c>
      <c r="BF89" s="57" t="str">
        <f t="shared" si="158"/>
        <v>Dec '15</v>
      </c>
      <c r="BG89" s="57" t="str">
        <f t="shared" si="158"/>
        <v>Jan '16</v>
      </c>
      <c r="BH89" s="57" t="str">
        <f t="shared" si="158"/>
        <v>Feb</v>
      </c>
      <c r="BI89" s="57" t="str">
        <f t="shared" si="158"/>
        <v>Mar</v>
      </c>
      <c r="BJ89" s="57" t="str">
        <f t="shared" si="158"/>
        <v>Apr</v>
      </c>
      <c r="BK89" s="57" t="str">
        <f t="shared" si="158"/>
        <v>May</v>
      </c>
      <c r="BL89" s="57" t="str">
        <f t="shared" si="158"/>
        <v>Jun</v>
      </c>
      <c r="BM89" s="57" t="str">
        <f t="shared" si="158"/>
        <v>Jul</v>
      </c>
      <c r="BN89" s="57" t="str">
        <f t="shared" si="158"/>
        <v>Aug</v>
      </c>
      <c r="BO89" s="57" t="str">
        <f t="shared" si="158"/>
        <v>Sep</v>
      </c>
      <c r="BP89" s="57" t="str">
        <f t="shared" si="158"/>
        <v>Oct</v>
      </c>
      <c r="BQ89" s="57" t="str">
        <f t="shared" si="158"/>
        <v>Nov</v>
      </c>
      <c r="BR89" s="57" t="str">
        <f t="shared" si="158"/>
        <v>Dec-16</v>
      </c>
      <c r="BS89" s="57" t="str">
        <f t="shared" si="158"/>
        <v>Jan-17</v>
      </c>
      <c r="BT89" s="57" t="str">
        <f t="shared" si="158"/>
        <v>Feb</v>
      </c>
      <c r="BU89" s="57" t="str">
        <f t="shared" si="158"/>
        <v>Mar</v>
      </c>
      <c r="BV89" s="57" t="str">
        <f t="shared" si="158"/>
        <v>Apr</v>
      </c>
      <c r="BW89" s="57" t="str">
        <f t="shared" si="158"/>
        <v>May</v>
      </c>
      <c r="BX89" s="57" t="str">
        <f t="shared" si="158"/>
        <v>Jun</v>
      </c>
      <c r="BY89" s="57" t="str">
        <f t="shared" si="158"/>
        <v>Jul</v>
      </c>
      <c r="BZ89" s="57" t="str">
        <f t="shared" si="158"/>
        <v>Aug</v>
      </c>
      <c r="CA89" s="57" t="str">
        <f t="shared" si="158"/>
        <v>Sep</v>
      </c>
      <c r="CB89" s="57" t="str">
        <f t="shared" si="158"/>
        <v>Oct</v>
      </c>
      <c r="CC89" s="57" t="str">
        <f t="shared" si="158"/>
        <v>Nov</v>
      </c>
      <c r="CD89" s="57" t="str">
        <f t="shared" si="158"/>
        <v>Dec</v>
      </c>
      <c r="CE89" s="57" t="str">
        <f t="shared" si="158"/>
        <v>Jan '18</v>
      </c>
      <c r="CF89" s="57" t="str">
        <f t="shared" si="158"/>
        <v>Feb</v>
      </c>
      <c r="CG89" s="57" t="str">
        <f t="shared" si="158"/>
        <v>Mar</v>
      </c>
      <c r="CH89" s="57" t="str">
        <f t="shared" si="158"/>
        <v>Apr</v>
      </c>
      <c r="CI89" s="57" t="str">
        <f t="shared" si="158"/>
        <v>May</v>
      </c>
      <c r="CJ89" s="57" t="str">
        <f t="shared" ref="CJ89:CO89" si="159">CK$1</f>
        <v>Jun</v>
      </c>
      <c r="CK89" s="57" t="str">
        <f t="shared" si="159"/>
        <v>Jul</v>
      </c>
      <c r="CL89" s="57" t="str">
        <f t="shared" si="159"/>
        <v>Aug</v>
      </c>
      <c r="CM89" s="57" t="str">
        <f t="shared" si="159"/>
        <v>Sep</v>
      </c>
      <c r="CN89" s="57" t="str">
        <f t="shared" si="159"/>
        <v>Oct</v>
      </c>
      <c r="CO89" s="57" t="str">
        <f t="shared" si="159"/>
        <v>Nov</v>
      </c>
      <c r="CP89" s="57" t="str">
        <f t="shared" ref="CP89:CX89" si="160">CQ$1</f>
        <v>Dec-18</v>
      </c>
      <c r="CQ89" s="57" t="str">
        <f t="shared" si="160"/>
        <v>Jan-19</v>
      </c>
      <c r="CR89" s="57" t="str">
        <f t="shared" si="160"/>
        <v>Feb-19</v>
      </c>
      <c r="CS89" s="57" t="str">
        <f t="shared" si="160"/>
        <v>Mar-19</v>
      </c>
      <c r="CT89" s="57" t="str">
        <f t="shared" si="160"/>
        <v>Apr-19</v>
      </c>
      <c r="CU89" s="57" t="str">
        <f t="shared" si="160"/>
        <v>May-19</v>
      </c>
      <c r="CV89" s="57" t="str">
        <f t="shared" si="160"/>
        <v>June-19</v>
      </c>
      <c r="CW89" s="57" t="str">
        <f t="shared" si="160"/>
        <v>July-19</v>
      </c>
      <c r="CX89" s="57" t="str">
        <f t="shared" si="160"/>
        <v>Aug-19</v>
      </c>
      <c r="CZ89" t="str">
        <f>A88</f>
        <v>Effect desired: Business disruption</v>
      </c>
      <c r="DG89" t="str">
        <f>A93</f>
        <v>Target: Web facing applications</v>
      </c>
      <c r="DO89" s="89"/>
      <c r="DQ89" s="57" t="str">
        <f ca="1"/>
        <v>Aug</v>
      </c>
      <c r="DR89" s="57" t="str">
        <f ca="1"/>
        <v>Sep</v>
      </c>
      <c r="DS89" s="57" t="str">
        <f ca="1"/>
        <v>Oct</v>
      </c>
      <c r="DT89" s="57" t="str">
        <f ca="1"/>
        <v>Nov</v>
      </c>
      <c r="DU89" s="57" t="str">
        <f ca="1"/>
        <v>Dec-18</v>
      </c>
      <c r="DV89" s="57" t="str">
        <f ca="1"/>
        <v>Jan-19</v>
      </c>
      <c r="DW89" s="57" t="str">
        <f ca="1"/>
        <v>Feb-19</v>
      </c>
      <c r="DX89" s="57" t="str">
        <f ca="1"/>
        <v>Mar-19</v>
      </c>
      <c r="DY89" s="57" t="str">
        <f ca="1"/>
        <v>Apr-19</v>
      </c>
      <c r="DZ89" s="57" t="str">
        <f ca="1"/>
        <v>May-19</v>
      </c>
      <c r="EA89" s="57" t="str">
        <f ca="1"/>
        <v>June-19</v>
      </c>
      <c r="EB89" s="57" t="str">
        <f ca="1"/>
        <v>July-19</v>
      </c>
      <c r="EC89" s="57" t="str">
        <f ca="1"/>
        <v>Aug-19</v>
      </c>
    </row>
    <row r="90" spans="1:133" x14ac:dyDescent="0.3">
      <c r="A90" t="str">
        <f>A14</f>
        <v>Effect desired: Business disruption</v>
      </c>
      <c r="B90">
        <f t="shared" ref="B90:CI90" si="161">C14</f>
        <v>1000</v>
      </c>
      <c r="C90" s="56">
        <f t="shared" si="161"/>
        <v>1000</v>
      </c>
      <c r="D90" s="56">
        <f t="shared" si="161"/>
        <v>1000</v>
      </c>
      <c r="E90" s="56">
        <f t="shared" si="161"/>
        <v>1000</v>
      </c>
      <c r="F90" s="56">
        <f t="shared" si="161"/>
        <v>1000</v>
      </c>
      <c r="G90" s="56">
        <f t="shared" si="161"/>
        <v>1000</v>
      </c>
      <c r="H90" s="56">
        <f t="shared" si="161"/>
        <v>1000</v>
      </c>
      <c r="I90" s="56">
        <f t="shared" si="161"/>
        <v>1000</v>
      </c>
      <c r="J90" s="56">
        <f t="shared" si="161"/>
        <v>1000</v>
      </c>
      <c r="K90" s="56">
        <f t="shared" si="161"/>
        <v>1000</v>
      </c>
      <c r="L90" s="56">
        <f t="shared" si="161"/>
        <v>1000</v>
      </c>
      <c r="M90" s="56">
        <f t="shared" si="161"/>
        <v>1000</v>
      </c>
      <c r="N90" s="56">
        <f t="shared" si="161"/>
        <v>1000</v>
      </c>
      <c r="O90" s="56">
        <f t="shared" si="161"/>
        <v>1025.757161957775</v>
      </c>
      <c r="P90" s="56">
        <f t="shared" si="161"/>
        <v>1039.497565264882</v>
      </c>
      <c r="Q90" s="56">
        <f t="shared" si="161"/>
        <v>1050.8365305097605</v>
      </c>
      <c r="R90" s="56">
        <f t="shared" si="161"/>
        <v>1060.4794933749367</v>
      </c>
      <c r="S90" s="56">
        <f t="shared" si="161"/>
        <v>1103.3986199468548</v>
      </c>
      <c r="T90" s="56">
        <f t="shared" si="161"/>
        <v>1161.1800096796171</v>
      </c>
      <c r="U90" s="56">
        <f t="shared" si="161"/>
        <v>1168.4601113596325</v>
      </c>
      <c r="V90" s="56">
        <f t="shared" si="161"/>
        <v>1211.824912721067</v>
      </c>
      <c r="W90" s="56">
        <f t="shared" si="161"/>
        <v>1247.1284043129112</v>
      </c>
      <c r="X90" s="56">
        <f t="shared" si="161"/>
        <v>1277.0471879090219</v>
      </c>
      <c r="Y90" s="56">
        <f t="shared" si="161"/>
        <v>1319.8328159357536</v>
      </c>
      <c r="Z90" s="56">
        <f t="shared" si="161"/>
        <v>1363.9703352371196</v>
      </c>
      <c r="AA90" s="56">
        <f t="shared" si="161"/>
        <v>1393.513676313105</v>
      </c>
      <c r="AB90" s="56">
        <f t="shared" si="161"/>
        <v>1417.1745231369573</v>
      </c>
      <c r="AC90" s="56">
        <f t="shared" si="161"/>
        <v>1429.3739418681805</v>
      </c>
      <c r="AD90" s="56">
        <f t="shared" si="161"/>
        <v>1472.4880582313294</v>
      </c>
      <c r="AE90" s="56">
        <f t="shared" si="161"/>
        <v>1481.007734001256</v>
      </c>
      <c r="AF90" s="56">
        <f t="shared" si="161"/>
        <v>1496.1974244383869</v>
      </c>
      <c r="AG90" s="56">
        <f t="shared" si="161"/>
        <v>1503.6971452381663</v>
      </c>
      <c r="AH90" s="56">
        <f t="shared" si="161"/>
        <v>1528.9687762619162</v>
      </c>
      <c r="AI90" s="56">
        <f t="shared" si="161"/>
        <v>1537.7536341376806</v>
      </c>
      <c r="AJ90" s="56">
        <f t="shared" si="161"/>
        <v>1561.1753256342909</v>
      </c>
      <c r="AK90" s="56">
        <f t="shared" si="161"/>
        <v>1591.936415445512</v>
      </c>
      <c r="AL90" s="56">
        <f t="shared" si="161"/>
        <v>1604.0140778377929</v>
      </c>
      <c r="AM90" s="56">
        <f t="shared" si="161"/>
        <v>1615.9057732218205</v>
      </c>
      <c r="AN90" s="56">
        <f t="shared" si="161"/>
        <v>1621.8284511724412</v>
      </c>
      <c r="AO90" s="56">
        <f t="shared" si="161"/>
        <v>1628.7940601779776</v>
      </c>
      <c r="AP90" s="56">
        <f t="shared" si="161"/>
        <v>1654.1976557035409</v>
      </c>
      <c r="AQ90" s="56">
        <f t="shared" si="161"/>
        <v>1668.0402334676703</v>
      </c>
      <c r="AR90" s="56">
        <f t="shared" si="161"/>
        <v>1685.2999200777676</v>
      </c>
      <c r="AS90" s="56">
        <f t="shared" si="161"/>
        <v>1708.7452539438107</v>
      </c>
      <c r="AT90" s="56">
        <f t="shared" si="161"/>
        <v>1740.513847320954</v>
      </c>
      <c r="AU90" s="56">
        <f t="shared" si="161"/>
        <v>1785.5894164146134</v>
      </c>
      <c r="AV90" s="56">
        <f t="shared" si="161"/>
        <v>1806.8602513975027</v>
      </c>
      <c r="AW90" s="56">
        <f t="shared" si="161"/>
        <v>1817.0524790779411</v>
      </c>
      <c r="AX90" s="56">
        <f t="shared" si="161"/>
        <v>1848.4009877985525</v>
      </c>
      <c r="AY90" s="56">
        <f t="shared" si="161"/>
        <v>1868.8000570460774</v>
      </c>
      <c r="AZ90" s="56">
        <f t="shared" si="161"/>
        <v>1897.5061029934452</v>
      </c>
      <c r="BA90" s="56">
        <f t="shared" si="161"/>
        <v>1927.2246969146595</v>
      </c>
      <c r="BB90" s="56">
        <f t="shared" si="161"/>
        <v>1957.21425472039</v>
      </c>
      <c r="BC90" s="56">
        <f t="shared" si="161"/>
        <v>1961.2960347956309</v>
      </c>
      <c r="BD90" s="56">
        <f t="shared" si="161"/>
        <v>1987.273088454788</v>
      </c>
      <c r="BE90" s="56">
        <f t="shared" si="161"/>
        <v>1998.3442191675122</v>
      </c>
      <c r="BF90" s="56">
        <f t="shared" si="161"/>
        <v>2018.4279124618267</v>
      </c>
      <c r="BG90" s="56">
        <f t="shared" si="161"/>
        <v>2055.8744903795864</v>
      </c>
      <c r="BH90" s="56">
        <f t="shared" si="161"/>
        <v>2071.9989138518904</v>
      </c>
      <c r="BI90" s="56">
        <f t="shared" si="161"/>
        <v>2097.3715547502866</v>
      </c>
      <c r="BJ90" s="56">
        <f t="shared" si="161"/>
        <v>2133.6364495285834</v>
      </c>
      <c r="BK90" s="56">
        <f t="shared" si="161"/>
        <v>2163.0893505503191</v>
      </c>
      <c r="BL90" s="56">
        <f t="shared" si="161"/>
        <v>2198.8110117952738</v>
      </c>
      <c r="BM90" s="56">
        <f t="shared" si="161"/>
        <v>2215.9371039199973</v>
      </c>
      <c r="BN90" s="56">
        <f t="shared" si="161"/>
        <v>2260.0170454078793</v>
      </c>
      <c r="BO90" s="56">
        <f t="shared" si="161"/>
        <v>2289.3115595493055</v>
      </c>
      <c r="BP90" s="56">
        <f t="shared" si="161"/>
        <v>2373.0798905178663</v>
      </c>
      <c r="BQ90" s="56">
        <f t="shared" si="161"/>
        <v>2415.3294648640981</v>
      </c>
      <c r="BR90" s="56">
        <f t="shared" si="161"/>
        <v>2411.3072685173443</v>
      </c>
      <c r="BS90" s="56">
        <f t="shared" si="161"/>
        <v>2405.4805119476268</v>
      </c>
      <c r="BT90" s="56">
        <f t="shared" si="161"/>
        <v>2407.4211980158198</v>
      </c>
      <c r="BU90" s="56">
        <f t="shared" si="161"/>
        <v>2419.4884469882381</v>
      </c>
      <c r="BV90" s="56">
        <f t="shared" si="161"/>
        <v>2431.2240187662724</v>
      </c>
      <c r="BW90" s="56">
        <f t="shared" si="161"/>
        <v>2545.590340212163</v>
      </c>
      <c r="BX90" s="56">
        <f t="shared" si="161"/>
        <v>2612.208199882185</v>
      </c>
      <c r="BY90" s="56">
        <f t="shared" si="161"/>
        <v>2665.4908510583555</v>
      </c>
      <c r="BZ90" s="56">
        <f t="shared" si="161"/>
        <v>2691.0919710838634</v>
      </c>
      <c r="CA90" s="56">
        <f t="shared" si="161"/>
        <v>2672.4685718197638</v>
      </c>
      <c r="CB90" s="56">
        <f t="shared" si="161"/>
        <v>2667.7005649289613</v>
      </c>
      <c r="CC90" s="56">
        <f t="shared" si="161"/>
        <v>2688.4787424945025</v>
      </c>
      <c r="CD90" s="56">
        <f t="shared" si="161"/>
        <v>2688.4787424945025</v>
      </c>
      <c r="CE90" s="56">
        <f t="shared" si="161"/>
        <v>2669.343743543443</v>
      </c>
      <c r="CF90" s="56">
        <f t="shared" si="161"/>
        <v>2677.3637988419805</v>
      </c>
      <c r="CG90" s="56">
        <f t="shared" si="161"/>
        <v>2692.27943613144</v>
      </c>
      <c r="CH90" s="56">
        <f t="shared" ca="1" si="161"/>
        <v>1901.5177638147452</v>
      </c>
      <c r="CI90" s="56">
        <f t="shared" si="161"/>
        <v>2810.9734365298891</v>
      </c>
      <c r="CJ90" s="56">
        <f t="shared" ref="CJ90:CO90" si="162">CK14</f>
        <v>2828.5970368908756</v>
      </c>
      <c r="CK90" s="56">
        <f t="shared" si="162"/>
        <v>2842.7754385411308</v>
      </c>
      <c r="CL90" s="56">
        <f t="shared" si="162"/>
        <v>2829.1410501668006</v>
      </c>
      <c r="CM90" s="56">
        <f t="shared" si="162"/>
        <v>2850.7492241388854</v>
      </c>
      <c r="CN90" s="56">
        <f t="shared" si="162"/>
        <v>2838.8958141248618</v>
      </c>
      <c r="CO90" s="56">
        <f t="shared" si="162"/>
        <v>2815.3366485347196</v>
      </c>
      <c r="CP90" s="56">
        <f t="shared" ref="CP90:CX90" si="163">CQ14</f>
        <v>2843.0131387323504</v>
      </c>
      <c r="CQ90" s="56">
        <f t="shared" si="163"/>
        <v>2834.496880091308</v>
      </c>
      <c r="CR90" s="56">
        <f t="shared" si="163"/>
        <v>2882.1343711369482</v>
      </c>
      <c r="CS90" s="56">
        <f t="shared" si="163"/>
        <v>2774.9733323204937</v>
      </c>
      <c r="CT90" s="56">
        <f t="shared" si="163"/>
        <v>2854.2493919327621</v>
      </c>
      <c r="CU90" s="56">
        <f t="shared" si="163"/>
        <v>2835.1026065298815</v>
      </c>
      <c r="CV90" s="56">
        <f t="shared" si="163"/>
        <v>2874.0278931210037</v>
      </c>
      <c r="CW90" s="56">
        <f t="shared" si="163"/>
        <v>2868.9002800432459</v>
      </c>
      <c r="CX90" s="56">
        <f t="shared" si="163"/>
        <v>2868.9002800432459</v>
      </c>
      <c r="DO90" s="89"/>
      <c r="DQ90" s="56">
        <f ca="1"/>
        <v>2829.1410501668006</v>
      </c>
      <c r="DR90" s="56">
        <f ca="1"/>
        <v>2850.7492241388854</v>
      </c>
      <c r="DS90" s="56">
        <f ca="1"/>
        <v>2838.8958141248618</v>
      </c>
      <c r="DT90" s="56">
        <f ca="1"/>
        <v>2815.3366485347196</v>
      </c>
      <c r="DU90" s="56">
        <f ca="1"/>
        <v>2843.0131387323504</v>
      </c>
      <c r="DV90" s="56">
        <f ca="1"/>
        <v>2834.496880091308</v>
      </c>
      <c r="DW90" s="56">
        <f ca="1"/>
        <v>2882.1343711369482</v>
      </c>
      <c r="DX90" s="56">
        <f ca="1"/>
        <v>2774.9733323204937</v>
      </c>
      <c r="DY90" s="56">
        <f ca="1"/>
        <v>2854.2493919327621</v>
      </c>
      <c r="DZ90" s="56">
        <f ca="1"/>
        <v>2835.1026065298815</v>
      </c>
      <c r="EA90" s="56">
        <f ca="1"/>
        <v>2874.0278931210037</v>
      </c>
      <c r="EB90" s="56">
        <f ca="1"/>
        <v>2868.9002800432459</v>
      </c>
      <c r="EC90" s="56">
        <f ca="1"/>
        <v>2868.9002800432459</v>
      </c>
    </row>
    <row r="91" spans="1:133" x14ac:dyDescent="0.3">
      <c r="A91" t="s">
        <v>108</v>
      </c>
      <c r="C91" s="55">
        <f t="shared" ref="C91:M91" si="164">LN(C90)-LN(B90)</f>
        <v>0</v>
      </c>
      <c r="D91" s="55">
        <f t="shared" si="164"/>
        <v>0</v>
      </c>
      <c r="E91" s="55">
        <f t="shared" si="164"/>
        <v>0</v>
      </c>
      <c r="F91" s="55">
        <f t="shared" si="164"/>
        <v>0</v>
      </c>
      <c r="G91" s="55">
        <f t="shared" si="164"/>
        <v>0</v>
      </c>
      <c r="H91" s="55">
        <f t="shared" si="164"/>
        <v>0</v>
      </c>
      <c r="I91" s="55">
        <f t="shared" si="164"/>
        <v>0</v>
      </c>
      <c r="J91" s="55">
        <f t="shared" si="164"/>
        <v>0</v>
      </c>
      <c r="K91" s="55">
        <f t="shared" si="164"/>
        <v>0</v>
      </c>
      <c r="L91" s="55">
        <f t="shared" si="164"/>
        <v>0</v>
      </c>
      <c r="M91" s="55">
        <f t="shared" si="164"/>
        <v>0</v>
      </c>
      <c r="N91" s="55">
        <f t="shared" ref="N91:AD91" si="165">LN(N90)-LN(M90)</f>
        <v>0</v>
      </c>
      <c r="O91" s="55">
        <f t="shared" si="165"/>
        <v>2.5431034482759074E-2</v>
      </c>
      <c r="P91" s="55">
        <f t="shared" si="165"/>
        <v>1.330645161290267E-2</v>
      </c>
      <c r="Q91" s="55">
        <f t="shared" si="165"/>
        <v>1.0849056603773555E-2</v>
      </c>
      <c r="R91" s="55">
        <f t="shared" si="165"/>
        <v>9.1346153846156852E-3</v>
      </c>
      <c r="S91" s="55">
        <f t="shared" si="165"/>
        <v>3.9673913043477782E-2</v>
      </c>
      <c r="T91" s="55">
        <f t="shared" si="165"/>
        <v>5.1041666666667318E-2</v>
      </c>
      <c r="U91" s="55">
        <f t="shared" si="165"/>
        <v>6.2499999999996447E-3</v>
      </c>
      <c r="V91" s="55">
        <f t="shared" si="165"/>
        <v>3.6440677966101731E-2</v>
      </c>
      <c r="W91" s="55">
        <f t="shared" si="165"/>
        <v>2.8716216216216672E-2</v>
      </c>
      <c r="X91" s="55">
        <f t="shared" si="165"/>
        <v>2.3706896551723311E-2</v>
      </c>
      <c r="Y91" s="55">
        <f t="shared" si="165"/>
        <v>3.2954545454545681E-2</v>
      </c>
      <c r="Z91" s="55">
        <f t="shared" si="165"/>
        <v>3.289473684210531E-2</v>
      </c>
      <c r="AA91" s="55">
        <f t="shared" si="165"/>
        <v>2.1428571428571352E-2</v>
      </c>
      <c r="AB91" s="55">
        <f t="shared" si="165"/>
        <v>1.6836734693877808E-2</v>
      </c>
      <c r="AC91" s="55">
        <f t="shared" si="165"/>
        <v>8.5714285714288962E-3</v>
      </c>
      <c r="AD91" s="55">
        <f t="shared" si="165"/>
        <v>2.9716981132075659E-2</v>
      </c>
      <c r="AE91" s="55">
        <f>LN(AE90)-LN(AD90)</f>
        <v>5.7692307692303046E-3</v>
      </c>
      <c r="AF91" s="55">
        <f t="shared" ref="AF91:CI91" si="166">LN(AF90)-LN(AE90)</f>
        <v>1.0204081632653406E-2</v>
      </c>
      <c r="AG91" s="55">
        <f t="shared" si="166"/>
        <v>4.9999999999998934E-3</v>
      </c>
      <c r="AH91" s="55">
        <f t="shared" si="166"/>
        <v>1.6666666666666607E-2</v>
      </c>
      <c r="AI91" s="55">
        <f t="shared" si="166"/>
        <v>5.7291666666667851E-3</v>
      </c>
      <c r="AJ91" s="55">
        <f t="shared" si="166"/>
        <v>1.5116279069767202E-2</v>
      </c>
      <c r="AK91" s="55">
        <f t="shared" si="166"/>
        <v>1.9512195121951237E-2</v>
      </c>
      <c r="AL91" s="55">
        <f t="shared" si="166"/>
        <v>7.5581395348836011E-3</v>
      </c>
      <c r="AM91" s="55">
        <f t="shared" si="166"/>
        <v>7.3863636363640239E-3</v>
      </c>
      <c r="AN91" s="55">
        <f t="shared" si="166"/>
        <v>3.6585365853651908E-3</v>
      </c>
      <c r="AO91" s="55">
        <f t="shared" si="166"/>
        <v>4.2857142857144481E-3</v>
      </c>
      <c r="AP91" s="55">
        <f t="shared" si="166"/>
        <v>1.5476190476190865E-2</v>
      </c>
      <c r="AQ91" s="55">
        <f t="shared" si="166"/>
        <v>8.3333333333328596E-3</v>
      </c>
      <c r="AR91" s="55">
        <f t="shared" si="166"/>
        <v>1.0294117647059231E-2</v>
      </c>
      <c r="AS91" s="55">
        <f t="shared" si="166"/>
        <v>1.3815789473683893E-2</v>
      </c>
      <c r="AT91" s="55">
        <f t="shared" si="166"/>
        <v>1.8421052631579116E-2</v>
      </c>
      <c r="AU91" s="55">
        <f t="shared" si="166"/>
        <v>2.5568181818181657E-2</v>
      </c>
      <c r="AV91" s="55">
        <f t="shared" si="166"/>
        <v>1.1842105263157876E-2</v>
      </c>
      <c r="AW91" s="186">
        <f t="shared" si="166"/>
        <v>5.6250000000002132E-3</v>
      </c>
      <c r="AX91" s="186">
        <f t="shared" si="166"/>
        <v>1.7105263157894512E-2</v>
      </c>
      <c r="AY91" s="186">
        <f t="shared" si="166"/>
        <v>1.0975609756098237E-2</v>
      </c>
      <c r="AZ91" s="186">
        <f t="shared" si="166"/>
        <v>1.5243902439023849E-2</v>
      </c>
      <c r="BA91" s="186">
        <f t="shared" si="166"/>
        <v>1.5540540540540881E-2</v>
      </c>
      <c r="BB91" s="186">
        <f t="shared" si="166"/>
        <v>1.5441176470588402E-2</v>
      </c>
      <c r="BC91" s="186">
        <f t="shared" si="166"/>
        <v>2.0833333333332149E-3</v>
      </c>
      <c r="BD91" s="186">
        <f t="shared" si="166"/>
        <v>1.3157894736842479E-2</v>
      </c>
      <c r="BE91" s="186">
        <f t="shared" si="166"/>
        <v>5.5555555555555358E-3</v>
      </c>
      <c r="BF91" s="186">
        <f t="shared" si="166"/>
        <v>9.9999999999997868E-3</v>
      </c>
      <c r="BG91" s="186">
        <f t="shared" si="166"/>
        <v>1.8382352941176627E-2</v>
      </c>
      <c r="BH91" s="186">
        <f t="shared" si="166"/>
        <v>7.8125E-3</v>
      </c>
      <c r="BI91" s="186">
        <f t="shared" si="166"/>
        <v>1.217111998361986E-2</v>
      </c>
      <c r="BJ91" s="186">
        <f t="shared" si="166"/>
        <v>1.7142857142856904E-2</v>
      </c>
      <c r="BK91" s="186">
        <f t="shared" si="166"/>
        <v>1.3709677419354804E-2</v>
      </c>
      <c r="BL91" s="186">
        <f t="shared" si="166"/>
        <v>1.6379310344827758E-2</v>
      </c>
      <c r="BM91" s="186">
        <f t="shared" si="166"/>
        <v>7.7586206896551602E-3</v>
      </c>
      <c r="BN91" s="186">
        <f t="shared" si="166"/>
        <v>1.9696969696969546E-2</v>
      </c>
      <c r="BO91" s="186">
        <f t="shared" si="166"/>
        <v>1.2878787878787712E-2</v>
      </c>
      <c r="BP91" s="186">
        <f t="shared" si="166"/>
        <v>3.5937500000000178E-2</v>
      </c>
      <c r="BQ91" s="186">
        <f t="shared" si="166"/>
        <v>1.7647058823529349E-2</v>
      </c>
      <c r="BR91" s="186">
        <f t="shared" si="166"/>
        <v>-1.6666666666669272E-3</v>
      </c>
      <c r="BS91" s="186">
        <f t="shared" si="166"/>
        <v>-2.4193548387092534E-3</v>
      </c>
      <c r="BT91" s="186">
        <f t="shared" si="166"/>
        <v>8.0645161290338052E-4</v>
      </c>
      <c r="BU91" s="186">
        <f t="shared" si="166"/>
        <v>4.9999999999998934E-3</v>
      </c>
      <c r="BV91" s="186">
        <f t="shared" si="166"/>
        <v>4.8387096774193949E-3</v>
      </c>
      <c r="BW91" s="186">
        <f t="shared" si="166"/>
        <v>4.5967741935483808E-2</v>
      </c>
      <c r="BX91" s="186">
        <f t="shared" si="166"/>
        <v>2.5833333333332931E-2</v>
      </c>
      <c r="BY91" s="186">
        <f t="shared" si="166"/>
        <v>2.0192307692307843E-2</v>
      </c>
      <c r="BZ91" s="186">
        <f t="shared" si="166"/>
        <v>9.5588235294119528E-3</v>
      </c>
      <c r="CA91" s="186">
        <f t="shared" si="166"/>
        <v>-6.9444444444446418E-3</v>
      </c>
      <c r="CB91" s="186">
        <f t="shared" si="166"/>
        <v>-1.7857142857140573E-3</v>
      </c>
      <c r="CC91" s="186">
        <f t="shared" si="166"/>
        <v>7.7586206896551602E-3</v>
      </c>
      <c r="CD91" s="186">
        <f t="shared" si="166"/>
        <v>0</v>
      </c>
      <c r="CE91" s="186">
        <f t="shared" si="166"/>
        <v>-7.1428571428571175E-3</v>
      </c>
      <c r="CF91" s="186">
        <f t="shared" si="166"/>
        <v>3.0000000000001137E-3</v>
      </c>
      <c r="CG91" s="186">
        <f t="shared" si="166"/>
        <v>5.5555555555555358E-3</v>
      </c>
      <c r="CH91" s="186">
        <f t="shared" ca="1" si="166"/>
        <v>-0.34773581847816448</v>
      </c>
      <c r="CI91" s="186">
        <f t="shared" ca="1" si="166"/>
        <v>0.39087845170700497</v>
      </c>
      <c r="CJ91" s="186">
        <f t="shared" ref="CJ91:CX91" si="167">LN(CJ90)-LN(CI90)</f>
        <v>6.2499999999996447E-3</v>
      </c>
      <c r="CK91" s="186">
        <f t="shared" si="167"/>
        <v>4.9999999999998934E-3</v>
      </c>
      <c r="CL91" s="186">
        <f t="shared" si="167"/>
        <v>-4.8076923076925127E-3</v>
      </c>
      <c r="CM91" s="186">
        <f t="shared" si="167"/>
        <v>7.6086956521743687E-3</v>
      </c>
      <c r="CN91" s="186">
        <f t="shared" si="167"/>
        <v>-4.1666666666664298E-3</v>
      </c>
      <c r="CO91" s="186">
        <f t="shared" si="167"/>
        <v>-8.3333333333337478E-3</v>
      </c>
      <c r="CP91" s="186">
        <f t="shared" si="167"/>
        <v>9.782608695652506E-3</v>
      </c>
      <c r="CQ91" s="186">
        <f t="shared" si="167"/>
        <v>-3.0000000000001137E-3</v>
      </c>
      <c r="CR91" s="186">
        <f t="shared" si="167"/>
        <v>1.6666666666666607E-2</v>
      </c>
      <c r="CS91" s="186">
        <f t="shared" si="167"/>
        <v>-3.7889983579638908E-2</v>
      </c>
      <c r="CT91" s="186">
        <f t="shared" si="167"/>
        <v>2.8167761357416055E-2</v>
      </c>
      <c r="CU91" s="186">
        <f t="shared" si="167"/>
        <v>-6.7307692307689848E-3</v>
      </c>
      <c r="CV91" s="186">
        <f t="shared" si="167"/>
        <v>1.3636363636363669E-2</v>
      </c>
      <c r="CW91" s="186">
        <f t="shared" si="167"/>
        <v>-1.7857142857140573E-3</v>
      </c>
      <c r="CX91" s="186">
        <f t="shared" si="167"/>
        <v>0</v>
      </c>
      <c r="DO91" s="89"/>
      <c r="DQ91" s="55">
        <f ca="1"/>
        <v>-4.8076923076925127E-3</v>
      </c>
      <c r="DR91" s="55">
        <f ca="1"/>
        <v>7.6086956521743687E-3</v>
      </c>
      <c r="DS91" s="55">
        <f ca="1"/>
        <v>-4.1666666666664298E-3</v>
      </c>
      <c r="DT91" s="55">
        <f ca="1"/>
        <v>-8.3333333333337478E-3</v>
      </c>
      <c r="DU91" s="55">
        <f ca="1"/>
        <v>9.782608695652506E-3</v>
      </c>
      <c r="DV91" s="55">
        <f ca="1"/>
        <v>-3.0000000000001137E-3</v>
      </c>
      <c r="DW91" s="55">
        <f ca="1"/>
        <v>1.6666666666666607E-2</v>
      </c>
      <c r="DX91" s="55">
        <f ca="1"/>
        <v>-3.7889983579638908E-2</v>
      </c>
      <c r="DY91" s="55">
        <f ca="1"/>
        <v>2.8167761357416055E-2</v>
      </c>
      <c r="DZ91" s="55">
        <f ca="1"/>
        <v>-6.7307692307689848E-3</v>
      </c>
      <c r="EA91" s="55">
        <f ca="1"/>
        <v>1.3636363636363669E-2</v>
      </c>
      <c r="EB91" s="55">
        <f ca="1"/>
        <v>-1.7857142857140573E-3</v>
      </c>
      <c r="EC91" s="186">
        <f ca="1"/>
        <v>0</v>
      </c>
    </row>
    <row r="92" spans="1:133" x14ac:dyDescent="0.3">
      <c r="C92" s="55"/>
      <c r="D92" s="55"/>
      <c r="E92" s="55"/>
      <c r="F92" s="55"/>
      <c r="G92" s="55"/>
      <c r="H92" s="55"/>
      <c r="I92" s="55"/>
      <c r="J92" s="55"/>
      <c r="K92" s="55"/>
      <c r="L92" s="55"/>
      <c r="M92" s="55"/>
      <c r="N92" s="55"/>
      <c r="O92" s="55"/>
      <c r="P92" s="55"/>
      <c r="Q92" s="55"/>
      <c r="R92" s="55"/>
      <c r="S92" s="55"/>
      <c r="T92" s="55"/>
      <c r="U92" s="55"/>
      <c r="V92" s="55"/>
      <c r="W92" s="55"/>
      <c r="X92" s="55"/>
      <c r="Y92" s="55"/>
      <c r="Z92" s="55"/>
      <c r="AA92" s="55"/>
      <c r="AB92" s="55"/>
      <c r="AC92" s="55"/>
      <c r="AD92" s="55"/>
      <c r="AE92" s="55"/>
      <c r="AF92" s="55"/>
      <c r="AG92" s="55"/>
      <c r="AH92" s="55"/>
      <c r="AI92" s="55"/>
      <c r="AJ92" s="55"/>
      <c r="AK92" s="55"/>
      <c r="AL92" s="55"/>
      <c r="AM92" s="55"/>
      <c r="AN92" s="55"/>
      <c r="AO92" s="55"/>
      <c r="AP92" s="55"/>
      <c r="AQ92" s="55"/>
      <c r="AR92" s="55"/>
      <c r="AS92" s="55"/>
      <c r="AT92" s="55"/>
      <c r="AU92" s="55"/>
      <c r="AV92" s="55"/>
      <c r="AW92" s="186"/>
      <c r="AX92" s="186"/>
      <c r="AY92" s="186"/>
      <c r="AZ92" s="186"/>
      <c r="BA92" s="186"/>
      <c r="BB92" s="186"/>
      <c r="BC92" s="186"/>
      <c r="BD92" s="186"/>
      <c r="BE92" s="186"/>
      <c r="BF92" s="186"/>
      <c r="BG92" s="186"/>
      <c r="BH92" s="186"/>
      <c r="BI92" s="186"/>
      <c r="BJ92" s="186"/>
      <c r="BK92" s="186"/>
      <c r="BL92" s="186"/>
      <c r="BM92" s="186"/>
      <c r="BN92" s="186"/>
      <c r="BO92" s="186"/>
      <c r="BP92" s="186"/>
      <c r="BQ92" s="186"/>
      <c r="BR92" s="186"/>
      <c r="BS92" s="186"/>
      <c r="BT92" s="186"/>
      <c r="BU92" s="186"/>
      <c r="BV92" s="186"/>
      <c r="BW92" s="186"/>
      <c r="BX92" s="186"/>
      <c r="BY92" s="186"/>
      <c r="BZ92" s="186"/>
      <c r="CA92" s="186"/>
      <c r="CB92" s="186"/>
      <c r="CC92" s="186"/>
      <c r="CD92" s="186"/>
      <c r="CE92" s="186"/>
      <c r="CF92" s="186"/>
      <c r="CG92" s="186"/>
      <c r="CH92" s="186"/>
      <c r="CI92" s="186"/>
      <c r="CJ92" s="186"/>
      <c r="CK92" s="186"/>
      <c r="CL92" s="186"/>
      <c r="CM92" s="186"/>
      <c r="CN92" s="186"/>
      <c r="CO92" s="186"/>
      <c r="CP92" s="186"/>
      <c r="CQ92" s="186"/>
      <c r="CR92" s="186"/>
      <c r="CS92" s="186"/>
      <c r="CT92" s="186"/>
      <c r="CU92" s="186"/>
      <c r="CV92" s="186"/>
      <c r="CW92" s="186"/>
      <c r="CX92" s="186"/>
      <c r="DO92" s="89"/>
      <c r="DQ92" s="55">
        <f ca="1"/>
        <v>0</v>
      </c>
      <c r="DR92" s="55">
        <f ca="1"/>
        <v>0</v>
      </c>
      <c r="DS92" s="55">
        <f ca="1"/>
        <v>0</v>
      </c>
      <c r="DT92" s="55">
        <f ca="1"/>
        <v>0</v>
      </c>
      <c r="DU92" s="55">
        <f ca="1"/>
        <v>0</v>
      </c>
      <c r="DV92" s="55">
        <f ca="1"/>
        <v>0</v>
      </c>
      <c r="DW92" s="55">
        <f ca="1"/>
        <v>0</v>
      </c>
      <c r="DX92" s="55">
        <f ca="1"/>
        <v>0</v>
      </c>
      <c r="DY92" s="55">
        <f ca="1"/>
        <v>0</v>
      </c>
      <c r="DZ92" s="55">
        <f ca="1"/>
        <v>0</v>
      </c>
      <c r="EA92" s="55">
        <f ca="1"/>
        <v>0</v>
      </c>
      <c r="EB92" s="55">
        <f ca="1"/>
        <v>0</v>
      </c>
      <c r="EC92" s="186">
        <f ca="1"/>
        <v>0</v>
      </c>
    </row>
    <row r="93" spans="1:133" x14ac:dyDescent="0.3">
      <c r="A93" t="str">
        <f>A94</f>
        <v>Target: Web facing applications</v>
      </c>
      <c r="C93" s="55"/>
      <c r="D93" s="55"/>
      <c r="E93" s="55"/>
      <c r="F93" s="55"/>
      <c r="G93" s="55"/>
      <c r="H93" s="55"/>
      <c r="I93" s="55"/>
      <c r="J93" s="55"/>
      <c r="K93" s="55"/>
      <c r="L93" s="55"/>
      <c r="M93" s="55"/>
      <c r="N93" s="55"/>
      <c r="O93" s="55"/>
      <c r="P93" s="55"/>
      <c r="Q93" s="55"/>
      <c r="R93" s="55"/>
      <c r="S93" s="55"/>
      <c r="T93" s="55"/>
      <c r="U93" s="55"/>
      <c r="V93" s="55"/>
      <c r="W93" s="55"/>
      <c r="X93" s="55"/>
      <c r="Y93" s="55"/>
      <c r="Z93" s="55"/>
      <c r="AA93" s="55"/>
      <c r="AB93" s="55"/>
      <c r="AC93" s="55"/>
      <c r="AD93" s="55"/>
      <c r="AE93" s="55"/>
      <c r="AF93" s="55"/>
      <c r="AG93" s="55"/>
      <c r="AH93" s="55"/>
      <c r="AI93" s="55"/>
      <c r="AJ93" s="55"/>
      <c r="AK93" s="55"/>
      <c r="AL93" s="55"/>
      <c r="AM93" s="55"/>
      <c r="AN93" s="55"/>
      <c r="AO93" s="55"/>
      <c r="AP93" s="55"/>
      <c r="AQ93" s="55"/>
      <c r="AR93" s="55"/>
      <c r="AS93" s="55"/>
      <c r="AT93" s="55"/>
      <c r="AU93" s="55"/>
      <c r="AV93" s="55"/>
      <c r="AW93" s="186"/>
      <c r="AX93" s="186"/>
      <c r="AY93" s="186"/>
      <c r="AZ93" s="186"/>
      <c r="BA93" s="186"/>
      <c r="BB93" s="186"/>
      <c r="BC93" s="186"/>
      <c r="BD93" s="186"/>
      <c r="BE93" s="186"/>
      <c r="BF93" s="186"/>
      <c r="BG93" s="186"/>
      <c r="BH93" s="186"/>
      <c r="BI93" s="186"/>
      <c r="BJ93" s="186"/>
      <c r="BK93" s="186"/>
      <c r="BL93" s="186"/>
      <c r="BM93" s="186"/>
      <c r="BN93" s="186"/>
      <c r="BO93" s="186"/>
      <c r="BP93" s="186"/>
      <c r="BQ93" s="186"/>
      <c r="BR93" s="186"/>
      <c r="BS93" s="186"/>
      <c r="BT93" s="186"/>
      <c r="BU93" s="186"/>
      <c r="BV93" s="186"/>
      <c r="BW93" s="186"/>
      <c r="BX93" s="186"/>
      <c r="BY93" s="186"/>
      <c r="BZ93" s="186"/>
      <c r="CA93" s="186"/>
      <c r="CB93" s="186"/>
      <c r="CC93" s="186"/>
      <c r="CD93" s="186"/>
      <c r="CE93" s="186"/>
      <c r="CF93" s="186"/>
      <c r="CG93" s="186"/>
      <c r="CH93" s="186"/>
      <c r="CI93" s="186"/>
      <c r="CJ93" s="186"/>
      <c r="CK93" s="186"/>
      <c r="CL93" s="186"/>
      <c r="CM93" s="186"/>
      <c r="CN93" s="186"/>
      <c r="CO93" s="186"/>
      <c r="CP93" s="186"/>
      <c r="CQ93" s="186"/>
      <c r="CR93" s="186"/>
      <c r="CS93" s="186"/>
      <c r="CT93" s="186"/>
      <c r="CU93" s="186"/>
      <c r="CV93" s="186"/>
      <c r="CW93" s="186"/>
      <c r="CX93" s="186"/>
      <c r="DO93" s="89"/>
      <c r="DQ93" s="55">
        <f ca="1"/>
        <v>0</v>
      </c>
      <c r="DR93" s="55">
        <f ca="1"/>
        <v>0</v>
      </c>
      <c r="DS93" s="55">
        <f ca="1"/>
        <v>0</v>
      </c>
      <c r="DT93" s="55">
        <f ca="1"/>
        <v>0</v>
      </c>
      <c r="DU93" s="55">
        <f ca="1"/>
        <v>0</v>
      </c>
      <c r="DV93" s="55">
        <f ca="1"/>
        <v>0</v>
      </c>
      <c r="DW93" s="55">
        <f ca="1"/>
        <v>0</v>
      </c>
      <c r="DX93" s="55">
        <f ca="1"/>
        <v>0</v>
      </c>
      <c r="DY93" s="55">
        <f ca="1"/>
        <v>0</v>
      </c>
      <c r="DZ93" s="55">
        <f ca="1"/>
        <v>0</v>
      </c>
      <c r="EA93" s="55">
        <f ca="1"/>
        <v>0</v>
      </c>
      <c r="EB93" s="55">
        <f ca="1"/>
        <v>0</v>
      </c>
      <c r="EC93" s="186">
        <f ca="1"/>
        <v>0</v>
      </c>
    </row>
    <row r="94" spans="1:133" x14ac:dyDescent="0.3">
      <c r="A94" t="str">
        <f>A95</f>
        <v>Target: Web facing applications</v>
      </c>
      <c r="B94" s="57" t="str">
        <f>C$1</f>
        <v>Apr</v>
      </c>
      <c r="C94" s="57" t="str">
        <f t="shared" ref="C94:N94" si="168">D$1</f>
        <v>May</v>
      </c>
      <c r="D94" s="57" t="str">
        <f t="shared" si="168"/>
        <v>Jun</v>
      </c>
      <c r="E94" s="57" t="str">
        <f t="shared" si="168"/>
        <v>Jul</v>
      </c>
      <c r="F94" s="57" t="str">
        <f t="shared" si="168"/>
        <v>Aug</v>
      </c>
      <c r="G94" s="57" t="str">
        <f t="shared" si="168"/>
        <v>Sep</v>
      </c>
      <c r="H94" s="57" t="str">
        <f t="shared" si="168"/>
        <v>Oct</v>
      </c>
      <c r="I94" s="57" t="str">
        <f t="shared" si="168"/>
        <v>Nov</v>
      </c>
      <c r="J94" s="57" t="str">
        <f t="shared" si="168"/>
        <v>Dec 2011</v>
      </c>
      <c r="K94" s="57" t="str">
        <f t="shared" si="168"/>
        <v>Jan 2012</v>
      </c>
      <c r="L94" s="57" t="str">
        <f t="shared" si="168"/>
        <v>Feb</v>
      </c>
      <c r="M94" s="57" t="str">
        <f t="shared" si="168"/>
        <v>Mar</v>
      </c>
      <c r="N94" s="57" t="str">
        <f t="shared" si="168"/>
        <v>Apr</v>
      </c>
      <c r="O94" s="57" t="str">
        <f t="shared" ref="O94:AD94" si="169">P$1</f>
        <v>May</v>
      </c>
      <c r="P94" s="57" t="str">
        <f t="shared" si="169"/>
        <v>Jun</v>
      </c>
      <c r="Q94" s="57" t="str">
        <f t="shared" si="169"/>
        <v>Jul</v>
      </c>
      <c r="R94" s="57" t="str">
        <f t="shared" si="169"/>
        <v>Aug</v>
      </c>
      <c r="S94" s="57" t="str">
        <f t="shared" si="169"/>
        <v>Sep</v>
      </c>
      <c r="T94" s="57" t="str">
        <f t="shared" si="169"/>
        <v>Oct</v>
      </c>
      <c r="U94" s="57" t="str">
        <f t="shared" si="169"/>
        <v>Nov</v>
      </c>
      <c r="V94" s="57" t="str">
        <f t="shared" si="169"/>
        <v>Dec 2012</v>
      </c>
      <c r="W94" s="57" t="str">
        <f t="shared" si="169"/>
        <v>Jan 2013</v>
      </c>
      <c r="X94" s="57" t="str">
        <f t="shared" si="169"/>
        <v>Feb</v>
      </c>
      <c r="Y94" s="57" t="str">
        <f t="shared" si="169"/>
        <v>Mar</v>
      </c>
      <c r="Z94" s="57" t="str">
        <f t="shared" si="169"/>
        <v>Apr</v>
      </c>
      <c r="AA94" s="57" t="str">
        <f t="shared" si="169"/>
        <v>May</v>
      </c>
      <c r="AB94" s="57" t="str">
        <f t="shared" si="169"/>
        <v>Jun</v>
      </c>
      <c r="AC94" s="57" t="str">
        <f t="shared" si="169"/>
        <v>Jul</v>
      </c>
      <c r="AD94" s="57" t="str">
        <f t="shared" si="169"/>
        <v>Aug</v>
      </c>
      <c r="AE94" s="57" t="str">
        <f>AF$1</f>
        <v>Sep</v>
      </c>
      <c r="AF94" s="57" t="str">
        <f t="shared" ref="AF94:AK94" si="170">AG$1</f>
        <v>Oct</v>
      </c>
      <c r="AG94" s="57" t="str">
        <f t="shared" si="170"/>
        <v>Nov</v>
      </c>
      <c r="AH94" s="57" t="str">
        <f t="shared" si="170"/>
        <v>Dec 2013</v>
      </c>
      <c r="AI94" s="57" t="str">
        <f t="shared" si="170"/>
        <v>Jan 2014</v>
      </c>
      <c r="AJ94" s="57" t="str">
        <f t="shared" si="170"/>
        <v>Feb</v>
      </c>
      <c r="AK94" s="57" t="str">
        <f t="shared" si="170"/>
        <v>Mar</v>
      </c>
      <c r="AL94" s="57" t="str">
        <f t="shared" ref="AL94:CI94" si="171">AM$1</f>
        <v>Apr</v>
      </c>
      <c r="AM94" s="57" t="str">
        <f t="shared" si="171"/>
        <v>May</v>
      </c>
      <c r="AN94" s="57" t="str">
        <f t="shared" si="171"/>
        <v>Jun</v>
      </c>
      <c r="AO94" s="57" t="str">
        <f t="shared" si="171"/>
        <v>Jul</v>
      </c>
      <c r="AP94" s="57" t="str">
        <f t="shared" si="171"/>
        <v>Aug</v>
      </c>
      <c r="AQ94" s="57" t="str">
        <f t="shared" si="171"/>
        <v>Sep</v>
      </c>
      <c r="AR94" s="57" t="str">
        <f t="shared" si="171"/>
        <v>Oct</v>
      </c>
      <c r="AS94" s="57" t="str">
        <f t="shared" si="171"/>
        <v>Nov</v>
      </c>
      <c r="AT94" s="57" t="str">
        <f t="shared" si="171"/>
        <v>Dec '14</v>
      </c>
      <c r="AU94" s="57" t="str">
        <f t="shared" si="171"/>
        <v>Jan '15</v>
      </c>
      <c r="AV94" s="57" t="str">
        <f t="shared" si="171"/>
        <v>Feb</v>
      </c>
      <c r="AW94" s="57" t="str">
        <f t="shared" si="171"/>
        <v>Mar</v>
      </c>
      <c r="AX94" s="57" t="str">
        <f t="shared" si="171"/>
        <v>Apr</v>
      </c>
      <c r="AY94" s="57" t="str">
        <f t="shared" si="171"/>
        <v>May</v>
      </c>
      <c r="AZ94" s="57" t="str">
        <f t="shared" si="171"/>
        <v>Jun</v>
      </c>
      <c r="BA94" s="57" t="str">
        <f t="shared" si="171"/>
        <v>Jul</v>
      </c>
      <c r="BB94" s="57" t="str">
        <f t="shared" si="171"/>
        <v>Aug</v>
      </c>
      <c r="BC94" s="57" t="str">
        <f t="shared" si="171"/>
        <v>Sep</v>
      </c>
      <c r="BD94" s="57" t="str">
        <f t="shared" si="171"/>
        <v>Oct</v>
      </c>
      <c r="BE94" s="57" t="str">
        <f t="shared" si="171"/>
        <v>Nov</v>
      </c>
      <c r="BF94" s="57" t="str">
        <f t="shared" si="171"/>
        <v>Dec '15</v>
      </c>
      <c r="BG94" s="57" t="str">
        <f t="shared" si="171"/>
        <v>Jan '16</v>
      </c>
      <c r="BH94" s="57" t="str">
        <f t="shared" si="171"/>
        <v>Feb</v>
      </c>
      <c r="BI94" s="57" t="str">
        <f t="shared" si="171"/>
        <v>Mar</v>
      </c>
      <c r="BJ94" s="57" t="str">
        <f t="shared" si="171"/>
        <v>Apr</v>
      </c>
      <c r="BK94" s="57" t="str">
        <f t="shared" si="171"/>
        <v>May</v>
      </c>
      <c r="BL94" s="57" t="str">
        <f t="shared" si="171"/>
        <v>Jun</v>
      </c>
      <c r="BM94" s="57" t="str">
        <f t="shared" si="171"/>
        <v>Jul</v>
      </c>
      <c r="BN94" s="57" t="str">
        <f t="shared" si="171"/>
        <v>Aug</v>
      </c>
      <c r="BO94" s="57" t="str">
        <f t="shared" si="171"/>
        <v>Sep</v>
      </c>
      <c r="BP94" s="57" t="str">
        <f t="shared" si="171"/>
        <v>Oct</v>
      </c>
      <c r="BQ94" s="57" t="str">
        <f t="shared" si="171"/>
        <v>Nov</v>
      </c>
      <c r="BR94" s="57" t="str">
        <f t="shared" si="171"/>
        <v>Dec-16</v>
      </c>
      <c r="BS94" s="57" t="str">
        <f t="shared" si="171"/>
        <v>Jan-17</v>
      </c>
      <c r="BT94" s="57" t="str">
        <f t="shared" si="171"/>
        <v>Feb</v>
      </c>
      <c r="BU94" s="57" t="str">
        <f t="shared" si="171"/>
        <v>Mar</v>
      </c>
      <c r="BV94" s="57" t="str">
        <f t="shared" si="171"/>
        <v>Apr</v>
      </c>
      <c r="BW94" s="57" t="str">
        <f t="shared" si="171"/>
        <v>May</v>
      </c>
      <c r="BX94" s="57" t="str">
        <f t="shared" si="171"/>
        <v>Jun</v>
      </c>
      <c r="BY94" s="57" t="str">
        <f t="shared" si="171"/>
        <v>Jul</v>
      </c>
      <c r="BZ94" s="57" t="str">
        <f t="shared" si="171"/>
        <v>Aug</v>
      </c>
      <c r="CA94" s="57" t="str">
        <f t="shared" si="171"/>
        <v>Sep</v>
      </c>
      <c r="CB94" s="57" t="str">
        <f t="shared" si="171"/>
        <v>Oct</v>
      </c>
      <c r="CC94" s="57" t="str">
        <f t="shared" si="171"/>
        <v>Nov</v>
      </c>
      <c r="CD94" s="57" t="str">
        <f t="shared" si="171"/>
        <v>Dec</v>
      </c>
      <c r="CE94" s="57" t="str">
        <f t="shared" si="171"/>
        <v>Jan '18</v>
      </c>
      <c r="CF94" s="57" t="str">
        <f t="shared" si="171"/>
        <v>Feb</v>
      </c>
      <c r="CG94" s="57" t="str">
        <f t="shared" si="171"/>
        <v>Mar</v>
      </c>
      <c r="CH94" s="57" t="str">
        <f t="shared" si="171"/>
        <v>Apr</v>
      </c>
      <c r="CI94" s="57" t="str">
        <f t="shared" si="171"/>
        <v>May</v>
      </c>
      <c r="CJ94" s="57" t="str">
        <f t="shared" ref="CJ94:CO94" si="172">CK$1</f>
        <v>Jun</v>
      </c>
      <c r="CK94" s="57" t="str">
        <f t="shared" si="172"/>
        <v>Jul</v>
      </c>
      <c r="CL94" s="57" t="str">
        <f t="shared" si="172"/>
        <v>Aug</v>
      </c>
      <c r="CM94" s="57" t="str">
        <f t="shared" si="172"/>
        <v>Sep</v>
      </c>
      <c r="CN94" s="57" t="str">
        <f t="shared" si="172"/>
        <v>Oct</v>
      </c>
      <c r="CO94" s="57" t="str">
        <f t="shared" si="172"/>
        <v>Nov</v>
      </c>
      <c r="CP94" s="57" t="str">
        <f t="shared" ref="CP94:CX94" si="173">CQ$1</f>
        <v>Dec-18</v>
      </c>
      <c r="CQ94" s="57" t="str">
        <f t="shared" si="173"/>
        <v>Jan-19</v>
      </c>
      <c r="CR94" s="57" t="str">
        <f t="shared" si="173"/>
        <v>Feb-19</v>
      </c>
      <c r="CS94" s="57" t="str">
        <f t="shared" si="173"/>
        <v>Mar-19</v>
      </c>
      <c r="CT94" s="57" t="str">
        <f t="shared" si="173"/>
        <v>Apr-19</v>
      </c>
      <c r="CU94" s="57" t="str">
        <f t="shared" si="173"/>
        <v>May-19</v>
      </c>
      <c r="CV94" s="57" t="str">
        <f t="shared" si="173"/>
        <v>June-19</v>
      </c>
      <c r="CW94" s="57" t="str">
        <f t="shared" si="173"/>
        <v>July-19</v>
      </c>
      <c r="CX94" s="57" t="str">
        <f t="shared" si="173"/>
        <v>Aug-19</v>
      </c>
      <c r="DO94" s="89"/>
      <c r="DQ94" s="57" t="str">
        <f ca="1"/>
        <v>Aug</v>
      </c>
      <c r="DR94" s="57" t="str">
        <f ca="1"/>
        <v>Sep</v>
      </c>
      <c r="DS94" s="57" t="str">
        <f ca="1"/>
        <v>Oct</v>
      </c>
      <c r="DT94" s="57" t="str">
        <f ca="1"/>
        <v>Nov</v>
      </c>
      <c r="DU94" s="57" t="str">
        <f ca="1"/>
        <v>Dec-18</v>
      </c>
      <c r="DV94" s="57" t="str">
        <f ca="1"/>
        <v>Jan-19</v>
      </c>
      <c r="DW94" s="57" t="str">
        <f ca="1"/>
        <v>Feb-19</v>
      </c>
      <c r="DX94" s="57" t="str">
        <f ca="1"/>
        <v>Mar-19</v>
      </c>
      <c r="DY94" s="57" t="str">
        <f ca="1"/>
        <v>Apr-19</v>
      </c>
      <c r="DZ94" s="57" t="str">
        <f ca="1"/>
        <v>May-19</v>
      </c>
      <c r="EA94" s="57" t="str">
        <f ca="1"/>
        <v>June-19</v>
      </c>
      <c r="EB94" s="57" t="str">
        <f ca="1"/>
        <v>July-19</v>
      </c>
      <c r="EC94" s="57" t="str">
        <f ca="1"/>
        <v>Aug-19</v>
      </c>
    </row>
    <row r="95" spans="1:133" x14ac:dyDescent="0.3">
      <c r="A95" t="str">
        <f>A15</f>
        <v>Target: Web facing applications</v>
      </c>
      <c r="B95">
        <f t="shared" ref="B95:CI95" si="174">C15</f>
        <v>1026.3987721275282</v>
      </c>
      <c r="C95" s="56">
        <f t="shared" si="174"/>
        <v>1049.7545112536357</v>
      </c>
      <c r="D95" s="56">
        <f t="shared" si="174"/>
        <v>1082.872187626333</v>
      </c>
      <c r="E95" s="56">
        <f t="shared" si="174"/>
        <v>1114.5274499904863</v>
      </c>
      <c r="F95" s="56">
        <f t="shared" si="174"/>
        <v>1137.601736687262</v>
      </c>
      <c r="G95" s="56">
        <f t="shared" si="174"/>
        <v>1156.3701790176733</v>
      </c>
      <c r="H95" s="56">
        <f t="shared" si="174"/>
        <v>1187.4147683937433</v>
      </c>
      <c r="I95" s="56">
        <f t="shared" si="174"/>
        <v>1211.5103036167807</v>
      </c>
      <c r="J95" s="56">
        <f t="shared" si="174"/>
        <v>1240.9860033324157</v>
      </c>
      <c r="K95" s="56">
        <f t="shared" si="174"/>
        <v>1271.3591886743361</v>
      </c>
      <c r="L95" s="56">
        <f t="shared" si="174"/>
        <v>1308.6104719557054</v>
      </c>
      <c r="M95" s="56">
        <f t="shared" si="174"/>
        <v>1340.518896129533</v>
      </c>
      <c r="N95" s="56">
        <f t="shared" si="174"/>
        <v>1385.4310523878414</v>
      </c>
      <c r="O95" s="56">
        <f t="shared" si="174"/>
        <v>1424.1818767560319</v>
      </c>
      <c r="P95" s="56">
        <f t="shared" si="174"/>
        <v>1463.7723167718364</v>
      </c>
      <c r="Q95" s="56">
        <f t="shared" si="174"/>
        <v>1510.059354371956</v>
      </c>
      <c r="R95" s="56">
        <f t="shared" si="174"/>
        <v>1527.5840255955222</v>
      </c>
      <c r="S95" s="56">
        <f t="shared" si="174"/>
        <v>1567.9583759813572</v>
      </c>
      <c r="T95" s="56">
        <f t="shared" si="174"/>
        <v>1640.6407645915931</v>
      </c>
      <c r="U95" s="56">
        <f t="shared" si="174"/>
        <v>1686.5601531186312</v>
      </c>
      <c r="V95" s="56">
        <f t="shared" si="174"/>
        <v>1743.2337924715609</v>
      </c>
      <c r="W95" s="56">
        <f t="shared" si="174"/>
        <v>1805.5712521587359</v>
      </c>
      <c r="X95" s="56">
        <f t="shared" si="174"/>
        <v>1866.503099708365</v>
      </c>
      <c r="Y95" s="56">
        <f t="shared" si="174"/>
        <v>1925.387576928623</v>
      </c>
      <c r="Z95" s="56">
        <f t="shared" si="174"/>
        <v>1970.6686475726426</v>
      </c>
      <c r="AA95" s="56">
        <f t="shared" si="174"/>
        <v>2014.380443041551</v>
      </c>
      <c r="AB95" s="56">
        <f t="shared" si="174"/>
        <v>2063.2682764101646</v>
      </c>
      <c r="AC95" s="56">
        <f t="shared" si="174"/>
        <v>2133.7109547913151</v>
      </c>
      <c r="AD95" s="56">
        <f t="shared" si="174"/>
        <v>2192.8919255305345</v>
      </c>
      <c r="AE95" s="56">
        <f t="shared" si="174"/>
        <v>2234.0384912586323</v>
      </c>
      <c r="AF95" s="56">
        <f t="shared" si="174"/>
        <v>2289.425072875536</v>
      </c>
      <c r="AG95" s="56">
        <f t="shared" si="174"/>
        <v>2335.6745272384746</v>
      </c>
      <c r="AH95" s="56">
        <f t="shared" si="174"/>
        <v>2422.5947771309116</v>
      </c>
      <c r="AI95" s="56">
        <f t="shared" si="174"/>
        <v>2474.8835746550299</v>
      </c>
      <c r="AJ95" s="56">
        <f t="shared" si="174"/>
        <v>2539.011290950707</v>
      </c>
      <c r="AK95" s="56">
        <f t="shared" si="174"/>
        <v>2620.8064265139769</v>
      </c>
      <c r="AL95" s="56">
        <f t="shared" si="174"/>
        <v>2793.8918584512176</v>
      </c>
      <c r="AM95" s="56">
        <f t="shared" si="174"/>
        <v>2864.6195675801305</v>
      </c>
      <c r="AN95" s="56">
        <f t="shared" si="174"/>
        <v>2910.3961725929739</v>
      </c>
      <c r="AO95" s="56">
        <f t="shared" si="174"/>
        <v>2977.6856061966564</v>
      </c>
      <c r="AP95" s="56">
        <f t="shared" si="174"/>
        <v>3074.9517611405863</v>
      </c>
      <c r="AQ95" s="56">
        <f t="shared" si="174"/>
        <v>3242.2430970753799</v>
      </c>
      <c r="AR95" s="56">
        <f t="shared" si="174"/>
        <v>3403.4676738347562</v>
      </c>
      <c r="AS95" s="56">
        <f t="shared" si="174"/>
        <v>3457.6331338420046</v>
      </c>
      <c r="AT95" s="56">
        <f t="shared" si="174"/>
        <v>3545.1635333544737</v>
      </c>
      <c r="AU95" s="56">
        <f t="shared" si="174"/>
        <v>3606.1104152140438</v>
      </c>
      <c r="AV95" s="56">
        <f t="shared" si="174"/>
        <v>3699.832835033541</v>
      </c>
      <c r="AW95" s="56">
        <f t="shared" si="174"/>
        <v>3774.5744161762095</v>
      </c>
      <c r="AX95" s="56">
        <f t="shared" si="174"/>
        <v>3859.9570634700226</v>
      </c>
      <c r="AY95" s="56">
        <f t="shared" si="174"/>
        <v>3952.8488538148003</v>
      </c>
      <c r="AZ95" s="56">
        <f t="shared" si="174"/>
        <v>4028.2779896642123</v>
      </c>
      <c r="BA95" s="56">
        <f t="shared" si="174"/>
        <v>4083.0836532256062</v>
      </c>
      <c r="BB95" s="56">
        <f t="shared" si="174"/>
        <v>4161.8935348698751</v>
      </c>
      <c r="BC95" s="56">
        <f t="shared" si="174"/>
        <v>4170.5731845632772</v>
      </c>
      <c r="BD95" s="56">
        <f t="shared" si="174"/>
        <v>4267.720297447634</v>
      </c>
      <c r="BE95" s="56">
        <f t="shared" si="174"/>
        <v>4339.4450147626903</v>
      </c>
      <c r="BF95" s="56">
        <f t="shared" si="174"/>
        <v>4467.8760085202439</v>
      </c>
      <c r="BG95" s="56">
        <f t="shared" si="174"/>
        <v>4544.0782170281545</v>
      </c>
      <c r="BH95" s="56">
        <f t="shared" si="174"/>
        <v>4648.2050974111853</v>
      </c>
      <c r="BI95" s="56">
        <f t="shared" si="174"/>
        <v>4701.6607793853354</v>
      </c>
      <c r="BJ95" s="56">
        <f t="shared" si="174"/>
        <v>4813.8021141345289</v>
      </c>
      <c r="BK95" s="56">
        <f t="shared" si="174"/>
        <v>4860.6134369526162</v>
      </c>
      <c r="BL95" s="56">
        <f t="shared" si="174"/>
        <v>4983.6604519317298</v>
      </c>
      <c r="BM95" s="56">
        <f t="shared" si="174"/>
        <v>5109.8224169252107</v>
      </c>
      <c r="BN95" s="56">
        <f t="shared" si="174"/>
        <v>5191.7651350659407</v>
      </c>
      <c r="BO95" s="56">
        <f t="shared" si="174"/>
        <v>5243.1487654693892</v>
      </c>
      <c r="BP95" s="56">
        <f t="shared" si="174"/>
        <v>5304.9533439712422</v>
      </c>
      <c r="BQ95" s="56">
        <f t="shared" si="174"/>
        <v>5431.2558605013173</v>
      </c>
      <c r="BR95" s="56">
        <f t="shared" si="174"/>
        <v>5463.0307730801751</v>
      </c>
      <c r="BS95" s="56">
        <f t="shared" si="174"/>
        <v>5538.4429196404653</v>
      </c>
      <c r="BT95" s="56">
        <f t="shared" si="174"/>
        <v>5592.3009373308032</v>
      </c>
      <c r="BU95" s="56">
        <f t="shared" si="174"/>
        <v>5662.6434236716632</v>
      </c>
      <c r="BV95" s="56">
        <f t="shared" si="174"/>
        <v>5768.6564720137048</v>
      </c>
      <c r="BW95" s="56">
        <f t="shared" si="174"/>
        <v>5876.654241196863</v>
      </c>
      <c r="BX95" s="56">
        <f t="shared" si="174"/>
        <v>5876.654241196863</v>
      </c>
      <c r="BY95" s="56">
        <f t="shared" si="174"/>
        <v>6054.4605760159711</v>
      </c>
      <c r="BZ95" s="56">
        <f t="shared" si="174"/>
        <v>6144.1546598262203</v>
      </c>
      <c r="CA95" s="56">
        <f t="shared" si="174"/>
        <v>6204.1808178069496</v>
      </c>
      <c r="CB95" s="56">
        <f t="shared" si="174"/>
        <v>6401.1226577047119</v>
      </c>
      <c r="CC95" s="56">
        <f t="shared" si="174"/>
        <v>6523.6817848588562</v>
      </c>
      <c r="CD95" s="56">
        <f t="shared" si="174"/>
        <v>6682.4010997147052</v>
      </c>
      <c r="CE95" s="56">
        <f t="shared" si="174"/>
        <v>6754.3831840606954</v>
      </c>
      <c r="CF95" s="56">
        <f t="shared" si="174"/>
        <v>6774.6767587547401</v>
      </c>
      <c r="CG95" s="56">
        <f t="shared" si="174"/>
        <v>6959.0537287799652</v>
      </c>
      <c r="CH95" s="56">
        <f t="shared" ca="1" si="174"/>
        <v>4130.9202285144638</v>
      </c>
      <c r="CI95" s="56">
        <f t="shared" si="174"/>
        <v>7274.4025677408799</v>
      </c>
      <c r="CJ95" s="56">
        <f t="shared" ref="CJ95:CO95" si="175">CK15</f>
        <v>7388.9577395199021</v>
      </c>
      <c r="CK95" s="56">
        <f t="shared" si="175"/>
        <v>7500.6275352800831</v>
      </c>
      <c r="CL95" s="56">
        <f t="shared" si="175"/>
        <v>7675.7316006423007</v>
      </c>
      <c r="CM95" s="56">
        <f t="shared" si="175"/>
        <v>7751.1887615169644</v>
      </c>
      <c r="CN95" s="56">
        <f t="shared" si="175"/>
        <v>7837.7933265702586</v>
      </c>
      <c r="CO95" s="56">
        <f t="shared" si="175"/>
        <v>8011.1340577035216</v>
      </c>
      <c r="CP95" s="56">
        <f t="shared" ref="CP95:CX95" si="176">CQ15</f>
        <v>8240.7651767127827</v>
      </c>
      <c r="CQ95" s="56">
        <f t="shared" si="176"/>
        <v>8315.2668178027052</v>
      </c>
      <c r="CR95" s="56">
        <f t="shared" si="176"/>
        <v>8513.9356732842589</v>
      </c>
      <c r="CS95" s="56">
        <f t="shared" si="176"/>
        <v>8728.6905850950589</v>
      </c>
      <c r="CT95" s="56">
        <f t="shared" si="176"/>
        <v>8494.5311808279384</v>
      </c>
      <c r="CU95" s="56">
        <f t="shared" si="176"/>
        <v>8568.3605400236047</v>
      </c>
      <c r="CV95" s="56">
        <f t="shared" si="176"/>
        <v>8725.5737939582123</v>
      </c>
      <c r="CW95" s="56">
        <f t="shared" si="176"/>
        <v>8780.279407133572</v>
      </c>
      <c r="CX95" s="56">
        <f t="shared" si="176"/>
        <v>8780.279407133572</v>
      </c>
      <c r="DO95" s="89"/>
      <c r="DQ95" s="56">
        <f ca="1"/>
        <v>7675.7316006423007</v>
      </c>
      <c r="DR95" s="56">
        <f ca="1"/>
        <v>7751.1887615169644</v>
      </c>
      <c r="DS95" s="56">
        <f ca="1"/>
        <v>7837.7933265702586</v>
      </c>
      <c r="DT95" s="56">
        <f ca="1"/>
        <v>8011.1340577035216</v>
      </c>
      <c r="DU95" s="56">
        <f ca="1"/>
        <v>8240.7651767127827</v>
      </c>
      <c r="DV95" s="56">
        <f ca="1"/>
        <v>8315.2668178027052</v>
      </c>
      <c r="DW95" s="56">
        <f ca="1"/>
        <v>8513.9356732842589</v>
      </c>
      <c r="DX95" s="56">
        <f ca="1"/>
        <v>8728.6905850950589</v>
      </c>
      <c r="DY95" s="56">
        <f ca="1"/>
        <v>8494.5311808279384</v>
      </c>
      <c r="DZ95" s="56">
        <f ca="1"/>
        <v>8568.3605400236047</v>
      </c>
      <c r="EA95" s="56">
        <f ca="1"/>
        <v>8725.5737939582123</v>
      </c>
      <c r="EB95" s="56">
        <f ca="1"/>
        <v>8780.279407133572</v>
      </c>
      <c r="EC95" s="56">
        <f ca="1"/>
        <v>8780.279407133572</v>
      </c>
    </row>
    <row r="96" spans="1:133" x14ac:dyDescent="0.3">
      <c r="A96" t="s">
        <v>108</v>
      </c>
      <c r="C96" s="55">
        <f t="shared" ref="C96:M96" si="177">LN(C95)-LN(B95)</f>
        <v>2.2499999999999964E-2</v>
      </c>
      <c r="D96" s="55">
        <f t="shared" si="177"/>
        <v>3.1060606060606233E-2</v>
      </c>
      <c r="E96" s="55">
        <f t="shared" si="177"/>
        <v>2.8813559322033555E-2</v>
      </c>
      <c r="F96" s="55">
        <f t="shared" si="177"/>
        <v>2.0491803278688714E-2</v>
      </c>
      <c r="G96" s="55">
        <f t="shared" si="177"/>
        <v>1.636363636363658E-2</v>
      </c>
      <c r="H96" s="55">
        <f t="shared" si="177"/>
        <v>2.649253731343304E-2</v>
      </c>
      <c r="I96" s="55">
        <f t="shared" si="177"/>
        <v>2.0089285714285587E-2</v>
      </c>
      <c r="J96" s="55">
        <f t="shared" si="177"/>
        <v>2.4038461538461675E-2</v>
      </c>
      <c r="K96" s="55">
        <f t="shared" si="177"/>
        <v>2.418032786885238E-2</v>
      </c>
      <c r="L96" s="55">
        <f t="shared" si="177"/>
        <v>2.8879310344827935E-2</v>
      </c>
      <c r="M96" s="55">
        <f t="shared" si="177"/>
        <v>2.4090909090909385E-2</v>
      </c>
      <c r="N96" s="55">
        <f t="shared" ref="N96:AD96" si="178">LN(N95)-LN(M95)</f>
        <v>3.2954545454544792E-2</v>
      </c>
      <c r="O96" s="55">
        <f t="shared" si="178"/>
        <v>2.7586206896551779E-2</v>
      </c>
      <c r="P96" s="55">
        <f t="shared" si="178"/>
        <v>2.7419354838709609E-2</v>
      </c>
      <c r="Q96" s="55">
        <f t="shared" si="178"/>
        <v>3.1132075471698606E-2</v>
      </c>
      <c r="R96" s="55">
        <f t="shared" si="178"/>
        <v>1.1538461538461497E-2</v>
      </c>
      <c r="S96" s="55">
        <f t="shared" si="178"/>
        <v>2.6086956521739424E-2</v>
      </c>
      <c r="T96" s="55">
        <f t="shared" si="178"/>
        <v>4.5312499999999645E-2</v>
      </c>
      <c r="U96" s="55">
        <f t="shared" si="178"/>
        <v>2.760416666666643E-2</v>
      </c>
      <c r="V96" s="55">
        <f t="shared" si="178"/>
        <v>3.3050847457627874E-2</v>
      </c>
      <c r="W96" s="55">
        <f t="shared" si="178"/>
        <v>3.5135135135134554E-2</v>
      </c>
      <c r="X96" s="55">
        <f t="shared" si="178"/>
        <v>3.3189655172414234E-2</v>
      </c>
      <c r="Y96" s="55">
        <f t="shared" si="178"/>
        <v>3.1060606060606233E-2</v>
      </c>
      <c r="Z96" s="55">
        <f t="shared" si="178"/>
        <v>2.3245614035086959E-2</v>
      </c>
      <c r="AA96" s="55">
        <f t="shared" si="178"/>
        <v>2.1938775510204067E-2</v>
      </c>
      <c r="AB96" s="55">
        <f t="shared" si="178"/>
        <v>2.3979591836734926E-2</v>
      </c>
      <c r="AC96" s="55">
        <f t="shared" si="178"/>
        <v>3.3571428571428363E-2</v>
      </c>
      <c r="AD96" s="55">
        <f t="shared" si="178"/>
        <v>2.7358490566038007E-2</v>
      </c>
      <c r="AE96" s="55">
        <f>LN(AE95)-LN(AD95)</f>
        <v>1.8589743589743968E-2</v>
      </c>
      <c r="AF96" s="55">
        <f t="shared" ref="AF96:CI96" si="179">LN(AF95)-LN(AE95)</f>
        <v>2.4489795918366752E-2</v>
      </c>
      <c r="AG96" s="55">
        <f t="shared" si="179"/>
        <v>2.0000000000000462E-2</v>
      </c>
      <c r="AH96" s="55">
        <f t="shared" si="179"/>
        <v>3.6538461538460965E-2</v>
      </c>
      <c r="AI96" s="55">
        <f t="shared" si="179"/>
        <v>2.1354166666666785E-2</v>
      </c>
      <c r="AJ96" s="55">
        <f t="shared" si="179"/>
        <v>2.5581395348837077E-2</v>
      </c>
      <c r="AK96" s="55">
        <f t="shared" si="179"/>
        <v>3.1707317073171204E-2</v>
      </c>
      <c r="AL96" s="55">
        <f t="shared" si="179"/>
        <v>6.3953488372092693E-2</v>
      </c>
      <c r="AM96" s="55">
        <f t="shared" si="179"/>
        <v>2.5000000000000355E-2</v>
      </c>
      <c r="AN96" s="55">
        <f t="shared" si="179"/>
        <v>1.5853658536585158E-2</v>
      </c>
      <c r="AO96" s="55">
        <f t="shared" si="179"/>
        <v>2.2857142857142243E-2</v>
      </c>
      <c r="AP96" s="55">
        <f t="shared" si="179"/>
        <v>3.2142857142856585E-2</v>
      </c>
      <c r="AQ96" s="55">
        <f t="shared" si="179"/>
        <v>5.297619047619051E-2</v>
      </c>
      <c r="AR96" s="55">
        <f t="shared" si="179"/>
        <v>4.8529411764706154E-2</v>
      </c>
      <c r="AS96" s="55">
        <f t="shared" si="179"/>
        <v>1.5789473684209909E-2</v>
      </c>
      <c r="AT96" s="55">
        <f t="shared" si="179"/>
        <v>2.5000000000000355E-2</v>
      </c>
      <c r="AU96" s="55">
        <f t="shared" si="179"/>
        <v>1.704545454545503E-2</v>
      </c>
      <c r="AV96" s="55">
        <f t="shared" si="179"/>
        <v>2.5657894736841769E-2</v>
      </c>
      <c r="AW96" s="186">
        <f t="shared" si="179"/>
        <v>2.000000000000135E-2</v>
      </c>
      <c r="AX96" s="186">
        <f t="shared" si="179"/>
        <v>2.2368421052631149E-2</v>
      </c>
      <c r="AY96" s="186">
        <f t="shared" si="179"/>
        <v>2.3780487804877737E-2</v>
      </c>
      <c r="AZ96" s="186">
        <f t="shared" si="179"/>
        <v>1.8902439024390816E-2</v>
      </c>
      <c r="BA96" s="186">
        <f t="shared" si="179"/>
        <v>1.3513513513512265E-2</v>
      </c>
      <c r="BB96" s="186">
        <f t="shared" si="179"/>
        <v>1.9117647058823906E-2</v>
      </c>
      <c r="BC96" s="186">
        <f t="shared" si="179"/>
        <v>2.0833333333332149E-3</v>
      </c>
      <c r="BD96" s="186">
        <f t="shared" si="179"/>
        <v>2.3026315789474339E-2</v>
      </c>
      <c r="BE96" s="186">
        <f t="shared" si="179"/>
        <v>1.6666666666665719E-2</v>
      </c>
      <c r="BF96" s="186">
        <f t="shared" si="179"/>
        <v>2.9166666666666785E-2</v>
      </c>
      <c r="BG96" s="186">
        <f t="shared" si="179"/>
        <v>1.6911764705882959E-2</v>
      </c>
      <c r="BH96" s="186">
        <f t="shared" si="179"/>
        <v>2.2656249999998934E-2</v>
      </c>
      <c r="BI96" s="186">
        <f t="shared" si="179"/>
        <v>1.1434659090909349E-2</v>
      </c>
      <c r="BJ96" s="186">
        <f t="shared" si="179"/>
        <v>2.3571428571429465E-2</v>
      </c>
      <c r="BK96" s="186">
        <f t="shared" si="179"/>
        <v>9.6774193548387899E-3</v>
      </c>
      <c r="BL96" s="186">
        <f t="shared" si="179"/>
        <v>2.5000000000000355E-2</v>
      </c>
      <c r="BM96" s="186">
        <f t="shared" si="179"/>
        <v>2.4999999999998579E-2</v>
      </c>
      <c r="BN96" s="186">
        <f t="shared" si="179"/>
        <v>1.5909090909090651E-2</v>
      </c>
      <c r="BO96" s="186">
        <f t="shared" si="179"/>
        <v>9.8484848484847731E-3</v>
      </c>
      <c r="BP96" s="186">
        <f t="shared" si="179"/>
        <v>1.171875E-2</v>
      </c>
      <c r="BQ96" s="186">
        <f t="shared" si="179"/>
        <v>2.3529411764707575E-2</v>
      </c>
      <c r="BR96" s="186">
        <f t="shared" si="179"/>
        <v>5.8333333333315807E-3</v>
      </c>
      <c r="BS96" s="186">
        <f t="shared" si="179"/>
        <v>1.3709677419354804E-2</v>
      </c>
      <c r="BT96" s="186">
        <f t="shared" si="179"/>
        <v>9.6774193548405663E-3</v>
      </c>
      <c r="BU96" s="186">
        <f t="shared" si="179"/>
        <v>1.2499999999999289E-2</v>
      </c>
      <c r="BV96" s="186">
        <f t="shared" si="179"/>
        <v>1.8548387096773311E-2</v>
      </c>
      <c r="BW96" s="186">
        <f t="shared" si="179"/>
        <v>1.8548387096775087E-2</v>
      </c>
      <c r="BX96" s="186">
        <f t="shared" si="179"/>
        <v>0</v>
      </c>
      <c r="BY96" s="186">
        <f t="shared" si="179"/>
        <v>2.980769230769198E-2</v>
      </c>
      <c r="BZ96" s="186">
        <f t="shared" si="179"/>
        <v>1.4705882352942012E-2</v>
      </c>
      <c r="CA96" s="186">
        <f t="shared" si="179"/>
        <v>9.7222222222210775E-3</v>
      </c>
      <c r="CB96" s="186">
        <f t="shared" si="179"/>
        <v>3.125E-2</v>
      </c>
      <c r="CC96" s="186">
        <f t="shared" si="179"/>
        <v>1.896551724138007E-2</v>
      </c>
      <c r="CD96" s="186">
        <f t="shared" si="179"/>
        <v>2.4038461538461675E-2</v>
      </c>
      <c r="CE96" s="186">
        <f t="shared" si="179"/>
        <v>1.071428571428612E-2</v>
      </c>
      <c r="CF96" s="186">
        <f t="shared" si="179"/>
        <v>3.0000000000001137E-3</v>
      </c>
      <c r="CG96" s="186">
        <f t="shared" si="179"/>
        <v>2.6851851851851904E-2</v>
      </c>
      <c r="CH96" s="186">
        <f t="shared" ca="1" si="179"/>
        <v>-0.52154330882034472</v>
      </c>
      <c r="CI96" s="186">
        <f t="shared" ca="1" si="179"/>
        <v>0.56586149063852531</v>
      </c>
      <c r="CJ96" s="186">
        <f t="shared" ref="CJ96:CX96" si="180">LN(CJ95)-LN(CI95)</f>
        <v>1.5625E-2</v>
      </c>
      <c r="CK96" s="186">
        <f t="shared" si="180"/>
        <v>1.5000000000000568E-2</v>
      </c>
      <c r="CL96" s="186">
        <f t="shared" si="180"/>
        <v>2.3076923076922995E-2</v>
      </c>
      <c r="CM96" s="186">
        <f t="shared" si="180"/>
        <v>9.7826086956516178E-3</v>
      </c>
      <c r="CN96" s="186">
        <f t="shared" si="180"/>
        <v>1.1111111111111072E-2</v>
      </c>
      <c r="CO96" s="186">
        <f t="shared" si="180"/>
        <v>2.1875000000001421E-2</v>
      </c>
      <c r="CP96" s="186">
        <f t="shared" si="180"/>
        <v>2.8260869565215785E-2</v>
      </c>
      <c r="CQ96" s="186">
        <f t="shared" si="180"/>
        <v>9.0000000000003411E-3</v>
      </c>
      <c r="CR96" s="186">
        <f t="shared" si="180"/>
        <v>2.3611111111112137E-2</v>
      </c>
      <c r="CS96" s="186">
        <f t="shared" si="180"/>
        <v>2.4911056376573981E-2</v>
      </c>
      <c r="CT96" s="186">
        <f t="shared" si="180"/>
        <v>-2.719280240832056E-2</v>
      </c>
      <c r="CU96" s="186">
        <f t="shared" si="180"/>
        <v>8.6538461538463451E-3</v>
      </c>
      <c r="CV96" s="186">
        <f t="shared" si="180"/>
        <v>1.8181818181817633E-2</v>
      </c>
      <c r="CW96" s="186">
        <f t="shared" si="180"/>
        <v>6.2500000000014211E-3</v>
      </c>
      <c r="CX96" s="186">
        <f t="shared" si="180"/>
        <v>0</v>
      </c>
      <c r="DO96" s="89"/>
      <c r="DQ96" s="55">
        <f ca="1"/>
        <v>2.3076923076922995E-2</v>
      </c>
      <c r="DR96" s="55">
        <f ca="1"/>
        <v>9.7826086956516178E-3</v>
      </c>
      <c r="DS96" s="55">
        <f ca="1"/>
        <v>1.1111111111111072E-2</v>
      </c>
      <c r="DT96" s="55">
        <f ca="1"/>
        <v>2.1875000000001421E-2</v>
      </c>
      <c r="DU96" s="55">
        <f ca="1"/>
        <v>2.8260869565215785E-2</v>
      </c>
      <c r="DV96" s="55">
        <f ca="1"/>
        <v>9.0000000000003411E-3</v>
      </c>
      <c r="DW96" s="55">
        <f ca="1"/>
        <v>2.3611111111112137E-2</v>
      </c>
      <c r="DX96" s="55">
        <f ca="1"/>
        <v>2.4911056376573981E-2</v>
      </c>
      <c r="DY96" s="55">
        <f ca="1"/>
        <v>-2.719280240832056E-2</v>
      </c>
      <c r="DZ96" s="55">
        <f ca="1"/>
        <v>8.6538461538463451E-3</v>
      </c>
      <c r="EA96" s="55">
        <f ca="1"/>
        <v>1.8181818181817633E-2</v>
      </c>
      <c r="EB96" s="55">
        <f ca="1"/>
        <v>6.2500000000014211E-3</v>
      </c>
      <c r="EC96" s="186">
        <f ca="1"/>
        <v>0</v>
      </c>
    </row>
    <row r="97" spans="1:133" x14ac:dyDescent="0.3">
      <c r="C97" s="55"/>
      <c r="D97" s="55"/>
      <c r="E97" s="55"/>
      <c r="F97" s="55"/>
      <c r="G97" s="55"/>
      <c r="H97" s="55"/>
      <c r="I97" s="55"/>
      <c r="J97" s="55"/>
      <c r="K97" s="55"/>
      <c r="L97" s="55"/>
      <c r="M97" s="55"/>
      <c r="N97" s="55"/>
      <c r="O97" s="55"/>
      <c r="P97" s="55"/>
      <c r="Q97" s="55"/>
      <c r="R97" s="55"/>
      <c r="S97" s="55"/>
      <c r="T97" s="55"/>
      <c r="U97" s="55"/>
      <c r="V97" s="55"/>
      <c r="W97" s="55"/>
      <c r="X97" s="55"/>
      <c r="Y97" s="55"/>
      <c r="Z97" s="55"/>
      <c r="AA97" s="55"/>
      <c r="AB97" s="55"/>
      <c r="AC97" s="55"/>
      <c r="AD97" s="55"/>
      <c r="AE97" s="55"/>
      <c r="AF97" s="55"/>
      <c r="AG97" s="55"/>
      <c r="AH97" s="55"/>
      <c r="AI97" s="55"/>
      <c r="AJ97" s="55"/>
      <c r="AK97" s="55"/>
      <c r="AL97" s="55"/>
      <c r="AM97" s="55"/>
      <c r="AN97" s="55"/>
      <c r="AO97" s="55"/>
      <c r="AP97" s="55"/>
      <c r="AQ97" s="55"/>
      <c r="AR97" s="55"/>
      <c r="AS97" s="55"/>
      <c r="AT97" s="55"/>
      <c r="AU97" s="55"/>
      <c r="AV97" s="55"/>
      <c r="AW97" s="186"/>
      <c r="AX97" s="186"/>
      <c r="AY97" s="186"/>
      <c r="AZ97" s="186"/>
      <c r="BA97" s="186"/>
      <c r="BB97" s="186"/>
      <c r="BC97" s="186"/>
      <c r="BD97" s="186"/>
      <c r="BE97" s="186"/>
      <c r="BF97" s="186"/>
      <c r="BG97" s="186"/>
      <c r="BH97" s="186"/>
      <c r="BI97" s="186"/>
      <c r="BJ97" s="186"/>
      <c r="BK97" s="186"/>
      <c r="BL97" s="186"/>
      <c r="BM97" s="186"/>
      <c r="BN97" s="186"/>
      <c r="BO97" s="186"/>
      <c r="BP97" s="186"/>
      <c r="BQ97" s="186"/>
      <c r="BR97" s="186"/>
      <c r="BS97" s="186"/>
      <c r="BT97" s="186"/>
      <c r="BU97" s="186"/>
      <c r="BV97" s="186"/>
      <c r="BW97" s="186"/>
      <c r="BX97" s="186"/>
      <c r="BY97" s="186"/>
      <c r="BZ97" s="186"/>
      <c r="CA97" s="186"/>
      <c r="CB97" s="186"/>
      <c r="CC97" s="186"/>
      <c r="CD97" s="186"/>
      <c r="CE97" s="186"/>
      <c r="CF97" s="186"/>
      <c r="CG97" s="186"/>
      <c r="CH97" s="186"/>
      <c r="CI97" s="186"/>
      <c r="CJ97" s="186"/>
      <c r="CK97" s="186"/>
      <c r="CL97" s="186"/>
      <c r="CM97" s="186"/>
      <c r="CN97" s="186"/>
      <c r="CO97" s="186"/>
      <c r="CP97" s="186"/>
      <c r="CQ97" s="186"/>
      <c r="CR97" s="186"/>
      <c r="CS97" s="186"/>
      <c r="CT97" s="186"/>
      <c r="CU97" s="186"/>
      <c r="CV97" s="186"/>
      <c r="CW97" s="186"/>
      <c r="CX97" s="186"/>
      <c r="DO97" s="89"/>
      <c r="DQ97" s="55">
        <f ca="1"/>
        <v>0</v>
      </c>
      <c r="DR97" s="55">
        <f ca="1"/>
        <v>0</v>
      </c>
      <c r="DS97" s="55">
        <f ca="1"/>
        <v>0</v>
      </c>
      <c r="DT97" s="55">
        <f ca="1"/>
        <v>0</v>
      </c>
      <c r="DU97" s="55">
        <f ca="1"/>
        <v>0</v>
      </c>
      <c r="DV97" s="55">
        <f ca="1"/>
        <v>0</v>
      </c>
      <c r="DW97" s="55">
        <f ca="1"/>
        <v>0</v>
      </c>
      <c r="DX97" s="55">
        <f ca="1"/>
        <v>0</v>
      </c>
      <c r="DY97" s="55">
        <f ca="1"/>
        <v>0</v>
      </c>
      <c r="DZ97" s="55">
        <f ca="1"/>
        <v>0</v>
      </c>
      <c r="EA97" s="55">
        <f ca="1"/>
        <v>0</v>
      </c>
      <c r="EB97" s="55">
        <f ca="1"/>
        <v>0</v>
      </c>
      <c r="EC97" s="186">
        <f ca="1"/>
        <v>0</v>
      </c>
    </row>
    <row r="98" spans="1:133" x14ac:dyDescent="0.3">
      <c r="A98" t="str">
        <f>A99</f>
        <v>Target: Internet exposed devices/appliances</v>
      </c>
      <c r="C98" s="55"/>
      <c r="D98" s="55"/>
      <c r="E98" s="55"/>
      <c r="F98" s="55"/>
      <c r="G98" s="55"/>
      <c r="H98" s="55"/>
      <c r="I98" s="55"/>
      <c r="J98" s="55"/>
      <c r="K98" s="55"/>
      <c r="L98" s="55"/>
      <c r="M98" s="55"/>
      <c r="N98" s="55"/>
      <c r="O98" s="55"/>
      <c r="P98" s="55"/>
      <c r="Q98" s="55"/>
      <c r="R98" s="55"/>
      <c r="S98" s="55"/>
      <c r="T98" s="55"/>
      <c r="U98" s="55"/>
      <c r="V98" s="55"/>
      <c r="W98" s="55"/>
      <c r="X98" s="55"/>
      <c r="Y98" s="55"/>
      <c r="Z98" s="55"/>
      <c r="AA98" s="55"/>
      <c r="AB98" s="55"/>
      <c r="AC98" s="55"/>
      <c r="AD98" s="55"/>
      <c r="AE98" s="55"/>
      <c r="AF98" s="55"/>
      <c r="AG98" s="55"/>
      <c r="AH98" s="55"/>
      <c r="AI98" s="55"/>
      <c r="AJ98" s="55"/>
      <c r="AK98" s="55"/>
      <c r="AL98" s="55"/>
      <c r="AM98" s="55"/>
      <c r="AN98" s="55"/>
      <c r="AO98" s="55"/>
      <c r="AP98" s="55"/>
      <c r="AQ98" s="55"/>
      <c r="AR98" s="55"/>
      <c r="AS98" s="55"/>
      <c r="AT98" s="55"/>
      <c r="AU98" s="55"/>
      <c r="AV98" s="55"/>
      <c r="AW98" s="186"/>
      <c r="AX98" s="186"/>
      <c r="AY98" s="186"/>
      <c r="AZ98" s="186"/>
      <c r="BA98" s="186"/>
      <c r="BB98" s="186"/>
      <c r="BC98" s="186"/>
      <c r="BD98" s="186"/>
      <c r="BE98" s="186"/>
      <c r="BF98" s="186"/>
      <c r="BG98" s="186"/>
      <c r="BH98" s="186"/>
      <c r="BI98" s="186"/>
      <c r="BJ98" s="186"/>
      <c r="BK98" s="186"/>
      <c r="BL98" s="186"/>
      <c r="BM98" s="186"/>
      <c r="BN98" s="186"/>
      <c r="BO98" s="186"/>
      <c r="BP98" s="186"/>
      <c r="BQ98" s="186"/>
      <c r="BR98" s="186"/>
      <c r="BS98" s="186"/>
      <c r="BT98" s="186"/>
      <c r="BU98" s="186"/>
      <c r="BV98" s="186"/>
      <c r="BW98" s="186"/>
      <c r="BX98" s="186"/>
      <c r="BY98" s="186"/>
      <c r="BZ98" s="186"/>
      <c r="CA98" s="186"/>
      <c r="CB98" s="186"/>
      <c r="CC98" s="186"/>
      <c r="CD98" s="186"/>
      <c r="CE98" s="186"/>
      <c r="CF98" s="186"/>
      <c r="CG98" s="186"/>
      <c r="CH98" s="186"/>
      <c r="CI98" s="186"/>
      <c r="CJ98" s="186"/>
      <c r="CK98" s="186"/>
      <c r="CL98" s="186"/>
      <c r="CM98" s="186"/>
      <c r="CN98" s="186"/>
      <c r="CO98" s="186"/>
      <c r="CP98" s="186"/>
      <c r="CQ98" s="186"/>
      <c r="CR98" s="186"/>
      <c r="CS98" s="186"/>
      <c r="CT98" s="186"/>
      <c r="CU98" s="186"/>
      <c r="CV98" s="186"/>
      <c r="CW98" s="186"/>
      <c r="CX98" s="186"/>
      <c r="CZ98" t="str">
        <f>A98</f>
        <v>Target: Internet exposed devices/appliances</v>
      </c>
      <c r="DG98" t="str">
        <f>A103</f>
        <v>Target: End points</v>
      </c>
      <c r="DO98" s="89"/>
      <c r="DQ98" s="55">
        <f ca="1"/>
        <v>0</v>
      </c>
      <c r="DR98" s="55">
        <f ca="1"/>
        <v>0</v>
      </c>
      <c r="DS98" s="55">
        <f ca="1"/>
        <v>0</v>
      </c>
      <c r="DT98" s="55">
        <f ca="1"/>
        <v>0</v>
      </c>
      <c r="DU98" s="55">
        <f ca="1"/>
        <v>0</v>
      </c>
      <c r="DV98" s="55">
        <f ca="1"/>
        <v>0</v>
      </c>
      <c r="DW98" s="55">
        <f ca="1"/>
        <v>0</v>
      </c>
      <c r="DX98" s="55">
        <f ca="1"/>
        <v>0</v>
      </c>
      <c r="DY98" s="55">
        <f ca="1"/>
        <v>0</v>
      </c>
      <c r="DZ98" s="55">
        <f ca="1"/>
        <v>0</v>
      </c>
      <c r="EA98" s="55">
        <f ca="1"/>
        <v>0</v>
      </c>
      <c r="EB98" s="55">
        <f ca="1"/>
        <v>0</v>
      </c>
      <c r="EC98" s="186">
        <f ca="1"/>
        <v>0</v>
      </c>
    </row>
    <row r="99" spans="1:133" x14ac:dyDescent="0.3">
      <c r="A99" t="str">
        <f>A100</f>
        <v>Target: Internet exposed devices/appliances</v>
      </c>
      <c r="B99" s="57" t="str">
        <f>C$1</f>
        <v>Apr</v>
      </c>
      <c r="C99" s="57" t="str">
        <f t="shared" ref="C99:N99" si="181">D$1</f>
        <v>May</v>
      </c>
      <c r="D99" s="57" t="str">
        <f t="shared" si="181"/>
        <v>Jun</v>
      </c>
      <c r="E99" s="57" t="str">
        <f t="shared" si="181"/>
        <v>Jul</v>
      </c>
      <c r="F99" s="57" t="str">
        <f t="shared" si="181"/>
        <v>Aug</v>
      </c>
      <c r="G99" s="57" t="str">
        <f t="shared" si="181"/>
        <v>Sep</v>
      </c>
      <c r="H99" s="57" t="str">
        <f t="shared" si="181"/>
        <v>Oct</v>
      </c>
      <c r="I99" s="57" t="str">
        <f t="shared" si="181"/>
        <v>Nov</v>
      </c>
      <c r="J99" s="57" t="str">
        <f t="shared" si="181"/>
        <v>Dec 2011</v>
      </c>
      <c r="K99" s="57" t="str">
        <f t="shared" si="181"/>
        <v>Jan 2012</v>
      </c>
      <c r="L99" s="57" t="str">
        <f t="shared" si="181"/>
        <v>Feb</v>
      </c>
      <c r="M99" s="57" t="str">
        <f t="shared" si="181"/>
        <v>Mar</v>
      </c>
      <c r="N99" s="57" t="str">
        <f t="shared" si="181"/>
        <v>Apr</v>
      </c>
      <c r="O99" s="57" t="str">
        <f t="shared" ref="O99:AD99" si="182">P$1</f>
        <v>May</v>
      </c>
      <c r="P99" s="57" t="str">
        <f t="shared" si="182"/>
        <v>Jun</v>
      </c>
      <c r="Q99" s="57" t="str">
        <f t="shared" si="182"/>
        <v>Jul</v>
      </c>
      <c r="R99" s="57" t="str">
        <f t="shared" si="182"/>
        <v>Aug</v>
      </c>
      <c r="S99" s="57" t="str">
        <f t="shared" si="182"/>
        <v>Sep</v>
      </c>
      <c r="T99" s="57" t="str">
        <f t="shared" si="182"/>
        <v>Oct</v>
      </c>
      <c r="U99" s="57" t="str">
        <f t="shared" si="182"/>
        <v>Nov</v>
      </c>
      <c r="V99" s="57" t="str">
        <f t="shared" si="182"/>
        <v>Dec 2012</v>
      </c>
      <c r="W99" s="57" t="str">
        <f t="shared" si="182"/>
        <v>Jan 2013</v>
      </c>
      <c r="X99" s="57" t="str">
        <f t="shared" si="182"/>
        <v>Feb</v>
      </c>
      <c r="Y99" s="57" t="str">
        <f t="shared" si="182"/>
        <v>Mar</v>
      </c>
      <c r="Z99" s="57" t="str">
        <f t="shared" si="182"/>
        <v>Apr</v>
      </c>
      <c r="AA99" s="57" t="str">
        <f t="shared" si="182"/>
        <v>May</v>
      </c>
      <c r="AB99" s="57" t="str">
        <f t="shared" si="182"/>
        <v>Jun</v>
      </c>
      <c r="AC99" s="57" t="str">
        <f t="shared" si="182"/>
        <v>Jul</v>
      </c>
      <c r="AD99" s="57" t="str">
        <f t="shared" si="182"/>
        <v>Aug</v>
      </c>
      <c r="AE99" s="57" t="str">
        <f>AF$1</f>
        <v>Sep</v>
      </c>
      <c r="AF99" s="57" t="str">
        <f t="shared" ref="AF99:AK99" si="183">AG$1</f>
        <v>Oct</v>
      </c>
      <c r="AG99" s="57" t="str">
        <f t="shared" si="183"/>
        <v>Nov</v>
      </c>
      <c r="AH99" s="57" t="str">
        <f t="shared" si="183"/>
        <v>Dec 2013</v>
      </c>
      <c r="AI99" s="57" t="str">
        <f t="shared" si="183"/>
        <v>Jan 2014</v>
      </c>
      <c r="AJ99" s="57" t="str">
        <f t="shared" si="183"/>
        <v>Feb</v>
      </c>
      <c r="AK99" s="57" t="str">
        <f t="shared" si="183"/>
        <v>Mar</v>
      </c>
      <c r="AL99" s="57" t="str">
        <f t="shared" ref="AL99:CI99" si="184">AM$1</f>
        <v>Apr</v>
      </c>
      <c r="AM99" s="57" t="str">
        <f t="shared" si="184"/>
        <v>May</v>
      </c>
      <c r="AN99" s="57" t="str">
        <f t="shared" si="184"/>
        <v>Jun</v>
      </c>
      <c r="AO99" s="57" t="str">
        <f t="shared" si="184"/>
        <v>Jul</v>
      </c>
      <c r="AP99" s="57" t="str">
        <f t="shared" si="184"/>
        <v>Aug</v>
      </c>
      <c r="AQ99" s="57" t="str">
        <f t="shared" si="184"/>
        <v>Sep</v>
      </c>
      <c r="AR99" s="57" t="str">
        <f t="shared" si="184"/>
        <v>Oct</v>
      </c>
      <c r="AS99" s="57" t="str">
        <f t="shared" si="184"/>
        <v>Nov</v>
      </c>
      <c r="AT99" s="57" t="str">
        <f t="shared" si="184"/>
        <v>Dec '14</v>
      </c>
      <c r="AU99" s="57" t="str">
        <f t="shared" si="184"/>
        <v>Jan '15</v>
      </c>
      <c r="AV99" s="57" t="str">
        <f t="shared" si="184"/>
        <v>Feb</v>
      </c>
      <c r="AW99" s="57" t="str">
        <f t="shared" si="184"/>
        <v>Mar</v>
      </c>
      <c r="AX99" s="57" t="str">
        <f t="shared" si="184"/>
        <v>Apr</v>
      </c>
      <c r="AY99" s="57" t="str">
        <f t="shared" si="184"/>
        <v>May</v>
      </c>
      <c r="AZ99" s="57" t="str">
        <f t="shared" si="184"/>
        <v>Jun</v>
      </c>
      <c r="BA99" s="57" t="str">
        <f t="shared" si="184"/>
        <v>Jul</v>
      </c>
      <c r="BB99" s="57" t="str">
        <f t="shared" si="184"/>
        <v>Aug</v>
      </c>
      <c r="BC99" s="57" t="str">
        <f t="shared" si="184"/>
        <v>Sep</v>
      </c>
      <c r="BD99" s="57" t="str">
        <f t="shared" si="184"/>
        <v>Oct</v>
      </c>
      <c r="BE99" s="57" t="str">
        <f t="shared" si="184"/>
        <v>Nov</v>
      </c>
      <c r="BF99" s="57" t="str">
        <f t="shared" si="184"/>
        <v>Dec '15</v>
      </c>
      <c r="BG99" s="57" t="str">
        <f t="shared" si="184"/>
        <v>Jan '16</v>
      </c>
      <c r="BH99" s="57" t="str">
        <f t="shared" si="184"/>
        <v>Feb</v>
      </c>
      <c r="BI99" s="57" t="str">
        <f t="shared" si="184"/>
        <v>Mar</v>
      </c>
      <c r="BJ99" s="57" t="str">
        <f t="shared" si="184"/>
        <v>Apr</v>
      </c>
      <c r="BK99" s="57" t="str">
        <f t="shared" si="184"/>
        <v>May</v>
      </c>
      <c r="BL99" s="57" t="str">
        <f t="shared" si="184"/>
        <v>Jun</v>
      </c>
      <c r="BM99" s="57" t="str">
        <f t="shared" si="184"/>
        <v>Jul</v>
      </c>
      <c r="BN99" s="57" t="str">
        <f t="shared" si="184"/>
        <v>Aug</v>
      </c>
      <c r="BO99" s="57" t="str">
        <f t="shared" si="184"/>
        <v>Sep</v>
      </c>
      <c r="BP99" s="57" t="str">
        <f t="shared" si="184"/>
        <v>Oct</v>
      </c>
      <c r="BQ99" s="57" t="str">
        <f t="shared" si="184"/>
        <v>Nov</v>
      </c>
      <c r="BR99" s="57" t="str">
        <f t="shared" si="184"/>
        <v>Dec-16</v>
      </c>
      <c r="BS99" s="57" t="str">
        <f t="shared" si="184"/>
        <v>Jan-17</v>
      </c>
      <c r="BT99" s="57" t="str">
        <f t="shared" si="184"/>
        <v>Feb</v>
      </c>
      <c r="BU99" s="57" t="str">
        <f t="shared" si="184"/>
        <v>Mar</v>
      </c>
      <c r="BV99" s="57" t="str">
        <f t="shared" si="184"/>
        <v>Apr</v>
      </c>
      <c r="BW99" s="57" t="str">
        <f t="shared" si="184"/>
        <v>May</v>
      </c>
      <c r="BX99" s="57" t="str">
        <f t="shared" si="184"/>
        <v>Jun</v>
      </c>
      <c r="BY99" s="57" t="str">
        <f t="shared" si="184"/>
        <v>Jul</v>
      </c>
      <c r="BZ99" s="57" t="str">
        <f t="shared" si="184"/>
        <v>Aug</v>
      </c>
      <c r="CA99" s="57" t="str">
        <f t="shared" si="184"/>
        <v>Sep</v>
      </c>
      <c r="CB99" s="57" t="str">
        <f t="shared" si="184"/>
        <v>Oct</v>
      </c>
      <c r="CC99" s="57" t="str">
        <f t="shared" si="184"/>
        <v>Nov</v>
      </c>
      <c r="CD99" s="57" t="str">
        <f t="shared" si="184"/>
        <v>Dec</v>
      </c>
      <c r="CE99" s="57" t="str">
        <f t="shared" si="184"/>
        <v>Jan '18</v>
      </c>
      <c r="CF99" s="57" t="str">
        <f t="shared" si="184"/>
        <v>Feb</v>
      </c>
      <c r="CG99" s="57" t="str">
        <f t="shared" si="184"/>
        <v>Mar</v>
      </c>
      <c r="CH99" s="57" t="str">
        <f t="shared" si="184"/>
        <v>Apr</v>
      </c>
      <c r="CI99" s="57" t="str">
        <f t="shared" si="184"/>
        <v>May</v>
      </c>
      <c r="CJ99" s="57" t="str">
        <f t="shared" ref="CJ99:CO99" si="185">CK$1</f>
        <v>Jun</v>
      </c>
      <c r="CK99" s="57" t="str">
        <f t="shared" si="185"/>
        <v>Jul</v>
      </c>
      <c r="CL99" s="57" t="str">
        <f t="shared" si="185"/>
        <v>Aug</v>
      </c>
      <c r="CM99" s="57" t="str">
        <f t="shared" si="185"/>
        <v>Sep</v>
      </c>
      <c r="CN99" s="57" t="str">
        <f t="shared" si="185"/>
        <v>Oct</v>
      </c>
      <c r="CO99" s="57" t="str">
        <f t="shared" si="185"/>
        <v>Nov</v>
      </c>
      <c r="CP99" s="57" t="str">
        <f t="shared" ref="CP99:CX99" si="186">CQ$1</f>
        <v>Dec-18</v>
      </c>
      <c r="CQ99" s="57" t="str">
        <f t="shared" si="186"/>
        <v>Jan-19</v>
      </c>
      <c r="CR99" s="57" t="str">
        <f t="shared" si="186"/>
        <v>Feb-19</v>
      </c>
      <c r="CS99" s="57" t="str">
        <f t="shared" si="186"/>
        <v>Mar-19</v>
      </c>
      <c r="CT99" s="57" t="str">
        <f t="shared" si="186"/>
        <v>Apr-19</v>
      </c>
      <c r="CU99" s="57" t="str">
        <f t="shared" si="186"/>
        <v>May-19</v>
      </c>
      <c r="CV99" s="57" t="str">
        <f t="shared" si="186"/>
        <v>June-19</v>
      </c>
      <c r="CW99" s="57" t="str">
        <f t="shared" si="186"/>
        <v>July-19</v>
      </c>
      <c r="CX99" s="57" t="str">
        <f t="shared" si="186"/>
        <v>Aug-19</v>
      </c>
      <c r="DO99" s="89"/>
      <c r="DQ99" s="57" t="str">
        <f ca="1"/>
        <v>Aug</v>
      </c>
      <c r="DR99" s="57" t="str">
        <f ca="1"/>
        <v>Sep</v>
      </c>
      <c r="DS99" s="57" t="str">
        <f ca="1"/>
        <v>Oct</v>
      </c>
      <c r="DT99" s="57" t="str">
        <f ca="1"/>
        <v>Nov</v>
      </c>
      <c r="DU99" s="57" t="str">
        <f ca="1"/>
        <v>Dec-18</v>
      </c>
      <c r="DV99" s="57" t="str">
        <f ca="1"/>
        <v>Jan-19</v>
      </c>
      <c r="DW99" s="57" t="str">
        <f ca="1"/>
        <v>Feb-19</v>
      </c>
      <c r="DX99" s="57" t="str">
        <f ca="1"/>
        <v>Mar-19</v>
      </c>
      <c r="DY99" s="57" t="str">
        <f ca="1"/>
        <v>Apr-19</v>
      </c>
      <c r="DZ99" s="57" t="str">
        <f ca="1"/>
        <v>May-19</v>
      </c>
      <c r="EA99" s="57" t="str">
        <f ca="1"/>
        <v>June-19</v>
      </c>
      <c r="EB99" s="57" t="str">
        <f ca="1"/>
        <v>July-19</v>
      </c>
      <c r="EC99" s="57" t="str">
        <f ca="1"/>
        <v>Aug-19</v>
      </c>
    </row>
    <row r="100" spans="1:133" x14ac:dyDescent="0.3">
      <c r="A100" t="str">
        <f>A16</f>
        <v>Target: Internet exposed devices/appliances</v>
      </c>
      <c r="B100">
        <f t="shared" ref="B100:CI100" si="187">C16</f>
        <v>1000</v>
      </c>
      <c r="C100" s="56">
        <f t="shared" si="187"/>
        <v>1000</v>
      </c>
      <c r="D100" s="56">
        <f t="shared" si="187"/>
        <v>1000</v>
      </c>
      <c r="E100" s="56">
        <f t="shared" si="187"/>
        <v>1000</v>
      </c>
      <c r="F100" s="56">
        <f t="shared" si="187"/>
        <v>1000</v>
      </c>
      <c r="G100" s="56">
        <f t="shared" si="187"/>
        <v>1000</v>
      </c>
      <c r="H100" s="56">
        <f t="shared" si="187"/>
        <v>1000</v>
      </c>
      <c r="I100" s="56">
        <f t="shared" si="187"/>
        <v>1000</v>
      </c>
      <c r="J100" s="56">
        <f t="shared" si="187"/>
        <v>1000</v>
      </c>
      <c r="K100" s="56">
        <f t="shared" si="187"/>
        <v>1000</v>
      </c>
      <c r="L100" s="56">
        <f t="shared" si="187"/>
        <v>1000</v>
      </c>
      <c r="M100" s="56">
        <f t="shared" si="187"/>
        <v>1000</v>
      </c>
      <c r="N100" s="56">
        <f t="shared" si="187"/>
        <v>1000</v>
      </c>
      <c r="O100" s="56">
        <f t="shared" si="187"/>
        <v>1019.585887002794</v>
      </c>
      <c r="P100" s="56">
        <f t="shared" si="187"/>
        <v>1044.9753806134643</v>
      </c>
      <c r="Q100" s="56">
        <f t="shared" si="187"/>
        <v>1063.3732388317592</v>
      </c>
      <c r="R100" s="56">
        <f t="shared" si="187"/>
        <v>1081.4179310772863</v>
      </c>
      <c r="S100" s="56">
        <f t="shared" si="187"/>
        <v>1113.0204289863555</v>
      </c>
      <c r="T100" s="56">
        <f t="shared" si="187"/>
        <v>1155.5511623707937</v>
      </c>
      <c r="U100" s="56">
        <f t="shared" si="187"/>
        <v>1182.3383068912306</v>
      </c>
      <c r="V100" s="56">
        <f t="shared" si="187"/>
        <v>1207.6550865383706</v>
      </c>
      <c r="W100" s="56">
        <f t="shared" si="187"/>
        <v>1225.7408040530904</v>
      </c>
      <c r="X100" s="56">
        <f t="shared" si="187"/>
        <v>1256.7705802394048</v>
      </c>
      <c r="Y100" s="56">
        <f t="shared" si="187"/>
        <v>1284.6869836565891</v>
      </c>
      <c r="Z100" s="56">
        <f t="shared" si="187"/>
        <v>1306.85091209241</v>
      </c>
      <c r="AA100" s="56">
        <f t="shared" si="187"/>
        <v>1335.1570571998082</v>
      </c>
      <c r="AB100" s="56">
        <f t="shared" si="187"/>
        <v>1361.9900332356194</v>
      </c>
      <c r="AC100" s="56">
        <f t="shared" si="187"/>
        <v>1390.4969144576612</v>
      </c>
      <c r="AD100" s="56">
        <f t="shared" si="187"/>
        <v>1420.9977829086176</v>
      </c>
      <c r="AE100" s="56">
        <f t="shared" si="187"/>
        <v>1450.44747082395</v>
      </c>
      <c r="AF100" s="56">
        <f t="shared" si="187"/>
        <v>1467.5682851719596</v>
      </c>
      <c r="AG100" s="56">
        <f t="shared" si="187"/>
        <v>1477.3847589617887</v>
      </c>
      <c r="AH100" s="56">
        <f t="shared" si="187"/>
        <v>1496.4475253206817</v>
      </c>
      <c r="AI100" s="56">
        <f t="shared" si="187"/>
        <v>1539.9343968828368</v>
      </c>
      <c r="AJ100" s="56">
        <f t="shared" si="187"/>
        <v>1567.9406522873571</v>
      </c>
      <c r="AK100" s="56">
        <f t="shared" si="187"/>
        <v>1603.716980037444</v>
      </c>
      <c r="AL100" s="56">
        <f t="shared" si="187"/>
        <v>1676.1677625321802</v>
      </c>
      <c r="AM100" s="56">
        <f t="shared" si="187"/>
        <v>1710.8060598537065</v>
      </c>
      <c r="AN100" s="56">
        <f t="shared" si="187"/>
        <v>1720.2204382031405</v>
      </c>
      <c r="AO100" s="56">
        <f t="shared" si="187"/>
        <v>1733.789693914425</v>
      </c>
      <c r="AP100" s="56">
        <f t="shared" si="187"/>
        <v>1788.2937771864717</v>
      </c>
      <c r="AQ100" s="56">
        <f t="shared" si="187"/>
        <v>1861.0538634972497</v>
      </c>
      <c r="AR100" s="56">
        <f t="shared" si="187"/>
        <v>1947.8596528708129</v>
      </c>
      <c r="AS100" s="56">
        <f t="shared" si="187"/>
        <v>2011.6755825295436</v>
      </c>
      <c r="AT100" s="56">
        <f t="shared" si="187"/>
        <v>2050.4247059308641</v>
      </c>
      <c r="AU100" s="56">
        <f t="shared" si="187"/>
        <v>2093.9865149808084</v>
      </c>
      <c r="AV100" s="56">
        <f t="shared" si="187"/>
        <v>2121.7210329200525</v>
      </c>
      <c r="AW100" s="56">
        <f t="shared" si="187"/>
        <v>2152.4410438484597</v>
      </c>
      <c r="AX100" s="56">
        <f t="shared" si="187"/>
        <v>2189.5758088652224</v>
      </c>
      <c r="AY100" s="56">
        <f t="shared" si="187"/>
        <v>2217.7933355141449</v>
      </c>
      <c r="AZ100" s="56">
        <f t="shared" si="187"/>
        <v>2260.1137583223617</v>
      </c>
      <c r="BA100" s="56">
        <f t="shared" si="187"/>
        <v>2283.13679037561</v>
      </c>
      <c r="BB100" s="56">
        <f t="shared" si="187"/>
        <v>2303.371253407633</v>
      </c>
      <c r="BC100" s="56">
        <f t="shared" si="187"/>
        <v>2308.1749456275147</v>
      </c>
      <c r="BD100" s="56">
        <f t="shared" si="187"/>
        <v>2340.2855103862048</v>
      </c>
      <c r="BE100" s="56">
        <f t="shared" si="187"/>
        <v>2384.0279030418992</v>
      </c>
      <c r="BF100" s="56">
        <f t="shared" si="187"/>
        <v>2418.041995958431</v>
      </c>
      <c r="BG100" s="56">
        <f t="shared" si="187"/>
        <v>2418.041995958431</v>
      </c>
      <c r="BH100" s="56">
        <f t="shared" si="187"/>
        <v>2446.5451098399635</v>
      </c>
      <c r="BI100" s="56">
        <f t="shared" si="187"/>
        <v>2476.2111227796545</v>
      </c>
      <c r="BJ100" s="56">
        <f t="shared" si="187"/>
        <v>2513.6342614803852</v>
      </c>
      <c r="BK100" s="56">
        <f t="shared" si="187"/>
        <v>2538.0778389417987</v>
      </c>
      <c r="BL100" s="56">
        <f t="shared" si="187"/>
        <v>2577.7689573255198</v>
      </c>
      <c r="BM100" s="56">
        <f t="shared" si="187"/>
        <v>2611.3186250665226</v>
      </c>
      <c r="BN100" s="56">
        <f t="shared" si="187"/>
        <v>2637.1632131026404</v>
      </c>
      <c r="BO100" s="56">
        <f t="shared" si="187"/>
        <v>2667.3018950768751</v>
      </c>
      <c r="BP100" s="56">
        <f t="shared" si="187"/>
        <v>2713.5423873083078</v>
      </c>
      <c r="BQ100" s="56">
        <f t="shared" si="187"/>
        <v>2737.5913507139494</v>
      </c>
      <c r="BR100" s="56">
        <f t="shared" si="187"/>
        <v>2733.0324985615098</v>
      </c>
      <c r="BS100" s="56">
        <f t="shared" si="187"/>
        <v>2781.9544869235701</v>
      </c>
      <c r="BT100" s="56">
        <f t="shared" si="187"/>
        <v>2815.8115298070175</v>
      </c>
      <c r="BU100" s="56">
        <f t="shared" si="187"/>
        <v>2825.2132290331419</v>
      </c>
      <c r="BV100" s="56">
        <f t="shared" si="187"/>
        <v>2880.4273822807627</v>
      </c>
      <c r="BW100" s="56">
        <f t="shared" si="187"/>
        <v>2970.0650087817185</v>
      </c>
      <c r="BX100" s="56">
        <f t="shared" si="187"/>
        <v>2999.9146583708157</v>
      </c>
      <c r="BY100" s="56">
        <f t="shared" si="187"/>
        <v>3058.1636158709684</v>
      </c>
      <c r="BZ100" s="56">
        <f t="shared" si="187"/>
        <v>3112.6102072259209</v>
      </c>
      <c r="CA100" s="56">
        <f t="shared" si="187"/>
        <v>3112.6102072259209</v>
      </c>
      <c r="CB100" s="56">
        <f t="shared" si="187"/>
        <v>3163.0384412985195</v>
      </c>
      <c r="CC100" s="56">
        <f t="shared" si="187"/>
        <v>3218.0464309893396</v>
      </c>
      <c r="CD100" s="56">
        <f t="shared" si="187"/>
        <v>3299.511664243043</v>
      </c>
      <c r="CE100" s="56">
        <f t="shared" si="187"/>
        <v>3395.1430837643434</v>
      </c>
      <c r="CF100" s="56">
        <f t="shared" si="187"/>
        <v>3398.5399249856482</v>
      </c>
      <c r="CG100" s="56">
        <f t="shared" si="187"/>
        <v>3481.3494083106762</v>
      </c>
      <c r="CH100" s="56">
        <f t="shared" ca="1" si="187"/>
        <v>2232.3655152515203</v>
      </c>
      <c r="CI100" s="56">
        <f t="shared" si="187"/>
        <v>3623.5963574355628</v>
      </c>
      <c r="CJ100" s="56">
        <f t="shared" ref="CJ100:CO100" si="188">CK16</f>
        <v>3657.7273121545541</v>
      </c>
      <c r="CK100" s="56">
        <f t="shared" si="188"/>
        <v>3724.1625269655206</v>
      </c>
      <c r="CL100" s="56">
        <f t="shared" si="188"/>
        <v>3745.7101769222663</v>
      </c>
      <c r="CM100" s="56">
        <f t="shared" si="188"/>
        <v>3762.0313283970522</v>
      </c>
      <c r="CN100" s="56">
        <f t="shared" si="188"/>
        <v>3746.3888090749388</v>
      </c>
      <c r="CO100" s="56">
        <f t="shared" si="188"/>
        <v>3793.5125791622631</v>
      </c>
      <c r="CP100" s="56">
        <f t="shared" ref="CP100:CX100" si="189">CQ16</f>
        <v>3818.33372914754</v>
      </c>
      <c r="CQ100" s="56">
        <f t="shared" si="189"/>
        <v>3833.6376515036181</v>
      </c>
      <c r="CR100" s="56">
        <f t="shared" si="189"/>
        <v>3865.7181148796003</v>
      </c>
      <c r="CS100" s="56">
        <f t="shared" si="189"/>
        <v>3907.8404336591566</v>
      </c>
      <c r="CT100" s="56">
        <f t="shared" si="189"/>
        <v>3827.9370761213331</v>
      </c>
      <c r="CU100" s="56">
        <f t="shared" si="189"/>
        <v>3831.6195549871827</v>
      </c>
      <c r="CV100" s="56">
        <f t="shared" si="189"/>
        <v>3875.4090188475384</v>
      </c>
      <c r="CW100" s="56">
        <f t="shared" si="189"/>
        <v>3868.4948208280039</v>
      </c>
      <c r="CX100" s="56">
        <f t="shared" si="189"/>
        <v>3868.4948208280039</v>
      </c>
      <c r="DO100" s="89"/>
      <c r="DQ100" s="56">
        <f ca="1"/>
        <v>3745.7101769222663</v>
      </c>
      <c r="DR100" s="56">
        <f ca="1"/>
        <v>3762.0313283970522</v>
      </c>
      <c r="DS100" s="56">
        <f ca="1"/>
        <v>3746.3888090749388</v>
      </c>
      <c r="DT100" s="56">
        <f ca="1"/>
        <v>3793.5125791622631</v>
      </c>
      <c r="DU100" s="56">
        <f ca="1"/>
        <v>3818.33372914754</v>
      </c>
      <c r="DV100" s="56">
        <f ca="1"/>
        <v>3833.6376515036181</v>
      </c>
      <c r="DW100" s="56">
        <f ca="1"/>
        <v>3865.7181148796003</v>
      </c>
      <c r="DX100" s="56">
        <f ca="1"/>
        <v>3907.8404336591566</v>
      </c>
      <c r="DY100" s="56">
        <f ca="1"/>
        <v>3827.9370761213331</v>
      </c>
      <c r="DZ100" s="56">
        <f ca="1"/>
        <v>3831.6195549871827</v>
      </c>
      <c r="EA100" s="56">
        <f ca="1"/>
        <v>3875.4090188475384</v>
      </c>
      <c r="EB100" s="56">
        <f ca="1"/>
        <v>3868.4948208280039</v>
      </c>
      <c r="EC100" s="56">
        <f ca="1"/>
        <v>3868.4948208280039</v>
      </c>
    </row>
    <row r="101" spans="1:133" x14ac:dyDescent="0.3">
      <c r="A101" t="s">
        <v>108</v>
      </c>
      <c r="C101" s="55">
        <f t="shared" ref="C101:M101" si="190">LN(C100)-LN(B100)</f>
        <v>0</v>
      </c>
      <c r="D101" s="55">
        <f t="shared" si="190"/>
        <v>0</v>
      </c>
      <c r="E101" s="55">
        <f t="shared" si="190"/>
        <v>0</v>
      </c>
      <c r="F101" s="55">
        <f t="shared" si="190"/>
        <v>0</v>
      </c>
      <c r="G101" s="55">
        <f t="shared" si="190"/>
        <v>0</v>
      </c>
      <c r="H101" s="55">
        <f t="shared" si="190"/>
        <v>0</v>
      </c>
      <c r="I101" s="55">
        <f t="shared" si="190"/>
        <v>0</v>
      </c>
      <c r="J101" s="55">
        <f t="shared" si="190"/>
        <v>0</v>
      </c>
      <c r="K101" s="55">
        <f t="shared" si="190"/>
        <v>0</v>
      </c>
      <c r="L101" s="55">
        <f t="shared" si="190"/>
        <v>0</v>
      </c>
      <c r="M101" s="55">
        <f t="shared" si="190"/>
        <v>0</v>
      </c>
      <c r="N101" s="55">
        <f t="shared" ref="N101:AD101" si="191">LN(N100)-LN(M100)</f>
        <v>0</v>
      </c>
      <c r="O101" s="55">
        <f t="shared" si="191"/>
        <v>1.93965517241379E-2</v>
      </c>
      <c r="P101" s="55">
        <f t="shared" si="191"/>
        <v>2.4596774193548221E-2</v>
      </c>
      <c r="Q101" s="55">
        <f t="shared" si="191"/>
        <v>1.7452830188679158E-2</v>
      </c>
      <c r="R101" s="55">
        <f t="shared" si="191"/>
        <v>1.682692307692335E-2</v>
      </c>
      <c r="S101" s="55">
        <f t="shared" si="191"/>
        <v>2.8804347826087096E-2</v>
      </c>
      <c r="T101" s="55">
        <f t="shared" si="191"/>
        <v>3.7499999999999645E-2</v>
      </c>
      <c r="U101" s="55">
        <f t="shared" si="191"/>
        <v>2.291666666666714E-2</v>
      </c>
      <c r="V101" s="55">
        <f t="shared" si="191"/>
        <v>2.1186440677966267E-2</v>
      </c>
      <c r="W101" s="55">
        <f t="shared" si="191"/>
        <v>1.486486486486438E-2</v>
      </c>
      <c r="X101" s="55">
        <f t="shared" si="191"/>
        <v>2.5000000000000355E-2</v>
      </c>
      <c r="Y101" s="55">
        <f t="shared" si="191"/>
        <v>2.1969696969696528E-2</v>
      </c>
      <c r="Z101" s="55">
        <f t="shared" si="191"/>
        <v>1.7105263157895401E-2</v>
      </c>
      <c r="AA101" s="55">
        <f t="shared" si="191"/>
        <v>2.1428571428571352E-2</v>
      </c>
      <c r="AB101" s="55">
        <f t="shared" si="191"/>
        <v>1.9897959183673208E-2</v>
      </c>
      <c r="AC101" s="55">
        <f t="shared" si="191"/>
        <v>2.0714285714285907E-2</v>
      </c>
      <c r="AD101" s="55">
        <f t="shared" si="191"/>
        <v>2.1698113207547109E-2</v>
      </c>
      <c r="AE101" s="55">
        <f>LN(AE100)-LN(AD100)</f>
        <v>2.051282051282044E-2</v>
      </c>
      <c r="AF101" s="55">
        <f t="shared" ref="AF101:CI101" si="192">LN(AF100)-LN(AE100)</f>
        <v>1.1734693877550662E-2</v>
      </c>
      <c r="AG101" s="55">
        <f t="shared" si="192"/>
        <v>6.6666666666668206E-3</v>
      </c>
      <c r="AH101" s="55">
        <f t="shared" si="192"/>
        <v>1.2820512820512775E-2</v>
      </c>
      <c r="AI101" s="55">
        <f t="shared" si="192"/>
        <v>2.8645833333333925E-2</v>
      </c>
      <c r="AJ101" s="55">
        <f t="shared" si="192"/>
        <v>1.8023255813953476E-2</v>
      </c>
      <c r="AK101" s="55">
        <f t="shared" si="192"/>
        <v>2.2560975609756007E-2</v>
      </c>
      <c r="AL101" s="55">
        <f t="shared" si="192"/>
        <v>4.4186046511627275E-2</v>
      </c>
      <c r="AM101" s="55">
        <f t="shared" si="192"/>
        <v>2.0454545454545503E-2</v>
      </c>
      <c r="AN101" s="55">
        <f t="shared" si="192"/>
        <v>5.4878048780491184E-3</v>
      </c>
      <c r="AO101" s="55">
        <f t="shared" si="192"/>
        <v>7.8571428571425628E-3</v>
      </c>
      <c r="AP101" s="55">
        <f t="shared" si="192"/>
        <v>3.0952380952380842E-2</v>
      </c>
      <c r="AQ101" s="55">
        <f t="shared" si="192"/>
        <v>3.9880952380952905E-2</v>
      </c>
      <c r="AR101" s="55">
        <f t="shared" si="192"/>
        <v>4.5588235294117041E-2</v>
      </c>
      <c r="AS101" s="55">
        <f t="shared" si="192"/>
        <v>3.2236842105263896E-2</v>
      </c>
      <c r="AT101" s="55">
        <f t="shared" si="192"/>
        <v>1.9078947368420529E-2</v>
      </c>
      <c r="AU101" s="55">
        <f t="shared" si="192"/>
        <v>2.1022727272727693E-2</v>
      </c>
      <c r="AV101" s="55">
        <f t="shared" si="192"/>
        <v>1.3157894736841591E-2</v>
      </c>
      <c r="AW101" s="186">
        <f t="shared" si="192"/>
        <v>1.4375000000000249E-2</v>
      </c>
      <c r="AX101" s="186">
        <f t="shared" si="192"/>
        <v>1.7105263157894512E-2</v>
      </c>
      <c r="AY101" s="186">
        <f t="shared" si="192"/>
        <v>1.2804878048781276E-2</v>
      </c>
      <c r="AZ101" s="186">
        <f t="shared" si="192"/>
        <v>1.8902439024389928E-2</v>
      </c>
      <c r="BA101" s="186">
        <f t="shared" si="192"/>
        <v>1.0135135135135087E-2</v>
      </c>
      <c r="BB101" s="186">
        <f t="shared" si="192"/>
        <v>8.8235294117646745E-3</v>
      </c>
      <c r="BC101" s="186">
        <f t="shared" si="192"/>
        <v>2.0833333333332149E-3</v>
      </c>
      <c r="BD101" s="186">
        <f t="shared" si="192"/>
        <v>1.3815789473683893E-2</v>
      </c>
      <c r="BE101" s="186">
        <f t="shared" si="192"/>
        <v>1.8518518518518157E-2</v>
      </c>
      <c r="BF101" s="186">
        <f t="shared" si="192"/>
        <v>1.4166666666667105E-2</v>
      </c>
      <c r="BG101" s="186">
        <f t="shared" si="192"/>
        <v>0</v>
      </c>
      <c r="BH101" s="186">
        <f t="shared" si="192"/>
        <v>1.171875E-2</v>
      </c>
      <c r="BI101" s="186">
        <f t="shared" si="192"/>
        <v>1.2052748771498756E-2</v>
      </c>
      <c r="BJ101" s="186">
        <f t="shared" si="192"/>
        <v>1.499999999999968E-2</v>
      </c>
      <c r="BK101" s="186">
        <f t="shared" si="192"/>
        <v>9.6774193548387899E-3</v>
      </c>
      <c r="BL101" s="186">
        <f t="shared" si="192"/>
        <v>1.551724137931032E-2</v>
      </c>
      <c r="BM101" s="186">
        <f t="shared" si="192"/>
        <v>1.2931034482758896E-2</v>
      </c>
      <c r="BN101" s="186">
        <f t="shared" si="192"/>
        <v>9.8484848484847731E-3</v>
      </c>
      <c r="BO101" s="186">
        <f t="shared" si="192"/>
        <v>1.1363636363636687E-2</v>
      </c>
      <c r="BP101" s="186">
        <f t="shared" si="192"/>
        <v>1.7187499999999467E-2</v>
      </c>
      <c r="BQ101" s="186">
        <f t="shared" si="192"/>
        <v>8.8235294117646745E-3</v>
      </c>
      <c r="BR101" s="186">
        <f t="shared" si="192"/>
        <v>-1.666666666666039E-3</v>
      </c>
      <c r="BS101" s="186">
        <f t="shared" si="192"/>
        <v>1.7741935483870819E-2</v>
      </c>
      <c r="BT101" s="186">
        <f t="shared" si="192"/>
        <v>1.2096774193548043E-2</v>
      </c>
      <c r="BU101" s="186">
        <f t="shared" si="192"/>
        <v>3.3333333333329662E-3</v>
      </c>
      <c r="BV101" s="186">
        <f t="shared" si="192"/>
        <v>1.935483870967758E-2</v>
      </c>
      <c r="BW101" s="186">
        <f t="shared" si="192"/>
        <v>3.0645161290323131E-2</v>
      </c>
      <c r="BX101" s="186">
        <f t="shared" si="192"/>
        <v>9.9999999999997868E-3</v>
      </c>
      <c r="BY101" s="186">
        <f t="shared" si="192"/>
        <v>1.9230769230768274E-2</v>
      </c>
      <c r="BZ101" s="186">
        <f t="shared" si="192"/>
        <v>1.7647058823529349E-2</v>
      </c>
      <c r="CA101" s="186">
        <f t="shared" si="192"/>
        <v>0</v>
      </c>
      <c r="CB101" s="186">
        <f t="shared" si="192"/>
        <v>1.607142857142918E-2</v>
      </c>
      <c r="CC101" s="186">
        <f t="shared" si="192"/>
        <v>1.7241379310345195E-2</v>
      </c>
      <c r="CD101" s="186">
        <f t="shared" si="192"/>
        <v>2.5000000000000355E-2</v>
      </c>
      <c r="CE101" s="186">
        <f t="shared" si="192"/>
        <v>2.857142857142847E-2</v>
      </c>
      <c r="CF101" s="186">
        <f t="shared" si="192"/>
        <v>9.9999999999944578E-4</v>
      </c>
      <c r="CG101" s="186">
        <f t="shared" si="192"/>
        <v>2.4074074074073692E-2</v>
      </c>
      <c r="CH101" s="186">
        <f t="shared" ca="1" si="192"/>
        <v>-0.44435818721027687</v>
      </c>
      <c r="CI101" s="186">
        <f t="shared" ca="1" si="192"/>
        <v>0.48440520915385044</v>
      </c>
      <c r="CJ101" s="186">
        <f t="shared" ref="CJ101:CX101" si="193">LN(CJ100)-LN(CI100)</f>
        <v>9.3750000000003553E-3</v>
      </c>
      <c r="CK101" s="186">
        <f t="shared" si="193"/>
        <v>1.8000000000000682E-2</v>
      </c>
      <c r="CL101" s="186">
        <f t="shared" si="193"/>
        <v>5.7692307692303046E-3</v>
      </c>
      <c r="CM101" s="186">
        <f t="shared" si="193"/>
        <v>4.3478260869562746E-3</v>
      </c>
      <c r="CN101" s="186">
        <f t="shared" si="193"/>
        <v>-4.1666666666664298E-3</v>
      </c>
      <c r="CO101" s="186">
        <f t="shared" si="193"/>
        <v>1.2499999999999289E-2</v>
      </c>
      <c r="CP101" s="186">
        <f t="shared" si="193"/>
        <v>6.5217391304361882E-3</v>
      </c>
      <c r="CQ101" s="186">
        <f t="shared" si="193"/>
        <v>3.9999999999995595E-3</v>
      </c>
      <c r="CR101" s="186">
        <f t="shared" si="193"/>
        <v>8.3333333333328596E-3</v>
      </c>
      <c r="CS101" s="186">
        <f t="shared" si="193"/>
        <v>1.0837438423646262E-2</v>
      </c>
      <c r="CT101" s="186">
        <f t="shared" si="193"/>
        <v>-2.0658866995074021E-2</v>
      </c>
      <c r="CU101" s="186">
        <f t="shared" si="193"/>
        <v>9.6153846153868017E-4</v>
      </c>
      <c r="CV101" s="186">
        <f t="shared" si="193"/>
        <v>1.136363636363491E-2</v>
      </c>
      <c r="CW101" s="186">
        <f t="shared" si="193"/>
        <v>-1.7857142857131691E-3</v>
      </c>
      <c r="CX101" s="186">
        <f t="shared" si="193"/>
        <v>0</v>
      </c>
      <c r="DO101" s="89"/>
      <c r="DQ101" s="55">
        <f ca="1"/>
        <v>5.7692307692303046E-3</v>
      </c>
      <c r="DR101" s="55">
        <f ca="1"/>
        <v>4.3478260869562746E-3</v>
      </c>
      <c r="DS101" s="55">
        <f ca="1"/>
        <v>-4.1666666666664298E-3</v>
      </c>
      <c r="DT101" s="55">
        <f ca="1"/>
        <v>1.2499999999999289E-2</v>
      </c>
      <c r="DU101" s="55">
        <f ca="1"/>
        <v>6.5217391304361882E-3</v>
      </c>
      <c r="DV101" s="55">
        <f ca="1"/>
        <v>3.9999999999995595E-3</v>
      </c>
      <c r="DW101" s="55">
        <f ca="1"/>
        <v>8.3333333333328596E-3</v>
      </c>
      <c r="DX101" s="55">
        <f ca="1"/>
        <v>1.0837438423646262E-2</v>
      </c>
      <c r="DY101" s="55">
        <f ca="1"/>
        <v>-2.0658866995074021E-2</v>
      </c>
      <c r="DZ101" s="55">
        <f ca="1"/>
        <v>9.6153846153868017E-4</v>
      </c>
      <c r="EA101" s="55">
        <f ca="1"/>
        <v>1.136363636363491E-2</v>
      </c>
      <c r="EB101" s="55">
        <f ca="1"/>
        <v>-1.7857142857131691E-3</v>
      </c>
      <c r="EC101" s="186">
        <f ca="1"/>
        <v>0</v>
      </c>
    </row>
    <row r="102" spans="1:133" x14ac:dyDescent="0.3">
      <c r="C102" s="55"/>
      <c r="D102" s="55"/>
      <c r="E102" s="55"/>
      <c r="F102" s="55"/>
      <c r="G102" s="55"/>
      <c r="H102" s="55"/>
      <c r="I102" s="55"/>
      <c r="J102" s="55"/>
      <c r="K102" s="55"/>
      <c r="L102" s="55"/>
      <c r="M102" s="55"/>
      <c r="N102" s="55"/>
      <c r="O102" s="55"/>
      <c r="P102" s="55"/>
      <c r="Q102" s="55"/>
      <c r="R102" s="55"/>
      <c r="S102" s="55"/>
      <c r="T102" s="55"/>
      <c r="U102" s="55"/>
      <c r="V102" s="55"/>
      <c r="W102" s="55"/>
      <c r="X102" s="55"/>
      <c r="Y102" s="55"/>
      <c r="Z102" s="55"/>
      <c r="AA102" s="55"/>
      <c r="AB102" s="55"/>
      <c r="AC102" s="55"/>
      <c r="AD102" s="55"/>
      <c r="AE102" s="55"/>
      <c r="AF102" s="55"/>
      <c r="AG102" s="55"/>
      <c r="AH102" s="55"/>
      <c r="AI102" s="55"/>
      <c r="AJ102" s="55"/>
      <c r="AK102" s="55"/>
      <c r="AL102" s="55"/>
      <c r="AM102" s="55"/>
      <c r="AN102" s="55"/>
      <c r="AO102" s="55"/>
      <c r="AP102" s="55"/>
      <c r="AQ102" s="55"/>
      <c r="AR102" s="55"/>
      <c r="AS102" s="55"/>
      <c r="AT102" s="55"/>
      <c r="AU102" s="55"/>
      <c r="AV102" s="55"/>
      <c r="AW102" s="186"/>
      <c r="AX102" s="186"/>
      <c r="AY102" s="186"/>
      <c r="AZ102" s="186"/>
      <c r="BA102" s="186"/>
      <c r="BB102" s="186"/>
      <c r="BC102" s="186"/>
      <c r="BD102" s="186"/>
      <c r="BE102" s="186"/>
      <c r="BF102" s="186"/>
      <c r="BG102" s="186"/>
      <c r="BH102" s="186"/>
      <c r="BI102" s="186"/>
      <c r="BJ102" s="186"/>
      <c r="BK102" s="186"/>
      <c r="BL102" s="186"/>
      <c r="BM102" s="186"/>
      <c r="BN102" s="186"/>
      <c r="BO102" s="186"/>
      <c r="BP102" s="186"/>
      <c r="BQ102" s="186"/>
      <c r="BR102" s="186"/>
      <c r="BS102" s="186"/>
      <c r="BT102" s="186"/>
      <c r="BU102" s="186"/>
      <c r="BV102" s="186"/>
      <c r="BW102" s="186"/>
      <c r="BX102" s="186"/>
      <c r="BY102" s="186"/>
      <c r="BZ102" s="186"/>
      <c r="CA102" s="186"/>
      <c r="CB102" s="186"/>
      <c r="CC102" s="186"/>
      <c r="CD102" s="186"/>
      <c r="CE102" s="186"/>
      <c r="CF102" s="186"/>
      <c r="CG102" s="186"/>
      <c r="CH102" s="186"/>
      <c r="CI102" s="186"/>
      <c r="CJ102" s="186"/>
      <c r="CK102" s="186"/>
      <c r="CL102" s="186"/>
      <c r="CM102" s="186"/>
      <c r="CN102" s="186"/>
      <c r="CO102" s="186"/>
      <c r="CP102" s="186"/>
      <c r="CQ102" s="186"/>
      <c r="CR102" s="186"/>
      <c r="CS102" s="186"/>
      <c r="CT102" s="186"/>
      <c r="CU102" s="186"/>
      <c r="CV102" s="186"/>
      <c r="CW102" s="186"/>
      <c r="CX102" s="186"/>
      <c r="DO102" s="89"/>
      <c r="DQ102" s="55">
        <f ca="1"/>
        <v>0</v>
      </c>
      <c r="DR102" s="55">
        <f ca="1"/>
        <v>0</v>
      </c>
      <c r="DS102" s="55">
        <f ca="1"/>
        <v>0</v>
      </c>
      <c r="DT102" s="55">
        <f ca="1"/>
        <v>0</v>
      </c>
      <c r="DU102" s="55">
        <f ca="1"/>
        <v>0</v>
      </c>
      <c r="DV102" s="55">
        <f ca="1"/>
        <v>0</v>
      </c>
      <c r="DW102" s="55">
        <f ca="1"/>
        <v>0</v>
      </c>
      <c r="DX102" s="55">
        <f ca="1"/>
        <v>0</v>
      </c>
      <c r="DY102" s="55">
        <f ca="1"/>
        <v>0</v>
      </c>
      <c r="DZ102" s="55">
        <f ca="1"/>
        <v>0</v>
      </c>
      <c r="EA102" s="55">
        <f ca="1"/>
        <v>0</v>
      </c>
      <c r="EB102" s="55">
        <f ca="1"/>
        <v>0</v>
      </c>
      <c r="EC102" s="186">
        <f ca="1"/>
        <v>0</v>
      </c>
    </row>
    <row r="103" spans="1:133" x14ac:dyDescent="0.3">
      <c r="A103" t="str">
        <f>A104</f>
        <v>Target: End points</v>
      </c>
      <c r="C103" s="55"/>
      <c r="D103" s="55"/>
      <c r="E103" s="55"/>
      <c r="F103" s="55"/>
      <c r="G103" s="55"/>
      <c r="H103" s="55"/>
      <c r="I103" s="55"/>
      <c r="J103" s="55"/>
      <c r="K103" s="55"/>
      <c r="L103" s="55"/>
      <c r="M103" s="55"/>
      <c r="N103" s="55"/>
      <c r="O103" s="55"/>
      <c r="P103" s="55"/>
      <c r="Q103" s="55"/>
      <c r="R103" s="55"/>
      <c r="S103" s="55"/>
      <c r="T103" s="55"/>
      <c r="U103" s="55"/>
      <c r="V103" s="55"/>
      <c r="W103" s="55"/>
      <c r="X103" s="55"/>
      <c r="Y103" s="55"/>
      <c r="Z103" s="55"/>
      <c r="AA103" s="55"/>
      <c r="AB103" s="55"/>
      <c r="AC103" s="55"/>
      <c r="AD103" s="55"/>
      <c r="AE103" s="55"/>
      <c r="AF103" s="55"/>
      <c r="AG103" s="55"/>
      <c r="AH103" s="55"/>
      <c r="AI103" s="55"/>
      <c r="AJ103" s="55"/>
      <c r="AK103" s="55"/>
      <c r="AL103" s="55"/>
      <c r="AM103" s="55"/>
      <c r="AN103" s="55"/>
      <c r="AO103" s="55"/>
      <c r="AP103" s="55"/>
      <c r="AQ103" s="55"/>
      <c r="AR103" s="55"/>
      <c r="AS103" s="55"/>
      <c r="AT103" s="55"/>
      <c r="AU103" s="55"/>
      <c r="AV103" s="55"/>
      <c r="AW103" s="186"/>
      <c r="AX103" s="186"/>
      <c r="AY103" s="186"/>
      <c r="AZ103" s="186"/>
      <c r="BA103" s="186"/>
      <c r="BB103" s="186"/>
      <c r="BC103" s="186"/>
      <c r="BD103" s="186"/>
      <c r="BE103" s="186"/>
      <c r="BF103" s="186"/>
      <c r="BG103" s="186"/>
      <c r="BH103" s="186"/>
      <c r="BI103" s="186"/>
      <c r="BJ103" s="186"/>
      <c r="BK103" s="186"/>
      <c r="BL103" s="186"/>
      <c r="BM103" s="186"/>
      <c r="BN103" s="186"/>
      <c r="BO103" s="186"/>
      <c r="BP103" s="186"/>
      <c r="BQ103" s="186"/>
      <c r="BR103" s="186"/>
      <c r="BS103" s="186"/>
      <c r="BT103" s="186"/>
      <c r="BU103" s="186"/>
      <c r="BV103" s="186"/>
      <c r="BW103" s="186"/>
      <c r="BX103" s="186"/>
      <c r="BY103" s="186"/>
      <c r="BZ103" s="186"/>
      <c r="CA103" s="186"/>
      <c r="CB103" s="186"/>
      <c r="CC103" s="186"/>
      <c r="CD103" s="186"/>
      <c r="CE103" s="186"/>
      <c r="CF103" s="186"/>
      <c r="CG103" s="186"/>
      <c r="CH103" s="186"/>
      <c r="CI103" s="186"/>
      <c r="CJ103" s="186"/>
      <c r="CK103" s="186"/>
      <c r="CL103" s="186"/>
      <c r="CM103" s="186"/>
      <c r="CN103" s="186"/>
      <c r="CO103" s="186"/>
      <c r="CP103" s="186"/>
      <c r="CQ103" s="186"/>
      <c r="CR103" s="186"/>
      <c r="CS103" s="186"/>
      <c r="CT103" s="186"/>
      <c r="CU103" s="186"/>
      <c r="CV103" s="186"/>
      <c r="CW103" s="186"/>
      <c r="CX103" s="186"/>
      <c r="DO103" s="89"/>
      <c r="DQ103" s="55">
        <f ca="1"/>
        <v>0</v>
      </c>
      <c r="DR103" s="55">
        <f ca="1"/>
        <v>0</v>
      </c>
      <c r="DS103" s="55">
        <f ca="1"/>
        <v>0</v>
      </c>
      <c r="DT103" s="55">
        <f ca="1"/>
        <v>0</v>
      </c>
      <c r="DU103" s="55">
        <f ca="1"/>
        <v>0</v>
      </c>
      <c r="DV103" s="55">
        <f ca="1"/>
        <v>0</v>
      </c>
      <c r="DW103" s="55">
        <f ca="1"/>
        <v>0</v>
      </c>
      <c r="DX103" s="55">
        <f ca="1"/>
        <v>0</v>
      </c>
      <c r="DY103" s="55">
        <f ca="1"/>
        <v>0</v>
      </c>
      <c r="DZ103" s="55">
        <f ca="1"/>
        <v>0</v>
      </c>
      <c r="EA103" s="55">
        <f ca="1"/>
        <v>0</v>
      </c>
      <c r="EB103" s="55">
        <f ca="1"/>
        <v>0</v>
      </c>
      <c r="EC103" s="186">
        <f ca="1"/>
        <v>0</v>
      </c>
    </row>
    <row r="104" spans="1:133" x14ac:dyDescent="0.3">
      <c r="A104" t="str">
        <f>A105</f>
        <v>Target: End points</v>
      </c>
      <c r="B104" s="57" t="str">
        <f>C$1</f>
        <v>Apr</v>
      </c>
      <c r="C104" s="57" t="str">
        <f t="shared" ref="C104:N104" si="194">D$1</f>
        <v>May</v>
      </c>
      <c r="D104" s="57" t="str">
        <f t="shared" si="194"/>
        <v>Jun</v>
      </c>
      <c r="E104" s="57" t="str">
        <f t="shared" si="194"/>
        <v>Jul</v>
      </c>
      <c r="F104" s="57" t="str">
        <f t="shared" si="194"/>
        <v>Aug</v>
      </c>
      <c r="G104" s="57" t="str">
        <f t="shared" si="194"/>
        <v>Sep</v>
      </c>
      <c r="H104" s="57" t="str">
        <f t="shared" si="194"/>
        <v>Oct</v>
      </c>
      <c r="I104" s="57" t="str">
        <f t="shared" si="194"/>
        <v>Nov</v>
      </c>
      <c r="J104" s="57" t="str">
        <f t="shared" si="194"/>
        <v>Dec 2011</v>
      </c>
      <c r="K104" s="57" t="str">
        <f t="shared" si="194"/>
        <v>Jan 2012</v>
      </c>
      <c r="L104" s="57" t="str">
        <f t="shared" si="194"/>
        <v>Feb</v>
      </c>
      <c r="M104" s="57" t="str">
        <f t="shared" si="194"/>
        <v>Mar</v>
      </c>
      <c r="N104" s="57" t="str">
        <f t="shared" si="194"/>
        <v>Apr</v>
      </c>
      <c r="O104" s="57" t="str">
        <f t="shared" ref="O104:AD104" si="195">P$1</f>
        <v>May</v>
      </c>
      <c r="P104" s="57" t="str">
        <f t="shared" si="195"/>
        <v>Jun</v>
      </c>
      <c r="Q104" s="57" t="str">
        <f t="shared" si="195"/>
        <v>Jul</v>
      </c>
      <c r="R104" s="57" t="str">
        <f t="shared" si="195"/>
        <v>Aug</v>
      </c>
      <c r="S104" s="57" t="str">
        <f t="shared" si="195"/>
        <v>Sep</v>
      </c>
      <c r="T104" s="57" t="str">
        <f t="shared" si="195"/>
        <v>Oct</v>
      </c>
      <c r="U104" s="57" t="str">
        <f t="shared" si="195"/>
        <v>Nov</v>
      </c>
      <c r="V104" s="57" t="str">
        <f t="shared" si="195"/>
        <v>Dec 2012</v>
      </c>
      <c r="W104" s="57" t="str">
        <f t="shared" si="195"/>
        <v>Jan 2013</v>
      </c>
      <c r="X104" s="57" t="str">
        <f t="shared" si="195"/>
        <v>Feb</v>
      </c>
      <c r="Y104" s="57" t="str">
        <f t="shared" si="195"/>
        <v>Mar</v>
      </c>
      <c r="Z104" s="57" t="str">
        <f t="shared" si="195"/>
        <v>Apr</v>
      </c>
      <c r="AA104" s="57" t="str">
        <f t="shared" si="195"/>
        <v>May</v>
      </c>
      <c r="AB104" s="57" t="str">
        <f t="shared" si="195"/>
        <v>Jun</v>
      </c>
      <c r="AC104" s="57" t="str">
        <f t="shared" si="195"/>
        <v>Jul</v>
      </c>
      <c r="AD104" s="57" t="str">
        <f t="shared" si="195"/>
        <v>Aug</v>
      </c>
      <c r="AE104" s="57" t="str">
        <f>AF$1</f>
        <v>Sep</v>
      </c>
      <c r="AF104" s="57" t="str">
        <f t="shared" ref="AF104:AK104" si="196">AG$1</f>
        <v>Oct</v>
      </c>
      <c r="AG104" s="57" t="str">
        <f t="shared" si="196"/>
        <v>Nov</v>
      </c>
      <c r="AH104" s="57" t="str">
        <f t="shared" si="196"/>
        <v>Dec 2013</v>
      </c>
      <c r="AI104" s="57" t="str">
        <f t="shared" si="196"/>
        <v>Jan 2014</v>
      </c>
      <c r="AJ104" s="57" t="str">
        <f t="shared" si="196"/>
        <v>Feb</v>
      </c>
      <c r="AK104" s="57" t="str">
        <f t="shared" si="196"/>
        <v>Mar</v>
      </c>
      <c r="AL104" s="57" t="str">
        <f t="shared" ref="AL104:CI104" si="197">AM$1</f>
        <v>Apr</v>
      </c>
      <c r="AM104" s="57" t="str">
        <f t="shared" si="197"/>
        <v>May</v>
      </c>
      <c r="AN104" s="57" t="str">
        <f t="shared" si="197"/>
        <v>Jun</v>
      </c>
      <c r="AO104" s="57" t="str">
        <f t="shared" si="197"/>
        <v>Jul</v>
      </c>
      <c r="AP104" s="57" t="str">
        <f t="shared" si="197"/>
        <v>Aug</v>
      </c>
      <c r="AQ104" s="57" t="str">
        <f t="shared" si="197"/>
        <v>Sep</v>
      </c>
      <c r="AR104" s="57" t="str">
        <f t="shared" si="197"/>
        <v>Oct</v>
      </c>
      <c r="AS104" s="57" t="str">
        <f t="shared" si="197"/>
        <v>Nov</v>
      </c>
      <c r="AT104" s="57" t="str">
        <f t="shared" si="197"/>
        <v>Dec '14</v>
      </c>
      <c r="AU104" s="57" t="str">
        <f t="shared" si="197"/>
        <v>Jan '15</v>
      </c>
      <c r="AV104" s="57" t="str">
        <f t="shared" si="197"/>
        <v>Feb</v>
      </c>
      <c r="AW104" s="57" t="str">
        <f t="shared" si="197"/>
        <v>Mar</v>
      </c>
      <c r="AX104" s="57" t="str">
        <f t="shared" si="197"/>
        <v>Apr</v>
      </c>
      <c r="AY104" s="57" t="str">
        <f t="shared" si="197"/>
        <v>May</v>
      </c>
      <c r="AZ104" s="57" t="str">
        <f t="shared" si="197"/>
        <v>Jun</v>
      </c>
      <c r="BA104" s="57" t="str">
        <f t="shared" si="197"/>
        <v>Jul</v>
      </c>
      <c r="BB104" s="57" t="str">
        <f t="shared" si="197"/>
        <v>Aug</v>
      </c>
      <c r="BC104" s="57" t="str">
        <f t="shared" si="197"/>
        <v>Sep</v>
      </c>
      <c r="BD104" s="57" t="str">
        <f t="shared" si="197"/>
        <v>Oct</v>
      </c>
      <c r="BE104" s="57" t="str">
        <f t="shared" si="197"/>
        <v>Nov</v>
      </c>
      <c r="BF104" s="57" t="str">
        <f t="shared" si="197"/>
        <v>Dec '15</v>
      </c>
      <c r="BG104" s="57" t="str">
        <f t="shared" si="197"/>
        <v>Jan '16</v>
      </c>
      <c r="BH104" s="57" t="str">
        <f t="shared" si="197"/>
        <v>Feb</v>
      </c>
      <c r="BI104" s="57" t="str">
        <f t="shared" si="197"/>
        <v>Mar</v>
      </c>
      <c r="BJ104" s="57" t="str">
        <f t="shared" si="197"/>
        <v>Apr</v>
      </c>
      <c r="BK104" s="57" t="str">
        <f t="shared" si="197"/>
        <v>May</v>
      </c>
      <c r="BL104" s="57" t="str">
        <f t="shared" si="197"/>
        <v>Jun</v>
      </c>
      <c r="BM104" s="57" t="str">
        <f t="shared" si="197"/>
        <v>Jul</v>
      </c>
      <c r="BN104" s="57" t="str">
        <f t="shared" si="197"/>
        <v>Aug</v>
      </c>
      <c r="BO104" s="57" t="str">
        <f t="shared" si="197"/>
        <v>Sep</v>
      </c>
      <c r="BP104" s="57" t="str">
        <f t="shared" si="197"/>
        <v>Oct</v>
      </c>
      <c r="BQ104" s="57" t="str">
        <f t="shared" si="197"/>
        <v>Nov</v>
      </c>
      <c r="BR104" s="57" t="str">
        <f t="shared" si="197"/>
        <v>Dec-16</v>
      </c>
      <c r="BS104" s="57" t="str">
        <f t="shared" si="197"/>
        <v>Jan-17</v>
      </c>
      <c r="BT104" s="57" t="str">
        <f t="shared" si="197"/>
        <v>Feb</v>
      </c>
      <c r="BU104" s="57" t="str">
        <f t="shared" si="197"/>
        <v>Mar</v>
      </c>
      <c r="BV104" s="57" t="str">
        <f t="shared" si="197"/>
        <v>Apr</v>
      </c>
      <c r="BW104" s="57" t="str">
        <f t="shared" si="197"/>
        <v>May</v>
      </c>
      <c r="BX104" s="57" t="str">
        <f t="shared" si="197"/>
        <v>Jun</v>
      </c>
      <c r="BY104" s="57" t="str">
        <f t="shared" si="197"/>
        <v>Jul</v>
      </c>
      <c r="BZ104" s="57" t="str">
        <f t="shared" si="197"/>
        <v>Aug</v>
      </c>
      <c r="CA104" s="57" t="str">
        <f t="shared" si="197"/>
        <v>Sep</v>
      </c>
      <c r="CB104" s="57" t="str">
        <f t="shared" si="197"/>
        <v>Oct</v>
      </c>
      <c r="CC104" s="57" t="str">
        <f t="shared" si="197"/>
        <v>Nov</v>
      </c>
      <c r="CD104" s="57" t="str">
        <f t="shared" si="197"/>
        <v>Dec</v>
      </c>
      <c r="CE104" s="57" t="str">
        <f t="shared" si="197"/>
        <v>Jan '18</v>
      </c>
      <c r="CF104" s="57" t="str">
        <f t="shared" si="197"/>
        <v>Feb</v>
      </c>
      <c r="CG104" s="57" t="str">
        <f t="shared" si="197"/>
        <v>Mar</v>
      </c>
      <c r="CH104" s="57" t="str">
        <f t="shared" si="197"/>
        <v>Apr</v>
      </c>
      <c r="CI104" s="57" t="str">
        <f t="shared" si="197"/>
        <v>May</v>
      </c>
      <c r="CJ104" s="57" t="str">
        <f t="shared" ref="CJ104:CO104" si="198">CK$1</f>
        <v>Jun</v>
      </c>
      <c r="CK104" s="57" t="str">
        <f t="shared" si="198"/>
        <v>Jul</v>
      </c>
      <c r="CL104" s="57" t="str">
        <f t="shared" si="198"/>
        <v>Aug</v>
      </c>
      <c r="CM104" s="57" t="str">
        <f t="shared" si="198"/>
        <v>Sep</v>
      </c>
      <c r="CN104" s="57" t="str">
        <f t="shared" si="198"/>
        <v>Oct</v>
      </c>
      <c r="CO104" s="57" t="str">
        <f t="shared" si="198"/>
        <v>Nov</v>
      </c>
      <c r="CP104" s="57" t="str">
        <f t="shared" ref="CP104:CX104" si="199">CQ$1</f>
        <v>Dec-18</v>
      </c>
      <c r="CQ104" s="57" t="str">
        <f t="shared" si="199"/>
        <v>Jan-19</v>
      </c>
      <c r="CR104" s="57" t="str">
        <f t="shared" si="199"/>
        <v>Feb-19</v>
      </c>
      <c r="CS104" s="57" t="str">
        <f t="shared" si="199"/>
        <v>Mar-19</v>
      </c>
      <c r="CT104" s="57" t="str">
        <f t="shared" si="199"/>
        <v>Apr-19</v>
      </c>
      <c r="CU104" s="57" t="str">
        <f t="shared" si="199"/>
        <v>May-19</v>
      </c>
      <c r="CV104" s="57" t="str">
        <f t="shared" si="199"/>
        <v>June-19</v>
      </c>
      <c r="CW104" s="57" t="str">
        <f t="shared" si="199"/>
        <v>July-19</v>
      </c>
      <c r="CX104" s="57" t="str">
        <f t="shared" si="199"/>
        <v>Aug-19</v>
      </c>
      <c r="DO104" s="89"/>
      <c r="DQ104" s="57" t="str">
        <f ca="1"/>
        <v>Aug</v>
      </c>
      <c r="DR104" s="57" t="str">
        <f ca="1"/>
        <v>Sep</v>
      </c>
      <c r="DS104" s="57" t="str">
        <f ca="1"/>
        <v>Oct</v>
      </c>
      <c r="DT104" s="57" t="str">
        <f ca="1"/>
        <v>Nov</v>
      </c>
      <c r="DU104" s="57" t="str">
        <f ca="1"/>
        <v>Dec-18</v>
      </c>
      <c r="DV104" s="57" t="str">
        <f ca="1"/>
        <v>Jan-19</v>
      </c>
      <c r="DW104" s="57" t="str">
        <f ca="1"/>
        <v>Feb-19</v>
      </c>
      <c r="DX104" s="57" t="str">
        <f ca="1"/>
        <v>Mar-19</v>
      </c>
      <c r="DY104" s="57" t="str">
        <f ca="1"/>
        <v>Apr-19</v>
      </c>
      <c r="DZ104" s="57" t="str">
        <f ca="1"/>
        <v>May-19</v>
      </c>
      <c r="EA104" s="57" t="str">
        <f ca="1"/>
        <v>June-19</v>
      </c>
      <c r="EB104" s="57" t="str">
        <f ca="1"/>
        <v>July-19</v>
      </c>
      <c r="EC104" s="57" t="str">
        <f ca="1"/>
        <v>Aug-19</v>
      </c>
    </row>
    <row r="105" spans="1:133" x14ac:dyDescent="0.3">
      <c r="A105" t="str">
        <f>A17</f>
        <v>Target: End points</v>
      </c>
      <c r="B105">
        <f t="shared" ref="B105:CI105" si="200">C17</f>
        <v>1000</v>
      </c>
      <c r="C105" s="56">
        <f t="shared" si="200"/>
        <v>1000</v>
      </c>
      <c r="D105" s="56">
        <f t="shared" si="200"/>
        <v>1000</v>
      </c>
      <c r="E105" s="56">
        <f t="shared" si="200"/>
        <v>1000</v>
      </c>
      <c r="F105" s="56">
        <f t="shared" si="200"/>
        <v>1000</v>
      </c>
      <c r="G105" s="56">
        <f t="shared" si="200"/>
        <v>1000</v>
      </c>
      <c r="H105" s="56">
        <f t="shared" si="200"/>
        <v>1000</v>
      </c>
      <c r="I105" s="56">
        <f t="shared" si="200"/>
        <v>1000</v>
      </c>
      <c r="J105" s="56">
        <f t="shared" si="200"/>
        <v>1000</v>
      </c>
      <c r="K105" s="56">
        <f t="shared" si="200"/>
        <v>1000</v>
      </c>
      <c r="L105" s="56">
        <f t="shared" si="200"/>
        <v>1000</v>
      </c>
      <c r="M105" s="56">
        <f t="shared" si="200"/>
        <v>1000</v>
      </c>
      <c r="N105" s="56">
        <f t="shared" si="200"/>
        <v>1000</v>
      </c>
      <c r="O105" s="56">
        <f t="shared" si="200"/>
        <v>1023.5488589107315</v>
      </c>
      <c r="P105" s="56">
        <f t="shared" si="200"/>
        <v>1060.9481175317599</v>
      </c>
      <c r="Q105" s="56">
        <f t="shared" si="200"/>
        <v>1086.267887323994</v>
      </c>
      <c r="R105" s="56">
        <f t="shared" si="200"/>
        <v>1116.4474345856088</v>
      </c>
      <c r="S105" s="56">
        <f t="shared" si="200"/>
        <v>1162.2631571781924</v>
      </c>
      <c r="T105" s="56">
        <f t="shared" si="200"/>
        <v>1184.2611783543093</v>
      </c>
      <c r="U105" s="56">
        <f t="shared" si="200"/>
        <v>1202.2842254822369</v>
      </c>
      <c r="V105" s="56">
        <f t="shared" si="200"/>
        <v>1237.4302224233422</v>
      </c>
      <c r="W105" s="56">
        <f t="shared" si="200"/>
        <v>1268.3273562847967</v>
      </c>
      <c r="X105" s="56">
        <f t="shared" si="200"/>
        <v>1316.2252167776542</v>
      </c>
      <c r="Y105" s="56">
        <f t="shared" si="200"/>
        <v>1344.4433710074625</v>
      </c>
      <c r="Z105" s="56">
        <f t="shared" si="200"/>
        <v>1356.2886107626834</v>
      </c>
      <c r="AA105" s="56">
        <f t="shared" si="200"/>
        <v>1372.9983219751625</v>
      </c>
      <c r="AB105" s="56">
        <f t="shared" si="200"/>
        <v>1382.8405618569118</v>
      </c>
      <c r="AC105" s="56">
        <f t="shared" si="200"/>
        <v>1383.8286579648372</v>
      </c>
      <c r="AD105" s="56">
        <f t="shared" si="200"/>
        <v>1400.243990427266</v>
      </c>
      <c r="AE105" s="56">
        <f t="shared" si="200"/>
        <v>1426.517620566859</v>
      </c>
      <c r="AF105" s="56">
        <f t="shared" si="200"/>
        <v>1450.7388503154323</v>
      </c>
      <c r="AG105" s="56">
        <f t="shared" si="200"/>
        <v>1462.8788538281285</v>
      </c>
      <c r="AH105" s="56">
        <f t="shared" si="200"/>
        <v>1496.0708070767737</v>
      </c>
      <c r="AI105" s="56">
        <f t="shared" si="200"/>
        <v>1517.2579255764388</v>
      </c>
      <c r="AJ105" s="56">
        <f t="shared" si="200"/>
        <v>1545.7502026047648</v>
      </c>
      <c r="AK105" s="56">
        <f t="shared" si="200"/>
        <v>1567.5811315852297</v>
      </c>
      <c r="AL105" s="56">
        <f t="shared" si="200"/>
        <v>1601.6676675891749</v>
      </c>
      <c r="AM105" s="56">
        <f t="shared" si="200"/>
        <v>1622.7359138873423</v>
      </c>
      <c r="AN105" s="56">
        <f t="shared" si="200"/>
        <v>1650.6790211527527</v>
      </c>
      <c r="AO105" s="56">
        <f t="shared" si="200"/>
        <v>1668.4599527005234</v>
      </c>
      <c r="AP105" s="56">
        <f t="shared" si="200"/>
        <v>1705.6134256459725</v>
      </c>
      <c r="AQ105" s="56">
        <f t="shared" si="200"/>
        <v>1767.629020531306</v>
      </c>
      <c r="AR105" s="56">
        <f t="shared" si="200"/>
        <v>1816.3790648266449</v>
      </c>
      <c r="AS105" s="56">
        <f t="shared" si="200"/>
        <v>1887.02759358611</v>
      </c>
      <c r="AT105" s="56">
        <f t="shared" si="200"/>
        <v>1941.1728707682366</v>
      </c>
      <c r="AU105" s="56">
        <f t="shared" si="200"/>
        <v>1977.9132265593789</v>
      </c>
      <c r="AV105" s="56">
        <f t="shared" si="200"/>
        <v>2019.9949159121352</v>
      </c>
      <c r="AW105" s="56">
        <f t="shared" si="200"/>
        <v>2058.2271274912819</v>
      </c>
      <c r="AX105" s="56">
        <f t="shared" si="200"/>
        <v>2070.4501495088243</v>
      </c>
      <c r="AY105" s="56">
        <f t="shared" si="200"/>
        <v>2108.6727688992059</v>
      </c>
      <c r="AZ105" s="56">
        <f t="shared" si="200"/>
        <v>2163.3728018557231</v>
      </c>
      <c r="BA105" s="56">
        <f t="shared" si="200"/>
        <v>2234.6864303952166</v>
      </c>
      <c r="BB105" s="56">
        <f t="shared" si="200"/>
        <v>2284.5286938003583</v>
      </c>
      <c r="BC105" s="56">
        <f t="shared" si="200"/>
        <v>2313.2645272685149</v>
      </c>
      <c r="BD105" s="56">
        <f t="shared" si="200"/>
        <v>2331.5994213096042</v>
      </c>
      <c r="BE105" s="56">
        <f t="shared" si="200"/>
        <v>2368.5908961379896</v>
      </c>
      <c r="BF105" s="56">
        <f t="shared" si="200"/>
        <v>2408.3982172883743</v>
      </c>
      <c r="BG105" s="56">
        <f t="shared" si="200"/>
        <v>2444.0775431073666</v>
      </c>
      <c r="BH105" s="56">
        <f t="shared" si="200"/>
        <v>2515.7576703415593</v>
      </c>
      <c r="BI105" s="56">
        <f t="shared" si="200"/>
        <v>2555.7986000853066</v>
      </c>
      <c r="BJ105" s="56">
        <f t="shared" si="200"/>
        <v>2622.3714033005158</v>
      </c>
      <c r="BK105" s="56">
        <f t="shared" si="200"/>
        <v>2654.286282381106</v>
      </c>
      <c r="BL105" s="56">
        <f t="shared" si="200"/>
        <v>2747.4097452416831</v>
      </c>
      <c r="BM105" s="56">
        <f t="shared" si="200"/>
        <v>2783.1672881507593</v>
      </c>
      <c r="BN105" s="56">
        <f t="shared" si="200"/>
        <v>2785.2765470783761</v>
      </c>
      <c r="BO105" s="56">
        <f t="shared" si="200"/>
        <v>2855.7861585615301</v>
      </c>
      <c r="BP105" s="56">
        <f t="shared" si="200"/>
        <v>2889.4492621117724</v>
      </c>
      <c r="BQ105" s="56">
        <f t="shared" si="200"/>
        <v>2908.6340265090989</v>
      </c>
      <c r="BR105" s="56">
        <f t="shared" si="200"/>
        <v>2925.6506418721042</v>
      </c>
      <c r="BS105" s="56">
        <f t="shared" si="200"/>
        <v>2944.58682608657</v>
      </c>
      <c r="BT105" s="56">
        <f t="shared" si="200"/>
        <v>2987.6425737459267</v>
      </c>
      <c r="BU105" s="56">
        <f t="shared" si="200"/>
        <v>2980.182795919146</v>
      </c>
      <c r="BV105" s="56">
        <f t="shared" si="200"/>
        <v>3001.8918424502108</v>
      </c>
      <c r="BW105" s="56">
        <f t="shared" si="200"/>
        <v>3102.8071071548629</v>
      </c>
      <c r="BX105" s="56">
        <f t="shared" si="200"/>
        <v>3152.3258754313169</v>
      </c>
      <c r="BY105" s="56">
        <f t="shared" si="200"/>
        <v>3182.7828944729231</v>
      </c>
      <c r="BZ105" s="56">
        <f t="shared" si="200"/>
        <v>3201.5603203717887</v>
      </c>
      <c r="CA105" s="56">
        <f t="shared" si="200"/>
        <v>3206.0100212826433</v>
      </c>
      <c r="CB105" s="56">
        <f t="shared" si="200"/>
        <v>3240.5448060587187</v>
      </c>
      <c r="CC105" s="56">
        <f t="shared" si="200"/>
        <v>3291.2212847512142</v>
      </c>
      <c r="CD105" s="56">
        <f t="shared" si="200"/>
        <v>3313.4484547687593</v>
      </c>
      <c r="CE105" s="56">
        <f t="shared" si="200"/>
        <v>3349.1405544479358</v>
      </c>
      <c r="CF105" s="56">
        <f t="shared" si="200"/>
        <v>3352.4913701309906</v>
      </c>
      <c r="CG105" s="56">
        <f t="shared" si="200"/>
        <v>3399.3786023362436</v>
      </c>
      <c r="CH105" s="56">
        <f t="shared" ca="1" si="200"/>
        <v>1946.4818885354571</v>
      </c>
      <c r="CI105" s="56">
        <f t="shared" si="200"/>
        <v>3495.692591288112</v>
      </c>
      <c r="CJ105" s="56">
        <f t="shared" ref="CJ105:CO105" si="201">CK17</f>
        <v>3488.4174792626222</v>
      </c>
      <c r="CK105" s="56">
        <f t="shared" si="201"/>
        <v>3530.5306627577556</v>
      </c>
      <c r="CL105" s="56">
        <f t="shared" si="201"/>
        <v>3544.135773748686</v>
      </c>
      <c r="CM105" s="56">
        <f t="shared" si="201"/>
        <v>3582.8691146150236</v>
      </c>
      <c r="CN105" s="56">
        <f t="shared" si="201"/>
        <v>3543.2798056876982</v>
      </c>
      <c r="CO105" s="56">
        <f t="shared" si="201"/>
        <v>3565.4946535589329</v>
      </c>
      <c r="CP105" s="56">
        <f t="shared" ref="CP105:CX105" si="202">CQ17</f>
        <v>3616.2342854998592</v>
      </c>
      <c r="CQ105" s="56">
        <f t="shared" si="202"/>
        <v>3609.0090445781948</v>
      </c>
      <c r="CR105" s="56">
        <f t="shared" si="202"/>
        <v>3594.0027916298573</v>
      </c>
      <c r="CS105" s="56">
        <f t="shared" si="202"/>
        <v>3474.1088277453118</v>
      </c>
      <c r="CT105" s="56">
        <f t="shared" si="202"/>
        <v>3624.4375034017585</v>
      </c>
      <c r="CU105" s="56">
        <f t="shared" si="202"/>
        <v>3627.9242154979756</v>
      </c>
      <c r="CV105" s="56">
        <f t="shared" si="202"/>
        <v>3652.744581151534</v>
      </c>
      <c r="CW105" s="56">
        <f t="shared" si="202"/>
        <v>3656.0074166480781</v>
      </c>
      <c r="CX105" s="56">
        <f t="shared" si="202"/>
        <v>3656.0074166480781</v>
      </c>
      <c r="DO105" s="89"/>
      <c r="DQ105" s="56">
        <f ca="1"/>
        <v>3544.135773748686</v>
      </c>
      <c r="DR105" s="56">
        <f ca="1"/>
        <v>3582.8691146150236</v>
      </c>
      <c r="DS105" s="56">
        <f ca="1"/>
        <v>3543.2798056876982</v>
      </c>
      <c r="DT105" s="56">
        <f ca="1"/>
        <v>3565.4946535589329</v>
      </c>
      <c r="DU105" s="56">
        <f ca="1"/>
        <v>3616.2342854998592</v>
      </c>
      <c r="DV105" s="56">
        <f ca="1"/>
        <v>3609.0090445781948</v>
      </c>
      <c r="DW105" s="56">
        <f ca="1"/>
        <v>3594.0027916298573</v>
      </c>
      <c r="DX105" s="56">
        <f ca="1"/>
        <v>3474.1088277453118</v>
      </c>
      <c r="DY105" s="56">
        <f ca="1"/>
        <v>3624.4375034017585</v>
      </c>
      <c r="DZ105" s="56">
        <f ca="1"/>
        <v>3627.9242154979756</v>
      </c>
      <c r="EA105" s="56">
        <f ca="1"/>
        <v>3652.744581151534</v>
      </c>
      <c r="EB105" s="56">
        <f ca="1"/>
        <v>3656.0074166480781</v>
      </c>
      <c r="EC105" s="56">
        <f ca="1"/>
        <v>3656.0074166480781</v>
      </c>
    </row>
    <row r="106" spans="1:133" x14ac:dyDescent="0.3">
      <c r="A106" t="s">
        <v>108</v>
      </c>
      <c r="C106" s="55">
        <f t="shared" ref="C106:M106" si="203">LN(C105)-LN(B105)</f>
        <v>0</v>
      </c>
      <c r="D106" s="55">
        <f t="shared" si="203"/>
        <v>0</v>
      </c>
      <c r="E106" s="55">
        <f t="shared" si="203"/>
        <v>0</v>
      </c>
      <c r="F106" s="55">
        <f t="shared" si="203"/>
        <v>0</v>
      </c>
      <c r="G106" s="55">
        <f t="shared" si="203"/>
        <v>0</v>
      </c>
      <c r="H106" s="55">
        <f t="shared" si="203"/>
        <v>0</v>
      </c>
      <c r="I106" s="55">
        <f t="shared" si="203"/>
        <v>0</v>
      </c>
      <c r="J106" s="55">
        <f t="shared" si="203"/>
        <v>0</v>
      </c>
      <c r="K106" s="55">
        <f t="shared" si="203"/>
        <v>0</v>
      </c>
      <c r="L106" s="55">
        <f t="shared" si="203"/>
        <v>0</v>
      </c>
      <c r="M106" s="55">
        <f t="shared" si="203"/>
        <v>0</v>
      </c>
      <c r="N106" s="55">
        <f t="shared" ref="N106:AD106" si="204">LN(N105)-LN(M105)</f>
        <v>0</v>
      </c>
      <c r="O106" s="55">
        <f t="shared" si="204"/>
        <v>2.327586206896548E-2</v>
      </c>
      <c r="P106" s="55">
        <f t="shared" si="204"/>
        <v>3.5887096774193772E-2</v>
      </c>
      <c r="Q106" s="55">
        <f t="shared" si="204"/>
        <v>2.3584905660377409E-2</v>
      </c>
      <c r="R106" s="55">
        <f t="shared" si="204"/>
        <v>2.7403846153846168E-2</v>
      </c>
      <c r="S106" s="55">
        <f t="shared" si="204"/>
        <v>4.0217391304347316E-2</v>
      </c>
      <c r="T106" s="55">
        <f t="shared" si="204"/>
        <v>1.8750000000000711E-2</v>
      </c>
      <c r="U106" s="55">
        <f t="shared" si="204"/>
        <v>1.5104166666666252E-2</v>
      </c>
      <c r="V106" s="55">
        <f t="shared" si="204"/>
        <v>2.8813559322034443E-2</v>
      </c>
      <c r="W106" s="55">
        <f t="shared" si="204"/>
        <v>2.4662162162162105E-2</v>
      </c>
      <c r="X106" s="55">
        <f t="shared" si="204"/>
        <v>3.7068965517240926E-2</v>
      </c>
      <c r="Y106" s="55">
        <f t="shared" si="204"/>
        <v>2.121212121212146E-2</v>
      </c>
      <c r="Z106" s="55">
        <f t="shared" si="204"/>
        <v>8.7719298245616528E-3</v>
      </c>
      <c r="AA106" s="55">
        <f t="shared" si="204"/>
        <v>1.2244897959183376E-2</v>
      </c>
      <c r="AB106" s="55">
        <f t="shared" si="204"/>
        <v>7.1428571428571175E-3</v>
      </c>
      <c r="AC106" s="55">
        <f t="shared" si="204"/>
        <v>7.1428571428544529E-4</v>
      </c>
      <c r="AD106" s="55">
        <f t="shared" si="204"/>
        <v>1.1792452830189148E-2</v>
      </c>
      <c r="AE106" s="55">
        <f>LN(AE105)-LN(AD105)</f>
        <v>1.858974358974308E-2</v>
      </c>
      <c r="AF106" s="55">
        <f t="shared" ref="AF106:CI106" si="205">LN(AF105)-LN(AE105)</f>
        <v>1.6836734693877808E-2</v>
      </c>
      <c r="AG106" s="55">
        <f t="shared" si="205"/>
        <v>8.3333333333337478E-3</v>
      </c>
      <c r="AH106" s="55">
        <f t="shared" si="205"/>
        <v>2.2435897435896912E-2</v>
      </c>
      <c r="AI106" s="55">
        <f t="shared" si="205"/>
        <v>1.4062500000000533E-2</v>
      </c>
      <c r="AJ106" s="55">
        <f t="shared" si="205"/>
        <v>1.8604651162791086E-2</v>
      </c>
      <c r="AK106" s="55">
        <f t="shared" si="205"/>
        <v>1.4024390243902118E-2</v>
      </c>
      <c r="AL106" s="55">
        <f t="shared" si="205"/>
        <v>2.1511627906976472E-2</v>
      </c>
      <c r="AM106" s="55">
        <f t="shared" si="205"/>
        <v>1.3068181818181479E-2</v>
      </c>
      <c r="AN106" s="55">
        <f t="shared" si="205"/>
        <v>1.7073170731707776E-2</v>
      </c>
      <c r="AO106" s="55">
        <f t="shared" si="205"/>
        <v>1.0714285714285232E-2</v>
      </c>
      <c r="AP106" s="55">
        <f t="shared" si="205"/>
        <v>2.2023809523809668E-2</v>
      </c>
      <c r="AQ106" s="55">
        <f t="shared" si="205"/>
        <v>3.5714285714285587E-2</v>
      </c>
      <c r="AR106" s="55">
        <f t="shared" si="205"/>
        <v>2.7205882352941302E-2</v>
      </c>
      <c r="AS106" s="55">
        <f t="shared" si="205"/>
        <v>3.8157894736841946E-2</v>
      </c>
      <c r="AT106" s="55">
        <f t="shared" si="205"/>
        <v>2.8289473684210975E-2</v>
      </c>
      <c r="AU106" s="55">
        <f t="shared" si="205"/>
        <v>1.8749999999999822E-2</v>
      </c>
      <c r="AV106" s="55">
        <f t="shared" si="205"/>
        <v>2.1052631578947434E-2</v>
      </c>
      <c r="AW106" s="186">
        <f t="shared" si="205"/>
        <v>1.8749999999999822E-2</v>
      </c>
      <c r="AX106" s="186">
        <f t="shared" si="205"/>
        <v>5.921052631578938E-3</v>
      </c>
      <c r="AY106" s="186">
        <f t="shared" si="205"/>
        <v>1.8292682926829507E-2</v>
      </c>
      <c r="AZ106" s="186">
        <f t="shared" si="205"/>
        <v>2.5609756097560776E-2</v>
      </c>
      <c r="BA106" s="186">
        <f t="shared" si="205"/>
        <v>3.2432432432432101E-2</v>
      </c>
      <c r="BB106" s="186">
        <f t="shared" si="205"/>
        <v>2.205882352941213E-2</v>
      </c>
      <c r="BC106" s="186">
        <f t="shared" si="205"/>
        <v>1.2500000000000178E-2</v>
      </c>
      <c r="BD106" s="186">
        <f t="shared" si="205"/>
        <v>7.8947368421049546E-3</v>
      </c>
      <c r="BE106" s="186">
        <f t="shared" si="205"/>
        <v>1.5740740740740833E-2</v>
      </c>
      <c r="BF106" s="186">
        <f t="shared" si="205"/>
        <v>1.6666666666666607E-2</v>
      </c>
      <c r="BG106" s="186">
        <f t="shared" si="205"/>
        <v>1.4705882352941124E-2</v>
      </c>
      <c r="BH106" s="186">
        <f t="shared" si="205"/>
        <v>2.8906250000000355E-2</v>
      </c>
      <c r="BI106" s="186">
        <f t="shared" si="205"/>
        <v>1.5790719696969546E-2</v>
      </c>
      <c r="BJ106" s="186">
        <f t="shared" si="205"/>
        <v>2.5714285714285801E-2</v>
      </c>
      <c r="BK106" s="186">
        <f t="shared" si="205"/>
        <v>1.2096774193548043E-2</v>
      </c>
      <c r="BL106" s="186">
        <f t="shared" si="205"/>
        <v>3.4482758620689502E-2</v>
      </c>
      <c r="BM106" s="186">
        <f t="shared" si="205"/>
        <v>1.2931034482758896E-2</v>
      </c>
      <c r="BN106" s="186">
        <f t="shared" si="205"/>
        <v>7.5757575757595674E-4</v>
      </c>
      <c r="BO106" s="186">
        <f t="shared" si="205"/>
        <v>2.4999999999999467E-2</v>
      </c>
      <c r="BP106" s="186">
        <f t="shared" si="205"/>
        <v>1.171875E-2</v>
      </c>
      <c r="BQ106" s="186">
        <f t="shared" si="205"/>
        <v>6.6176470588237279E-3</v>
      </c>
      <c r="BR106" s="186">
        <f t="shared" si="205"/>
        <v>5.833333333333357E-3</v>
      </c>
      <c r="BS106" s="186">
        <f t="shared" si="205"/>
        <v>6.451612903226156E-3</v>
      </c>
      <c r="BT106" s="186">
        <f t="shared" si="205"/>
        <v>1.4516129032257297E-2</v>
      </c>
      <c r="BU106" s="186">
        <f t="shared" si="205"/>
        <v>-2.4999999999995026E-3</v>
      </c>
      <c r="BV106" s="186">
        <f t="shared" si="205"/>
        <v>7.2580645161295365E-3</v>
      </c>
      <c r="BW106" s="186">
        <f t="shared" si="205"/>
        <v>3.3064516129032384E-2</v>
      </c>
      <c r="BX106" s="186">
        <f t="shared" si="205"/>
        <v>1.5833333333333144E-2</v>
      </c>
      <c r="BY106" s="186">
        <f t="shared" si="205"/>
        <v>9.6153846153850253E-3</v>
      </c>
      <c r="BZ106" s="186">
        <f t="shared" si="205"/>
        <v>5.8823529411764497E-3</v>
      </c>
      <c r="CA106" s="186">
        <f t="shared" si="205"/>
        <v>1.3888888888882178E-3</v>
      </c>
      <c r="CB106" s="186">
        <f t="shared" si="205"/>
        <v>1.071428571428612E-2</v>
      </c>
      <c r="CC106" s="186">
        <f t="shared" si="205"/>
        <v>1.551724137931032E-2</v>
      </c>
      <c r="CD106" s="186">
        <f t="shared" si="205"/>
        <v>6.7307692307689848E-3</v>
      </c>
      <c r="CE106" s="186">
        <f t="shared" si="205"/>
        <v>1.0714285714284344E-2</v>
      </c>
      <c r="CF106" s="186">
        <f t="shared" si="205"/>
        <v>1.0000000000012221E-3</v>
      </c>
      <c r="CG106" s="186">
        <f t="shared" si="205"/>
        <v>1.3888888888889284E-2</v>
      </c>
      <c r="CH106" s="186">
        <f t="shared" ca="1" si="205"/>
        <v>-0.55756906750605584</v>
      </c>
      <c r="CI106" s="186">
        <f t="shared" ca="1" si="205"/>
        <v>0.58550793897940867</v>
      </c>
      <c r="CJ106" s="186">
        <f t="shared" ref="CJ106:CX106" si="206">LN(CJ105)-LN(CI105)</f>
        <v>-2.0833333333332149E-3</v>
      </c>
      <c r="CK106" s="186">
        <f t="shared" si="206"/>
        <v>1.2000000000000455E-2</v>
      </c>
      <c r="CL106" s="186">
        <f t="shared" si="206"/>
        <v>3.8461538461547207E-3</v>
      </c>
      <c r="CM106" s="186">
        <f t="shared" si="206"/>
        <v>1.0869565217390686E-2</v>
      </c>
      <c r="CN106" s="186">
        <f t="shared" si="206"/>
        <v>-1.1111111111111072E-2</v>
      </c>
      <c r="CO106" s="186">
        <f t="shared" si="206"/>
        <v>6.2499999999996447E-3</v>
      </c>
      <c r="CP106" s="186">
        <f t="shared" si="206"/>
        <v>1.4130434782609669E-2</v>
      </c>
      <c r="CQ106" s="186">
        <f t="shared" si="206"/>
        <v>-2.0000000000006679E-3</v>
      </c>
      <c r="CR106" s="186">
        <f t="shared" si="206"/>
        <v>-4.1666666666664298E-3</v>
      </c>
      <c r="CS106" s="186">
        <f t="shared" si="206"/>
        <v>-3.392857142857153E-2</v>
      </c>
      <c r="CT106" s="186">
        <f t="shared" si="206"/>
        <v>4.2361111111111072E-2</v>
      </c>
      <c r="CU106" s="186">
        <f t="shared" si="206"/>
        <v>9.6153846153868017E-4</v>
      </c>
      <c r="CV106" s="186">
        <f t="shared" si="206"/>
        <v>6.8181818181809462E-3</v>
      </c>
      <c r="CW106" s="186">
        <f t="shared" si="206"/>
        <v>8.9285714285836093E-4</v>
      </c>
      <c r="CX106" s="186">
        <f t="shared" si="206"/>
        <v>0</v>
      </c>
      <c r="CZ106" t="str">
        <f>A108</f>
        <v>Target: Mobile devices</v>
      </c>
      <c r="DG106" t="str">
        <f>A113</f>
        <v>Target: Public infrastructure/cloud</v>
      </c>
      <c r="DO106" s="89"/>
      <c r="DQ106" s="55">
        <f ca="1"/>
        <v>3.8461538461547207E-3</v>
      </c>
      <c r="DR106" s="55">
        <f ca="1"/>
        <v>1.0869565217390686E-2</v>
      </c>
      <c r="DS106" s="55">
        <f ca="1"/>
        <v>-1.1111111111111072E-2</v>
      </c>
      <c r="DT106" s="55">
        <f ca="1"/>
        <v>6.2499999999996447E-3</v>
      </c>
      <c r="DU106" s="55">
        <f ca="1"/>
        <v>1.4130434782609669E-2</v>
      </c>
      <c r="DV106" s="55">
        <f ca="1"/>
        <v>-2.0000000000006679E-3</v>
      </c>
      <c r="DW106" s="55">
        <f ca="1"/>
        <v>-4.1666666666664298E-3</v>
      </c>
      <c r="DX106" s="55">
        <f ca="1"/>
        <v>-3.392857142857153E-2</v>
      </c>
      <c r="DY106" s="55">
        <f ca="1"/>
        <v>4.2361111111111072E-2</v>
      </c>
      <c r="DZ106" s="55">
        <f ca="1"/>
        <v>9.6153846153868017E-4</v>
      </c>
      <c r="EA106" s="55">
        <f ca="1"/>
        <v>6.8181818181809462E-3</v>
      </c>
      <c r="EB106" s="55">
        <f ca="1"/>
        <v>8.9285714285836093E-4</v>
      </c>
      <c r="EC106" s="186">
        <f ca="1"/>
        <v>0</v>
      </c>
    </row>
    <row r="107" spans="1:133" x14ac:dyDescent="0.3">
      <c r="C107" s="55"/>
      <c r="D107" s="55"/>
      <c r="E107" s="55"/>
      <c r="F107" s="55"/>
      <c r="G107" s="55"/>
      <c r="H107" s="55"/>
      <c r="I107" s="55"/>
      <c r="J107" s="55"/>
      <c r="K107" s="55"/>
      <c r="L107" s="55"/>
      <c r="M107" s="55"/>
      <c r="N107" s="55"/>
      <c r="O107" s="55"/>
      <c r="P107" s="55"/>
      <c r="Q107" s="55"/>
      <c r="R107" s="55"/>
      <c r="S107" s="55"/>
      <c r="T107" s="55"/>
      <c r="U107" s="55"/>
      <c r="V107" s="55"/>
      <c r="W107" s="55"/>
      <c r="X107" s="55"/>
      <c r="Y107" s="55"/>
      <c r="Z107" s="55"/>
      <c r="AA107" s="55"/>
      <c r="AB107" s="55"/>
      <c r="AC107" s="55"/>
      <c r="AD107" s="55"/>
      <c r="AE107" s="55"/>
      <c r="AF107" s="55"/>
      <c r="AG107" s="55"/>
      <c r="AH107" s="55"/>
      <c r="AI107" s="55"/>
      <c r="AJ107" s="55"/>
      <c r="AK107" s="55"/>
      <c r="AL107" s="55"/>
      <c r="AM107" s="55"/>
      <c r="AN107" s="55"/>
      <c r="AO107" s="55"/>
      <c r="AP107" s="55"/>
      <c r="AQ107" s="55"/>
      <c r="AR107" s="55"/>
      <c r="AS107" s="55"/>
      <c r="AT107" s="55"/>
      <c r="AU107" s="55"/>
      <c r="AV107" s="55"/>
      <c r="AW107" s="186"/>
      <c r="AX107" s="186"/>
      <c r="AY107" s="186"/>
      <c r="AZ107" s="186"/>
      <c r="BA107" s="186"/>
      <c r="BB107" s="186"/>
      <c r="BC107" s="186"/>
      <c r="BD107" s="186"/>
      <c r="BE107" s="186"/>
      <c r="BF107" s="186"/>
      <c r="BG107" s="186"/>
      <c r="BH107" s="186"/>
      <c r="BI107" s="186"/>
      <c r="BJ107" s="186"/>
      <c r="BK107" s="186"/>
      <c r="BL107" s="186"/>
      <c r="BM107" s="186"/>
      <c r="BN107" s="186"/>
      <c r="BO107" s="186"/>
      <c r="BP107" s="186"/>
      <c r="BQ107" s="186"/>
      <c r="BR107" s="186"/>
      <c r="BS107" s="186"/>
      <c r="BT107" s="186"/>
      <c r="BU107" s="186"/>
      <c r="BV107" s="186"/>
      <c r="BW107" s="186"/>
      <c r="BX107" s="186"/>
      <c r="BY107" s="186"/>
      <c r="BZ107" s="186"/>
      <c r="CA107" s="186"/>
      <c r="CB107" s="186"/>
      <c r="CC107" s="186"/>
      <c r="CD107" s="186"/>
      <c r="CE107" s="186"/>
      <c r="CF107" s="186"/>
      <c r="CG107" s="186"/>
      <c r="CH107" s="186"/>
      <c r="CI107" s="186"/>
      <c r="CJ107" s="186"/>
      <c r="CK107" s="186"/>
      <c r="CL107" s="186"/>
      <c r="CM107" s="186"/>
      <c r="CN107" s="186"/>
      <c r="CO107" s="186"/>
      <c r="CP107" s="186"/>
      <c r="CQ107" s="186"/>
      <c r="CR107" s="186"/>
      <c r="CS107" s="186"/>
      <c r="CT107" s="186"/>
      <c r="CU107" s="186"/>
      <c r="CV107" s="186"/>
      <c r="CW107" s="186"/>
      <c r="CX107" s="186"/>
      <c r="DO107" s="89"/>
      <c r="DQ107" s="55">
        <f ca="1"/>
        <v>0</v>
      </c>
      <c r="DR107" s="55">
        <f ca="1"/>
        <v>0</v>
      </c>
      <c r="DS107" s="55">
        <f ca="1"/>
        <v>0</v>
      </c>
      <c r="DT107" s="55">
        <f ca="1"/>
        <v>0</v>
      </c>
      <c r="DU107" s="55">
        <f ca="1"/>
        <v>0</v>
      </c>
      <c r="DV107" s="55">
        <f ca="1"/>
        <v>0</v>
      </c>
      <c r="DW107" s="55">
        <f ca="1"/>
        <v>0</v>
      </c>
      <c r="DX107" s="55">
        <f ca="1"/>
        <v>0</v>
      </c>
      <c r="DY107" s="55">
        <f ca="1"/>
        <v>0</v>
      </c>
      <c r="DZ107" s="55">
        <f ca="1"/>
        <v>0</v>
      </c>
      <c r="EA107" s="55">
        <f ca="1"/>
        <v>0</v>
      </c>
      <c r="EB107" s="55">
        <f ca="1"/>
        <v>0</v>
      </c>
      <c r="EC107" s="186">
        <f ca="1"/>
        <v>0</v>
      </c>
    </row>
    <row r="108" spans="1:133" x14ac:dyDescent="0.3">
      <c r="A108" t="str">
        <f>A109</f>
        <v>Target: Mobile devices</v>
      </c>
      <c r="C108" s="55"/>
      <c r="D108" s="55"/>
      <c r="E108" s="55"/>
      <c r="F108" s="55"/>
      <c r="G108" s="55"/>
      <c r="H108" s="55"/>
      <c r="I108" s="55"/>
      <c r="J108" s="55"/>
      <c r="K108" s="55"/>
      <c r="L108" s="55"/>
      <c r="M108" s="55"/>
      <c r="N108" s="55"/>
      <c r="O108" s="55"/>
      <c r="P108" s="55"/>
      <c r="Q108" s="55"/>
      <c r="R108" s="55"/>
      <c r="S108" s="55"/>
      <c r="T108" s="55"/>
      <c r="U108" s="55"/>
      <c r="V108" s="55"/>
      <c r="W108" s="55"/>
      <c r="X108" s="55"/>
      <c r="Y108" s="55"/>
      <c r="Z108" s="55"/>
      <c r="AA108" s="55"/>
      <c r="AB108" s="55"/>
      <c r="AC108" s="55"/>
      <c r="AD108" s="55"/>
      <c r="AE108" s="55"/>
      <c r="AF108" s="55"/>
      <c r="AG108" s="55"/>
      <c r="AH108" s="55"/>
      <c r="AI108" s="55"/>
      <c r="AJ108" s="55"/>
      <c r="AK108" s="55"/>
      <c r="AL108" s="55"/>
      <c r="AM108" s="55"/>
      <c r="AN108" s="55"/>
      <c r="AO108" s="55"/>
      <c r="AP108" s="55"/>
      <c r="AQ108" s="55"/>
      <c r="AR108" s="55"/>
      <c r="AS108" s="55"/>
      <c r="AT108" s="55"/>
      <c r="AU108" s="55"/>
      <c r="AV108" s="55"/>
      <c r="AW108" s="186"/>
      <c r="AX108" s="186"/>
      <c r="AY108" s="186"/>
      <c r="AZ108" s="186"/>
      <c r="BA108" s="186"/>
      <c r="BB108" s="186"/>
      <c r="BC108" s="186"/>
      <c r="BD108" s="186"/>
      <c r="BE108" s="186"/>
      <c r="BF108" s="186"/>
      <c r="BG108" s="186"/>
      <c r="BH108" s="186"/>
      <c r="BI108" s="186"/>
      <c r="BJ108" s="186"/>
      <c r="BK108" s="186"/>
      <c r="BL108" s="186"/>
      <c r="BM108" s="186"/>
      <c r="BN108" s="186"/>
      <c r="BO108" s="186"/>
      <c r="BP108" s="186"/>
      <c r="BQ108" s="186"/>
      <c r="BR108" s="186"/>
      <c r="BS108" s="186"/>
      <c r="BT108" s="186"/>
      <c r="BU108" s="186"/>
      <c r="BV108" s="186"/>
      <c r="BW108" s="186"/>
      <c r="BX108" s="186"/>
      <c r="BY108" s="186"/>
      <c r="BZ108" s="186"/>
      <c r="CA108" s="186"/>
      <c r="CB108" s="186"/>
      <c r="CC108" s="186"/>
      <c r="CD108" s="186"/>
      <c r="CE108" s="186"/>
      <c r="CF108" s="186"/>
      <c r="CG108" s="186"/>
      <c r="CH108" s="186"/>
      <c r="CI108" s="186"/>
      <c r="CJ108" s="186"/>
      <c r="CK108" s="186"/>
      <c r="CL108" s="186"/>
      <c r="CM108" s="186"/>
      <c r="CN108" s="186"/>
      <c r="CO108" s="186"/>
      <c r="CP108" s="186"/>
      <c r="CQ108" s="186"/>
      <c r="CR108" s="186"/>
      <c r="CS108" s="186"/>
      <c r="CT108" s="186"/>
      <c r="CU108" s="186"/>
      <c r="CV108" s="186"/>
      <c r="CW108" s="186"/>
      <c r="CX108" s="186"/>
      <c r="DO108" s="89"/>
      <c r="DQ108" s="55">
        <f ca="1"/>
        <v>0</v>
      </c>
      <c r="DR108" s="55">
        <f ca="1"/>
        <v>0</v>
      </c>
      <c r="DS108" s="55">
        <f ca="1"/>
        <v>0</v>
      </c>
      <c r="DT108" s="55">
        <f ca="1"/>
        <v>0</v>
      </c>
      <c r="DU108" s="55">
        <f ca="1"/>
        <v>0</v>
      </c>
      <c r="DV108" s="55">
        <f ca="1"/>
        <v>0</v>
      </c>
      <c r="DW108" s="55">
        <f ca="1"/>
        <v>0</v>
      </c>
      <c r="DX108" s="55">
        <f ca="1"/>
        <v>0</v>
      </c>
      <c r="DY108" s="55">
        <f ca="1"/>
        <v>0</v>
      </c>
      <c r="DZ108" s="55">
        <f ca="1"/>
        <v>0</v>
      </c>
      <c r="EA108" s="55">
        <f ca="1"/>
        <v>0</v>
      </c>
      <c r="EB108" s="55">
        <f ca="1"/>
        <v>0</v>
      </c>
      <c r="EC108" s="186">
        <f ca="1"/>
        <v>0</v>
      </c>
    </row>
    <row r="109" spans="1:133" x14ac:dyDescent="0.3">
      <c r="A109" t="str">
        <f>A110</f>
        <v>Target: Mobile devices</v>
      </c>
      <c r="B109" s="57" t="str">
        <f>C$1</f>
        <v>Apr</v>
      </c>
      <c r="C109" s="57" t="str">
        <f t="shared" ref="C109:N109" si="207">D$1</f>
        <v>May</v>
      </c>
      <c r="D109" s="57" t="str">
        <f t="shared" si="207"/>
        <v>Jun</v>
      </c>
      <c r="E109" s="57" t="str">
        <f t="shared" si="207"/>
        <v>Jul</v>
      </c>
      <c r="F109" s="57" t="str">
        <f t="shared" si="207"/>
        <v>Aug</v>
      </c>
      <c r="G109" s="57" t="str">
        <f t="shared" si="207"/>
        <v>Sep</v>
      </c>
      <c r="H109" s="57" t="str">
        <f t="shared" si="207"/>
        <v>Oct</v>
      </c>
      <c r="I109" s="57" t="str">
        <f t="shared" si="207"/>
        <v>Nov</v>
      </c>
      <c r="J109" s="57" t="str">
        <f t="shared" si="207"/>
        <v>Dec 2011</v>
      </c>
      <c r="K109" s="57" t="str">
        <f t="shared" si="207"/>
        <v>Jan 2012</v>
      </c>
      <c r="L109" s="57" t="str">
        <f t="shared" si="207"/>
        <v>Feb</v>
      </c>
      <c r="M109" s="57" t="str">
        <f t="shared" si="207"/>
        <v>Mar</v>
      </c>
      <c r="N109" s="57" t="str">
        <f t="shared" si="207"/>
        <v>Apr</v>
      </c>
      <c r="O109" s="57" t="str">
        <f t="shared" ref="O109:AD109" si="208">P$1</f>
        <v>May</v>
      </c>
      <c r="P109" s="57" t="str">
        <f t="shared" si="208"/>
        <v>Jun</v>
      </c>
      <c r="Q109" s="57" t="str">
        <f t="shared" si="208"/>
        <v>Jul</v>
      </c>
      <c r="R109" s="57" t="str">
        <f t="shared" si="208"/>
        <v>Aug</v>
      </c>
      <c r="S109" s="57" t="str">
        <f t="shared" si="208"/>
        <v>Sep</v>
      </c>
      <c r="T109" s="57" t="str">
        <f t="shared" si="208"/>
        <v>Oct</v>
      </c>
      <c r="U109" s="57" t="str">
        <f t="shared" si="208"/>
        <v>Nov</v>
      </c>
      <c r="V109" s="57" t="str">
        <f t="shared" si="208"/>
        <v>Dec 2012</v>
      </c>
      <c r="W109" s="57" t="str">
        <f t="shared" si="208"/>
        <v>Jan 2013</v>
      </c>
      <c r="X109" s="57" t="str">
        <f t="shared" si="208"/>
        <v>Feb</v>
      </c>
      <c r="Y109" s="57" t="str">
        <f t="shared" si="208"/>
        <v>Mar</v>
      </c>
      <c r="Z109" s="57" t="str">
        <f t="shared" si="208"/>
        <v>Apr</v>
      </c>
      <c r="AA109" s="57" t="str">
        <f t="shared" si="208"/>
        <v>May</v>
      </c>
      <c r="AB109" s="57" t="str">
        <f t="shared" si="208"/>
        <v>Jun</v>
      </c>
      <c r="AC109" s="57" t="str">
        <f t="shared" si="208"/>
        <v>Jul</v>
      </c>
      <c r="AD109" s="57" t="str">
        <f t="shared" si="208"/>
        <v>Aug</v>
      </c>
      <c r="AE109" s="57" t="str">
        <f>AF$1</f>
        <v>Sep</v>
      </c>
      <c r="AF109" s="57" t="str">
        <f t="shared" ref="AF109:AK109" si="209">AG$1</f>
        <v>Oct</v>
      </c>
      <c r="AG109" s="57" t="str">
        <f t="shared" si="209"/>
        <v>Nov</v>
      </c>
      <c r="AH109" s="57" t="str">
        <f t="shared" si="209"/>
        <v>Dec 2013</v>
      </c>
      <c r="AI109" s="57" t="str">
        <f t="shared" si="209"/>
        <v>Jan 2014</v>
      </c>
      <c r="AJ109" s="57" t="str">
        <f t="shared" si="209"/>
        <v>Feb</v>
      </c>
      <c r="AK109" s="57" t="str">
        <f t="shared" si="209"/>
        <v>Mar</v>
      </c>
      <c r="AL109" s="57" t="str">
        <f t="shared" ref="AL109:CI109" si="210">AM$1</f>
        <v>Apr</v>
      </c>
      <c r="AM109" s="57" t="str">
        <f t="shared" si="210"/>
        <v>May</v>
      </c>
      <c r="AN109" s="57" t="str">
        <f t="shared" si="210"/>
        <v>Jun</v>
      </c>
      <c r="AO109" s="57" t="str">
        <f t="shared" si="210"/>
        <v>Jul</v>
      </c>
      <c r="AP109" s="57" t="str">
        <f t="shared" si="210"/>
        <v>Aug</v>
      </c>
      <c r="AQ109" s="57" t="str">
        <f t="shared" si="210"/>
        <v>Sep</v>
      </c>
      <c r="AR109" s="57" t="str">
        <f t="shared" si="210"/>
        <v>Oct</v>
      </c>
      <c r="AS109" s="57" t="str">
        <f t="shared" si="210"/>
        <v>Nov</v>
      </c>
      <c r="AT109" s="57" t="str">
        <f t="shared" si="210"/>
        <v>Dec '14</v>
      </c>
      <c r="AU109" s="57" t="str">
        <f t="shared" si="210"/>
        <v>Jan '15</v>
      </c>
      <c r="AV109" s="57" t="str">
        <f t="shared" si="210"/>
        <v>Feb</v>
      </c>
      <c r="AW109" s="57" t="str">
        <f t="shared" si="210"/>
        <v>Mar</v>
      </c>
      <c r="AX109" s="57" t="str">
        <f t="shared" si="210"/>
        <v>Apr</v>
      </c>
      <c r="AY109" s="57" t="str">
        <f t="shared" si="210"/>
        <v>May</v>
      </c>
      <c r="AZ109" s="57" t="str">
        <f t="shared" si="210"/>
        <v>Jun</v>
      </c>
      <c r="BA109" s="57" t="str">
        <f t="shared" si="210"/>
        <v>Jul</v>
      </c>
      <c r="BB109" s="57" t="str">
        <f t="shared" si="210"/>
        <v>Aug</v>
      </c>
      <c r="BC109" s="57" t="str">
        <f t="shared" si="210"/>
        <v>Sep</v>
      </c>
      <c r="BD109" s="57" t="str">
        <f t="shared" si="210"/>
        <v>Oct</v>
      </c>
      <c r="BE109" s="57" t="str">
        <f t="shared" si="210"/>
        <v>Nov</v>
      </c>
      <c r="BF109" s="57" t="str">
        <f t="shared" si="210"/>
        <v>Dec '15</v>
      </c>
      <c r="BG109" s="57" t="str">
        <f t="shared" si="210"/>
        <v>Jan '16</v>
      </c>
      <c r="BH109" s="57" t="str">
        <f t="shared" si="210"/>
        <v>Feb</v>
      </c>
      <c r="BI109" s="57" t="str">
        <f t="shared" si="210"/>
        <v>Mar</v>
      </c>
      <c r="BJ109" s="57" t="str">
        <f t="shared" si="210"/>
        <v>Apr</v>
      </c>
      <c r="BK109" s="57" t="str">
        <f t="shared" si="210"/>
        <v>May</v>
      </c>
      <c r="BL109" s="57" t="str">
        <f t="shared" si="210"/>
        <v>Jun</v>
      </c>
      <c r="BM109" s="57" t="str">
        <f t="shared" si="210"/>
        <v>Jul</v>
      </c>
      <c r="BN109" s="57" t="str">
        <f t="shared" si="210"/>
        <v>Aug</v>
      </c>
      <c r="BO109" s="57" t="str">
        <f t="shared" si="210"/>
        <v>Sep</v>
      </c>
      <c r="BP109" s="57" t="str">
        <f t="shared" si="210"/>
        <v>Oct</v>
      </c>
      <c r="BQ109" s="57" t="str">
        <f t="shared" si="210"/>
        <v>Nov</v>
      </c>
      <c r="BR109" s="57" t="str">
        <f t="shared" si="210"/>
        <v>Dec-16</v>
      </c>
      <c r="BS109" s="57" t="str">
        <f t="shared" si="210"/>
        <v>Jan-17</v>
      </c>
      <c r="BT109" s="57" t="str">
        <f t="shared" si="210"/>
        <v>Feb</v>
      </c>
      <c r="BU109" s="57" t="str">
        <f t="shared" si="210"/>
        <v>Mar</v>
      </c>
      <c r="BV109" s="57" t="str">
        <f t="shared" si="210"/>
        <v>Apr</v>
      </c>
      <c r="BW109" s="57" t="str">
        <f t="shared" si="210"/>
        <v>May</v>
      </c>
      <c r="BX109" s="57" t="str">
        <f t="shared" si="210"/>
        <v>Jun</v>
      </c>
      <c r="BY109" s="57" t="str">
        <f t="shared" si="210"/>
        <v>Jul</v>
      </c>
      <c r="BZ109" s="57" t="str">
        <f t="shared" si="210"/>
        <v>Aug</v>
      </c>
      <c r="CA109" s="57" t="str">
        <f t="shared" si="210"/>
        <v>Sep</v>
      </c>
      <c r="CB109" s="57" t="str">
        <f t="shared" si="210"/>
        <v>Oct</v>
      </c>
      <c r="CC109" s="57" t="str">
        <f t="shared" si="210"/>
        <v>Nov</v>
      </c>
      <c r="CD109" s="57" t="str">
        <f t="shared" si="210"/>
        <v>Dec</v>
      </c>
      <c r="CE109" s="57" t="str">
        <f t="shared" si="210"/>
        <v>Jan '18</v>
      </c>
      <c r="CF109" s="57" t="str">
        <f t="shared" si="210"/>
        <v>Feb</v>
      </c>
      <c r="CG109" s="57" t="str">
        <f t="shared" si="210"/>
        <v>Mar</v>
      </c>
      <c r="CH109" s="57" t="str">
        <f t="shared" si="210"/>
        <v>Apr</v>
      </c>
      <c r="CI109" s="57" t="str">
        <f t="shared" si="210"/>
        <v>May</v>
      </c>
      <c r="CJ109" s="57" t="str">
        <f t="shared" ref="CJ109:CO109" si="211">CK$1</f>
        <v>Jun</v>
      </c>
      <c r="CK109" s="57" t="str">
        <f t="shared" si="211"/>
        <v>Jul</v>
      </c>
      <c r="CL109" s="57" t="str">
        <f t="shared" si="211"/>
        <v>Aug</v>
      </c>
      <c r="CM109" s="57" t="str">
        <f t="shared" si="211"/>
        <v>Sep</v>
      </c>
      <c r="CN109" s="57" t="str">
        <f t="shared" si="211"/>
        <v>Oct</v>
      </c>
      <c r="CO109" s="57" t="str">
        <f t="shared" si="211"/>
        <v>Nov</v>
      </c>
      <c r="CP109" s="57" t="str">
        <f t="shared" ref="CP109:CX109" si="212">CQ$1</f>
        <v>Dec-18</v>
      </c>
      <c r="CQ109" s="57" t="str">
        <f t="shared" si="212"/>
        <v>Jan-19</v>
      </c>
      <c r="CR109" s="57" t="str">
        <f t="shared" si="212"/>
        <v>Feb-19</v>
      </c>
      <c r="CS109" s="57" t="str">
        <f t="shared" si="212"/>
        <v>Mar-19</v>
      </c>
      <c r="CT109" s="57" t="str">
        <f t="shared" si="212"/>
        <v>Apr-19</v>
      </c>
      <c r="CU109" s="57" t="str">
        <f t="shared" si="212"/>
        <v>May-19</v>
      </c>
      <c r="CV109" s="57" t="str">
        <f t="shared" si="212"/>
        <v>June-19</v>
      </c>
      <c r="CW109" s="57" t="str">
        <f t="shared" si="212"/>
        <v>July-19</v>
      </c>
      <c r="CX109" s="57" t="str">
        <f t="shared" si="212"/>
        <v>Aug-19</v>
      </c>
      <c r="DO109" s="89"/>
      <c r="DQ109" s="57" t="str">
        <f ca="1"/>
        <v>Aug</v>
      </c>
      <c r="DR109" s="57" t="str">
        <f ca="1"/>
        <v>Sep</v>
      </c>
      <c r="DS109" s="57" t="str">
        <f ca="1"/>
        <v>Oct</v>
      </c>
      <c r="DT109" s="57" t="str">
        <f ca="1"/>
        <v>Nov</v>
      </c>
      <c r="DU109" s="57" t="str">
        <f ca="1"/>
        <v>Dec-18</v>
      </c>
      <c r="DV109" s="57" t="str">
        <f ca="1"/>
        <v>Jan-19</v>
      </c>
      <c r="DW109" s="57" t="str">
        <f ca="1"/>
        <v>Feb-19</v>
      </c>
      <c r="DX109" s="57" t="str">
        <f ca="1"/>
        <v>Mar-19</v>
      </c>
      <c r="DY109" s="57" t="str">
        <f ca="1"/>
        <v>Apr-19</v>
      </c>
      <c r="DZ109" s="57" t="str">
        <f ca="1"/>
        <v>May-19</v>
      </c>
      <c r="EA109" s="57" t="str">
        <f ca="1"/>
        <v>June-19</v>
      </c>
      <c r="EB109" s="57" t="str">
        <f ca="1"/>
        <v>July-19</v>
      </c>
      <c r="EC109" s="57" t="str">
        <f ca="1"/>
        <v>Aug-19</v>
      </c>
    </row>
    <row r="110" spans="1:133" x14ac:dyDescent="0.3">
      <c r="A110" t="str">
        <f>A18</f>
        <v>Target: Mobile devices</v>
      </c>
      <c r="B110">
        <f t="shared" ref="B110:CI110" si="213">C18</f>
        <v>1000</v>
      </c>
      <c r="C110" s="56">
        <f t="shared" si="213"/>
        <v>1000</v>
      </c>
      <c r="D110" s="56">
        <f t="shared" si="213"/>
        <v>1000</v>
      </c>
      <c r="E110" s="56">
        <f t="shared" si="213"/>
        <v>1000</v>
      </c>
      <c r="F110" s="56">
        <f t="shared" si="213"/>
        <v>1000</v>
      </c>
      <c r="G110" s="56">
        <f t="shared" si="213"/>
        <v>1000</v>
      </c>
      <c r="H110" s="56">
        <f t="shared" si="213"/>
        <v>1000</v>
      </c>
      <c r="I110" s="56">
        <f t="shared" si="213"/>
        <v>1000</v>
      </c>
      <c r="J110" s="56">
        <f t="shared" si="213"/>
        <v>1000</v>
      </c>
      <c r="K110" s="56">
        <f t="shared" si="213"/>
        <v>1000</v>
      </c>
      <c r="L110" s="56">
        <f t="shared" si="213"/>
        <v>1000</v>
      </c>
      <c r="M110" s="56">
        <f t="shared" si="213"/>
        <v>1000</v>
      </c>
      <c r="N110" s="56">
        <f t="shared" si="213"/>
        <v>1000</v>
      </c>
      <c r="O110" s="56">
        <f t="shared" si="213"/>
        <v>1031.9657899548642</v>
      </c>
      <c r="P110" s="56">
        <f t="shared" si="213"/>
        <v>1072.6960954214649</v>
      </c>
      <c r="Q110" s="56">
        <f t="shared" si="213"/>
        <v>1109.2296448076622</v>
      </c>
      <c r="R110" s="56">
        <f t="shared" si="213"/>
        <v>1145.5413260882067</v>
      </c>
      <c r="S110" s="56">
        <f t="shared" si="213"/>
        <v>1193.1992781938879</v>
      </c>
      <c r="T110" s="56">
        <f t="shared" si="213"/>
        <v>1232.3585275435562</v>
      </c>
      <c r="U110" s="56">
        <f t="shared" si="213"/>
        <v>1260.9261644022947</v>
      </c>
      <c r="V110" s="56">
        <f t="shared" si="213"/>
        <v>1310.4961737533265</v>
      </c>
      <c r="W110" s="56">
        <f t="shared" si="213"/>
        <v>1337.3313446280679</v>
      </c>
      <c r="X110" s="56">
        <f t="shared" si="213"/>
        <v>1390.8293616864905</v>
      </c>
      <c r="Y110" s="56">
        <f t="shared" si="213"/>
        <v>1427.6597938459108</v>
      </c>
      <c r="Z110" s="56">
        <f t="shared" si="213"/>
        <v>1459.9541293638711</v>
      </c>
      <c r="AA110" s="56">
        <f t="shared" si="213"/>
        <v>1484.7430866679167</v>
      </c>
      <c r="AB110" s="56">
        <f t="shared" si="213"/>
        <v>1514.5823295113407</v>
      </c>
      <c r="AC110" s="56">
        <f t="shared" si="213"/>
        <v>1542.9730996507415</v>
      </c>
      <c r="AD110" s="56">
        <f t="shared" si="213"/>
        <v>1576.8185681638215</v>
      </c>
      <c r="AE110" s="56">
        <f t="shared" si="213"/>
        <v>1626.0902004337788</v>
      </c>
      <c r="AF110" s="56">
        <f t="shared" si="213"/>
        <v>1651.1707897912756</v>
      </c>
      <c r="AG110" s="56">
        <f t="shared" si="213"/>
        <v>1666.839053141096</v>
      </c>
      <c r="AH110" s="56">
        <f t="shared" si="213"/>
        <v>1692.6810054289058</v>
      </c>
      <c r="AI110" s="56">
        <f t="shared" si="213"/>
        <v>1721.1287616446923</v>
      </c>
      <c r="AJ110" s="56">
        <f t="shared" si="213"/>
        <v>1769.836747174787</v>
      </c>
      <c r="AK110" s="56">
        <f t="shared" si="213"/>
        <v>1795.9272375376936</v>
      </c>
      <c r="AL110" s="56">
        <f t="shared" si="213"/>
        <v>1839.2514436480496</v>
      </c>
      <c r="AM110" s="56">
        <f t="shared" si="213"/>
        <v>1858.158488727953</v>
      </c>
      <c r="AN110" s="56">
        <f t="shared" si="213"/>
        <v>1885.5509960992117</v>
      </c>
      <c r="AO110" s="56">
        <f t="shared" si="213"/>
        <v>1918.1533780270966</v>
      </c>
      <c r="AP110" s="56">
        <f t="shared" si="213"/>
        <v>1944.5943932398343</v>
      </c>
      <c r="AQ110" s="56">
        <f t="shared" si="213"/>
        <v>1987.896862119695</v>
      </c>
      <c r="AR110" s="56">
        <f t="shared" si="213"/>
        <v>2014.3821453979469</v>
      </c>
      <c r="AS110" s="56">
        <f t="shared" si="213"/>
        <v>2077.6419514264135</v>
      </c>
      <c r="AT110" s="56">
        <f t="shared" si="213"/>
        <v>2106.5454175839632</v>
      </c>
      <c r="AU110" s="56">
        <f t="shared" si="213"/>
        <v>2142.7602137391709</v>
      </c>
      <c r="AV110" s="56">
        <f t="shared" si="213"/>
        <v>2172.5695835774309</v>
      </c>
      <c r="AW110" s="56">
        <f t="shared" si="213"/>
        <v>2180.7320145084955</v>
      </c>
      <c r="AX110" s="56">
        <f t="shared" si="213"/>
        <v>2176.4321828148391</v>
      </c>
      <c r="AY110" s="56">
        <f t="shared" si="213"/>
        <v>2204.4803247743444</v>
      </c>
      <c r="AZ110" s="56">
        <f t="shared" si="213"/>
        <v>2235.6146266349447</v>
      </c>
      <c r="BA110" s="56">
        <f t="shared" si="213"/>
        <v>2279.8525859382744</v>
      </c>
      <c r="BB110" s="56">
        <f t="shared" si="213"/>
        <v>2318.7367899290889</v>
      </c>
      <c r="BC110" s="56">
        <f t="shared" si="213"/>
        <v>2347.9029082766983</v>
      </c>
      <c r="BD110" s="56">
        <f t="shared" si="213"/>
        <v>2361.8462037272338</v>
      </c>
      <c r="BE110" s="56">
        <f t="shared" si="213"/>
        <v>2410.4512563987564</v>
      </c>
      <c r="BF110" s="56">
        <f t="shared" si="213"/>
        <v>2406.4371836279179</v>
      </c>
      <c r="BG110" s="56">
        <f t="shared" si="213"/>
        <v>2402.9009062579535</v>
      </c>
      <c r="BH110" s="56">
        <f t="shared" si="213"/>
        <v>2412.305594496062</v>
      </c>
      <c r="BI110" s="56">
        <f t="shared" si="213"/>
        <v>2426.931199403889</v>
      </c>
      <c r="BJ110" s="56">
        <f t="shared" si="213"/>
        <v>2447.822874670434</v>
      </c>
      <c r="BK110" s="56">
        <f t="shared" si="213"/>
        <v>2451.7741617464362</v>
      </c>
      <c r="BL110" s="56">
        <f t="shared" si="213"/>
        <v>2526.877432169013</v>
      </c>
      <c r="BM110" s="56">
        <f t="shared" si="213"/>
        <v>2577.479311085583</v>
      </c>
      <c r="BN110" s="56">
        <f t="shared" si="213"/>
        <v>2585.3017005718802</v>
      </c>
      <c r="BO110" s="56">
        <f t="shared" si="213"/>
        <v>2602.9889866675608</v>
      </c>
      <c r="BP110" s="56">
        <f t="shared" si="213"/>
        <v>2615.2191395693576</v>
      </c>
      <c r="BQ110" s="56">
        <f t="shared" si="213"/>
        <v>2620.9943727190357</v>
      </c>
      <c r="BR110" s="56">
        <f t="shared" si="213"/>
        <v>2634.1321616846626</v>
      </c>
      <c r="BS110" s="56">
        <f t="shared" si="213"/>
        <v>2666.190171971326</v>
      </c>
      <c r="BT110" s="56">
        <f t="shared" si="213"/>
        <v>2700.8155348349837</v>
      </c>
      <c r="BU110" s="56">
        <f t="shared" si="213"/>
        <v>2671.7146144687276</v>
      </c>
      <c r="BV110" s="56">
        <f t="shared" si="213"/>
        <v>2691.1766343698723</v>
      </c>
      <c r="BW110" s="56">
        <f t="shared" si="213"/>
        <v>2680.3469643683879</v>
      </c>
      <c r="BX110" s="56">
        <f t="shared" si="213"/>
        <v>2689.2963616252332</v>
      </c>
      <c r="BY110" s="56">
        <f t="shared" si="213"/>
        <v>2720.5064160007555</v>
      </c>
      <c r="BZ110" s="56">
        <f t="shared" si="213"/>
        <v>2714.5119129216441</v>
      </c>
      <c r="CA110" s="56">
        <f t="shared" si="213"/>
        <v>2695.7264385845729</v>
      </c>
      <c r="CB110" s="56">
        <f t="shared" si="213"/>
        <v>2717.4757948093088</v>
      </c>
      <c r="CC110" s="56">
        <f t="shared" si="213"/>
        <v>2731.5681183384427</v>
      </c>
      <c r="CD110" s="56">
        <f t="shared" si="213"/>
        <v>2710.6366646928241</v>
      </c>
      <c r="CE110" s="56">
        <f t="shared" si="213"/>
        <v>2739.8353425509345</v>
      </c>
      <c r="CF110" s="56">
        <f t="shared" si="213"/>
        <v>2726.1703567713371</v>
      </c>
      <c r="CG110" s="56">
        <f t="shared" si="213"/>
        <v>2741.3578961892022</v>
      </c>
      <c r="CH110" s="56">
        <f t="shared" ca="1" si="213"/>
        <v>2012.3116124690985</v>
      </c>
      <c r="CI110" s="56">
        <f t="shared" si="213"/>
        <v>2790.3442600951917</v>
      </c>
      <c r="CJ110" s="56">
        <f t="shared" ref="CJ110:CO110" si="214">CK18</f>
        <v>2784.5370941182787</v>
      </c>
      <c r="CK110" s="56">
        <f t="shared" si="214"/>
        <v>2809.7110408015074</v>
      </c>
      <c r="CL110" s="56">
        <f t="shared" si="214"/>
        <v>2825.9677614866073</v>
      </c>
      <c r="CM110" s="56">
        <f t="shared" si="214"/>
        <v>2897.5074759667914</v>
      </c>
      <c r="CN110" s="56">
        <f t="shared" si="214"/>
        <v>2885.4596452279416</v>
      </c>
      <c r="CO110" s="56">
        <f t="shared" si="214"/>
        <v>2918.7123501304131</v>
      </c>
      <c r="CP110" s="56">
        <f t="shared" ref="CP110:CX110" si="215">CQ18</f>
        <v>2950.6105299873361</v>
      </c>
      <c r="CQ110" s="56">
        <f t="shared" si="215"/>
        <v>2968.3674105383034</v>
      </c>
      <c r="CR110" s="56">
        <f t="shared" si="215"/>
        <v>2968.3674105383034</v>
      </c>
      <c r="CS110" s="56">
        <f t="shared" si="215"/>
        <v>2965.6878291261655</v>
      </c>
      <c r="CT110" s="56">
        <f t="shared" si="215"/>
        <v>2937.0246023968775</v>
      </c>
      <c r="CU110" s="56">
        <f t="shared" si="215"/>
        <v>2937.0246023968775</v>
      </c>
      <c r="CV110" s="56">
        <f t="shared" si="215"/>
        <v>2943.7072493519267</v>
      </c>
      <c r="CW110" s="56">
        <f t="shared" si="215"/>
        <v>2930.5949893462225</v>
      </c>
      <c r="CX110" s="56">
        <f t="shared" si="215"/>
        <v>2930.5949893462225</v>
      </c>
      <c r="DO110" s="89"/>
      <c r="DQ110" s="56">
        <f ca="1"/>
        <v>2825.9677614866073</v>
      </c>
      <c r="DR110" s="56">
        <f ca="1"/>
        <v>2897.5074759667914</v>
      </c>
      <c r="DS110" s="56">
        <f ca="1"/>
        <v>2885.4596452279416</v>
      </c>
      <c r="DT110" s="56">
        <f ca="1"/>
        <v>2918.7123501304131</v>
      </c>
      <c r="DU110" s="56">
        <f ca="1"/>
        <v>2950.6105299873361</v>
      </c>
      <c r="DV110" s="56">
        <f ca="1"/>
        <v>2968.3674105383034</v>
      </c>
      <c r="DW110" s="56">
        <f ca="1"/>
        <v>2968.3674105383034</v>
      </c>
      <c r="DX110" s="56">
        <f ca="1"/>
        <v>2965.6878291261655</v>
      </c>
      <c r="DY110" s="56">
        <f ca="1"/>
        <v>2937.0246023968775</v>
      </c>
      <c r="DZ110" s="56">
        <f ca="1"/>
        <v>2937.0246023968775</v>
      </c>
      <c r="EA110" s="56">
        <f ca="1"/>
        <v>2943.7072493519267</v>
      </c>
      <c r="EB110" s="56">
        <f ca="1"/>
        <v>2930.5949893462225</v>
      </c>
      <c r="EC110" s="56">
        <f ca="1"/>
        <v>2930.5949893462225</v>
      </c>
    </row>
    <row r="111" spans="1:133" x14ac:dyDescent="0.3">
      <c r="A111" t="s">
        <v>108</v>
      </c>
      <c r="C111" s="55">
        <f t="shared" ref="C111:M111" si="216">LN(C110)-LN(B110)</f>
        <v>0</v>
      </c>
      <c r="D111" s="55">
        <f t="shared" si="216"/>
        <v>0</v>
      </c>
      <c r="E111" s="55">
        <f t="shared" si="216"/>
        <v>0</v>
      </c>
      <c r="F111" s="55">
        <f t="shared" si="216"/>
        <v>0</v>
      </c>
      <c r="G111" s="55">
        <f t="shared" si="216"/>
        <v>0</v>
      </c>
      <c r="H111" s="55">
        <f t="shared" si="216"/>
        <v>0</v>
      </c>
      <c r="I111" s="55">
        <f t="shared" si="216"/>
        <v>0</v>
      </c>
      <c r="J111" s="55">
        <f t="shared" si="216"/>
        <v>0</v>
      </c>
      <c r="K111" s="55">
        <f t="shared" si="216"/>
        <v>0</v>
      </c>
      <c r="L111" s="55">
        <f t="shared" si="216"/>
        <v>0</v>
      </c>
      <c r="M111" s="55">
        <f t="shared" si="216"/>
        <v>0</v>
      </c>
      <c r="N111" s="55">
        <f t="shared" ref="N111:AD111" si="217">LN(N110)-LN(M110)</f>
        <v>0</v>
      </c>
      <c r="O111" s="55">
        <f t="shared" si="217"/>
        <v>3.1465517241379359E-2</v>
      </c>
      <c r="P111" s="55">
        <f t="shared" si="217"/>
        <v>3.870967741935516E-2</v>
      </c>
      <c r="Q111" s="55">
        <f t="shared" si="217"/>
        <v>3.3490566037736258E-2</v>
      </c>
      <c r="R111" s="55">
        <f t="shared" si="217"/>
        <v>3.2211538461537792E-2</v>
      </c>
      <c r="S111" s="55">
        <f t="shared" si="217"/>
        <v>4.0760869565217739E-2</v>
      </c>
      <c r="T111" s="55">
        <f t="shared" si="217"/>
        <v>3.2291666666666607E-2</v>
      </c>
      <c r="U111" s="55">
        <f t="shared" si="217"/>
        <v>2.291666666666714E-2</v>
      </c>
      <c r="V111" s="55">
        <f t="shared" si="217"/>
        <v>3.8559322033897558E-2</v>
      </c>
      <c r="W111" s="55">
        <f t="shared" si="217"/>
        <v>2.0270270270270174E-2</v>
      </c>
      <c r="X111" s="55">
        <f t="shared" si="217"/>
        <v>3.922413793103452E-2</v>
      </c>
      <c r="Y111" s="55">
        <f t="shared" si="217"/>
        <v>2.6136363636363846E-2</v>
      </c>
      <c r="Z111" s="55">
        <f t="shared" si="217"/>
        <v>2.2368421052632037E-2</v>
      </c>
      <c r="AA111" s="55">
        <f t="shared" si="217"/>
        <v>1.6836734693877808E-2</v>
      </c>
      <c r="AB111" s="55">
        <f t="shared" si="217"/>
        <v>1.9897959183673208E-2</v>
      </c>
      <c r="AC111" s="55">
        <f t="shared" si="217"/>
        <v>1.8571428571428683E-2</v>
      </c>
      <c r="AD111" s="55">
        <f t="shared" si="217"/>
        <v>2.1698113207547109E-2</v>
      </c>
      <c r="AE111" s="55">
        <f>LN(AE110)-LN(AD110)</f>
        <v>3.076923076923066E-2</v>
      </c>
      <c r="AF111" s="55">
        <f t="shared" ref="AF111:CI111" si="218">LN(AF110)-LN(AE110)</f>
        <v>1.5306122448979664E-2</v>
      </c>
      <c r="AG111" s="55">
        <f t="shared" si="218"/>
        <v>9.4444444444450326E-3</v>
      </c>
      <c r="AH111" s="55">
        <f t="shared" si="218"/>
        <v>1.538461538461533E-2</v>
      </c>
      <c r="AI111" s="55">
        <f t="shared" si="218"/>
        <v>1.6666666666666607E-2</v>
      </c>
      <c r="AJ111" s="55">
        <f t="shared" si="218"/>
        <v>2.7906976744185741E-2</v>
      </c>
      <c r="AK111" s="55">
        <f t="shared" si="218"/>
        <v>1.4634146341463428E-2</v>
      </c>
      <c r="AL111" s="55">
        <f t="shared" si="218"/>
        <v>2.3837209302325135E-2</v>
      </c>
      <c r="AM111" s="55">
        <f t="shared" si="218"/>
        <v>1.0227272727273196E-2</v>
      </c>
      <c r="AN111" s="55">
        <f t="shared" si="218"/>
        <v>1.4634146341463428E-2</v>
      </c>
      <c r="AO111" s="55">
        <f t="shared" si="218"/>
        <v>1.7142857142856904E-2</v>
      </c>
      <c r="AP111" s="55">
        <f t="shared" si="218"/>
        <v>1.369047619047592E-2</v>
      </c>
      <c r="AQ111" s="55">
        <f t="shared" si="218"/>
        <v>2.2023809523809668E-2</v>
      </c>
      <c r="AR111" s="55">
        <f t="shared" si="218"/>
        <v>1.3235294117647456E-2</v>
      </c>
      <c r="AS111" s="55">
        <f t="shared" si="218"/>
        <v>3.0921052631578405E-2</v>
      </c>
      <c r="AT111" s="55">
        <f t="shared" si="218"/>
        <v>1.3815789473684781E-2</v>
      </c>
      <c r="AU111" s="55">
        <f t="shared" si="218"/>
        <v>1.7045454545454142E-2</v>
      </c>
      <c r="AV111" s="55">
        <f t="shared" si="218"/>
        <v>1.3815789473683893E-2</v>
      </c>
      <c r="AW111" s="186">
        <f t="shared" si="218"/>
        <v>3.7500000000001421E-3</v>
      </c>
      <c r="AX111" s="186">
        <f t="shared" si="218"/>
        <v>-1.9736842105260166E-3</v>
      </c>
      <c r="AY111" s="186">
        <f t="shared" si="218"/>
        <v>1.2804878048780388E-2</v>
      </c>
      <c r="AZ111" s="186">
        <f t="shared" si="218"/>
        <v>1.4024390243902118E-2</v>
      </c>
      <c r="BA111" s="186">
        <f t="shared" si="218"/>
        <v>1.9594594594594561E-2</v>
      </c>
      <c r="BB111" s="186">
        <f t="shared" si="218"/>
        <v>1.6911764705882071E-2</v>
      </c>
      <c r="BC111" s="186">
        <f t="shared" si="218"/>
        <v>1.2500000000000178E-2</v>
      </c>
      <c r="BD111" s="186">
        <f t="shared" si="218"/>
        <v>5.921052631578938E-3</v>
      </c>
      <c r="BE111" s="186">
        <f t="shared" si="218"/>
        <v>2.0370370370370594E-2</v>
      </c>
      <c r="BF111" s="186">
        <f t="shared" si="218"/>
        <v>-1.666666666666039E-3</v>
      </c>
      <c r="BG111" s="186">
        <f t="shared" si="218"/>
        <v>-1.4705882352945565E-3</v>
      </c>
      <c r="BH111" s="186">
        <f t="shared" si="218"/>
        <v>3.90625E-3</v>
      </c>
      <c r="BI111" s="186">
        <f t="shared" si="218"/>
        <v>6.0446099508597584E-3</v>
      </c>
      <c r="BJ111" s="186">
        <f t="shared" si="218"/>
        <v>8.5714285714288962E-3</v>
      </c>
      <c r="BK111" s="186">
        <f t="shared" si="218"/>
        <v>1.6129032258058729E-3</v>
      </c>
      <c r="BL111" s="186">
        <f t="shared" si="218"/>
        <v>3.0172413793104091E-2</v>
      </c>
      <c r="BM111" s="186">
        <f t="shared" si="218"/>
        <v>1.9827586206895731E-2</v>
      </c>
      <c r="BN111" s="186">
        <f t="shared" si="218"/>
        <v>3.0303030303029388E-3</v>
      </c>
      <c r="BO111" s="186">
        <f t="shared" si="218"/>
        <v>6.8181818181827225E-3</v>
      </c>
      <c r="BP111" s="186">
        <f t="shared" si="218"/>
        <v>4.6874999999992895E-3</v>
      </c>
      <c r="BQ111" s="186">
        <f t="shared" si="218"/>
        <v>2.2058823529418348E-3</v>
      </c>
      <c r="BR111" s="186">
        <f t="shared" si="218"/>
        <v>4.9999999999998934E-3</v>
      </c>
      <c r="BS111" s="186">
        <f t="shared" si="218"/>
        <v>1.2096774193548043E-2</v>
      </c>
      <c r="BT111" s="186">
        <f t="shared" si="218"/>
        <v>1.2903225806451424E-2</v>
      </c>
      <c r="BU111" s="186">
        <f t="shared" si="218"/>
        <v>-1.083333333333325E-2</v>
      </c>
      <c r="BV111" s="186">
        <f t="shared" si="218"/>
        <v>7.2580645161286483E-3</v>
      </c>
      <c r="BW111" s="186">
        <f t="shared" si="218"/>
        <v>-4.0322580645160144E-3</v>
      </c>
      <c r="BX111" s="186">
        <f t="shared" si="218"/>
        <v>3.3333333333338544E-3</v>
      </c>
      <c r="BY111" s="186">
        <f t="shared" si="218"/>
        <v>1.1538461538461497E-2</v>
      </c>
      <c r="BZ111" s="186">
        <f t="shared" si="218"/>
        <v>-2.2058823529409466E-3</v>
      </c>
      <c r="CA111" s="186">
        <f t="shared" si="218"/>
        <v>-6.9444444444446418E-3</v>
      </c>
      <c r="CB111" s="186">
        <f t="shared" si="218"/>
        <v>8.0357142857145902E-3</v>
      </c>
      <c r="CC111" s="186">
        <f t="shared" si="218"/>
        <v>5.172413793102848E-3</v>
      </c>
      <c r="CD111" s="186">
        <f t="shared" si="218"/>
        <v>-7.692307692307665E-3</v>
      </c>
      <c r="CE111" s="186">
        <f t="shared" si="218"/>
        <v>1.0714285714285232E-2</v>
      </c>
      <c r="CF111" s="186">
        <f t="shared" si="218"/>
        <v>-4.9999999999998934E-3</v>
      </c>
      <c r="CG111" s="186">
        <f t="shared" si="218"/>
        <v>5.5555555555555358E-3</v>
      </c>
      <c r="CH111" s="186">
        <f t="shared" ca="1" si="218"/>
        <v>-0.30916926297230152</v>
      </c>
      <c r="CI111" s="186">
        <f t="shared" ca="1" si="218"/>
        <v>0.32688086171838293</v>
      </c>
      <c r="CJ111" s="186">
        <f t="shared" ref="CJ111:CX111" si="219">LN(CJ110)-LN(CI110)</f>
        <v>-2.0833333333332149E-3</v>
      </c>
      <c r="CK111" s="186">
        <f t="shared" si="219"/>
        <v>9.0000000000003411E-3</v>
      </c>
      <c r="CL111" s="186">
        <f t="shared" si="219"/>
        <v>5.7692307692311928E-3</v>
      </c>
      <c r="CM111" s="186">
        <f t="shared" si="219"/>
        <v>2.4999999999999467E-2</v>
      </c>
      <c r="CN111" s="186">
        <f t="shared" si="219"/>
        <v>-4.1666666666664298E-3</v>
      </c>
      <c r="CO111" s="186">
        <f t="shared" si="219"/>
        <v>1.145833333333357E-2</v>
      </c>
      <c r="CP111" s="186">
        <f t="shared" si="219"/>
        <v>1.0869565217391575E-2</v>
      </c>
      <c r="CQ111" s="186">
        <f t="shared" si="219"/>
        <v>5.9999999999993392E-3</v>
      </c>
      <c r="CR111" s="186">
        <f t="shared" si="219"/>
        <v>0</v>
      </c>
      <c r="CS111" s="186">
        <f t="shared" si="219"/>
        <v>-9.0311986863689242E-4</v>
      </c>
      <c r="CT111" s="186">
        <f t="shared" si="219"/>
        <v>-9.711959496442546E-3</v>
      </c>
      <c r="CU111" s="186">
        <f t="shared" si="219"/>
        <v>0</v>
      </c>
      <c r="CV111" s="186">
        <f t="shared" si="219"/>
        <v>2.2727272727278702E-3</v>
      </c>
      <c r="CW111" s="186">
        <f t="shared" si="219"/>
        <v>-4.4642857142855874E-3</v>
      </c>
      <c r="CX111" s="186">
        <f t="shared" si="219"/>
        <v>0</v>
      </c>
      <c r="DO111" s="89"/>
      <c r="DQ111" s="55">
        <f ca="1"/>
        <v>5.7692307692311928E-3</v>
      </c>
      <c r="DR111" s="55">
        <f ca="1"/>
        <v>2.4999999999999467E-2</v>
      </c>
      <c r="DS111" s="55">
        <f ca="1"/>
        <v>-4.1666666666664298E-3</v>
      </c>
      <c r="DT111" s="55">
        <f ca="1"/>
        <v>1.145833333333357E-2</v>
      </c>
      <c r="DU111" s="55">
        <f ca="1"/>
        <v>1.0869565217391575E-2</v>
      </c>
      <c r="DV111" s="55">
        <f ca="1"/>
        <v>5.9999999999993392E-3</v>
      </c>
      <c r="DW111" s="55">
        <f ca="1"/>
        <v>0</v>
      </c>
      <c r="DX111" s="55">
        <f ca="1"/>
        <v>-9.0311986863689242E-4</v>
      </c>
      <c r="DY111" s="55">
        <f ca="1"/>
        <v>-9.711959496442546E-3</v>
      </c>
      <c r="DZ111" s="55">
        <f ca="1"/>
        <v>0</v>
      </c>
      <c r="EA111" s="55">
        <f ca="1"/>
        <v>2.2727272727278702E-3</v>
      </c>
      <c r="EB111" s="55">
        <f ca="1"/>
        <v>-4.4642857142855874E-3</v>
      </c>
      <c r="EC111" s="186">
        <f ca="1"/>
        <v>0</v>
      </c>
    </row>
    <row r="112" spans="1:133" x14ac:dyDescent="0.3">
      <c r="C112" s="55"/>
      <c r="D112" s="55"/>
      <c r="E112" s="55"/>
      <c r="F112" s="55"/>
      <c r="G112" s="55"/>
      <c r="H112" s="55"/>
      <c r="I112" s="55"/>
      <c r="J112" s="55"/>
      <c r="K112" s="55"/>
      <c r="L112" s="55"/>
      <c r="M112" s="55"/>
      <c r="N112" s="55"/>
      <c r="O112" s="55"/>
      <c r="P112" s="55"/>
      <c r="Q112" s="55"/>
      <c r="R112" s="55"/>
      <c r="S112" s="55"/>
      <c r="T112" s="55"/>
      <c r="U112" s="55"/>
      <c r="V112" s="55"/>
      <c r="W112" s="55"/>
      <c r="X112" s="55"/>
      <c r="Y112" s="55"/>
      <c r="Z112" s="55"/>
      <c r="AA112" s="55"/>
      <c r="AB112" s="55"/>
      <c r="AC112" s="55"/>
      <c r="AD112" s="55"/>
      <c r="AE112" s="55"/>
      <c r="AF112" s="55"/>
      <c r="AG112" s="55"/>
      <c r="AH112" s="55"/>
      <c r="AI112" s="55"/>
      <c r="AJ112" s="55"/>
      <c r="AK112" s="55"/>
      <c r="AL112" s="55"/>
      <c r="AM112" s="55"/>
      <c r="AN112" s="55"/>
      <c r="AO112" s="55"/>
      <c r="AP112" s="55"/>
      <c r="AQ112" s="55"/>
      <c r="AR112" s="55"/>
      <c r="AS112" s="55"/>
      <c r="AT112" s="55"/>
      <c r="AU112" s="55"/>
      <c r="AV112" s="55"/>
      <c r="AW112" s="186"/>
      <c r="AX112" s="186"/>
      <c r="AY112" s="186"/>
      <c r="AZ112" s="186"/>
      <c r="BA112" s="186"/>
      <c r="BB112" s="186"/>
      <c r="BC112" s="186"/>
      <c r="BD112" s="186"/>
      <c r="BE112" s="186"/>
      <c r="BF112" s="186"/>
      <c r="BG112" s="186"/>
      <c r="BH112" s="186"/>
      <c r="BI112" s="186"/>
      <c r="BJ112" s="186"/>
      <c r="BK112" s="186"/>
      <c r="BL112" s="186"/>
      <c r="BM112" s="186"/>
      <c r="BN112" s="186"/>
      <c r="BO112" s="186"/>
      <c r="BP112" s="186"/>
      <c r="BQ112" s="186"/>
      <c r="BR112" s="186"/>
      <c r="BS112" s="186"/>
      <c r="BT112" s="186"/>
      <c r="BU112" s="186"/>
      <c r="BV112" s="186"/>
      <c r="BW112" s="186"/>
      <c r="BX112" s="186"/>
      <c r="BY112" s="186"/>
      <c r="BZ112" s="186"/>
      <c r="CA112" s="186"/>
      <c r="CB112" s="186"/>
      <c r="CC112" s="186"/>
      <c r="CD112" s="186"/>
      <c r="CE112" s="186"/>
      <c r="CF112" s="186"/>
      <c r="CG112" s="186"/>
      <c r="CH112" s="186"/>
      <c r="CI112" s="186"/>
      <c r="CJ112" s="186"/>
      <c r="CK112" s="186"/>
      <c r="CL112" s="186"/>
      <c r="CM112" s="186"/>
      <c r="CN112" s="186"/>
      <c r="CO112" s="186"/>
      <c r="CP112" s="186"/>
      <c r="CQ112" s="186"/>
      <c r="CR112" s="186"/>
      <c r="CS112" s="186"/>
      <c r="CT112" s="186"/>
      <c r="CU112" s="186"/>
      <c r="CV112" s="186"/>
      <c r="CW112" s="186"/>
      <c r="CX112" s="186"/>
      <c r="DO112" s="89"/>
      <c r="DQ112" s="55">
        <f ca="1"/>
        <v>0</v>
      </c>
      <c r="DR112" s="55">
        <f ca="1"/>
        <v>0</v>
      </c>
      <c r="DS112" s="55">
        <f ca="1"/>
        <v>0</v>
      </c>
      <c r="DT112" s="55">
        <f ca="1"/>
        <v>0</v>
      </c>
      <c r="DU112" s="55">
        <f ca="1"/>
        <v>0</v>
      </c>
      <c r="DV112" s="55">
        <f ca="1"/>
        <v>0</v>
      </c>
      <c r="DW112" s="55">
        <f ca="1"/>
        <v>0</v>
      </c>
      <c r="DX112" s="55">
        <f ca="1"/>
        <v>0</v>
      </c>
      <c r="DY112" s="55">
        <f ca="1"/>
        <v>0</v>
      </c>
      <c r="DZ112" s="55">
        <f ca="1"/>
        <v>0</v>
      </c>
      <c r="EA112" s="55">
        <f ca="1"/>
        <v>0</v>
      </c>
      <c r="EB112" s="55">
        <f ca="1"/>
        <v>0</v>
      </c>
      <c r="EC112" s="186">
        <f ca="1"/>
        <v>0</v>
      </c>
    </row>
    <row r="113" spans="1:133" x14ac:dyDescent="0.3">
      <c r="A113" t="str">
        <f>A114</f>
        <v>Target: Public infrastructure/cloud</v>
      </c>
      <c r="C113" s="55"/>
      <c r="D113" s="55"/>
      <c r="E113" s="55"/>
      <c r="F113" s="55"/>
      <c r="G113" s="55"/>
      <c r="H113" s="55"/>
      <c r="I113" s="55"/>
      <c r="J113" s="55"/>
      <c r="K113" s="55"/>
      <c r="L113" s="55"/>
      <c r="M113" s="55"/>
      <c r="N113" s="55"/>
      <c r="O113" s="55"/>
      <c r="P113" s="55"/>
      <c r="Q113" s="55"/>
      <c r="R113" s="55"/>
      <c r="S113" s="55"/>
      <c r="T113" s="55"/>
      <c r="U113" s="55"/>
      <c r="V113" s="55"/>
      <c r="W113" s="55"/>
      <c r="X113" s="55"/>
      <c r="Y113" s="55"/>
      <c r="Z113" s="55"/>
      <c r="AA113" s="55"/>
      <c r="AB113" s="55"/>
      <c r="AC113" s="55"/>
      <c r="AD113" s="55"/>
      <c r="AE113" s="55"/>
      <c r="AF113" s="55"/>
      <c r="AG113" s="55"/>
      <c r="AH113" s="55"/>
      <c r="AI113" s="55"/>
      <c r="AJ113" s="55"/>
      <c r="AK113" s="55"/>
      <c r="AL113" s="55"/>
      <c r="AM113" s="55"/>
      <c r="AN113" s="55"/>
      <c r="AO113" s="55"/>
      <c r="AP113" s="55"/>
      <c r="AQ113" s="55"/>
      <c r="AR113" s="55"/>
      <c r="AS113" s="55"/>
      <c r="AT113" s="55"/>
      <c r="AU113" s="55"/>
      <c r="AV113" s="55"/>
      <c r="AW113" s="186"/>
      <c r="AX113" s="186"/>
      <c r="AY113" s="186"/>
      <c r="AZ113" s="186"/>
      <c r="BA113" s="186"/>
      <c r="BB113" s="186"/>
      <c r="BC113" s="186"/>
      <c r="BD113" s="186"/>
      <c r="BE113" s="186"/>
      <c r="BF113" s="186"/>
      <c r="BG113" s="186"/>
      <c r="BH113" s="186"/>
      <c r="BI113" s="186"/>
      <c r="BJ113" s="186"/>
      <c r="BK113" s="186"/>
      <c r="BL113" s="186"/>
      <c r="BM113" s="186"/>
      <c r="BN113" s="186"/>
      <c r="BO113" s="186"/>
      <c r="BP113" s="186"/>
      <c r="BQ113" s="186"/>
      <c r="BR113" s="186"/>
      <c r="BS113" s="186"/>
      <c r="BT113" s="186"/>
      <c r="BU113" s="186"/>
      <c r="BV113" s="186"/>
      <c r="BW113" s="186"/>
      <c r="BX113" s="186"/>
      <c r="BY113" s="186"/>
      <c r="BZ113" s="186"/>
      <c r="CA113" s="186"/>
      <c r="CB113" s="186"/>
      <c r="CC113" s="186"/>
      <c r="CD113" s="186"/>
      <c r="CE113" s="186"/>
      <c r="CF113" s="186"/>
      <c r="CG113" s="186"/>
      <c r="CH113" s="186"/>
      <c r="CI113" s="186"/>
      <c r="CJ113" s="186"/>
      <c r="CK113" s="186"/>
      <c r="CL113" s="186"/>
      <c r="CM113" s="186"/>
      <c r="CN113" s="186"/>
      <c r="CO113" s="186"/>
      <c r="CP113" s="186"/>
      <c r="CQ113" s="186"/>
      <c r="CR113" s="186"/>
      <c r="CS113" s="186"/>
      <c r="CT113" s="186"/>
      <c r="CU113" s="186"/>
      <c r="CV113" s="186"/>
      <c r="CW113" s="186"/>
      <c r="CX113" s="186"/>
      <c r="DO113" s="89"/>
      <c r="DQ113" s="55">
        <f ca="1"/>
        <v>0</v>
      </c>
      <c r="DR113" s="55">
        <f ca="1"/>
        <v>0</v>
      </c>
      <c r="DS113" s="55">
        <f ca="1"/>
        <v>0</v>
      </c>
      <c r="DT113" s="55">
        <f ca="1"/>
        <v>0</v>
      </c>
      <c r="DU113" s="55">
        <f ca="1"/>
        <v>0</v>
      </c>
      <c r="DV113" s="55">
        <f ca="1"/>
        <v>0</v>
      </c>
      <c r="DW113" s="55">
        <f ca="1"/>
        <v>0</v>
      </c>
      <c r="DX113" s="55">
        <f ca="1"/>
        <v>0</v>
      </c>
      <c r="DY113" s="55">
        <f ca="1"/>
        <v>0</v>
      </c>
      <c r="DZ113" s="55">
        <f ca="1"/>
        <v>0</v>
      </c>
      <c r="EA113" s="55">
        <f ca="1"/>
        <v>0</v>
      </c>
      <c r="EB113" s="55">
        <f ca="1"/>
        <v>0</v>
      </c>
      <c r="EC113" s="186">
        <f ca="1"/>
        <v>0</v>
      </c>
    </row>
    <row r="114" spans="1:133" x14ac:dyDescent="0.3">
      <c r="A114" t="str">
        <f>A115</f>
        <v>Target: Public infrastructure/cloud</v>
      </c>
      <c r="B114" s="57" t="str">
        <f>C$1</f>
        <v>Apr</v>
      </c>
      <c r="C114" s="57" t="str">
        <f t="shared" ref="C114:N114" si="220">D$1</f>
        <v>May</v>
      </c>
      <c r="D114" s="57" t="str">
        <f t="shared" si="220"/>
        <v>Jun</v>
      </c>
      <c r="E114" s="57" t="str">
        <f t="shared" si="220"/>
        <v>Jul</v>
      </c>
      <c r="F114" s="57" t="str">
        <f t="shared" si="220"/>
        <v>Aug</v>
      </c>
      <c r="G114" s="57" t="str">
        <f t="shared" si="220"/>
        <v>Sep</v>
      </c>
      <c r="H114" s="57" t="str">
        <f t="shared" si="220"/>
        <v>Oct</v>
      </c>
      <c r="I114" s="57" t="str">
        <f t="shared" si="220"/>
        <v>Nov</v>
      </c>
      <c r="J114" s="57" t="str">
        <f t="shared" si="220"/>
        <v>Dec 2011</v>
      </c>
      <c r="K114" s="57" t="str">
        <f t="shared" si="220"/>
        <v>Jan 2012</v>
      </c>
      <c r="L114" s="57" t="str">
        <f t="shared" si="220"/>
        <v>Feb</v>
      </c>
      <c r="M114" s="57" t="str">
        <f t="shared" si="220"/>
        <v>Mar</v>
      </c>
      <c r="N114" s="57" t="str">
        <f t="shared" si="220"/>
        <v>Apr</v>
      </c>
      <c r="O114" s="57" t="str">
        <f t="shared" ref="O114:AD114" si="221">P$1</f>
        <v>May</v>
      </c>
      <c r="P114" s="57" t="str">
        <f t="shared" si="221"/>
        <v>Jun</v>
      </c>
      <c r="Q114" s="57" t="str">
        <f t="shared" si="221"/>
        <v>Jul</v>
      </c>
      <c r="R114" s="57" t="str">
        <f t="shared" si="221"/>
        <v>Aug</v>
      </c>
      <c r="S114" s="57" t="str">
        <f t="shared" si="221"/>
        <v>Sep</v>
      </c>
      <c r="T114" s="57" t="str">
        <f t="shared" si="221"/>
        <v>Oct</v>
      </c>
      <c r="U114" s="57" t="str">
        <f t="shared" si="221"/>
        <v>Nov</v>
      </c>
      <c r="V114" s="57" t="str">
        <f t="shared" si="221"/>
        <v>Dec 2012</v>
      </c>
      <c r="W114" s="57" t="str">
        <f t="shared" si="221"/>
        <v>Jan 2013</v>
      </c>
      <c r="X114" s="57" t="str">
        <f t="shared" si="221"/>
        <v>Feb</v>
      </c>
      <c r="Y114" s="57" t="str">
        <f t="shared" si="221"/>
        <v>Mar</v>
      </c>
      <c r="Z114" s="57" t="str">
        <f t="shared" si="221"/>
        <v>Apr</v>
      </c>
      <c r="AA114" s="57" t="str">
        <f t="shared" si="221"/>
        <v>May</v>
      </c>
      <c r="AB114" s="57" t="str">
        <f t="shared" si="221"/>
        <v>Jun</v>
      </c>
      <c r="AC114" s="57" t="str">
        <f t="shared" si="221"/>
        <v>Jul</v>
      </c>
      <c r="AD114" s="57" t="str">
        <f t="shared" si="221"/>
        <v>Aug</v>
      </c>
      <c r="AE114" s="57" t="str">
        <f>AF$1</f>
        <v>Sep</v>
      </c>
      <c r="AF114" s="57" t="str">
        <f t="shared" ref="AF114:AK114" si="222">AG$1</f>
        <v>Oct</v>
      </c>
      <c r="AG114" s="57" t="str">
        <f t="shared" si="222"/>
        <v>Nov</v>
      </c>
      <c r="AH114" s="57" t="str">
        <f t="shared" si="222"/>
        <v>Dec 2013</v>
      </c>
      <c r="AI114" s="57" t="str">
        <f t="shared" si="222"/>
        <v>Jan 2014</v>
      </c>
      <c r="AJ114" s="57" t="str">
        <f t="shared" si="222"/>
        <v>Feb</v>
      </c>
      <c r="AK114" s="57" t="str">
        <f t="shared" si="222"/>
        <v>Mar</v>
      </c>
      <c r="AL114" s="57" t="str">
        <f t="shared" ref="AL114:CI114" si="223">AM$1</f>
        <v>Apr</v>
      </c>
      <c r="AM114" s="57" t="str">
        <f t="shared" si="223"/>
        <v>May</v>
      </c>
      <c r="AN114" s="57" t="str">
        <f t="shared" si="223"/>
        <v>Jun</v>
      </c>
      <c r="AO114" s="57" t="str">
        <f t="shared" si="223"/>
        <v>Jul</v>
      </c>
      <c r="AP114" s="57" t="str">
        <f t="shared" si="223"/>
        <v>Aug</v>
      </c>
      <c r="AQ114" s="57" t="str">
        <f t="shared" si="223"/>
        <v>Sep</v>
      </c>
      <c r="AR114" s="57" t="str">
        <f t="shared" si="223"/>
        <v>Oct</v>
      </c>
      <c r="AS114" s="57" t="str">
        <f t="shared" si="223"/>
        <v>Nov</v>
      </c>
      <c r="AT114" s="57" t="str">
        <f t="shared" si="223"/>
        <v>Dec '14</v>
      </c>
      <c r="AU114" s="57" t="str">
        <f t="shared" si="223"/>
        <v>Jan '15</v>
      </c>
      <c r="AV114" s="57" t="str">
        <f t="shared" si="223"/>
        <v>Feb</v>
      </c>
      <c r="AW114" s="57" t="str">
        <f t="shared" si="223"/>
        <v>Mar</v>
      </c>
      <c r="AX114" s="57" t="str">
        <f t="shared" si="223"/>
        <v>Apr</v>
      </c>
      <c r="AY114" s="57" t="str">
        <f t="shared" si="223"/>
        <v>May</v>
      </c>
      <c r="AZ114" s="57" t="str">
        <f t="shared" si="223"/>
        <v>Jun</v>
      </c>
      <c r="BA114" s="57" t="str">
        <f t="shared" si="223"/>
        <v>Jul</v>
      </c>
      <c r="BB114" s="57" t="str">
        <f t="shared" si="223"/>
        <v>Aug</v>
      </c>
      <c r="BC114" s="57" t="str">
        <f t="shared" si="223"/>
        <v>Sep</v>
      </c>
      <c r="BD114" s="57" t="str">
        <f t="shared" si="223"/>
        <v>Oct</v>
      </c>
      <c r="BE114" s="57" t="str">
        <f t="shared" si="223"/>
        <v>Nov</v>
      </c>
      <c r="BF114" s="57" t="str">
        <f t="shared" si="223"/>
        <v>Dec '15</v>
      </c>
      <c r="BG114" s="57" t="str">
        <f t="shared" si="223"/>
        <v>Jan '16</v>
      </c>
      <c r="BH114" s="57" t="str">
        <f t="shared" si="223"/>
        <v>Feb</v>
      </c>
      <c r="BI114" s="57" t="str">
        <f t="shared" si="223"/>
        <v>Mar</v>
      </c>
      <c r="BJ114" s="57" t="str">
        <f t="shared" si="223"/>
        <v>Apr</v>
      </c>
      <c r="BK114" s="57" t="str">
        <f t="shared" si="223"/>
        <v>May</v>
      </c>
      <c r="BL114" s="57" t="str">
        <f t="shared" si="223"/>
        <v>Jun</v>
      </c>
      <c r="BM114" s="57" t="str">
        <f t="shared" si="223"/>
        <v>Jul</v>
      </c>
      <c r="BN114" s="57" t="str">
        <f t="shared" si="223"/>
        <v>Aug</v>
      </c>
      <c r="BO114" s="57" t="str">
        <f t="shared" si="223"/>
        <v>Sep</v>
      </c>
      <c r="BP114" s="57" t="str">
        <f t="shared" si="223"/>
        <v>Oct</v>
      </c>
      <c r="BQ114" s="57" t="str">
        <f t="shared" si="223"/>
        <v>Nov</v>
      </c>
      <c r="BR114" s="57" t="str">
        <f t="shared" si="223"/>
        <v>Dec-16</v>
      </c>
      <c r="BS114" s="57" t="str">
        <f t="shared" si="223"/>
        <v>Jan-17</v>
      </c>
      <c r="BT114" s="57" t="str">
        <f t="shared" si="223"/>
        <v>Feb</v>
      </c>
      <c r="BU114" s="57" t="str">
        <f t="shared" si="223"/>
        <v>Mar</v>
      </c>
      <c r="BV114" s="57" t="str">
        <f t="shared" si="223"/>
        <v>Apr</v>
      </c>
      <c r="BW114" s="57" t="str">
        <f t="shared" si="223"/>
        <v>May</v>
      </c>
      <c r="BX114" s="57" t="str">
        <f t="shared" si="223"/>
        <v>Jun</v>
      </c>
      <c r="BY114" s="57" t="str">
        <f t="shared" si="223"/>
        <v>Jul</v>
      </c>
      <c r="BZ114" s="57" t="str">
        <f t="shared" si="223"/>
        <v>Aug</v>
      </c>
      <c r="CA114" s="57" t="str">
        <f t="shared" si="223"/>
        <v>Sep</v>
      </c>
      <c r="CB114" s="57" t="str">
        <f t="shared" si="223"/>
        <v>Oct</v>
      </c>
      <c r="CC114" s="57" t="str">
        <f t="shared" si="223"/>
        <v>Nov</v>
      </c>
      <c r="CD114" s="57" t="str">
        <f t="shared" si="223"/>
        <v>Dec</v>
      </c>
      <c r="CE114" s="57" t="str">
        <f t="shared" si="223"/>
        <v>Jan '18</v>
      </c>
      <c r="CF114" s="57" t="str">
        <f t="shared" si="223"/>
        <v>Feb</v>
      </c>
      <c r="CG114" s="57" t="str">
        <f t="shared" si="223"/>
        <v>Mar</v>
      </c>
      <c r="CH114" s="57" t="str">
        <f t="shared" si="223"/>
        <v>Apr</v>
      </c>
      <c r="CI114" s="57" t="str">
        <f t="shared" si="223"/>
        <v>May</v>
      </c>
      <c r="CJ114" s="57" t="str">
        <f t="shared" ref="CJ114:CO114" si="224">CK$1</f>
        <v>Jun</v>
      </c>
      <c r="CK114" s="57" t="str">
        <f t="shared" si="224"/>
        <v>Jul</v>
      </c>
      <c r="CL114" s="57" t="str">
        <f t="shared" si="224"/>
        <v>Aug</v>
      </c>
      <c r="CM114" s="57" t="str">
        <f t="shared" si="224"/>
        <v>Sep</v>
      </c>
      <c r="CN114" s="57" t="str">
        <f t="shared" si="224"/>
        <v>Oct</v>
      </c>
      <c r="CO114" s="57" t="str">
        <f t="shared" si="224"/>
        <v>Nov</v>
      </c>
      <c r="CP114" s="57" t="str">
        <f t="shared" ref="CP114:CX114" si="225">CQ$1</f>
        <v>Dec-18</v>
      </c>
      <c r="CQ114" s="57" t="str">
        <f t="shared" si="225"/>
        <v>Jan-19</v>
      </c>
      <c r="CR114" s="57" t="str">
        <f t="shared" si="225"/>
        <v>Feb-19</v>
      </c>
      <c r="CS114" s="57" t="str">
        <f t="shared" si="225"/>
        <v>Mar-19</v>
      </c>
      <c r="CT114" s="57" t="str">
        <f t="shared" si="225"/>
        <v>Apr-19</v>
      </c>
      <c r="CU114" s="57" t="str">
        <f t="shared" si="225"/>
        <v>May-19</v>
      </c>
      <c r="CV114" s="57" t="str">
        <f t="shared" si="225"/>
        <v>June-19</v>
      </c>
      <c r="CW114" s="57" t="str">
        <f t="shared" si="225"/>
        <v>July-19</v>
      </c>
      <c r="CX114" s="57" t="str">
        <f t="shared" si="225"/>
        <v>Aug-19</v>
      </c>
      <c r="CZ114" t="str">
        <f>A118</f>
        <v>Target: Autonomous network connected devices</v>
      </c>
      <c r="DG114" t="str">
        <f>A123</f>
        <v>Target: Counterparties</v>
      </c>
      <c r="DO114" s="89"/>
      <c r="DQ114" s="57" t="str">
        <f ca="1"/>
        <v>Aug</v>
      </c>
      <c r="DR114" s="57" t="str">
        <f ca="1"/>
        <v>Sep</v>
      </c>
      <c r="DS114" s="57" t="str">
        <f ca="1"/>
        <v>Oct</v>
      </c>
      <c r="DT114" s="57" t="str">
        <f ca="1"/>
        <v>Nov</v>
      </c>
      <c r="DU114" s="57" t="str">
        <f ca="1"/>
        <v>Dec-18</v>
      </c>
      <c r="DV114" s="57" t="str">
        <f ca="1"/>
        <v>Jan-19</v>
      </c>
      <c r="DW114" s="57" t="str">
        <f ca="1"/>
        <v>Feb-19</v>
      </c>
      <c r="DX114" s="57" t="str">
        <f ca="1"/>
        <v>Mar-19</v>
      </c>
      <c r="DY114" s="57" t="str">
        <f ca="1"/>
        <v>Apr-19</v>
      </c>
      <c r="DZ114" s="57" t="str">
        <f ca="1"/>
        <v>May-19</v>
      </c>
      <c r="EA114" s="57" t="str">
        <f ca="1"/>
        <v>June-19</v>
      </c>
      <c r="EB114" s="57" t="str">
        <f ca="1"/>
        <v>July-19</v>
      </c>
      <c r="EC114" s="57" t="str">
        <f ca="1"/>
        <v>Aug-19</v>
      </c>
    </row>
    <row r="115" spans="1:133" x14ac:dyDescent="0.3">
      <c r="A115" t="str">
        <f>A19</f>
        <v>Target: Public infrastructure/cloud</v>
      </c>
      <c r="B115">
        <f t="shared" ref="B115:CI115" si="226">C19</f>
        <v>1000</v>
      </c>
      <c r="C115" s="56">
        <f t="shared" si="226"/>
        <v>1000</v>
      </c>
      <c r="D115" s="56">
        <f t="shared" si="226"/>
        <v>1000</v>
      </c>
      <c r="E115" s="56">
        <f t="shared" si="226"/>
        <v>1000</v>
      </c>
      <c r="F115" s="56">
        <f t="shared" si="226"/>
        <v>1000</v>
      </c>
      <c r="G115" s="56">
        <f t="shared" si="226"/>
        <v>1000</v>
      </c>
      <c r="H115" s="56">
        <f t="shared" si="226"/>
        <v>1000</v>
      </c>
      <c r="I115" s="56">
        <f t="shared" si="226"/>
        <v>1000</v>
      </c>
      <c r="J115" s="56">
        <f t="shared" si="226"/>
        <v>1000</v>
      </c>
      <c r="K115" s="56">
        <f t="shared" si="226"/>
        <v>1000</v>
      </c>
      <c r="L115" s="56">
        <f t="shared" si="226"/>
        <v>1000</v>
      </c>
      <c r="M115" s="56">
        <f t="shared" si="226"/>
        <v>1000</v>
      </c>
      <c r="N115" s="56">
        <f t="shared" si="226"/>
        <v>1000</v>
      </c>
      <c r="O115" s="56">
        <f t="shared" si="226"/>
        <v>1029.3003610727915</v>
      </c>
      <c r="P115" s="56">
        <f t="shared" si="226"/>
        <v>1051.1103191546267</v>
      </c>
      <c r="Q115" s="56">
        <f t="shared" si="226"/>
        <v>1073.1537779409803</v>
      </c>
      <c r="R115" s="56">
        <f t="shared" si="226"/>
        <v>1093.465236139217</v>
      </c>
      <c r="S115" s="56">
        <f t="shared" si="226"/>
        <v>1112.6483490281028</v>
      </c>
      <c r="T115" s="56">
        <f t="shared" si="226"/>
        <v>1147.9675989745058</v>
      </c>
      <c r="U115" s="56">
        <f t="shared" si="226"/>
        <v>1172.7451003187937</v>
      </c>
      <c r="V115" s="56">
        <f t="shared" si="226"/>
        <v>1202.9428974679149</v>
      </c>
      <c r="W115" s="56">
        <f t="shared" si="226"/>
        <v>1216.018235706033</v>
      </c>
      <c r="X115" s="56">
        <f t="shared" si="226"/>
        <v>1248.9533965426576</v>
      </c>
      <c r="Y115" s="56">
        <f t="shared" si="226"/>
        <v>1279.116434713728</v>
      </c>
      <c r="Z115" s="56">
        <f t="shared" si="226"/>
        <v>1306.9037398882863</v>
      </c>
      <c r="AA115" s="56">
        <f t="shared" si="226"/>
        <v>1333.1689021360012</v>
      </c>
      <c r="AB115" s="56">
        <f t="shared" si="226"/>
        <v>1357.1893193910901</v>
      </c>
      <c r="AC115" s="56">
        <f t="shared" si="226"/>
        <v>1389.5602259548264</v>
      </c>
      <c r="AD115" s="56">
        <f t="shared" si="226"/>
        <v>1434.1768866132627</v>
      </c>
      <c r="AE115" s="56">
        <f t="shared" si="226"/>
        <v>1466.717607293027</v>
      </c>
      <c r="AF115" s="56">
        <f t="shared" si="226"/>
        <v>1482.5169268705997</v>
      </c>
      <c r="AG115" s="56">
        <f t="shared" si="226"/>
        <v>1499.9142447079003</v>
      </c>
      <c r="AH115" s="56">
        <f t="shared" si="226"/>
        <v>1528.0580484849388</v>
      </c>
      <c r="AI115" s="56">
        <f t="shared" si="226"/>
        <v>1553.7390968971617</v>
      </c>
      <c r="AJ115" s="56">
        <f t="shared" si="226"/>
        <v>1592.1462538307508</v>
      </c>
      <c r="AK115" s="56">
        <f t="shared" si="226"/>
        <v>1615.6172754140803</v>
      </c>
      <c r="AL115" s="56">
        <f t="shared" si="226"/>
        <v>1687.6242128846388</v>
      </c>
      <c r="AM115" s="56">
        <f t="shared" si="226"/>
        <v>1727.3996810742901</v>
      </c>
      <c r="AN115" s="56">
        <f t="shared" si="226"/>
        <v>1755.0035185243873</v>
      </c>
      <c r="AO115" s="56">
        <f t="shared" si="226"/>
        <v>1760.024984398314</v>
      </c>
      <c r="AP115" s="56">
        <f t="shared" si="226"/>
        <v>1793.8705855819039</v>
      </c>
      <c r="AQ115" s="56">
        <f t="shared" si="226"/>
        <v>1849.1623754555787</v>
      </c>
      <c r="AR115" s="56">
        <f t="shared" si="226"/>
        <v>1880.7009088953459</v>
      </c>
      <c r="AS115" s="56">
        <f t="shared" si="226"/>
        <v>1918.1887345103837</v>
      </c>
      <c r="AT115" s="56">
        <f t="shared" si="226"/>
        <v>1955.1371036341484</v>
      </c>
      <c r="AU115" s="56">
        <f t="shared" si="226"/>
        <v>1975.2354243305742</v>
      </c>
      <c r="AV115" s="56">
        <f t="shared" si="226"/>
        <v>1994.824376215083</v>
      </c>
      <c r="AW115" s="56">
        <f t="shared" si="226"/>
        <v>2023.7070736511553</v>
      </c>
      <c r="AX115" s="56">
        <f t="shared" si="226"/>
        <v>2035.7250943000447</v>
      </c>
      <c r="AY115" s="56">
        <f t="shared" si="226"/>
        <v>2083.4450524809799</v>
      </c>
      <c r="AZ115" s="56">
        <f t="shared" si="226"/>
        <v>2116.7384930176408</v>
      </c>
      <c r="BA115" s="56">
        <f t="shared" si="226"/>
        <v>2154.2529939780957</v>
      </c>
      <c r="BB115" s="56">
        <f t="shared" si="226"/>
        <v>2205.5423374915677</v>
      </c>
      <c r="BC115" s="56">
        <f t="shared" si="226"/>
        <v>2227.0896845414545</v>
      </c>
      <c r="BD115" s="56">
        <f t="shared" si="226"/>
        <v>2269.9881388258136</v>
      </c>
      <c r="BE115" s="56">
        <f t="shared" si="226"/>
        <v>2314.5587178694227</v>
      </c>
      <c r="BF115" s="56">
        <f t="shared" si="226"/>
        <v>2320.3523536913553</v>
      </c>
      <c r="BG115" s="56">
        <f t="shared" si="226"/>
        <v>2346.0861285679471</v>
      </c>
      <c r="BH115" s="56">
        <f t="shared" si="226"/>
        <v>2362.6401762829196</v>
      </c>
      <c r="BI115" s="56">
        <f t="shared" si="226"/>
        <v>2411.6419921774586</v>
      </c>
      <c r="BJ115" s="56">
        <f t="shared" si="226"/>
        <v>2441.1047352884407</v>
      </c>
      <c r="BK115" s="56">
        <f t="shared" si="226"/>
        <v>2480.7966277470086</v>
      </c>
      <c r="BL115" s="56">
        <f t="shared" si="226"/>
        <v>2493.6615771809552</v>
      </c>
      <c r="BM115" s="56">
        <f t="shared" si="226"/>
        <v>2550.1850785467327</v>
      </c>
      <c r="BN115" s="56">
        <f t="shared" si="226"/>
        <v>2589.1184513778135</v>
      </c>
      <c r="BO115" s="56">
        <f t="shared" si="226"/>
        <v>2622.6788031644637</v>
      </c>
      <c r="BP115" s="56">
        <f t="shared" si="226"/>
        <v>2705.9315651525726</v>
      </c>
      <c r="BQ115" s="56">
        <f t="shared" si="226"/>
        <v>2746.0187123958867</v>
      </c>
      <c r="BR115" s="56">
        <f t="shared" si="226"/>
        <v>2792.1692101232666</v>
      </c>
      <c r="BS115" s="56">
        <f t="shared" si="226"/>
        <v>2819.3213720025474</v>
      </c>
      <c r="BT115" s="56">
        <f t="shared" si="226"/>
        <v>2839.8586286213822</v>
      </c>
      <c r="BU115" s="56">
        <f t="shared" si="226"/>
        <v>2858.8542679223606</v>
      </c>
      <c r="BV115" s="56">
        <f t="shared" si="226"/>
        <v>2893.6471992954439</v>
      </c>
      <c r="BW115" s="56">
        <f t="shared" si="226"/>
        <v>2879.6795006607163</v>
      </c>
      <c r="BX115" s="56">
        <f t="shared" si="226"/>
        <v>2908.6207607912097</v>
      </c>
      <c r="BY115" s="56">
        <f t="shared" si="226"/>
        <v>2959.4004459338621</v>
      </c>
      <c r="BZ115" s="56">
        <f t="shared" si="226"/>
        <v>3005.4516982272362</v>
      </c>
      <c r="CA115" s="56">
        <f t="shared" si="226"/>
        <v>3030.6017754901318</v>
      </c>
      <c r="CB115" s="56">
        <f t="shared" si="226"/>
        <v>3079.7013689311798</v>
      </c>
      <c r="CC115" s="56">
        <f t="shared" si="226"/>
        <v>3103.6885370315836</v>
      </c>
      <c r="CD115" s="56">
        <f t="shared" si="226"/>
        <v>3130.6639322540004</v>
      </c>
      <c r="CE115" s="56">
        <f t="shared" si="226"/>
        <v>3204.190187065441</v>
      </c>
      <c r="CF115" s="56">
        <f t="shared" si="226"/>
        <v>3188.2092218368489</v>
      </c>
      <c r="CG115" s="56">
        <f t="shared" si="226"/>
        <v>3268.9191225447444</v>
      </c>
      <c r="CH115" s="56">
        <f t="shared" ca="1" si="226"/>
        <v>2118.4841760206382</v>
      </c>
      <c r="CI115" s="56">
        <f t="shared" si="226"/>
        <v>3370.3737728070205</v>
      </c>
      <c r="CJ115" s="56">
        <f t="shared" ref="CJ115:CO115" si="227">CK19</f>
        <v>3380.922664906238</v>
      </c>
      <c r="CK115" s="56">
        <f t="shared" si="227"/>
        <v>3411.4883079663527</v>
      </c>
      <c r="CL115" s="56">
        <f t="shared" si="227"/>
        <v>3481.0743162765457</v>
      </c>
      <c r="CM115" s="56">
        <f t="shared" si="227"/>
        <v>3557.5783981010959</v>
      </c>
      <c r="CN115" s="56">
        <f t="shared" si="227"/>
        <v>3542.7859936859149</v>
      </c>
      <c r="CO115" s="56">
        <f t="shared" si="227"/>
        <v>3606.0816048433189</v>
      </c>
      <c r="CP115" s="56">
        <f t="shared" ref="CP115:CX115" si="228">CQ19</f>
        <v>3673.3351723251135</v>
      </c>
      <c r="CQ115" s="56">
        <f t="shared" si="228"/>
        <v>3736.3156878632713</v>
      </c>
      <c r="CR115" s="56">
        <f t="shared" si="228"/>
        <v>3751.9161482851428</v>
      </c>
      <c r="CS115" s="56">
        <f t="shared" si="228"/>
        <v>3603.898844711794</v>
      </c>
      <c r="CT115" s="56">
        <f t="shared" si="228"/>
        <v>3921.261870544568</v>
      </c>
      <c r="CU115" s="56">
        <f t="shared" si="228"/>
        <v>3966.7692374330568</v>
      </c>
      <c r="CV115" s="56">
        <f t="shared" si="228"/>
        <v>4036.4928629203696</v>
      </c>
      <c r="CW115" s="56">
        <f t="shared" si="228"/>
        <v>4120.2421091901333</v>
      </c>
      <c r="CX115" s="56">
        <f t="shared" si="228"/>
        <v>4120.2421091901333</v>
      </c>
      <c r="DO115" s="89"/>
      <c r="DQ115" s="56">
        <f ca="1"/>
        <v>3481.0743162765457</v>
      </c>
      <c r="DR115" s="56">
        <f ca="1"/>
        <v>3557.5783981010959</v>
      </c>
      <c r="DS115" s="56">
        <f ca="1"/>
        <v>3542.7859936859149</v>
      </c>
      <c r="DT115" s="56">
        <f ca="1"/>
        <v>3606.0816048433189</v>
      </c>
      <c r="DU115" s="56">
        <f ca="1"/>
        <v>3673.3351723251135</v>
      </c>
      <c r="DV115" s="56">
        <f ca="1"/>
        <v>3736.3156878632713</v>
      </c>
      <c r="DW115" s="56">
        <f ca="1"/>
        <v>3751.9161482851428</v>
      </c>
      <c r="DX115" s="56">
        <f ca="1"/>
        <v>3603.898844711794</v>
      </c>
      <c r="DY115" s="56">
        <f ca="1"/>
        <v>3921.261870544568</v>
      </c>
      <c r="DZ115" s="56">
        <f ca="1"/>
        <v>3966.7692374330568</v>
      </c>
      <c r="EA115" s="56">
        <f ca="1"/>
        <v>4036.4928629203696</v>
      </c>
      <c r="EB115" s="56">
        <f ca="1"/>
        <v>4120.2421091901333</v>
      </c>
      <c r="EC115" s="56">
        <f ca="1"/>
        <v>4120.2421091901333</v>
      </c>
    </row>
    <row r="116" spans="1:133" x14ac:dyDescent="0.3">
      <c r="A116" t="s">
        <v>108</v>
      </c>
      <c r="C116" s="55">
        <f t="shared" ref="C116:M116" si="229">LN(C115)-LN(B115)</f>
        <v>0</v>
      </c>
      <c r="D116" s="55">
        <f t="shared" si="229"/>
        <v>0</v>
      </c>
      <c r="E116" s="55">
        <f t="shared" si="229"/>
        <v>0</v>
      </c>
      <c r="F116" s="55">
        <f t="shared" si="229"/>
        <v>0</v>
      </c>
      <c r="G116" s="55">
        <f t="shared" si="229"/>
        <v>0</v>
      </c>
      <c r="H116" s="55">
        <f t="shared" si="229"/>
        <v>0</v>
      </c>
      <c r="I116" s="55">
        <f t="shared" si="229"/>
        <v>0</v>
      </c>
      <c r="J116" s="55">
        <f t="shared" si="229"/>
        <v>0</v>
      </c>
      <c r="K116" s="55">
        <f t="shared" si="229"/>
        <v>0</v>
      </c>
      <c r="L116" s="55">
        <f t="shared" si="229"/>
        <v>0</v>
      </c>
      <c r="M116" s="55">
        <f t="shared" si="229"/>
        <v>0</v>
      </c>
      <c r="N116" s="55">
        <f t="shared" ref="N116:AD116" si="230">LN(N115)-LN(M115)</f>
        <v>0</v>
      </c>
      <c r="O116" s="55">
        <f t="shared" si="230"/>
        <v>2.8879310344827935E-2</v>
      </c>
      <c r="P116" s="55">
        <f t="shared" si="230"/>
        <v>2.0967741935483453E-2</v>
      </c>
      <c r="Q116" s="55">
        <f t="shared" si="230"/>
        <v>2.0754716981132404E-2</v>
      </c>
      <c r="R116" s="55">
        <f t="shared" si="230"/>
        <v>1.8749999999999822E-2</v>
      </c>
      <c r="S116" s="55">
        <f t="shared" si="230"/>
        <v>1.7391304347825987E-2</v>
      </c>
      <c r="T116" s="55">
        <f t="shared" si="230"/>
        <v>3.1250000000000888E-2</v>
      </c>
      <c r="U116" s="55">
        <f t="shared" si="230"/>
        <v>2.1354166666665897E-2</v>
      </c>
      <c r="V116" s="55">
        <f t="shared" si="230"/>
        <v>2.5423728813559698E-2</v>
      </c>
      <c r="W116" s="55">
        <f t="shared" si="230"/>
        <v>1.08108108108107E-2</v>
      </c>
      <c r="X116" s="55">
        <f t="shared" si="230"/>
        <v>2.6724137931034342E-2</v>
      </c>
      <c r="Y116" s="55">
        <f t="shared" si="230"/>
        <v>2.3863636363635976E-2</v>
      </c>
      <c r="Z116" s="55">
        <f t="shared" si="230"/>
        <v>2.1491228070176227E-2</v>
      </c>
      <c r="AA116" s="55">
        <f t="shared" si="230"/>
        <v>1.9897959183673208E-2</v>
      </c>
      <c r="AB116" s="55">
        <f t="shared" si="230"/>
        <v>1.7857142857143238E-2</v>
      </c>
      <c r="AC116" s="55">
        <f t="shared" si="230"/>
        <v>2.3571428571428577E-2</v>
      </c>
      <c r="AD116" s="55">
        <f t="shared" si="230"/>
        <v>3.160377358490507E-2</v>
      </c>
      <c r="AE116" s="55">
        <f>LN(AE115)-LN(AD115)</f>
        <v>2.24358974358978E-2</v>
      </c>
      <c r="AF116" s="55">
        <f t="shared" ref="AF116:CI116" si="231">LN(AF115)-LN(AE115)</f>
        <v>1.0714285714285232E-2</v>
      </c>
      <c r="AG116" s="55">
        <f t="shared" si="231"/>
        <v>1.1666666666666714E-2</v>
      </c>
      <c r="AH116" s="55">
        <f t="shared" si="231"/>
        <v>1.8589743589743968E-2</v>
      </c>
      <c r="AI116" s="55">
        <f t="shared" si="231"/>
        <v>1.6666666666666607E-2</v>
      </c>
      <c r="AJ116" s="55">
        <f t="shared" si="231"/>
        <v>2.4418604651162745E-2</v>
      </c>
      <c r="AK116" s="55">
        <f t="shared" si="231"/>
        <v>1.4634146341463428E-2</v>
      </c>
      <c r="AL116" s="55">
        <f t="shared" si="231"/>
        <v>4.3604651162790553E-2</v>
      </c>
      <c r="AM116" s="55">
        <f t="shared" si="231"/>
        <v>2.3295454545454675E-2</v>
      </c>
      <c r="AN116" s="55">
        <f t="shared" si="231"/>
        <v>1.5853658536585158E-2</v>
      </c>
      <c r="AO116" s="55">
        <f t="shared" si="231"/>
        <v>2.8571428571426694E-3</v>
      </c>
      <c r="AP116" s="55">
        <f t="shared" si="231"/>
        <v>1.904761904761898E-2</v>
      </c>
      <c r="AQ116" s="55">
        <f t="shared" si="231"/>
        <v>3.0357142857143415E-2</v>
      </c>
      <c r="AR116" s="55">
        <f t="shared" si="231"/>
        <v>1.6911764705882071E-2</v>
      </c>
      <c r="AS116" s="55">
        <f t="shared" si="231"/>
        <v>1.9736842105262831E-2</v>
      </c>
      <c r="AT116" s="55">
        <f t="shared" si="231"/>
        <v>1.9078947368421417E-2</v>
      </c>
      <c r="AU116" s="55">
        <f t="shared" si="231"/>
        <v>1.0227272727272307E-2</v>
      </c>
      <c r="AV116" s="55">
        <f t="shared" si="231"/>
        <v>9.8684210526318594E-3</v>
      </c>
      <c r="AW116" s="186">
        <f t="shared" si="231"/>
        <v>1.4375000000000249E-2</v>
      </c>
      <c r="AX116" s="186">
        <f t="shared" si="231"/>
        <v>5.921052631578938E-3</v>
      </c>
      <c r="AY116" s="186">
        <f t="shared" si="231"/>
        <v>2.3170731707316428E-2</v>
      </c>
      <c r="AZ116" s="186">
        <f t="shared" si="231"/>
        <v>1.5853658536586046E-2</v>
      </c>
      <c r="BA116" s="186">
        <f t="shared" si="231"/>
        <v>1.7567567567566833E-2</v>
      </c>
      <c r="BB116" s="186">
        <f t="shared" si="231"/>
        <v>2.3529411764706687E-2</v>
      </c>
      <c r="BC116" s="186">
        <f t="shared" si="231"/>
        <v>9.7222222222219656E-3</v>
      </c>
      <c r="BD116" s="186">
        <f t="shared" si="231"/>
        <v>1.9078947368420529E-2</v>
      </c>
      <c r="BE116" s="186">
        <f t="shared" si="231"/>
        <v>1.9444444444444819E-2</v>
      </c>
      <c r="BF116" s="186">
        <f t="shared" si="231"/>
        <v>2.5000000000003908E-3</v>
      </c>
      <c r="BG116" s="186">
        <f t="shared" si="231"/>
        <v>1.1029411764705621E-2</v>
      </c>
      <c r="BH116" s="186">
        <f t="shared" si="231"/>
        <v>7.0312499999998224E-3</v>
      </c>
      <c r="BI116" s="186">
        <f t="shared" si="231"/>
        <v>2.0528127559377829E-2</v>
      </c>
      <c r="BJ116" s="186">
        <f t="shared" si="231"/>
        <v>1.2142857142857011E-2</v>
      </c>
      <c r="BK116" s="186">
        <f t="shared" si="231"/>
        <v>1.6129032258064946E-2</v>
      </c>
      <c r="BL116" s="186">
        <f t="shared" si="231"/>
        <v>5.172413793102848E-3</v>
      </c>
      <c r="BM116" s="186">
        <f t="shared" si="231"/>
        <v>2.2413793103448043E-2</v>
      </c>
      <c r="BN116" s="186">
        <f t="shared" si="231"/>
        <v>1.5151515151515582E-2</v>
      </c>
      <c r="BO116" s="186">
        <f t="shared" si="231"/>
        <v>1.2878787878787712E-2</v>
      </c>
      <c r="BP116" s="186">
        <f t="shared" si="231"/>
        <v>3.125E-2</v>
      </c>
      <c r="BQ116" s="186">
        <f t="shared" si="231"/>
        <v>1.4705882352941124E-2</v>
      </c>
      <c r="BR116" s="186">
        <f t="shared" si="231"/>
        <v>1.6666666666666607E-2</v>
      </c>
      <c r="BS116" s="186">
        <f t="shared" si="231"/>
        <v>9.6774193548387899E-3</v>
      </c>
      <c r="BT116" s="186">
        <f t="shared" si="231"/>
        <v>7.2580645161286483E-3</v>
      </c>
      <c r="BU116" s="186">
        <f t="shared" si="231"/>
        <v>6.6666666666668206E-3</v>
      </c>
      <c r="BV116" s="186">
        <f t="shared" si="231"/>
        <v>1.2096774193548931E-2</v>
      </c>
      <c r="BW116" s="186">
        <f t="shared" si="231"/>
        <v>-4.8387096774193949E-3</v>
      </c>
      <c r="BX116" s="186">
        <f t="shared" si="231"/>
        <v>9.9999999999997868E-3</v>
      </c>
      <c r="BY116" s="186">
        <f t="shared" si="231"/>
        <v>1.7307692307691802E-2</v>
      </c>
      <c r="BZ116" s="186">
        <f t="shared" si="231"/>
        <v>1.5441176470589291E-2</v>
      </c>
      <c r="CA116" s="186">
        <f t="shared" si="231"/>
        <v>8.3333333333328596E-3</v>
      </c>
      <c r="CB116" s="186">
        <f t="shared" si="231"/>
        <v>1.607142857142918E-2</v>
      </c>
      <c r="CC116" s="186">
        <f t="shared" si="231"/>
        <v>7.7586206896551602E-3</v>
      </c>
      <c r="CD116" s="186">
        <f t="shared" si="231"/>
        <v>8.6538461538445688E-3</v>
      </c>
      <c r="CE116" s="186">
        <f t="shared" si="231"/>
        <v>2.3214285714287186E-2</v>
      </c>
      <c r="CF116" s="186">
        <f t="shared" si="231"/>
        <v>-5.0000000000007816E-3</v>
      </c>
      <c r="CG116" s="186">
        <f t="shared" si="231"/>
        <v>2.5000000000000355E-2</v>
      </c>
      <c r="CH116" s="186">
        <f t="shared" ca="1" si="231"/>
        <v>-0.43375856507289789</v>
      </c>
      <c r="CI116" s="186">
        <f t="shared" ca="1" si="231"/>
        <v>0.46432282839578143</v>
      </c>
      <c r="CJ116" s="186">
        <f t="shared" ref="CJ116:CX116" si="232">LN(CJ115)-LN(CI115)</f>
        <v>3.1249999999989342E-3</v>
      </c>
      <c r="CK116" s="186">
        <f t="shared" si="232"/>
        <v>9.0000000000003411E-3</v>
      </c>
      <c r="CL116" s="186">
        <f t="shared" si="232"/>
        <v>2.0192307692308731E-2</v>
      </c>
      <c r="CM116" s="186">
        <f t="shared" si="232"/>
        <v>2.1739130434781373E-2</v>
      </c>
      <c r="CN116" s="186">
        <f t="shared" si="232"/>
        <v>-4.1666666666664298E-3</v>
      </c>
      <c r="CO116" s="186">
        <f t="shared" si="232"/>
        <v>1.7708333333333215E-2</v>
      </c>
      <c r="CP116" s="186">
        <f t="shared" si="232"/>
        <v>1.8478260869565943E-2</v>
      </c>
      <c r="CQ116" s="186">
        <f t="shared" si="232"/>
        <v>1.699999999999946E-2</v>
      </c>
      <c r="CR116" s="186">
        <f t="shared" si="232"/>
        <v>4.1666666666664298E-3</v>
      </c>
      <c r="CS116" s="186">
        <f t="shared" si="232"/>
        <v>-4.0250410509029777E-2</v>
      </c>
      <c r="CT116" s="186">
        <f t="shared" si="232"/>
        <v>8.4397235905855794E-2</v>
      </c>
      <c r="CU116" s="186">
        <f t="shared" si="232"/>
        <v>1.1538461538462386E-2</v>
      </c>
      <c r="CV116" s="186">
        <f t="shared" si="232"/>
        <v>1.7424242424240788E-2</v>
      </c>
      <c r="CW116" s="186">
        <f t="shared" si="232"/>
        <v>2.0535714285715656E-2</v>
      </c>
      <c r="CX116" s="186">
        <f t="shared" si="232"/>
        <v>0</v>
      </c>
      <c r="DO116" s="89"/>
      <c r="DQ116" s="55">
        <f ca="1"/>
        <v>2.0192307692308731E-2</v>
      </c>
      <c r="DR116" s="55">
        <f ca="1"/>
        <v>2.1739130434781373E-2</v>
      </c>
      <c r="DS116" s="55">
        <f ca="1"/>
        <v>-4.1666666666664298E-3</v>
      </c>
      <c r="DT116" s="55">
        <f ca="1"/>
        <v>1.7708333333333215E-2</v>
      </c>
      <c r="DU116" s="55">
        <f ca="1"/>
        <v>1.8478260869565943E-2</v>
      </c>
      <c r="DV116" s="55">
        <f ca="1"/>
        <v>1.699999999999946E-2</v>
      </c>
      <c r="DW116" s="55">
        <f ca="1"/>
        <v>4.1666666666664298E-3</v>
      </c>
      <c r="DX116" s="55">
        <f ca="1"/>
        <v>-4.0250410509029777E-2</v>
      </c>
      <c r="DY116" s="55">
        <f ca="1"/>
        <v>8.4397235905855794E-2</v>
      </c>
      <c r="DZ116" s="55">
        <f ca="1"/>
        <v>1.1538461538462386E-2</v>
      </c>
      <c r="EA116" s="55">
        <f ca="1"/>
        <v>1.7424242424240788E-2</v>
      </c>
      <c r="EB116" s="55">
        <f ca="1"/>
        <v>2.0535714285715656E-2</v>
      </c>
      <c r="EC116" s="186">
        <f ca="1"/>
        <v>0</v>
      </c>
    </row>
    <row r="117" spans="1:133" x14ac:dyDescent="0.3">
      <c r="C117" s="55"/>
      <c r="D117" s="55"/>
      <c r="E117" s="55"/>
      <c r="F117" s="55"/>
      <c r="G117" s="55"/>
      <c r="H117" s="55"/>
      <c r="I117" s="55"/>
      <c r="J117" s="55"/>
      <c r="K117" s="55"/>
      <c r="L117" s="55"/>
      <c r="M117" s="55"/>
      <c r="N117" s="55"/>
      <c r="O117" s="55"/>
      <c r="P117" s="55"/>
      <c r="Q117" s="55"/>
      <c r="R117" s="55"/>
      <c r="S117" s="55"/>
      <c r="T117" s="55"/>
      <c r="U117" s="55"/>
      <c r="V117" s="55"/>
      <c r="W117" s="55"/>
      <c r="X117" s="55"/>
      <c r="Y117" s="55"/>
      <c r="Z117" s="55"/>
      <c r="AA117" s="55"/>
      <c r="AB117" s="55"/>
      <c r="AC117" s="55"/>
      <c r="AD117" s="55"/>
      <c r="AE117" s="55"/>
      <c r="AF117" s="55"/>
      <c r="AG117" s="55"/>
      <c r="AH117" s="55"/>
      <c r="AI117" s="55"/>
      <c r="AJ117" s="55"/>
      <c r="AK117" s="55"/>
      <c r="AL117" s="55"/>
      <c r="AM117" s="55"/>
      <c r="AN117" s="55"/>
      <c r="AO117" s="55"/>
      <c r="AP117" s="55"/>
      <c r="AQ117" s="55"/>
      <c r="AR117" s="55"/>
      <c r="AS117" s="55"/>
      <c r="AT117" s="55"/>
      <c r="AU117" s="55"/>
      <c r="AV117" s="55"/>
      <c r="AW117" s="186"/>
      <c r="AX117" s="186"/>
      <c r="AY117" s="186"/>
      <c r="AZ117" s="186"/>
      <c r="BA117" s="186"/>
      <c r="BB117" s="186"/>
      <c r="BC117" s="186"/>
      <c r="BD117" s="186"/>
      <c r="BE117" s="186"/>
      <c r="BF117" s="186"/>
      <c r="BG117" s="186"/>
      <c r="BH117" s="186"/>
      <c r="BI117" s="186"/>
      <c r="BJ117" s="186"/>
      <c r="BK117" s="186"/>
      <c r="BL117" s="186"/>
      <c r="BM117" s="186"/>
      <c r="BN117" s="186"/>
      <c r="BO117" s="186"/>
      <c r="BP117" s="186"/>
      <c r="BQ117" s="186"/>
      <c r="BR117" s="186"/>
      <c r="BS117" s="186"/>
      <c r="BT117" s="186"/>
      <c r="BU117" s="186"/>
      <c r="BV117" s="186"/>
      <c r="BW117" s="186"/>
      <c r="BX117" s="186"/>
      <c r="BY117" s="186"/>
      <c r="BZ117" s="186"/>
      <c r="CA117" s="186"/>
      <c r="CB117" s="186"/>
      <c r="CC117" s="186"/>
      <c r="CD117" s="186"/>
      <c r="CE117" s="186"/>
      <c r="CF117" s="186"/>
      <c r="CG117" s="186"/>
      <c r="CH117" s="186"/>
      <c r="CI117" s="186"/>
      <c r="CJ117" s="186"/>
      <c r="CK117" s="186"/>
      <c r="CL117" s="186"/>
      <c r="CM117" s="186"/>
      <c r="CN117" s="186"/>
      <c r="CO117" s="186"/>
      <c r="CP117" s="186"/>
      <c r="CQ117" s="186"/>
      <c r="CR117" s="186"/>
      <c r="CS117" s="186"/>
      <c r="CT117" s="186"/>
      <c r="CU117" s="186"/>
      <c r="CV117" s="186"/>
      <c r="CW117" s="186"/>
      <c r="CX117" s="186"/>
      <c r="DO117" s="89"/>
      <c r="DQ117" s="55">
        <f ca="1"/>
        <v>0</v>
      </c>
      <c r="DR117" s="55">
        <f ca="1"/>
        <v>0</v>
      </c>
      <c r="DS117" s="55">
        <f ca="1"/>
        <v>0</v>
      </c>
      <c r="DT117" s="55">
        <f ca="1"/>
        <v>0</v>
      </c>
      <c r="DU117" s="55">
        <f ca="1"/>
        <v>0</v>
      </c>
      <c r="DV117" s="55">
        <f ca="1"/>
        <v>0</v>
      </c>
      <c r="DW117" s="55">
        <f ca="1"/>
        <v>0</v>
      </c>
      <c r="DX117" s="55">
        <f ca="1"/>
        <v>0</v>
      </c>
      <c r="DY117" s="55">
        <f ca="1"/>
        <v>0</v>
      </c>
      <c r="DZ117" s="55">
        <f ca="1"/>
        <v>0</v>
      </c>
      <c r="EA117" s="55">
        <f ca="1"/>
        <v>0</v>
      </c>
      <c r="EB117" s="55">
        <f ca="1"/>
        <v>0</v>
      </c>
      <c r="EC117" s="186">
        <f ca="1"/>
        <v>0</v>
      </c>
    </row>
    <row r="118" spans="1:133" x14ac:dyDescent="0.3">
      <c r="A118" t="str">
        <f>A119</f>
        <v>Target: Autonomous network connected devices</v>
      </c>
      <c r="C118" s="55"/>
      <c r="D118" s="55"/>
      <c r="E118" s="55"/>
      <c r="F118" s="55"/>
      <c r="G118" s="55"/>
      <c r="H118" s="55"/>
      <c r="I118" s="55"/>
      <c r="J118" s="55"/>
      <c r="K118" s="55"/>
      <c r="L118" s="55"/>
      <c r="M118" s="55"/>
      <c r="N118" s="55"/>
      <c r="O118" s="55"/>
      <c r="P118" s="55"/>
      <c r="Q118" s="55"/>
      <c r="R118" s="55"/>
      <c r="S118" s="55"/>
      <c r="T118" s="55"/>
      <c r="U118" s="55"/>
      <c r="V118" s="55"/>
      <c r="W118" s="55"/>
      <c r="X118" s="55"/>
      <c r="Y118" s="55"/>
      <c r="Z118" s="55"/>
      <c r="AA118" s="55"/>
      <c r="AB118" s="55"/>
      <c r="AC118" s="55"/>
      <c r="AD118" s="55"/>
      <c r="AE118" s="55"/>
      <c r="AF118" s="55"/>
      <c r="AG118" s="55"/>
      <c r="AH118" s="55"/>
      <c r="AI118" s="55"/>
      <c r="AJ118" s="55"/>
      <c r="AK118" s="55"/>
      <c r="AL118" s="55"/>
      <c r="AM118" s="55"/>
      <c r="AN118" s="55"/>
      <c r="AO118" s="55"/>
      <c r="AP118" s="55"/>
      <c r="AQ118" s="55"/>
      <c r="AR118" s="55"/>
      <c r="AS118" s="55"/>
      <c r="AT118" s="55"/>
      <c r="AU118" s="55"/>
      <c r="AV118" s="55"/>
      <c r="AW118" s="186"/>
      <c r="AX118" s="186"/>
      <c r="AY118" s="186"/>
      <c r="AZ118" s="186"/>
      <c r="BA118" s="186"/>
      <c r="BB118" s="186"/>
      <c r="BC118" s="186"/>
      <c r="BD118" s="186"/>
      <c r="BE118" s="186"/>
      <c r="BF118" s="186"/>
      <c r="BG118" s="186"/>
      <c r="BH118" s="186"/>
      <c r="BI118" s="186"/>
      <c r="BJ118" s="186"/>
      <c r="BK118" s="186"/>
      <c r="BL118" s="186"/>
      <c r="BM118" s="186"/>
      <c r="BN118" s="186"/>
      <c r="BO118" s="186"/>
      <c r="BP118" s="186"/>
      <c r="BQ118" s="186"/>
      <c r="BR118" s="186"/>
      <c r="BS118" s="186"/>
      <c r="BT118" s="186"/>
      <c r="BU118" s="186"/>
      <c r="BV118" s="186"/>
      <c r="BW118" s="186"/>
      <c r="BX118" s="186"/>
      <c r="BY118" s="186"/>
      <c r="BZ118" s="186"/>
      <c r="CA118" s="186"/>
      <c r="CB118" s="186"/>
      <c r="CC118" s="186"/>
      <c r="CD118" s="186"/>
      <c r="CE118" s="186"/>
      <c r="CF118" s="186"/>
      <c r="CG118" s="186"/>
      <c r="CH118" s="186"/>
      <c r="CI118" s="186"/>
      <c r="CJ118" s="186"/>
      <c r="CK118" s="186"/>
      <c r="CL118" s="186"/>
      <c r="CM118" s="186"/>
      <c r="CN118" s="186"/>
      <c r="CO118" s="186"/>
      <c r="CP118" s="186"/>
      <c r="CQ118" s="186"/>
      <c r="CR118" s="186"/>
      <c r="CS118" s="186"/>
      <c r="CT118" s="186"/>
      <c r="CU118" s="186"/>
      <c r="CV118" s="186"/>
      <c r="CW118" s="186"/>
      <c r="CX118" s="186"/>
      <c r="DO118" s="89"/>
      <c r="DQ118" s="55">
        <f ca="1"/>
        <v>0</v>
      </c>
      <c r="DR118" s="55">
        <f ca="1"/>
        <v>0</v>
      </c>
      <c r="DS118" s="55">
        <f ca="1"/>
        <v>0</v>
      </c>
      <c r="DT118" s="55">
        <f ca="1"/>
        <v>0</v>
      </c>
      <c r="DU118" s="55">
        <f ca="1"/>
        <v>0</v>
      </c>
      <c r="DV118" s="55">
        <f ca="1"/>
        <v>0</v>
      </c>
      <c r="DW118" s="55">
        <f ca="1"/>
        <v>0</v>
      </c>
      <c r="DX118" s="55">
        <f ca="1"/>
        <v>0</v>
      </c>
      <c r="DY118" s="55">
        <f ca="1"/>
        <v>0</v>
      </c>
      <c r="DZ118" s="55">
        <f ca="1"/>
        <v>0</v>
      </c>
      <c r="EA118" s="55">
        <f ca="1"/>
        <v>0</v>
      </c>
      <c r="EB118" s="55">
        <f ca="1"/>
        <v>0</v>
      </c>
      <c r="EC118" s="186">
        <f ca="1"/>
        <v>0</v>
      </c>
    </row>
    <row r="119" spans="1:133" x14ac:dyDescent="0.3">
      <c r="A119" t="str">
        <f>A120</f>
        <v>Target: Autonomous network connected devices</v>
      </c>
      <c r="B119" s="57" t="str">
        <f>C$1</f>
        <v>Apr</v>
      </c>
      <c r="C119" s="57" t="str">
        <f t="shared" ref="C119:N119" si="233">D$1</f>
        <v>May</v>
      </c>
      <c r="D119" s="57" t="str">
        <f t="shared" si="233"/>
        <v>Jun</v>
      </c>
      <c r="E119" s="57" t="str">
        <f t="shared" si="233"/>
        <v>Jul</v>
      </c>
      <c r="F119" s="57" t="str">
        <f t="shared" si="233"/>
        <v>Aug</v>
      </c>
      <c r="G119" s="57" t="str">
        <f t="shared" si="233"/>
        <v>Sep</v>
      </c>
      <c r="H119" s="57" t="str">
        <f t="shared" si="233"/>
        <v>Oct</v>
      </c>
      <c r="I119" s="57" t="str">
        <f t="shared" si="233"/>
        <v>Nov</v>
      </c>
      <c r="J119" s="57" t="str">
        <f t="shared" si="233"/>
        <v>Dec 2011</v>
      </c>
      <c r="K119" s="57" t="str">
        <f t="shared" si="233"/>
        <v>Jan 2012</v>
      </c>
      <c r="L119" s="57" t="str">
        <f t="shared" si="233"/>
        <v>Feb</v>
      </c>
      <c r="M119" s="57" t="str">
        <f t="shared" si="233"/>
        <v>Mar</v>
      </c>
      <c r="N119" s="57" t="str">
        <f t="shared" si="233"/>
        <v>Apr</v>
      </c>
      <c r="O119" s="57" t="str">
        <f t="shared" ref="O119:AD119" si="234">P$1</f>
        <v>May</v>
      </c>
      <c r="P119" s="57" t="str">
        <f t="shared" si="234"/>
        <v>Jun</v>
      </c>
      <c r="Q119" s="57" t="str">
        <f t="shared" si="234"/>
        <v>Jul</v>
      </c>
      <c r="R119" s="57" t="str">
        <f t="shared" si="234"/>
        <v>Aug</v>
      </c>
      <c r="S119" s="57" t="str">
        <f t="shared" si="234"/>
        <v>Sep</v>
      </c>
      <c r="T119" s="57" t="str">
        <f t="shared" si="234"/>
        <v>Oct</v>
      </c>
      <c r="U119" s="57" t="str">
        <f t="shared" si="234"/>
        <v>Nov</v>
      </c>
      <c r="V119" s="57" t="str">
        <f t="shared" si="234"/>
        <v>Dec 2012</v>
      </c>
      <c r="W119" s="57" t="str">
        <f t="shared" si="234"/>
        <v>Jan 2013</v>
      </c>
      <c r="X119" s="57" t="str">
        <f t="shared" si="234"/>
        <v>Feb</v>
      </c>
      <c r="Y119" s="57" t="str">
        <f t="shared" si="234"/>
        <v>Mar</v>
      </c>
      <c r="Z119" s="57" t="str">
        <f t="shared" si="234"/>
        <v>Apr</v>
      </c>
      <c r="AA119" s="57" t="str">
        <f t="shared" si="234"/>
        <v>May</v>
      </c>
      <c r="AB119" s="57" t="str">
        <f t="shared" si="234"/>
        <v>Jun</v>
      </c>
      <c r="AC119" s="57" t="str">
        <f t="shared" si="234"/>
        <v>Jul</v>
      </c>
      <c r="AD119" s="57" t="str">
        <f t="shared" si="234"/>
        <v>Aug</v>
      </c>
      <c r="AE119" s="57" t="str">
        <f>AF$1</f>
        <v>Sep</v>
      </c>
      <c r="AF119" s="57" t="str">
        <f t="shared" ref="AF119:AK119" si="235">AG$1</f>
        <v>Oct</v>
      </c>
      <c r="AG119" s="57" t="str">
        <f t="shared" si="235"/>
        <v>Nov</v>
      </c>
      <c r="AH119" s="57" t="str">
        <f t="shared" si="235"/>
        <v>Dec 2013</v>
      </c>
      <c r="AI119" s="57" t="str">
        <f t="shared" si="235"/>
        <v>Jan 2014</v>
      </c>
      <c r="AJ119" s="57" t="str">
        <f t="shared" si="235"/>
        <v>Feb</v>
      </c>
      <c r="AK119" s="57" t="str">
        <f t="shared" si="235"/>
        <v>Mar</v>
      </c>
      <c r="AL119" s="57" t="str">
        <f t="shared" ref="AL119:CI119" si="236">AM$1</f>
        <v>Apr</v>
      </c>
      <c r="AM119" s="57" t="str">
        <f t="shared" si="236"/>
        <v>May</v>
      </c>
      <c r="AN119" s="57" t="str">
        <f t="shared" si="236"/>
        <v>Jun</v>
      </c>
      <c r="AO119" s="57" t="str">
        <f t="shared" si="236"/>
        <v>Jul</v>
      </c>
      <c r="AP119" s="57" t="str">
        <f t="shared" si="236"/>
        <v>Aug</v>
      </c>
      <c r="AQ119" s="57" t="str">
        <f t="shared" si="236"/>
        <v>Sep</v>
      </c>
      <c r="AR119" s="57" t="str">
        <f t="shared" si="236"/>
        <v>Oct</v>
      </c>
      <c r="AS119" s="57" t="str">
        <f t="shared" si="236"/>
        <v>Nov</v>
      </c>
      <c r="AT119" s="57" t="str">
        <f t="shared" si="236"/>
        <v>Dec '14</v>
      </c>
      <c r="AU119" s="57" t="str">
        <f t="shared" si="236"/>
        <v>Jan '15</v>
      </c>
      <c r="AV119" s="57" t="str">
        <f t="shared" si="236"/>
        <v>Feb</v>
      </c>
      <c r="AW119" s="57" t="str">
        <f t="shared" si="236"/>
        <v>Mar</v>
      </c>
      <c r="AX119" s="57" t="str">
        <f t="shared" si="236"/>
        <v>Apr</v>
      </c>
      <c r="AY119" s="57" t="str">
        <f t="shared" si="236"/>
        <v>May</v>
      </c>
      <c r="AZ119" s="57" t="str">
        <f t="shared" si="236"/>
        <v>Jun</v>
      </c>
      <c r="BA119" s="57" t="str">
        <f t="shared" si="236"/>
        <v>Jul</v>
      </c>
      <c r="BB119" s="57" t="str">
        <f t="shared" si="236"/>
        <v>Aug</v>
      </c>
      <c r="BC119" s="57" t="str">
        <f t="shared" si="236"/>
        <v>Sep</v>
      </c>
      <c r="BD119" s="57" t="str">
        <f t="shared" si="236"/>
        <v>Oct</v>
      </c>
      <c r="BE119" s="57" t="str">
        <f t="shared" si="236"/>
        <v>Nov</v>
      </c>
      <c r="BF119" s="57" t="str">
        <f t="shared" si="236"/>
        <v>Dec '15</v>
      </c>
      <c r="BG119" s="57" t="str">
        <f t="shared" si="236"/>
        <v>Jan '16</v>
      </c>
      <c r="BH119" s="57" t="str">
        <f t="shared" si="236"/>
        <v>Feb</v>
      </c>
      <c r="BI119" s="57" t="str">
        <f t="shared" si="236"/>
        <v>Mar</v>
      </c>
      <c r="BJ119" s="57" t="str">
        <f t="shared" si="236"/>
        <v>Apr</v>
      </c>
      <c r="BK119" s="57" t="str">
        <f t="shared" si="236"/>
        <v>May</v>
      </c>
      <c r="BL119" s="57" t="str">
        <f t="shared" si="236"/>
        <v>Jun</v>
      </c>
      <c r="BM119" s="57" t="str">
        <f t="shared" si="236"/>
        <v>Jul</v>
      </c>
      <c r="BN119" s="57" t="str">
        <f t="shared" si="236"/>
        <v>Aug</v>
      </c>
      <c r="BO119" s="57" t="str">
        <f t="shared" si="236"/>
        <v>Sep</v>
      </c>
      <c r="BP119" s="57" t="str">
        <f t="shared" si="236"/>
        <v>Oct</v>
      </c>
      <c r="BQ119" s="57" t="str">
        <f t="shared" si="236"/>
        <v>Nov</v>
      </c>
      <c r="BR119" s="57" t="str">
        <f t="shared" si="236"/>
        <v>Dec-16</v>
      </c>
      <c r="BS119" s="57" t="str">
        <f t="shared" si="236"/>
        <v>Jan-17</v>
      </c>
      <c r="BT119" s="57" t="str">
        <f t="shared" si="236"/>
        <v>Feb</v>
      </c>
      <c r="BU119" s="57" t="str">
        <f t="shared" si="236"/>
        <v>Mar</v>
      </c>
      <c r="BV119" s="57" t="str">
        <f t="shared" si="236"/>
        <v>Apr</v>
      </c>
      <c r="BW119" s="57" t="str">
        <f t="shared" si="236"/>
        <v>May</v>
      </c>
      <c r="BX119" s="57" t="str">
        <f t="shared" si="236"/>
        <v>Jun</v>
      </c>
      <c r="BY119" s="57" t="str">
        <f t="shared" si="236"/>
        <v>Jul</v>
      </c>
      <c r="BZ119" s="57" t="str">
        <f t="shared" si="236"/>
        <v>Aug</v>
      </c>
      <c r="CA119" s="57" t="str">
        <f t="shared" si="236"/>
        <v>Sep</v>
      </c>
      <c r="CB119" s="57" t="str">
        <f t="shared" si="236"/>
        <v>Oct</v>
      </c>
      <c r="CC119" s="57" t="str">
        <f t="shared" si="236"/>
        <v>Nov</v>
      </c>
      <c r="CD119" s="57" t="str">
        <f t="shared" si="236"/>
        <v>Dec</v>
      </c>
      <c r="CE119" s="57" t="str">
        <f t="shared" si="236"/>
        <v>Jan '18</v>
      </c>
      <c r="CF119" s="57" t="str">
        <f t="shared" si="236"/>
        <v>Feb</v>
      </c>
      <c r="CG119" s="57" t="str">
        <f t="shared" si="236"/>
        <v>Mar</v>
      </c>
      <c r="CH119" s="57" t="str">
        <f t="shared" si="236"/>
        <v>Apr</v>
      </c>
      <c r="CI119" s="57" t="str">
        <f t="shared" si="236"/>
        <v>May</v>
      </c>
      <c r="CJ119" s="57" t="str">
        <f t="shared" ref="CJ119:CO119" si="237">CK$1</f>
        <v>Jun</v>
      </c>
      <c r="CK119" s="57" t="str">
        <f t="shared" si="237"/>
        <v>Jul</v>
      </c>
      <c r="CL119" s="57" t="str">
        <f t="shared" si="237"/>
        <v>Aug</v>
      </c>
      <c r="CM119" s="57" t="str">
        <f t="shared" si="237"/>
        <v>Sep</v>
      </c>
      <c r="CN119" s="57" t="str">
        <f t="shared" si="237"/>
        <v>Oct</v>
      </c>
      <c r="CO119" s="57" t="str">
        <f t="shared" si="237"/>
        <v>Nov</v>
      </c>
      <c r="CP119" s="57" t="str">
        <f t="shared" ref="CP119:CX119" si="238">CQ$1</f>
        <v>Dec-18</v>
      </c>
      <c r="CQ119" s="57" t="str">
        <f t="shared" si="238"/>
        <v>Jan-19</v>
      </c>
      <c r="CR119" s="57" t="str">
        <f t="shared" si="238"/>
        <v>Feb-19</v>
      </c>
      <c r="CS119" s="57" t="str">
        <f t="shared" si="238"/>
        <v>Mar-19</v>
      </c>
      <c r="CT119" s="57" t="str">
        <f t="shared" si="238"/>
        <v>Apr-19</v>
      </c>
      <c r="CU119" s="57" t="str">
        <f t="shared" si="238"/>
        <v>May-19</v>
      </c>
      <c r="CV119" s="57" t="str">
        <f t="shared" si="238"/>
        <v>June-19</v>
      </c>
      <c r="CW119" s="57" t="str">
        <f t="shared" si="238"/>
        <v>July-19</v>
      </c>
      <c r="CX119" s="57" t="str">
        <f t="shared" si="238"/>
        <v>Aug-19</v>
      </c>
      <c r="DO119" s="89"/>
      <c r="DQ119" s="57" t="str">
        <f ca="1"/>
        <v>Aug</v>
      </c>
      <c r="DR119" s="57" t="str">
        <f ca="1"/>
        <v>Sep</v>
      </c>
      <c r="DS119" s="57" t="str">
        <f ca="1"/>
        <v>Oct</v>
      </c>
      <c r="DT119" s="57" t="str">
        <f ca="1"/>
        <v>Nov</v>
      </c>
      <c r="DU119" s="57" t="str">
        <f ca="1"/>
        <v>Dec-18</v>
      </c>
      <c r="DV119" s="57" t="str">
        <f ca="1"/>
        <v>Jan-19</v>
      </c>
      <c r="DW119" s="57" t="str">
        <f ca="1"/>
        <v>Feb-19</v>
      </c>
      <c r="DX119" s="57" t="str">
        <f ca="1"/>
        <v>Mar-19</v>
      </c>
      <c r="DY119" s="57" t="str">
        <f ca="1"/>
        <v>Apr-19</v>
      </c>
      <c r="DZ119" s="57" t="str">
        <f ca="1"/>
        <v>May-19</v>
      </c>
      <c r="EA119" s="57" t="str">
        <f ca="1"/>
        <v>June-19</v>
      </c>
      <c r="EB119" s="57" t="str">
        <f ca="1"/>
        <v>July-19</v>
      </c>
      <c r="EC119" s="57" t="str">
        <f ca="1"/>
        <v>Aug-19</v>
      </c>
    </row>
    <row r="120" spans="1:133" x14ac:dyDescent="0.3">
      <c r="A120" t="str">
        <f>A21</f>
        <v>Target: Autonomous network connected devices</v>
      </c>
      <c r="B120" s="31">
        <f t="shared" ref="B120:CI120" si="239">C21</f>
        <v>0</v>
      </c>
      <c r="C120" s="56">
        <f t="shared" si="239"/>
        <v>0</v>
      </c>
      <c r="D120" s="56">
        <f t="shared" si="239"/>
        <v>0</v>
      </c>
      <c r="E120" s="56">
        <f t="shared" si="239"/>
        <v>0</v>
      </c>
      <c r="F120" s="56">
        <f t="shared" si="239"/>
        <v>0</v>
      </c>
      <c r="G120" s="56">
        <f t="shared" si="239"/>
        <v>0</v>
      </c>
      <c r="H120" s="56">
        <f t="shared" si="239"/>
        <v>0</v>
      </c>
      <c r="I120" s="56">
        <f t="shared" si="239"/>
        <v>0</v>
      </c>
      <c r="J120" s="56">
        <f t="shared" si="239"/>
        <v>0</v>
      </c>
      <c r="K120" s="56">
        <f t="shared" si="239"/>
        <v>0</v>
      </c>
      <c r="L120" s="56">
        <f t="shared" si="239"/>
        <v>0</v>
      </c>
      <c r="M120" s="56">
        <f t="shared" si="239"/>
        <v>0</v>
      </c>
      <c r="N120" s="56">
        <f t="shared" si="239"/>
        <v>0</v>
      </c>
      <c r="O120" s="56">
        <f t="shared" si="239"/>
        <v>0</v>
      </c>
      <c r="P120" s="56">
        <f t="shared" si="239"/>
        <v>0</v>
      </c>
      <c r="Q120" s="56">
        <f t="shared" si="239"/>
        <v>0</v>
      </c>
      <c r="R120" s="56">
        <f t="shared" si="239"/>
        <v>0</v>
      </c>
      <c r="S120" s="56">
        <f t="shared" si="239"/>
        <v>0</v>
      </c>
      <c r="T120" s="56">
        <f t="shared" si="239"/>
        <v>0</v>
      </c>
      <c r="U120" s="56">
        <f t="shared" si="239"/>
        <v>0</v>
      </c>
      <c r="V120" s="56">
        <f t="shared" si="239"/>
        <v>0</v>
      </c>
      <c r="W120" s="56">
        <f t="shared" si="239"/>
        <v>0</v>
      </c>
      <c r="X120" s="56">
        <f t="shared" si="239"/>
        <v>0</v>
      </c>
      <c r="Y120" s="56">
        <f t="shared" si="239"/>
        <v>0</v>
      </c>
      <c r="Z120" s="56">
        <f t="shared" si="239"/>
        <v>0</v>
      </c>
      <c r="AA120" s="56">
        <f t="shared" si="239"/>
        <v>1000</v>
      </c>
      <c r="AB120" s="56">
        <f t="shared" si="239"/>
        <v>1005.628023047493</v>
      </c>
      <c r="AC120" s="56">
        <f t="shared" si="239"/>
        <v>1011.3909186280831</v>
      </c>
      <c r="AD120" s="56">
        <f t="shared" si="239"/>
        <v>1014.2574001847328</v>
      </c>
      <c r="AE120" s="56">
        <f t="shared" si="239"/>
        <v>1014.2574001847328</v>
      </c>
      <c r="AF120" s="56">
        <f t="shared" si="239"/>
        <v>1017.3670269816038</v>
      </c>
      <c r="AG120" s="56">
        <f t="shared" si="239"/>
        <v>1019.064052488332</v>
      </c>
      <c r="AH120" s="56">
        <f t="shared" si="239"/>
        <v>1032.2130848033689</v>
      </c>
      <c r="AI120" s="56">
        <f t="shared" si="239"/>
        <v>1036.5229452974168</v>
      </c>
      <c r="AJ120" s="56">
        <f t="shared" si="239"/>
        <v>1045.6019206014746</v>
      </c>
      <c r="AK120" s="56">
        <f t="shared" si="239"/>
        <v>1060.3691586920945</v>
      </c>
      <c r="AL120" s="56">
        <f t="shared" si="239"/>
        <v>1088.4774676484062</v>
      </c>
      <c r="AM120" s="56">
        <f t="shared" si="239"/>
        <v>1101.5427743124544</v>
      </c>
      <c r="AN120" s="56">
        <f t="shared" si="239"/>
        <v>1103.5596357104357</v>
      </c>
      <c r="AO120" s="56">
        <f t="shared" si="239"/>
        <v>1101.1973969365174</v>
      </c>
      <c r="AP120" s="56">
        <f t="shared" si="239"/>
        <v>1110.4123843645266</v>
      </c>
      <c r="AQ120" s="56">
        <f t="shared" si="239"/>
        <v>1131.0923471971896</v>
      </c>
      <c r="AR120" s="56">
        <f t="shared" si="239"/>
        <v>1147.8489666371654</v>
      </c>
      <c r="AS120" s="56">
        <f t="shared" si="239"/>
        <v>1159.2324999118175</v>
      </c>
      <c r="AT120" s="56">
        <f t="shared" si="239"/>
        <v>1176.1328753569342</v>
      </c>
      <c r="AU120" s="56">
        <f t="shared" si="239"/>
        <v>1176.1328753569342</v>
      </c>
      <c r="AV120" s="56">
        <f t="shared" si="239"/>
        <v>1178.4564825216062</v>
      </c>
      <c r="AW120" s="56">
        <f t="shared" si="239"/>
        <v>1180.668161227168</v>
      </c>
      <c r="AX120" s="56">
        <f t="shared" si="239"/>
        <v>1176.7907651734909</v>
      </c>
      <c r="AY120" s="56">
        <f t="shared" si="239"/>
        <v>1189.7779018754748</v>
      </c>
      <c r="AZ120" s="56">
        <f t="shared" si="239"/>
        <v>1196.3251193438355</v>
      </c>
      <c r="BA120" s="56">
        <f t="shared" si="239"/>
        <v>1201.1849303560882</v>
      </c>
      <c r="BB120" s="56">
        <f t="shared" si="239"/>
        <v>1209.1603082901026</v>
      </c>
      <c r="BC120" s="56">
        <f t="shared" si="239"/>
        <v>1204.1326219592661</v>
      </c>
      <c r="BD120" s="56">
        <f t="shared" si="239"/>
        <v>1218.476852533078</v>
      </c>
      <c r="BE120" s="56">
        <f t="shared" si="239"/>
        <v>1234.3747420997981</v>
      </c>
      <c r="BF120" s="56">
        <f t="shared" si="239"/>
        <v>1235.4038164396366</v>
      </c>
      <c r="BG120" s="56">
        <f t="shared" si="239"/>
        <v>1235.4038164396366</v>
      </c>
      <c r="BH120" s="56">
        <f t="shared" si="239"/>
        <v>1238.3026899247834</v>
      </c>
      <c r="BI120" s="56">
        <f t="shared" si="239"/>
        <v>1256.8095865652629</v>
      </c>
      <c r="BJ120" s="56">
        <f t="shared" si="239"/>
        <v>1264.0119141118951</v>
      </c>
      <c r="BK120" s="56">
        <f t="shared" si="239"/>
        <v>1260.9575170962542</v>
      </c>
      <c r="BL120" s="56">
        <f t="shared" si="239"/>
        <v>1267.4966080134045</v>
      </c>
      <c r="BM120" s="56">
        <f t="shared" si="239"/>
        <v>1274.069609438596</v>
      </c>
      <c r="BN120" s="56">
        <f t="shared" si="239"/>
        <v>1276.9685151505494</v>
      </c>
      <c r="BO120" s="56">
        <f t="shared" si="239"/>
        <v>1299.4137014420166</v>
      </c>
      <c r="BP120" s="56">
        <f t="shared" si="239"/>
        <v>1345.9087209065694</v>
      </c>
      <c r="BQ120" s="56">
        <f t="shared" si="239"/>
        <v>1346.8987235989155</v>
      </c>
      <c r="BR120" s="56">
        <f t="shared" si="239"/>
        <v>1379.8452768109544</v>
      </c>
      <c r="BS120" s="56">
        <f t="shared" si="239"/>
        <v>1414.7762262984875</v>
      </c>
      <c r="BT120" s="56">
        <f t="shared" si="239"/>
        <v>1449.422096741785</v>
      </c>
      <c r="BU120" s="56">
        <f t="shared" si="239"/>
        <v>1438.5920942910009</v>
      </c>
      <c r="BV120" s="56">
        <f t="shared" si="239"/>
        <v>1452.5815349312113</v>
      </c>
      <c r="BW120" s="56">
        <f t="shared" si="239"/>
        <v>1466.7070144459594</v>
      </c>
      <c r="BX120" s="56">
        <f t="shared" si="239"/>
        <v>1491.3569771105845</v>
      </c>
      <c r="BY120" s="56">
        <f t="shared" si="239"/>
        <v>1504.3189555421391</v>
      </c>
      <c r="BZ120" s="56">
        <f t="shared" si="239"/>
        <v>1517.651089833261</v>
      </c>
      <c r="CA120" s="56">
        <f t="shared" si="239"/>
        <v>1530.3510251507837</v>
      </c>
      <c r="CB120" s="56">
        <f t="shared" si="239"/>
        <v>1553.7567508698419</v>
      </c>
      <c r="CC120" s="56">
        <f t="shared" si="239"/>
        <v>1547.0739364593715</v>
      </c>
      <c r="CD120" s="56">
        <f t="shared" si="239"/>
        <v>1569.5491944209477</v>
      </c>
      <c r="CE120" s="56">
        <f t="shared" si="239"/>
        <v>1594.9778825300377</v>
      </c>
      <c r="CF120" s="56">
        <f t="shared" si="239"/>
        <v>1591.7911145951684</v>
      </c>
      <c r="CG120" s="56">
        <f t="shared" si="239"/>
        <v>1617.0453243918589</v>
      </c>
      <c r="CH120" s="56">
        <f t="shared" ca="1" si="239"/>
        <v>1233.3207180696568</v>
      </c>
      <c r="CI120" s="56">
        <f t="shared" si="239"/>
        <v>1652.3384371504687</v>
      </c>
      <c r="CJ120" s="56">
        <f t="shared" ref="CJ120:CO120" si="240">CK21</f>
        <v>1652.3384371504687</v>
      </c>
      <c r="CK120" s="56">
        <f t="shared" si="240"/>
        <v>1662.2822694387576</v>
      </c>
      <c r="CL120" s="56">
        <f t="shared" si="240"/>
        <v>1671.900076452233</v>
      </c>
      <c r="CM120" s="56">
        <f t="shared" si="240"/>
        <v>1677.360823080063</v>
      </c>
      <c r="CN120" s="56">
        <f t="shared" si="240"/>
        <v>1677.360823080063</v>
      </c>
      <c r="CO120" s="56">
        <f t="shared" si="240"/>
        <v>1702.0015704983928</v>
      </c>
      <c r="CP120" s="56">
        <f t="shared" ref="CP120:CX120" si="241">CQ21</f>
        <v>1702.0015704983928</v>
      </c>
      <c r="CQ120" s="56">
        <f t="shared" si="241"/>
        <v>1703.7044233534143</v>
      </c>
      <c r="CR120" s="56">
        <f t="shared" si="241"/>
        <v>1717.9612812845364</v>
      </c>
      <c r="CS120" s="56">
        <f t="shared" si="241"/>
        <v>1705.7338506577876</v>
      </c>
      <c r="CT120" s="56">
        <f t="shared" si="241"/>
        <v>1699.4842015275076</v>
      </c>
      <c r="CU120" s="56">
        <f t="shared" si="241"/>
        <v>1694.5889071690603</v>
      </c>
      <c r="CV120" s="56">
        <f t="shared" si="241"/>
        <v>1710.0644978836981</v>
      </c>
      <c r="CW120" s="56">
        <f t="shared" si="241"/>
        <v>1693.3514290168819</v>
      </c>
      <c r="CX120" s="56">
        <f t="shared" si="241"/>
        <v>1693.3514290168819</v>
      </c>
      <c r="DO120" s="89"/>
      <c r="DQ120" s="56">
        <f ca="1"/>
        <v>1671.900076452233</v>
      </c>
      <c r="DR120" s="56">
        <f ca="1"/>
        <v>1677.360823080063</v>
      </c>
      <c r="DS120" s="56">
        <f ca="1"/>
        <v>1677.360823080063</v>
      </c>
      <c r="DT120" s="56">
        <f ca="1"/>
        <v>1702.0015704983928</v>
      </c>
      <c r="DU120" s="56">
        <f ca="1"/>
        <v>1702.0015704983928</v>
      </c>
      <c r="DV120" s="56">
        <f ca="1"/>
        <v>1703.7044233534143</v>
      </c>
      <c r="DW120" s="56">
        <f ca="1"/>
        <v>1717.9612812845364</v>
      </c>
      <c r="DX120" s="56">
        <f ca="1"/>
        <v>1705.7338506577876</v>
      </c>
      <c r="DY120" s="56">
        <f ca="1"/>
        <v>1699.4842015275076</v>
      </c>
      <c r="DZ120" s="56">
        <f ca="1"/>
        <v>1694.5889071690603</v>
      </c>
      <c r="EA120" s="56">
        <f ca="1"/>
        <v>1710.0644978836981</v>
      </c>
      <c r="EB120" s="56">
        <f ca="1"/>
        <v>1693.3514290168819</v>
      </c>
      <c r="EC120" s="56">
        <f ca="1"/>
        <v>1693.3514290168819</v>
      </c>
    </row>
    <row r="121" spans="1:133" x14ac:dyDescent="0.3">
      <c r="A121" t="s">
        <v>108</v>
      </c>
      <c r="C121" s="55">
        <v>0</v>
      </c>
      <c r="D121" s="55">
        <v>0</v>
      </c>
      <c r="E121" s="55">
        <v>0</v>
      </c>
      <c r="F121" s="55">
        <v>0</v>
      </c>
      <c r="G121" s="55">
        <v>0</v>
      </c>
      <c r="H121" s="55">
        <v>0</v>
      </c>
      <c r="I121" s="55">
        <v>0</v>
      </c>
      <c r="J121" s="55">
        <v>0</v>
      </c>
      <c r="K121" s="55">
        <v>0</v>
      </c>
      <c r="L121" s="55">
        <v>0</v>
      </c>
      <c r="M121" s="55">
        <v>0</v>
      </c>
      <c r="N121" s="55">
        <v>0</v>
      </c>
      <c r="O121" s="55">
        <v>0</v>
      </c>
      <c r="P121" s="55">
        <v>0</v>
      </c>
      <c r="Q121" s="55">
        <v>0</v>
      </c>
      <c r="R121" s="55">
        <v>0</v>
      </c>
      <c r="S121" s="55">
        <v>0</v>
      </c>
      <c r="T121" s="55">
        <v>0</v>
      </c>
      <c r="U121" s="55">
        <v>0</v>
      </c>
      <c r="V121" s="55">
        <v>0</v>
      </c>
      <c r="W121" s="55">
        <v>0</v>
      </c>
      <c r="X121" s="55">
        <v>0</v>
      </c>
      <c r="Y121" s="55">
        <v>0</v>
      </c>
      <c r="Z121" s="55">
        <v>0</v>
      </c>
      <c r="AA121" s="55">
        <v>0</v>
      </c>
      <c r="AB121" s="55">
        <f>LN(AB120)-LN(AA120)</f>
        <v>5.6122448979589734E-3</v>
      </c>
      <c r="AC121" s="55">
        <f>LN(AC120)-LN(AB120)</f>
        <v>5.7142857142862269E-3</v>
      </c>
      <c r="AD121" s="55">
        <f>LN(AD120)-LN(AC120)</f>
        <v>2.8301886792450048E-3</v>
      </c>
      <c r="AE121" s="55">
        <f>LN(AE120)-LN(AD120)</f>
        <v>0</v>
      </c>
      <c r="AF121" s="55">
        <f t="shared" ref="AF121:CI121" si="242">LN(AF120)-LN(AE120)</f>
        <v>3.0612244897962881E-3</v>
      </c>
      <c r="AG121" s="55">
        <f t="shared" si="242"/>
        <v>1.666666666666039E-3</v>
      </c>
      <c r="AH121" s="55">
        <f t="shared" si="242"/>
        <v>1.2820512820512775E-2</v>
      </c>
      <c r="AI121" s="55">
        <f t="shared" si="242"/>
        <v>4.166666666667318E-3</v>
      </c>
      <c r="AJ121" s="55">
        <f t="shared" si="242"/>
        <v>8.720930232557933E-3</v>
      </c>
      <c r="AK121" s="55">
        <f t="shared" si="242"/>
        <v>1.4024390243902118E-2</v>
      </c>
      <c r="AL121" s="55">
        <f t="shared" si="242"/>
        <v>2.6162790697674687E-2</v>
      </c>
      <c r="AM121" s="55">
        <f t="shared" si="242"/>
        <v>1.1931818181817988E-2</v>
      </c>
      <c r="AN121" s="55">
        <f t="shared" si="242"/>
        <v>1.8292682926830395E-3</v>
      </c>
      <c r="AO121" s="55">
        <f t="shared" si="242"/>
        <v>-2.1428571428572241E-3</v>
      </c>
      <c r="AP121" s="55">
        <f t="shared" si="242"/>
        <v>8.3333333333328596E-3</v>
      </c>
      <c r="AQ121" s="55">
        <f t="shared" si="242"/>
        <v>1.8452380952381553E-2</v>
      </c>
      <c r="AR121" s="55">
        <f t="shared" si="242"/>
        <v>1.4705882352941124E-2</v>
      </c>
      <c r="AS121" s="55">
        <f t="shared" si="242"/>
        <v>9.8684210526318594E-3</v>
      </c>
      <c r="AT121" s="55">
        <f t="shared" si="242"/>
        <v>1.4473684210526194E-2</v>
      </c>
      <c r="AU121" s="55">
        <f t="shared" si="242"/>
        <v>0</v>
      </c>
      <c r="AV121" s="55">
        <f t="shared" si="242"/>
        <v>1.9736842105260166E-3</v>
      </c>
      <c r="AW121" s="186">
        <f t="shared" si="242"/>
        <v>1.8750000000000711E-3</v>
      </c>
      <c r="AX121" s="186">
        <f t="shared" si="242"/>
        <v>-3.2894736842106198E-3</v>
      </c>
      <c r="AY121" s="186">
        <f t="shared" si="242"/>
        <v>1.0975609756098237E-2</v>
      </c>
      <c r="AZ121" s="186">
        <f t="shared" si="242"/>
        <v>5.4878048780482303E-3</v>
      </c>
      <c r="BA121" s="186">
        <f t="shared" si="242"/>
        <v>4.0540540540545678E-3</v>
      </c>
      <c r="BB121" s="186">
        <f t="shared" si="242"/>
        <v>6.6176470588237279E-3</v>
      </c>
      <c r="BC121" s="186">
        <f t="shared" si="242"/>
        <v>-4.166666666667318E-3</v>
      </c>
      <c r="BD121" s="186">
        <f t="shared" si="242"/>
        <v>1.1842105263157876E-2</v>
      </c>
      <c r="BE121" s="186">
        <f t="shared" si="242"/>
        <v>1.2962962962963509E-2</v>
      </c>
      <c r="BF121" s="186">
        <f t="shared" si="242"/>
        <v>8.333333333334636E-4</v>
      </c>
      <c r="BG121" s="186">
        <f t="shared" si="242"/>
        <v>0</v>
      </c>
      <c r="BH121" s="186">
        <f t="shared" si="242"/>
        <v>2.3437499999996447E-3</v>
      </c>
      <c r="BI121" s="186">
        <f t="shared" si="242"/>
        <v>1.4834792178541889E-2</v>
      </c>
      <c r="BJ121" s="186">
        <f t="shared" si="242"/>
        <v>5.7142857142862269E-3</v>
      </c>
      <c r="BK121" s="186">
        <f t="shared" si="242"/>
        <v>-2.4193548387101416E-3</v>
      </c>
      <c r="BL121" s="186">
        <f t="shared" si="242"/>
        <v>5.1724137931037362E-3</v>
      </c>
      <c r="BM121" s="186">
        <f t="shared" si="242"/>
        <v>5.1724137931037362E-3</v>
      </c>
      <c r="BN121" s="186">
        <f t="shared" si="242"/>
        <v>2.2727272727269821E-3</v>
      </c>
      <c r="BO121" s="186">
        <f t="shared" si="242"/>
        <v>1.7424242424242564E-2</v>
      </c>
      <c r="BP121" s="186">
        <f t="shared" si="242"/>
        <v>3.515625E-2</v>
      </c>
      <c r="BQ121" s="186">
        <f t="shared" si="242"/>
        <v>7.3529411764727826E-4</v>
      </c>
      <c r="BR121" s="186">
        <f t="shared" si="242"/>
        <v>2.4166666666666003E-2</v>
      </c>
      <c r="BS121" s="186">
        <f t="shared" si="242"/>
        <v>2.5000000000000355E-2</v>
      </c>
      <c r="BT121" s="186">
        <f t="shared" si="242"/>
        <v>2.4193548387096975E-2</v>
      </c>
      <c r="BU121" s="186">
        <f t="shared" si="242"/>
        <v>-7.5000000000002842E-3</v>
      </c>
      <c r="BV121" s="186">
        <f t="shared" si="242"/>
        <v>9.6774193548387899E-3</v>
      </c>
      <c r="BW121" s="186">
        <f t="shared" si="242"/>
        <v>9.6774193548387899E-3</v>
      </c>
      <c r="BX121" s="186">
        <f t="shared" si="242"/>
        <v>1.6666666666666607E-2</v>
      </c>
      <c r="BY121" s="186">
        <f t="shared" si="242"/>
        <v>8.653846153845457E-3</v>
      </c>
      <c r="BZ121" s="186">
        <f t="shared" si="242"/>
        <v>8.8235294117646745E-3</v>
      </c>
      <c r="CA121" s="186">
        <f t="shared" si="242"/>
        <v>8.3333333333337478E-3</v>
      </c>
      <c r="CB121" s="186">
        <f t="shared" si="242"/>
        <v>1.5178571428571708E-2</v>
      </c>
      <c r="CC121" s="186">
        <f t="shared" si="242"/>
        <v>-4.3103448275862988E-3</v>
      </c>
      <c r="CD121" s="186">
        <f t="shared" si="242"/>
        <v>1.442307692307665E-2</v>
      </c>
      <c r="CE121" s="186">
        <f t="shared" si="242"/>
        <v>1.607142857142918E-2</v>
      </c>
      <c r="CF121" s="186">
        <f t="shared" si="242"/>
        <v>-2.0000000000006679E-3</v>
      </c>
      <c r="CG121" s="186">
        <f t="shared" si="242"/>
        <v>1.5740740740740833E-2</v>
      </c>
      <c r="CH121" s="186">
        <f t="shared" ca="1" si="242"/>
        <v>-0.27089030779149059</v>
      </c>
      <c r="CI121" s="186">
        <f t="shared" ca="1" si="242"/>
        <v>0.29248121688239959</v>
      </c>
      <c r="CJ121" s="186">
        <f t="shared" ref="CJ121:CX121" si="243">LN(CJ120)-LN(CI120)</f>
        <v>0</v>
      </c>
      <c r="CK121" s="186">
        <f t="shared" si="243"/>
        <v>6.0000000000002274E-3</v>
      </c>
      <c r="CL121" s="186">
        <f t="shared" si="243"/>
        <v>5.7692307692311928E-3</v>
      </c>
      <c r="CM121" s="186">
        <f t="shared" si="243"/>
        <v>3.2608695652172059E-3</v>
      </c>
      <c r="CN121" s="186">
        <f t="shared" si="243"/>
        <v>0</v>
      </c>
      <c r="CO121" s="186">
        <f t="shared" si="243"/>
        <v>1.4583333333333393E-2</v>
      </c>
      <c r="CP121" s="186">
        <f t="shared" si="243"/>
        <v>0</v>
      </c>
      <c r="CQ121" s="186">
        <f t="shared" si="243"/>
        <v>1.000000000000334E-3</v>
      </c>
      <c r="CR121" s="186">
        <f t="shared" si="243"/>
        <v>8.3333333333328596E-3</v>
      </c>
      <c r="CS121" s="186">
        <f t="shared" si="243"/>
        <v>-7.1428571428571175E-3</v>
      </c>
      <c r="CT121" s="186">
        <f t="shared" si="243"/>
        <v>-3.6706349206347966E-3</v>
      </c>
      <c r="CU121" s="186">
        <f t="shared" si="243"/>
        <v>-2.8846153846151523E-3</v>
      </c>
      <c r="CV121" s="186">
        <f t="shared" si="243"/>
        <v>9.0909090909088164E-3</v>
      </c>
      <c r="CW121" s="186">
        <f t="shared" si="243"/>
        <v>-9.8214285714286476E-3</v>
      </c>
      <c r="CX121" s="186">
        <f t="shared" si="243"/>
        <v>0</v>
      </c>
      <c r="DO121" s="89"/>
      <c r="DQ121" s="55">
        <f ca="1"/>
        <v>5.7692307692311928E-3</v>
      </c>
      <c r="DR121" s="55">
        <f ca="1"/>
        <v>3.2608695652172059E-3</v>
      </c>
      <c r="DS121" s="55">
        <f ca="1"/>
        <v>0</v>
      </c>
      <c r="DT121" s="55">
        <f ca="1"/>
        <v>1.4583333333333393E-2</v>
      </c>
      <c r="DU121" s="55">
        <f ca="1"/>
        <v>0</v>
      </c>
      <c r="DV121" s="55">
        <f ca="1"/>
        <v>1.000000000000334E-3</v>
      </c>
      <c r="DW121" s="55">
        <f ca="1"/>
        <v>8.3333333333328596E-3</v>
      </c>
      <c r="DX121" s="55">
        <f ca="1"/>
        <v>-7.1428571428571175E-3</v>
      </c>
      <c r="DY121" s="55">
        <f ca="1"/>
        <v>-3.6706349206347966E-3</v>
      </c>
      <c r="DZ121" s="55">
        <f ca="1"/>
        <v>-2.8846153846151523E-3</v>
      </c>
      <c r="EA121" s="55">
        <f ca="1"/>
        <v>9.0909090909088164E-3</v>
      </c>
      <c r="EB121" s="55">
        <f ca="1"/>
        <v>-9.8214285714286476E-3</v>
      </c>
      <c r="EC121" s="186">
        <f ca="1"/>
        <v>0</v>
      </c>
    </row>
    <row r="122" spans="1:133" x14ac:dyDescent="0.3">
      <c r="C122" s="55"/>
      <c r="D122" s="55"/>
      <c r="E122" s="55"/>
      <c r="F122" s="55"/>
      <c r="G122" s="55"/>
      <c r="H122" s="55"/>
      <c r="I122" s="55"/>
      <c r="J122" s="55"/>
      <c r="K122" s="55"/>
      <c r="L122" s="55"/>
      <c r="M122" s="55"/>
      <c r="N122" s="55"/>
      <c r="O122" s="55"/>
      <c r="P122" s="55"/>
      <c r="Q122" s="55"/>
      <c r="R122" s="55"/>
      <c r="S122" s="55"/>
      <c r="T122" s="55"/>
      <c r="U122" s="55"/>
      <c r="V122" s="55"/>
      <c r="W122" s="55"/>
      <c r="X122" s="55"/>
      <c r="Y122" s="55"/>
      <c r="Z122" s="55"/>
      <c r="AA122" s="55"/>
      <c r="AB122" s="55"/>
      <c r="AC122" s="55"/>
      <c r="AD122" s="55"/>
      <c r="AE122" s="55"/>
      <c r="AF122" s="55"/>
      <c r="AG122" s="55"/>
      <c r="AH122" s="55"/>
      <c r="AI122" s="55"/>
      <c r="AJ122" s="55"/>
      <c r="AK122" s="55"/>
      <c r="AL122" s="55"/>
      <c r="AM122" s="55"/>
      <c r="AN122" s="55"/>
      <c r="AO122" s="55"/>
      <c r="AP122" s="55"/>
      <c r="AQ122" s="55"/>
      <c r="AR122" s="55"/>
      <c r="AS122" s="55"/>
      <c r="AT122" s="55"/>
      <c r="AU122" s="55"/>
      <c r="AV122" s="55"/>
      <c r="AW122" s="186"/>
      <c r="AX122" s="186"/>
      <c r="AY122" s="186"/>
      <c r="AZ122" s="186"/>
      <c r="BA122" s="186"/>
      <c r="BB122" s="186"/>
      <c r="BC122" s="186"/>
      <c r="BD122" s="186"/>
      <c r="BE122" s="186"/>
      <c r="BF122" s="186"/>
      <c r="BG122" s="186"/>
      <c r="BH122" s="186"/>
      <c r="BI122" s="186"/>
      <c r="BJ122" s="186"/>
      <c r="BK122" s="186"/>
      <c r="BL122" s="186"/>
      <c r="BM122" s="186"/>
      <c r="BN122" s="186"/>
      <c r="BO122" s="186"/>
      <c r="BP122" s="186"/>
      <c r="BQ122" s="186"/>
      <c r="BR122" s="186"/>
      <c r="BS122" s="186"/>
      <c r="BT122" s="186"/>
      <c r="BU122" s="186"/>
      <c r="BV122" s="186"/>
      <c r="BW122" s="186"/>
      <c r="BX122" s="186"/>
      <c r="BY122" s="186"/>
      <c r="BZ122" s="186"/>
      <c r="CA122" s="186"/>
      <c r="CB122" s="186"/>
      <c r="CC122" s="186"/>
      <c r="CD122" s="186"/>
      <c r="CE122" s="186"/>
      <c r="CF122" s="186"/>
      <c r="CG122" s="186"/>
      <c r="CH122" s="186"/>
      <c r="CI122" s="186"/>
      <c r="CJ122" s="186"/>
      <c r="CK122" s="186"/>
      <c r="CL122" s="186"/>
      <c r="CM122" s="186"/>
      <c r="CN122" s="186"/>
      <c r="CO122" s="186"/>
      <c r="CP122" s="186"/>
      <c r="CQ122" s="186"/>
      <c r="CR122" s="186"/>
      <c r="CS122" s="186"/>
      <c r="CT122" s="186"/>
      <c r="CU122" s="186"/>
      <c r="CV122" s="186"/>
      <c r="CW122" s="186"/>
      <c r="CX122" s="186"/>
      <c r="CZ122" t="str">
        <f>A128</f>
        <v>Defenses: Vulnerability to known threats</v>
      </c>
      <c r="DG122" t="str">
        <f>A133</f>
        <v>Defenses: Vulnerability to unknown threats</v>
      </c>
      <c r="DO122" s="89"/>
      <c r="DQ122" s="55">
        <f ca="1"/>
        <v>0</v>
      </c>
      <c r="DR122" s="55">
        <f ca="1"/>
        <v>0</v>
      </c>
      <c r="DS122" s="55">
        <f ca="1"/>
        <v>0</v>
      </c>
      <c r="DT122" s="55">
        <f ca="1"/>
        <v>0</v>
      </c>
      <c r="DU122" s="55">
        <f ca="1"/>
        <v>0</v>
      </c>
      <c r="DV122" s="55">
        <f ca="1"/>
        <v>0</v>
      </c>
      <c r="DW122" s="55">
        <f ca="1"/>
        <v>0</v>
      </c>
      <c r="DX122" s="55">
        <f ca="1"/>
        <v>0</v>
      </c>
      <c r="DY122" s="55">
        <f ca="1"/>
        <v>0</v>
      </c>
      <c r="DZ122" s="55">
        <f ca="1"/>
        <v>0</v>
      </c>
      <c r="EA122" s="55">
        <f ca="1"/>
        <v>0</v>
      </c>
      <c r="EB122" s="55">
        <f ca="1"/>
        <v>0</v>
      </c>
      <c r="EC122" s="186">
        <f ca="1"/>
        <v>0</v>
      </c>
    </row>
    <row r="123" spans="1:133" x14ac:dyDescent="0.3">
      <c r="A123" t="str">
        <f>A124</f>
        <v>Target: Counterparties</v>
      </c>
      <c r="C123" s="55"/>
      <c r="D123" s="55"/>
      <c r="E123" s="55"/>
      <c r="F123" s="55"/>
      <c r="G123" s="55"/>
      <c r="H123" s="55"/>
      <c r="I123" s="55"/>
      <c r="J123" s="55"/>
      <c r="K123" s="55"/>
      <c r="L123" s="55"/>
      <c r="M123" s="55"/>
      <c r="N123" s="55"/>
      <c r="O123" s="55"/>
      <c r="P123" s="55"/>
      <c r="Q123" s="55"/>
      <c r="R123" s="55"/>
      <c r="S123" s="55"/>
      <c r="T123" s="55"/>
      <c r="U123" s="55"/>
      <c r="V123" s="55"/>
      <c r="W123" s="55"/>
      <c r="X123" s="55"/>
      <c r="Y123" s="55"/>
      <c r="Z123" s="55"/>
      <c r="AA123" s="55"/>
      <c r="AB123" s="55"/>
      <c r="AC123" s="55"/>
      <c r="AD123" s="55"/>
      <c r="AE123" s="55"/>
      <c r="AF123" s="55"/>
      <c r="AG123" s="55"/>
      <c r="AH123" s="55"/>
      <c r="AI123" s="55"/>
      <c r="AJ123" s="55"/>
      <c r="AK123" s="55"/>
      <c r="AL123" s="55"/>
      <c r="AM123" s="55"/>
      <c r="AN123" s="55"/>
      <c r="AO123" s="55"/>
      <c r="AP123" s="55"/>
      <c r="AQ123" s="55"/>
      <c r="AR123" s="55"/>
      <c r="AS123" s="55"/>
      <c r="AT123" s="55"/>
      <c r="AU123" s="55"/>
      <c r="AV123" s="55"/>
      <c r="AW123" s="186"/>
      <c r="AX123" s="186"/>
      <c r="AY123" s="186"/>
      <c r="AZ123" s="186"/>
      <c r="BA123" s="186"/>
      <c r="BB123" s="186"/>
      <c r="BC123" s="186"/>
      <c r="BD123" s="186"/>
      <c r="BE123" s="186"/>
      <c r="BF123" s="186"/>
      <c r="BG123" s="186"/>
      <c r="BH123" s="186"/>
      <c r="BI123" s="186"/>
      <c r="BJ123" s="186"/>
      <c r="BK123" s="186"/>
      <c r="BL123" s="186"/>
      <c r="BM123" s="186"/>
      <c r="BN123" s="186"/>
      <c r="BO123" s="186"/>
      <c r="BP123" s="186"/>
      <c r="BQ123" s="186"/>
      <c r="BR123" s="186"/>
      <c r="BS123" s="186"/>
      <c r="BT123" s="186"/>
      <c r="BU123" s="186"/>
      <c r="BV123" s="186"/>
      <c r="BW123" s="186"/>
      <c r="BX123" s="186"/>
      <c r="BY123" s="186"/>
      <c r="BZ123" s="186"/>
      <c r="CA123" s="186"/>
      <c r="CB123" s="186"/>
      <c r="CC123" s="186"/>
      <c r="CD123" s="186"/>
      <c r="CE123" s="186"/>
      <c r="CF123" s="186"/>
      <c r="CG123" s="186"/>
      <c r="CH123" s="186"/>
      <c r="CI123" s="186"/>
      <c r="CJ123" s="186"/>
      <c r="CK123" s="186"/>
      <c r="CL123" s="186"/>
      <c r="CM123" s="186"/>
      <c r="CN123" s="186"/>
      <c r="CO123" s="186"/>
      <c r="CP123" s="186"/>
      <c r="CQ123" s="186"/>
      <c r="CR123" s="186"/>
      <c r="CS123" s="186"/>
      <c r="CT123" s="186"/>
      <c r="CU123" s="186"/>
      <c r="CV123" s="186"/>
      <c r="CW123" s="186"/>
      <c r="CX123" s="186"/>
      <c r="DO123" s="89"/>
      <c r="DQ123" s="55">
        <f ca="1"/>
        <v>0</v>
      </c>
      <c r="DR123" s="55">
        <f ca="1"/>
        <v>0</v>
      </c>
      <c r="DS123" s="55">
        <f ca="1"/>
        <v>0</v>
      </c>
      <c r="DT123" s="55">
        <f ca="1"/>
        <v>0</v>
      </c>
      <c r="DU123" s="55">
        <f ca="1"/>
        <v>0</v>
      </c>
      <c r="DV123" s="55">
        <f ca="1"/>
        <v>0</v>
      </c>
      <c r="DW123" s="55">
        <f ca="1"/>
        <v>0</v>
      </c>
      <c r="DX123" s="55">
        <f ca="1"/>
        <v>0</v>
      </c>
      <c r="DY123" s="55">
        <f ca="1"/>
        <v>0</v>
      </c>
      <c r="DZ123" s="55">
        <f ca="1"/>
        <v>0</v>
      </c>
      <c r="EA123" s="55">
        <f ca="1"/>
        <v>0</v>
      </c>
      <c r="EB123" s="55">
        <f ca="1"/>
        <v>0</v>
      </c>
      <c r="EC123" s="186">
        <f ca="1"/>
        <v>0</v>
      </c>
    </row>
    <row r="124" spans="1:133" x14ac:dyDescent="0.3">
      <c r="A124" t="str">
        <f>A125</f>
        <v>Target: Counterparties</v>
      </c>
      <c r="B124" s="57" t="str">
        <f>C$1</f>
        <v>Apr</v>
      </c>
      <c r="C124" s="57" t="str">
        <f t="shared" ref="C124:N124" si="244">D$1</f>
        <v>May</v>
      </c>
      <c r="D124" s="57" t="str">
        <f t="shared" si="244"/>
        <v>Jun</v>
      </c>
      <c r="E124" s="57" t="str">
        <f t="shared" si="244"/>
        <v>Jul</v>
      </c>
      <c r="F124" s="57" t="str">
        <f t="shared" si="244"/>
        <v>Aug</v>
      </c>
      <c r="G124" s="57" t="str">
        <f t="shared" si="244"/>
        <v>Sep</v>
      </c>
      <c r="H124" s="57" t="str">
        <f t="shared" si="244"/>
        <v>Oct</v>
      </c>
      <c r="I124" s="57" t="str">
        <f t="shared" si="244"/>
        <v>Nov</v>
      </c>
      <c r="J124" s="57" t="str">
        <f t="shared" si="244"/>
        <v>Dec 2011</v>
      </c>
      <c r="K124" s="57" t="str">
        <f t="shared" si="244"/>
        <v>Jan 2012</v>
      </c>
      <c r="L124" s="57" t="str">
        <f t="shared" si="244"/>
        <v>Feb</v>
      </c>
      <c r="M124" s="57" t="str">
        <f t="shared" si="244"/>
        <v>Mar</v>
      </c>
      <c r="N124" s="57" t="str">
        <f t="shared" si="244"/>
        <v>Apr</v>
      </c>
      <c r="O124" s="57" t="str">
        <f t="shared" ref="O124:AD124" si="245">P$1</f>
        <v>May</v>
      </c>
      <c r="P124" s="57" t="str">
        <f t="shared" si="245"/>
        <v>Jun</v>
      </c>
      <c r="Q124" s="57" t="str">
        <f t="shared" si="245"/>
        <v>Jul</v>
      </c>
      <c r="R124" s="57" t="str">
        <f t="shared" si="245"/>
        <v>Aug</v>
      </c>
      <c r="S124" s="57" t="str">
        <f t="shared" si="245"/>
        <v>Sep</v>
      </c>
      <c r="T124" s="57" t="str">
        <f t="shared" si="245"/>
        <v>Oct</v>
      </c>
      <c r="U124" s="57" t="str">
        <f t="shared" si="245"/>
        <v>Nov</v>
      </c>
      <c r="V124" s="57" t="str">
        <f t="shared" si="245"/>
        <v>Dec 2012</v>
      </c>
      <c r="W124" s="57" t="str">
        <f t="shared" si="245"/>
        <v>Jan 2013</v>
      </c>
      <c r="X124" s="57" t="str">
        <f t="shared" si="245"/>
        <v>Feb</v>
      </c>
      <c r="Y124" s="57" t="str">
        <f t="shared" si="245"/>
        <v>Mar</v>
      </c>
      <c r="Z124" s="57" t="str">
        <f t="shared" si="245"/>
        <v>Apr</v>
      </c>
      <c r="AA124" s="57" t="str">
        <f t="shared" si="245"/>
        <v>May</v>
      </c>
      <c r="AB124" s="57" t="str">
        <f t="shared" si="245"/>
        <v>Jun</v>
      </c>
      <c r="AC124" s="57" t="str">
        <f t="shared" si="245"/>
        <v>Jul</v>
      </c>
      <c r="AD124" s="57" t="str">
        <f t="shared" si="245"/>
        <v>Aug</v>
      </c>
      <c r="AE124" s="57" t="str">
        <f>AF$1</f>
        <v>Sep</v>
      </c>
      <c r="AF124" s="57" t="str">
        <f t="shared" ref="AF124:AK124" si="246">AG$1</f>
        <v>Oct</v>
      </c>
      <c r="AG124" s="57" t="str">
        <f t="shared" si="246"/>
        <v>Nov</v>
      </c>
      <c r="AH124" s="57" t="str">
        <f t="shared" si="246"/>
        <v>Dec 2013</v>
      </c>
      <c r="AI124" s="57" t="str">
        <f t="shared" si="246"/>
        <v>Jan 2014</v>
      </c>
      <c r="AJ124" s="57" t="str">
        <f t="shared" si="246"/>
        <v>Feb</v>
      </c>
      <c r="AK124" s="57" t="str">
        <f t="shared" si="246"/>
        <v>Mar</v>
      </c>
      <c r="AL124" s="57" t="str">
        <f t="shared" ref="AL124:CI124" si="247">AM$1</f>
        <v>Apr</v>
      </c>
      <c r="AM124" s="57" t="str">
        <f t="shared" si="247"/>
        <v>May</v>
      </c>
      <c r="AN124" s="57" t="str">
        <f t="shared" si="247"/>
        <v>Jun</v>
      </c>
      <c r="AO124" s="57" t="str">
        <f t="shared" si="247"/>
        <v>Jul</v>
      </c>
      <c r="AP124" s="57" t="str">
        <f t="shared" si="247"/>
        <v>Aug</v>
      </c>
      <c r="AQ124" s="57" t="str">
        <f t="shared" si="247"/>
        <v>Sep</v>
      </c>
      <c r="AR124" s="57" t="str">
        <f t="shared" si="247"/>
        <v>Oct</v>
      </c>
      <c r="AS124" s="57" t="str">
        <f t="shared" si="247"/>
        <v>Nov</v>
      </c>
      <c r="AT124" s="57" t="str">
        <f t="shared" si="247"/>
        <v>Dec '14</v>
      </c>
      <c r="AU124" s="57" t="str">
        <f t="shared" si="247"/>
        <v>Jan '15</v>
      </c>
      <c r="AV124" s="57" t="str">
        <f t="shared" si="247"/>
        <v>Feb</v>
      </c>
      <c r="AW124" s="57" t="str">
        <f t="shared" si="247"/>
        <v>Mar</v>
      </c>
      <c r="AX124" s="57" t="str">
        <f t="shared" si="247"/>
        <v>Apr</v>
      </c>
      <c r="AY124" s="57" t="str">
        <f t="shared" si="247"/>
        <v>May</v>
      </c>
      <c r="AZ124" s="57" t="str">
        <f t="shared" si="247"/>
        <v>Jun</v>
      </c>
      <c r="BA124" s="57" t="str">
        <f t="shared" si="247"/>
        <v>Jul</v>
      </c>
      <c r="BB124" s="57" t="str">
        <f t="shared" si="247"/>
        <v>Aug</v>
      </c>
      <c r="BC124" s="57" t="str">
        <f t="shared" si="247"/>
        <v>Sep</v>
      </c>
      <c r="BD124" s="57" t="str">
        <f t="shared" si="247"/>
        <v>Oct</v>
      </c>
      <c r="BE124" s="57" t="str">
        <f t="shared" si="247"/>
        <v>Nov</v>
      </c>
      <c r="BF124" s="57" t="str">
        <f t="shared" si="247"/>
        <v>Dec '15</v>
      </c>
      <c r="BG124" s="57" t="str">
        <f t="shared" si="247"/>
        <v>Jan '16</v>
      </c>
      <c r="BH124" s="57" t="str">
        <f t="shared" si="247"/>
        <v>Feb</v>
      </c>
      <c r="BI124" s="57" t="str">
        <f t="shared" si="247"/>
        <v>Mar</v>
      </c>
      <c r="BJ124" s="57" t="str">
        <f t="shared" si="247"/>
        <v>Apr</v>
      </c>
      <c r="BK124" s="57" t="str">
        <f t="shared" si="247"/>
        <v>May</v>
      </c>
      <c r="BL124" s="57" t="str">
        <f t="shared" si="247"/>
        <v>Jun</v>
      </c>
      <c r="BM124" s="57" t="str">
        <f t="shared" si="247"/>
        <v>Jul</v>
      </c>
      <c r="BN124" s="57" t="str">
        <f t="shared" si="247"/>
        <v>Aug</v>
      </c>
      <c r="BO124" s="57" t="str">
        <f t="shared" si="247"/>
        <v>Sep</v>
      </c>
      <c r="BP124" s="57" t="str">
        <f t="shared" si="247"/>
        <v>Oct</v>
      </c>
      <c r="BQ124" s="57" t="str">
        <f t="shared" si="247"/>
        <v>Nov</v>
      </c>
      <c r="BR124" s="57" t="str">
        <f t="shared" si="247"/>
        <v>Dec-16</v>
      </c>
      <c r="BS124" s="57" t="str">
        <f t="shared" si="247"/>
        <v>Jan-17</v>
      </c>
      <c r="BT124" s="57" t="str">
        <f t="shared" si="247"/>
        <v>Feb</v>
      </c>
      <c r="BU124" s="57" t="str">
        <f t="shared" si="247"/>
        <v>Mar</v>
      </c>
      <c r="BV124" s="57" t="str">
        <f t="shared" si="247"/>
        <v>Apr</v>
      </c>
      <c r="BW124" s="57" t="str">
        <f t="shared" si="247"/>
        <v>May</v>
      </c>
      <c r="BX124" s="57" t="str">
        <f t="shared" si="247"/>
        <v>Jun</v>
      </c>
      <c r="BY124" s="57" t="str">
        <f t="shared" si="247"/>
        <v>Jul</v>
      </c>
      <c r="BZ124" s="57" t="str">
        <f t="shared" si="247"/>
        <v>Aug</v>
      </c>
      <c r="CA124" s="57" t="str">
        <f t="shared" si="247"/>
        <v>Sep</v>
      </c>
      <c r="CB124" s="57" t="str">
        <f t="shared" si="247"/>
        <v>Oct</v>
      </c>
      <c r="CC124" s="57" t="str">
        <f t="shared" si="247"/>
        <v>Nov</v>
      </c>
      <c r="CD124" s="57" t="str">
        <f t="shared" si="247"/>
        <v>Dec</v>
      </c>
      <c r="CE124" s="57" t="str">
        <f t="shared" si="247"/>
        <v>Jan '18</v>
      </c>
      <c r="CF124" s="57" t="str">
        <f t="shared" si="247"/>
        <v>Feb</v>
      </c>
      <c r="CG124" s="57" t="str">
        <f t="shared" si="247"/>
        <v>Mar</v>
      </c>
      <c r="CH124" s="57" t="str">
        <f t="shared" si="247"/>
        <v>Apr</v>
      </c>
      <c r="CI124" s="57" t="str">
        <f t="shared" si="247"/>
        <v>May</v>
      </c>
      <c r="CJ124" s="57" t="str">
        <f t="shared" ref="CJ124:CO124" si="248">CK$1</f>
        <v>Jun</v>
      </c>
      <c r="CK124" s="57" t="str">
        <f t="shared" si="248"/>
        <v>Jul</v>
      </c>
      <c r="CL124" s="57" t="str">
        <f t="shared" si="248"/>
        <v>Aug</v>
      </c>
      <c r="CM124" s="57" t="str">
        <f t="shared" si="248"/>
        <v>Sep</v>
      </c>
      <c r="CN124" s="57" t="str">
        <f t="shared" si="248"/>
        <v>Oct</v>
      </c>
      <c r="CO124" s="57" t="str">
        <f t="shared" si="248"/>
        <v>Nov</v>
      </c>
      <c r="CP124" s="57" t="str">
        <f t="shared" ref="CP124:CX124" si="249">CQ$1</f>
        <v>Dec-18</v>
      </c>
      <c r="CQ124" s="57" t="str">
        <f t="shared" si="249"/>
        <v>Jan-19</v>
      </c>
      <c r="CR124" s="57" t="str">
        <f t="shared" si="249"/>
        <v>Feb-19</v>
      </c>
      <c r="CS124" s="57" t="str">
        <f t="shared" si="249"/>
        <v>Mar-19</v>
      </c>
      <c r="CT124" s="57" t="str">
        <f t="shared" si="249"/>
        <v>Apr-19</v>
      </c>
      <c r="CU124" s="57" t="str">
        <f t="shared" si="249"/>
        <v>May-19</v>
      </c>
      <c r="CV124" s="57" t="str">
        <f t="shared" si="249"/>
        <v>June-19</v>
      </c>
      <c r="CW124" s="57" t="str">
        <f t="shared" si="249"/>
        <v>July-19</v>
      </c>
      <c r="CX124" s="57" t="str">
        <f t="shared" si="249"/>
        <v>Aug-19</v>
      </c>
      <c r="DO124" s="89"/>
      <c r="DQ124" s="57" t="str">
        <f ca="1"/>
        <v>Aug</v>
      </c>
      <c r="DR124" s="57" t="str">
        <f ca="1"/>
        <v>Sep</v>
      </c>
      <c r="DS124" s="57" t="str">
        <f ca="1"/>
        <v>Oct</v>
      </c>
      <c r="DT124" s="57" t="str">
        <f ca="1"/>
        <v>Nov</v>
      </c>
      <c r="DU124" s="57" t="str">
        <f ca="1"/>
        <v>Dec-18</v>
      </c>
      <c r="DV124" s="57" t="str">
        <f ca="1"/>
        <v>Jan-19</v>
      </c>
      <c r="DW124" s="57" t="str">
        <f ca="1"/>
        <v>Feb-19</v>
      </c>
      <c r="DX124" s="57" t="str">
        <f ca="1"/>
        <v>Mar-19</v>
      </c>
      <c r="DY124" s="57" t="str">
        <f ca="1"/>
        <v>Apr-19</v>
      </c>
      <c r="DZ124" s="57" t="str">
        <f ca="1"/>
        <v>May-19</v>
      </c>
      <c r="EA124" s="57" t="str">
        <f ca="1"/>
        <v>June-19</v>
      </c>
      <c r="EB124" s="57" t="str">
        <f ca="1"/>
        <v>July-19</v>
      </c>
      <c r="EC124" s="57" t="str">
        <f ca="1"/>
        <v>Aug-19</v>
      </c>
    </row>
    <row r="125" spans="1:133" x14ac:dyDescent="0.3">
      <c r="A125" t="str">
        <f>A20</f>
        <v>Target: Counterparties</v>
      </c>
      <c r="B125">
        <f>B20</f>
        <v>1000</v>
      </c>
      <c r="C125" s="56">
        <f>B20</f>
        <v>1000</v>
      </c>
      <c r="D125" s="56">
        <f t="shared" ref="D125:CI125" si="250">C20</f>
        <v>1039.4922724379753</v>
      </c>
      <c r="E125" s="56">
        <f t="shared" si="250"/>
        <v>1079.5988502931452</v>
      </c>
      <c r="F125" s="56">
        <f t="shared" si="250"/>
        <v>1125.9588590213673</v>
      </c>
      <c r="G125" s="56">
        <f t="shared" si="250"/>
        <v>1164.7812449994578</v>
      </c>
      <c r="H125" s="56">
        <f t="shared" si="250"/>
        <v>1205.578489914775</v>
      </c>
      <c r="I125" s="56">
        <f t="shared" si="250"/>
        <v>1244.5545916308945</v>
      </c>
      <c r="J125" s="56">
        <f t="shared" si="250"/>
        <v>1279.8754682985934</v>
      </c>
      <c r="K125" s="56">
        <f t="shared" si="250"/>
        <v>1315.2081284137432</v>
      </c>
      <c r="L125" s="56">
        <f t="shared" si="250"/>
        <v>1351.0985504099492</v>
      </c>
      <c r="M125" s="56">
        <f t="shared" si="250"/>
        <v>1391.5610844677647</v>
      </c>
      <c r="N125" s="56">
        <f t="shared" si="250"/>
        <v>1433.5696300506459</v>
      </c>
      <c r="O125" s="56">
        <f t="shared" si="250"/>
        <v>1463.8598345496052</v>
      </c>
      <c r="P125" s="56">
        <f t="shared" si="250"/>
        <v>1519.7968422756157</v>
      </c>
      <c r="Q125" s="56">
        <f t="shared" si="250"/>
        <v>1563.5311786916795</v>
      </c>
      <c r="R125" s="56">
        <f t="shared" si="250"/>
        <v>1623.2768275291885</v>
      </c>
      <c r="S125" s="56">
        <f t="shared" si="250"/>
        <v>1680.9388888061176</v>
      </c>
      <c r="T125" s="56">
        <f t="shared" si="250"/>
        <v>1728.4708485737551</v>
      </c>
      <c r="U125" s="56">
        <f t="shared" si="250"/>
        <v>1800.3804157289528</v>
      </c>
      <c r="V125" s="56">
        <f t="shared" si="250"/>
        <v>1865.2864826721329</v>
      </c>
      <c r="W125" s="56">
        <f t="shared" si="250"/>
        <v>1910.5152778316187</v>
      </c>
      <c r="X125" s="56">
        <f t="shared" si="250"/>
        <v>1968.8659762080408</v>
      </c>
      <c r="Y125" s="56">
        <f t="shared" si="250"/>
        <v>2020.0725085336039</v>
      </c>
      <c r="Z125" s="56">
        <f t="shared" si="250"/>
        <v>2073.8909098956442</v>
      </c>
      <c r="AA125" s="56">
        <f t="shared" si="250"/>
        <v>2135.2701576097024</v>
      </c>
      <c r="AB125" s="56">
        <f t="shared" si="250"/>
        <v>2178.7876860380843</v>
      </c>
      <c r="AC125" s="56">
        <f t="shared" si="250"/>
        <v>2223.7095682815784</v>
      </c>
      <c r="AD125" s="56">
        <f t="shared" si="250"/>
        <v>2270.7158754391498</v>
      </c>
      <c r="AE125" s="56">
        <f t="shared" si="250"/>
        <v>2314.9332644978617</v>
      </c>
      <c r="AF125" s="56">
        <f t="shared" si="250"/>
        <v>2369.0619313554976</v>
      </c>
      <c r="AG125" s="56">
        <f t="shared" si="250"/>
        <v>2410.4218159369966</v>
      </c>
      <c r="AH125" s="56">
        <f t="shared" si="250"/>
        <v>2479.0191651823143</v>
      </c>
      <c r="AI125" s="56">
        <f t="shared" si="250"/>
        <v>2510.8987626362486</v>
      </c>
      <c r="AJ125" s="56">
        <f t="shared" si="250"/>
        <v>2589.3580622649747</v>
      </c>
      <c r="AK125" s="56">
        <f t="shared" si="250"/>
        <v>2657.6749437113986</v>
      </c>
      <c r="AL125" s="56">
        <f t="shared" si="250"/>
        <v>2744.0320873510714</v>
      </c>
      <c r="AM125" s="56">
        <f t="shared" si="250"/>
        <v>2813.4975903652639</v>
      </c>
      <c r="AN125" s="56">
        <f t="shared" si="250"/>
        <v>2933.7717109143919</v>
      </c>
      <c r="AO125" s="56">
        <f t="shared" si="250"/>
        <v>2984.2078152536642</v>
      </c>
      <c r="AP125" s="56">
        <f t="shared" si="250"/>
        <v>3043.0080557603283</v>
      </c>
      <c r="AQ125" s="56">
        <f t="shared" si="250"/>
        <v>3093.4132398628772</v>
      </c>
      <c r="AR125" s="56">
        <f t="shared" si="250"/>
        <v>3173.6118614341754</v>
      </c>
      <c r="AS125" s="56">
        <f t="shared" si="250"/>
        <v>3312.5804261199164</v>
      </c>
      <c r="AT125" s="56">
        <f t="shared" si="250"/>
        <v>3449.2908081993219</v>
      </c>
      <c r="AU125" s="56">
        <f t="shared" si="250"/>
        <v>3538.9375033869401</v>
      </c>
      <c r="AV125" s="56">
        <f t="shared" si="250"/>
        <v>3650.0745587478514</v>
      </c>
      <c r="AW125" s="56">
        <f t="shared" si="250"/>
        <v>3706.501736185231</v>
      </c>
      <c r="AX125" s="56">
        <f t="shared" si="250"/>
        <v>3800.332274360765</v>
      </c>
      <c r="AY125" s="56">
        <f t="shared" si="250"/>
        <v>3886.808965100091</v>
      </c>
      <c r="AZ125" s="56">
        <f t="shared" si="250"/>
        <v>3925.3555164953136</v>
      </c>
      <c r="BA125" s="56">
        <f t="shared" si="250"/>
        <v>4081.5683531187642</v>
      </c>
      <c r="BB125" s="56">
        <f t="shared" si="250"/>
        <v>4177.2454519907151</v>
      </c>
      <c r="BC125" s="56">
        <f t="shared" si="250"/>
        <v>4259.9040694928444</v>
      </c>
      <c r="BD125" s="56">
        <f t="shared" si="250"/>
        <v>4345.3207753320494</v>
      </c>
      <c r="BE125" s="56">
        <f t="shared" si="250"/>
        <v>4363.4640508042221</v>
      </c>
      <c r="BF125" s="56">
        <f t="shared" si="250"/>
        <v>4424.1671163326773</v>
      </c>
      <c r="BG125" s="56">
        <f t="shared" si="250"/>
        <v>4531.9672308329164</v>
      </c>
      <c r="BH125" s="56">
        <f t="shared" si="250"/>
        <v>4596.6270254131477</v>
      </c>
      <c r="BI125" s="56">
        <f t="shared" si="250"/>
        <v>4685.3490949571978</v>
      </c>
      <c r="BJ125" s="56">
        <f t="shared" si="250"/>
        <v>4729.4807867982345</v>
      </c>
      <c r="BK125" s="56">
        <f t="shared" si="250"/>
        <v>4832.5688640173566</v>
      </c>
      <c r="BL125" s="56">
        <f t="shared" si="250"/>
        <v>4916.1270685546197</v>
      </c>
      <c r="BM125" s="56">
        <f t="shared" si="250"/>
        <v>4983.9897093491218</v>
      </c>
      <c r="BN125" s="56">
        <f t="shared" si="250"/>
        <v>5075.0387736236253</v>
      </c>
      <c r="BO125" s="56">
        <f t="shared" si="250"/>
        <v>5185.6017410879585</v>
      </c>
      <c r="BP125" s="56">
        <f t="shared" si="250"/>
        <v>5300.7885161774011</v>
      </c>
      <c r="BQ125" s="56">
        <f t="shared" si="250"/>
        <v>5447.3448877251567</v>
      </c>
      <c r="BR125" s="56">
        <f t="shared" si="250"/>
        <v>5507.2522435671472</v>
      </c>
      <c r="BS125" s="56">
        <f t="shared" si="250"/>
        <v>5584.7317539551414</v>
      </c>
      <c r="BT125" s="56">
        <f t="shared" si="250"/>
        <v>5622.0876803810816</v>
      </c>
      <c r="BU125" s="56">
        <f t="shared" si="250"/>
        <v>5663.0415987857668</v>
      </c>
      <c r="BV125" s="56">
        <f t="shared" si="250"/>
        <v>5667.6104098319483</v>
      </c>
      <c r="BW125" s="56">
        <f t="shared" si="250"/>
        <v>5677.0643032377711</v>
      </c>
      <c r="BX125" s="56">
        <f t="shared" si="250"/>
        <v>5774.0268706983115</v>
      </c>
      <c r="BY125" s="56">
        <f t="shared" si="250"/>
        <v>5886.8707442928435</v>
      </c>
      <c r="BZ125" s="56">
        <f t="shared" si="250"/>
        <v>6015.8114236108022</v>
      </c>
      <c r="CA125" s="56">
        <f t="shared" si="250"/>
        <v>6179.9755630944865</v>
      </c>
      <c r="CB125" s="56">
        <f t="shared" si="250"/>
        <v>6303.8922396569142</v>
      </c>
      <c r="CC125" s="56">
        <f t="shared" si="250"/>
        <v>6286.4057259485826</v>
      </c>
      <c r="CD125" s="56">
        <f t="shared" si="250"/>
        <v>6416.8362157756392</v>
      </c>
      <c r="CE125" s="56">
        <f t="shared" si="250"/>
        <v>6607.6993663849998</v>
      </c>
      <c r="CF125" s="56">
        <f t="shared" si="250"/>
        <v>6665.1295175720206</v>
      </c>
      <c r="CG125" s="56">
        <f t="shared" si="250"/>
        <v>6785.2187214341711</v>
      </c>
      <c r="CH125" s="56">
        <f t="shared" si="250"/>
        <v>6826.0524123344785</v>
      </c>
      <c r="CI125" s="56">
        <f t="shared" si="250"/>
        <v>6953.6384968457696</v>
      </c>
      <c r="CJ125" s="56">
        <f t="shared" ref="CJ125:CO125" ca="1" si="251">CI20</f>
        <v>4181.6910406464822</v>
      </c>
      <c r="CK125" s="56">
        <f t="shared" si="251"/>
        <v>7231.2420700469665</v>
      </c>
      <c r="CL125" s="56">
        <f t="shared" si="251"/>
        <v>7391.1683063224591</v>
      </c>
      <c r="CM125" s="56">
        <f t="shared" si="251"/>
        <v>7457.9890634469202</v>
      </c>
      <c r="CN125" s="56">
        <f t="shared" si="251"/>
        <v>7705.8372265316157</v>
      </c>
      <c r="CO125" s="56">
        <f t="shared" si="251"/>
        <v>7943.9680564034188</v>
      </c>
      <c r="CP125" s="56">
        <f t="shared" ref="CP125:CX125" si="252">CO20</f>
        <v>8066.2660772412282</v>
      </c>
      <c r="CQ125" s="56">
        <f t="shared" si="252"/>
        <v>8261.8539933595166</v>
      </c>
      <c r="CR125" s="56">
        <f t="shared" si="252"/>
        <v>8526.4300412774737</v>
      </c>
      <c r="CS125" s="56">
        <f t="shared" si="252"/>
        <v>8672.6184326187904</v>
      </c>
      <c r="CT125" s="56">
        <f t="shared" si="252"/>
        <v>8818.373323311358</v>
      </c>
      <c r="CU125" s="56">
        <f t="shared" si="252"/>
        <v>9059.8169603472106</v>
      </c>
      <c r="CV125" s="56">
        <f t="shared" si="252"/>
        <v>9225.5454120343366</v>
      </c>
      <c r="CW125" s="56">
        <f t="shared" si="252"/>
        <v>9296.784792310862</v>
      </c>
      <c r="CX125" s="56">
        <f t="shared" si="252"/>
        <v>9445.8709549391442</v>
      </c>
      <c r="DO125" s="89"/>
      <c r="DQ125" s="56">
        <f ca="1"/>
        <v>7391.1683063224591</v>
      </c>
      <c r="DR125" s="56">
        <f ca="1"/>
        <v>7457.9890634469202</v>
      </c>
      <c r="DS125" s="56">
        <f ca="1"/>
        <v>7705.8372265316157</v>
      </c>
      <c r="DT125" s="56">
        <f ca="1"/>
        <v>7943.9680564034188</v>
      </c>
      <c r="DU125" s="56">
        <f ca="1"/>
        <v>8066.2660772412282</v>
      </c>
      <c r="DV125" s="56">
        <f ca="1"/>
        <v>8261.8539933595166</v>
      </c>
      <c r="DW125" s="56">
        <f ca="1"/>
        <v>8526.4300412774737</v>
      </c>
      <c r="DX125" s="56">
        <f ca="1"/>
        <v>8672.6184326187904</v>
      </c>
      <c r="DY125" s="56">
        <f ca="1"/>
        <v>8818.373323311358</v>
      </c>
      <c r="DZ125" s="56">
        <f ca="1"/>
        <v>9059.8169603472106</v>
      </c>
      <c r="EA125" s="56">
        <f ca="1"/>
        <v>9225.5454120343366</v>
      </c>
      <c r="EB125" s="56">
        <f ca="1"/>
        <v>9296.784792310862</v>
      </c>
      <c r="EC125" s="56">
        <f ca="1"/>
        <v>9445.8709549391442</v>
      </c>
    </row>
    <row r="126" spans="1:133" x14ac:dyDescent="0.3">
      <c r="A126" t="s">
        <v>108</v>
      </c>
      <c r="C126" s="55">
        <f t="shared" ref="C126:M126" si="253">LN(C125)-LN(B125)</f>
        <v>0</v>
      </c>
      <c r="D126" s="55">
        <f t="shared" si="253"/>
        <v>3.873239436619702E-2</v>
      </c>
      <c r="E126" s="55">
        <f t="shared" si="253"/>
        <v>3.7857142857142811E-2</v>
      </c>
      <c r="F126" s="55">
        <f t="shared" si="253"/>
        <v>4.2045454545455385E-2</v>
      </c>
      <c r="G126" s="55">
        <f t="shared" si="253"/>
        <v>3.3898305084745672E-2</v>
      </c>
      <c r="H126" s="55">
        <f t="shared" si="253"/>
        <v>3.4426229508196293E-2</v>
      </c>
      <c r="I126" s="55">
        <f t="shared" si="253"/>
        <v>3.181818181818219E-2</v>
      </c>
      <c r="J126" s="55">
        <f t="shared" si="253"/>
        <v>2.7985074626865725E-2</v>
      </c>
      <c r="K126" s="55">
        <f t="shared" si="253"/>
        <v>2.7232142857142705E-2</v>
      </c>
      <c r="L126" s="55">
        <f t="shared" si="253"/>
        <v>2.6923076923076827E-2</v>
      </c>
      <c r="M126" s="55">
        <f t="shared" si="253"/>
        <v>2.9508196721311108E-2</v>
      </c>
      <c r="N126" s="55">
        <f t="shared" ref="N126:AD126" si="254">LN(N125)-LN(M125)</f>
        <v>2.9741379310345373E-2</v>
      </c>
      <c r="O126" s="55">
        <f t="shared" si="254"/>
        <v>2.0909090909090544E-2</v>
      </c>
      <c r="P126" s="55">
        <f t="shared" si="254"/>
        <v>3.7500000000000533E-2</v>
      </c>
      <c r="Q126" s="55">
        <f t="shared" si="254"/>
        <v>2.8370169789226907E-2</v>
      </c>
      <c r="R126" s="55">
        <f t="shared" si="254"/>
        <v>3.7499999999999645E-2</v>
      </c>
      <c r="S126" s="55">
        <f t="shared" si="254"/>
        <v>3.4905660377358316E-2</v>
      </c>
      <c r="T126" s="55">
        <f t="shared" si="254"/>
        <v>2.7884615384615508E-2</v>
      </c>
      <c r="U126" s="55">
        <f t="shared" si="254"/>
        <v>4.0760869565217739E-2</v>
      </c>
      <c r="V126" s="55">
        <f t="shared" si="254"/>
        <v>3.541666666666643E-2</v>
      </c>
      <c r="W126" s="55">
        <f t="shared" si="254"/>
        <v>2.395833333333286E-2</v>
      </c>
      <c r="X126" s="55">
        <f t="shared" si="254"/>
        <v>3.0084745762712473E-2</v>
      </c>
      <c r="Y126" s="55">
        <f t="shared" si="254"/>
        <v>2.567567567567508E-2</v>
      </c>
      <c r="Z126" s="55">
        <f t="shared" si="254"/>
        <v>2.6293103448276511E-2</v>
      </c>
      <c r="AA126" s="55">
        <f t="shared" si="254"/>
        <v>2.9166666666666785E-2</v>
      </c>
      <c r="AB126" s="55">
        <f t="shared" si="254"/>
        <v>2.0175438596490736E-2</v>
      </c>
      <c r="AC126" s="55">
        <f t="shared" si="254"/>
        <v>2.0408163265305923E-2</v>
      </c>
      <c r="AD126" s="55">
        <f t="shared" si="254"/>
        <v>2.0918367346938638E-2</v>
      </c>
      <c r="AE126" s="55">
        <f>LN(AE125)-LN(AD125)</f>
        <v>1.9285714285714128E-2</v>
      </c>
      <c r="AF126" s="55">
        <f t="shared" ref="AF126:CI126" si="255">LN(AF125)-LN(AE125)</f>
        <v>2.3113207547170056E-2</v>
      </c>
      <c r="AG126" s="55">
        <f t="shared" si="255"/>
        <v>1.730769230769269E-2</v>
      </c>
      <c r="AH126" s="55">
        <f t="shared" si="255"/>
        <v>2.8061224489795755E-2</v>
      </c>
      <c r="AI126" s="55">
        <f t="shared" si="255"/>
        <v>1.2777777777777999E-2</v>
      </c>
      <c r="AJ126" s="55">
        <f t="shared" si="255"/>
        <v>3.076923076923066E-2</v>
      </c>
      <c r="AK126" s="55">
        <f t="shared" si="255"/>
        <v>2.6041666666666075E-2</v>
      </c>
      <c r="AL126" s="55">
        <f t="shared" si="255"/>
        <v>3.1976744186047235E-2</v>
      </c>
      <c r="AM126" s="55">
        <f t="shared" si="255"/>
        <v>2.4999999999999467E-2</v>
      </c>
      <c r="AN126" s="55">
        <f t="shared" si="255"/>
        <v>4.1860465116279499E-2</v>
      </c>
      <c r="AO126" s="55">
        <f t="shared" si="255"/>
        <v>1.704545454545503E-2</v>
      </c>
      <c r="AP126" s="55">
        <f t="shared" si="255"/>
        <v>1.9512195121951237E-2</v>
      </c>
      <c r="AQ126" s="55">
        <f t="shared" si="255"/>
        <v>1.6428571428571459E-2</v>
      </c>
      <c r="AR126" s="55">
        <f t="shared" si="255"/>
        <v>2.5595238095236894E-2</v>
      </c>
      <c r="AS126" s="55">
        <f t="shared" si="255"/>
        <v>4.2857142857142705E-2</v>
      </c>
      <c r="AT126" s="55">
        <f t="shared" si="255"/>
        <v>4.0441176470588758E-2</v>
      </c>
      <c r="AU126" s="55">
        <f t="shared" si="255"/>
        <v>2.5657894736841769E-2</v>
      </c>
      <c r="AV126" s="55">
        <f t="shared" si="255"/>
        <v>3.0921052631580181E-2</v>
      </c>
      <c r="AW126" s="186">
        <f t="shared" si="255"/>
        <v>1.5340909090909349E-2</v>
      </c>
      <c r="AX126" s="186">
        <f t="shared" si="255"/>
        <v>2.4999999999998579E-2</v>
      </c>
      <c r="AY126" s="186">
        <f t="shared" si="255"/>
        <v>2.2500000000000853E-2</v>
      </c>
      <c r="AZ126" s="186">
        <f t="shared" si="255"/>
        <v>9.8684210526318594E-3</v>
      </c>
      <c r="BA126" s="186">
        <f t="shared" si="255"/>
        <v>3.9024390243902474E-2</v>
      </c>
      <c r="BB126" s="186">
        <f t="shared" si="255"/>
        <v>2.3170731707317316E-2</v>
      </c>
      <c r="BC126" s="186">
        <f t="shared" si="255"/>
        <v>1.9594594594593673E-2</v>
      </c>
      <c r="BD126" s="186">
        <f t="shared" si="255"/>
        <v>1.9852941176470296E-2</v>
      </c>
      <c r="BE126" s="186">
        <f t="shared" si="255"/>
        <v>4.1666666666682062E-3</v>
      </c>
      <c r="BF126" s="186">
        <f t="shared" si="255"/>
        <v>1.3815789473683893E-2</v>
      </c>
      <c r="BG126" s="186">
        <f t="shared" si="255"/>
        <v>2.4074074074073692E-2</v>
      </c>
      <c r="BH126" s="186">
        <f t="shared" si="255"/>
        <v>1.4166666666666217E-2</v>
      </c>
      <c r="BI126" s="186">
        <f t="shared" si="255"/>
        <v>1.9117647058823906E-2</v>
      </c>
      <c r="BJ126" s="186">
        <f t="shared" si="255"/>
        <v>9.3750000000003553E-3</v>
      </c>
      <c r="BK126" s="186">
        <f t="shared" si="255"/>
        <v>2.1562755937756251E-2</v>
      </c>
      <c r="BL126" s="186">
        <f t="shared" si="255"/>
        <v>1.7142857142856016E-2</v>
      </c>
      <c r="BM126" s="186">
        <f t="shared" si="255"/>
        <v>1.3709677419354804E-2</v>
      </c>
      <c r="BN126" s="186">
        <f t="shared" si="255"/>
        <v>1.8103448275862632E-2</v>
      </c>
      <c r="BO126" s="186">
        <f t="shared" si="255"/>
        <v>2.1551724137930606E-2</v>
      </c>
      <c r="BP126" s="186">
        <f t="shared" si="255"/>
        <v>2.1969696969696528E-2</v>
      </c>
      <c r="BQ126" s="186">
        <f t="shared" si="255"/>
        <v>2.7272727272727337E-2</v>
      </c>
      <c r="BR126" s="186">
        <f t="shared" si="255"/>
        <v>1.0937500000000711E-2</v>
      </c>
      <c r="BS126" s="186">
        <f t="shared" si="255"/>
        <v>1.3970588235293846E-2</v>
      </c>
      <c r="BT126" s="186">
        <f t="shared" si="255"/>
        <v>6.6666666666677088E-3</v>
      </c>
      <c r="BU126" s="186">
        <f t="shared" si="255"/>
        <v>7.2580645161277602E-3</v>
      </c>
      <c r="BV126" s="186">
        <f t="shared" si="255"/>
        <v>8.064516129042687E-4</v>
      </c>
      <c r="BW126" s="186">
        <f t="shared" si="255"/>
        <v>1.6666666666651508E-3</v>
      </c>
      <c r="BX126" s="186">
        <f t="shared" si="255"/>
        <v>1.6935483870968326E-2</v>
      </c>
      <c r="BY126" s="186">
        <f t="shared" si="255"/>
        <v>1.935483870967758E-2</v>
      </c>
      <c r="BZ126" s="186">
        <f t="shared" si="255"/>
        <v>2.1666666666666501E-2</v>
      </c>
      <c r="CA126" s="186">
        <f t="shared" si="255"/>
        <v>2.6923076923077716E-2</v>
      </c>
      <c r="CB126" s="186">
        <f t="shared" si="255"/>
        <v>1.9852941176470296E-2</v>
      </c>
      <c r="CC126" s="186">
        <f t="shared" si="255"/>
        <v>-2.777777777778212E-3</v>
      </c>
      <c r="CD126" s="186">
        <f t="shared" si="255"/>
        <v>2.053571428571388E-2</v>
      </c>
      <c r="CE126" s="186">
        <f t="shared" si="255"/>
        <v>2.9310344827585766E-2</v>
      </c>
      <c r="CF126" s="186">
        <f t="shared" si="255"/>
        <v>8.6538461538463451E-3</v>
      </c>
      <c r="CG126" s="186">
        <f t="shared" si="255"/>
        <v>1.7857142857144126E-2</v>
      </c>
      <c r="CH126" s="186">
        <f t="shared" si="255"/>
        <v>6.0000000000002274E-3</v>
      </c>
      <c r="CI126" s="186">
        <f t="shared" si="255"/>
        <v>1.8518518518517268E-2</v>
      </c>
      <c r="CJ126" s="186">
        <f t="shared" ref="CJ126:CX126" ca="1" si="256">LN(CJ125)-LN(CI125)</f>
        <v>-0.50854932740658398</v>
      </c>
      <c r="CK126" s="186">
        <f t="shared" ca="1" si="256"/>
        <v>0.54769509543166173</v>
      </c>
      <c r="CL126" s="186">
        <f t="shared" si="256"/>
        <v>2.1875000000001421E-2</v>
      </c>
      <c r="CM126" s="186">
        <f t="shared" si="256"/>
        <v>9.0000000000003411E-3</v>
      </c>
      <c r="CN126" s="186">
        <f t="shared" si="256"/>
        <v>3.2692307692306244E-2</v>
      </c>
      <c r="CO126" s="186">
        <f t="shared" si="256"/>
        <v>3.0434782608695699E-2</v>
      </c>
      <c r="CP126" s="186">
        <f t="shared" si="256"/>
        <v>1.5277777777779278E-2</v>
      </c>
      <c r="CQ126" s="186">
        <f t="shared" si="256"/>
        <v>2.395833333333286E-2</v>
      </c>
      <c r="CR126" s="186">
        <f t="shared" si="256"/>
        <v>3.1521739130434767E-2</v>
      </c>
      <c r="CS126" s="186">
        <f t="shared" si="256"/>
        <v>1.699999999999946E-2</v>
      </c>
      <c r="CT126" s="186">
        <f t="shared" si="256"/>
        <v>1.6666666666667496E-2</v>
      </c>
      <c r="CU126" s="186">
        <f t="shared" si="256"/>
        <v>2.7011494252873192E-2</v>
      </c>
      <c r="CV126" s="186">
        <f t="shared" si="256"/>
        <v>1.8127394636014316E-2</v>
      </c>
      <c r="CW126" s="186">
        <f t="shared" si="256"/>
        <v>7.692307692307665E-3</v>
      </c>
      <c r="CX126" s="186">
        <f t="shared" si="256"/>
        <v>1.5909090909092427E-2</v>
      </c>
      <c r="DO126" s="89"/>
      <c r="DQ126" s="55">
        <f ca="1"/>
        <v>2.1875000000001421E-2</v>
      </c>
      <c r="DR126" s="55">
        <f ca="1"/>
        <v>9.0000000000003411E-3</v>
      </c>
      <c r="DS126" s="55">
        <f ca="1"/>
        <v>3.2692307692306244E-2</v>
      </c>
      <c r="DT126" s="55">
        <f ca="1"/>
        <v>3.0434782608695699E-2</v>
      </c>
      <c r="DU126" s="55">
        <f ca="1"/>
        <v>1.5277777777779278E-2</v>
      </c>
      <c r="DV126" s="55">
        <f ca="1"/>
        <v>2.395833333333286E-2</v>
      </c>
      <c r="DW126" s="55">
        <f ca="1"/>
        <v>3.1521739130434767E-2</v>
      </c>
      <c r="DX126" s="55">
        <f ca="1"/>
        <v>1.699999999999946E-2</v>
      </c>
      <c r="DY126" s="55">
        <f ca="1"/>
        <v>1.6666666666667496E-2</v>
      </c>
      <c r="DZ126" s="55">
        <f ca="1"/>
        <v>2.7011494252873192E-2</v>
      </c>
      <c r="EA126" s="55">
        <f ca="1"/>
        <v>1.8127394636014316E-2</v>
      </c>
      <c r="EB126" s="55">
        <f ca="1"/>
        <v>7.692307692307665E-3</v>
      </c>
      <c r="EC126" s="186">
        <f ca="1"/>
        <v>1.5909090909092427E-2</v>
      </c>
    </row>
    <row r="127" spans="1:133" x14ac:dyDescent="0.3">
      <c r="C127" s="55"/>
      <c r="D127" s="55"/>
      <c r="E127" s="55"/>
      <c r="F127" s="55"/>
      <c r="G127" s="55"/>
      <c r="H127" s="55"/>
      <c r="I127" s="55"/>
      <c r="J127" s="55"/>
      <c r="K127" s="55"/>
      <c r="L127" s="55"/>
      <c r="M127" s="55"/>
      <c r="N127" s="55"/>
      <c r="O127" s="55"/>
      <c r="P127" s="55"/>
      <c r="Q127" s="55"/>
      <c r="R127" s="55"/>
      <c r="S127" s="55"/>
      <c r="T127" s="55"/>
      <c r="U127" s="55"/>
      <c r="V127" s="55"/>
      <c r="W127" s="55"/>
      <c r="X127" s="55"/>
      <c r="Y127" s="55"/>
      <c r="Z127" s="55"/>
      <c r="AA127" s="55"/>
      <c r="AB127" s="55"/>
      <c r="AC127" s="55"/>
      <c r="AD127" s="55"/>
      <c r="AE127" s="55"/>
      <c r="AF127" s="55"/>
      <c r="AG127" s="55"/>
      <c r="AH127" s="55"/>
      <c r="AI127" s="55"/>
      <c r="AJ127" s="55"/>
      <c r="AK127" s="55"/>
      <c r="AL127" s="55"/>
      <c r="AM127" s="55"/>
      <c r="AN127" s="55"/>
      <c r="AO127" s="55"/>
      <c r="AP127" s="55"/>
      <c r="AQ127" s="55"/>
      <c r="AR127" s="55"/>
      <c r="AS127" s="55"/>
      <c r="AT127" s="55"/>
      <c r="AU127" s="55"/>
      <c r="AV127" s="55"/>
      <c r="AW127" s="186"/>
      <c r="AX127" s="186"/>
      <c r="AY127" s="186"/>
      <c r="AZ127" s="186"/>
      <c r="BA127" s="186"/>
      <c r="BB127" s="186"/>
      <c r="BC127" s="186"/>
      <c r="BD127" s="186"/>
      <c r="BE127" s="186"/>
      <c r="BF127" s="186"/>
      <c r="BG127" s="186"/>
      <c r="BH127" s="186"/>
      <c r="BI127" s="186"/>
      <c r="BJ127" s="186"/>
      <c r="BK127" s="186"/>
      <c r="BL127" s="186"/>
      <c r="BM127" s="186"/>
      <c r="BN127" s="186"/>
      <c r="BO127" s="186"/>
      <c r="BP127" s="186"/>
      <c r="BQ127" s="186"/>
      <c r="BR127" s="186"/>
      <c r="BS127" s="186"/>
      <c r="BT127" s="186"/>
      <c r="BU127" s="186"/>
      <c r="BV127" s="186"/>
      <c r="BW127" s="186"/>
      <c r="BX127" s="186"/>
      <c r="BY127" s="186"/>
      <c r="BZ127" s="186"/>
      <c r="CA127" s="186"/>
      <c r="CB127" s="186"/>
      <c r="CC127" s="186"/>
      <c r="CD127" s="186"/>
      <c r="CE127" s="186"/>
      <c r="CF127" s="186"/>
      <c r="CG127" s="186"/>
      <c r="CH127" s="186"/>
      <c r="CI127" s="186"/>
      <c r="CJ127" s="186"/>
      <c r="CK127" s="186"/>
      <c r="CL127" s="186"/>
      <c r="CM127" s="186"/>
      <c r="CN127" s="186"/>
      <c r="CO127" s="186"/>
      <c r="CP127" s="186"/>
      <c r="CQ127" s="186"/>
      <c r="CR127" s="186"/>
      <c r="CS127" s="186"/>
      <c r="CT127" s="186"/>
      <c r="CU127" s="186"/>
      <c r="CV127" s="186"/>
      <c r="CW127" s="186"/>
      <c r="CX127" s="186"/>
      <c r="DO127" s="89"/>
      <c r="DQ127" s="55">
        <f ca="1"/>
        <v>0</v>
      </c>
      <c r="DR127" s="55">
        <f ca="1"/>
        <v>0</v>
      </c>
      <c r="DS127" s="55">
        <f ca="1"/>
        <v>0</v>
      </c>
      <c r="DT127" s="55">
        <f ca="1"/>
        <v>0</v>
      </c>
      <c r="DU127" s="55">
        <f ca="1"/>
        <v>0</v>
      </c>
      <c r="DV127" s="55">
        <f ca="1"/>
        <v>0</v>
      </c>
      <c r="DW127" s="55">
        <f ca="1"/>
        <v>0</v>
      </c>
      <c r="DX127" s="55">
        <f ca="1"/>
        <v>0</v>
      </c>
      <c r="DY127" s="55">
        <f ca="1"/>
        <v>0</v>
      </c>
      <c r="DZ127" s="55">
        <f ca="1"/>
        <v>0</v>
      </c>
      <c r="EA127" s="55">
        <f ca="1"/>
        <v>0</v>
      </c>
      <c r="EB127" s="55">
        <f ca="1"/>
        <v>0</v>
      </c>
      <c r="EC127" s="186">
        <f ca="1"/>
        <v>0</v>
      </c>
    </row>
    <row r="128" spans="1:133" x14ac:dyDescent="0.3">
      <c r="A128" t="str">
        <f>A129</f>
        <v>Defenses: Vulnerability to known threats</v>
      </c>
      <c r="C128" s="55"/>
      <c r="D128" s="55"/>
      <c r="E128" s="55"/>
      <c r="F128" s="55"/>
      <c r="G128" s="55"/>
      <c r="H128" s="55"/>
      <c r="I128" s="55"/>
      <c r="J128" s="55"/>
      <c r="K128" s="55"/>
      <c r="L128" s="55"/>
      <c r="M128" s="55"/>
      <c r="N128" s="55"/>
      <c r="O128" s="55"/>
      <c r="P128" s="55"/>
      <c r="Q128" s="55"/>
      <c r="R128" s="55"/>
      <c r="S128" s="55"/>
      <c r="T128" s="55"/>
      <c r="U128" s="55"/>
      <c r="V128" s="55"/>
      <c r="W128" s="55"/>
      <c r="X128" s="55"/>
      <c r="Y128" s="55"/>
      <c r="Z128" s="55"/>
      <c r="AA128" s="55"/>
      <c r="AB128" s="55"/>
      <c r="AC128" s="55"/>
      <c r="AD128" s="55"/>
      <c r="AE128" s="55"/>
      <c r="AF128" s="55"/>
      <c r="AG128" s="55"/>
      <c r="AH128" s="55"/>
      <c r="AI128" s="55"/>
      <c r="AJ128" s="55"/>
      <c r="AK128" s="55"/>
      <c r="AL128" s="55"/>
      <c r="AM128" s="55"/>
      <c r="AN128" s="55"/>
      <c r="AO128" s="55"/>
      <c r="AP128" s="55"/>
      <c r="AQ128" s="55"/>
      <c r="AR128" s="55"/>
      <c r="AS128" s="55"/>
      <c r="AT128" s="55"/>
      <c r="AU128" s="55"/>
      <c r="AV128" s="55"/>
      <c r="AW128" s="186"/>
      <c r="AX128" s="186"/>
      <c r="AY128" s="186"/>
      <c r="AZ128" s="186"/>
      <c r="BA128" s="186"/>
      <c r="BB128" s="186"/>
      <c r="BC128" s="186"/>
      <c r="BD128" s="186"/>
      <c r="BE128" s="186"/>
      <c r="BF128" s="186"/>
      <c r="BG128" s="186"/>
      <c r="BH128" s="186"/>
      <c r="BI128" s="186"/>
      <c r="BJ128" s="186"/>
      <c r="BK128" s="186"/>
      <c r="BL128" s="186"/>
      <c r="BM128" s="186"/>
      <c r="BN128" s="186"/>
      <c r="BO128" s="186"/>
      <c r="BP128" s="186"/>
      <c r="BQ128" s="186"/>
      <c r="BR128" s="186"/>
      <c r="BS128" s="186"/>
      <c r="BT128" s="186"/>
      <c r="BU128" s="186"/>
      <c r="BV128" s="186"/>
      <c r="BW128" s="186"/>
      <c r="BX128" s="186"/>
      <c r="BY128" s="186"/>
      <c r="BZ128" s="186"/>
      <c r="CA128" s="186"/>
      <c r="CB128" s="186"/>
      <c r="CC128" s="186"/>
      <c r="CD128" s="186"/>
      <c r="CE128" s="186"/>
      <c r="CF128" s="186"/>
      <c r="CG128" s="186"/>
      <c r="CH128" s="186"/>
      <c r="CI128" s="186"/>
      <c r="CJ128" s="186"/>
      <c r="CK128" s="186"/>
      <c r="CL128" s="186"/>
      <c r="CM128" s="186"/>
      <c r="CN128" s="186"/>
      <c r="CO128" s="186"/>
      <c r="CP128" s="186"/>
      <c r="CQ128" s="186"/>
      <c r="CR128" s="186"/>
      <c r="CS128" s="186"/>
      <c r="CT128" s="186"/>
      <c r="CU128" s="186"/>
      <c r="CV128" s="186"/>
      <c r="CW128" s="186"/>
      <c r="CX128" s="186"/>
      <c r="DO128" s="89"/>
      <c r="DQ128" s="55">
        <f ca="1"/>
        <v>0</v>
      </c>
      <c r="DR128" s="55">
        <f ca="1"/>
        <v>0</v>
      </c>
      <c r="DS128" s="55">
        <f ca="1"/>
        <v>0</v>
      </c>
      <c r="DT128" s="55">
        <f ca="1"/>
        <v>0</v>
      </c>
      <c r="DU128" s="55">
        <f ca="1"/>
        <v>0</v>
      </c>
      <c r="DV128" s="55">
        <f ca="1"/>
        <v>0</v>
      </c>
      <c r="DW128" s="55">
        <f ca="1"/>
        <v>0</v>
      </c>
      <c r="DX128" s="55">
        <f ca="1"/>
        <v>0</v>
      </c>
      <c r="DY128" s="55">
        <f ca="1"/>
        <v>0</v>
      </c>
      <c r="DZ128" s="55">
        <f ca="1"/>
        <v>0</v>
      </c>
      <c r="EA128" s="55">
        <f ca="1"/>
        <v>0</v>
      </c>
      <c r="EB128" s="55">
        <f ca="1"/>
        <v>0</v>
      </c>
      <c r="EC128" s="186">
        <f ca="1"/>
        <v>0</v>
      </c>
    </row>
    <row r="129" spans="1:133" x14ac:dyDescent="0.3">
      <c r="A129" t="str">
        <f>A130</f>
        <v>Defenses: Vulnerability to known threats</v>
      </c>
      <c r="B129" s="57" t="str">
        <f t="shared" ref="B129:N129" si="257">C$1</f>
        <v>Apr</v>
      </c>
      <c r="C129" s="57" t="str">
        <f t="shared" si="257"/>
        <v>May</v>
      </c>
      <c r="D129" s="57" t="str">
        <f t="shared" si="257"/>
        <v>Jun</v>
      </c>
      <c r="E129" s="57" t="str">
        <f t="shared" si="257"/>
        <v>Jul</v>
      </c>
      <c r="F129" s="57" t="str">
        <f t="shared" si="257"/>
        <v>Aug</v>
      </c>
      <c r="G129" s="57" t="str">
        <f t="shared" si="257"/>
        <v>Sep</v>
      </c>
      <c r="H129" s="57" t="str">
        <f t="shared" si="257"/>
        <v>Oct</v>
      </c>
      <c r="I129" s="57" t="str">
        <f t="shared" si="257"/>
        <v>Nov</v>
      </c>
      <c r="J129" s="57" t="str">
        <f t="shared" si="257"/>
        <v>Dec 2011</v>
      </c>
      <c r="K129" s="57" t="str">
        <f t="shared" si="257"/>
        <v>Jan 2012</v>
      </c>
      <c r="L129" s="57" t="str">
        <f t="shared" si="257"/>
        <v>Feb</v>
      </c>
      <c r="M129" s="57" t="str">
        <f t="shared" si="257"/>
        <v>Mar</v>
      </c>
      <c r="N129" s="57" t="str">
        <f t="shared" si="257"/>
        <v>Apr</v>
      </c>
      <c r="O129" s="57" t="str">
        <f t="shared" ref="O129:AD129" si="258">P$1</f>
        <v>May</v>
      </c>
      <c r="P129" s="57" t="str">
        <f t="shared" si="258"/>
        <v>Jun</v>
      </c>
      <c r="Q129" s="57" t="str">
        <f t="shared" si="258"/>
        <v>Jul</v>
      </c>
      <c r="R129" s="57" t="str">
        <f t="shared" si="258"/>
        <v>Aug</v>
      </c>
      <c r="S129" s="57" t="str">
        <f t="shared" si="258"/>
        <v>Sep</v>
      </c>
      <c r="T129" s="57" t="str">
        <f t="shared" si="258"/>
        <v>Oct</v>
      </c>
      <c r="U129" s="57" t="str">
        <f t="shared" si="258"/>
        <v>Nov</v>
      </c>
      <c r="V129" s="57" t="str">
        <f t="shared" si="258"/>
        <v>Dec 2012</v>
      </c>
      <c r="W129" s="57" t="str">
        <f t="shared" si="258"/>
        <v>Jan 2013</v>
      </c>
      <c r="X129" s="57" t="str">
        <f t="shared" si="258"/>
        <v>Feb</v>
      </c>
      <c r="Y129" s="57" t="str">
        <f t="shared" si="258"/>
        <v>Mar</v>
      </c>
      <c r="Z129" s="57" t="str">
        <f t="shared" si="258"/>
        <v>Apr</v>
      </c>
      <c r="AA129" s="57" t="str">
        <f t="shared" si="258"/>
        <v>May</v>
      </c>
      <c r="AB129" s="57" t="str">
        <f t="shared" si="258"/>
        <v>Jun</v>
      </c>
      <c r="AC129" s="57" t="str">
        <f t="shared" si="258"/>
        <v>Jul</v>
      </c>
      <c r="AD129" s="57" t="str">
        <f t="shared" si="258"/>
        <v>Aug</v>
      </c>
      <c r="AE129" s="57" t="str">
        <f>AF$1</f>
        <v>Sep</v>
      </c>
      <c r="AF129" s="57" t="str">
        <f t="shared" ref="AF129:AK129" si="259">AG$1</f>
        <v>Oct</v>
      </c>
      <c r="AG129" s="57" t="str">
        <f t="shared" si="259"/>
        <v>Nov</v>
      </c>
      <c r="AH129" s="57" t="str">
        <f t="shared" si="259"/>
        <v>Dec 2013</v>
      </c>
      <c r="AI129" s="57" t="str">
        <f t="shared" si="259"/>
        <v>Jan 2014</v>
      </c>
      <c r="AJ129" s="57" t="str">
        <f t="shared" si="259"/>
        <v>Feb</v>
      </c>
      <c r="AK129" s="57" t="str">
        <f t="shared" si="259"/>
        <v>Mar</v>
      </c>
      <c r="AL129" s="57" t="str">
        <f t="shared" ref="AL129:CI129" si="260">AM$1</f>
        <v>Apr</v>
      </c>
      <c r="AM129" s="57" t="str">
        <f t="shared" si="260"/>
        <v>May</v>
      </c>
      <c r="AN129" s="57" t="str">
        <f t="shared" si="260"/>
        <v>Jun</v>
      </c>
      <c r="AO129" s="57" t="str">
        <f t="shared" si="260"/>
        <v>Jul</v>
      </c>
      <c r="AP129" s="57" t="str">
        <f t="shared" si="260"/>
        <v>Aug</v>
      </c>
      <c r="AQ129" s="57" t="str">
        <f t="shared" si="260"/>
        <v>Sep</v>
      </c>
      <c r="AR129" s="57" t="str">
        <f t="shared" si="260"/>
        <v>Oct</v>
      </c>
      <c r="AS129" s="57" t="str">
        <f t="shared" si="260"/>
        <v>Nov</v>
      </c>
      <c r="AT129" s="57" t="str">
        <f t="shared" si="260"/>
        <v>Dec '14</v>
      </c>
      <c r="AU129" s="57" t="str">
        <f t="shared" si="260"/>
        <v>Jan '15</v>
      </c>
      <c r="AV129" s="57" t="str">
        <f t="shared" si="260"/>
        <v>Feb</v>
      </c>
      <c r="AW129" s="57" t="str">
        <f t="shared" si="260"/>
        <v>Mar</v>
      </c>
      <c r="AX129" s="57" t="str">
        <f t="shared" si="260"/>
        <v>Apr</v>
      </c>
      <c r="AY129" s="57" t="str">
        <f t="shared" si="260"/>
        <v>May</v>
      </c>
      <c r="AZ129" s="57" t="str">
        <f t="shared" si="260"/>
        <v>Jun</v>
      </c>
      <c r="BA129" s="57" t="str">
        <f t="shared" si="260"/>
        <v>Jul</v>
      </c>
      <c r="BB129" s="57" t="str">
        <f t="shared" si="260"/>
        <v>Aug</v>
      </c>
      <c r="BC129" s="57" t="str">
        <f t="shared" si="260"/>
        <v>Sep</v>
      </c>
      <c r="BD129" s="57" t="str">
        <f t="shared" si="260"/>
        <v>Oct</v>
      </c>
      <c r="BE129" s="57" t="str">
        <f t="shared" si="260"/>
        <v>Nov</v>
      </c>
      <c r="BF129" s="57" t="str">
        <f t="shared" si="260"/>
        <v>Dec '15</v>
      </c>
      <c r="BG129" s="57" t="str">
        <f t="shared" si="260"/>
        <v>Jan '16</v>
      </c>
      <c r="BH129" s="57" t="str">
        <f t="shared" si="260"/>
        <v>Feb</v>
      </c>
      <c r="BI129" s="57" t="str">
        <f t="shared" si="260"/>
        <v>Mar</v>
      </c>
      <c r="BJ129" s="57" t="str">
        <f t="shared" si="260"/>
        <v>Apr</v>
      </c>
      <c r="BK129" s="57" t="str">
        <f t="shared" si="260"/>
        <v>May</v>
      </c>
      <c r="BL129" s="57" t="str">
        <f t="shared" si="260"/>
        <v>Jun</v>
      </c>
      <c r="BM129" s="57" t="str">
        <f t="shared" si="260"/>
        <v>Jul</v>
      </c>
      <c r="BN129" s="57" t="str">
        <f t="shared" si="260"/>
        <v>Aug</v>
      </c>
      <c r="BO129" s="57" t="str">
        <f t="shared" si="260"/>
        <v>Sep</v>
      </c>
      <c r="BP129" s="57" t="str">
        <f t="shared" si="260"/>
        <v>Oct</v>
      </c>
      <c r="BQ129" s="57" t="str">
        <f t="shared" si="260"/>
        <v>Nov</v>
      </c>
      <c r="BR129" s="57" t="str">
        <f t="shared" si="260"/>
        <v>Dec-16</v>
      </c>
      <c r="BS129" s="57" t="str">
        <f t="shared" si="260"/>
        <v>Jan-17</v>
      </c>
      <c r="BT129" s="57" t="str">
        <f t="shared" si="260"/>
        <v>Feb</v>
      </c>
      <c r="BU129" s="57" t="str">
        <f t="shared" si="260"/>
        <v>Mar</v>
      </c>
      <c r="BV129" s="57" t="str">
        <f t="shared" si="260"/>
        <v>Apr</v>
      </c>
      <c r="BW129" s="57" t="str">
        <f t="shared" si="260"/>
        <v>May</v>
      </c>
      <c r="BX129" s="57" t="str">
        <f t="shared" si="260"/>
        <v>Jun</v>
      </c>
      <c r="BY129" s="57" t="str">
        <f t="shared" si="260"/>
        <v>Jul</v>
      </c>
      <c r="BZ129" s="57" t="str">
        <f t="shared" si="260"/>
        <v>Aug</v>
      </c>
      <c r="CA129" s="57" t="str">
        <f t="shared" si="260"/>
        <v>Sep</v>
      </c>
      <c r="CB129" s="57" t="str">
        <f t="shared" si="260"/>
        <v>Oct</v>
      </c>
      <c r="CC129" s="57" t="str">
        <f t="shared" si="260"/>
        <v>Nov</v>
      </c>
      <c r="CD129" s="57" t="str">
        <f t="shared" si="260"/>
        <v>Dec</v>
      </c>
      <c r="CE129" s="57" t="str">
        <f t="shared" si="260"/>
        <v>Jan '18</v>
      </c>
      <c r="CF129" s="57" t="str">
        <f t="shared" si="260"/>
        <v>Feb</v>
      </c>
      <c r="CG129" s="57" t="str">
        <f t="shared" si="260"/>
        <v>Mar</v>
      </c>
      <c r="CH129" s="57" t="str">
        <f t="shared" si="260"/>
        <v>Apr</v>
      </c>
      <c r="CI129" s="57" t="str">
        <f t="shared" si="260"/>
        <v>May</v>
      </c>
      <c r="CJ129" s="57" t="str">
        <f t="shared" ref="CJ129:CO129" si="261">CK$1</f>
        <v>Jun</v>
      </c>
      <c r="CK129" s="57" t="str">
        <f t="shared" si="261"/>
        <v>Jul</v>
      </c>
      <c r="CL129" s="57" t="str">
        <f t="shared" si="261"/>
        <v>Aug</v>
      </c>
      <c r="CM129" s="57" t="str">
        <f t="shared" si="261"/>
        <v>Sep</v>
      </c>
      <c r="CN129" s="57" t="str">
        <f t="shared" si="261"/>
        <v>Oct</v>
      </c>
      <c r="CO129" s="57" t="str">
        <f t="shared" si="261"/>
        <v>Nov</v>
      </c>
      <c r="CP129" s="57" t="str">
        <f t="shared" ref="CP129:CX129" si="262">CQ$1</f>
        <v>Dec-18</v>
      </c>
      <c r="CQ129" s="57" t="str">
        <f t="shared" si="262"/>
        <v>Jan-19</v>
      </c>
      <c r="CR129" s="57" t="str">
        <f t="shared" si="262"/>
        <v>Feb-19</v>
      </c>
      <c r="CS129" s="57" t="str">
        <f t="shared" si="262"/>
        <v>Mar-19</v>
      </c>
      <c r="CT129" s="57" t="str">
        <f t="shared" si="262"/>
        <v>Apr-19</v>
      </c>
      <c r="CU129" s="57" t="str">
        <f t="shared" si="262"/>
        <v>May-19</v>
      </c>
      <c r="CV129" s="57" t="str">
        <f t="shared" si="262"/>
        <v>June-19</v>
      </c>
      <c r="CW129" s="57" t="str">
        <f t="shared" si="262"/>
        <v>July-19</v>
      </c>
      <c r="CX129" s="57" t="str">
        <f t="shared" si="262"/>
        <v>Aug-19</v>
      </c>
      <c r="DO129" s="89"/>
      <c r="DQ129" s="57" t="str">
        <f ca="1"/>
        <v>Aug</v>
      </c>
      <c r="DR129" s="57" t="str">
        <f ca="1"/>
        <v>Sep</v>
      </c>
      <c r="DS129" s="57" t="str">
        <f ca="1"/>
        <v>Oct</v>
      </c>
      <c r="DT129" s="57" t="str">
        <f ca="1"/>
        <v>Nov</v>
      </c>
      <c r="DU129" s="57" t="str">
        <f ca="1"/>
        <v>Dec-18</v>
      </c>
      <c r="DV129" s="57" t="str">
        <f ca="1"/>
        <v>Jan-19</v>
      </c>
      <c r="DW129" s="57" t="str">
        <f ca="1"/>
        <v>Feb-19</v>
      </c>
      <c r="DX129" s="57" t="str">
        <f ca="1"/>
        <v>Mar-19</v>
      </c>
      <c r="DY129" s="57" t="str">
        <f ca="1"/>
        <v>Apr-19</v>
      </c>
      <c r="DZ129" s="57" t="str">
        <f ca="1"/>
        <v>May-19</v>
      </c>
      <c r="EA129" s="57" t="str">
        <f ca="1"/>
        <v>June-19</v>
      </c>
      <c r="EB129" s="57" t="str">
        <f ca="1"/>
        <v>July-19</v>
      </c>
      <c r="EC129" s="57" t="str">
        <f ca="1"/>
        <v>Aug-19</v>
      </c>
    </row>
    <row r="130" spans="1:133" x14ac:dyDescent="0.3">
      <c r="A130" t="str">
        <f>A22</f>
        <v>Defenses: Vulnerability to known threats</v>
      </c>
      <c r="B130">
        <f t="shared" ref="B130:AD130" si="263">C22</f>
        <v>1010.6193697555466</v>
      </c>
      <c r="C130" s="56">
        <f t="shared" si="263"/>
        <v>1013.8730154304494</v>
      </c>
      <c r="D130" s="56">
        <f t="shared" si="263"/>
        <v>1013.8730154304494</v>
      </c>
      <c r="E130" s="56">
        <f t="shared" si="263"/>
        <v>1008.7308133854847</v>
      </c>
      <c r="F130" s="56">
        <f t="shared" si="263"/>
        <v>1012.4584122392997</v>
      </c>
      <c r="G130" s="56">
        <f t="shared" si="263"/>
        <v>1017.9960014561888</v>
      </c>
      <c r="H130" s="56">
        <f t="shared" si="263"/>
        <v>1022.564412661091</v>
      </c>
      <c r="I130" s="56">
        <f t="shared" si="263"/>
        <v>1018.464137607309</v>
      </c>
      <c r="J130" s="56">
        <f t="shared" si="263"/>
        <v>1021.4062563276769</v>
      </c>
      <c r="K130" s="56">
        <f t="shared" si="263"/>
        <v>1023.9210016892142</v>
      </c>
      <c r="L130" s="56">
        <f t="shared" si="263"/>
        <v>1019.9565889205263</v>
      </c>
      <c r="M130" s="56">
        <f t="shared" si="263"/>
        <v>1019.9565889205263</v>
      </c>
      <c r="N130" s="56">
        <f t="shared" si="263"/>
        <v>1029.271196522438</v>
      </c>
      <c r="O130" s="56">
        <f t="shared" si="263"/>
        <v>1038.6301689737084</v>
      </c>
      <c r="P130" s="56">
        <f t="shared" si="263"/>
        <v>1061.0655801529399</v>
      </c>
      <c r="Q130" s="56">
        <f t="shared" si="263"/>
        <v>1072.6398119144401</v>
      </c>
      <c r="R130" s="56">
        <f t="shared" si="263"/>
        <v>1088.2226847846321</v>
      </c>
      <c r="S130" s="56">
        <f t="shared" si="263"/>
        <v>1109.1207009991726</v>
      </c>
      <c r="T130" s="56">
        <f t="shared" si="263"/>
        <v>1124.8278932064832</v>
      </c>
      <c r="U130" s="56">
        <f t="shared" si="263"/>
        <v>1137.7906702325708</v>
      </c>
      <c r="V130" s="56">
        <f t="shared" si="263"/>
        <v>1146.5019132788304</v>
      </c>
      <c r="W130" s="56">
        <f t="shared" si="263"/>
        <v>1160.530994518605</v>
      </c>
      <c r="X130" s="56">
        <f t="shared" si="263"/>
        <v>1183.2610234404865</v>
      </c>
      <c r="Y130" s="56">
        <f t="shared" si="263"/>
        <v>1201.7808628249968</v>
      </c>
      <c r="Z130" s="56">
        <f t="shared" si="263"/>
        <v>1204.9476089866916</v>
      </c>
      <c r="AA130" s="56">
        <f t="shared" si="263"/>
        <v>1214.2045234964073</v>
      </c>
      <c r="AB130" s="56">
        <f t="shared" si="263"/>
        <v>1214.2045234964073</v>
      </c>
      <c r="AC130" s="56">
        <f t="shared" si="263"/>
        <v>1228.1607445525708</v>
      </c>
      <c r="AD130" s="56">
        <f t="shared" si="263"/>
        <v>1235.1323100553905</v>
      </c>
      <c r="AE130" s="56">
        <f>AF22</f>
        <v>1241.4825907559634</v>
      </c>
      <c r="AF130" s="56">
        <f t="shared" ref="AF130:AK130" si="264">AG22</f>
        <v>1247.1963844860604</v>
      </c>
      <c r="AG130" s="56">
        <f t="shared" si="264"/>
        <v>1255.5388042172435</v>
      </c>
      <c r="AH130" s="56">
        <f t="shared" si="264"/>
        <v>1274.1870867652169</v>
      </c>
      <c r="AI130" s="56">
        <f t="shared" si="264"/>
        <v>1276.1795603028693</v>
      </c>
      <c r="AJ130" s="56">
        <f t="shared" si="264"/>
        <v>1292.6076264795395</v>
      </c>
      <c r="AK130" s="56">
        <f t="shared" si="264"/>
        <v>1295.7641758932257</v>
      </c>
      <c r="AL130" s="56">
        <f t="shared" ref="AL130:CI130" si="265">AM22</f>
        <v>1330.8858915546882</v>
      </c>
      <c r="AM130" s="56">
        <f t="shared" si="265"/>
        <v>1326.3565054918492</v>
      </c>
      <c r="AN130" s="56">
        <f t="shared" si="265"/>
        <v>1328.7849878878758</v>
      </c>
      <c r="AO130" s="56">
        <f t="shared" si="265"/>
        <v>1320.2701969746945</v>
      </c>
      <c r="AP130" s="56">
        <f t="shared" si="265"/>
        <v>1328.9431859932768</v>
      </c>
      <c r="AQ130" s="56">
        <f t="shared" si="265"/>
        <v>1358.5362575122685</v>
      </c>
      <c r="AR130" s="56">
        <f t="shared" si="265"/>
        <v>1367.5563840697255</v>
      </c>
      <c r="AS130" s="56">
        <f t="shared" si="265"/>
        <v>1374.7730237471837</v>
      </c>
      <c r="AT130" s="56">
        <f t="shared" si="265"/>
        <v>1390.2350789365973</v>
      </c>
      <c r="AU130" s="56">
        <f t="shared" si="265"/>
        <v>1396.5687130132878</v>
      </c>
      <c r="AV130" s="56">
        <f t="shared" si="265"/>
        <v>1383.7646367888483</v>
      </c>
      <c r="AW130" s="56">
        <f t="shared" si="265"/>
        <v>1386.3616294025651</v>
      </c>
      <c r="AX130" s="56">
        <f t="shared" si="265"/>
        <v>1396.4309005324685</v>
      </c>
      <c r="AY130" s="56">
        <f t="shared" si="265"/>
        <v>1404.1153068161227</v>
      </c>
      <c r="AZ130" s="56">
        <f t="shared" si="265"/>
        <v>1404.1153068161227</v>
      </c>
      <c r="BA130" s="56">
        <f t="shared" si="265"/>
        <v>1430.9325269898475</v>
      </c>
      <c r="BB130" s="56">
        <f t="shared" si="265"/>
        <v>1431.9850701766777</v>
      </c>
      <c r="BC130" s="56">
        <f t="shared" si="265"/>
        <v>1423.0630737697832</v>
      </c>
      <c r="BD130" s="56">
        <f t="shared" si="265"/>
        <v>1434.342246715112</v>
      </c>
      <c r="BE130" s="56">
        <f t="shared" si="265"/>
        <v>1442.332990711204</v>
      </c>
      <c r="BF130" s="56">
        <f t="shared" si="265"/>
        <v>1435.1393249089513</v>
      </c>
      <c r="BG130" s="56">
        <f t="shared" si="265"/>
        <v>1422.5320330654363</v>
      </c>
      <c r="BH130" s="56">
        <f t="shared" si="265"/>
        <v>1433.6890900800547</v>
      </c>
      <c r="BI130" s="56">
        <f t="shared" si="265"/>
        <v>1432.52821051664</v>
      </c>
      <c r="BJ130" s="56">
        <f t="shared" si="265"/>
        <v>1444.8597979104768</v>
      </c>
      <c r="BK130" s="56">
        <f t="shared" si="265"/>
        <v>1448.3596584489351</v>
      </c>
      <c r="BL130" s="56">
        <f t="shared" si="265"/>
        <v>1452.1102640168131</v>
      </c>
      <c r="BM130" s="56">
        <f t="shared" si="265"/>
        <v>1459.6406374904568</v>
      </c>
      <c r="BN130" s="56">
        <f t="shared" si="265"/>
        <v>1461.8538904973398</v>
      </c>
      <c r="BO130" s="56">
        <f t="shared" si="265"/>
        <v>1458.5352678821971</v>
      </c>
      <c r="BP130" s="56">
        <f t="shared" si="265"/>
        <v>1465.388200964215</v>
      </c>
      <c r="BQ130" s="56">
        <f t="shared" si="265"/>
        <v>1456.7935734691187</v>
      </c>
      <c r="BR130" s="56">
        <f t="shared" si="265"/>
        <v>1442.2982352199574</v>
      </c>
      <c r="BS130" s="56">
        <f t="shared" si="265"/>
        <v>1445.7918909265072</v>
      </c>
      <c r="BT130" s="56">
        <f t="shared" si="265"/>
        <v>1445.7918909265072</v>
      </c>
      <c r="BU130" s="56">
        <f t="shared" si="265"/>
        <v>1445.7918909265072</v>
      </c>
      <c r="BV130" s="56">
        <f t="shared" si="265"/>
        <v>1458.6745203654607</v>
      </c>
      <c r="BW130" s="56">
        <f t="shared" si="265"/>
        <v>1476.4269336494103</v>
      </c>
      <c r="BX130" s="56">
        <f t="shared" si="265"/>
        <v>1483.8275544517094</v>
      </c>
      <c r="BY130" s="56">
        <f t="shared" si="265"/>
        <v>1492.4128394676004</v>
      </c>
      <c r="BZ130" s="56">
        <f t="shared" si="265"/>
        <v>1499.0115590555231</v>
      </c>
      <c r="CA130" s="56">
        <f t="shared" si="265"/>
        <v>1488.6378181853634</v>
      </c>
      <c r="CB130" s="56">
        <f t="shared" si="265"/>
        <v>1500.6482780502477</v>
      </c>
      <c r="CC130" s="56">
        <f t="shared" si="265"/>
        <v>1500.6482780502477</v>
      </c>
      <c r="CD130" s="56">
        <f t="shared" si="265"/>
        <v>1500.6482780502477</v>
      </c>
      <c r="CE130" s="56">
        <f t="shared" si="265"/>
        <v>1515.4594020651157</v>
      </c>
      <c r="CF130" s="56">
        <f t="shared" si="265"/>
        <v>1512.4315121601869</v>
      </c>
      <c r="CG130" s="56">
        <f t="shared" si="265"/>
        <v>1520.8572927247433</v>
      </c>
      <c r="CH130" s="56">
        <f t="shared" ca="1" si="265"/>
        <v>1380.2738490361658</v>
      </c>
      <c r="CI130" s="56">
        <f t="shared" si="265"/>
        <v>1544.4592834711309</v>
      </c>
      <c r="CJ130" s="56">
        <f t="shared" ref="CJ130:CO130" si="266">CK22</f>
        <v>1531.6422678464328</v>
      </c>
      <c r="CK130" s="56">
        <f t="shared" si="266"/>
        <v>1547.0355285514634</v>
      </c>
      <c r="CL130" s="56">
        <f t="shared" si="266"/>
        <v>1539.6157081396257</v>
      </c>
      <c r="CM130" s="56">
        <f t="shared" si="266"/>
        <v>1559.8291926519641</v>
      </c>
      <c r="CN130" s="56">
        <f t="shared" si="266"/>
        <v>1564.168074955945</v>
      </c>
      <c r="CO130" s="56">
        <f t="shared" si="266"/>
        <v>1551.187501838273</v>
      </c>
      <c r="CP130" s="56">
        <f t="shared" ref="CP130:CX130" si="267">CQ22</f>
        <v>1537.7573912764863</v>
      </c>
      <c r="CQ130" s="56">
        <f t="shared" si="267"/>
        <v>1525.5044094228558</v>
      </c>
      <c r="CR130" s="56">
        <f t="shared" si="267"/>
        <v>1531.8739384323817</v>
      </c>
      <c r="CS130" s="56">
        <f t="shared" si="267"/>
        <v>1544.1539929116939</v>
      </c>
      <c r="CT130" s="56">
        <f t="shared" si="267"/>
        <v>1511.6445006887748</v>
      </c>
      <c r="CU130" s="56">
        <f t="shared" si="267"/>
        <v>1504.3944210916018</v>
      </c>
      <c r="CV130" s="56">
        <f t="shared" si="267"/>
        <v>1518.1330878772185</v>
      </c>
      <c r="CW130" s="56">
        <f t="shared" si="267"/>
        <v>1515.4245549872601</v>
      </c>
      <c r="CX130" s="56">
        <f t="shared" si="267"/>
        <v>1515.4245549872601</v>
      </c>
      <c r="CZ130" t="str">
        <f>A138</f>
        <v>Overall: False claims of digital identity</v>
      </c>
      <c r="DG130" t="str">
        <f>A143</f>
        <v>Overall: Media &amp; public perception</v>
      </c>
      <c r="DO130" s="89"/>
      <c r="DQ130" s="56">
        <f ca="1"/>
        <v>1539.6157081396257</v>
      </c>
      <c r="DR130" s="56">
        <f ca="1"/>
        <v>1559.8291926519641</v>
      </c>
      <c r="DS130" s="56">
        <f ca="1"/>
        <v>1564.168074955945</v>
      </c>
      <c r="DT130" s="56">
        <f ca="1"/>
        <v>1551.187501838273</v>
      </c>
      <c r="DU130" s="56">
        <f ca="1"/>
        <v>1537.7573912764863</v>
      </c>
      <c r="DV130" s="56">
        <f ca="1"/>
        <v>1525.5044094228558</v>
      </c>
      <c r="DW130" s="56">
        <f ca="1"/>
        <v>1531.8739384323817</v>
      </c>
      <c r="DX130" s="56">
        <f ca="1"/>
        <v>1544.1539929116939</v>
      </c>
      <c r="DY130" s="56">
        <f ca="1"/>
        <v>1511.6445006887748</v>
      </c>
      <c r="DZ130" s="56">
        <f ca="1"/>
        <v>1504.3944210916018</v>
      </c>
      <c r="EA130" s="56">
        <f ca="1"/>
        <v>1518.1330878772185</v>
      </c>
      <c r="EB130" s="56">
        <f ca="1"/>
        <v>1515.4245549872601</v>
      </c>
      <c r="EC130" s="56">
        <f ca="1"/>
        <v>1515.4245549872601</v>
      </c>
    </row>
    <row r="131" spans="1:133" x14ac:dyDescent="0.3">
      <c r="A131" t="s">
        <v>108</v>
      </c>
      <c r="C131" s="55">
        <f t="shared" ref="C131:N131" si="268">LN(C130)-LN(B130)</f>
        <v>3.2142857142849479E-3</v>
      </c>
      <c r="D131" s="55">
        <f t="shared" si="268"/>
        <v>0</v>
      </c>
      <c r="E131" s="55">
        <f t="shared" si="268"/>
        <v>-5.0847457627112291E-3</v>
      </c>
      <c r="F131" s="55">
        <f t="shared" si="268"/>
        <v>3.6885245901636665E-3</v>
      </c>
      <c r="G131" s="55">
        <f t="shared" si="268"/>
        <v>5.4545454545449346E-3</v>
      </c>
      <c r="H131" s="55">
        <f t="shared" si="268"/>
        <v>4.4776119402989423E-3</v>
      </c>
      <c r="I131" s="55">
        <f t="shared" si="268"/>
        <v>-4.0178571428572951E-3</v>
      </c>
      <c r="J131" s="55">
        <f t="shared" si="268"/>
        <v>2.8846153846151523E-3</v>
      </c>
      <c r="K131" s="55">
        <f t="shared" si="268"/>
        <v>2.4590163934430365E-3</v>
      </c>
      <c r="L131" s="55">
        <f t="shared" si="268"/>
        <v>-3.8793103448275801E-3</v>
      </c>
      <c r="M131" s="55">
        <f t="shared" si="268"/>
        <v>0</v>
      </c>
      <c r="N131" s="55">
        <f t="shared" si="268"/>
        <v>9.0909090909088164E-3</v>
      </c>
      <c r="O131" s="55">
        <f t="shared" ref="O131:AD131" si="269">LN(O130)-LN(N130)</f>
        <v>9.0517241379313162E-3</v>
      </c>
      <c r="P131" s="55">
        <f t="shared" si="269"/>
        <v>2.1370967741935587E-2</v>
      </c>
      <c r="Q131" s="55">
        <f t="shared" si="269"/>
        <v>1.0849056603773555E-2</v>
      </c>
      <c r="R131" s="55">
        <f t="shared" si="269"/>
        <v>1.442307692307665E-2</v>
      </c>
      <c r="S131" s="55">
        <f t="shared" si="269"/>
        <v>1.9021739130435478E-2</v>
      </c>
      <c r="T131" s="55">
        <f t="shared" si="269"/>
        <v>1.4062499999999645E-2</v>
      </c>
      <c r="U131" s="55">
        <f t="shared" si="269"/>
        <v>1.145833333333357E-2</v>
      </c>
      <c r="V131" s="55">
        <f t="shared" si="269"/>
        <v>7.6271186440672878E-3</v>
      </c>
      <c r="W131" s="55">
        <f t="shared" si="269"/>
        <v>1.2162162162161927E-2</v>
      </c>
      <c r="X131" s="55">
        <f t="shared" si="269"/>
        <v>1.93965517241379E-2</v>
      </c>
      <c r="Y131" s="55">
        <f t="shared" si="269"/>
        <v>1.5530303030303116E-2</v>
      </c>
      <c r="Z131" s="55">
        <f t="shared" si="269"/>
        <v>2.6315789473683182E-3</v>
      </c>
      <c r="AA131" s="55">
        <f t="shared" si="269"/>
        <v>7.6530612244898322E-3</v>
      </c>
      <c r="AB131" s="55">
        <f t="shared" si="269"/>
        <v>0</v>
      </c>
      <c r="AC131" s="55">
        <f t="shared" si="269"/>
        <v>1.1428571428571566E-2</v>
      </c>
      <c r="AD131" s="55">
        <f t="shared" si="269"/>
        <v>5.6603773584908978E-3</v>
      </c>
      <c r="AE131" s="55">
        <f>LN(AE130)-LN(AD130)</f>
        <v>5.12820512820511E-3</v>
      </c>
      <c r="AF131" s="55">
        <f t="shared" ref="AF131:CI131" si="270">LN(AF130)-LN(AE130)</f>
        <v>4.591836734693544E-3</v>
      </c>
      <c r="AG131" s="55">
        <f t="shared" si="270"/>
        <v>6.6666666666668206E-3</v>
      </c>
      <c r="AH131" s="55">
        <f t="shared" si="270"/>
        <v>1.4743589743590135E-2</v>
      </c>
      <c r="AI131" s="55">
        <f t="shared" si="270"/>
        <v>1.5625000000003553E-3</v>
      </c>
      <c r="AJ131" s="55">
        <f t="shared" si="270"/>
        <v>1.2790697674418539E-2</v>
      </c>
      <c r="AK131" s="55">
        <f t="shared" si="270"/>
        <v>2.4390243902434605E-3</v>
      </c>
      <c r="AL131" s="55">
        <f t="shared" si="270"/>
        <v>2.6744186046512297E-2</v>
      </c>
      <c r="AM131" s="55">
        <f t="shared" si="270"/>
        <v>-3.4090909090913613E-3</v>
      </c>
      <c r="AN131" s="55">
        <f t="shared" si="270"/>
        <v>1.8292682926830395E-3</v>
      </c>
      <c r="AO131" s="55">
        <f t="shared" si="270"/>
        <v>-6.4285714285716722E-3</v>
      </c>
      <c r="AP131" s="55">
        <f t="shared" si="270"/>
        <v>6.5476190476188023E-3</v>
      </c>
      <c r="AQ131" s="55">
        <f t="shared" si="270"/>
        <v>2.2023809523809668E-2</v>
      </c>
      <c r="AR131" s="55">
        <f t="shared" si="270"/>
        <v>6.6176470588237279E-3</v>
      </c>
      <c r="AS131" s="55">
        <f t="shared" si="270"/>
        <v>5.2631578947366364E-3</v>
      </c>
      <c r="AT131" s="55">
        <f t="shared" si="270"/>
        <v>1.1184210526316463E-2</v>
      </c>
      <c r="AU131" s="55">
        <f t="shared" si="270"/>
        <v>4.5454545454539641E-3</v>
      </c>
      <c r="AV131" s="55">
        <f t="shared" si="270"/>
        <v>-9.2105263157895578E-3</v>
      </c>
      <c r="AW131" s="186">
        <f t="shared" si="270"/>
        <v>1.8750000000000711E-3</v>
      </c>
      <c r="AX131" s="186">
        <f t="shared" si="270"/>
        <v>7.2368421052635412E-3</v>
      </c>
      <c r="AY131" s="186">
        <f t="shared" si="270"/>
        <v>5.4878048780491184E-3</v>
      </c>
      <c r="AZ131" s="186">
        <f t="shared" si="270"/>
        <v>0</v>
      </c>
      <c r="BA131" s="186">
        <f t="shared" si="270"/>
        <v>1.8918918918918948E-2</v>
      </c>
      <c r="BB131" s="186">
        <f t="shared" si="270"/>
        <v>7.3529411764639008E-4</v>
      </c>
      <c r="BC131" s="186">
        <f t="shared" si="270"/>
        <v>-6.2499999999996447E-3</v>
      </c>
      <c r="BD131" s="186">
        <f t="shared" si="270"/>
        <v>7.8947368421049546E-3</v>
      </c>
      <c r="BE131" s="186">
        <f t="shared" si="270"/>
        <v>5.5555555555555358E-3</v>
      </c>
      <c r="BF131" s="186">
        <f t="shared" si="270"/>
        <v>-4.9999999999998934E-3</v>
      </c>
      <c r="BG131" s="186">
        <f t="shared" si="270"/>
        <v>-8.8235294117646745E-3</v>
      </c>
      <c r="BH131" s="186">
        <f t="shared" si="270"/>
        <v>7.8125E-3</v>
      </c>
      <c r="BI131" s="186">
        <f t="shared" si="270"/>
        <v>-8.1004299754283693E-4</v>
      </c>
      <c r="BJ131" s="186">
        <f t="shared" si="270"/>
        <v>8.5714285714288962E-3</v>
      </c>
      <c r="BK131" s="186">
        <f t="shared" si="270"/>
        <v>2.4193548387092534E-3</v>
      </c>
      <c r="BL131" s="186">
        <f t="shared" si="270"/>
        <v>2.5862068965523122E-3</v>
      </c>
      <c r="BM131" s="186">
        <f t="shared" si="270"/>
        <v>5.172413793102848E-3</v>
      </c>
      <c r="BN131" s="186">
        <f t="shared" si="270"/>
        <v>1.5151515151519135E-3</v>
      </c>
      <c r="BO131" s="186">
        <f t="shared" si="270"/>
        <v>-2.2727272727269821E-3</v>
      </c>
      <c r="BP131" s="186">
        <f t="shared" si="270"/>
        <v>4.6874999999992895E-3</v>
      </c>
      <c r="BQ131" s="186">
        <f t="shared" si="270"/>
        <v>-5.8823529411764497E-3</v>
      </c>
      <c r="BR131" s="186">
        <f t="shared" si="270"/>
        <v>-9.9999999999997868E-3</v>
      </c>
      <c r="BS131" s="186">
        <f t="shared" si="270"/>
        <v>2.4193548387101416E-3</v>
      </c>
      <c r="BT131" s="186">
        <f t="shared" si="270"/>
        <v>0</v>
      </c>
      <c r="BU131" s="186">
        <f t="shared" si="270"/>
        <v>0</v>
      </c>
      <c r="BV131" s="186">
        <f t="shared" si="270"/>
        <v>8.8709677419354094E-3</v>
      </c>
      <c r="BW131" s="186">
        <f t="shared" si="270"/>
        <v>1.2096774193548043E-2</v>
      </c>
      <c r="BX131" s="186">
        <f t="shared" si="270"/>
        <v>4.9999999999998934E-3</v>
      </c>
      <c r="BY131" s="186">
        <f t="shared" si="270"/>
        <v>5.7692307692311928E-3</v>
      </c>
      <c r="BZ131" s="186">
        <f t="shared" si="270"/>
        <v>4.4117647058818932E-3</v>
      </c>
      <c r="CA131" s="186">
        <f t="shared" si="270"/>
        <v>-6.9444444444446418E-3</v>
      </c>
      <c r="CB131" s="186">
        <f t="shared" si="270"/>
        <v>8.0357142857145902E-3</v>
      </c>
      <c r="CC131" s="186">
        <f t="shared" si="270"/>
        <v>0</v>
      </c>
      <c r="CD131" s="186">
        <f t="shared" si="270"/>
        <v>0</v>
      </c>
      <c r="CE131" s="186">
        <f t="shared" si="270"/>
        <v>9.8214285714286476E-3</v>
      </c>
      <c r="CF131" s="186">
        <f t="shared" si="270"/>
        <v>-1.9999999999997797E-3</v>
      </c>
      <c r="CG131" s="186">
        <f t="shared" si="270"/>
        <v>5.5555555555555358E-3</v>
      </c>
      <c r="CH131" s="186">
        <f t="shared" ca="1" si="270"/>
        <v>-9.699226342399303E-2</v>
      </c>
      <c r="CI131" s="186">
        <f t="shared" ca="1" si="270"/>
        <v>0.11239194994436907</v>
      </c>
      <c r="CJ131" s="186">
        <f t="shared" ref="CJ131:CX131" si="271">LN(CJ130)-LN(CI130)</f>
        <v>-8.3333333333328596E-3</v>
      </c>
      <c r="CK131" s="186">
        <f t="shared" si="271"/>
        <v>9.9999999999997868E-3</v>
      </c>
      <c r="CL131" s="186">
        <f t="shared" si="271"/>
        <v>-4.8076923076925127E-3</v>
      </c>
      <c r="CM131" s="186">
        <f t="shared" si="271"/>
        <v>1.3043478260869712E-2</v>
      </c>
      <c r="CN131" s="186">
        <f t="shared" si="271"/>
        <v>2.7777777777773238E-3</v>
      </c>
      <c r="CO131" s="186">
        <f t="shared" si="271"/>
        <v>-8.3333333333328596E-3</v>
      </c>
      <c r="CP131" s="186">
        <f t="shared" si="271"/>
        <v>-8.6956521739134374E-3</v>
      </c>
      <c r="CQ131" s="186">
        <f t="shared" si="271"/>
        <v>-8.0000000000000071E-3</v>
      </c>
      <c r="CR131" s="186">
        <f t="shared" si="271"/>
        <v>4.166666666667318E-3</v>
      </c>
      <c r="CS131" s="186">
        <f t="shared" si="271"/>
        <v>7.9844006568139392E-3</v>
      </c>
      <c r="CT131" s="186">
        <f t="shared" si="271"/>
        <v>-2.1278051450464908E-2</v>
      </c>
      <c r="CU131" s="186">
        <f t="shared" si="271"/>
        <v>-4.8076923076925127E-3</v>
      </c>
      <c r="CV131" s="186">
        <f t="shared" si="271"/>
        <v>9.0909090909088164E-3</v>
      </c>
      <c r="CW131" s="186">
        <f t="shared" si="271"/>
        <v>-1.7857142857140573E-3</v>
      </c>
      <c r="CX131" s="186">
        <f t="shared" si="271"/>
        <v>0</v>
      </c>
      <c r="DO131" s="89"/>
      <c r="DQ131" s="55">
        <f ca="1"/>
        <v>-4.8076923076925127E-3</v>
      </c>
      <c r="DR131" s="55">
        <f ca="1"/>
        <v>1.3043478260869712E-2</v>
      </c>
      <c r="DS131" s="55">
        <f ca="1"/>
        <v>2.7777777777773238E-3</v>
      </c>
      <c r="DT131" s="55">
        <f ca="1"/>
        <v>-8.3333333333328596E-3</v>
      </c>
      <c r="DU131" s="55">
        <f ca="1"/>
        <v>-8.6956521739134374E-3</v>
      </c>
      <c r="DV131" s="55">
        <f ca="1"/>
        <v>-8.0000000000000071E-3</v>
      </c>
      <c r="DW131" s="55">
        <f ca="1"/>
        <v>4.166666666667318E-3</v>
      </c>
      <c r="DX131" s="55">
        <f ca="1"/>
        <v>7.9844006568139392E-3</v>
      </c>
      <c r="DY131" s="55">
        <f ca="1"/>
        <v>-2.1278051450464908E-2</v>
      </c>
      <c r="DZ131" s="55">
        <f ca="1"/>
        <v>-4.8076923076925127E-3</v>
      </c>
      <c r="EA131" s="55">
        <f ca="1"/>
        <v>9.0909090909088164E-3</v>
      </c>
      <c r="EB131" s="55">
        <f ca="1"/>
        <v>-1.7857142857140573E-3</v>
      </c>
      <c r="EC131" s="186">
        <f ca="1"/>
        <v>0</v>
      </c>
    </row>
    <row r="132" spans="1:133" x14ac:dyDescent="0.3">
      <c r="AE132" s="132"/>
      <c r="AF132" s="132"/>
      <c r="AG132" s="132"/>
      <c r="AH132" s="132"/>
      <c r="AI132" s="132"/>
      <c r="AJ132" s="132"/>
      <c r="AK132" s="132"/>
      <c r="AL132" s="132"/>
      <c r="AW132" s="165"/>
      <c r="BJ132" s="165"/>
      <c r="CN132" s="247"/>
      <c r="CO132" s="247"/>
      <c r="CP132" s="247"/>
      <c r="CQ132" s="247"/>
      <c r="DO132" s="89"/>
      <c r="DQ132" s="132">
        <f ca="1"/>
        <v>0</v>
      </c>
      <c r="DR132" s="132">
        <f ca="1"/>
        <v>0</v>
      </c>
      <c r="DS132" s="132">
        <f ca="1"/>
        <v>0</v>
      </c>
      <c r="DT132" s="132">
        <f ca="1"/>
        <v>0</v>
      </c>
      <c r="DU132" s="132">
        <f ca="1"/>
        <v>0</v>
      </c>
      <c r="DV132" s="132">
        <f ca="1"/>
        <v>0</v>
      </c>
      <c r="DW132" s="132">
        <f ca="1"/>
        <v>0</v>
      </c>
      <c r="DX132" s="132">
        <f ca="1"/>
        <v>0</v>
      </c>
      <c r="DY132" s="132">
        <f ca="1"/>
        <v>0</v>
      </c>
      <c r="DZ132" s="132">
        <f ca="1"/>
        <v>0</v>
      </c>
      <c r="EA132" s="132">
        <f ca="1"/>
        <v>0</v>
      </c>
      <c r="EB132" s="132">
        <f ca="1"/>
        <v>0</v>
      </c>
      <c r="EC132" s="165">
        <f ca="1"/>
        <v>0</v>
      </c>
    </row>
    <row r="133" spans="1:133" x14ac:dyDescent="0.3">
      <c r="A133" t="str">
        <f>A134</f>
        <v>Defenses: Vulnerability to unknown threats</v>
      </c>
      <c r="C133" s="55"/>
      <c r="D133" s="55"/>
      <c r="E133" s="55"/>
      <c r="F133" s="55"/>
      <c r="G133" s="55"/>
      <c r="H133" s="55"/>
      <c r="I133" s="55"/>
      <c r="J133" s="55"/>
      <c r="K133" s="55"/>
      <c r="L133" s="55"/>
      <c r="M133" s="55"/>
      <c r="N133" s="55"/>
      <c r="O133" s="55"/>
      <c r="P133" s="55"/>
      <c r="Q133" s="55"/>
      <c r="R133" s="55"/>
      <c r="S133" s="55"/>
      <c r="T133" s="55"/>
      <c r="U133" s="55"/>
      <c r="V133" s="55"/>
      <c r="W133" s="55"/>
      <c r="X133" s="55"/>
      <c r="Y133" s="55"/>
      <c r="Z133" s="55"/>
      <c r="AA133" s="55"/>
      <c r="AB133" s="55"/>
      <c r="AC133" s="55"/>
      <c r="AD133" s="55"/>
      <c r="AE133" s="55"/>
      <c r="AF133" s="55"/>
      <c r="AG133" s="55"/>
      <c r="AH133" s="55"/>
      <c r="AI133" s="55"/>
      <c r="AJ133" s="55"/>
      <c r="AK133" s="55"/>
      <c r="AL133" s="55"/>
      <c r="AM133" s="55"/>
      <c r="AN133" s="55"/>
      <c r="AO133" s="55"/>
      <c r="AP133" s="55"/>
      <c r="AQ133" s="55"/>
      <c r="AR133" s="55"/>
      <c r="AS133" s="55"/>
      <c r="AT133" s="55"/>
      <c r="AU133" s="55"/>
      <c r="AV133" s="55"/>
      <c r="AW133" s="186"/>
      <c r="AX133" s="186"/>
      <c r="AY133" s="186"/>
      <c r="AZ133" s="186"/>
      <c r="BA133" s="186"/>
      <c r="BB133" s="186"/>
      <c r="BC133" s="186"/>
      <c r="BD133" s="186"/>
      <c r="BE133" s="186"/>
      <c r="BF133" s="186"/>
      <c r="BG133" s="186"/>
      <c r="BH133" s="186"/>
      <c r="BI133" s="186"/>
      <c r="BJ133" s="186"/>
      <c r="BK133" s="186"/>
      <c r="BL133" s="186"/>
      <c r="BM133" s="186"/>
      <c r="BN133" s="186"/>
      <c r="BO133" s="186"/>
      <c r="BP133" s="186"/>
      <c r="BQ133" s="186"/>
      <c r="BR133" s="186"/>
      <c r="BS133" s="186"/>
      <c r="BT133" s="186"/>
      <c r="BU133" s="186"/>
      <c r="BV133" s="186"/>
      <c r="BW133" s="186"/>
      <c r="BX133" s="186"/>
      <c r="BY133" s="186"/>
      <c r="BZ133" s="186"/>
      <c r="CA133" s="186"/>
      <c r="CB133" s="186"/>
      <c r="CC133" s="186"/>
      <c r="CD133" s="186"/>
      <c r="CE133" s="186"/>
      <c r="CF133" s="186"/>
      <c r="CG133" s="186"/>
      <c r="CH133" s="186"/>
      <c r="CI133" s="186"/>
      <c r="CJ133" s="186"/>
      <c r="CK133" s="186"/>
      <c r="CL133" s="186"/>
      <c r="CM133" s="186"/>
      <c r="CN133" s="186"/>
      <c r="CO133" s="186"/>
      <c r="CP133" s="186"/>
      <c r="CQ133" s="186"/>
      <c r="CR133" s="186"/>
      <c r="CS133" s="186"/>
      <c r="CT133" s="186"/>
      <c r="CU133" s="186"/>
      <c r="CV133" s="186"/>
      <c r="CW133" s="186"/>
      <c r="CX133" s="186"/>
      <c r="DO133" s="89"/>
      <c r="DQ133" s="55">
        <f ca="1"/>
        <v>0</v>
      </c>
      <c r="DR133" s="55">
        <f ca="1"/>
        <v>0</v>
      </c>
      <c r="DS133" s="55">
        <f ca="1"/>
        <v>0</v>
      </c>
      <c r="DT133" s="55">
        <f ca="1"/>
        <v>0</v>
      </c>
      <c r="DU133" s="55">
        <f ca="1"/>
        <v>0</v>
      </c>
      <c r="DV133" s="55">
        <f ca="1"/>
        <v>0</v>
      </c>
      <c r="DW133" s="55">
        <f ca="1"/>
        <v>0</v>
      </c>
      <c r="DX133" s="55">
        <f ca="1"/>
        <v>0</v>
      </c>
      <c r="DY133" s="55">
        <f ca="1"/>
        <v>0</v>
      </c>
      <c r="DZ133" s="55">
        <f ca="1"/>
        <v>0</v>
      </c>
      <c r="EA133" s="55">
        <f ca="1"/>
        <v>0</v>
      </c>
      <c r="EB133" s="55">
        <f ca="1"/>
        <v>0</v>
      </c>
      <c r="EC133" s="186">
        <f ca="1"/>
        <v>0</v>
      </c>
    </row>
    <row r="134" spans="1:133" x14ac:dyDescent="0.3">
      <c r="A134" t="str">
        <f>A135</f>
        <v>Defenses: Vulnerability to unknown threats</v>
      </c>
      <c r="B134" s="57" t="str">
        <f t="shared" ref="B134:N134" si="272">C$1</f>
        <v>Apr</v>
      </c>
      <c r="C134" s="57" t="str">
        <f t="shared" si="272"/>
        <v>May</v>
      </c>
      <c r="D134" s="57" t="str">
        <f t="shared" si="272"/>
        <v>Jun</v>
      </c>
      <c r="E134" s="57" t="str">
        <f t="shared" si="272"/>
        <v>Jul</v>
      </c>
      <c r="F134" s="57" t="str">
        <f t="shared" si="272"/>
        <v>Aug</v>
      </c>
      <c r="G134" s="57" t="str">
        <f t="shared" si="272"/>
        <v>Sep</v>
      </c>
      <c r="H134" s="57" t="str">
        <f t="shared" si="272"/>
        <v>Oct</v>
      </c>
      <c r="I134" s="57" t="str">
        <f t="shared" si="272"/>
        <v>Nov</v>
      </c>
      <c r="J134" s="57" t="str">
        <f t="shared" si="272"/>
        <v>Dec 2011</v>
      </c>
      <c r="K134" s="57" t="str">
        <f t="shared" si="272"/>
        <v>Jan 2012</v>
      </c>
      <c r="L134" s="57" t="str">
        <f t="shared" si="272"/>
        <v>Feb</v>
      </c>
      <c r="M134" s="57" t="str">
        <f t="shared" si="272"/>
        <v>Mar</v>
      </c>
      <c r="N134" s="57" t="str">
        <f t="shared" si="272"/>
        <v>Apr</v>
      </c>
      <c r="O134" s="57" t="str">
        <f t="shared" ref="O134:AD134" si="273">P$1</f>
        <v>May</v>
      </c>
      <c r="P134" s="57" t="str">
        <f t="shared" si="273"/>
        <v>Jun</v>
      </c>
      <c r="Q134" s="57" t="str">
        <f t="shared" si="273"/>
        <v>Jul</v>
      </c>
      <c r="R134" s="57" t="str">
        <f t="shared" si="273"/>
        <v>Aug</v>
      </c>
      <c r="S134" s="57" t="str">
        <f t="shared" si="273"/>
        <v>Sep</v>
      </c>
      <c r="T134" s="57" t="str">
        <f t="shared" si="273"/>
        <v>Oct</v>
      </c>
      <c r="U134" s="57" t="str">
        <f t="shared" si="273"/>
        <v>Nov</v>
      </c>
      <c r="V134" s="57" t="str">
        <f t="shared" si="273"/>
        <v>Dec 2012</v>
      </c>
      <c r="W134" s="57" t="str">
        <f t="shared" si="273"/>
        <v>Jan 2013</v>
      </c>
      <c r="X134" s="57" t="str">
        <f t="shared" si="273"/>
        <v>Feb</v>
      </c>
      <c r="Y134" s="57" t="str">
        <f t="shared" si="273"/>
        <v>Mar</v>
      </c>
      <c r="Z134" s="57" t="str">
        <f t="shared" si="273"/>
        <v>Apr</v>
      </c>
      <c r="AA134" s="57" t="str">
        <f t="shared" si="273"/>
        <v>May</v>
      </c>
      <c r="AB134" s="57" t="str">
        <f t="shared" si="273"/>
        <v>Jun</v>
      </c>
      <c r="AC134" s="57" t="str">
        <f t="shared" si="273"/>
        <v>Jul</v>
      </c>
      <c r="AD134" s="57" t="str">
        <f t="shared" si="273"/>
        <v>Aug</v>
      </c>
      <c r="AE134" s="57" t="str">
        <f>AF$1</f>
        <v>Sep</v>
      </c>
      <c r="AF134" s="57" t="str">
        <f t="shared" ref="AF134:AK134" si="274">AG$1</f>
        <v>Oct</v>
      </c>
      <c r="AG134" s="57" t="str">
        <f t="shared" si="274"/>
        <v>Nov</v>
      </c>
      <c r="AH134" s="57" t="str">
        <f t="shared" si="274"/>
        <v>Dec 2013</v>
      </c>
      <c r="AI134" s="57" t="str">
        <f t="shared" si="274"/>
        <v>Jan 2014</v>
      </c>
      <c r="AJ134" s="57" t="str">
        <f t="shared" si="274"/>
        <v>Feb</v>
      </c>
      <c r="AK134" s="57" t="str">
        <f t="shared" si="274"/>
        <v>Mar</v>
      </c>
      <c r="AL134" s="57" t="str">
        <f t="shared" ref="AL134:CI134" si="275">AM$1</f>
        <v>Apr</v>
      </c>
      <c r="AM134" s="57" t="str">
        <f t="shared" si="275"/>
        <v>May</v>
      </c>
      <c r="AN134" s="57" t="str">
        <f t="shared" si="275"/>
        <v>Jun</v>
      </c>
      <c r="AO134" s="57" t="str">
        <f t="shared" si="275"/>
        <v>Jul</v>
      </c>
      <c r="AP134" s="57" t="str">
        <f t="shared" si="275"/>
        <v>Aug</v>
      </c>
      <c r="AQ134" s="57" t="str">
        <f t="shared" si="275"/>
        <v>Sep</v>
      </c>
      <c r="AR134" s="57" t="str">
        <f t="shared" si="275"/>
        <v>Oct</v>
      </c>
      <c r="AS134" s="57" t="str">
        <f t="shared" si="275"/>
        <v>Nov</v>
      </c>
      <c r="AT134" s="57" t="str">
        <f t="shared" si="275"/>
        <v>Dec '14</v>
      </c>
      <c r="AU134" s="57" t="str">
        <f t="shared" si="275"/>
        <v>Jan '15</v>
      </c>
      <c r="AV134" s="57" t="str">
        <f t="shared" si="275"/>
        <v>Feb</v>
      </c>
      <c r="AW134" s="57" t="str">
        <f t="shared" si="275"/>
        <v>Mar</v>
      </c>
      <c r="AX134" s="57" t="str">
        <f t="shared" si="275"/>
        <v>Apr</v>
      </c>
      <c r="AY134" s="57" t="str">
        <f t="shared" si="275"/>
        <v>May</v>
      </c>
      <c r="AZ134" s="57" t="str">
        <f t="shared" si="275"/>
        <v>Jun</v>
      </c>
      <c r="BA134" s="57" t="str">
        <f t="shared" si="275"/>
        <v>Jul</v>
      </c>
      <c r="BB134" s="57" t="str">
        <f t="shared" si="275"/>
        <v>Aug</v>
      </c>
      <c r="BC134" s="57" t="str">
        <f t="shared" si="275"/>
        <v>Sep</v>
      </c>
      <c r="BD134" s="57" t="str">
        <f t="shared" si="275"/>
        <v>Oct</v>
      </c>
      <c r="BE134" s="57" t="str">
        <f t="shared" si="275"/>
        <v>Nov</v>
      </c>
      <c r="BF134" s="57" t="str">
        <f t="shared" si="275"/>
        <v>Dec '15</v>
      </c>
      <c r="BG134" s="57" t="str">
        <f t="shared" si="275"/>
        <v>Jan '16</v>
      </c>
      <c r="BH134" s="57" t="str">
        <f t="shared" si="275"/>
        <v>Feb</v>
      </c>
      <c r="BI134" s="57" t="str">
        <f t="shared" si="275"/>
        <v>Mar</v>
      </c>
      <c r="BJ134" s="57" t="str">
        <f t="shared" si="275"/>
        <v>Apr</v>
      </c>
      <c r="BK134" s="57" t="str">
        <f t="shared" si="275"/>
        <v>May</v>
      </c>
      <c r="BL134" s="57" t="str">
        <f t="shared" si="275"/>
        <v>Jun</v>
      </c>
      <c r="BM134" s="57" t="str">
        <f t="shared" si="275"/>
        <v>Jul</v>
      </c>
      <c r="BN134" s="57" t="str">
        <f t="shared" si="275"/>
        <v>Aug</v>
      </c>
      <c r="BO134" s="57" t="str">
        <f t="shared" si="275"/>
        <v>Sep</v>
      </c>
      <c r="BP134" s="57" t="str">
        <f t="shared" si="275"/>
        <v>Oct</v>
      </c>
      <c r="BQ134" s="57" t="str">
        <f t="shared" si="275"/>
        <v>Nov</v>
      </c>
      <c r="BR134" s="57" t="str">
        <f t="shared" si="275"/>
        <v>Dec-16</v>
      </c>
      <c r="BS134" s="57" t="str">
        <f t="shared" si="275"/>
        <v>Jan-17</v>
      </c>
      <c r="BT134" s="57" t="str">
        <f t="shared" si="275"/>
        <v>Feb</v>
      </c>
      <c r="BU134" s="57" t="str">
        <f t="shared" si="275"/>
        <v>Mar</v>
      </c>
      <c r="BV134" s="57" t="str">
        <f t="shared" si="275"/>
        <v>Apr</v>
      </c>
      <c r="BW134" s="57" t="str">
        <f t="shared" si="275"/>
        <v>May</v>
      </c>
      <c r="BX134" s="57" t="str">
        <f t="shared" si="275"/>
        <v>Jun</v>
      </c>
      <c r="BY134" s="57" t="str">
        <f t="shared" si="275"/>
        <v>Jul</v>
      </c>
      <c r="BZ134" s="57" t="str">
        <f t="shared" si="275"/>
        <v>Aug</v>
      </c>
      <c r="CA134" s="57" t="str">
        <f t="shared" si="275"/>
        <v>Sep</v>
      </c>
      <c r="CB134" s="57" t="str">
        <f t="shared" si="275"/>
        <v>Oct</v>
      </c>
      <c r="CC134" s="57" t="str">
        <f t="shared" si="275"/>
        <v>Nov</v>
      </c>
      <c r="CD134" s="57" t="str">
        <f t="shared" si="275"/>
        <v>Dec</v>
      </c>
      <c r="CE134" s="57" t="str">
        <f t="shared" si="275"/>
        <v>Jan '18</v>
      </c>
      <c r="CF134" s="57" t="str">
        <f t="shared" si="275"/>
        <v>Feb</v>
      </c>
      <c r="CG134" s="57" t="str">
        <f t="shared" si="275"/>
        <v>Mar</v>
      </c>
      <c r="CH134" s="57" t="str">
        <f t="shared" si="275"/>
        <v>Apr</v>
      </c>
      <c r="CI134" s="57" t="str">
        <f t="shared" si="275"/>
        <v>May</v>
      </c>
      <c r="CJ134" s="57" t="str">
        <f t="shared" ref="CJ134:CO134" si="276">CK$1</f>
        <v>Jun</v>
      </c>
      <c r="CK134" s="57" t="str">
        <f t="shared" si="276"/>
        <v>Jul</v>
      </c>
      <c r="CL134" s="57" t="str">
        <f t="shared" si="276"/>
        <v>Aug</v>
      </c>
      <c r="CM134" s="57" t="str">
        <f t="shared" si="276"/>
        <v>Sep</v>
      </c>
      <c r="CN134" s="57" t="str">
        <f t="shared" si="276"/>
        <v>Oct</v>
      </c>
      <c r="CO134" s="57" t="str">
        <f t="shared" si="276"/>
        <v>Nov</v>
      </c>
      <c r="CP134" s="57" t="str">
        <f t="shared" ref="CP134:CX134" si="277">CQ$1</f>
        <v>Dec-18</v>
      </c>
      <c r="CQ134" s="57" t="str">
        <f t="shared" si="277"/>
        <v>Jan-19</v>
      </c>
      <c r="CR134" s="57" t="str">
        <f t="shared" si="277"/>
        <v>Feb-19</v>
      </c>
      <c r="CS134" s="57" t="str">
        <f t="shared" si="277"/>
        <v>Mar-19</v>
      </c>
      <c r="CT134" s="57" t="str">
        <f t="shared" si="277"/>
        <v>Apr-19</v>
      </c>
      <c r="CU134" s="57" t="str">
        <f t="shared" si="277"/>
        <v>May-19</v>
      </c>
      <c r="CV134" s="57" t="str">
        <f t="shared" si="277"/>
        <v>June-19</v>
      </c>
      <c r="CW134" s="57" t="str">
        <f t="shared" si="277"/>
        <v>July-19</v>
      </c>
      <c r="CX134" s="57" t="str">
        <f t="shared" si="277"/>
        <v>Aug-19</v>
      </c>
      <c r="DO134" s="89"/>
      <c r="DQ134" s="57" t="str">
        <f ca="1"/>
        <v>Aug</v>
      </c>
      <c r="DR134" s="57" t="str">
        <f ca="1"/>
        <v>Sep</v>
      </c>
      <c r="DS134" s="57" t="str">
        <f ca="1"/>
        <v>Oct</v>
      </c>
      <c r="DT134" s="57" t="str">
        <f ca="1"/>
        <v>Nov</v>
      </c>
      <c r="DU134" s="57" t="str">
        <f ca="1"/>
        <v>Dec-18</v>
      </c>
      <c r="DV134" s="57" t="str">
        <f ca="1"/>
        <v>Jan-19</v>
      </c>
      <c r="DW134" s="57" t="str">
        <f ca="1"/>
        <v>Feb-19</v>
      </c>
      <c r="DX134" s="57" t="str">
        <f ca="1"/>
        <v>Mar-19</v>
      </c>
      <c r="DY134" s="57" t="str">
        <f ca="1"/>
        <v>Apr-19</v>
      </c>
      <c r="DZ134" s="57" t="str">
        <f ca="1"/>
        <v>May-19</v>
      </c>
      <c r="EA134" s="57" t="str">
        <f ca="1"/>
        <v>June-19</v>
      </c>
      <c r="EB134" s="57" t="str">
        <f ca="1"/>
        <v>July-19</v>
      </c>
      <c r="EC134" s="57" t="str">
        <f ca="1"/>
        <v>Aug-19</v>
      </c>
    </row>
    <row r="135" spans="1:133" x14ac:dyDescent="0.3">
      <c r="A135" t="str">
        <f>A23</f>
        <v>Defenses: Vulnerability to unknown threats</v>
      </c>
      <c r="B135" s="31">
        <f t="shared" ref="B135:AD135" si="278">C23</f>
        <v>1028.9317485995875</v>
      </c>
      <c r="C135" s="31">
        <f t="shared" si="278"/>
        <v>1044.4820606013377</v>
      </c>
      <c r="D135" s="31">
        <f t="shared" si="278"/>
        <v>1057.6200275856736</v>
      </c>
      <c r="E135" s="31">
        <f t="shared" si="278"/>
        <v>1058.0682666243504</v>
      </c>
      <c r="F135" s="31">
        <f t="shared" si="278"/>
        <v>1071.1576050422977</v>
      </c>
      <c r="G135" s="31">
        <f t="shared" si="278"/>
        <v>1100.2727673242191</v>
      </c>
      <c r="H135" s="31">
        <f t="shared" si="278"/>
        <v>1106.4482765120074</v>
      </c>
      <c r="I135" s="31">
        <f t="shared" si="278"/>
        <v>1112.3915833513161</v>
      </c>
      <c r="J135" s="31">
        <f t="shared" si="278"/>
        <v>1120.4426333753265</v>
      </c>
      <c r="K135" s="31">
        <f t="shared" si="278"/>
        <v>1139.4288114923786</v>
      </c>
      <c r="L135" s="31">
        <f t="shared" si="278"/>
        <v>1146.8196752503163</v>
      </c>
      <c r="M135" s="31">
        <f t="shared" si="278"/>
        <v>1155.7157907391804</v>
      </c>
      <c r="N135" s="31">
        <f t="shared" si="278"/>
        <v>1182.2828131493418</v>
      </c>
      <c r="O135" s="31">
        <f t="shared" si="278"/>
        <v>1211.1678846359309</v>
      </c>
      <c r="P135" s="31">
        <f t="shared" si="278"/>
        <v>1259.4788083826684</v>
      </c>
      <c r="Q135" s="31">
        <f t="shared" si="278"/>
        <v>1289.5365585775</v>
      </c>
      <c r="R135" s="31">
        <f t="shared" si="278"/>
        <v>1326.6384764879849</v>
      </c>
      <c r="S135" s="31">
        <f t="shared" si="278"/>
        <v>1371.3565815722384</v>
      </c>
      <c r="T135" s="31">
        <f t="shared" si="278"/>
        <v>1405.3404998950787</v>
      </c>
      <c r="U135" s="31">
        <f t="shared" si="278"/>
        <v>1424.5005894790531</v>
      </c>
      <c r="V135" s="31">
        <f t="shared" si="278"/>
        <v>1452.5386434780287</v>
      </c>
      <c r="W135" s="31">
        <f t="shared" si="278"/>
        <v>1487.2986126864892</v>
      </c>
      <c r="X135" s="31">
        <f t="shared" si="278"/>
        <v>1538.1527023957028</v>
      </c>
      <c r="Y135" s="31">
        <f t="shared" si="278"/>
        <v>1587.8808591976187</v>
      </c>
      <c r="Z135" s="31">
        <f t="shared" si="278"/>
        <v>1608.2065798509991</v>
      </c>
      <c r="AA135" s="31">
        <f t="shared" si="278"/>
        <v>1643.0400320762794</v>
      </c>
      <c r="AB135" s="31">
        <f t="shared" si="278"/>
        <v>1676.0606071231173</v>
      </c>
      <c r="AC135" s="31">
        <f t="shared" si="278"/>
        <v>1690.4885867624514</v>
      </c>
      <c r="AD135" s="31">
        <f t="shared" si="278"/>
        <v>1727.5698412884965</v>
      </c>
      <c r="AE135" s="31">
        <f>AF23</f>
        <v>1753.2291123627906</v>
      </c>
      <c r="AF135" s="31">
        <f t="shared" ref="AF135:AK135" si="279">AG23</f>
        <v>1784.8179791262214</v>
      </c>
      <c r="AG135" s="31">
        <f t="shared" si="279"/>
        <v>1820.8736940084173</v>
      </c>
      <c r="AH135" s="31">
        <f t="shared" si="279"/>
        <v>1840.825060291935</v>
      </c>
      <c r="AI135" s="31">
        <f t="shared" si="279"/>
        <v>1858.1639442571657</v>
      </c>
      <c r="AJ135" s="31">
        <f t="shared" si="279"/>
        <v>1871.1732071328136</v>
      </c>
      <c r="AK135" s="31">
        <f t="shared" si="279"/>
        <v>1905.7169711189615</v>
      </c>
      <c r="AL135" s="31">
        <f t="shared" ref="AL135:CI135" si="280">AM23</f>
        <v>1942.6331509259078</v>
      </c>
      <c r="AM135" s="31">
        <f t="shared" si="280"/>
        <v>1972.6646759642992</v>
      </c>
      <c r="AN135" s="31">
        <f t="shared" si="280"/>
        <v>1983.5200335947718</v>
      </c>
      <c r="AO135" s="31">
        <f t="shared" si="280"/>
        <v>2009.1870829108684</v>
      </c>
      <c r="AP135" s="31">
        <f t="shared" si="280"/>
        <v>2064.9606205565105</v>
      </c>
      <c r="AQ135" s="31">
        <f t="shared" si="280"/>
        <v>2132.4125971030562</v>
      </c>
      <c r="AR135" s="31">
        <f t="shared" si="280"/>
        <v>2183.1819554425833</v>
      </c>
      <c r="AS135" s="31">
        <f t="shared" si="280"/>
        <v>2250.2618406890979</v>
      </c>
      <c r="AT135" s="31">
        <f t="shared" si="280"/>
        <v>2298.1379651169445</v>
      </c>
      <c r="AU135" s="31">
        <f t="shared" si="280"/>
        <v>2340.3044619396492</v>
      </c>
      <c r="AV135" s="31">
        <f t="shared" si="280"/>
        <v>2405.8724715229973</v>
      </c>
      <c r="AW135" s="185">
        <f t="shared" si="280"/>
        <v>2469.8628228579901</v>
      </c>
      <c r="AX135" s="185">
        <f t="shared" si="280"/>
        <v>2522.4111342094593</v>
      </c>
      <c r="AY135" s="185">
        <f t="shared" si="280"/>
        <v>2559.5958878278002</v>
      </c>
      <c r="AZ135" s="185">
        <f t="shared" si="280"/>
        <v>2605.2595786164152</v>
      </c>
      <c r="BA135" s="185">
        <f t="shared" si="280"/>
        <v>2664.0022941365792</v>
      </c>
      <c r="BB135" s="185">
        <f t="shared" si="280"/>
        <v>2673.8144462101081</v>
      </c>
      <c r="BC135" s="185">
        <f t="shared" si="280"/>
        <v>2696.1893324704652</v>
      </c>
      <c r="BD135" s="185">
        <f t="shared" si="280"/>
        <v>2758.9929323230199</v>
      </c>
      <c r="BE135" s="185">
        <f t="shared" si="280"/>
        <v>2805.3614790769993</v>
      </c>
      <c r="BF135" s="185">
        <f t="shared" si="280"/>
        <v>2826.4807885840578</v>
      </c>
      <c r="BG135" s="185">
        <f t="shared" si="280"/>
        <v>2834.8062046313071</v>
      </c>
      <c r="BH135" s="185">
        <f t="shared" si="280"/>
        <v>2883.9505607781743</v>
      </c>
      <c r="BI135" s="185">
        <f t="shared" si="280"/>
        <v>2923.4006138829272</v>
      </c>
      <c r="BJ135" s="185">
        <f t="shared" si="280"/>
        <v>2967.5821562581723</v>
      </c>
      <c r="BK135" s="185">
        <f t="shared" si="280"/>
        <v>2977.1704586128026</v>
      </c>
      <c r="BL135" s="185">
        <f t="shared" si="280"/>
        <v>3071.0140658692608</v>
      </c>
      <c r="BM135" s="185">
        <f t="shared" si="280"/>
        <v>3086.9397730499522</v>
      </c>
      <c r="BN135" s="185">
        <f t="shared" si="280"/>
        <v>3119.8542814642556</v>
      </c>
      <c r="BO135" s="185">
        <f t="shared" si="280"/>
        <v>3126.9529229591922</v>
      </c>
      <c r="BP135" s="185">
        <f t="shared" si="280"/>
        <v>3141.6449222570732</v>
      </c>
      <c r="BQ135" s="185">
        <f t="shared" si="280"/>
        <v>3162.5041629587108</v>
      </c>
      <c r="BR135" s="185">
        <f t="shared" si="280"/>
        <v>3154.6077771462801</v>
      </c>
      <c r="BS135" s="185">
        <f t="shared" si="280"/>
        <v>3177.587416890226</v>
      </c>
      <c r="BT135" s="185">
        <f t="shared" si="280"/>
        <v>3208.4875384215998</v>
      </c>
      <c r="BU135" s="185">
        <f t="shared" si="280"/>
        <v>3216.5187921518727</v>
      </c>
      <c r="BV135" s="185">
        <f t="shared" si="280"/>
        <v>3268.8187677094434</v>
      </c>
      <c r="BW135" s="185">
        <f t="shared" si="280"/>
        <v>3330.0158829284446</v>
      </c>
      <c r="BX135" s="185">
        <f t="shared" si="280"/>
        <v>3371.9023263414028</v>
      </c>
      <c r="BY135" s="185">
        <f t="shared" si="280"/>
        <v>3427.472905791501</v>
      </c>
      <c r="BZ135" s="185">
        <f t="shared" si="280"/>
        <v>3475.6927640554895</v>
      </c>
      <c r="CA135" s="185">
        <f t="shared" si="280"/>
        <v>3451.6396232636212</v>
      </c>
      <c r="CB135" s="185">
        <f t="shared" si="280"/>
        <v>3498.1778841633368</v>
      </c>
      <c r="CC135" s="185">
        <f t="shared" si="280"/>
        <v>3528.4649501913937</v>
      </c>
      <c r="CD135" s="185">
        <f t="shared" si="280"/>
        <v>3538.6579087854084</v>
      </c>
      <c r="CE135" s="185">
        <f t="shared" si="280"/>
        <v>3586.3694322839665</v>
      </c>
      <c r="CF135" s="185">
        <f t="shared" si="280"/>
        <v>3589.9575954988445</v>
      </c>
      <c r="CG135" s="185">
        <f t="shared" si="280"/>
        <v>3630.0684385815898</v>
      </c>
      <c r="CH135" s="185">
        <f t="shared" ca="1" si="280"/>
        <v>2285.0821819025382</v>
      </c>
      <c r="CI135" s="185">
        <f t="shared" si="280"/>
        <v>3797.9860425631123</v>
      </c>
      <c r="CJ135" s="185">
        <f t="shared" ref="CJ135:CO135" si="281">CK23</f>
        <v>3790.0818080775757</v>
      </c>
      <c r="CK135" s="185">
        <f t="shared" si="281"/>
        <v>3847.3615593419131</v>
      </c>
      <c r="CL135" s="185">
        <f t="shared" si="281"/>
        <v>3851.0627245778669</v>
      </c>
      <c r="CM135" s="185">
        <f t="shared" si="281"/>
        <v>3901.6230016182717</v>
      </c>
      <c r="CN135" s="185">
        <f t="shared" si="281"/>
        <v>3912.4759097945475</v>
      </c>
      <c r="CO135" s="185">
        <f t="shared" si="281"/>
        <v>3961.6887984297978</v>
      </c>
      <c r="CP135" s="185">
        <f t="shared" ref="CP135:CX135" si="282">CQ23</f>
        <v>3927.3886777085754</v>
      </c>
      <c r="CQ135" s="185">
        <f t="shared" si="282"/>
        <v>3931.3180307353514</v>
      </c>
      <c r="CR135" s="185">
        <f t="shared" si="282"/>
        <v>3980.7679240757784</v>
      </c>
      <c r="CS135" s="185">
        <f t="shared" si="282"/>
        <v>3997.5531602126057</v>
      </c>
      <c r="CT135" s="185">
        <f t="shared" si="282"/>
        <v>3943.0358105402406</v>
      </c>
      <c r="CU135" s="185">
        <f t="shared" si="282"/>
        <v>3935.4603358110921</v>
      </c>
      <c r="CV135" s="185">
        <f t="shared" si="282"/>
        <v>4007.6686097549127</v>
      </c>
      <c r="CW135" s="185">
        <f t="shared" si="282"/>
        <v>4043.6115861361181</v>
      </c>
      <c r="CX135" s="185">
        <f t="shared" si="282"/>
        <v>4043.6115861361181</v>
      </c>
      <c r="DO135" s="89"/>
      <c r="DQ135" s="31">
        <f ca="1"/>
        <v>3851.0627245778669</v>
      </c>
      <c r="DR135" s="31">
        <f ca="1"/>
        <v>3901.6230016182717</v>
      </c>
      <c r="DS135" s="31">
        <f ca="1"/>
        <v>3912.4759097945475</v>
      </c>
      <c r="DT135" s="31">
        <f ca="1"/>
        <v>3961.6887984297978</v>
      </c>
      <c r="DU135" s="31">
        <f ca="1"/>
        <v>3927.3886777085754</v>
      </c>
      <c r="DV135" s="31">
        <f ca="1"/>
        <v>3931.3180307353514</v>
      </c>
      <c r="DW135" s="31">
        <f ca="1"/>
        <v>3980.7679240757784</v>
      </c>
      <c r="DX135" s="31">
        <f ca="1"/>
        <v>3997.5531602126057</v>
      </c>
      <c r="DY135" s="31">
        <f ca="1"/>
        <v>3943.0358105402406</v>
      </c>
      <c r="DZ135" s="31">
        <f ca="1"/>
        <v>3935.4603358110921</v>
      </c>
      <c r="EA135" s="31">
        <f ca="1"/>
        <v>4007.6686097549127</v>
      </c>
      <c r="EB135" s="31">
        <f ca="1"/>
        <v>4043.6115861361181</v>
      </c>
      <c r="EC135" s="185">
        <f ca="1"/>
        <v>4043.6115861361181</v>
      </c>
    </row>
    <row r="136" spans="1:133" x14ac:dyDescent="0.3">
      <c r="A136" t="s">
        <v>108</v>
      </c>
      <c r="C136" s="55">
        <f t="shared" ref="C136:N136" si="283">LN(C135)-LN(B135)</f>
        <v>1.499999999999968E-2</v>
      </c>
      <c r="D136" s="55">
        <f t="shared" si="283"/>
        <v>1.2500000000000178E-2</v>
      </c>
      <c r="E136" s="55">
        <f t="shared" si="283"/>
        <v>4.2372881355934311E-4</v>
      </c>
      <c r="F136" s="55">
        <f t="shared" si="283"/>
        <v>1.2295081967213406E-2</v>
      </c>
      <c r="G136" s="55">
        <f t="shared" si="283"/>
        <v>2.6818181818181408E-2</v>
      </c>
      <c r="H136" s="55">
        <f t="shared" si="283"/>
        <v>5.5970149253736778E-3</v>
      </c>
      <c r="I136" s="55">
        <f t="shared" si="283"/>
        <v>5.357142857142172E-3</v>
      </c>
      <c r="J136" s="55">
        <f t="shared" si="283"/>
        <v>7.2115384615392131E-3</v>
      </c>
      <c r="K136" s="55">
        <f t="shared" si="283"/>
        <v>1.6803278688524159E-2</v>
      </c>
      <c r="L136" s="55">
        <f t="shared" si="283"/>
        <v>6.4655172413798923E-3</v>
      </c>
      <c r="M136" s="55">
        <f t="shared" si="283"/>
        <v>7.7272727272728048E-3</v>
      </c>
      <c r="N136" s="55">
        <f t="shared" si="283"/>
        <v>2.2727272727272485E-2</v>
      </c>
      <c r="O136" s="55">
        <f t="shared" ref="O136:AD136" si="284">LN(O135)-LN(N135)</f>
        <v>2.4137931034482918E-2</v>
      </c>
      <c r="P136" s="55">
        <f t="shared" si="284"/>
        <v>3.9112903225806406E-2</v>
      </c>
      <c r="Q136" s="55">
        <f t="shared" si="284"/>
        <v>2.3584905660377409E-2</v>
      </c>
      <c r="R136" s="55">
        <f t="shared" si="284"/>
        <v>2.8365384615383959E-2</v>
      </c>
      <c r="S136" s="55">
        <f t="shared" si="284"/>
        <v>3.3152173913044258E-2</v>
      </c>
      <c r="T136" s="55">
        <f t="shared" si="284"/>
        <v>2.4479166666666607E-2</v>
      </c>
      <c r="U136" s="55">
        <f t="shared" si="284"/>
        <v>1.3541666666665897E-2</v>
      </c>
      <c r="V136" s="55">
        <f t="shared" si="284"/>
        <v>1.9491525423728895E-2</v>
      </c>
      <c r="W136" s="55">
        <f t="shared" si="284"/>
        <v>2.3648648648649129E-2</v>
      </c>
      <c r="X136" s="55">
        <f t="shared" si="284"/>
        <v>3.3620689655172065E-2</v>
      </c>
      <c r="Y136" s="55">
        <f t="shared" si="284"/>
        <v>3.181818181818219E-2</v>
      </c>
      <c r="Z136" s="55">
        <f t="shared" si="284"/>
        <v>1.2719298245613686E-2</v>
      </c>
      <c r="AA136" s="55">
        <f t="shared" si="284"/>
        <v>2.1428571428571352E-2</v>
      </c>
      <c r="AB136" s="55">
        <f t="shared" si="284"/>
        <v>1.9897959183674097E-2</v>
      </c>
      <c r="AC136" s="55">
        <f t="shared" si="284"/>
        <v>8.5714285714280081E-3</v>
      </c>
      <c r="AD136" s="55">
        <f t="shared" si="284"/>
        <v>2.1698113207547109E-2</v>
      </c>
      <c r="AE136" s="55">
        <f>LN(AE135)-LN(AD135)</f>
        <v>1.4743589743590135E-2</v>
      </c>
      <c r="AF136" s="55">
        <f t="shared" ref="AF136:CI136" si="285">LN(AF135)-LN(AE135)</f>
        <v>1.785714285714235E-2</v>
      </c>
      <c r="AG136" s="55">
        <f t="shared" si="285"/>
        <v>2.0000000000000462E-2</v>
      </c>
      <c r="AH136" s="55">
        <f t="shared" si="285"/>
        <v>1.0897435897435415E-2</v>
      </c>
      <c r="AI136" s="55">
        <f t="shared" si="285"/>
        <v>9.3750000000003553E-3</v>
      </c>
      <c r="AJ136" s="55">
        <f t="shared" si="285"/>
        <v>6.9767441860459911E-3</v>
      </c>
      <c r="AK136" s="55">
        <f t="shared" si="285"/>
        <v>1.8292682926829507E-2</v>
      </c>
      <c r="AL136" s="55">
        <f t="shared" si="285"/>
        <v>1.9186046511627808E-2</v>
      </c>
      <c r="AM136" s="55">
        <f t="shared" si="285"/>
        <v>1.5340909090909349E-2</v>
      </c>
      <c r="AN136" s="55">
        <f t="shared" si="285"/>
        <v>5.4878048780491184E-3</v>
      </c>
      <c r="AO136" s="55">
        <f t="shared" si="285"/>
        <v>1.2857142857142456E-2</v>
      </c>
      <c r="AP136" s="55">
        <f t="shared" si="285"/>
        <v>2.7380952380952728E-2</v>
      </c>
      <c r="AQ136" s="55">
        <f t="shared" si="285"/>
        <v>3.2142857142857473E-2</v>
      </c>
      <c r="AR136" s="55">
        <f t="shared" si="285"/>
        <v>2.3529411764705799E-2</v>
      </c>
      <c r="AS136" s="55">
        <f t="shared" si="285"/>
        <v>3.0263157894736992E-2</v>
      </c>
      <c r="AT136" s="55">
        <f t="shared" si="285"/>
        <v>2.1052631578947434E-2</v>
      </c>
      <c r="AU136" s="55">
        <f t="shared" si="285"/>
        <v>1.8181818181817633E-2</v>
      </c>
      <c r="AV136" s="55">
        <f t="shared" si="285"/>
        <v>2.7631578947368673E-2</v>
      </c>
      <c r="AW136" s="186">
        <f t="shared" si="285"/>
        <v>2.6250000000000107E-2</v>
      </c>
      <c r="AX136" s="186">
        <f t="shared" si="285"/>
        <v>2.1052631578947434E-2</v>
      </c>
      <c r="AY136" s="186">
        <f t="shared" si="285"/>
        <v>1.4634146341463428E-2</v>
      </c>
      <c r="AZ136" s="186">
        <f t="shared" si="285"/>
        <v>1.7682926829268197E-2</v>
      </c>
      <c r="BA136" s="186">
        <f t="shared" si="285"/>
        <v>2.2297297297297014E-2</v>
      </c>
      <c r="BB136" s="186">
        <f t="shared" si="285"/>
        <v>3.6764705882355031E-3</v>
      </c>
      <c r="BC136" s="186">
        <f t="shared" si="285"/>
        <v>8.3333333333328596E-3</v>
      </c>
      <c r="BD136" s="186">
        <f t="shared" si="285"/>
        <v>2.3026315789474339E-2</v>
      </c>
      <c r="BE136" s="186">
        <f t="shared" si="285"/>
        <v>1.6666666666666607E-2</v>
      </c>
      <c r="BF136" s="186">
        <f t="shared" si="285"/>
        <v>7.499999999999396E-3</v>
      </c>
      <c r="BG136" s="186">
        <f t="shared" si="285"/>
        <v>2.9411764705882248E-3</v>
      </c>
      <c r="BH136" s="186">
        <f t="shared" si="285"/>
        <v>1.7187500000000355E-2</v>
      </c>
      <c r="BI136" s="186">
        <f t="shared" si="285"/>
        <v>1.3586455773955564E-2</v>
      </c>
      <c r="BJ136" s="186">
        <f t="shared" si="285"/>
        <v>1.499999999999968E-2</v>
      </c>
      <c r="BK136" s="186">
        <f t="shared" si="285"/>
        <v>3.2258064516135221E-3</v>
      </c>
      <c r="BL136" s="186">
        <f t="shared" si="285"/>
        <v>3.1034482758619752E-2</v>
      </c>
      <c r="BM136" s="186">
        <f t="shared" si="285"/>
        <v>5.1724137931046243E-3</v>
      </c>
      <c r="BN136" s="186">
        <f t="shared" si="285"/>
        <v>1.0606060606059842E-2</v>
      </c>
      <c r="BO136" s="186">
        <f t="shared" si="285"/>
        <v>2.2727272727269821E-3</v>
      </c>
      <c r="BP136" s="186">
        <f t="shared" si="285"/>
        <v>4.6875000000010658E-3</v>
      </c>
      <c r="BQ136" s="186">
        <f t="shared" si="285"/>
        <v>6.6176470588228398E-3</v>
      </c>
      <c r="BR136" s="186">
        <f t="shared" si="285"/>
        <v>-2.4999999999995026E-3</v>
      </c>
      <c r="BS136" s="186">
        <f t="shared" si="285"/>
        <v>7.2580645161277602E-3</v>
      </c>
      <c r="BT136" s="186">
        <f t="shared" si="285"/>
        <v>9.6774193548387899E-3</v>
      </c>
      <c r="BU136" s="186">
        <f t="shared" si="285"/>
        <v>2.500000000001279E-3</v>
      </c>
      <c r="BV136" s="186">
        <f t="shared" si="285"/>
        <v>1.6129032258064058E-2</v>
      </c>
      <c r="BW136" s="186">
        <f t="shared" si="285"/>
        <v>1.8548387096775087E-2</v>
      </c>
      <c r="BX136" s="186">
        <f t="shared" si="285"/>
        <v>1.2499999999999289E-2</v>
      </c>
      <c r="BY136" s="186">
        <f t="shared" si="285"/>
        <v>1.634615384615401E-2</v>
      </c>
      <c r="BZ136" s="186">
        <f t="shared" si="285"/>
        <v>1.3970588235293846E-2</v>
      </c>
      <c r="CA136" s="186">
        <f t="shared" si="285"/>
        <v>-6.9444444444446418E-3</v>
      </c>
      <c r="CB136" s="186">
        <f t="shared" si="285"/>
        <v>1.339285714285765E-2</v>
      </c>
      <c r="CC136" s="186">
        <f t="shared" si="285"/>
        <v>8.6206896551725976E-3</v>
      </c>
      <c r="CD136" s="186">
        <f t="shared" si="285"/>
        <v>2.8846153846160405E-3</v>
      </c>
      <c r="CE136" s="186">
        <f t="shared" si="285"/>
        <v>1.3392857142855874E-2</v>
      </c>
      <c r="CF136" s="186">
        <f t="shared" si="285"/>
        <v>1.0000000000012221E-3</v>
      </c>
      <c r="CG136" s="186">
        <f t="shared" si="285"/>
        <v>1.1111111111111072E-2</v>
      </c>
      <c r="CH136" s="186">
        <f t="shared" ca="1" si="285"/>
        <v>-0.46284951218168402</v>
      </c>
      <c r="CI136" s="186">
        <f t="shared" ca="1" si="285"/>
        <v>0.50806894791836044</v>
      </c>
      <c r="CJ136" s="186">
        <f t="shared" ref="CJ136:CX136" si="286">LN(CJ135)-LN(CI135)</f>
        <v>-2.0833333333332149E-3</v>
      </c>
      <c r="CK136" s="186">
        <f t="shared" si="286"/>
        <v>1.4999999999998792E-2</v>
      </c>
      <c r="CL136" s="186">
        <f t="shared" si="286"/>
        <v>9.6153846153868017E-4</v>
      </c>
      <c r="CM136" s="186">
        <f t="shared" si="286"/>
        <v>1.30434782608706E-2</v>
      </c>
      <c r="CN136" s="186">
        <f t="shared" si="286"/>
        <v>2.7777777777764356E-3</v>
      </c>
      <c r="CO136" s="186">
        <f t="shared" si="286"/>
        <v>1.2500000000001066E-2</v>
      </c>
      <c r="CP136" s="186">
        <f t="shared" si="286"/>
        <v>-8.6956521739125492E-3</v>
      </c>
      <c r="CQ136" s="186">
        <f t="shared" si="286"/>
        <v>9.9999999999944578E-4</v>
      </c>
      <c r="CR136" s="186">
        <f t="shared" si="286"/>
        <v>1.2499999999999289E-2</v>
      </c>
      <c r="CS136" s="186">
        <f t="shared" si="286"/>
        <v>4.2077175697876612E-3</v>
      </c>
      <c r="CT136" s="186">
        <f t="shared" si="286"/>
        <v>-1.3731527093597151E-2</v>
      </c>
      <c r="CU136" s="186">
        <f t="shared" si="286"/>
        <v>-1.923076923075584E-3</v>
      </c>
      <c r="CV136" s="186">
        <f t="shared" si="286"/>
        <v>1.8181818181817633E-2</v>
      </c>
      <c r="CW136" s="186">
        <f t="shared" si="286"/>
        <v>8.9285714285711748E-3</v>
      </c>
      <c r="CX136" s="186">
        <f t="shared" si="286"/>
        <v>0</v>
      </c>
      <c r="DO136" s="89"/>
      <c r="DQ136" s="55">
        <f ca="1"/>
        <v>9.6153846153868017E-4</v>
      </c>
      <c r="DR136" s="55">
        <f ca="1"/>
        <v>1.30434782608706E-2</v>
      </c>
      <c r="DS136" s="55">
        <f ca="1"/>
        <v>2.7777777777764356E-3</v>
      </c>
      <c r="DT136" s="55">
        <f ca="1"/>
        <v>1.2500000000001066E-2</v>
      </c>
      <c r="DU136" s="55">
        <f ca="1"/>
        <v>-8.6956521739125492E-3</v>
      </c>
      <c r="DV136" s="55">
        <f ca="1"/>
        <v>9.9999999999944578E-4</v>
      </c>
      <c r="DW136" s="55">
        <f ca="1"/>
        <v>1.2499999999999289E-2</v>
      </c>
      <c r="DX136" s="55">
        <f ca="1"/>
        <v>4.2077175697876612E-3</v>
      </c>
      <c r="DY136" s="55">
        <f ca="1"/>
        <v>-1.3731527093597151E-2</v>
      </c>
      <c r="DZ136" s="55">
        <f ca="1"/>
        <v>-1.923076923075584E-3</v>
      </c>
      <c r="EA136" s="55">
        <f ca="1"/>
        <v>1.8181818181817633E-2</v>
      </c>
      <c r="EB136" s="55">
        <f ca="1"/>
        <v>8.9285714285711748E-3</v>
      </c>
      <c r="EC136" s="186">
        <f ca="1"/>
        <v>0</v>
      </c>
    </row>
    <row r="137" spans="1:133" x14ac:dyDescent="0.3">
      <c r="B137" s="31"/>
      <c r="C137" s="31"/>
      <c r="D137" s="31"/>
      <c r="E137" s="31"/>
      <c r="F137" s="31"/>
      <c r="G137" s="31"/>
      <c r="H137" s="31"/>
      <c r="I137" s="31"/>
      <c r="J137" s="31"/>
      <c r="K137" s="31"/>
      <c r="L137" s="31"/>
      <c r="M137" s="31"/>
      <c r="N137" s="31"/>
      <c r="O137" s="31"/>
      <c r="P137" s="31"/>
      <c r="Q137" s="31"/>
      <c r="R137" s="31"/>
      <c r="S137" s="31"/>
      <c r="T137" s="31"/>
      <c r="U137" s="31"/>
      <c r="V137" s="31"/>
      <c r="W137" s="31"/>
      <c r="X137" s="31"/>
      <c r="Y137" s="31"/>
      <c r="Z137" s="31"/>
      <c r="AA137" s="31"/>
      <c r="AB137" s="31"/>
      <c r="AC137" s="31"/>
      <c r="AD137" s="31"/>
      <c r="AE137" s="31"/>
      <c r="AF137" s="31"/>
      <c r="AG137" s="31"/>
      <c r="AH137" s="31"/>
      <c r="AI137" s="31"/>
      <c r="AJ137" s="31"/>
      <c r="AK137" s="31"/>
      <c r="AL137" s="31"/>
      <c r="AM137" s="31"/>
      <c r="AN137" s="31"/>
      <c r="AO137" s="31"/>
      <c r="AP137" s="31"/>
      <c r="AQ137" s="31"/>
      <c r="AR137" s="31"/>
      <c r="AS137" s="31"/>
      <c r="AT137" s="31"/>
      <c r="AU137" s="31"/>
      <c r="AV137" s="31"/>
      <c r="AW137" s="185"/>
      <c r="AX137" s="185"/>
      <c r="AY137" s="185"/>
      <c r="AZ137" s="185"/>
      <c r="BA137" s="185"/>
      <c r="BB137" s="185"/>
      <c r="BC137" s="185"/>
      <c r="BD137" s="185"/>
      <c r="BE137" s="185"/>
      <c r="BF137" s="185"/>
      <c r="BG137" s="185"/>
      <c r="BH137" s="185"/>
      <c r="BI137" s="185"/>
      <c r="BJ137" s="185"/>
      <c r="BK137" s="185"/>
      <c r="BL137" s="185"/>
      <c r="BM137" s="185"/>
      <c r="BN137" s="185"/>
      <c r="BO137" s="185"/>
      <c r="BP137" s="185"/>
      <c r="BQ137" s="185"/>
      <c r="BR137" s="185"/>
      <c r="BS137" s="185"/>
      <c r="BT137" s="185"/>
      <c r="BU137" s="185"/>
      <c r="BV137" s="185"/>
      <c r="BW137" s="185"/>
      <c r="BX137" s="185"/>
      <c r="BY137" s="185"/>
      <c r="BZ137" s="185"/>
      <c r="CA137" s="185"/>
      <c r="CB137" s="185"/>
      <c r="CC137" s="185"/>
      <c r="CD137" s="185"/>
      <c r="CE137" s="185"/>
      <c r="CF137" s="185"/>
      <c r="CG137" s="185"/>
      <c r="CH137" s="185"/>
      <c r="CI137" s="185"/>
      <c r="CJ137" s="185"/>
      <c r="CK137" s="185"/>
      <c r="CL137" s="185"/>
      <c r="CM137" s="185"/>
      <c r="CN137" s="185"/>
      <c r="CO137" s="185"/>
      <c r="CP137" s="185"/>
      <c r="CQ137" s="185"/>
      <c r="CR137" s="185"/>
      <c r="CS137" s="185"/>
      <c r="CT137" s="185"/>
      <c r="CU137" s="185"/>
      <c r="CV137" s="185"/>
      <c r="CW137" s="185"/>
      <c r="CX137" s="185"/>
      <c r="DO137" s="89"/>
      <c r="DQ137" s="31">
        <f ca="1"/>
        <v>0</v>
      </c>
      <c r="DR137" s="31">
        <f ca="1"/>
        <v>0</v>
      </c>
      <c r="DS137" s="31">
        <f ca="1"/>
        <v>0</v>
      </c>
      <c r="DT137" s="31">
        <f ca="1"/>
        <v>0</v>
      </c>
      <c r="DU137" s="31">
        <f ca="1"/>
        <v>0</v>
      </c>
      <c r="DV137" s="31">
        <f ca="1"/>
        <v>0</v>
      </c>
      <c r="DW137" s="31">
        <f ca="1"/>
        <v>0</v>
      </c>
      <c r="DX137" s="31">
        <f ca="1"/>
        <v>0</v>
      </c>
      <c r="DY137" s="31">
        <f ca="1"/>
        <v>0</v>
      </c>
      <c r="DZ137" s="31">
        <f ca="1"/>
        <v>0</v>
      </c>
      <c r="EA137" s="31">
        <f ca="1"/>
        <v>0</v>
      </c>
      <c r="EB137" s="31">
        <f ca="1"/>
        <v>0</v>
      </c>
      <c r="EC137" s="185">
        <f ca="1"/>
        <v>0</v>
      </c>
    </row>
    <row r="138" spans="1:133" x14ac:dyDescent="0.3">
      <c r="A138" t="str">
        <f>A139</f>
        <v>Overall: False claims of digital identity</v>
      </c>
      <c r="C138" s="55"/>
      <c r="D138" s="55"/>
      <c r="E138" s="55"/>
      <c r="F138" s="55"/>
      <c r="G138" s="55"/>
      <c r="H138" s="55"/>
      <c r="I138" s="55"/>
      <c r="J138" s="55"/>
      <c r="K138" s="55"/>
      <c r="L138" s="55"/>
      <c r="M138" s="55"/>
      <c r="N138" s="55"/>
      <c r="O138" s="55"/>
      <c r="P138" s="55"/>
      <c r="Q138" s="55"/>
      <c r="R138" s="55"/>
      <c r="S138" s="55"/>
      <c r="T138" s="55"/>
      <c r="U138" s="55"/>
      <c r="V138" s="55"/>
      <c r="W138" s="55"/>
      <c r="X138" s="55"/>
      <c r="Y138" s="55"/>
      <c r="Z138" s="55"/>
      <c r="AA138" s="55"/>
      <c r="AB138" s="55"/>
      <c r="AC138" s="55"/>
      <c r="AD138" s="55"/>
      <c r="AE138" s="55"/>
      <c r="AF138" s="55"/>
      <c r="AG138" s="55"/>
      <c r="AH138" s="55"/>
      <c r="AI138" s="55"/>
      <c r="AJ138" s="55"/>
      <c r="AK138" s="55"/>
      <c r="AL138" s="55"/>
      <c r="AM138" s="55"/>
      <c r="AN138" s="55"/>
      <c r="AO138" s="55"/>
      <c r="AP138" s="55"/>
      <c r="AQ138" s="55"/>
      <c r="AR138" s="55"/>
      <c r="AS138" s="55"/>
      <c r="AT138" s="55"/>
      <c r="AU138" s="55"/>
      <c r="AV138" s="55"/>
      <c r="AW138" s="186"/>
      <c r="AX138" s="186"/>
      <c r="AY138" s="186"/>
      <c r="AZ138" s="186"/>
      <c r="BA138" s="186"/>
      <c r="BB138" s="186"/>
      <c r="BC138" s="186"/>
      <c r="BD138" s="186"/>
      <c r="BE138" s="186"/>
      <c r="BF138" s="186"/>
      <c r="BG138" s="186"/>
      <c r="BH138" s="186"/>
      <c r="BI138" s="186"/>
      <c r="BJ138" s="186"/>
      <c r="BK138" s="186"/>
      <c r="BL138" s="186"/>
      <c r="BM138" s="186"/>
      <c r="BN138" s="186"/>
      <c r="BO138" s="186"/>
      <c r="BP138" s="186"/>
      <c r="BQ138" s="186"/>
      <c r="BR138" s="186"/>
      <c r="BS138" s="186"/>
      <c r="BT138" s="186"/>
      <c r="BU138" s="186"/>
      <c r="BV138" s="186"/>
      <c r="BW138" s="186"/>
      <c r="BX138" s="186"/>
      <c r="BY138" s="186"/>
      <c r="BZ138" s="186"/>
      <c r="CA138" s="186"/>
      <c r="CB138" s="186"/>
      <c r="CC138" s="186"/>
      <c r="CD138" s="186"/>
      <c r="CE138" s="186"/>
      <c r="CF138" s="186"/>
      <c r="CG138" s="186"/>
      <c r="CH138" s="186"/>
      <c r="CI138" s="186"/>
      <c r="CJ138" s="186"/>
      <c r="CK138" s="186"/>
      <c r="CL138" s="186"/>
      <c r="CM138" s="186"/>
      <c r="CN138" s="186"/>
      <c r="CO138" s="186"/>
      <c r="CP138" s="186"/>
      <c r="CQ138" s="186"/>
      <c r="CR138" s="186"/>
      <c r="CS138" s="186"/>
      <c r="CT138" s="186"/>
      <c r="CU138" s="186"/>
      <c r="CV138" s="186"/>
      <c r="CW138" s="186"/>
      <c r="CX138" s="186"/>
      <c r="CZ138" t="str">
        <f>A148</f>
        <v>Overall: Personal risk</v>
      </c>
      <c r="DO138" s="89"/>
      <c r="DQ138" s="55">
        <f ca="1"/>
        <v>0</v>
      </c>
      <c r="DR138" s="55">
        <f ca="1"/>
        <v>0</v>
      </c>
      <c r="DS138" s="55">
        <f ca="1"/>
        <v>0</v>
      </c>
      <c r="DT138" s="55">
        <f ca="1"/>
        <v>0</v>
      </c>
      <c r="DU138" s="55">
        <f ca="1"/>
        <v>0</v>
      </c>
      <c r="DV138" s="55">
        <f ca="1"/>
        <v>0</v>
      </c>
      <c r="DW138" s="55">
        <f ca="1"/>
        <v>0</v>
      </c>
      <c r="DX138" s="55">
        <f ca="1"/>
        <v>0</v>
      </c>
      <c r="DY138" s="55">
        <f ca="1"/>
        <v>0</v>
      </c>
      <c r="DZ138" s="55">
        <f ca="1"/>
        <v>0</v>
      </c>
      <c r="EA138" s="55">
        <f ca="1"/>
        <v>0</v>
      </c>
      <c r="EB138" s="55">
        <f ca="1"/>
        <v>0</v>
      </c>
      <c r="EC138" s="186">
        <f ca="1"/>
        <v>0</v>
      </c>
    </row>
    <row r="139" spans="1:133" x14ac:dyDescent="0.3">
      <c r="A139" t="str">
        <f>A140</f>
        <v>Overall: False claims of digital identity</v>
      </c>
      <c r="B139" s="57" t="str">
        <f t="shared" ref="B139:N139" si="287">C$1</f>
        <v>Apr</v>
      </c>
      <c r="C139" s="57" t="str">
        <f t="shared" si="287"/>
        <v>May</v>
      </c>
      <c r="D139" s="57" t="str">
        <f t="shared" si="287"/>
        <v>Jun</v>
      </c>
      <c r="E139" s="57" t="str">
        <f t="shared" si="287"/>
        <v>Jul</v>
      </c>
      <c r="F139" s="57" t="str">
        <f t="shared" si="287"/>
        <v>Aug</v>
      </c>
      <c r="G139" s="57" t="str">
        <f t="shared" si="287"/>
        <v>Sep</v>
      </c>
      <c r="H139" s="57" t="str">
        <f t="shared" si="287"/>
        <v>Oct</v>
      </c>
      <c r="I139" s="57" t="str">
        <f t="shared" si="287"/>
        <v>Nov</v>
      </c>
      <c r="J139" s="57" t="str">
        <f t="shared" si="287"/>
        <v>Dec 2011</v>
      </c>
      <c r="K139" s="57" t="str">
        <f t="shared" si="287"/>
        <v>Jan 2012</v>
      </c>
      <c r="L139" s="57" t="str">
        <f t="shared" si="287"/>
        <v>Feb</v>
      </c>
      <c r="M139" s="57" t="str">
        <f t="shared" si="287"/>
        <v>Mar</v>
      </c>
      <c r="N139" s="57" t="str">
        <f t="shared" si="287"/>
        <v>Apr</v>
      </c>
      <c r="O139" s="57" t="str">
        <f t="shared" ref="O139:AD139" si="288">P$1</f>
        <v>May</v>
      </c>
      <c r="P139" s="57" t="str">
        <f t="shared" si="288"/>
        <v>Jun</v>
      </c>
      <c r="Q139" s="57" t="str">
        <f t="shared" si="288"/>
        <v>Jul</v>
      </c>
      <c r="R139" s="57" t="str">
        <f t="shared" si="288"/>
        <v>Aug</v>
      </c>
      <c r="S139" s="57" t="str">
        <f t="shared" si="288"/>
        <v>Sep</v>
      </c>
      <c r="T139" s="57" t="str">
        <f t="shared" si="288"/>
        <v>Oct</v>
      </c>
      <c r="U139" s="57" t="str">
        <f t="shared" si="288"/>
        <v>Nov</v>
      </c>
      <c r="V139" s="57" t="str">
        <f t="shared" si="288"/>
        <v>Dec 2012</v>
      </c>
      <c r="W139" s="57" t="str">
        <f t="shared" si="288"/>
        <v>Jan 2013</v>
      </c>
      <c r="X139" s="57" t="str">
        <f t="shared" si="288"/>
        <v>Feb</v>
      </c>
      <c r="Y139" s="57" t="str">
        <f t="shared" si="288"/>
        <v>Mar</v>
      </c>
      <c r="Z139" s="57" t="str">
        <f t="shared" si="288"/>
        <v>Apr</v>
      </c>
      <c r="AA139" s="57" t="str">
        <f t="shared" si="288"/>
        <v>May</v>
      </c>
      <c r="AB139" s="57" t="str">
        <f t="shared" si="288"/>
        <v>Jun</v>
      </c>
      <c r="AC139" s="57" t="str">
        <f t="shared" si="288"/>
        <v>Jul</v>
      </c>
      <c r="AD139" s="57" t="str">
        <f t="shared" si="288"/>
        <v>Aug</v>
      </c>
      <c r="AE139" s="57" t="str">
        <f>AF$1</f>
        <v>Sep</v>
      </c>
      <c r="AF139" s="57" t="str">
        <f t="shared" ref="AF139:AK139" si="289">AG$1</f>
        <v>Oct</v>
      </c>
      <c r="AG139" s="57" t="str">
        <f t="shared" si="289"/>
        <v>Nov</v>
      </c>
      <c r="AH139" s="57" t="str">
        <f t="shared" si="289"/>
        <v>Dec 2013</v>
      </c>
      <c r="AI139" s="57" t="str">
        <f t="shared" si="289"/>
        <v>Jan 2014</v>
      </c>
      <c r="AJ139" s="57" t="str">
        <f t="shared" si="289"/>
        <v>Feb</v>
      </c>
      <c r="AK139" s="57" t="str">
        <f t="shared" si="289"/>
        <v>Mar</v>
      </c>
      <c r="AL139" s="57" t="str">
        <f t="shared" ref="AL139:CI139" si="290">AM$1</f>
        <v>Apr</v>
      </c>
      <c r="AM139" s="57" t="str">
        <f t="shared" si="290"/>
        <v>May</v>
      </c>
      <c r="AN139" s="57" t="str">
        <f t="shared" si="290"/>
        <v>Jun</v>
      </c>
      <c r="AO139" s="57" t="str">
        <f t="shared" si="290"/>
        <v>Jul</v>
      </c>
      <c r="AP139" s="57" t="str">
        <f t="shared" si="290"/>
        <v>Aug</v>
      </c>
      <c r="AQ139" s="57" t="str">
        <f t="shared" si="290"/>
        <v>Sep</v>
      </c>
      <c r="AR139" s="57" t="str">
        <f t="shared" si="290"/>
        <v>Oct</v>
      </c>
      <c r="AS139" s="57" t="str">
        <f t="shared" si="290"/>
        <v>Nov</v>
      </c>
      <c r="AT139" s="57" t="str">
        <f t="shared" si="290"/>
        <v>Dec '14</v>
      </c>
      <c r="AU139" s="57" t="str">
        <f t="shared" si="290"/>
        <v>Jan '15</v>
      </c>
      <c r="AV139" s="57" t="str">
        <f t="shared" si="290"/>
        <v>Feb</v>
      </c>
      <c r="AW139" s="57" t="str">
        <f t="shared" si="290"/>
        <v>Mar</v>
      </c>
      <c r="AX139" s="57" t="str">
        <f t="shared" si="290"/>
        <v>Apr</v>
      </c>
      <c r="AY139" s="57" t="str">
        <f t="shared" si="290"/>
        <v>May</v>
      </c>
      <c r="AZ139" s="57" t="str">
        <f t="shared" si="290"/>
        <v>Jun</v>
      </c>
      <c r="BA139" s="57" t="str">
        <f t="shared" si="290"/>
        <v>Jul</v>
      </c>
      <c r="BB139" s="57" t="str">
        <f t="shared" si="290"/>
        <v>Aug</v>
      </c>
      <c r="BC139" s="57" t="str">
        <f t="shared" si="290"/>
        <v>Sep</v>
      </c>
      <c r="BD139" s="57" t="str">
        <f t="shared" si="290"/>
        <v>Oct</v>
      </c>
      <c r="BE139" s="57" t="str">
        <f t="shared" si="290"/>
        <v>Nov</v>
      </c>
      <c r="BF139" s="57" t="str">
        <f t="shared" si="290"/>
        <v>Dec '15</v>
      </c>
      <c r="BG139" s="57" t="str">
        <f t="shared" si="290"/>
        <v>Jan '16</v>
      </c>
      <c r="BH139" s="57" t="str">
        <f t="shared" si="290"/>
        <v>Feb</v>
      </c>
      <c r="BI139" s="57" t="str">
        <f t="shared" si="290"/>
        <v>Mar</v>
      </c>
      <c r="BJ139" s="57" t="str">
        <f t="shared" si="290"/>
        <v>Apr</v>
      </c>
      <c r="BK139" s="57" t="str">
        <f t="shared" si="290"/>
        <v>May</v>
      </c>
      <c r="BL139" s="57" t="str">
        <f t="shared" si="290"/>
        <v>Jun</v>
      </c>
      <c r="BM139" s="57" t="str">
        <f t="shared" si="290"/>
        <v>Jul</v>
      </c>
      <c r="BN139" s="57" t="str">
        <f t="shared" si="290"/>
        <v>Aug</v>
      </c>
      <c r="BO139" s="57" t="str">
        <f t="shared" si="290"/>
        <v>Sep</v>
      </c>
      <c r="BP139" s="57" t="str">
        <f t="shared" si="290"/>
        <v>Oct</v>
      </c>
      <c r="BQ139" s="57" t="str">
        <f t="shared" si="290"/>
        <v>Nov</v>
      </c>
      <c r="BR139" s="57" t="str">
        <f t="shared" si="290"/>
        <v>Dec-16</v>
      </c>
      <c r="BS139" s="57" t="str">
        <f t="shared" si="290"/>
        <v>Jan-17</v>
      </c>
      <c r="BT139" s="57" t="str">
        <f t="shared" si="290"/>
        <v>Feb</v>
      </c>
      <c r="BU139" s="57" t="str">
        <f t="shared" si="290"/>
        <v>Mar</v>
      </c>
      <c r="BV139" s="57" t="str">
        <f t="shared" si="290"/>
        <v>Apr</v>
      </c>
      <c r="BW139" s="57" t="str">
        <f t="shared" si="290"/>
        <v>May</v>
      </c>
      <c r="BX139" s="57" t="str">
        <f t="shared" si="290"/>
        <v>Jun</v>
      </c>
      <c r="BY139" s="57" t="str">
        <f t="shared" si="290"/>
        <v>Jul</v>
      </c>
      <c r="BZ139" s="57" t="str">
        <f t="shared" si="290"/>
        <v>Aug</v>
      </c>
      <c r="CA139" s="57" t="str">
        <f t="shared" si="290"/>
        <v>Sep</v>
      </c>
      <c r="CB139" s="57" t="str">
        <f t="shared" si="290"/>
        <v>Oct</v>
      </c>
      <c r="CC139" s="57" t="str">
        <f t="shared" si="290"/>
        <v>Nov</v>
      </c>
      <c r="CD139" s="57" t="str">
        <f t="shared" si="290"/>
        <v>Dec</v>
      </c>
      <c r="CE139" s="57" t="str">
        <f t="shared" si="290"/>
        <v>Jan '18</v>
      </c>
      <c r="CF139" s="57" t="str">
        <f t="shared" si="290"/>
        <v>Feb</v>
      </c>
      <c r="CG139" s="57" t="str">
        <f t="shared" si="290"/>
        <v>Mar</v>
      </c>
      <c r="CH139" s="57" t="str">
        <f t="shared" si="290"/>
        <v>Apr</v>
      </c>
      <c r="CI139" s="57" t="str">
        <f t="shared" si="290"/>
        <v>May</v>
      </c>
      <c r="CJ139" s="57" t="str">
        <f t="shared" ref="CJ139:CO139" si="291">CK$1</f>
        <v>Jun</v>
      </c>
      <c r="CK139" s="57" t="str">
        <f t="shared" si="291"/>
        <v>Jul</v>
      </c>
      <c r="CL139" s="57" t="str">
        <f t="shared" si="291"/>
        <v>Aug</v>
      </c>
      <c r="CM139" s="57" t="str">
        <f t="shared" si="291"/>
        <v>Sep</v>
      </c>
      <c r="CN139" s="57" t="str">
        <f t="shared" si="291"/>
        <v>Oct</v>
      </c>
      <c r="CO139" s="57" t="str">
        <f t="shared" si="291"/>
        <v>Nov</v>
      </c>
      <c r="CP139" s="57" t="str">
        <f t="shared" ref="CP139:CX139" si="292">CQ$1</f>
        <v>Dec-18</v>
      </c>
      <c r="CQ139" s="57" t="str">
        <f t="shared" si="292"/>
        <v>Jan-19</v>
      </c>
      <c r="CR139" s="57" t="str">
        <f t="shared" si="292"/>
        <v>Feb-19</v>
      </c>
      <c r="CS139" s="57" t="str">
        <f t="shared" si="292"/>
        <v>Mar-19</v>
      </c>
      <c r="CT139" s="57" t="str">
        <f t="shared" si="292"/>
        <v>Apr-19</v>
      </c>
      <c r="CU139" s="57" t="str">
        <f t="shared" si="292"/>
        <v>May-19</v>
      </c>
      <c r="CV139" s="57" t="str">
        <f t="shared" si="292"/>
        <v>June-19</v>
      </c>
      <c r="CW139" s="57" t="str">
        <f t="shared" si="292"/>
        <v>July-19</v>
      </c>
      <c r="CX139" s="57" t="str">
        <f t="shared" si="292"/>
        <v>Aug-19</v>
      </c>
      <c r="DO139" s="89"/>
      <c r="DQ139" s="57" t="str">
        <f ca="1"/>
        <v>Aug</v>
      </c>
      <c r="DR139" s="57" t="str">
        <f ca="1"/>
        <v>Sep</v>
      </c>
      <c r="DS139" s="57" t="str">
        <f ca="1"/>
        <v>Oct</v>
      </c>
      <c r="DT139" s="57" t="str">
        <f ca="1"/>
        <v>Nov</v>
      </c>
      <c r="DU139" s="57" t="str">
        <f ca="1"/>
        <v>Dec-18</v>
      </c>
      <c r="DV139" s="57" t="str">
        <f ca="1"/>
        <v>Jan-19</v>
      </c>
      <c r="DW139" s="57" t="str">
        <f ca="1"/>
        <v>Feb-19</v>
      </c>
      <c r="DX139" s="57" t="str">
        <f ca="1"/>
        <v>Mar-19</v>
      </c>
      <c r="DY139" s="57" t="str">
        <f ca="1"/>
        <v>Apr-19</v>
      </c>
      <c r="DZ139" s="57" t="str">
        <f ca="1"/>
        <v>May-19</v>
      </c>
      <c r="EA139" s="57" t="str">
        <f ca="1"/>
        <v>June-19</v>
      </c>
      <c r="EB139" s="57" t="str">
        <f ca="1"/>
        <v>July-19</v>
      </c>
      <c r="EC139" s="57" t="str">
        <f ca="1"/>
        <v>Aug-19</v>
      </c>
    </row>
    <row r="140" spans="1:133" x14ac:dyDescent="0.3">
      <c r="A140" t="str">
        <f>A24</f>
        <v>Overall: False claims of digital identity</v>
      </c>
      <c r="B140" s="31">
        <f t="shared" ref="B140:AD140" si="293">C24</f>
        <v>0</v>
      </c>
      <c r="C140" s="31">
        <f t="shared" si="293"/>
        <v>0</v>
      </c>
      <c r="D140" s="31">
        <f t="shared" si="293"/>
        <v>0</v>
      </c>
      <c r="E140" s="31">
        <f t="shared" si="293"/>
        <v>0</v>
      </c>
      <c r="F140" s="31">
        <f t="shared" si="293"/>
        <v>0</v>
      </c>
      <c r="G140" s="31">
        <f t="shared" si="293"/>
        <v>0</v>
      </c>
      <c r="H140" s="31">
        <f t="shared" si="293"/>
        <v>0</v>
      </c>
      <c r="I140" s="31">
        <f t="shared" si="293"/>
        <v>0</v>
      </c>
      <c r="J140" s="31">
        <f t="shared" si="293"/>
        <v>0</v>
      </c>
      <c r="K140" s="31">
        <f t="shared" si="293"/>
        <v>0</v>
      </c>
      <c r="L140" s="31">
        <f t="shared" si="293"/>
        <v>0</v>
      </c>
      <c r="M140" s="31">
        <f t="shared" si="293"/>
        <v>0</v>
      </c>
      <c r="N140" s="31">
        <f t="shared" si="293"/>
        <v>0</v>
      </c>
      <c r="O140" s="31">
        <f t="shared" si="293"/>
        <v>0</v>
      </c>
      <c r="P140" s="31">
        <f t="shared" si="293"/>
        <v>0</v>
      </c>
      <c r="Q140" s="31">
        <f t="shared" si="293"/>
        <v>0</v>
      </c>
      <c r="R140" s="31">
        <f t="shared" si="293"/>
        <v>0</v>
      </c>
      <c r="S140" s="31">
        <f t="shared" si="293"/>
        <v>0</v>
      </c>
      <c r="T140" s="31">
        <f t="shared" si="293"/>
        <v>0</v>
      </c>
      <c r="U140" s="31">
        <f t="shared" si="293"/>
        <v>0</v>
      </c>
      <c r="V140" s="31">
        <f t="shared" si="293"/>
        <v>0</v>
      </c>
      <c r="W140" s="31">
        <f t="shared" si="293"/>
        <v>0</v>
      </c>
      <c r="X140" s="31">
        <f t="shared" si="293"/>
        <v>0</v>
      </c>
      <c r="Y140" s="31">
        <f t="shared" si="293"/>
        <v>0</v>
      </c>
      <c r="Z140" s="31">
        <f t="shared" si="293"/>
        <v>0</v>
      </c>
      <c r="AA140" s="31">
        <f t="shared" si="293"/>
        <v>1000</v>
      </c>
      <c r="AB140" s="31">
        <f t="shared" si="293"/>
        <v>1009.2259727871328</v>
      </c>
      <c r="AC140" s="31">
        <f t="shared" si="293"/>
        <v>1009.2259727871328</v>
      </c>
      <c r="AD140" s="31">
        <f t="shared" si="293"/>
        <v>1014.9547709168886</v>
      </c>
      <c r="AE140" s="31">
        <f>AF24</f>
        <v>1028.0507809748431</v>
      </c>
      <c r="AF140" s="31">
        <f t="shared" ref="AF140:AK140" si="294">AG24</f>
        <v>1037.5355495039078</v>
      </c>
      <c r="AG140" s="31">
        <f t="shared" si="294"/>
        <v>1042.7362180881662</v>
      </c>
      <c r="AH140" s="31">
        <f t="shared" si="294"/>
        <v>1050.7881953589722</v>
      </c>
      <c r="AI140" s="31">
        <f t="shared" si="294"/>
        <v>1058.4781950017762</v>
      </c>
      <c r="AJ140" s="31">
        <f t="shared" si="294"/>
        <v>1070.8579166295483</v>
      </c>
      <c r="AK140" s="31">
        <f t="shared" si="294"/>
        <v>1076.7507304453347</v>
      </c>
      <c r="AL140" s="31">
        <f t="shared" ref="AL140:CI140" si="295">AM24</f>
        <v>1077.3769303290835</v>
      </c>
      <c r="AM140" s="31">
        <f t="shared" si="295"/>
        <v>1086.5983601238859</v>
      </c>
      <c r="AN140" s="31">
        <f t="shared" si="295"/>
        <v>1096.5823486419915</v>
      </c>
      <c r="AO140" s="31">
        <f t="shared" si="295"/>
        <v>1119.5341632662598</v>
      </c>
      <c r="AP140" s="31">
        <f t="shared" si="295"/>
        <v>1132.2674294088413</v>
      </c>
      <c r="AQ140" s="31">
        <f t="shared" si="295"/>
        <v>1142.4222264829784</v>
      </c>
      <c r="AR140" s="31">
        <f t="shared" si="295"/>
        <v>1156.7921290977383</v>
      </c>
      <c r="AS140" s="31">
        <f t="shared" si="295"/>
        <v>1161.3674380920518</v>
      </c>
      <c r="AT140" s="31">
        <f t="shared" si="295"/>
        <v>1172.1136566371511</v>
      </c>
      <c r="AU140" s="31">
        <f t="shared" si="295"/>
        <v>1174.1132813842644</v>
      </c>
      <c r="AV140" s="31">
        <f t="shared" si="295"/>
        <v>1189.6642248274484</v>
      </c>
      <c r="AW140" s="185">
        <f t="shared" si="295"/>
        <v>1203.1235139046764</v>
      </c>
      <c r="AX140" s="185">
        <f t="shared" si="295"/>
        <v>1203.1235139046764</v>
      </c>
      <c r="AY140" s="185">
        <f t="shared" si="295"/>
        <v>1200.9246899411344</v>
      </c>
      <c r="AZ140" s="185">
        <f t="shared" si="295"/>
        <v>1196.5390903567093</v>
      </c>
      <c r="BA140" s="185">
        <f t="shared" si="295"/>
        <v>1208.7278387012595</v>
      </c>
      <c r="BB140" s="185">
        <f t="shared" si="295"/>
        <v>1204.2921451976747</v>
      </c>
      <c r="BC140" s="185">
        <f t="shared" si="295"/>
        <v>1211.8425415155566</v>
      </c>
      <c r="BD140" s="185">
        <f t="shared" si="295"/>
        <v>1221.4475842295467</v>
      </c>
      <c r="BE140" s="185">
        <f t="shared" si="295"/>
        <v>1222.5790779738013</v>
      </c>
      <c r="BF140" s="185">
        <f t="shared" si="295"/>
        <v>1231.7828922191861</v>
      </c>
      <c r="BG140" s="185">
        <f t="shared" si="295"/>
        <v>1234.5030594452189</v>
      </c>
      <c r="BH140" s="185">
        <f t="shared" si="295"/>
        <v>1240.3033764085574</v>
      </c>
      <c r="BI140" s="185">
        <f t="shared" si="295"/>
        <v>1237.337273162761</v>
      </c>
      <c r="BJ140" s="185">
        <f t="shared" si="295"/>
        <v>1233.8070693606549</v>
      </c>
      <c r="BK140" s="185">
        <f t="shared" si="295"/>
        <v>1242.7946976080846</v>
      </c>
      <c r="BL140" s="185">
        <f t="shared" si="295"/>
        <v>1242.7946976080846</v>
      </c>
      <c r="BM140" s="185">
        <f t="shared" si="295"/>
        <v>1252.4745729448812</v>
      </c>
      <c r="BN140" s="185">
        <f t="shared" si="295"/>
        <v>1263.9126177647106</v>
      </c>
      <c r="BO140" s="185">
        <f t="shared" si="295"/>
        <v>1286.1283214608354</v>
      </c>
      <c r="BP140" s="185">
        <f t="shared" si="295"/>
        <v>1286.1283214608354</v>
      </c>
      <c r="BQ140" s="185">
        <f t="shared" si="295"/>
        <v>1288.9685006276427</v>
      </c>
      <c r="BR140" s="185">
        <f t="shared" si="295"/>
        <v>1310.6313311066742</v>
      </c>
      <c r="BS140" s="185">
        <f t="shared" si="295"/>
        <v>1323.3764304857677</v>
      </c>
      <c r="BT140" s="185">
        <f t="shared" si="295"/>
        <v>1329.7953820243283</v>
      </c>
      <c r="BU140" s="185">
        <f t="shared" si="295"/>
        <v>1336.4610091154602</v>
      </c>
      <c r="BV140" s="185">
        <f t="shared" si="295"/>
        <v>1342.9434265539655</v>
      </c>
      <c r="BW140" s="185">
        <f t="shared" si="295"/>
        <v>1346.1964167131321</v>
      </c>
      <c r="BX140" s="185">
        <f t="shared" si="295"/>
        <v>1359.7259156292073</v>
      </c>
      <c r="BY140" s="185">
        <f t="shared" si="295"/>
        <v>1375.50592424713</v>
      </c>
      <c r="BZ140" s="185">
        <f t="shared" si="295"/>
        <v>1382.6039855506008</v>
      </c>
      <c r="CA140" s="185">
        <f t="shared" si="295"/>
        <v>1399.9950027827369</v>
      </c>
      <c r="CB140" s="185">
        <f t="shared" si="295"/>
        <v>1429.0421311306022</v>
      </c>
      <c r="CC140" s="185">
        <f t="shared" si="295"/>
        <v>1440.1726498775824</v>
      </c>
      <c r="CD140" s="185">
        <f t="shared" si="295"/>
        <v>1452.6897649023133</v>
      </c>
      <c r="CE140" s="185">
        <f t="shared" si="295"/>
        <v>1456.5861141964972</v>
      </c>
      <c r="CF140" s="185">
        <f t="shared" si="295"/>
        <v>1469.7545583360156</v>
      </c>
      <c r="CG140" s="185">
        <f t="shared" si="295"/>
        <v>1469.7545583360156</v>
      </c>
      <c r="CH140" s="185">
        <f t="shared" ca="1" si="295"/>
        <v>1143.6699917353874</v>
      </c>
      <c r="CI140" s="185">
        <f t="shared" si="295"/>
        <v>1472.8101200895815</v>
      </c>
      <c r="CJ140" s="185">
        <f t="shared" ref="CJ140:CO140" si="296">CK24</f>
        <v>1496.0035046642738</v>
      </c>
      <c r="CK140" s="185">
        <f t="shared" si="296"/>
        <v>1509.5283065223243</v>
      </c>
      <c r="CL140" s="185">
        <f t="shared" si="296"/>
        <v>1518.2622936437847</v>
      </c>
      <c r="CM140" s="185">
        <f t="shared" si="296"/>
        <v>1533.1877454576324</v>
      </c>
      <c r="CN140" s="185">
        <f t="shared" si="296"/>
        <v>1514.1421814032217</v>
      </c>
      <c r="CO140" s="185">
        <f t="shared" si="296"/>
        <v>1509.4178726633943</v>
      </c>
      <c r="CP140" s="185">
        <f t="shared" ref="CP140:CX140" si="297">CQ24</f>
        <v>1529.2348923459199</v>
      </c>
      <c r="CQ140" s="185">
        <f t="shared" si="297"/>
        <v>1569.5163898489934</v>
      </c>
      <c r="CR140" s="185">
        <f t="shared" si="297"/>
        <v>1576.069684689912</v>
      </c>
      <c r="CS140" s="185">
        <f t="shared" si="297"/>
        <v>1557.7698649475046</v>
      </c>
      <c r="CT140" s="185">
        <f t="shared" si="297"/>
        <v>1612.6049829898598</v>
      </c>
      <c r="CU140" s="185">
        <f t="shared" si="297"/>
        <v>1621.9353619516723</v>
      </c>
      <c r="CV140" s="185">
        <f t="shared" si="297"/>
        <v>1636.7474545606663</v>
      </c>
      <c r="CW140" s="185">
        <f t="shared" si="297"/>
        <v>1663.2648397329897</v>
      </c>
      <c r="CX140" s="185">
        <f t="shared" si="297"/>
        <v>1663.2648397329897</v>
      </c>
      <c r="DO140" s="89"/>
      <c r="DQ140" s="31">
        <f ca="1"/>
        <v>1518.2622936437847</v>
      </c>
      <c r="DR140" s="31">
        <f ca="1"/>
        <v>1533.1877454576324</v>
      </c>
      <c r="DS140" s="31">
        <f ca="1"/>
        <v>1514.1421814032217</v>
      </c>
      <c r="DT140" s="31">
        <f ca="1"/>
        <v>1509.4178726633943</v>
      </c>
      <c r="DU140" s="31">
        <f ca="1"/>
        <v>1529.2348923459199</v>
      </c>
      <c r="DV140" s="31">
        <f ca="1"/>
        <v>1569.5163898489934</v>
      </c>
      <c r="DW140" s="31">
        <f ca="1"/>
        <v>1576.069684689912</v>
      </c>
      <c r="DX140" s="31">
        <f ca="1"/>
        <v>1557.7698649475046</v>
      </c>
      <c r="DY140" s="31">
        <f ca="1"/>
        <v>1612.6049829898598</v>
      </c>
      <c r="DZ140" s="31">
        <f ca="1"/>
        <v>1621.9353619516723</v>
      </c>
      <c r="EA140" s="31">
        <f ca="1"/>
        <v>1636.7474545606663</v>
      </c>
      <c r="EB140" s="31">
        <f ca="1"/>
        <v>1663.2648397329897</v>
      </c>
      <c r="EC140" s="185">
        <f ca="1"/>
        <v>1663.2648397329897</v>
      </c>
    </row>
    <row r="141" spans="1:133" x14ac:dyDescent="0.3">
      <c r="A141" t="s">
        <v>108</v>
      </c>
      <c r="C141" s="55">
        <v>0</v>
      </c>
      <c r="D141" s="55">
        <v>0</v>
      </c>
      <c r="E141" s="55">
        <v>0</v>
      </c>
      <c r="F141" s="55">
        <v>0</v>
      </c>
      <c r="G141" s="55">
        <v>0</v>
      </c>
      <c r="H141" s="55">
        <v>0</v>
      </c>
      <c r="I141" s="55">
        <v>0</v>
      </c>
      <c r="J141" s="55">
        <v>0</v>
      </c>
      <c r="K141" s="55">
        <v>0</v>
      </c>
      <c r="L141" s="55">
        <v>0</v>
      </c>
      <c r="M141" s="55">
        <v>0</v>
      </c>
      <c r="N141" s="55">
        <v>0</v>
      </c>
      <c r="O141" s="55">
        <v>0</v>
      </c>
      <c r="P141" s="55">
        <v>0</v>
      </c>
      <c r="Q141" s="55">
        <v>0</v>
      </c>
      <c r="R141" s="55">
        <v>0</v>
      </c>
      <c r="S141" s="55">
        <v>0</v>
      </c>
      <c r="T141" s="55">
        <v>0</v>
      </c>
      <c r="U141" s="55">
        <v>0</v>
      </c>
      <c r="V141" s="55">
        <v>0</v>
      </c>
      <c r="W141" s="55">
        <v>0</v>
      </c>
      <c r="X141" s="55">
        <v>0</v>
      </c>
      <c r="Y141" s="55">
        <v>0</v>
      </c>
      <c r="Z141" s="55">
        <v>0</v>
      </c>
      <c r="AA141" s="55">
        <v>0</v>
      </c>
      <c r="AB141" s="55">
        <f>LN(AB140)-LN(AA140)</f>
        <v>9.1836734693879762E-3</v>
      </c>
      <c r="AC141" s="55">
        <f>LN(AC140)-LN(AB140)</f>
        <v>0</v>
      </c>
      <c r="AD141" s="55">
        <f>LN(AD140)-LN(AC140)</f>
        <v>5.6603773584908978E-3</v>
      </c>
      <c r="AE141" s="55">
        <f>LN(AE140)-LN(AD140)</f>
        <v>1.2820512820511887E-2</v>
      </c>
      <c r="AF141" s="55">
        <f t="shared" ref="AF141:CI141" si="298">LN(AF140)-LN(AE140)</f>
        <v>9.1836734693879762E-3</v>
      </c>
      <c r="AG141" s="55">
        <f t="shared" si="298"/>
        <v>4.9999999999998934E-3</v>
      </c>
      <c r="AH141" s="55">
        <f t="shared" si="298"/>
        <v>7.692307692307665E-3</v>
      </c>
      <c r="AI141" s="55">
        <f t="shared" si="298"/>
        <v>7.2916666666671404E-3</v>
      </c>
      <c r="AJ141" s="55">
        <f t="shared" si="298"/>
        <v>1.1627906976744207E-2</v>
      </c>
      <c r="AK141" s="55">
        <f t="shared" si="298"/>
        <v>5.4878048780491184E-3</v>
      </c>
      <c r="AL141" s="55">
        <f t="shared" si="298"/>
        <v>5.8139534883672184E-4</v>
      </c>
      <c r="AM141" s="55">
        <f t="shared" si="298"/>
        <v>8.522727272727515E-3</v>
      </c>
      <c r="AN141" s="55">
        <f t="shared" si="298"/>
        <v>9.1463414634143092E-3</v>
      </c>
      <c r="AO141" s="55">
        <f t="shared" si="298"/>
        <v>2.0714285714285907E-2</v>
      </c>
      <c r="AP141" s="55">
        <f t="shared" si="298"/>
        <v>1.1309523809523547E-2</v>
      </c>
      <c r="AQ141" s="55">
        <f t="shared" si="298"/>
        <v>8.928571428572063E-3</v>
      </c>
      <c r="AR141" s="55">
        <f t="shared" si="298"/>
        <v>1.2500000000000178E-2</v>
      </c>
      <c r="AS141" s="55">
        <f t="shared" si="298"/>
        <v>3.9473684210520332E-3</v>
      </c>
      <c r="AT141" s="55">
        <f t="shared" si="298"/>
        <v>9.2105263157895578E-3</v>
      </c>
      <c r="AU141" s="55">
        <f t="shared" si="298"/>
        <v>1.7045454545456806E-3</v>
      </c>
      <c r="AV141" s="55">
        <f t="shared" si="298"/>
        <v>1.3157894736842479E-2</v>
      </c>
      <c r="AW141" s="186">
        <f t="shared" si="298"/>
        <v>1.1249999999999538E-2</v>
      </c>
      <c r="AX141" s="186">
        <f t="shared" si="298"/>
        <v>0</v>
      </c>
      <c r="AY141" s="186">
        <f t="shared" si="298"/>
        <v>-1.8292682926830395E-3</v>
      </c>
      <c r="AZ141" s="186">
        <f t="shared" si="298"/>
        <v>-3.658536585366079E-3</v>
      </c>
      <c r="BA141" s="186">
        <f t="shared" si="298"/>
        <v>1.0135135135135087E-2</v>
      </c>
      <c r="BB141" s="186">
        <f t="shared" si="298"/>
        <v>-3.6764705882355031E-3</v>
      </c>
      <c r="BC141" s="186">
        <f t="shared" si="298"/>
        <v>6.2500000000005329E-3</v>
      </c>
      <c r="BD141" s="186">
        <f t="shared" si="298"/>
        <v>7.8947368421049546E-3</v>
      </c>
      <c r="BE141" s="186">
        <f t="shared" si="298"/>
        <v>9.2592592592577461E-4</v>
      </c>
      <c r="BF141" s="186">
        <f t="shared" si="298"/>
        <v>7.5000000000002842E-3</v>
      </c>
      <c r="BG141" s="186">
        <f t="shared" si="298"/>
        <v>2.2058823529409466E-3</v>
      </c>
      <c r="BH141" s="186">
        <f t="shared" si="298"/>
        <v>4.6875000000001776E-3</v>
      </c>
      <c r="BI141" s="186">
        <f t="shared" si="298"/>
        <v>-2.3942977067976656E-3</v>
      </c>
      <c r="BJ141" s="186">
        <f t="shared" si="298"/>
        <v>-2.8571428571426694E-3</v>
      </c>
      <c r="BK141" s="186">
        <f t="shared" si="298"/>
        <v>7.2580645161286483E-3</v>
      </c>
      <c r="BL141" s="186">
        <f t="shared" si="298"/>
        <v>0</v>
      </c>
      <c r="BM141" s="186">
        <f t="shared" si="298"/>
        <v>7.7586206896551602E-3</v>
      </c>
      <c r="BN141" s="186">
        <f t="shared" si="298"/>
        <v>9.0909090909088164E-3</v>
      </c>
      <c r="BO141" s="186">
        <f t="shared" si="298"/>
        <v>1.7424242424242564E-2</v>
      </c>
      <c r="BP141" s="186">
        <f t="shared" si="298"/>
        <v>0</v>
      </c>
      <c r="BQ141" s="186">
        <f t="shared" si="298"/>
        <v>2.2058823529418348E-3</v>
      </c>
      <c r="BR141" s="186">
        <f t="shared" si="298"/>
        <v>1.6666666666666607E-2</v>
      </c>
      <c r="BS141" s="186">
        <f t="shared" si="298"/>
        <v>9.6774193548387899E-3</v>
      </c>
      <c r="BT141" s="186">
        <f t="shared" si="298"/>
        <v>4.8387096774193949E-3</v>
      </c>
      <c r="BU141" s="186">
        <f t="shared" si="298"/>
        <v>4.9999999999998934E-3</v>
      </c>
      <c r="BV141" s="186">
        <f t="shared" si="298"/>
        <v>4.8387096774193949E-3</v>
      </c>
      <c r="BW141" s="186">
        <f t="shared" si="298"/>
        <v>2.4193548387092534E-3</v>
      </c>
      <c r="BX141" s="186">
        <f t="shared" si="298"/>
        <v>9.9999999999997868E-3</v>
      </c>
      <c r="BY141" s="186">
        <f t="shared" si="298"/>
        <v>1.1538461538461497E-2</v>
      </c>
      <c r="BZ141" s="186">
        <f t="shared" si="298"/>
        <v>5.1470588235300596E-3</v>
      </c>
      <c r="CA141" s="186">
        <f t="shared" si="298"/>
        <v>1.2499999999999289E-2</v>
      </c>
      <c r="CB141" s="186">
        <f t="shared" si="298"/>
        <v>2.0535714285714768E-2</v>
      </c>
      <c r="CC141" s="186">
        <f t="shared" si="298"/>
        <v>7.7586206896551602E-3</v>
      </c>
      <c r="CD141" s="186">
        <f t="shared" si="298"/>
        <v>8.6538461538463451E-3</v>
      </c>
      <c r="CE141" s="186">
        <f t="shared" si="298"/>
        <v>2.6785714285706419E-3</v>
      </c>
      <c r="CF141" s="186">
        <f t="shared" si="298"/>
        <v>9.0000000000003411E-3</v>
      </c>
      <c r="CG141" s="186">
        <f t="shared" si="298"/>
        <v>0</v>
      </c>
      <c r="CH141" s="186">
        <f t="shared" ca="1" si="298"/>
        <v>-0.25085303715201146</v>
      </c>
      <c r="CI141" s="186">
        <f t="shared" ca="1" si="298"/>
        <v>0.25292983965984828</v>
      </c>
      <c r="CJ141" s="186">
        <f t="shared" ref="CJ141:CX141" si="299">LN(CJ140)-LN(CI140)</f>
        <v>1.5625E-2</v>
      </c>
      <c r="CK141" s="186">
        <f t="shared" si="299"/>
        <v>9.0000000000003411E-3</v>
      </c>
      <c r="CL141" s="186">
        <f t="shared" si="299"/>
        <v>5.7692307692303046E-3</v>
      </c>
      <c r="CM141" s="186">
        <f t="shared" si="299"/>
        <v>9.782608695652506E-3</v>
      </c>
      <c r="CN141" s="186">
        <f t="shared" si="299"/>
        <v>-1.2500000000000178E-2</v>
      </c>
      <c r="CO141" s="186">
        <f t="shared" si="299"/>
        <v>-3.1249999999998224E-3</v>
      </c>
      <c r="CP141" s="186">
        <f t="shared" si="299"/>
        <v>1.3043478260869712E-2</v>
      </c>
      <c r="CQ141" s="186">
        <f t="shared" si="299"/>
        <v>2.5999999999999801E-2</v>
      </c>
      <c r="CR141" s="186">
        <f t="shared" si="299"/>
        <v>4.1666666666664298E-3</v>
      </c>
      <c r="CS141" s="186">
        <f t="shared" si="299"/>
        <v>-1.1678981937602195E-2</v>
      </c>
      <c r="CT141" s="186">
        <f t="shared" si="299"/>
        <v>3.4595648604269336E-2</v>
      </c>
      <c r="CU141" s="186">
        <f t="shared" si="299"/>
        <v>5.7692307692311928E-3</v>
      </c>
      <c r="CV141" s="186">
        <f t="shared" si="299"/>
        <v>9.0909090909088164E-3</v>
      </c>
      <c r="CW141" s="186">
        <f t="shared" si="299"/>
        <v>1.6071428571428292E-2</v>
      </c>
      <c r="CX141" s="186">
        <f t="shared" si="299"/>
        <v>0</v>
      </c>
      <c r="DO141" s="89"/>
      <c r="DQ141" s="55">
        <f ca="1"/>
        <v>5.7692307692303046E-3</v>
      </c>
      <c r="DR141" s="55">
        <f ca="1"/>
        <v>9.782608695652506E-3</v>
      </c>
      <c r="DS141" s="55">
        <f ca="1"/>
        <v>-1.2500000000000178E-2</v>
      </c>
      <c r="DT141" s="55">
        <f ca="1"/>
        <v>-3.1249999999998224E-3</v>
      </c>
      <c r="DU141" s="55">
        <f ca="1"/>
        <v>1.3043478260869712E-2</v>
      </c>
      <c r="DV141" s="55">
        <f ca="1"/>
        <v>2.5999999999999801E-2</v>
      </c>
      <c r="DW141" s="55">
        <f ca="1"/>
        <v>4.1666666666664298E-3</v>
      </c>
      <c r="DX141" s="55">
        <f ca="1"/>
        <v>-1.1678981937602195E-2</v>
      </c>
      <c r="DY141" s="55">
        <f ca="1"/>
        <v>3.4595648604269336E-2</v>
      </c>
      <c r="DZ141" s="55">
        <f ca="1"/>
        <v>5.7692307692311928E-3</v>
      </c>
      <c r="EA141" s="55">
        <f ca="1"/>
        <v>9.0909090909088164E-3</v>
      </c>
      <c r="EB141" s="55">
        <f ca="1"/>
        <v>1.6071428571428292E-2</v>
      </c>
      <c r="EC141" s="186">
        <f ca="1"/>
        <v>0</v>
      </c>
    </row>
    <row r="142" spans="1:133" x14ac:dyDescent="0.3">
      <c r="B142" s="31"/>
      <c r="C142" s="31"/>
      <c r="D142" s="31"/>
      <c r="E142" s="31"/>
      <c r="F142" s="31"/>
      <c r="G142" s="31"/>
      <c r="H142" s="31"/>
      <c r="I142" s="31"/>
      <c r="J142" s="31"/>
      <c r="K142" s="31"/>
      <c r="L142" s="31"/>
      <c r="M142" s="31"/>
      <c r="N142" s="31"/>
      <c r="O142" s="31"/>
      <c r="P142" s="31"/>
      <c r="Q142" s="31"/>
      <c r="R142" s="31"/>
      <c r="S142" s="31"/>
      <c r="T142" s="31"/>
      <c r="U142" s="31"/>
      <c r="V142" s="31"/>
      <c r="W142" s="31"/>
      <c r="X142" s="31"/>
      <c r="Y142" s="31"/>
      <c r="Z142" s="31"/>
      <c r="AA142" s="31"/>
      <c r="AB142" s="31"/>
      <c r="AC142" s="31"/>
      <c r="AD142" s="31"/>
      <c r="AE142" s="31"/>
      <c r="AF142" s="31"/>
      <c r="AG142" s="31"/>
      <c r="AH142" s="31"/>
      <c r="AI142" s="31"/>
      <c r="AJ142" s="31"/>
      <c r="AK142" s="31"/>
      <c r="AL142" s="31"/>
      <c r="AM142" s="31"/>
      <c r="AN142" s="31"/>
      <c r="AO142" s="31"/>
      <c r="AP142" s="31"/>
      <c r="AQ142" s="31"/>
      <c r="AR142" s="31"/>
      <c r="AS142" s="31"/>
      <c r="AT142" s="31"/>
      <c r="AU142" s="31"/>
      <c r="AV142" s="31"/>
      <c r="AW142" s="185"/>
      <c r="AX142" s="185"/>
      <c r="AY142" s="185"/>
      <c r="AZ142" s="185"/>
      <c r="BA142" s="185"/>
      <c r="BB142" s="185"/>
      <c r="BC142" s="185"/>
      <c r="BD142" s="185"/>
      <c r="BE142" s="185"/>
      <c r="BF142" s="185"/>
      <c r="BG142" s="185"/>
      <c r="BH142" s="185"/>
      <c r="BI142" s="185"/>
      <c r="BJ142" s="185"/>
      <c r="BK142" s="185"/>
      <c r="BL142" s="185"/>
      <c r="BM142" s="185"/>
      <c r="BN142" s="185"/>
      <c r="BO142" s="185"/>
      <c r="BP142" s="185"/>
      <c r="BQ142" s="185"/>
      <c r="BR142" s="185"/>
      <c r="BS142" s="185"/>
      <c r="BT142" s="185"/>
      <c r="BU142" s="185"/>
      <c r="BV142" s="185"/>
      <c r="BW142" s="185"/>
      <c r="BX142" s="185"/>
      <c r="BY142" s="185"/>
      <c r="BZ142" s="185"/>
      <c r="CA142" s="185"/>
      <c r="CB142" s="185"/>
      <c r="CC142" s="185"/>
      <c r="CD142" s="185"/>
      <c r="CE142" s="185"/>
      <c r="CF142" s="185"/>
      <c r="CG142" s="185"/>
      <c r="CH142" s="185"/>
      <c r="CI142" s="185"/>
      <c r="CJ142" s="185"/>
      <c r="CK142" s="185"/>
      <c r="CL142" s="185"/>
      <c r="CM142" s="185"/>
      <c r="CN142" s="185"/>
      <c r="CO142" s="185"/>
      <c r="CP142" s="185"/>
      <c r="CQ142" s="185"/>
      <c r="CR142" s="185"/>
      <c r="CS142" s="185"/>
      <c r="CT142" s="185"/>
      <c r="CU142" s="185"/>
      <c r="CV142" s="185"/>
      <c r="CW142" s="185"/>
      <c r="CX142" s="185"/>
      <c r="DO142" s="89"/>
      <c r="DQ142" s="31">
        <f ca="1"/>
        <v>0</v>
      </c>
      <c r="DR142" s="31">
        <f ca="1"/>
        <v>0</v>
      </c>
      <c r="DS142" s="31">
        <f ca="1"/>
        <v>0</v>
      </c>
      <c r="DT142" s="31">
        <f ca="1"/>
        <v>0</v>
      </c>
      <c r="DU142" s="31">
        <f ca="1"/>
        <v>0</v>
      </c>
      <c r="DV142" s="31">
        <f ca="1"/>
        <v>0</v>
      </c>
      <c r="DW142" s="31">
        <f ca="1"/>
        <v>0</v>
      </c>
      <c r="DX142" s="31">
        <f ca="1"/>
        <v>0</v>
      </c>
      <c r="DY142" s="31">
        <f ca="1"/>
        <v>0</v>
      </c>
      <c r="DZ142" s="31">
        <f ca="1"/>
        <v>0</v>
      </c>
      <c r="EA142" s="31">
        <f ca="1"/>
        <v>0</v>
      </c>
      <c r="EB142" s="31">
        <f ca="1"/>
        <v>0</v>
      </c>
      <c r="EC142" s="185">
        <f ca="1"/>
        <v>0</v>
      </c>
    </row>
    <row r="143" spans="1:133" x14ac:dyDescent="0.3">
      <c r="A143" t="str">
        <f>A144</f>
        <v>Overall: Media &amp; public perception</v>
      </c>
      <c r="C143" s="55"/>
      <c r="D143" s="55"/>
      <c r="E143" s="55"/>
      <c r="F143" s="55"/>
      <c r="G143" s="55"/>
      <c r="H143" s="55"/>
      <c r="I143" s="55"/>
      <c r="J143" s="55"/>
      <c r="K143" s="55"/>
      <c r="L143" s="55"/>
      <c r="M143" s="55"/>
      <c r="N143" s="55"/>
      <c r="O143" s="55"/>
      <c r="P143" s="55"/>
      <c r="Q143" s="55"/>
      <c r="R143" s="55"/>
      <c r="S143" s="55"/>
      <c r="T143" s="55"/>
      <c r="U143" s="55"/>
      <c r="V143" s="55"/>
      <c r="W143" s="55"/>
      <c r="X143" s="55"/>
      <c r="Y143" s="55"/>
      <c r="Z143" s="55"/>
      <c r="AA143" s="55"/>
      <c r="AB143" s="55"/>
      <c r="AC143" s="55"/>
      <c r="AD143" s="55"/>
      <c r="AE143" s="55"/>
      <c r="AF143" s="55"/>
      <c r="AG143" s="55"/>
      <c r="AH143" s="55"/>
      <c r="AI143" s="55"/>
      <c r="AJ143" s="55"/>
      <c r="AK143" s="55"/>
      <c r="AL143" s="55"/>
      <c r="AM143" s="55"/>
      <c r="AN143" s="55"/>
      <c r="AO143" s="55"/>
      <c r="AP143" s="55"/>
      <c r="AQ143" s="55"/>
      <c r="AR143" s="55"/>
      <c r="AS143" s="55"/>
      <c r="AT143" s="55"/>
      <c r="AU143" s="55"/>
      <c r="AV143" s="55"/>
      <c r="AW143" s="186"/>
      <c r="AX143" s="186"/>
      <c r="AY143" s="186"/>
      <c r="AZ143" s="186"/>
      <c r="BA143" s="186"/>
      <c r="BB143" s="186"/>
      <c r="BC143" s="186"/>
      <c r="BD143" s="186"/>
      <c r="BE143" s="186"/>
      <c r="BF143" s="186"/>
      <c r="BG143" s="186"/>
      <c r="BH143" s="186"/>
      <c r="BI143" s="186"/>
      <c r="BJ143" s="186"/>
      <c r="BK143" s="186"/>
      <c r="BL143" s="186"/>
      <c r="BM143" s="186"/>
      <c r="BN143" s="186"/>
      <c r="BO143" s="186"/>
      <c r="BP143" s="186"/>
      <c r="BQ143" s="186"/>
      <c r="BR143" s="186"/>
      <c r="BS143" s="186"/>
      <c r="BT143" s="186"/>
      <c r="BU143" s="186"/>
      <c r="BV143" s="186"/>
      <c r="BW143" s="186"/>
      <c r="BX143" s="186"/>
      <c r="BY143" s="186"/>
      <c r="BZ143" s="186"/>
      <c r="CA143" s="186"/>
      <c r="CB143" s="186"/>
      <c r="CC143" s="186"/>
      <c r="CD143" s="186"/>
      <c r="CE143" s="186"/>
      <c r="CF143" s="186"/>
      <c r="CG143" s="186"/>
      <c r="CH143" s="186"/>
      <c r="CI143" s="186"/>
      <c r="CJ143" s="186"/>
      <c r="CK143" s="186"/>
      <c r="CL143" s="186"/>
      <c r="CM143" s="186"/>
      <c r="CN143" s="186"/>
      <c r="CO143" s="186"/>
      <c r="CP143" s="186"/>
      <c r="CQ143" s="186"/>
      <c r="CR143" s="186"/>
      <c r="CS143" s="186"/>
      <c r="CT143" s="186"/>
      <c r="CU143" s="186"/>
      <c r="CV143" s="186"/>
      <c r="CW143" s="186"/>
      <c r="CX143" s="186"/>
      <c r="DO143" s="89"/>
      <c r="DQ143" s="55">
        <f ca="1"/>
        <v>0</v>
      </c>
      <c r="DR143" s="55">
        <f ca="1"/>
        <v>0</v>
      </c>
      <c r="DS143" s="55">
        <f ca="1"/>
        <v>0</v>
      </c>
      <c r="DT143" s="55">
        <f ca="1"/>
        <v>0</v>
      </c>
      <c r="DU143" s="55">
        <f ca="1"/>
        <v>0</v>
      </c>
      <c r="DV143" s="55">
        <f ca="1"/>
        <v>0</v>
      </c>
      <c r="DW143" s="55">
        <f ca="1"/>
        <v>0</v>
      </c>
      <c r="DX143" s="55">
        <f ca="1"/>
        <v>0</v>
      </c>
      <c r="DY143" s="55">
        <f ca="1"/>
        <v>0</v>
      </c>
      <c r="DZ143" s="55">
        <f ca="1"/>
        <v>0</v>
      </c>
      <c r="EA143" s="55">
        <f ca="1"/>
        <v>0</v>
      </c>
      <c r="EB143" s="55">
        <f ca="1"/>
        <v>0</v>
      </c>
      <c r="EC143" s="186">
        <f ca="1"/>
        <v>0</v>
      </c>
    </row>
    <row r="144" spans="1:133" x14ac:dyDescent="0.3">
      <c r="A144" t="str">
        <f>A145</f>
        <v>Overall: Media &amp; public perception</v>
      </c>
      <c r="B144" s="57" t="str">
        <f t="shared" ref="B144:N144" si="300">C$1</f>
        <v>Apr</v>
      </c>
      <c r="C144" s="57" t="str">
        <f t="shared" si="300"/>
        <v>May</v>
      </c>
      <c r="D144" s="57" t="str">
        <f t="shared" si="300"/>
        <v>Jun</v>
      </c>
      <c r="E144" s="57" t="str">
        <f t="shared" si="300"/>
        <v>Jul</v>
      </c>
      <c r="F144" s="57" t="str">
        <f t="shared" si="300"/>
        <v>Aug</v>
      </c>
      <c r="G144" s="57" t="str">
        <f t="shared" si="300"/>
        <v>Sep</v>
      </c>
      <c r="H144" s="57" t="str">
        <f t="shared" si="300"/>
        <v>Oct</v>
      </c>
      <c r="I144" s="57" t="str">
        <f t="shared" si="300"/>
        <v>Nov</v>
      </c>
      <c r="J144" s="57" t="str">
        <f t="shared" si="300"/>
        <v>Dec 2011</v>
      </c>
      <c r="K144" s="57" t="str">
        <f t="shared" si="300"/>
        <v>Jan 2012</v>
      </c>
      <c r="L144" s="57" t="str">
        <f t="shared" si="300"/>
        <v>Feb</v>
      </c>
      <c r="M144" s="57" t="str">
        <f t="shared" si="300"/>
        <v>Mar</v>
      </c>
      <c r="N144" s="57" t="str">
        <f t="shared" si="300"/>
        <v>Apr</v>
      </c>
      <c r="O144" s="57" t="str">
        <f t="shared" ref="O144:AD144" si="301">P$1</f>
        <v>May</v>
      </c>
      <c r="P144" s="57" t="str">
        <f t="shared" si="301"/>
        <v>Jun</v>
      </c>
      <c r="Q144" s="57" t="str">
        <f t="shared" si="301"/>
        <v>Jul</v>
      </c>
      <c r="R144" s="57" t="str">
        <f t="shared" si="301"/>
        <v>Aug</v>
      </c>
      <c r="S144" s="57" t="str">
        <f t="shared" si="301"/>
        <v>Sep</v>
      </c>
      <c r="T144" s="57" t="str">
        <f t="shared" si="301"/>
        <v>Oct</v>
      </c>
      <c r="U144" s="57" t="str">
        <f t="shared" si="301"/>
        <v>Nov</v>
      </c>
      <c r="V144" s="57" t="str">
        <f t="shared" si="301"/>
        <v>Dec 2012</v>
      </c>
      <c r="W144" s="57" t="str">
        <f t="shared" si="301"/>
        <v>Jan 2013</v>
      </c>
      <c r="X144" s="57" t="str">
        <f t="shared" si="301"/>
        <v>Feb</v>
      </c>
      <c r="Y144" s="57" t="str">
        <f t="shared" si="301"/>
        <v>Mar</v>
      </c>
      <c r="Z144" s="57" t="str">
        <f t="shared" si="301"/>
        <v>Apr</v>
      </c>
      <c r="AA144" s="57" t="str">
        <f t="shared" si="301"/>
        <v>May</v>
      </c>
      <c r="AB144" s="57" t="str">
        <f t="shared" si="301"/>
        <v>Jun</v>
      </c>
      <c r="AC144" s="57" t="str">
        <f t="shared" si="301"/>
        <v>Jul</v>
      </c>
      <c r="AD144" s="57" t="str">
        <f t="shared" si="301"/>
        <v>Aug</v>
      </c>
      <c r="AE144" s="57" t="str">
        <f>AF$1</f>
        <v>Sep</v>
      </c>
      <c r="AF144" s="57" t="str">
        <f t="shared" ref="AF144:AK144" si="302">AG$1</f>
        <v>Oct</v>
      </c>
      <c r="AG144" s="57" t="str">
        <f t="shared" si="302"/>
        <v>Nov</v>
      </c>
      <c r="AH144" s="57" t="str">
        <f t="shared" si="302"/>
        <v>Dec 2013</v>
      </c>
      <c r="AI144" s="57" t="str">
        <f t="shared" si="302"/>
        <v>Jan 2014</v>
      </c>
      <c r="AJ144" s="57" t="str">
        <f t="shared" si="302"/>
        <v>Feb</v>
      </c>
      <c r="AK144" s="57" t="str">
        <f t="shared" si="302"/>
        <v>Mar</v>
      </c>
      <c r="AL144" s="57" t="str">
        <f t="shared" ref="AL144:CI144" si="303">AM$1</f>
        <v>Apr</v>
      </c>
      <c r="AM144" s="57" t="str">
        <f t="shared" si="303"/>
        <v>May</v>
      </c>
      <c r="AN144" s="57" t="str">
        <f t="shared" si="303"/>
        <v>Jun</v>
      </c>
      <c r="AO144" s="57" t="str">
        <f t="shared" si="303"/>
        <v>Jul</v>
      </c>
      <c r="AP144" s="57" t="str">
        <f t="shared" si="303"/>
        <v>Aug</v>
      </c>
      <c r="AQ144" s="57" t="str">
        <f t="shared" si="303"/>
        <v>Sep</v>
      </c>
      <c r="AR144" s="57" t="str">
        <f t="shared" si="303"/>
        <v>Oct</v>
      </c>
      <c r="AS144" s="57" t="str">
        <f t="shared" si="303"/>
        <v>Nov</v>
      </c>
      <c r="AT144" s="57" t="str">
        <f t="shared" si="303"/>
        <v>Dec '14</v>
      </c>
      <c r="AU144" s="57" t="str">
        <f t="shared" si="303"/>
        <v>Jan '15</v>
      </c>
      <c r="AV144" s="57" t="str">
        <f t="shared" si="303"/>
        <v>Feb</v>
      </c>
      <c r="AW144" s="57" t="str">
        <f t="shared" si="303"/>
        <v>Mar</v>
      </c>
      <c r="AX144" s="57" t="str">
        <f t="shared" si="303"/>
        <v>Apr</v>
      </c>
      <c r="AY144" s="57" t="str">
        <f t="shared" si="303"/>
        <v>May</v>
      </c>
      <c r="AZ144" s="57" t="str">
        <f t="shared" si="303"/>
        <v>Jun</v>
      </c>
      <c r="BA144" s="57" t="str">
        <f t="shared" si="303"/>
        <v>Jul</v>
      </c>
      <c r="BB144" s="57" t="str">
        <f t="shared" si="303"/>
        <v>Aug</v>
      </c>
      <c r="BC144" s="57" t="str">
        <f t="shared" si="303"/>
        <v>Sep</v>
      </c>
      <c r="BD144" s="57" t="str">
        <f t="shared" si="303"/>
        <v>Oct</v>
      </c>
      <c r="BE144" s="57" t="str">
        <f t="shared" si="303"/>
        <v>Nov</v>
      </c>
      <c r="BF144" s="57" t="str">
        <f t="shared" si="303"/>
        <v>Dec '15</v>
      </c>
      <c r="BG144" s="57" t="str">
        <f t="shared" si="303"/>
        <v>Jan '16</v>
      </c>
      <c r="BH144" s="57" t="str">
        <f t="shared" si="303"/>
        <v>Feb</v>
      </c>
      <c r="BI144" s="57" t="str">
        <f t="shared" si="303"/>
        <v>Mar</v>
      </c>
      <c r="BJ144" s="57" t="str">
        <f t="shared" si="303"/>
        <v>Apr</v>
      </c>
      <c r="BK144" s="57" t="str">
        <f t="shared" si="303"/>
        <v>May</v>
      </c>
      <c r="BL144" s="57" t="str">
        <f t="shared" si="303"/>
        <v>Jun</v>
      </c>
      <c r="BM144" s="57" t="str">
        <f t="shared" si="303"/>
        <v>Jul</v>
      </c>
      <c r="BN144" s="57" t="str">
        <f t="shared" si="303"/>
        <v>Aug</v>
      </c>
      <c r="BO144" s="57" t="str">
        <f t="shared" si="303"/>
        <v>Sep</v>
      </c>
      <c r="BP144" s="57" t="str">
        <f t="shared" si="303"/>
        <v>Oct</v>
      </c>
      <c r="BQ144" s="57" t="str">
        <f t="shared" si="303"/>
        <v>Nov</v>
      </c>
      <c r="BR144" s="57" t="str">
        <f t="shared" si="303"/>
        <v>Dec-16</v>
      </c>
      <c r="BS144" s="57" t="str">
        <f t="shared" si="303"/>
        <v>Jan-17</v>
      </c>
      <c r="BT144" s="57" t="str">
        <f t="shared" si="303"/>
        <v>Feb</v>
      </c>
      <c r="BU144" s="57" t="str">
        <f t="shared" si="303"/>
        <v>Mar</v>
      </c>
      <c r="BV144" s="57" t="str">
        <f t="shared" si="303"/>
        <v>Apr</v>
      </c>
      <c r="BW144" s="57" t="str">
        <f t="shared" si="303"/>
        <v>May</v>
      </c>
      <c r="BX144" s="57" t="str">
        <f t="shared" si="303"/>
        <v>Jun</v>
      </c>
      <c r="BY144" s="57" t="str">
        <f t="shared" si="303"/>
        <v>Jul</v>
      </c>
      <c r="BZ144" s="57" t="str">
        <f t="shared" si="303"/>
        <v>Aug</v>
      </c>
      <c r="CA144" s="57" t="str">
        <f t="shared" si="303"/>
        <v>Sep</v>
      </c>
      <c r="CB144" s="57" t="str">
        <f t="shared" si="303"/>
        <v>Oct</v>
      </c>
      <c r="CC144" s="57" t="str">
        <f t="shared" si="303"/>
        <v>Nov</v>
      </c>
      <c r="CD144" s="57" t="str">
        <f t="shared" si="303"/>
        <v>Dec</v>
      </c>
      <c r="CE144" s="57" t="str">
        <f t="shared" si="303"/>
        <v>Jan '18</v>
      </c>
      <c r="CF144" s="57" t="str">
        <f t="shared" si="303"/>
        <v>Feb</v>
      </c>
      <c r="CG144" s="57" t="str">
        <f t="shared" si="303"/>
        <v>Mar</v>
      </c>
      <c r="CH144" s="57" t="str">
        <f t="shared" si="303"/>
        <v>Apr</v>
      </c>
      <c r="CI144" s="57" t="str">
        <f t="shared" si="303"/>
        <v>May</v>
      </c>
      <c r="CJ144" s="57" t="str">
        <f t="shared" ref="CJ144:CO144" si="304">CK$1</f>
        <v>Jun</v>
      </c>
      <c r="CK144" s="57" t="str">
        <f t="shared" si="304"/>
        <v>Jul</v>
      </c>
      <c r="CL144" s="57" t="str">
        <f t="shared" si="304"/>
        <v>Aug</v>
      </c>
      <c r="CM144" s="57" t="str">
        <f t="shared" si="304"/>
        <v>Sep</v>
      </c>
      <c r="CN144" s="57" t="str">
        <f t="shared" si="304"/>
        <v>Oct</v>
      </c>
      <c r="CO144" s="57" t="str">
        <f t="shared" si="304"/>
        <v>Nov</v>
      </c>
      <c r="CP144" s="57" t="str">
        <f t="shared" ref="CP144:CX144" si="305">CQ$1</f>
        <v>Dec-18</v>
      </c>
      <c r="CQ144" s="57" t="str">
        <f t="shared" si="305"/>
        <v>Jan-19</v>
      </c>
      <c r="CR144" s="57" t="str">
        <f t="shared" si="305"/>
        <v>Feb-19</v>
      </c>
      <c r="CS144" s="57" t="str">
        <f t="shared" si="305"/>
        <v>Mar-19</v>
      </c>
      <c r="CT144" s="57" t="str">
        <f t="shared" si="305"/>
        <v>Apr-19</v>
      </c>
      <c r="CU144" s="57" t="str">
        <f t="shared" si="305"/>
        <v>May-19</v>
      </c>
      <c r="CV144" s="57" t="str">
        <f t="shared" si="305"/>
        <v>June-19</v>
      </c>
      <c r="CW144" s="57" t="str">
        <f t="shared" si="305"/>
        <v>July-19</v>
      </c>
      <c r="CX144" s="57" t="str">
        <f t="shared" si="305"/>
        <v>Aug-19</v>
      </c>
      <c r="DO144" s="89"/>
      <c r="DQ144" s="57" t="str">
        <f ca="1"/>
        <v>Aug</v>
      </c>
      <c r="DR144" s="57" t="str">
        <f ca="1"/>
        <v>Sep</v>
      </c>
      <c r="DS144" s="57" t="str">
        <f ca="1"/>
        <v>Oct</v>
      </c>
      <c r="DT144" s="57" t="str">
        <f ca="1"/>
        <v>Nov</v>
      </c>
      <c r="DU144" s="57" t="str">
        <f ca="1"/>
        <v>Dec-18</v>
      </c>
      <c r="DV144" s="57" t="str">
        <f ca="1"/>
        <v>Jan-19</v>
      </c>
      <c r="DW144" s="57" t="str">
        <f ca="1"/>
        <v>Feb-19</v>
      </c>
      <c r="DX144" s="57" t="str">
        <f ca="1"/>
        <v>Mar-19</v>
      </c>
      <c r="DY144" s="57" t="str">
        <f ca="1"/>
        <v>Apr-19</v>
      </c>
      <c r="DZ144" s="57" t="str">
        <f ca="1"/>
        <v>May-19</v>
      </c>
      <c r="EA144" s="57" t="str">
        <f ca="1"/>
        <v>June-19</v>
      </c>
      <c r="EB144" s="57" t="str">
        <f ca="1"/>
        <v>July-19</v>
      </c>
      <c r="EC144" s="57" t="str">
        <f ca="1"/>
        <v>Aug-19</v>
      </c>
    </row>
    <row r="145" spans="1:133" x14ac:dyDescent="0.3">
      <c r="A145" t="str">
        <f>A25</f>
        <v>Overall: Media &amp; public perception</v>
      </c>
      <c r="B145" s="31">
        <f t="shared" ref="B145:AD145" si="306">C25</f>
        <v>1028.5695124658184</v>
      </c>
      <c r="C145" s="56">
        <f t="shared" si="306"/>
        <v>1055.7384161887585</v>
      </c>
      <c r="D145" s="56">
        <f t="shared" si="306"/>
        <v>1108.1869384878678</v>
      </c>
      <c r="E145" s="56">
        <f t="shared" si="306"/>
        <v>1141.5492237994727</v>
      </c>
      <c r="F145" s="56">
        <f t="shared" si="306"/>
        <v>1169.9680865964463</v>
      </c>
      <c r="G145" s="56">
        <f t="shared" si="306"/>
        <v>1200.1313600111916</v>
      </c>
      <c r="H145" s="56">
        <f t="shared" si="306"/>
        <v>1215.0004538295789</v>
      </c>
      <c r="I145" s="56">
        <f t="shared" si="306"/>
        <v>1224.8031835521952</v>
      </c>
      <c r="J145" s="56">
        <f t="shared" si="306"/>
        <v>1264.8982739067767</v>
      </c>
      <c r="K145" s="56">
        <f t="shared" si="306"/>
        <v>1282.6472795067928</v>
      </c>
      <c r="L145" s="56">
        <f t="shared" si="306"/>
        <v>1306.0790764012095</v>
      </c>
      <c r="M145" s="56">
        <f t="shared" si="306"/>
        <v>1327.6271006647587</v>
      </c>
      <c r="N145" s="56">
        <f t="shared" si="306"/>
        <v>1363.3001830042147</v>
      </c>
      <c r="O145" s="56">
        <f t="shared" si="306"/>
        <v>1409.914487096017</v>
      </c>
      <c r="P145" s="56">
        <f t="shared" si="306"/>
        <v>1488.7912349039511</v>
      </c>
      <c r="Q145" s="56">
        <f t="shared" si="306"/>
        <v>1558.4928865985678</v>
      </c>
      <c r="R145" s="56">
        <f t="shared" si="306"/>
        <v>1605.6472531197646</v>
      </c>
      <c r="S145" s="56">
        <f t="shared" si="306"/>
        <v>1676.9978639890169</v>
      </c>
      <c r="T145" s="56">
        <f t="shared" si="306"/>
        <v>1775.8814226184659</v>
      </c>
      <c r="U145" s="56">
        <f t="shared" si="306"/>
        <v>1836.0751250247663</v>
      </c>
      <c r="V145" s="56">
        <f t="shared" si="306"/>
        <v>1896.1653291711934</v>
      </c>
      <c r="W145" s="56">
        <f t="shared" si="306"/>
        <v>1967.291892744722</v>
      </c>
      <c r="X145" s="56">
        <f t="shared" si="306"/>
        <v>2134.2673805887748</v>
      </c>
      <c r="Y145" s="56">
        <f t="shared" si="306"/>
        <v>2277.085117485768</v>
      </c>
      <c r="Z145" s="56">
        <f t="shared" si="306"/>
        <v>2382.3123851547857</v>
      </c>
      <c r="AA145" s="56">
        <f t="shared" si="306"/>
        <v>2463.8990522653257</v>
      </c>
      <c r="AB145" s="56">
        <f t="shared" si="306"/>
        <v>2594.1935251555024</v>
      </c>
      <c r="AC145" s="56">
        <f t="shared" si="306"/>
        <v>2682.7626861513477</v>
      </c>
      <c r="AD145" s="56">
        <f t="shared" si="306"/>
        <v>2799.1056257722189</v>
      </c>
      <c r="AE145" s="56">
        <f>AF25</f>
        <v>2936.9653954398609</v>
      </c>
      <c r="AF145" s="56">
        <f t="shared" ref="AF145:AK145" si="307">AG25</f>
        <v>3079.6804741894789</v>
      </c>
      <c r="AG145" s="56">
        <f t="shared" si="307"/>
        <v>3171.7081581170337</v>
      </c>
      <c r="AH145" s="56">
        <f t="shared" si="307"/>
        <v>3327.9191106817002</v>
      </c>
      <c r="AI145" s="56">
        <f t="shared" si="307"/>
        <v>3588.9800385645631</v>
      </c>
      <c r="AJ145" s="56">
        <f t="shared" si="307"/>
        <v>3759.8523131743123</v>
      </c>
      <c r="AK145" s="56">
        <f t="shared" si="307"/>
        <v>3883.3444398628553</v>
      </c>
      <c r="AL145" s="56">
        <f t="shared" ref="AL145:CI145" si="308">AM25</f>
        <v>4207.7552449864788</v>
      </c>
      <c r="AM145" s="56">
        <f t="shared" si="308"/>
        <v>4504.6541943858947</v>
      </c>
      <c r="AN145" s="56">
        <f t="shared" si="308"/>
        <v>4644.1062037069578</v>
      </c>
      <c r="AO145" s="56">
        <f t="shared" si="308"/>
        <v>4868.2853442695096</v>
      </c>
      <c r="AP145" s="56">
        <f t="shared" si="308"/>
        <v>5060.3328710228079</v>
      </c>
      <c r="AQ145" s="56">
        <f t="shared" si="308"/>
        <v>5399.5370494067256</v>
      </c>
      <c r="AR145" s="56">
        <f t="shared" si="308"/>
        <v>5777.4376839948782</v>
      </c>
      <c r="AS145" s="56">
        <f t="shared" si="308"/>
        <v>6021.9290340914531</v>
      </c>
      <c r="AT145" s="56">
        <f t="shared" si="308"/>
        <v>6703.5986064891767</v>
      </c>
      <c r="AU145" s="56">
        <f t="shared" si="308"/>
        <v>7027.3071312514221</v>
      </c>
      <c r="AV145" s="56">
        <f t="shared" si="308"/>
        <v>7329.5112945673782</v>
      </c>
      <c r="AW145" s="56">
        <f t="shared" si="308"/>
        <v>7581.1040472582299</v>
      </c>
      <c r="AX145" s="56">
        <f t="shared" si="308"/>
        <v>7788.3772475602655</v>
      </c>
      <c r="AY145" s="56">
        <f t="shared" si="308"/>
        <v>8177.7169789847212</v>
      </c>
      <c r="AZ145" s="56">
        <f t="shared" si="308"/>
        <v>8570.827050376407</v>
      </c>
      <c r="BA145" s="56">
        <f t="shared" si="308"/>
        <v>8949.5878101233575</v>
      </c>
      <c r="BB145" s="56">
        <f t="shared" si="308"/>
        <v>9380.8117522078428</v>
      </c>
      <c r="BC145" s="56">
        <f t="shared" si="308"/>
        <v>9591.6077385557746</v>
      </c>
      <c r="BD145" s="56">
        <f t="shared" si="308"/>
        <v>10017.259696545274</v>
      </c>
      <c r="BE145" s="56">
        <f t="shared" si="308"/>
        <v>10501.643797956822</v>
      </c>
      <c r="BF145" s="56">
        <f t="shared" si="308"/>
        <v>10767.494176406719</v>
      </c>
      <c r="BG145" s="56">
        <f t="shared" si="308"/>
        <v>10959.195284973039</v>
      </c>
      <c r="BH145" s="56">
        <f t="shared" si="308"/>
        <v>11289.423973591895</v>
      </c>
      <c r="BI145" s="56">
        <f t="shared" si="308"/>
        <v>11522.9725528491</v>
      </c>
      <c r="BJ145" s="56">
        <f t="shared" si="308"/>
        <v>11840.02230387147</v>
      </c>
      <c r="BK145" s="56">
        <f t="shared" si="308"/>
        <v>12071.416097169305</v>
      </c>
      <c r="BL145" s="56">
        <f t="shared" si="308"/>
        <v>12494.931855835279</v>
      </c>
      <c r="BM145" s="56">
        <f t="shared" si="308"/>
        <v>12866.582616500005</v>
      </c>
      <c r="BN145" s="56">
        <f t="shared" si="308"/>
        <v>13222.318306905081</v>
      </c>
      <c r="BO145" s="56">
        <f t="shared" si="308"/>
        <v>13577.599431736402</v>
      </c>
      <c r="BP145" s="56">
        <f t="shared" si="308"/>
        <v>14008.598703357597</v>
      </c>
      <c r="BQ145" s="56">
        <f t="shared" si="308"/>
        <v>14216.129731165513</v>
      </c>
      <c r="BR145" s="56">
        <f t="shared" si="308"/>
        <v>14430.979018378061</v>
      </c>
      <c r="BS145" s="56">
        <f t="shared" si="308"/>
        <v>14736.758613308575</v>
      </c>
      <c r="BT145" s="56">
        <f t="shared" si="308"/>
        <v>15049.017405565673</v>
      </c>
      <c r="BU145" s="56">
        <f t="shared" si="308"/>
        <v>15086.687016473637</v>
      </c>
      <c r="BV145" s="56">
        <f t="shared" si="308"/>
        <v>15406.36047999027</v>
      </c>
      <c r="BW145" s="56">
        <f t="shared" si="308"/>
        <v>15581.288900558056</v>
      </c>
      <c r="BX145" s="56">
        <f t="shared" si="308"/>
        <v>15989.049764927511</v>
      </c>
      <c r="BY145" s="56">
        <f t="shared" si="308"/>
        <v>16568.130841820916</v>
      </c>
      <c r="BZ145" s="56">
        <f t="shared" si="308"/>
        <v>16987.55507094612</v>
      </c>
      <c r="CA145" s="56">
        <f t="shared" si="308"/>
        <v>17393.422759539008</v>
      </c>
      <c r="CB145" s="56">
        <f t="shared" si="308"/>
        <v>17849.669445184289</v>
      </c>
      <c r="CC145" s="56">
        <f t="shared" si="308"/>
        <v>18380.592166769089</v>
      </c>
      <c r="CD145" s="56">
        <f t="shared" si="308"/>
        <v>18576.034041035688</v>
      </c>
      <c r="CE145" s="56">
        <f t="shared" si="308"/>
        <v>18910.728383137055</v>
      </c>
      <c r="CF145" s="56">
        <f t="shared" si="308"/>
        <v>19408.854905072527</v>
      </c>
      <c r="CG145" s="56">
        <f t="shared" si="308"/>
        <v>19974.033480876726</v>
      </c>
      <c r="CH145" s="56">
        <f t="shared" ca="1" si="308"/>
        <v>9399.8962713892979</v>
      </c>
      <c r="CI145" s="56">
        <f t="shared" si="308"/>
        <v>20842.370603367057</v>
      </c>
      <c r="CJ145" s="56">
        <f t="shared" ref="CJ145:CO145" si="309">CK25</f>
        <v>21459.225145767577</v>
      </c>
      <c r="CK145" s="56">
        <f t="shared" si="309"/>
        <v>22002.46801669354</v>
      </c>
      <c r="CL145" s="56">
        <f t="shared" si="309"/>
        <v>22689.990053177695</v>
      </c>
      <c r="CM145" s="56">
        <f t="shared" si="309"/>
        <v>23518.642996288319</v>
      </c>
      <c r="CN145" s="56">
        <f t="shared" si="309"/>
        <v>23682.535317899961</v>
      </c>
      <c r="CO145" s="56">
        <f t="shared" si="309"/>
        <v>24383.447885112797</v>
      </c>
      <c r="CP145" s="56">
        <f t="shared" ref="CP145:CX145" si="310">CQ25</f>
        <v>25055.126311914486</v>
      </c>
      <c r="CQ145" s="56">
        <f t="shared" si="310"/>
        <v>25921.648001935369</v>
      </c>
      <c r="CR145" s="56">
        <f t="shared" si="310"/>
        <v>26138.564297883429</v>
      </c>
      <c r="CS145" s="56">
        <f t="shared" si="310"/>
        <v>26218.087887421581</v>
      </c>
      <c r="CT145" s="56">
        <f t="shared" si="310"/>
        <v>27148.141975538147</v>
      </c>
      <c r="CU145" s="56">
        <f t="shared" si="310"/>
        <v>27595.556471737716</v>
      </c>
      <c r="CV145" s="56">
        <f t="shared" si="310"/>
        <v>28208.531265307414</v>
      </c>
      <c r="CW145" s="56">
        <f t="shared" si="310"/>
        <v>28793.802517375814</v>
      </c>
      <c r="CX145" s="56">
        <f t="shared" si="310"/>
        <v>28793.802517375814</v>
      </c>
      <c r="DQ145" s="56">
        <f ca="1"/>
        <v>22689.990053177695</v>
      </c>
      <c r="DR145" s="56">
        <f ca="1"/>
        <v>23518.642996288319</v>
      </c>
      <c r="DS145" s="56">
        <f ca="1"/>
        <v>23682.535317899961</v>
      </c>
      <c r="DT145" s="56">
        <f ca="1"/>
        <v>24383.447885112797</v>
      </c>
      <c r="DU145" s="56">
        <f ca="1"/>
        <v>25055.126311914486</v>
      </c>
      <c r="DV145" s="56">
        <f ca="1"/>
        <v>25921.648001935369</v>
      </c>
      <c r="DW145" s="56">
        <f ca="1"/>
        <v>26138.564297883429</v>
      </c>
      <c r="DX145" s="56">
        <f ca="1"/>
        <v>26218.087887421581</v>
      </c>
      <c r="DY145" s="56">
        <f ca="1"/>
        <v>27148.141975538147</v>
      </c>
      <c r="DZ145" s="56">
        <f ca="1"/>
        <v>27595.556471737716</v>
      </c>
      <c r="EA145" s="56">
        <f ca="1"/>
        <v>28208.531265307414</v>
      </c>
      <c r="EB145" s="56">
        <f ca="1"/>
        <v>28793.802517375814</v>
      </c>
      <c r="EC145" s="56">
        <f ca="1"/>
        <v>28793.802517375814</v>
      </c>
    </row>
    <row r="146" spans="1:133" x14ac:dyDescent="0.3">
      <c r="A146" t="s">
        <v>108</v>
      </c>
      <c r="C146" s="55">
        <f t="shared" ref="C146:N146" si="311">LN(C145)-LN(B145)</f>
        <v>2.6071428571428967E-2</v>
      </c>
      <c r="D146" s="55">
        <f t="shared" si="311"/>
        <v>4.8484848484847909E-2</v>
      </c>
      <c r="E146" s="55">
        <f t="shared" si="311"/>
        <v>2.9661016949153129E-2</v>
      </c>
      <c r="F146" s="55">
        <f t="shared" si="311"/>
        <v>2.4590163934425924E-2</v>
      </c>
      <c r="G146" s="55">
        <f t="shared" si="311"/>
        <v>2.5454545454545396E-2</v>
      </c>
      <c r="H146" s="55">
        <f t="shared" si="311"/>
        <v>1.2313432835821203E-2</v>
      </c>
      <c r="I146" s="55">
        <f t="shared" si="311"/>
        <v>8.0357142857145902E-3</v>
      </c>
      <c r="J146" s="55">
        <f t="shared" si="311"/>
        <v>3.2211538461537792E-2</v>
      </c>
      <c r="K146" s="55">
        <f t="shared" si="311"/>
        <v>1.3934426229508468E-2</v>
      </c>
      <c r="L146" s="55">
        <f t="shared" si="311"/>
        <v>1.8103448275861744E-2</v>
      </c>
      <c r="M146" s="55">
        <f t="shared" si="311"/>
        <v>1.636363636363658E-2</v>
      </c>
      <c r="N146" s="55">
        <f t="shared" si="311"/>
        <v>2.6515151515151381E-2</v>
      </c>
      <c r="O146" s="55">
        <f t="shared" ref="O146:AD146" si="312">LN(O145)-LN(N145)</f>
        <v>3.3620689655172953E-2</v>
      </c>
      <c r="P146" s="55">
        <f t="shared" si="312"/>
        <v>5.4435483870967971E-2</v>
      </c>
      <c r="Q146" s="55">
        <f t="shared" si="312"/>
        <v>4.5754716981131871E-2</v>
      </c>
      <c r="R146" s="55">
        <f t="shared" si="312"/>
        <v>2.980769230769198E-2</v>
      </c>
      <c r="S146" s="55">
        <f t="shared" si="312"/>
        <v>4.347826086956541E-2</v>
      </c>
      <c r="T146" s="55">
        <f t="shared" si="312"/>
        <v>5.7291666666666963E-2</v>
      </c>
      <c r="U146" s="55">
        <f t="shared" si="312"/>
        <v>3.3333333333333215E-2</v>
      </c>
      <c r="V146" s="55">
        <f t="shared" si="312"/>
        <v>3.22033898305083E-2</v>
      </c>
      <c r="W146" s="55">
        <f t="shared" si="312"/>
        <v>3.6824324324324031E-2</v>
      </c>
      <c r="X146" s="55">
        <f t="shared" si="312"/>
        <v>8.146551724138007E-2</v>
      </c>
      <c r="Y146" s="55">
        <f t="shared" si="312"/>
        <v>6.4772727272726982E-2</v>
      </c>
      <c r="Z146" s="55">
        <f t="shared" si="312"/>
        <v>4.5175438596491091E-2</v>
      </c>
      <c r="AA146" s="55">
        <f t="shared" si="312"/>
        <v>3.3673469387754729E-2</v>
      </c>
      <c r="AB146" s="55">
        <f t="shared" si="312"/>
        <v>5.1530612244897966E-2</v>
      </c>
      <c r="AC146" s="55">
        <f t="shared" si="312"/>
        <v>3.3571428571429252E-2</v>
      </c>
      <c r="AD146" s="55">
        <f t="shared" si="312"/>
        <v>4.2452830188678625E-2</v>
      </c>
      <c r="AE146" s="55">
        <f>LN(AE145)-LN(AD145)</f>
        <v>4.807692307692335E-2</v>
      </c>
      <c r="AF146" s="55">
        <f t="shared" ref="AF146:CI146" si="313">LN(AF145)-LN(AE145)</f>
        <v>4.7448979591837137E-2</v>
      </c>
      <c r="AG146" s="55">
        <f t="shared" si="313"/>
        <v>2.9444444444443718E-2</v>
      </c>
      <c r="AH146" s="55">
        <f t="shared" si="313"/>
        <v>4.807692307692335E-2</v>
      </c>
      <c r="AI146" s="55">
        <f t="shared" si="313"/>
        <v>7.5520833333333925E-2</v>
      </c>
      <c r="AJ146" s="55">
        <f t="shared" si="313"/>
        <v>4.6511627906976827E-2</v>
      </c>
      <c r="AK146" s="55">
        <f t="shared" si="313"/>
        <v>3.2317073170730737E-2</v>
      </c>
      <c r="AL146" s="55">
        <f t="shared" si="313"/>
        <v>8.0232558139535115E-2</v>
      </c>
      <c r="AM146" s="55">
        <f t="shared" si="313"/>
        <v>6.8181818181818343E-2</v>
      </c>
      <c r="AN146" s="55">
        <f t="shared" si="313"/>
        <v>3.0487804878049474E-2</v>
      </c>
      <c r="AO146" s="55">
        <f t="shared" si="313"/>
        <v>4.7142857142857153E-2</v>
      </c>
      <c r="AP146" s="55">
        <f t="shared" si="313"/>
        <v>3.8690476190476275E-2</v>
      </c>
      <c r="AQ146" s="55">
        <f t="shared" si="313"/>
        <v>6.4880952380951484E-2</v>
      </c>
      <c r="AR146" s="55">
        <f t="shared" si="313"/>
        <v>6.764705882353006E-2</v>
      </c>
      <c r="AS146" s="55">
        <f t="shared" si="313"/>
        <v>4.1447368421051678E-2</v>
      </c>
      <c r="AT146" s="55">
        <f t="shared" si="313"/>
        <v>0.10723684210526407</v>
      </c>
      <c r="AU146" s="55">
        <f t="shared" si="313"/>
        <v>4.7159090909090651E-2</v>
      </c>
      <c r="AV146" s="55">
        <f t="shared" si="313"/>
        <v>4.2105263157894868E-2</v>
      </c>
      <c r="AW146" s="186">
        <f t="shared" si="313"/>
        <v>3.3749999999999503E-2</v>
      </c>
      <c r="AX146" s="186">
        <f t="shared" si="313"/>
        <v>2.6973684210526372E-2</v>
      </c>
      <c r="AY146" s="186">
        <f t="shared" si="313"/>
        <v>4.8780487804878092E-2</v>
      </c>
      <c r="AZ146" s="186">
        <f t="shared" si="313"/>
        <v>4.6951219512195053E-2</v>
      </c>
      <c r="BA146" s="186">
        <f t="shared" si="313"/>
        <v>4.3243243243242802E-2</v>
      </c>
      <c r="BB146" s="186">
        <f t="shared" si="313"/>
        <v>4.7058823529411598E-2</v>
      </c>
      <c r="BC146" s="186">
        <f t="shared" si="313"/>
        <v>2.2222222222222143E-2</v>
      </c>
      <c r="BD146" s="186">
        <f t="shared" si="313"/>
        <v>4.3421052631579471E-2</v>
      </c>
      <c r="BE146" s="186">
        <f t="shared" si="313"/>
        <v>4.7222222222222499E-2</v>
      </c>
      <c r="BF146" s="186">
        <f t="shared" si="313"/>
        <v>2.5000000000000355E-2</v>
      </c>
      <c r="BG146" s="186">
        <f t="shared" si="313"/>
        <v>1.7647058823529349E-2</v>
      </c>
      <c r="BH146" s="186">
        <f t="shared" si="313"/>
        <v>2.9687499999999645E-2</v>
      </c>
      <c r="BI146" s="186">
        <f t="shared" si="313"/>
        <v>2.0476300163799976E-2</v>
      </c>
      <c r="BJ146" s="186">
        <f t="shared" si="313"/>
        <v>2.7142857142857579E-2</v>
      </c>
      <c r="BK146" s="186">
        <f t="shared" si="313"/>
        <v>1.935483870967758E-2</v>
      </c>
      <c r="BL146" s="186">
        <f t="shared" si="313"/>
        <v>3.4482758620688614E-2</v>
      </c>
      <c r="BM146" s="186">
        <f t="shared" si="313"/>
        <v>2.9310344827585766E-2</v>
      </c>
      <c r="BN146" s="186">
        <f t="shared" si="313"/>
        <v>2.7272727272727337E-2</v>
      </c>
      <c r="BO146" s="186">
        <f t="shared" si="313"/>
        <v>2.6515151515152269E-2</v>
      </c>
      <c r="BP146" s="186">
        <f t="shared" si="313"/>
        <v>3.125E-2</v>
      </c>
      <c r="BQ146" s="186">
        <f t="shared" si="313"/>
        <v>1.4705882352940236E-2</v>
      </c>
      <c r="BR146" s="186">
        <f t="shared" si="313"/>
        <v>1.5000000000000568E-2</v>
      </c>
      <c r="BS146" s="186">
        <f t="shared" si="313"/>
        <v>2.0967741935484341E-2</v>
      </c>
      <c r="BT146" s="186">
        <f t="shared" si="313"/>
        <v>2.0967741935484341E-2</v>
      </c>
      <c r="BU146" s="186">
        <f t="shared" si="313"/>
        <v>2.4999999999995026E-3</v>
      </c>
      <c r="BV146" s="186">
        <f t="shared" si="313"/>
        <v>2.0967741935484341E-2</v>
      </c>
      <c r="BW146" s="186">
        <f t="shared" si="313"/>
        <v>1.1290322580645551E-2</v>
      </c>
      <c r="BX146" s="186">
        <f t="shared" si="313"/>
        <v>2.5833333333332931E-2</v>
      </c>
      <c r="BY146" s="186">
        <f t="shared" si="313"/>
        <v>3.5576923076922284E-2</v>
      </c>
      <c r="BZ146" s="186">
        <f t="shared" si="313"/>
        <v>2.5000000000000355E-2</v>
      </c>
      <c r="CA146" s="186">
        <f t="shared" si="313"/>
        <v>2.3611111111110361E-2</v>
      </c>
      <c r="CB146" s="186">
        <f t="shared" si="313"/>
        <v>2.5892857142858716E-2</v>
      </c>
      <c r="CC146" s="186">
        <f t="shared" si="313"/>
        <v>2.9310344827585766E-2</v>
      </c>
      <c r="CD146" s="186">
        <f t="shared" si="313"/>
        <v>1.0576923076921929E-2</v>
      </c>
      <c r="CE146" s="186">
        <f t="shared" si="313"/>
        <v>1.7857142857144126E-2</v>
      </c>
      <c r="CF146" s="186">
        <f t="shared" si="313"/>
        <v>2.5999999999999801E-2</v>
      </c>
      <c r="CG146" s="186">
        <f t="shared" si="313"/>
        <v>2.8703703703703454E-2</v>
      </c>
      <c r="CH146" s="186">
        <f t="shared" ca="1" si="313"/>
        <v>-0.75373444978597703</v>
      </c>
      <c r="CI146" s="186">
        <f t="shared" ca="1" si="313"/>
        <v>0.79628930872014614</v>
      </c>
      <c r="CJ146" s="186">
        <f t="shared" ref="CJ146:CX146" si="314">LN(CJ145)-LN(CI145)</f>
        <v>2.9166666666666785E-2</v>
      </c>
      <c r="CK146" s="186">
        <f t="shared" si="314"/>
        <v>2.5000000000000355E-2</v>
      </c>
      <c r="CL146" s="186">
        <f t="shared" si="314"/>
        <v>3.076923076923066E-2</v>
      </c>
      <c r="CM146" s="186">
        <f t="shared" si="314"/>
        <v>3.5869565217391042E-2</v>
      </c>
      <c r="CN146" s="186">
        <f t="shared" si="314"/>
        <v>6.9444444444446418E-3</v>
      </c>
      <c r="CO146" s="186">
        <f t="shared" si="314"/>
        <v>2.9166666666666785E-2</v>
      </c>
      <c r="CP146" s="186">
        <f t="shared" si="314"/>
        <v>2.7173913043478493E-2</v>
      </c>
      <c r="CQ146" s="186">
        <f t="shared" si="314"/>
        <v>3.399999999999892E-2</v>
      </c>
      <c r="CR146" s="186">
        <f t="shared" si="314"/>
        <v>8.333333333334636E-3</v>
      </c>
      <c r="CS146" s="186">
        <f t="shared" si="314"/>
        <v>3.0377668308698702E-3</v>
      </c>
      <c r="CT146" s="186">
        <f t="shared" si="314"/>
        <v>3.4859058565954726E-2</v>
      </c>
      <c r="CU146" s="186">
        <f t="shared" si="314"/>
        <v>1.634615384615401E-2</v>
      </c>
      <c r="CV146" s="186">
        <f t="shared" si="314"/>
        <v>2.1969696969696528E-2</v>
      </c>
      <c r="CW146" s="186">
        <f t="shared" si="314"/>
        <v>2.053571428571388E-2</v>
      </c>
      <c r="CX146" s="186">
        <f t="shared" si="314"/>
        <v>0</v>
      </c>
      <c r="DQ146" s="55">
        <f ca="1"/>
        <v>3.076923076923066E-2</v>
      </c>
      <c r="DR146" s="55">
        <f ca="1"/>
        <v>3.5869565217391042E-2</v>
      </c>
      <c r="DS146" s="55">
        <f ca="1"/>
        <v>6.9444444444446418E-3</v>
      </c>
      <c r="DT146" s="55">
        <f ca="1"/>
        <v>2.9166666666666785E-2</v>
      </c>
      <c r="DU146" s="55">
        <f ca="1"/>
        <v>2.7173913043478493E-2</v>
      </c>
      <c r="DV146" s="55">
        <f ca="1"/>
        <v>3.399999999999892E-2</v>
      </c>
      <c r="DW146" s="55">
        <f ca="1"/>
        <v>8.333333333334636E-3</v>
      </c>
      <c r="DX146" s="55">
        <f ca="1"/>
        <v>3.0377668308698702E-3</v>
      </c>
      <c r="DY146" s="55">
        <f ca="1"/>
        <v>3.4859058565954726E-2</v>
      </c>
      <c r="DZ146" s="55">
        <f ca="1"/>
        <v>1.634615384615401E-2</v>
      </c>
      <c r="EA146" s="55">
        <f ca="1"/>
        <v>2.1969696969696528E-2</v>
      </c>
      <c r="EB146" s="55">
        <f ca="1"/>
        <v>2.053571428571388E-2</v>
      </c>
      <c r="EC146" s="186">
        <f ca="1"/>
        <v>0</v>
      </c>
    </row>
    <row r="147" spans="1:133" x14ac:dyDescent="0.3">
      <c r="B147" s="31"/>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c r="AA147" s="31"/>
      <c r="AB147" s="31"/>
      <c r="AC147" s="31"/>
      <c r="AD147" s="31"/>
      <c r="AE147" s="31"/>
      <c r="AF147" s="31"/>
      <c r="AG147" s="31"/>
      <c r="AH147" s="31"/>
      <c r="AI147" s="31"/>
      <c r="AJ147" s="31"/>
      <c r="AK147" s="31"/>
      <c r="AL147" s="31"/>
      <c r="AM147" s="31"/>
      <c r="AN147" s="31"/>
      <c r="AO147" s="31"/>
      <c r="AP147" s="31"/>
      <c r="AQ147" s="31"/>
      <c r="AR147" s="31"/>
      <c r="AS147" s="31"/>
      <c r="AT147" s="31"/>
      <c r="AU147" s="31"/>
      <c r="AV147" s="31"/>
      <c r="AW147" s="185"/>
      <c r="AX147" s="185"/>
      <c r="AY147" s="185"/>
      <c r="AZ147" s="185"/>
      <c r="BA147" s="185"/>
      <c r="BB147" s="185"/>
      <c r="BC147" s="185"/>
      <c r="BD147" s="185"/>
      <c r="BE147" s="185"/>
      <c r="BF147" s="185"/>
      <c r="BG147" s="185"/>
      <c r="BH147" s="185"/>
      <c r="BI147" s="185"/>
      <c r="BJ147" s="185"/>
      <c r="BK147" s="185"/>
      <c r="BL147" s="185"/>
      <c r="BM147" s="185"/>
      <c r="BN147" s="185"/>
      <c r="BO147" s="185"/>
      <c r="BP147" s="185"/>
      <c r="BQ147" s="185"/>
      <c r="BR147" s="185"/>
      <c r="BS147" s="185"/>
      <c r="BT147" s="185"/>
      <c r="BU147" s="185"/>
      <c r="BV147" s="185"/>
      <c r="BW147" s="185"/>
      <c r="BX147" s="185"/>
      <c r="BY147" s="185"/>
      <c r="BZ147" s="185"/>
      <c r="CA147" s="185"/>
      <c r="CB147" s="185"/>
      <c r="CC147" s="185"/>
      <c r="CD147" s="185"/>
      <c r="CE147" s="185"/>
      <c r="CF147" s="185"/>
      <c r="CG147" s="185"/>
      <c r="CH147" s="185"/>
      <c r="CI147" s="185"/>
      <c r="CJ147" s="185"/>
      <c r="CK147" s="185"/>
      <c r="CL147" s="185"/>
      <c r="CM147" s="185"/>
      <c r="CN147" s="185"/>
      <c r="CO147" s="185"/>
      <c r="CP147" s="185"/>
      <c r="CQ147" s="185"/>
      <c r="CR147" s="185"/>
      <c r="CS147" s="185"/>
      <c r="CT147" s="185"/>
      <c r="CU147" s="185"/>
      <c r="CV147" s="185"/>
      <c r="CW147" s="185"/>
      <c r="CX147" s="185"/>
      <c r="DO147" s="89"/>
      <c r="DQ147" s="31">
        <f ca="1"/>
        <v>0</v>
      </c>
      <c r="DR147" s="31">
        <f ca="1"/>
        <v>0</v>
      </c>
      <c r="DS147" s="31">
        <f ca="1"/>
        <v>0</v>
      </c>
      <c r="DT147" s="31">
        <f ca="1"/>
        <v>0</v>
      </c>
      <c r="DU147" s="31">
        <f ca="1"/>
        <v>0</v>
      </c>
      <c r="DV147" s="31">
        <f ca="1"/>
        <v>0</v>
      </c>
      <c r="DW147" s="31">
        <f ca="1"/>
        <v>0</v>
      </c>
      <c r="DX147" s="31">
        <f ca="1"/>
        <v>0</v>
      </c>
      <c r="DY147" s="31">
        <f ca="1"/>
        <v>0</v>
      </c>
      <c r="DZ147" s="31">
        <f ca="1"/>
        <v>0</v>
      </c>
      <c r="EA147" s="31">
        <f ca="1"/>
        <v>0</v>
      </c>
      <c r="EB147" s="31">
        <f ca="1"/>
        <v>0</v>
      </c>
      <c r="EC147" s="185">
        <f ca="1"/>
        <v>0</v>
      </c>
    </row>
    <row r="148" spans="1:133" x14ac:dyDescent="0.3">
      <c r="A148" t="str">
        <f>A149</f>
        <v>Overall: Personal risk</v>
      </c>
      <c r="C148" s="55"/>
      <c r="D148" s="55"/>
      <c r="E148" s="55"/>
      <c r="F148" s="55"/>
      <c r="G148" s="55"/>
      <c r="H148" s="55"/>
      <c r="I148" s="55"/>
      <c r="J148" s="55"/>
      <c r="K148" s="55"/>
      <c r="L148" s="55"/>
      <c r="M148" s="55"/>
      <c r="N148" s="55"/>
      <c r="O148" s="55"/>
      <c r="P148" s="55"/>
      <c r="Q148" s="55"/>
      <c r="R148" s="55"/>
      <c r="S148" s="55"/>
      <c r="T148" s="55"/>
      <c r="U148" s="55"/>
      <c r="V148" s="55"/>
      <c r="W148" s="55"/>
      <c r="X148" s="55"/>
      <c r="Y148" s="55"/>
      <c r="Z148" s="55"/>
      <c r="AA148" s="55"/>
      <c r="AB148" s="55"/>
      <c r="AC148" s="55"/>
      <c r="AD148" s="55"/>
      <c r="AE148" s="55"/>
      <c r="AF148" s="55"/>
      <c r="AG148" s="55"/>
      <c r="AH148" s="55"/>
      <c r="AI148" s="55"/>
      <c r="AJ148" s="55"/>
      <c r="AK148" s="55"/>
      <c r="AL148" s="55"/>
      <c r="AM148" s="55"/>
      <c r="AN148" s="55"/>
      <c r="AO148" s="55"/>
      <c r="AP148" s="55"/>
      <c r="AQ148" s="55"/>
      <c r="AR148" s="55"/>
      <c r="AS148" s="55"/>
      <c r="AT148" s="55"/>
      <c r="AU148" s="55"/>
      <c r="AV148" s="55"/>
      <c r="AW148" s="186"/>
      <c r="AX148" s="186"/>
      <c r="AY148" s="186"/>
      <c r="AZ148" s="186"/>
      <c r="BA148" s="186"/>
      <c r="BB148" s="186"/>
      <c r="BC148" s="186"/>
      <c r="BD148" s="186"/>
      <c r="BE148" s="186"/>
      <c r="BF148" s="186"/>
      <c r="BG148" s="186"/>
      <c r="BH148" s="186"/>
      <c r="BI148" s="186"/>
      <c r="BJ148" s="186"/>
      <c r="BK148" s="186"/>
      <c r="BL148" s="186"/>
      <c r="BM148" s="186"/>
      <c r="BN148" s="186"/>
      <c r="BO148" s="186"/>
      <c r="BP148" s="186"/>
      <c r="BQ148" s="186"/>
      <c r="BR148" s="186"/>
      <c r="BS148" s="186"/>
      <c r="BT148" s="186"/>
      <c r="BU148" s="186"/>
      <c r="BV148" s="186"/>
      <c r="BW148" s="186"/>
      <c r="BX148" s="186"/>
      <c r="BY148" s="186"/>
      <c r="BZ148" s="186"/>
      <c r="CA148" s="186"/>
      <c r="CB148" s="186"/>
      <c r="CC148" s="186"/>
      <c r="CD148" s="186"/>
      <c r="CE148" s="186"/>
      <c r="CF148" s="186"/>
      <c r="CG148" s="186"/>
      <c r="CH148" s="186"/>
      <c r="CI148" s="186"/>
      <c r="CJ148" s="186"/>
      <c r="CK148" s="186"/>
      <c r="CL148" s="186"/>
      <c r="CM148" s="186"/>
      <c r="CN148" s="186"/>
      <c r="CO148" s="186"/>
      <c r="CP148" s="186"/>
      <c r="CQ148" s="186"/>
      <c r="CR148" s="186"/>
      <c r="CS148" s="186"/>
      <c r="CT148" s="186"/>
      <c r="CU148" s="186"/>
      <c r="CV148" s="186"/>
      <c r="CW148" s="186"/>
      <c r="CX148" s="186"/>
      <c r="DO148" s="89"/>
      <c r="DQ148" s="55">
        <f ca="1"/>
        <v>0</v>
      </c>
      <c r="DR148" s="55">
        <f ca="1"/>
        <v>0</v>
      </c>
      <c r="DS148" s="55">
        <f ca="1"/>
        <v>0</v>
      </c>
      <c r="DT148" s="55">
        <f ca="1"/>
        <v>0</v>
      </c>
      <c r="DU148" s="55">
        <f ca="1"/>
        <v>0</v>
      </c>
      <c r="DV148" s="55">
        <f ca="1"/>
        <v>0</v>
      </c>
      <c r="DW148" s="55">
        <f ca="1"/>
        <v>0</v>
      </c>
      <c r="DX148" s="55">
        <f ca="1"/>
        <v>0</v>
      </c>
      <c r="DY148" s="55">
        <f ca="1"/>
        <v>0</v>
      </c>
      <c r="DZ148" s="55">
        <f ca="1"/>
        <v>0</v>
      </c>
      <c r="EA148" s="55">
        <f ca="1"/>
        <v>0</v>
      </c>
      <c r="EB148" s="55">
        <f ca="1"/>
        <v>0</v>
      </c>
      <c r="EC148" s="186">
        <f ca="1"/>
        <v>0</v>
      </c>
    </row>
    <row r="149" spans="1:133" x14ac:dyDescent="0.3">
      <c r="A149" t="str">
        <f>A150</f>
        <v>Overall: Personal risk</v>
      </c>
      <c r="B149" s="57" t="str">
        <f t="shared" ref="B149:AE149" si="315">C$1</f>
        <v>Apr</v>
      </c>
      <c r="C149" s="57" t="str">
        <f t="shared" si="315"/>
        <v>May</v>
      </c>
      <c r="D149" s="57" t="str">
        <f t="shared" si="315"/>
        <v>Jun</v>
      </c>
      <c r="E149" s="57" t="str">
        <f t="shared" si="315"/>
        <v>Jul</v>
      </c>
      <c r="F149" s="57" t="str">
        <f t="shared" si="315"/>
        <v>Aug</v>
      </c>
      <c r="G149" s="57" t="str">
        <f t="shared" si="315"/>
        <v>Sep</v>
      </c>
      <c r="H149" s="57" t="str">
        <f t="shared" si="315"/>
        <v>Oct</v>
      </c>
      <c r="I149" s="57" t="str">
        <f t="shared" si="315"/>
        <v>Nov</v>
      </c>
      <c r="J149" s="57" t="str">
        <f t="shared" si="315"/>
        <v>Dec 2011</v>
      </c>
      <c r="K149" s="57" t="str">
        <f t="shared" si="315"/>
        <v>Jan 2012</v>
      </c>
      <c r="L149" s="57" t="str">
        <f t="shared" si="315"/>
        <v>Feb</v>
      </c>
      <c r="M149" s="57" t="str">
        <f t="shared" si="315"/>
        <v>Mar</v>
      </c>
      <c r="N149" s="57" t="str">
        <f t="shared" si="315"/>
        <v>Apr</v>
      </c>
      <c r="O149" s="57" t="str">
        <f t="shared" si="315"/>
        <v>May</v>
      </c>
      <c r="P149" s="57" t="str">
        <f t="shared" si="315"/>
        <v>Jun</v>
      </c>
      <c r="Q149" s="57" t="str">
        <f t="shared" si="315"/>
        <v>Jul</v>
      </c>
      <c r="R149" s="57" t="str">
        <f t="shared" si="315"/>
        <v>Aug</v>
      </c>
      <c r="S149" s="57" t="str">
        <f t="shared" si="315"/>
        <v>Sep</v>
      </c>
      <c r="T149" s="57" t="str">
        <f t="shared" si="315"/>
        <v>Oct</v>
      </c>
      <c r="U149" s="57" t="str">
        <f t="shared" si="315"/>
        <v>Nov</v>
      </c>
      <c r="V149" s="57" t="str">
        <f t="shared" si="315"/>
        <v>Dec 2012</v>
      </c>
      <c r="W149" s="57" t="str">
        <f t="shared" si="315"/>
        <v>Jan 2013</v>
      </c>
      <c r="X149" s="57" t="str">
        <f t="shared" si="315"/>
        <v>Feb</v>
      </c>
      <c r="Y149" s="57" t="str">
        <f t="shared" si="315"/>
        <v>Mar</v>
      </c>
      <c r="Z149" s="57" t="str">
        <f t="shared" si="315"/>
        <v>Apr</v>
      </c>
      <c r="AA149" s="57" t="str">
        <f t="shared" si="315"/>
        <v>May</v>
      </c>
      <c r="AB149" s="57" t="str">
        <f t="shared" si="315"/>
        <v>Jun</v>
      </c>
      <c r="AC149" s="57" t="str">
        <f t="shared" si="315"/>
        <v>Jul</v>
      </c>
      <c r="AD149" s="57" t="str">
        <f t="shared" si="315"/>
        <v>Aug</v>
      </c>
      <c r="AE149" s="57" t="str">
        <f t="shared" si="315"/>
        <v>Sep</v>
      </c>
      <c r="AF149" s="57" t="str">
        <f t="shared" ref="AF149:AK149" si="316">AG$1</f>
        <v>Oct</v>
      </c>
      <c r="AG149" s="57" t="str">
        <f t="shared" si="316"/>
        <v>Nov</v>
      </c>
      <c r="AH149" s="57" t="str">
        <f t="shared" si="316"/>
        <v>Dec 2013</v>
      </c>
      <c r="AI149" s="57" t="str">
        <f t="shared" si="316"/>
        <v>Jan 2014</v>
      </c>
      <c r="AJ149" s="57" t="str">
        <f t="shared" si="316"/>
        <v>Feb</v>
      </c>
      <c r="AK149" s="57" t="str">
        <f t="shared" si="316"/>
        <v>Mar</v>
      </c>
      <c r="AL149" s="57" t="str">
        <f t="shared" ref="AL149:CI149" si="317">AM$1</f>
        <v>Apr</v>
      </c>
      <c r="AM149" s="57" t="str">
        <f t="shared" si="317"/>
        <v>May</v>
      </c>
      <c r="AN149" s="57" t="str">
        <f t="shared" si="317"/>
        <v>Jun</v>
      </c>
      <c r="AO149" s="57" t="str">
        <f t="shared" si="317"/>
        <v>Jul</v>
      </c>
      <c r="AP149" s="57" t="str">
        <f t="shared" si="317"/>
        <v>Aug</v>
      </c>
      <c r="AQ149" s="57" t="str">
        <f t="shared" si="317"/>
        <v>Sep</v>
      </c>
      <c r="AR149" s="57" t="str">
        <f t="shared" si="317"/>
        <v>Oct</v>
      </c>
      <c r="AS149" s="57" t="str">
        <f t="shared" si="317"/>
        <v>Nov</v>
      </c>
      <c r="AT149" s="57" t="str">
        <f t="shared" si="317"/>
        <v>Dec '14</v>
      </c>
      <c r="AU149" s="57" t="str">
        <f t="shared" si="317"/>
        <v>Jan '15</v>
      </c>
      <c r="AV149" s="57" t="str">
        <f t="shared" si="317"/>
        <v>Feb</v>
      </c>
      <c r="AW149" s="57" t="str">
        <f t="shared" si="317"/>
        <v>Mar</v>
      </c>
      <c r="AX149" s="57" t="str">
        <f t="shared" si="317"/>
        <v>Apr</v>
      </c>
      <c r="AY149" s="57" t="str">
        <f t="shared" si="317"/>
        <v>May</v>
      </c>
      <c r="AZ149" s="57" t="str">
        <f t="shared" si="317"/>
        <v>Jun</v>
      </c>
      <c r="BA149" s="57" t="str">
        <f t="shared" si="317"/>
        <v>Jul</v>
      </c>
      <c r="BB149" s="57" t="str">
        <f t="shared" si="317"/>
        <v>Aug</v>
      </c>
      <c r="BC149" s="57" t="str">
        <f t="shared" si="317"/>
        <v>Sep</v>
      </c>
      <c r="BD149" s="57" t="str">
        <f t="shared" si="317"/>
        <v>Oct</v>
      </c>
      <c r="BE149" s="57" t="str">
        <f t="shared" si="317"/>
        <v>Nov</v>
      </c>
      <c r="BF149" s="57" t="str">
        <f t="shared" si="317"/>
        <v>Dec '15</v>
      </c>
      <c r="BG149" s="57" t="str">
        <f t="shared" si="317"/>
        <v>Jan '16</v>
      </c>
      <c r="BH149" s="57" t="str">
        <f t="shared" si="317"/>
        <v>Feb</v>
      </c>
      <c r="BI149" s="57" t="str">
        <f t="shared" si="317"/>
        <v>Mar</v>
      </c>
      <c r="BJ149" s="57" t="str">
        <f t="shared" si="317"/>
        <v>Apr</v>
      </c>
      <c r="BK149" s="57" t="str">
        <f t="shared" si="317"/>
        <v>May</v>
      </c>
      <c r="BL149" s="57" t="str">
        <f t="shared" si="317"/>
        <v>Jun</v>
      </c>
      <c r="BM149" s="57" t="str">
        <f t="shared" si="317"/>
        <v>Jul</v>
      </c>
      <c r="BN149" s="57" t="str">
        <f t="shared" si="317"/>
        <v>Aug</v>
      </c>
      <c r="BO149" s="57" t="str">
        <f t="shared" si="317"/>
        <v>Sep</v>
      </c>
      <c r="BP149" s="57" t="str">
        <f t="shared" si="317"/>
        <v>Oct</v>
      </c>
      <c r="BQ149" s="57" t="str">
        <f t="shared" si="317"/>
        <v>Nov</v>
      </c>
      <c r="BR149" s="57" t="str">
        <f t="shared" si="317"/>
        <v>Dec-16</v>
      </c>
      <c r="BS149" s="57" t="str">
        <f t="shared" si="317"/>
        <v>Jan-17</v>
      </c>
      <c r="BT149" s="57" t="str">
        <f t="shared" si="317"/>
        <v>Feb</v>
      </c>
      <c r="BU149" s="57" t="str">
        <f t="shared" si="317"/>
        <v>Mar</v>
      </c>
      <c r="BV149" s="57" t="str">
        <f t="shared" si="317"/>
        <v>Apr</v>
      </c>
      <c r="BW149" s="57" t="str">
        <f t="shared" si="317"/>
        <v>May</v>
      </c>
      <c r="BX149" s="57" t="str">
        <f t="shared" si="317"/>
        <v>Jun</v>
      </c>
      <c r="BY149" s="57" t="str">
        <f t="shared" si="317"/>
        <v>Jul</v>
      </c>
      <c r="BZ149" s="57" t="str">
        <f t="shared" si="317"/>
        <v>Aug</v>
      </c>
      <c r="CA149" s="57" t="str">
        <f t="shared" si="317"/>
        <v>Sep</v>
      </c>
      <c r="CB149" s="57" t="str">
        <f t="shared" si="317"/>
        <v>Oct</v>
      </c>
      <c r="CC149" s="57" t="str">
        <f t="shared" si="317"/>
        <v>Nov</v>
      </c>
      <c r="CD149" s="57" t="str">
        <f t="shared" si="317"/>
        <v>Dec</v>
      </c>
      <c r="CE149" s="57" t="str">
        <f t="shared" si="317"/>
        <v>Jan '18</v>
      </c>
      <c r="CF149" s="57" t="str">
        <f t="shared" si="317"/>
        <v>Feb</v>
      </c>
      <c r="CG149" s="57" t="str">
        <f t="shared" si="317"/>
        <v>Mar</v>
      </c>
      <c r="CH149" s="57" t="str">
        <f t="shared" si="317"/>
        <v>Apr</v>
      </c>
      <c r="CI149" s="57" t="str">
        <f t="shared" si="317"/>
        <v>May</v>
      </c>
      <c r="CJ149" s="57" t="str">
        <f t="shared" ref="CJ149:CO149" si="318">CK$1</f>
        <v>Jun</v>
      </c>
      <c r="CK149" s="57" t="str">
        <f t="shared" si="318"/>
        <v>Jul</v>
      </c>
      <c r="CL149" s="57" t="str">
        <f t="shared" si="318"/>
        <v>Aug</v>
      </c>
      <c r="CM149" s="57" t="str">
        <f t="shared" si="318"/>
        <v>Sep</v>
      </c>
      <c r="CN149" s="57" t="str">
        <f t="shared" si="318"/>
        <v>Oct</v>
      </c>
      <c r="CO149" s="57" t="str">
        <f t="shared" si="318"/>
        <v>Nov</v>
      </c>
      <c r="CP149" s="57" t="str">
        <f t="shared" ref="CP149:CX149" si="319">CQ$1</f>
        <v>Dec-18</v>
      </c>
      <c r="CQ149" s="57" t="str">
        <f t="shared" si="319"/>
        <v>Jan-19</v>
      </c>
      <c r="CR149" s="57" t="str">
        <f t="shared" si="319"/>
        <v>Feb-19</v>
      </c>
      <c r="CS149" s="57" t="str">
        <f t="shared" si="319"/>
        <v>Mar-19</v>
      </c>
      <c r="CT149" s="57" t="str">
        <f t="shared" si="319"/>
        <v>Apr-19</v>
      </c>
      <c r="CU149" s="57" t="str">
        <f t="shared" si="319"/>
        <v>May-19</v>
      </c>
      <c r="CV149" s="57" t="str">
        <f t="shared" si="319"/>
        <v>June-19</v>
      </c>
      <c r="CW149" s="57" t="str">
        <f t="shared" si="319"/>
        <v>July-19</v>
      </c>
      <c r="CX149" s="57" t="str">
        <f t="shared" si="319"/>
        <v>Aug-19</v>
      </c>
      <c r="DO149" s="89"/>
      <c r="DQ149" s="57" t="str">
        <f ca="1"/>
        <v>Aug</v>
      </c>
      <c r="DR149" s="57" t="str">
        <f ca="1"/>
        <v>Sep</v>
      </c>
      <c r="DS149" s="57" t="str">
        <f ca="1"/>
        <v>Oct</v>
      </c>
      <c r="DT149" s="57" t="str">
        <f ca="1"/>
        <v>Nov</v>
      </c>
      <c r="DU149" s="57" t="str">
        <f ca="1"/>
        <v>Dec-18</v>
      </c>
      <c r="DV149" s="57" t="str">
        <f ca="1"/>
        <v>Jan-19</v>
      </c>
      <c r="DW149" s="57" t="str">
        <f ca="1"/>
        <v>Feb-19</v>
      </c>
      <c r="DX149" s="57" t="str">
        <f ca="1"/>
        <v>Mar-19</v>
      </c>
      <c r="DY149" s="57" t="str">
        <f ca="1"/>
        <v>Apr-19</v>
      </c>
      <c r="DZ149" s="57" t="str">
        <f ca="1"/>
        <v>May-19</v>
      </c>
      <c r="EA149" s="57" t="str">
        <f ca="1"/>
        <v>June-19</v>
      </c>
      <c r="EB149" s="57" t="str">
        <f ca="1"/>
        <v>July-19</v>
      </c>
      <c r="EC149" s="57" t="str">
        <f ca="1"/>
        <v>Aug-19</v>
      </c>
    </row>
    <row r="150" spans="1:133" x14ac:dyDescent="0.3">
      <c r="A150" t="str">
        <f>A26</f>
        <v>Overall: Personal risk</v>
      </c>
      <c r="B150" s="31">
        <f t="shared" ref="B150:AD150" si="320">C26</f>
        <v>1013.8271167856134</v>
      </c>
      <c r="C150" s="56">
        <f t="shared" si="320"/>
        <v>1032.4624530225403</v>
      </c>
      <c r="D150" s="56">
        <f t="shared" si="320"/>
        <v>1057.7976989417766</v>
      </c>
      <c r="E150" s="56">
        <f t="shared" si="320"/>
        <v>1060.9398922181988</v>
      </c>
      <c r="F150" s="56">
        <f t="shared" si="320"/>
        <v>1074.5050361397721</v>
      </c>
      <c r="G150" s="56">
        <f t="shared" si="320"/>
        <v>1100.2049577629436</v>
      </c>
      <c r="H150" s="56">
        <f t="shared" si="320"/>
        <v>1111.3451345248029</v>
      </c>
      <c r="I150" s="56">
        <f t="shared" si="320"/>
        <v>1120.3115640828773</v>
      </c>
      <c r="J150" s="56">
        <f t="shared" si="320"/>
        <v>1144.2629008513709</v>
      </c>
      <c r="K150" s="56">
        <f t="shared" si="320"/>
        <v>1162.6992964006292</v>
      </c>
      <c r="L150" s="56">
        <f t="shared" si="320"/>
        <v>1188.0294446443952</v>
      </c>
      <c r="M150" s="56">
        <f t="shared" si="320"/>
        <v>1212.0292314174544</v>
      </c>
      <c r="N150" s="56">
        <f t="shared" si="320"/>
        <v>1225.8808441533192</v>
      </c>
      <c r="O150" s="56">
        <f t="shared" si="320"/>
        <v>1248.2756142634635</v>
      </c>
      <c r="P150" s="56">
        <f t="shared" si="320"/>
        <v>1283.4935178833066</v>
      </c>
      <c r="Q150" s="56">
        <f t="shared" si="320"/>
        <v>1314.7444008314585</v>
      </c>
      <c r="R150" s="56">
        <f t="shared" si="320"/>
        <v>1337.6976533204925</v>
      </c>
      <c r="S150" s="56">
        <f t="shared" si="320"/>
        <v>1376.041414243163</v>
      </c>
      <c r="T150" s="56">
        <f t="shared" si="320"/>
        <v>1410.1414285347573</v>
      </c>
      <c r="U150" s="56">
        <f t="shared" si="320"/>
        <v>1432.3479248173353</v>
      </c>
      <c r="V150" s="56">
        <f t="shared" si="320"/>
        <v>1468.6079851670017</v>
      </c>
      <c r="W150" s="56">
        <f t="shared" si="320"/>
        <v>1491.1053729996265</v>
      </c>
      <c r="X150" s="56">
        <f t="shared" si="320"/>
        <v>1521.6211714899075</v>
      </c>
      <c r="Y150" s="56">
        <f t="shared" si="320"/>
        <v>1567.8426546635474</v>
      </c>
      <c r="Z150" s="56">
        <f t="shared" si="320"/>
        <v>1582.3500183614847</v>
      </c>
      <c r="AA150" s="56">
        <f t="shared" si="320"/>
        <v>1599.3949174609174</v>
      </c>
      <c r="AB150" s="56">
        <f t="shared" si="320"/>
        <v>1624.8925778572739</v>
      </c>
      <c r="AC150" s="56">
        <f t="shared" si="320"/>
        <v>1645.9189336403495</v>
      </c>
      <c r="AD150" s="56">
        <f t="shared" si="320"/>
        <v>1668.5885606464697</v>
      </c>
      <c r="AE150" s="56">
        <f>AF26</f>
        <v>1690.1184388232809</v>
      </c>
      <c r="AF150" s="56">
        <f t="shared" ref="AF150:AK150" si="321">AG26</f>
        <v>1725.8453285220091</v>
      </c>
      <c r="AG150" s="56">
        <f t="shared" si="321"/>
        <v>1753.8758091492316</v>
      </c>
      <c r="AH150" s="56">
        <f t="shared" si="321"/>
        <v>1815.6498935488466</v>
      </c>
      <c r="AI150" s="56">
        <f t="shared" si="321"/>
        <v>1878.1695113799476</v>
      </c>
      <c r="AJ150" s="56">
        <f t="shared" si="321"/>
        <v>1907.8850269184595</v>
      </c>
      <c r="AK150" s="56">
        <f t="shared" si="321"/>
        <v>1941.922068602945</v>
      </c>
      <c r="AL150" s="56">
        <f t="shared" ref="AL150:CI150" si="322">AM26</f>
        <v>2026.1148658063726</v>
      </c>
      <c r="AM150" s="56">
        <f t="shared" si="322"/>
        <v>2073.8681907339105</v>
      </c>
      <c r="AN150" s="56">
        <f t="shared" si="322"/>
        <v>2100.5945688302759</v>
      </c>
      <c r="AO150" s="56">
        <f t="shared" si="322"/>
        <v>2114.1418893620416</v>
      </c>
      <c r="AP150" s="56">
        <f t="shared" si="322"/>
        <v>2147.1152447751469</v>
      </c>
      <c r="AQ150" s="56">
        <f t="shared" si="322"/>
        <v>2191.0114572074831</v>
      </c>
      <c r="AR150" s="56">
        <f t="shared" si="322"/>
        <v>2233.3013949821716</v>
      </c>
      <c r="AS150" s="56">
        <f t="shared" si="322"/>
        <v>2270.3370605478103</v>
      </c>
      <c r="AT150" s="56">
        <f t="shared" si="322"/>
        <v>2323.2210841450783</v>
      </c>
      <c r="AU150" s="56">
        <f t="shared" si="322"/>
        <v>2345.7700135643686</v>
      </c>
      <c r="AV150" s="56">
        <f t="shared" si="322"/>
        <v>2397.2547735433318</v>
      </c>
      <c r="AW150" s="56">
        <f t="shared" si="322"/>
        <v>2428.9261310740048</v>
      </c>
      <c r="AX150" s="56">
        <f t="shared" si="322"/>
        <v>2448.177756956783</v>
      </c>
      <c r="AY150" s="56">
        <f t="shared" si="322"/>
        <v>2491.8537265193504</v>
      </c>
      <c r="AZ150" s="56">
        <f t="shared" si="322"/>
        <v>2545.6050575835829</v>
      </c>
      <c r="BA150" s="56">
        <f t="shared" si="322"/>
        <v>2587.2216595320097</v>
      </c>
      <c r="BB150" s="56">
        <f t="shared" si="322"/>
        <v>2627.4814349691906</v>
      </c>
      <c r="BC150" s="56">
        <f t="shared" si="322"/>
        <v>2677.2114740651855</v>
      </c>
      <c r="BD150" s="56">
        <f t="shared" si="322"/>
        <v>2682.50066195613</v>
      </c>
      <c r="BE150" s="56">
        <f t="shared" si="322"/>
        <v>2704.9482357919564</v>
      </c>
      <c r="BF150" s="56">
        <f t="shared" si="322"/>
        <v>2707.2032988008691</v>
      </c>
      <c r="BG150" s="56">
        <f t="shared" si="322"/>
        <v>2717.1745704173613</v>
      </c>
      <c r="BH150" s="56">
        <f t="shared" si="322"/>
        <v>2749.2037644289039</v>
      </c>
      <c r="BI150" s="56">
        <f t="shared" si="322"/>
        <v>2788.8708637688378</v>
      </c>
      <c r="BJ150" s="56">
        <f t="shared" si="322"/>
        <v>2812.8782128278049</v>
      </c>
      <c r="BK150" s="56">
        <f t="shared" si="322"/>
        <v>2851.7074255584553</v>
      </c>
      <c r="BL150" s="56">
        <f t="shared" si="322"/>
        <v>2883.8459659532</v>
      </c>
      <c r="BM150" s="56">
        <f t="shared" si="322"/>
        <v>2956.8508741551932</v>
      </c>
      <c r="BN150" s="56">
        <f t="shared" si="322"/>
        <v>2963.5786320618113</v>
      </c>
      <c r="BO150" s="56">
        <f t="shared" si="322"/>
        <v>2997.4477355945673</v>
      </c>
      <c r="BP150" s="56">
        <f t="shared" si="322"/>
        <v>3004.4812428965524</v>
      </c>
      <c r="BQ150" s="56">
        <f t="shared" si="322"/>
        <v>3017.7655893620522</v>
      </c>
      <c r="BR150" s="56">
        <f t="shared" si="322"/>
        <v>3040.4839185245587</v>
      </c>
      <c r="BS150" s="56">
        <f t="shared" si="322"/>
        <v>3062.6322266600823</v>
      </c>
      <c r="BT150" s="56">
        <f t="shared" si="322"/>
        <v>3119.9692253030744</v>
      </c>
      <c r="BU150" s="56">
        <f t="shared" si="322"/>
        <v>3106.9963990209503</v>
      </c>
      <c r="BV150" s="56">
        <f t="shared" si="322"/>
        <v>3117.0351508801823</v>
      </c>
      <c r="BW150" s="56">
        <f t="shared" si="322"/>
        <v>3147.3464381378662</v>
      </c>
      <c r="BX150" s="56">
        <f t="shared" si="322"/>
        <v>3176.3297510550028</v>
      </c>
      <c r="BY150" s="56">
        <f t="shared" si="322"/>
        <v>3231.783190307749</v>
      </c>
      <c r="BZ150" s="56">
        <f t="shared" si="322"/>
        <v>3253.2409123388256</v>
      </c>
      <c r="CA150" s="56">
        <f t="shared" si="322"/>
        <v>3368.1846694812925</v>
      </c>
      <c r="CB150" s="56">
        <f t="shared" si="322"/>
        <v>3453.4506703377451</v>
      </c>
      <c r="CC150" s="56">
        <f t="shared" si="322"/>
        <v>3474.3534642090572</v>
      </c>
      <c r="CD150" s="56">
        <f t="shared" si="322"/>
        <v>3454.3668264990633</v>
      </c>
      <c r="CE150" s="56">
        <f t="shared" si="322"/>
        <v>3482.2369595975415</v>
      </c>
      <c r="CF150" s="56">
        <f t="shared" si="322"/>
        <v>3503.1931871691968</v>
      </c>
      <c r="CG150" s="56">
        <f t="shared" si="322"/>
        <v>3578.5983022366904</v>
      </c>
      <c r="CH150" s="56">
        <f t="shared" ca="1" si="322"/>
        <v>2373.8949567469472</v>
      </c>
      <c r="CI150" s="56">
        <f t="shared" si="322"/>
        <v>3665.4546492318145</v>
      </c>
      <c r="CJ150" s="56">
        <f t="shared" ref="CJ150:CO150" si="323">CK26</f>
        <v>3688.4354810816976</v>
      </c>
      <c r="CK150" s="56">
        <f t="shared" si="323"/>
        <v>3710.6326187899394</v>
      </c>
      <c r="CL150" s="56">
        <f t="shared" si="323"/>
        <v>3771.7856371148587</v>
      </c>
      <c r="CM150" s="56">
        <f t="shared" si="323"/>
        <v>3808.8646089200615</v>
      </c>
      <c r="CN150" s="56">
        <f t="shared" si="323"/>
        <v>3824.7679871535283</v>
      </c>
      <c r="CO150" s="56">
        <f t="shared" si="323"/>
        <v>3897.1589311970533</v>
      </c>
      <c r="CP150" s="56">
        <f t="shared" ref="CP150:CX150" si="324">CQ26</f>
        <v>3961.2203869487453</v>
      </c>
      <c r="CQ150" s="56">
        <f t="shared" si="324"/>
        <v>4045.2856105482024</v>
      </c>
      <c r="CR150" s="56">
        <f t="shared" si="324"/>
        <v>4062.1761314074324</v>
      </c>
      <c r="CS150" s="56">
        <f t="shared" si="324"/>
        <v>4184.6336085926505</v>
      </c>
      <c r="CT150" s="56">
        <f t="shared" si="324"/>
        <v>4130.4464055590497</v>
      </c>
      <c r="CU150" s="56">
        <f t="shared" si="324"/>
        <v>4142.3783560760521</v>
      </c>
      <c r="CV150" s="56">
        <f t="shared" si="324"/>
        <v>4170.718348690556</v>
      </c>
      <c r="CW150" s="56">
        <f t="shared" si="324"/>
        <v>4159.5617302553146</v>
      </c>
      <c r="CX150" s="56">
        <f t="shared" si="324"/>
        <v>4159.5617302553146</v>
      </c>
      <c r="DQ150" s="56">
        <f ca="1"/>
        <v>3771.7856371148587</v>
      </c>
      <c r="DR150" s="56">
        <f ca="1"/>
        <v>3808.8646089200615</v>
      </c>
      <c r="DS150" s="56">
        <f ca="1"/>
        <v>3824.7679871535283</v>
      </c>
      <c r="DT150" s="56">
        <f ca="1"/>
        <v>3897.1589311970533</v>
      </c>
      <c r="DU150" s="56">
        <f ca="1"/>
        <v>3961.2203869487453</v>
      </c>
      <c r="DV150" s="56">
        <f ca="1"/>
        <v>4045.2856105482024</v>
      </c>
      <c r="DW150" s="56">
        <f ca="1"/>
        <v>4062.1761314074324</v>
      </c>
      <c r="DX150" s="56">
        <f ca="1"/>
        <v>4184.6336085926505</v>
      </c>
      <c r="DY150" s="56">
        <f ca="1"/>
        <v>4130.4464055590497</v>
      </c>
      <c r="DZ150" s="56">
        <f ca="1"/>
        <v>4142.3783560760521</v>
      </c>
      <c r="EA150" s="56">
        <f ca="1"/>
        <v>4170.718348690556</v>
      </c>
      <c r="EB150" s="56">
        <f ca="1"/>
        <v>4159.5617302553146</v>
      </c>
      <c r="EC150" s="56">
        <f ca="1"/>
        <v>4159.5617302553146</v>
      </c>
    </row>
    <row r="151" spans="1:133" x14ac:dyDescent="0.3">
      <c r="A151" t="s">
        <v>108</v>
      </c>
      <c r="C151" s="55">
        <f t="shared" ref="C151:AE151" si="325">LN(C150)-LN(B150)</f>
        <v>1.8214285714285516E-2</v>
      </c>
      <c r="D151" s="55">
        <f t="shared" si="325"/>
        <v>2.4242424242424399E-2</v>
      </c>
      <c r="E151" s="55">
        <f t="shared" si="325"/>
        <v>2.9661016949154018E-3</v>
      </c>
      <c r="F151" s="55">
        <f t="shared" si="325"/>
        <v>1.2704918032786949E-2</v>
      </c>
      <c r="G151" s="55">
        <f t="shared" si="325"/>
        <v>2.3636363636363455E-2</v>
      </c>
      <c r="H151" s="55">
        <f t="shared" si="325"/>
        <v>1.0074626865671732E-2</v>
      </c>
      <c r="I151" s="55">
        <f t="shared" si="325"/>
        <v>8.0357142857145902E-3</v>
      </c>
      <c r="J151" s="55">
        <f t="shared" si="325"/>
        <v>2.1153846153845635E-2</v>
      </c>
      <c r="K151" s="55">
        <f t="shared" si="325"/>
        <v>1.5983606557377072E-2</v>
      </c>
      <c r="L151" s="55">
        <f t="shared" si="325"/>
        <v>2.1551724137931494E-2</v>
      </c>
      <c r="M151" s="55">
        <f t="shared" si="325"/>
        <v>1.9999999999999574E-2</v>
      </c>
      <c r="N151" s="55">
        <f t="shared" si="325"/>
        <v>1.1363636363636687E-2</v>
      </c>
      <c r="O151" s="55">
        <f t="shared" si="325"/>
        <v>1.8103448275861744E-2</v>
      </c>
      <c r="P151" s="55">
        <f t="shared" si="325"/>
        <v>2.7822580645161743E-2</v>
      </c>
      <c r="Q151" s="55">
        <f t="shared" si="325"/>
        <v>2.4056603773584762E-2</v>
      </c>
      <c r="R151" s="55">
        <f t="shared" si="325"/>
        <v>1.7307692307691802E-2</v>
      </c>
      <c r="S151" s="55">
        <f t="shared" si="325"/>
        <v>2.8260869565217561E-2</v>
      </c>
      <c r="T151" s="55">
        <f t="shared" si="325"/>
        <v>2.4479166666666607E-2</v>
      </c>
      <c r="U151" s="55">
        <f t="shared" si="325"/>
        <v>1.5625E-2</v>
      </c>
      <c r="V151" s="55">
        <f t="shared" si="325"/>
        <v>2.5000000000000355E-2</v>
      </c>
      <c r="W151" s="55">
        <f t="shared" si="325"/>
        <v>1.5202702702702631E-2</v>
      </c>
      <c r="X151" s="55">
        <f t="shared" si="325"/>
        <v>2.0258620689655338E-2</v>
      </c>
      <c r="Y151" s="55">
        <f t="shared" si="325"/>
        <v>2.9924242424242742E-2</v>
      </c>
      <c r="Z151" s="55">
        <f t="shared" si="325"/>
        <v>9.2105263157886696E-3</v>
      </c>
      <c r="AA151" s="55">
        <f t="shared" si="325"/>
        <v>1.071428571428612E-2</v>
      </c>
      <c r="AB151" s="55">
        <f t="shared" si="325"/>
        <v>1.5816326530612379E-2</v>
      </c>
      <c r="AC151" s="55">
        <f t="shared" si="325"/>
        <v>1.2857142857142456E-2</v>
      </c>
      <c r="AD151" s="55">
        <f t="shared" si="325"/>
        <v>1.3679245283019448E-2</v>
      </c>
      <c r="AE151" s="55">
        <f t="shared" si="325"/>
        <v>1.2820512820512775E-2</v>
      </c>
      <c r="AF151" s="55">
        <f t="shared" ref="AF151:CI151" si="326">LN(AF150)-LN(AE150)</f>
        <v>2.0918367346938638E-2</v>
      </c>
      <c r="AG151" s="55">
        <f t="shared" si="326"/>
        <v>1.6111111111110965E-2</v>
      </c>
      <c r="AH151" s="55">
        <f t="shared" si="326"/>
        <v>3.4615384615384492E-2</v>
      </c>
      <c r="AI151" s="55">
        <f t="shared" si="326"/>
        <v>3.3854166666666963E-2</v>
      </c>
      <c r="AJ151" s="55">
        <f t="shared" si="326"/>
        <v>1.5697674418604812E-2</v>
      </c>
      <c r="AK151" s="55">
        <f t="shared" si="326"/>
        <v>1.7682926829268197E-2</v>
      </c>
      <c r="AL151" s="55">
        <f t="shared" si="326"/>
        <v>4.2441860465116221E-2</v>
      </c>
      <c r="AM151" s="55">
        <f t="shared" si="326"/>
        <v>2.3295454545453786E-2</v>
      </c>
      <c r="AN151" s="55">
        <f t="shared" si="326"/>
        <v>1.2804878048780388E-2</v>
      </c>
      <c r="AO151" s="55">
        <f t="shared" si="326"/>
        <v>6.4285714285716722E-3</v>
      </c>
      <c r="AP151" s="55">
        <f t="shared" si="326"/>
        <v>1.5476190476190865E-2</v>
      </c>
      <c r="AQ151" s="55">
        <f t="shared" si="326"/>
        <v>2.0238095238094722E-2</v>
      </c>
      <c r="AR151" s="55">
        <f t="shared" si="326"/>
        <v>1.9117647058823906E-2</v>
      </c>
      <c r="AS151" s="55">
        <f t="shared" si="326"/>
        <v>1.6447368421052211E-2</v>
      </c>
      <c r="AT151" s="55">
        <f t="shared" si="326"/>
        <v>2.3026315789474339E-2</v>
      </c>
      <c r="AU151" s="55">
        <f t="shared" si="326"/>
        <v>9.6590909090901178E-3</v>
      </c>
      <c r="AV151" s="55">
        <f t="shared" si="326"/>
        <v>2.1710526315789735E-2</v>
      </c>
      <c r="AW151" s="186">
        <f t="shared" si="326"/>
        <v>1.3124999999999609E-2</v>
      </c>
      <c r="AX151" s="186">
        <f t="shared" si="326"/>
        <v>7.8947368421058428E-3</v>
      </c>
      <c r="AY151" s="186">
        <f t="shared" si="326"/>
        <v>1.7682926829268197E-2</v>
      </c>
      <c r="AZ151" s="186">
        <f t="shared" si="326"/>
        <v>2.1341463414634276E-2</v>
      </c>
      <c r="BA151" s="186">
        <f t="shared" si="326"/>
        <v>1.6216216216215606E-2</v>
      </c>
      <c r="BB151" s="186">
        <f t="shared" si="326"/>
        <v>1.5441176470588402E-2</v>
      </c>
      <c r="BC151" s="186">
        <f t="shared" si="326"/>
        <v>1.8750000000000711E-2</v>
      </c>
      <c r="BD151" s="186">
        <f t="shared" si="326"/>
        <v>1.9736842105260166E-3</v>
      </c>
      <c r="BE151" s="186">
        <f t="shared" si="326"/>
        <v>8.3333333333337478E-3</v>
      </c>
      <c r="BF151" s="186">
        <f t="shared" si="326"/>
        <v>8.333333333334636E-4</v>
      </c>
      <c r="BG151" s="186">
        <f t="shared" si="326"/>
        <v>3.6764705882346149E-3</v>
      </c>
      <c r="BH151" s="186">
        <f t="shared" si="326"/>
        <v>1.171875E-2</v>
      </c>
      <c r="BI151" s="186">
        <f t="shared" si="326"/>
        <v>1.4325476044226626E-2</v>
      </c>
      <c r="BJ151" s="186">
        <f t="shared" si="326"/>
        <v>8.5714285714280081E-3</v>
      </c>
      <c r="BK151" s="186">
        <f t="shared" si="326"/>
        <v>1.3709677419354804E-2</v>
      </c>
      <c r="BL151" s="186">
        <f t="shared" si="326"/>
        <v>1.120689655172491E-2</v>
      </c>
      <c r="BM151" s="186">
        <f t="shared" si="326"/>
        <v>2.4999999999999467E-2</v>
      </c>
      <c r="BN151" s="186">
        <f t="shared" si="326"/>
        <v>2.2727272727278702E-3</v>
      </c>
      <c r="BO151" s="186">
        <f t="shared" si="326"/>
        <v>1.1363636363635798E-2</v>
      </c>
      <c r="BP151" s="186">
        <f t="shared" si="326"/>
        <v>2.3437499999996447E-3</v>
      </c>
      <c r="BQ151" s="186">
        <f t="shared" si="326"/>
        <v>4.4117647058818932E-3</v>
      </c>
      <c r="BR151" s="186">
        <f t="shared" si="326"/>
        <v>7.5000000000002842E-3</v>
      </c>
      <c r="BS151" s="186">
        <f t="shared" si="326"/>
        <v>7.2580645161295365E-3</v>
      </c>
      <c r="BT151" s="186">
        <f t="shared" si="326"/>
        <v>1.8548387096773311E-2</v>
      </c>
      <c r="BU151" s="186">
        <f t="shared" si="326"/>
        <v>-4.1666666666664298E-3</v>
      </c>
      <c r="BV151" s="186">
        <f t="shared" si="326"/>
        <v>3.2258064516135221E-3</v>
      </c>
      <c r="BW151" s="186">
        <f t="shared" si="326"/>
        <v>9.6774193548387899E-3</v>
      </c>
      <c r="BX151" s="186">
        <f t="shared" si="326"/>
        <v>9.1666666666672114E-3</v>
      </c>
      <c r="BY151" s="186">
        <f t="shared" si="326"/>
        <v>1.7307692307690914E-2</v>
      </c>
      <c r="BZ151" s="186">
        <f t="shared" si="326"/>
        <v>6.6176470588246161E-3</v>
      </c>
      <c r="CA151" s="186">
        <f t="shared" si="326"/>
        <v>3.4722222222221433E-2</v>
      </c>
      <c r="CB151" s="186">
        <f t="shared" si="326"/>
        <v>2.5000000000000355E-2</v>
      </c>
      <c r="CC151" s="186">
        <f t="shared" si="326"/>
        <v>6.0344827586202854E-3</v>
      </c>
      <c r="CD151" s="186">
        <f t="shared" si="326"/>
        <v>-5.7692307692303046E-3</v>
      </c>
      <c r="CE151" s="186">
        <f t="shared" si="326"/>
        <v>8.0357142857145902E-3</v>
      </c>
      <c r="CF151" s="186">
        <f t="shared" si="326"/>
        <v>6.0000000000002274E-3</v>
      </c>
      <c r="CG151" s="186">
        <f t="shared" si="326"/>
        <v>2.129629629629548E-2</v>
      </c>
      <c r="CH151" s="186">
        <f t="shared" ca="1" si="326"/>
        <v>-0.41043914021448824</v>
      </c>
      <c r="CI151" s="186">
        <f t="shared" ca="1" si="326"/>
        <v>0.43442033143705938</v>
      </c>
      <c r="CJ151" s="186">
        <f t="shared" ref="CJ151:CX151" si="327">LN(CJ150)-LN(CI150)</f>
        <v>6.2499999999996447E-3</v>
      </c>
      <c r="CK151" s="186">
        <f t="shared" si="327"/>
        <v>6.0000000000002274E-3</v>
      </c>
      <c r="CL151" s="186">
        <f t="shared" si="327"/>
        <v>1.634615384615401E-2</v>
      </c>
      <c r="CM151" s="186">
        <f t="shared" si="327"/>
        <v>9.7826086956516178E-3</v>
      </c>
      <c r="CN151" s="186">
        <f t="shared" si="327"/>
        <v>4.1666666666664298E-3</v>
      </c>
      <c r="CO151" s="186">
        <f t="shared" si="327"/>
        <v>1.8750000000000711E-2</v>
      </c>
      <c r="CP151" s="186">
        <f t="shared" si="327"/>
        <v>1.630434782608603E-2</v>
      </c>
      <c r="CQ151" s="186">
        <f t="shared" si="327"/>
        <v>2.1000000000000796E-2</v>
      </c>
      <c r="CR151" s="186">
        <f t="shared" si="327"/>
        <v>4.1666666666664298E-3</v>
      </c>
      <c r="CS151" s="186">
        <f t="shared" si="327"/>
        <v>2.970032840722503E-2</v>
      </c>
      <c r="CT151" s="186">
        <f t="shared" si="327"/>
        <v>-1.3033661740557534E-2</v>
      </c>
      <c r="CU151" s="186">
        <f t="shared" si="327"/>
        <v>2.8846153846142641E-3</v>
      </c>
      <c r="CV151" s="186">
        <f t="shared" si="327"/>
        <v>6.8181818181827225E-3</v>
      </c>
      <c r="CW151" s="186">
        <f t="shared" si="327"/>
        <v>-2.6785714285715301E-3</v>
      </c>
      <c r="CX151" s="186">
        <f t="shared" si="327"/>
        <v>0</v>
      </c>
      <c r="DQ151" s="55">
        <f ca="1"/>
        <v>1.634615384615401E-2</v>
      </c>
      <c r="DR151" s="55">
        <f ca="1"/>
        <v>9.7826086956516178E-3</v>
      </c>
      <c r="DS151" s="55">
        <f ca="1"/>
        <v>4.1666666666664298E-3</v>
      </c>
      <c r="DT151" s="55">
        <f ca="1"/>
        <v>1.8750000000000711E-2</v>
      </c>
      <c r="DU151" s="55">
        <f ca="1"/>
        <v>1.630434782608603E-2</v>
      </c>
      <c r="DV151" s="55">
        <f ca="1"/>
        <v>2.1000000000000796E-2</v>
      </c>
      <c r="DW151" s="55">
        <f ca="1"/>
        <v>4.1666666666664298E-3</v>
      </c>
      <c r="DX151" s="55">
        <f ca="1"/>
        <v>2.970032840722503E-2</v>
      </c>
      <c r="DY151" s="55">
        <f ca="1"/>
        <v>-1.3033661740557534E-2</v>
      </c>
      <c r="DZ151" s="55">
        <f ca="1"/>
        <v>2.8846153846142641E-3</v>
      </c>
      <c r="EA151" s="55">
        <f ca="1"/>
        <v>6.8181818181827225E-3</v>
      </c>
      <c r="EB151" s="55">
        <f ca="1"/>
        <v>-2.6785714285715301E-3</v>
      </c>
      <c r="EC151" s="186">
        <f ca="1"/>
        <v>0</v>
      </c>
    </row>
    <row r="152" spans="1:133" x14ac:dyDescent="0.3">
      <c r="N152" s="31"/>
      <c r="Q152" s="66"/>
      <c r="R152" s="66"/>
      <c r="S152" s="66"/>
      <c r="T152" s="66"/>
      <c r="U152" s="66"/>
      <c r="V152" s="66"/>
      <c r="W152" s="66"/>
      <c r="X152" s="66"/>
      <c r="Y152" s="66"/>
      <c r="Z152" s="66"/>
      <c r="AA152" s="66"/>
      <c r="AB152" s="66"/>
      <c r="AC152" s="66"/>
      <c r="AD152" s="66"/>
      <c r="AE152" s="66"/>
      <c r="AF152" s="66"/>
      <c r="AG152" s="66"/>
      <c r="AH152" s="66"/>
      <c r="AI152" s="66"/>
      <c r="AJ152" s="66"/>
      <c r="AK152" s="66"/>
      <c r="AL152" s="66"/>
      <c r="AM152" s="66"/>
      <c r="AN152" s="66"/>
      <c r="AO152" s="66"/>
      <c r="AP152" s="66"/>
      <c r="AQ152" s="66"/>
      <c r="AR152" s="66"/>
      <c r="AS152" s="66"/>
      <c r="AT152" s="66"/>
      <c r="AU152" s="66"/>
      <c r="AV152" s="66"/>
      <c r="AW152" s="66"/>
      <c r="AX152" s="66"/>
      <c r="AY152" s="66"/>
      <c r="AZ152" s="66"/>
      <c r="BA152" s="66"/>
      <c r="BB152" s="66"/>
      <c r="BC152" s="66"/>
      <c r="BD152" s="66"/>
      <c r="BE152" s="66"/>
      <c r="BF152" s="66"/>
      <c r="BG152" s="66"/>
      <c r="BH152" s="66"/>
      <c r="BI152" s="66"/>
      <c r="BJ152" s="66"/>
      <c r="BK152" s="66"/>
      <c r="BL152" s="66"/>
      <c r="BM152" s="66"/>
      <c r="BN152" s="66"/>
      <c r="BO152" s="66"/>
      <c r="BP152" s="66"/>
      <c r="BQ152" s="66"/>
      <c r="BR152" s="66"/>
      <c r="BS152" s="66"/>
      <c r="BT152" s="66"/>
      <c r="BU152" s="66"/>
      <c r="BV152" s="66"/>
      <c r="BW152" s="66"/>
      <c r="BX152" s="66"/>
      <c r="BY152" s="66"/>
      <c r="BZ152" s="66"/>
      <c r="CA152" s="66"/>
      <c r="CB152" s="66"/>
      <c r="CC152" s="66"/>
      <c r="CD152" s="66"/>
      <c r="CE152" s="66"/>
      <c r="CF152" s="66"/>
      <c r="CG152" s="66"/>
      <c r="CH152" s="66"/>
      <c r="CI152" s="66"/>
      <c r="CJ152" s="66"/>
      <c r="CK152" s="66"/>
      <c r="CL152" s="66"/>
      <c r="CM152" s="66"/>
      <c r="CN152" s="66"/>
      <c r="CO152" s="66"/>
      <c r="CP152" s="66"/>
      <c r="DQ152" s="66">
        <f ca="1"/>
        <v>0</v>
      </c>
      <c r="DR152" s="66">
        <f ca="1"/>
        <v>0</v>
      </c>
      <c r="DS152" s="66">
        <f ca="1"/>
        <v>0</v>
      </c>
      <c r="DT152" s="66">
        <f ca="1"/>
        <v>0</v>
      </c>
      <c r="DU152" s="66">
        <f ca="1"/>
        <v>0</v>
      </c>
      <c r="DV152" s="66">
        <f ca="1"/>
        <v>0</v>
      </c>
      <c r="DW152" s="66">
        <f ca="1"/>
        <v>0</v>
      </c>
      <c r="DX152" s="66">
        <f ca="1"/>
        <v>0</v>
      </c>
      <c r="DY152" s="66">
        <f ca="1"/>
        <v>0</v>
      </c>
      <c r="DZ152" s="66">
        <f ca="1"/>
        <v>0</v>
      </c>
      <c r="EA152" s="66">
        <f ca="1"/>
        <v>0</v>
      </c>
      <c r="EB152" s="66">
        <f ca="1"/>
        <v>0</v>
      </c>
      <c r="EC152" s="66">
        <f ca="1"/>
        <v>0</v>
      </c>
    </row>
    <row r="153" spans="1:133" x14ac:dyDescent="0.3">
      <c r="N153" s="31"/>
      <c r="Q153" s="64"/>
      <c r="R153" s="64"/>
      <c r="S153" s="64"/>
      <c r="T153" s="64"/>
      <c r="U153" s="64"/>
      <c r="V153" s="64"/>
      <c r="W153" s="64"/>
      <c r="X153" s="64"/>
      <c r="Y153" s="64"/>
      <c r="Z153" s="64"/>
      <c r="AA153" s="64"/>
      <c r="AB153" s="64"/>
      <c r="AC153" s="64"/>
      <c r="AD153" s="64"/>
      <c r="AE153" s="64"/>
      <c r="AF153" s="64"/>
      <c r="AG153" s="64"/>
      <c r="AH153" s="64"/>
      <c r="AI153" s="64"/>
      <c r="AJ153" s="64"/>
      <c r="AK153" s="64"/>
      <c r="AL153" s="64"/>
      <c r="AM153" s="64"/>
      <c r="AN153" s="64"/>
      <c r="AO153" s="64"/>
      <c r="AP153" s="64"/>
      <c r="AQ153" s="64"/>
      <c r="AR153" s="64"/>
      <c r="AS153" s="64"/>
      <c r="AT153" s="64"/>
      <c r="AU153" s="64"/>
      <c r="AV153" s="64"/>
      <c r="AW153" s="64"/>
      <c r="AX153" s="64"/>
      <c r="AY153" s="64"/>
      <c r="AZ153" s="64"/>
      <c r="BA153" s="64"/>
      <c r="BB153" s="64"/>
      <c r="BC153" s="64"/>
      <c r="BD153" s="64"/>
      <c r="BE153" s="64"/>
      <c r="BF153" s="64"/>
      <c r="BG153" s="64"/>
      <c r="BH153" s="64"/>
      <c r="BI153" s="64"/>
      <c r="BJ153" s="64"/>
      <c r="BK153" s="64"/>
      <c r="BL153" s="64"/>
      <c r="BM153" s="64"/>
      <c r="BN153" s="64"/>
      <c r="BO153" s="64"/>
      <c r="BP153" s="64"/>
      <c r="BQ153" s="64"/>
      <c r="BR153" s="64"/>
      <c r="CN153" s="247"/>
      <c r="CO153" s="247"/>
      <c r="CP153" s="247"/>
      <c r="DQ153" s="64">
        <f ca="1"/>
        <v>0</v>
      </c>
      <c r="DR153" s="64">
        <f ca="1"/>
        <v>0</v>
      </c>
      <c r="DS153" s="64">
        <f ca="1"/>
        <v>0</v>
      </c>
      <c r="DT153" s="64">
        <f ca="1"/>
        <v>0</v>
      </c>
      <c r="DU153" s="64">
        <f ca="1"/>
        <v>0</v>
      </c>
      <c r="DV153" s="64">
        <f ca="1"/>
        <v>0</v>
      </c>
      <c r="DW153" s="64">
        <f ca="1"/>
        <v>0</v>
      </c>
      <c r="DX153" s="64">
        <f ca="1"/>
        <v>0</v>
      </c>
      <c r="DY153" s="64">
        <f ca="1"/>
        <v>0</v>
      </c>
      <c r="DZ153" s="64">
        <f ca="1"/>
        <v>0</v>
      </c>
      <c r="EA153" s="64">
        <f ca="1"/>
        <v>0</v>
      </c>
      <c r="EB153" s="64">
        <f ca="1"/>
        <v>0</v>
      </c>
      <c r="EC153" s="64">
        <f ca="1"/>
        <v>0</v>
      </c>
    </row>
    <row r="154" spans="1:133" x14ac:dyDescent="0.3">
      <c r="N154" s="31"/>
      <c r="Q154" s="65"/>
      <c r="R154" s="65"/>
      <c r="S154" s="65"/>
      <c r="T154" s="65"/>
      <c r="U154" s="65"/>
      <c r="V154" s="65"/>
      <c r="W154" s="65"/>
      <c r="X154" s="65"/>
      <c r="Y154" s="65"/>
      <c r="Z154" s="65"/>
      <c r="AA154" s="65"/>
      <c r="AB154" s="65"/>
      <c r="AC154" s="65"/>
      <c r="AD154" s="65"/>
      <c r="AE154" s="65"/>
      <c r="AF154" s="65"/>
      <c r="AG154" s="65"/>
      <c r="AH154" s="65"/>
      <c r="AI154" s="65"/>
      <c r="AJ154" s="65"/>
      <c r="AK154" s="65"/>
      <c r="AL154" s="65"/>
      <c r="AM154" s="65"/>
      <c r="AN154" s="65"/>
      <c r="AO154" s="65"/>
      <c r="AP154" s="65"/>
      <c r="AQ154" s="65"/>
      <c r="AR154" s="65"/>
      <c r="AS154" s="65"/>
      <c r="AT154" s="65"/>
      <c r="AU154" s="65"/>
      <c r="AV154" s="65"/>
      <c r="AW154" s="65"/>
      <c r="AX154" s="65"/>
      <c r="AY154" s="65"/>
      <c r="AZ154" s="65"/>
      <c r="BA154" s="65"/>
      <c r="BB154" s="65"/>
      <c r="BC154" s="65"/>
      <c r="BD154" s="65"/>
      <c r="BE154" s="65"/>
      <c r="BF154" s="65"/>
      <c r="BG154" s="65"/>
      <c r="BH154" s="65"/>
      <c r="BI154" s="65"/>
      <c r="BJ154" s="65"/>
      <c r="BK154" s="65"/>
      <c r="BL154" s="65"/>
      <c r="BM154" s="65"/>
      <c r="BN154" s="65"/>
      <c r="BO154" s="65"/>
      <c r="BP154" s="65"/>
      <c r="BQ154" s="65"/>
      <c r="CN154" s="247"/>
      <c r="CO154" s="247"/>
      <c r="CP154" s="247"/>
      <c r="DQ154" s="65">
        <f ca="1"/>
        <v>0</v>
      </c>
      <c r="DR154" s="65">
        <f ca="1"/>
        <v>0</v>
      </c>
      <c r="DS154" s="65">
        <f ca="1"/>
        <v>0</v>
      </c>
      <c r="DT154" s="65">
        <f ca="1"/>
        <v>0</v>
      </c>
      <c r="DU154" s="65">
        <f ca="1"/>
        <v>0</v>
      </c>
      <c r="DV154" s="65">
        <f ca="1"/>
        <v>0</v>
      </c>
      <c r="DW154" s="65">
        <f ca="1"/>
        <v>0</v>
      </c>
      <c r="DX154" s="65">
        <f ca="1"/>
        <v>0</v>
      </c>
      <c r="DY154" s="65">
        <f ca="1"/>
        <v>0</v>
      </c>
      <c r="DZ154" s="65">
        <f ca="1"/>
        <v>0</v>
      </c>
      <c r="EA154" s="65">
        <f ca="1"/>
        <v>0</v>
      </c>
      <c r="EB154" s="65">
        <f ca="1"/>
        <v>0</v>
      </c>
      <c r="EC154" s="65">
        <f ca="1"/>
        <v>0</v>
      </c>
    </row>
    <row r="155" spans="1:133" x14ac:dyDescent="0.3">
      <c r="N155" s="31"/>
      <c r="Q155" s="66"/>
      <c r="R155" s="66"/>
      <c r="S155" s="66"/>
      <c r="T155" s="66"/>
      <c r="U155" s="66"/>
      <c r="V155" s="66"/>
      <c r="W155" s="66"/>
      <c r="X155" s="66"/>
      <c r="Y155" s="66"/>
      <c r="Z155" s="66"/>
      <c r="AA155" s="66"/>
      <c r="AB155" s="66"/>
      <c r="AC155" s="66"/>
      <c r="AD155" s="66"/>
      <c r="AE155" s="66"/>
      <c r="AF155" s="66"/>
      <c r="AG155" s="66"/>
      <c r="AH155" s="66"/>
      <c r="AI155" s="66"/>
      <c r="AJ155" s="66"/>
      <c r="AK155" s="66"/>
      <c r="AL155" s="66"/>
      <c r="AM155" s="66"/>
      <c r="AN155" s="66"/>
      <c r="AO155" s="66"/>
      <c r="AP155" s="66"/>
      <c r="AQ155" s="66"/>
      <c r="AR155" s="66"/>
      <c r="AS155" s="66"/>
      <c r="AT155" s="66"/>
      <c r="AU155" s="66"/>
      <c r="AV155" s="66"/>
      <c r="AW155" s="66"/>
      <c r="AX155" s="66"/>
      <c r="AY155" s="66"/>
      <c r="AZ155" s="66"/>
      <c r="BA155" s="66"/>
      <c r="BB155" s="66"/>
      <c r="BC155" s="66"/>
      <c r="BD155" s="66"/>
      <c r="BE155" s="66"/>
      <c r="BF155" s="66"/>
      <c r="BG155" s="66"/>
      <c r="BH155" s="66"/>
      <c r="BI155" s="66"/>
      <c r="BJ155" s="66"/>
      <c r="BK155" s="66"/>
      <c r="BL155" s="66"/>
      <c r="BM155" s="66"/>
      <c r="BN155" s="66"/>
      <c r="BO155" s="66"/>
      <c r="BP155" s="66"/>
      <c r="BQ155" s="66"/>
      <c r="CN155" s="247"/>
      <c r="CO155" s="247"/>
      <c r="CP155" s="247"/>
      <c r="DQ155" s="66">
        <f ca="1"/>
        <v>0</v>
      </c>
      <c r="DR155" s="66">
        <f ca="1"/>
        <v>0</v>
      </c>
      <c r="DS155" s="66">
        <f ca="1"/>
        <v>0</v>
      </c>
      <c r="DT155" s="66">
        <f ca="1"/>
        <v>0</v>
      </c>
      <c r="DU155" s="66">
        <f ca="1"/>
        <v>0</v>
      </c>
      <c r="DV155" s="66">
        <f ca="1"/>
        <v>0</v>
      </c>
      <c r="DW155" s="66">
        <f ca="1"/>
        <v>0</v>
      </c>
      <c r="DX155" s="66">
        <f ca="1"/>
        <v>0</v>
      </c>
      <c r="DY155" s="66">
        <f ca="1"/>
        <v>0</v>
      </c>
      <c r="DZ155" s="66">
        <f ca="1"/>
        <v>0</v>
      </c>
      <c r="EA155" s="66">
        <f ca="1"/>
        <v>0</v>
      </c>
      <c r="EB155" s="66">
        <f ca="1"/>
        <v>0</v>
      </c>
      <c r="EC155" s="66">
        <f ca="1"/>
        <v>0</v>
      </c>
    </row>
    <row r="156" spans="1:133" x14ac:dyDescent="0.3">
      <c r="N156" s="31"/>
      <c r="AG156" s="132"/>
      <c r="AH156" s="132"/>
      <c r="AI156" s="132"/>
      <c r="AK156" s="132"/>
      <c r="BJ156" s="165"/>
      <c r="CN156" s="247"/>
      <c r="CO156" s="247"/>
      <c r="CP156" s="247"/>
      <c r="DQ156" s="132">
        <f ca="1"/>
        <v>0</v>
      </c>
      <c r="DR156" s="132">
        <f ca="1"/>
        <v>0</v>
      </c>
      <c r="DS156" s="132">
        <f ca="1"/>
        <v>0</v>
      </c>
      <c r="DT156" s="132">
        <f ca="1"/>
        <v>0</v>
      </c>
      <c r="DU156" s="132">
        <f ca="1"/>
        <v>0</v>
      </c>
      <c r="DV156" s="132">
        <f ca="1"/>
        <v>0</v>
      </c>
      <c r="DW156" s="132">
        <f ca="1"/>
        <v>0</v>
      </c>
      <c r="DX156" s="132">
        <f ca="1"/>
        <v>0</v>
      </c>
      <c r="DY156" s="132">
        <f ca="1"/>
        <v>0</v>
      </c>
      <c r="DZ156" s="132">
        <f ca="1"/>
        <v>0</v>
      </c>
      <c r="EA156" s="132">
        <f ca="1"/>
        <v>0</v>
      </c>
      <c r="EB156" s="132">
        <f ca="1"/>
        <v>0</v>
      </c>
      <c r="EC156" s="165">
        <f ca="1"/>
        <v>0</v>
      </c>
    </row>
    <row r="157" spans="1:133" x14ac:dyDescent="0.3">
      <c r="N157" s="31"/>
      <c r="AG157" s="132"/>
      <c r="AH157" s="132"/>
      <c r="AI157" s="132"/>
      <c r="AK157" s="132"/>
      <c r="BJ157" s="165"/>
      <c r="CN157" s="247"/>
      <c r="CO157" s="247"/>
      <c r="CP157" s="247"/>
      <c r="DQ157" s="132">
        <f ca="1"/>
        <v>0</v>
      </c>
      <c r="DR157" s="132">
        <f ca="1"/>
        <v>0</v>
      </c>
      <c r="DS157" s="132">
        <f ca="1"/>
        <v>0</v>
      </c>
      <c r="DT157" s="132">
        <f ca="1"/>
        <v>0</v>
      </c>
      <c r="DU157" s="132">
        <f ca="1"/>
        <v>0</v>
      </c>
      <c r="DV157" s="132">
        <f ca="1"/>
        <v>0</v>
      </c>
      <c r="DW157" s="132">
        <f ca="1"/>
        <v>0</v>
      </c>
      <c r="DX157" s="132">
        <f ca="1"/>
        <v>0</v>
      </c>
      <c r="DY157" s="132">
        <f ca="1"/>
        <v>0</v>
      </c>
      <c r="DZ157" s="132">
        <f ca="1"/>
        <v>0</v>
      </c>
      <c r="EA157" s="132">
        <f ca="1"/>
        <v>0</v>
      </c>
      <c r="EB157" s="132">
        <f ca="1"/>
        <v>0</v>
      </c>
      <c r="EC157" s="165">
        <f ca="1"/>
        <v>0</v>
      </c>
    </row>
    <row r="158" spans="1:133" x14ac:dyDescent="0.3">
      <c r="N158" s="31"/>
      <c r="AG158" s="132"/>
      <c r="AH158" s="132"/>
      <c r="AK158" s="132"/>
      <c r="BJ158" s="165"/>
      <c r="CN158" s="247"/>
      <c r="CO158" s="247"/>
      <c r="CP158" s="247"/>
      <c r="DQ158" s="132">
        <f ca="1"/>
        <v>0</v>
      </c>
      <c r="DR158" s="132">
        <f ca="1"/>
        <v>0</v>
      </c>
      <c r="DS158" s="132">
        <f ca="1"/>
        <v>0</v>
      </c>
      <c r="DT158" s="132">
        <f ca="1"/>
        <v>0</v>
      </c>
      <c r="DU158" s="132">
        <f ca="1"/>
        <v>0</v>
      </c>
      <c r="DV158" s="132">
        <f ca="1"/>
        <v>0</v>
      </c>
      <c r="DW158" s="132">
        <f ca="1"/>
        <v>0</v>
      </c>
      <c r="DX158" s="132">
        <f ca="1"/>
        <v>0</v>
      </c>
      <c r="DY158" s="132">
        <f ca="1"/>
        <v>0</v>
      </c>
      <c r="DZ158" s="132">
        <f ca="1"/>
        <v>0</v>
      </c>
      <c r="EA158" s="132">
        <f ca="1"/>
        <v>0</v>
      </c>
      <c r="EB158" s="132">
        <f ca="1"/>
        <v>0</v>
      </c>
      <c r="EC158" s="165">
        <f ca="1"/>
        <v>0</v>
      </c>
    </row>
    <row r="159" spans="1:133" x14ac:dyDescent="0.3">
      <c r="N159" s="31"/>
      <c r="AG159" s="132"/>
      <c r="AH159" s="132"/>
      <c r="BJ159" s="165"/>
      <c r="CN159" s="247"/>
      <c r="CO159" s="247"/>
      <c r="CP159" s="247"/>
      <c r="DQ159" s="132">
        <f ca="1"/>
        <v>0</v>
      </c>
      <c r="DR159" s="132">
        <f ca="1"/>
        <v>0</v>
      </c>
      <c r="DS159" s="132">
        <f ca="1"/>
        <v>0</v>
      </c>
      <c r="DT159" s="132">
        <f ca="1"/>
        <v>0</v>
      </c>
      <c r="DU159" s="132">
        <f ca="1"/>
        <v>0</v>
      </c>
      <c r="DV159" s="132">
        <f ca="1"/>
        <v>0</v>
      </c>
      <c r="DW159" s="132">
        <f ca="1"/>
        <v>0</v>
      </c>
      <c r="DX159" s="132">
        <f ca="1"/>
        <v>0</v>
      </c>
      <c r="DY159" s="132">
        <f ca="1"/>
        <v>0</v>
      </c>
      <c r="DZ159" s="132">
        <f ca="1"/>
        <v>0</v>
      </c>
      <c r="EA159" s="132">
        <f ca="1"/>
        <v>0</v>
      </c>
      <c r="EB159" s="132">
        <f ca="1"/>
        <v>0</v>
      </c>
      <c r="EC159" s="165">
        <f ca="1"/>
        <v>0</v>
      </c>
    </row>
    <row r="160" spans="1:133" x14ac:dyDescent="0.3">
      <c r="N160" s="31"/>
      <c r="AG160" s="132"/>
      <c r="AH160" s="132"/>
      <c r="BJ160" s="165"/>
      <c r="CN160" s="247"/>
      <c r="CO160" s="247"/>
      <c r="CP160" s="247"/>
      <c r="DQ160" s="132">
        <f ca="1"/>
        <v>0</v>
      </c>
      <c r="DR160" s="132">
        <f ca="1"/>
        <v>0</v>
      </c>
      <c r="DS160" s="132">
        <f ca="1"/>
        <v>0</v>
      </c>
      <c r="DT160" s="132">
        <f ca="1"/>
        <v>0</v>
      </c>
      <c r="DU160" s="132">
        <f ca="1"/>
        <v>0</v>
      </c>
      <c r="DV160" s="132">
        <f ca="1"/>
        <v>0</v>
      </c>
      <c r="DW160" s="132">
        <f ca="1"/>
        <v>0</v>
      </c>
      <c r="DX160" s="132">
        <f ca="1"/>
        <v>0</v>
      </c>
      <c r="DY160" s="132">
        <f ca="1"/>
        <v>0</v>
      </c>
      <c r="DZ160" s="132">
        <f ca="1"/>
        <v>0</v>
      </c>
      <c r="EA160" s="132">
        <f ca="1"/>
        <v>0</v>
      </c>
      <c r="EB160" s="132">
        <f ca="1"/>
        <v>0</v>
      </c>
      <c r="EC160" s="165">
        <f ca="1"/>
        <v>0</v>
      </c>
    </row>
    <row r="161" spans="14:133" x14ac:dyDescent="0.3">
      <c r="N161" s="31"/>
      <c r="AG161" s="132"/>
      <c r="AH161" s="132"/>
      <c r="BJ161" s="165"/>
      <c r="CN161" s="247"/>
      <c r="CO161" s="247"/>
      <c r="CP161" s="247"/>
      <c r="DQ161" s="132">
        <f ca="1"/>
        <v>0</v>
      </c>
      <c r="DR161" s="132">
        <f ca="1"/>
        <v>0</v>
      </c>
      <c r="DS161" s="132">
        <f ca="1"/>
        <v>0</v>
      </c>
      <c r="DT161" s="132">
        <f ca="1"/>
        <v>0</v>
      </c>
      <c r="DU161" s="132">
        <f ca="1"/>
        <v>0</v>
      </c>
      <c r="DV161" s="132">
        <f ca="1"/>
        <v>0</v>
      </c>
      <c r="DW161" s="132">
        <f ca="1"/>
        <v>0</v>
      </c>
      <c r="DX161" s="132">
        <f ca="1"/>
        <v>0</v>
      </c>
      <c r="DY161" s="132">
        <f ca="1"/>
        <v>0</v>
      </c>
      <c r="DZ161" s="132">
        <f ca="1"/>
        <v>0</v>
      </c>
      <c r="EA161" s="132">
        <f ca="1"/>
        <v>0</v>
      </c>
      <c r="EB161" s="132">
        <f ca="1"/>
        <v>0</v>
      </c>
      <c r="EC161" s="165">
        <f ca="1"/>
        <v>0</v>
      </c>
    </row>
    <row r="162" spans="14:133" x14ac:dyDescent="0.3">
      <c r="AG162" s="132"/>
      <c r="AH162" s="132"/>
      <c r="BJ162" s="165"/>
      <c r="CN162" s="247"/>
      <c r="CO162" s="247"/>
      <c r="CP162" s="247"/>
      <c r="DQ162" s="132">
        <f ca="1"/>
        <v>0</v>
      </c>
      <c r="DR162" s="132">
        <f ca="1"/>
        <v>0</v>
      </c>
      <c r="DS162" s="132">
        <f ca="1"/>
        <v>0</v>
      </c>
      <c r="DT162" s="132">
        <f ca="1"/>
        <v>0</v>
      </c>
      <c r="DU162" s="132">
        <f ca="1"/>
        <v>0</v>
      </c>
      <c r="DV162" s="132">
        <f ca="1"/>
        <v>0</v>
      </c>
      <c r="DW162" s="132">
        <f ca="1"/>
        <v>0</v>
      </c>
      <c r="DX162" s="132">
        <f ca="1"/>
        <v>0</v>
      </c>
      <c r="DY162" s="132">
        <f ca="1"/>
        <v>0</v>
      </c>
      <c r="DZ162" s="132">
        <f ca="1"/>
        <v>0</v>
      </c>
      <c r="EA162" s="132">
        <f ca="1"/>
        <v>0</v>
      </c>
      <c r="EB162" s="132">
        <f ca="1"/>
        <v>0</v>
      </c>
      <c r="EC162" s="165">
        <f ca="1"/>
        <v>0</v>
      </c>
    </row>
    <row r="163" spans="14:133" x14ac:dyDescent="0.3">
      <c r="AG163" s="132"/>
      <c r="AH163" s="132"/>
      <c r="BJ163" s="165"/>
      <c r="CN163" s="247"/>
      <c r="CO163" s="247"/>
      <c r="CP163" s="247"/>
    </row>
    <row r="164" spans="14:133" x14ac:dyDescent="0.3">
      <c r="AG164" s="132"/>
      <c r="AH164" s="132"/>
      <c r="BJ164" s="165"/>
      <c r="CN164" s="247"/>
      <c r="CO164" s="247"/>
      <c r="CP164" s="247"/>
    </row>
    <row r="165" spans="14:133" x14ac:dyDescent="0.3">
      <c r="AG165" s="132"/>
      <c r="AH165" s="132"/>
      <c r="BJ165" s="165"/>
      <c r="CN165" s="247"/>
      <c r="CO165" s="247"/>
      <c r="CP165" s="247"/>
    </row>
    <row r="166" spans="14:133" x14ac:dyDescent="0.3">
      <c r="AG166" s="132"/>
      <c r="AH166" s="132"/>
      <c r="BJ166" s="165"/>
      <c r="CN166" s="247"/>
      <c r="CO166" s="247"/>
      <c r="CP166" s="247"/>
    </row>
    <row r="167" spans="14:133" x14ac:dyDescent="0.3">
      <c r="AG167" s="132"/>
      <c r="AH167" s="132"/>
      <c r="BJ167" s="165"/>
      <c r="CN167" s="247"/>
      <c r="CO167" s="247"/>
      <c r="CP167" s="247"/>
    </row>
    <row r="168" spans="14:133" x14ac:dyDescent="0.3">
      <c r="AG168" s="132"/>
      <c r="AH168" s="132"/>
      <c r="BJ168" s="165"/>
      <c r="CN168" s="247"/>
      <c r="CO168" s="247"/>
      <c r="CP168" s="247"/>
    </row>
    <row r="169" spans="14:133" x14ac:dyDescent="0.3">
      <c r="AG169" s="132"/>
      <c r="AH169" s="132"/>
      <c r="BJ169" s="165"/>
      <c r="CN169" s="247"/>
      <c r="CO169" s="247"/>
      <c r="CP169" s="247"/>
    </row>
    <row r="170" spans="14:133" x14ac:dyDescent="0.3">
      <c r="AG170" s="132"/>
      <c r="AH170" s="132"/>
      <c r="CN170" s="247"/>
      <c r="CO170" s="247"/>
      <c r="CP170" s="247"/>
    </row>
    <row r="171" spans="14:133" x14ac:dyDescent="0.3">
      <c r="AG171" s="132"/>
      <c r="AH171" s="132"/>
      <c r="CN171" s="247"/>
      <c r="CO171" s="247"/>
      <c r="CP171" s="247"/>
    </row>
    <row r="172" spans="14:133" x14ac:dyDescent="0.3">
      <c r="AG172" s="132"/>
      <c r="AH172" s="132"/>
      <c r="CN172" s="247"/>
      <c r="CO172" s="247"/>
      <c r="CP172" s="247"/>
    </row>
    <row r="173" spans="14:133" x14ac:dyDescent="0.3">
      <c r="AG173" s="132"/>
      <c r="AH173" s="132"/>
      <c r="CN173" s="247"/>
      <c r="CO173" s="247"/>
      <c r="CP173" s="247"/>
    </row>
    <row r="174" spans="14:133" x14ac:dyDescent="0.3">
      <c r="AG174" s="132"/>
      <c r="AH174" s="132"/>
      <c r="CN174" s="247"/>
      <c r="CO174" s="247"/>
      <c r="CP174" s="247"/>
    </row>
    <row r="175" spans="14:133" x14ac:dyDescent="0.3">
      <c r="AG175" s="132"/>
      <c r="AH175" s="132"/>
      <c r="CN175" s="247"/>
      <c r="CO175" s="247"/>
      <c r="CP175" s="247"/>
    </row>
    <row r="176" spans="14:133" x14ac:dyDescent="0.3">
      <c r="AG176" s="132"/>
      <c r="AH176" s="132"/>
      <c r="CN176" s="247"/>
      <c r="CO176" s="247"/>
      <c r="CP176" s="247"/>
    </row>
    <row r="177" spans="33:94" x14ac:dyDescent="0.3">
      <c r="AG177" s="132"/>
      <c r="AH177" s="132"/>
      <c r="CN177" s="247"/>
      <c r="CO177" s="247"/>
      <c r="CP177" s="247"/>
    </row>
    <row r="178" spans="33:94" x14ac:dyDescent="0.3">
      <c r="AH178" s="132"/>
      <c r="CN178" s="247"/>
      <c r="CO178" s="247"/>
      <c r="CP178" s="247"/>
    </row>
    <row r="179" spans="33:94" x14ac:dyDescent="0.3">
      <c r="AH179" s="132"/>
      <c r="CN179" s="247"/>
      <c r="CO179" s="247"/>
      <c r="CP179" s="247"/>
    </row>
    <row r="180" spans="33:94" x14ac:dyDescent="0.3">
      <c r="AH180" s="132"/>
      <c r="CN180" s="247"/>
      <c r="CO180" s="247"/>
      <c r="CP180" s="247"/>
    </row>
    <row r="181" spans="33:94" x14ac:dyDescent="0.3">
      <c r="AH181" s="132"/>
      <c r="CN181" s="247"/>
      <c r="CO181" s="247"/>
      <c r="CP181" s="247"/>
    </row>
    <row r="182" spans="33:94" x14ac:dyDescent="0.3">
      <c r="AH182" s="132"/>
      <c r="CN182" s="247"/>
      <c r="CO182" s="247"/>
      <c r="CP182" s="247"/>
    </row>
    <row r="183" spans="33:94" x14ac:dyDescent="0.3">
      <c r="AH183" s="132"/>
      <c r="CN183" s="247"/>
      <c r="CO183" s="247"/>
      <c r="CP183" s="247"/>
    </row>
    <row r="184" spans="33:94" x14ac:dyDescent="0.3">
      <c r="AH184" s="132"/>
      <c r="CO184" s="247"/>
      <c r="CP184" s="247"/>
    </row>
    <row r="185" spans="33:94" x14ac:dyDescent="0.3">
      <c r="AH185" s="132"/>
      <c r="CO185" s="247"/>
      <c r="CP185" s="247"/>
    </row>
    <row r="186" spans="33:94" x14ac:dyDescent="0.3">
      <c r="CO186" s="247"/>
      <c r="CP186" s="247"/>
    </row>
    <row r="187" spans="33:94" x14ac:dyDescent="0.3">
      <c r="CO187" s="247"/>
      <c r="CP187" s="247"/>
    </row>
    <row r="188" spans="33:94" x14ac:dyDescent="0.3">
      <c r="CO188" s="247"/>
      <c r="CP188" s="247"/>
    </row>
    <row r="189" spans="33:94" x14ac:dyDescent="0.3">
      <c r="CO189" s="247"/>
      <c r="CP189" s="247"/>
    </row>
    <row r="190" spans="33:94" x14ac:dyDescent="0.3">
      <c r="CO190" s="247"/>
      <c r="CP190" s="247"/>
    </row>
    <row r="191" spans="33:94" x14ac:dyDescent="0.3">
      <c r="CO191" s="247"/>
      <c r="CP191" s="247"/>
    </row>
    <row r="192" spans="33:94" x14ac:dyDescent="0.3">
      <c r="CO192" s="247"/>
      <c r="CP192" s="247"/>
    </row>
    <row r="193" spans="93:94" x14ac:dyDescent="0.3">
      <c r="CO193" s="247"/>
      <c r="CP193" s="247"/>
    </row>
    <row r="194" spans="93:94" x14ac:dyDescent="0.3">
      <c r="CO194" s="247"/>
      <c r="CP194" s="247"/>
    </row>
    <row r="195" spans="93:94" x14ac:dyDescent="0.3">
      <c r="CO195" s="247"/>
      <c r="CP195" s="247"/>
    </row>
    <row r="196" spans="93:94" x14ac:dyDescent="0.3">
      <c r="CO196" s="247"/>
      <c r="CP196" s="247"/>
    </row>
    <row r="197" spans="93:94" x14ac:dyDescent="0.3">
      <c r="CO197" s="247"/>
      <c r="CP197" s="247"/>
    </row>
    <row r="198" spans="93:94" x14ac:dyDescent="0.3">
      <c r="CO198" s="247"/>
      <c r="CP198" s="247"/>
    </row>
    <row r="199" spans="93:94" x14ac:dyDescent="0.3">
      <c r="CO199" s="247"/>
      <c r="CP199" s="247"/>
    </row>
    <row r="200" spans="93:94" x14ac:dyDescent="0.3">
      <c r="CO200" s="247"/>
      <c r="CP200" s="247"/>
    </row>
    <row r="201" spans="93:94" x14ac:dyDescent="0.3">
      <c r="CO201" s="247"/>
      <c r="CP201" s="247"/>
    </row>
    <row r="202" spans="93:94" x14ac:dyDescent="0.3">
      <c r="CO202" s="247"/>
      <c r="CP202" s="247"/>
    </row>
    <row r="203" spans="93:94" x14ac:dyDescent="0.3">
      <c r="CO203" s="247"/>
      <c r="CP203" s="247"/>
    </row>
    <row r="204" spans="93:94" x14ac:dyDescent="0.3">
      <c r="CO204" s="247"/>
      <c r="CP204" s="247"/>
    </row>
    <row r="205" spans="93:94" x14ac:dyDescent="0.3">
      <c r="CO205" s="247"/>
      <c r="CP205" s="247"/>
    </row>
    <row r="206" spans="93:94" x14ac:dyDescent="0.3">
      <c r="CO206" s="247"/>
      <c r="CP206" s="247"/>
    </row>
    <row r="207" spans="93:94" x14ac:dyDescent="0.3">
      <c r="CO207" s="247"/>
      <c r="CP207" s="247"/>
    </row>
    <row r="208" spans="93:94" x14ac:dyDescent="0.3">
      <c r="CO208" s="247"/>
      <c r="CP208" s="247"/>
    </row>
    <row r="209" spans="93:94" x14ac:dyDescent="0.3">
      <c r="CO209" s="247"/>
      <c r="CP209" s="247"/>
    </row>
    <row r="210" spans="93:94" x14ac:dyDescent="0.3">
      <c r="CO210" s="247"/>
      <c r="CP210" s="247"/>
    </row>
    <row r="211" spans="93:94" x14ac:dyDescent="0.3">
      <c r="CO211" s="247"/>
      <c r="CP211" s="247"/>
    </row>
    <row r="212" spans="93:94" x14ac:dyDescent="0.3">
      <c r="CO212" s="247"/>
      <c r="CP212" s="247"/>
    </row>
    <row r="213" spans="93:94" x14ac:dyDescent="0.3">
      <c r="CO213" s="247"/>
      <c r="CP213" s="247"/>
    </row>
    <row r="214" spans="93:94" x14ac:dyDescent="0.3">
      <c r="CO214" s="247"/>
      <c r="CP214" s="247"/>
    </row>
    <row r="215" spans="93:94" x14ac:dyDescent="0.3">
      <c r="CO215" s="247"/>
      <c r="CP215" s="247"/>
    </row>
    <row r="216" spans="93:94" x14ac:dyDescent="0.3">
      <c r="CO216" s="247"/>
      <c r="CP216" s="247"/>
    </row>
    <row r="217" spans="93:94" x14ac:dyDescent="0.3">
      <c r="CO217" s="247"/>
      <c r="CP217" s="247"/>
    </row>
    <row r="218" spans="93:94" x14ac:dyDescent="0.3">
      <c r="CO218" s="247"/>
      <c r="CP218" s="247"/>
    </row>
    <row r="219" spans="93:94" x14ac:dyDescent="0.3">
      <c r="CO219" s="247"/>
      <c r="CP219" s="247"/>
    </row>
    <row r="220" spans="93:94" x14ac:dyDescent="0.3">
      <c r="CO220" s="247"/>
      <c r="CP220" s="247"/>
    </row>
    <row r="221" spans="93:94" x14ac:dyDescent="0.3">
      <c r="CO221" s="247"/>
      <c r="CP221" s="247"/>
    </row>
    <row r="222" spans="93:94" x14ac:dyDescent="0.3">
      <c r="CO222" s="247"/>
      <c r="CP222" s="247"/>
    </row>
    <row r="223" spans="93:94" x14ac:dyDescent="0.3">
      <c r="CO223" s="247"/>
      <c r="CP223" s="247"/>
    </row>
    <row r="224" spans="93:94" x14ac:dyDescent="0.3">
      <c r="CO224" s="247"/>
      <c r="CP224" s="247"/>
    </row>
    <row r="225" spans="93:94" x14ac:dyDescent="0.3">
      <c r="CO225" s="247"/>
      <c r="CP225" s="247"/>
    </row>
    <row r="226" spans="93:94" x14ac:dyDescent="0.3">
      <c r="CO226" s="247"/>
      <c r="CP226" s="247"/>
    </row>
    <row r="227" spans="93:94" x14ac:dyDescent="0.3">
      <c r="CO227" s="247"/>
      <c r="CP227" s="247"/>
    </row>
    <row r="228" spans="93:94" x14ac:dyDescent="0.3">
      <c r="CO228" s="247"/>
      <c r="CP228" s="247"/>
    </row>
    <row r="229" spans="93:94" x14ac:dyDescent="0.3">
      <c r="CO229" s="247"/>
      <c r="CP229" s="247"/>
    </row>
    <row r="230" spans="93:94" x14ac:dyDescent="0.3">
      <c r="CO230" s="247"/>
      <c r="CP230" s="247"/>
    </row>
    <row r="231" spans="93:94" x14ac:dyDescent="0.3">
      <c r="CO231" s="247"/>
      <c r="CP231" s="247"/>
    </row>
    <row r="232" spans="93:94" x14ac:dyDescent="0.3">
      <c r="CO232" s="247"/>
      <c r="CP232" s="247"/>
    </row>
    <row r="233" spans="93:94" x14ac:dyDescent="0.3">
      <c r="CO233" s="247"/>
      <c r="CP233" s="247"/>
    </row>
    <row r="234" spans="93:94" x14ac:dyDescent="0.3">
      <c r="CO234" s="247"/>
      <c r="CP234" s="247"/>
    </row>
    <row r="235" spans="93:94" x14ac:dyDescent="0.3">
      <c r="CO235" s="247"/>
      <c r="CP235" s="247"/>
    </row>
    <row r="236" spans="93:94" x14ac:dyDescent="0.3">
      <c r="CO236" s="247"/>
      <c r="CP236" s="247"/>
    </row>
    <row r="237" spans="93:94" x14ac:dyDescent="0.3">
      <c r="CO237" s="247"/>
      <c r="CP237" s="247"/>
    </row>
    <row r="238" spans="93:94" x14ac:dyDescent="0.3">
      <c r="CO238" s="247"/>
      <c r="CP238" s="247"/>
    </row>
    <row r="239" spans="93:94" x14ac:dyDescent="0.3">
      <c r="CO239" s="247"/>
      <c r="CP239" s="247"/>
    </row>
    <row r="240" spans="93:94" x14ac:dyDescent="0.3">
      <c r="CO240" s="247"/>
      <c r="CP240" s="247"/>
    </row>
    <row r="241" spans="93:94" x14ac:dyDescent="0.3">
      <c r="CO241" s="247"/>
      <c r="CP241" s="247"/>
    </row>
    <row r="242" spans="93:94" x14ac:dyDescent="0.3">
      <c r="CO242" s="247"/>
      <c r="CP242" s="247"/>
    </row>
    <row r="243" spans="93:94" x14ac:dyDescent="0.3">
      <c r="CO243" s="247"/>
      <c r="CP243" s="247"/>
    </row>
    <row r="244" spans="93:94" x14ac:dyDescent="0.3">
      <c r="CO244" s="247"/>
      <c r="CP244" s="247"/>
    </row>
    <row r="245" spans="93:94" x14ac:dyDescent="0.3">
      <c r="CO245" s="247"/>
      <c r="CP245" s="247"/>
    </row>
    <row r="246" spans="93:94" x14ac:dyDescent="0.3">
      <c r="CO246" s="247"/>
      <c r="CP246" s="247"/>
    </row>
    <row r="247" spans="93:94" x14ac:dyDescent="0.3">
      <c r="CO247" s="247"/>
      <c r="CP247" s="247"/>
    </row>
    <row r="248" spans="93:94" x14ac:dyDescent="0.3">
      <c r="CO248" s="247"/>
      <c r="CP248" s="247"/>
    </row>
    <row r="249" spans="93:94" x14ac:dyDescent="0.3">
      <c r="CO249" s="247"/>
      <c r="CP249" s="247"/>
    </row>
    <row r="250" spans="93:94" x14ac:dyDescent="0.3">
      <c r="CO250" s="247"/>
      <c r="CP250" s="247"/>
    </row>
    <row r="251" spans="93:94" x14ac:dyDescent="0.3">
      <c r="CO251" s="247"/>
      <c r="CP251" s="247"/>
    </row>
    <row r="252" spans="93:94" x14ac:dyDescent="0.3">
      <c r="CO252" s="247"/>
      <c r="CP252" s="247"/>
    </row>
    <row r="253" spans="93:94" x14ac:dyDescent="0.3">
      <c r="CO253" s="247"/>
      <c r="CP253" s="247"/>
    </row>
    <row r="254" spans="93:94" x14ac:dyDescent="0.3">
      <c r="CO254" s="247"/>
      <c r="CP254" s="247"/>
    </row>
    <row r="255" spans="93:94" x14ac:dyDescent="0.3">
      <c r="CO255" s="247"/>
      <c r="CP255" s="247"/>
    </row>
    <row r="256" spans="93:94" x14ac:dyDescent="0.3">
      <c r="CO256" s="247"/>
      <c r="CP256" s="247"/>
    </row>
    <row r="257" spans="93:94" x14ac:dyDescent="0.3">
      <c r="CO257" s="247"/>
      <c r="CP257" s="247"/>
    </row>
    <row r="258" spans="93:94" x14ac:dyDescent="0.3">
      <c r="CO258" s="247"/>
      <c r="CP258" s="247"/>
    </row>
    <row r="259" spans="93:94" x14ac:dyDescent="0.3">
      <c r="CO259" s="247"/>
      <c r="CP259" s="247"/>
    </row>
    <row r="260" spans="93:94" x14ac:dyDescent="0.3">
      <c r="CO260" s="247"/>
      <c r="CP260" s="247"/>
    </row>
  </sheetData>
  <pageMargins left="0.7" right="0.7" top="0.75" bottom="0.75" header="0.3" footer="0.3"/>
  <pageSetup orientation="portrait" r:id="rId1"/>
  <headerFooter>
    <oddHeader>&amp;L&amp;08 pareem\home\My Documents\ICS\Index_Report_Aug_2011.xlsx &amp;A &amp;D &amp;T</oddHead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5"/>
  <dimension ref="A1:AD90"/>
  <sheetViews>
    <sheetView showGridLines="0" topLeftCell="I4" zoomScaleNormal="100" workbookViewId="0">
      <selection activeCell="J10" sqref="J10"/>
    </sheetView>
  </sheetViews>
  <sheetFormatPr defaultColWidth="8.77734375" defaultRowHeight="14.4" x14ac:dyDescent="0.3"/>
  <cols>
    <col min="2" max="2" width="50" bestFit="1" customWidth="1"/>
    <col min="3" max="3" width="11.33203125" customWidth="1"/>
    <col min="8" max="8" width="14.6640625" bestFit="1" customWidth="1"/>
    <col min="10" max="10" width="29.6640625" customWidth="1"/>
    <col min="17" max="17" width="10.44140625" bestFit="1" customWidth="1"/>
    <col min="29" max="29" width="1.77734375" customWidth="1"/>
    <col min="30" max="30" width="11.77734375" customWidth="1"/>
  </cols>
  <sheetData>
    <row r="1" spans="1:25" x14ac:dyDescent="0.3">
      <c r="B1" t="s">
        <v>292</v>
      </c>
      <c r="C1" s="158">
        <f>Index_CALCULATION!C50</f>
        <v>42246</v>
      </c>
      <c r="F1" s="24"/>
      <c r="Q1" s="239">
        <f ca="1">SUM(Q4:Q28)-SUM(Index_CALCULATION!DM16:DM40)</f>
        <v>0</v>
      </c>
    </row>
    <row r="2" spans="1:25" x14ac:dyDescent="0.3">
      <c r="B2" t="s">
        <v>442</v>
      </c>
      <c r="C2">
        <f>MATCH(C1,Calcs!E1:E2000,0)</f>
        <v>1906</v>
      </c>
      <c r="Q2" t="str">
        <f ca="1">IF(SUM(Q4:Q28)=SUM(Index_CALCULATION!DM16:DM40),"OK","sub-index not okay")</f>
        <v>OK</v>
      </c>
    </row>
    <row r="3" spans="1:25" x14ac:dyDescent="0.3">
      <c r="C3" t="s">
        <v>99</v>
      </c>
      <c r="D3" t="s">
        <v>100</v>
      </c>
      <c r="E3" t="s">
        <v>101</v>
      </c>
      <c r="F3" t="s">
        <v>102</v>
      </c>
      <c r="G3" t="s">
        <v>103</v>
      </c>
      <c r="H3" t="s">
        <v>104</v>
      </c>
      <c r="K3" t="s">
        <v>24</v>
      </c>
      <c r="L3" t="s">
        <v>21</v>
      </c>
      <c r="M3" t="s">
        <v>16</v>
      </c>
      <c r="N3" t="s">
        <v>20</v>
      </c>
      <c r="O3" t="s">
        <v>22</v>
      </c>
      <c r="P3" t="s">
        <v>104</v>
      </c>
    </row>
    <row r="4" spans="1:25" x14ac:dyDescent="0.3">
      <c r="A4" t="s">
        <v>25</v>
      </c>
      <c r="B4" s="80" t="str">
        <f ca="1">B33</f>
        <v>Attackers: Insider threat</v>
      </c>
      <c r="C4" s="94">
        <f ca="1">C33/SUM(C33:G33)</f>
        <v>0</v>
      </c>
      <c r="D4" s="196">
        <f ca="1">D33/SUM(C33:G33)</f>
        <v>3.3333333333333333E-2</v>
      </c>
      <c r="E4" s="196">
        <f ca="1">E33/SUM(C33:G33)</f>
        <v>0.76666666666666672</v>
      </c>
      <c r="F4" s="196">
        <f ca="1">F33/SUM(C33:G33)</f>
        <v>0.13333333333333333</v>
      </c>
      <c r="G4" s="196">
        <f ca="1">G33/SUM(C33:G33)</f>
        <v>6.6666666666666666E-2</v>
      </c>
      <c r="H4" s="123">
        <f ca="1">F4+G4+E4/2</f>
        <v>0.58333333333333337</v>
      </c>
      <c r="J4" s="165" t="s">
        <v>160</v>
      </c>
      <c r="K4" s="29">
        <v>0</v>
      </c>
      <c r="L4" s="29">
        <v>0</v>
      </c>
      <c r="M4" s="29">
        <v>0.66666666666666663</v>
      </c>
      <c r="N4" s="29">
        <v>0.25</v>
      </c>
      <c r="O4" s="29">
        <v>8.3333333333333329E-2</v>
      </c>
      <c r="P4" s="29">
        <v>0.66666666666666663</v>
      </c>
      <c r="Q4">
        <f ca="1">VLOOKUP(J4,Index_CALCULATION!$B$16:$DT$40,Index_CALCULATION!$D$50+14,0)</f>
        <v>5722.929332891732</v>
      </c>
      <c r="T4" s="24"/>
      <c r="U4" s="24"/>
      <c r="V4" s="24"/>
      <c r="W4" s="24"/>
      <c r="X4" s="24"/>
      <c r="Y4" s="24"/>
    </row>
    <row r="5" spans="1:25" x14ac:dyDescent="0.3">
      <c r="A5" t="s">
        <v>25</v>
      </c>
      <c r="B5" s="191" t="str">
        <f t="shared" ref="B5:B28" ca="1" si="0">B34</f>
        <v>Attackers: Strategic rivals</v>
      </c>
      <c r="C5" s="196">
        <f t="shared" ref="C5:C28" ca="1" si="1">C34/SUM(C34:G34)</f>
        <v>3.3333333333333333E-2</v>
      </c>
      <c r="D5" s="196">
        <f t="shared" ref="D5:D28" ca="1" si="2">D34/SUM(C34:G34)</f>
        <v>6.6666666666666666E-2</v>
      </c>
      <c r="E5" s="196">
        <f t="shared" ref="E5:E28" ca="1" si="3">E34/SUM(C34:G34)</f>
        <v>0.83333333333333337</v>
      </c>
      <c r="F5" s="196">
        <f t="shared" ref="F5:F28" ca="1" si="4">F34/SUM(C34:G34)</f>
        <v>6.6666666666666666E-2</v>
      </c>
      <c r="G5" s="196">
        <f t="shared" ref="G5:G28" ca="1" si="5">G34/SUM(C34:G34)</f>
        <v>0</v>
      </c>
      <c r="H5" s="123">
        <f t="shared" ref="H5:H21" ca="1" si="6">F5+G5+E5/2</f>
        <v>0.48333333333333334</v>
      </c>
      <c r="J5" s="132" t="s">
        <v>162</v>
      </c>
      <c r="K5" s="24">
        <v>0</v>
      </c>
      <c r="L5" s="24">
        <v>0</v>
      </c>
      <c r="M5" s="24">
        <v>0.72222222222222221</v>
      </c>
      <c r="N5" s="24">
        <v>0.22222222222222221</v>
      </c>
      <c r="O5" s="24">
        <v>5.5555555555555552E-2</v>
      </c>
      <c r="P5" s="24">
        <v>0.63888888888888884</v>
      </c>
      <c r="Q5">
        <f ca="1">VLOOKUP(J5,Index_CALCULATION!$B$16:$DT$40,Index_CALCULATION!$D$50+14,0)</f>
        <v>3469.4178598745757</v>
      </c>
      <c r="T5" s="24"/>
      <c r="U5" s="24"/>
      <c r="V5" s="24"/>
      <c r="W5" s="24"/>
      <c r="X5" s="24"/>
      <c r="Y5" s="24"/>
    </row>
    <row r="6" spans="1:25" x14ac:dyDescent="0.3">
      <c r="A6" t="s">
        <v>25</v>
      </c>
      <c r="B6" s="191" t="str">
        <f t="shared" ca="1" si="0"/>
        <v>Attackers: Activist/hacktivists</v>
      </c>
      <c r="C6" s="196">
        <f t="shared" ca="1" si="1"/>
        <v>3.3333333333333333E-2</v>
      </c>
      <c r="D6" s="196">
        <f t="shared" ca="1" si="2"/>
        <v>6.6666666666666666E-2</v>
      </c>
      <c r="E6" s="196">
        <f t="shared" ca="1" si="3"/>
        <v>0.7</v>
      </c>
      <c r="F6" s="196">
        <f t="shared" ca="1" si="4"/>
        <v>0.2</v>
      </c>
      <c r="G6" s="196">
        <f t="shared" ca="1" si="5"/>
        <v>0</v>
      </c>
      <c r="H6" s="123">
        <f t="shared" ca="1" si="6"/>
        <v>0.55000000000000004</v>
      </c>
      <c r="J6" s="165" t="s">
        <v>180</v>
      </c>
      <c r="K6" s="24">
        <v>0</v>
      </c>
      <c r="L6" s="24">
        <v>0</v>
      </c>
      <c r="M6" s="24">
        <v>0.72222222222222221</v>
      </c>
      <c r="N6" s="24">
        <v>0.16666666666666666</v>
      </c>
      <c r="O6" s="24">
        <v>0.1111111111111111</v>
      </c>
      <c r="P6" s="24">
        <v>0.63888888888888884</v>
      </c>
      <c r="Q6">
        <f ca="1">VLOOKUP(J6,Index_CALCULATION!$B$16:$DT$40,Index_CALCULATION!$D$50+14,0)</f>
        <v>4603.9701547168643</v>
      </c>
      <c r="T6" s="24"/>
      <c r="U6" s="24"/>
      <c r="V6" s="24"/>
      <c r="W6" s="24"/>
      <c r="X6" s="24"/>
      <c r="Y6" s="24"/>
    </row>
    <row r="7" spans="1:25" x14ac:dyDescent="0.3">
      <c r="A7" t="s">
        <v>25</v>
      </c>
      <c r="B7" s="191" t="str">
        <f t="shared" ca="1" si="0"/>
        <v>Attackers: Criminals</v>
      </c>
      <c r="C7" s="196">
        <f t="shared" ca="1" si="1"/>
        <v>0</v>
      </c>
      <c r="D7" s="196">
        <f t="shared" ca="1" si="2"/>
        <v>3.3333333333333333E-2</v>
      </c>
      <c r="E7" s="196">
        <f t="shared" ca="1" si="3"/>
        <v>0.76666666666666672</v>
      </c>
      <c r="F7" s="196">
        <f t="shared" ca="1" si="4"/>
        <v>0.16666666666666666</v>
      </c>
      <c r="G7" s="196">
        <f t="shared" ca="1" si="5"/>
        <v>3.3333333333333333E-2</v>
      </c>
      <c r="H7" s="123">
        <f t="shared" ca="1" si="6"/>
        <v>0.58333333333333337</v>
      </c>
      <c r="J7" s="165" t="s">
        <v>155</v>
      </c>
      <c r="K7" s="29">
        <v>0</v>
      </c>
      <c r="L7" s="29">
        <v>5.5555555555555552E-2</v>
      </c>
      <c r="M7" s="29">
        <v>0.66666666666666663</v>
      </c>
      <c r="N7" s="29">
        <v>0.27777777777777779</v>
      </c>
      <c r="O7" s="29">
        <v>0</v>
      </c>
      <c r="P7" s="29">
        <v>0.61111111111111116</v>
      </c>
      <c r="Q7">
        <f ca="1">VLOOKUP(J7,Index_CALCULATION!$B$16:$DT$40,Index_CALCULATION!$D$50+14,0)</f>
        <v>2987.5024760379401</v>
      </c>
      <c r="T7" s="24"/>
      <c r="U7" s="24"/>
      <c r="V7" s="24"/>
      <c r="W7" s="24"/>
      <c r="X7" s="24"/>
      <c r="Y7" s="24"/>
    </row>
    <row r="8" spans="1:25" x14ac:dyDescent="0.3">
      <c r="A8" t="s">
        <v>25</v>
      </c>
      <c r="B8" s="191" t="str">
        <f t="shared" ca="1" si="0"/>
        <v>Attackers: Nation states</v>
      </c>
      <c r="C8" s="196">
        <f t="shared" ca="1" si="1"/>
        <v>0</v>
      </c>
      <c r="D8" s="196">
        <f t="shared" ca="1" si="2"/>
        <v>6.6666666666666666E-2</v>
      </c>
      <c r="E8" s="196">
        <f t="shared" ca="1" si="3"/>
        <v>0.7</v>
      </c>
      <c r="F8" s="196">
        <f t="shared" ca="1" si="4"/>
        <v>0.2</v>
      </c>
      <c r="G8" s="196">
        <f t="shared" ca="1" si="5"/>
        <v>3.3333333333333333E-2</v>
      </c>
      <c r="H8" s="123">
        <f t="shared" ca="1" si="6"/>
        <v>0.58333333333333326</v>
      </c>
      <c r="J8" s="165" t="s">
        <v>161</v>
      </c>
      <c r="K8" s="29">
        <v>0</v>
      </c>
      <c r="L8" s="29">
        <v>0</v>
      </c>
      <c r="M8" s="29">
        <v>0.77777777777777779</v>
      </c>
      <c r="N8" s="29">
        <v>0.1388888888888889</v>
      </c>
      <c r="O8" s="29">
        <v>8.3333333333333329E-2</v>
      </c>
      <c r="P8" s="29">
        <v>0.61111111111111116</v>
      </c>
      <c r="Q8">
        <f ca="1">VLOOKUP(J8,Index_CALCULATION!$B$16:$DT$40,Index_CALCULATION!$D$50+14,0)</f>
        <v>2344.356938257115</v>
      </c>
      <c r="T8" s="24"/>
      <c r="U8" s="24"/>
      <c r="V8" s="24"/>
      <c r="W8" s="24"/>
      <c r="X8" s="24"/>
      <c r="Y8" s="24"/>
    </row>
    <row r="9" spans="1:25" x14ac:dyDescent="0.3">
      <c r="A9" t="s">
        <v>25</v>
      </c>
      <c r="B9" s="191" t="str">
        <f t="shared" ca="1" si="0"/>
        <v>Weapons: Botnets</v>
      </c>
      <c r="C9" s="196">
        <f t="shared" ca="1" si="1"/>
        <v>6.6666666666666666E-2</v>
      </c>
      <c r="D9" s="196">
        <f t="shared" ca="1" si="2"/>
        <v>0.13333333333333333</v>
      </c>
      <c r="E9" s="196">
        <f t="shared" ca="1" si="3"/>
        <v>0.73333333333333328</v>
      </c>
      <c r="F9" s="196">
        <f t="shared" ca="1" si="4"/>
        <v>6.6666666666666666E-2</v>
      </c>
      <c r="G9" s="196">
        <f t="shared" ca="1" si="5"/>
        <v>0</v>
      </c>
      <c r="H9" s="123">
        <f t="shared" ca="1" si="6"/>
        <v>0.43333333333333329</v>
      </c>
      <c r="J9" s="165" t="s">
        <v>159</v>
      </c>
      <c r="K9" s="24">
        <v>2.7777777777777776E-2</v>
      </c>
      <c r="L9" s="24">
        <v>2.7777777777777776E-2</v>
      </c>
      <c r="M9" s="24">
        <v>0.69444444444444442</v>
      </c>
      <c r="N9" s="24">
        <v>0.22222222222222221</v>
      </c>
      <c r="O9" s="24">
        <v>2.7777777777777776E-2</v>
      </c>
      <c r="P9" s="24">
        <v>0.59722222222222221</v>
      </c>
      <c r="Q9">
        <f ca="1">VLOOKUP(J9,Index_CALCULATION!$B$16:$DT$40,Index_CALCULATION!$D$50+14,0)</f>
        <v>2439.2457554964199</v>
      </c>
      <c r="T9" s="24"/>
      <c r="U9" s="24"/>
      <c r="V9" s="24"/>
      <c r="W9" s="24"/>
      <c r="X9" s="24"/>
      <c r="Y9" s="24"/>
    </row>
    <row r="10" spans="1:25" x14ac:dyDescent="0.3">
      <c r="A10" t="s">
        <v>25</v>
      </c>
      <c r="B10" s="191" t="str">
        <f t="shared" ca="1" si="0"/>
        <v>Weapons: Mass malware</v>
      </c>
      <c r="C10" s="196">
        <f t="shared" ca="1" si="1"/>
        <v>6.6666666666666666E-2</v>
      </c>
      <c r="D10" s="196">
        <f t="shared" ca="1" si="2"/>
        <v>0.1</v>
      </c>
      <c r="E10" s="196">
        <f t="shared" ca="1" si="3"/>
        <v>0.73333333333333328</v>
      </c>
      <c r="F10" s="196">
        <f t="shared" ca="1" si="4"/>
        <v>0.1</v>
      </c>
      <c r="G10" s="196">
        <f t="shared" ca="1" si="5"/>
        <v>0</v>
      </c>
      <c r="H10" s="123">
        <f t="shared" ca="1" si="6"/>
        <v>0.46666666666666667</v>
      </c>
      <c r="J10" s="63" t="s">
        <v>167</v>
      </c>
      <c r="K10" s="24">
        <v>2.7777777777777776E-2</v>
      </c>
      <c r="L10" s="24">
        <v>2.7777777777777776E-2</v>
      </c>
      <c r="M10" s="24">
        <v>0.69444444444444442</v>
      </c>
      <c r="N10" s="24">
        <v>0.25</v>
      </c>
      <c r="O10" s="24">
        <v>0</v>
      </c>
      <c r="P10" s="24">
        <v>0.59722222222222221</v>
      </c>
      <c r="Q10">
        <f ca="1">VLOOKUP(J10,Index_CALCULATION!$B$16:$DT$40,Index_CALCULATION!$D$50+14,0)</f>
        <v>1755.7127879827153</v>
      </c>
      <c r="T10" s="24"/>
      <c r="U10" s="24"/>
      <c r="V10" s="24"/>
      <c r="W10" s="24"/>
      <c r="X10" s="24"/>
      <c r="Y10" s="24"/>
    </row>
    <row r="11" spans="1:25" x14ac:dyDescent="0.3">
      <c r="A11" t="s">
        <v>25</v>
      </c>
      <c r="B11" s="191" t="str">
        <f t="shared" ca="1" si="0"/>
        <v>Weapons: Vulnerability exploitation</v>
      </c>
      <c r="C11" s="196">
        <f t="shared" ca="1" si="1"/>
        <v>3.3333333333333333E-2</v>
      </c>
      <c r="D11" s="196">
        <f t="shared" ca="1" si="2"/>
        <v>0</v>
      </c>
      <c r="E11" s="196">
        <f t="shared" ca="1" si="3"/>
        <v>0.73333333333333328</v>
      </c>
      <c r="F11" s="196">
        <f t="shared" ca="1" si="4"/>
        <v>0.2</v>
      </c>
      <c r="G11" s="196">
        <f t="shared" ca="1" si="5"/>
        <v>3.3333333333333333E-2</v>
      </c>
      <c r="H11" s="123">
        <f t="shared" ca="1" si="6"/>
        <v>0.6</v>
      </c>
      <c r="J11" s="165" t="s">
        <v>169</v>
      </c>
      <c r="K11" s="24">
        <v>0</v>
      </c>
      <c r="L11" s="24">
        <v>5.5555555555555552E-2</v>
      </c>
      <c r="M11" s="24">
        <v>0.69444444444444442</v>
      </c>
      <c r="N11" s="24">
        <v>0.19444444444444445</v>
      </c>
      <c r="O11" s="24">
        <v>5.5555555555555552E-2</v>
      </c>
      <c r="P11" s="24">
        <v>0.59722222222222221</v>
      </c>
      <c r="Q11">
        <f ca="1">VLOOKUP(J11,Index_CALCULATION!$B$16:$DT$40,Index_CALCULATION!$D$50+14,0)</f>
        <v>2276.8193395393578</v>
      </c>
      <c r="T11" s="24"/>
      <c r="U11" s="24"/>
      <c r="V11" s="24"/>
      <c r="W11" s="24"/>
      <c r="X11" s="24"/>
      <c r="Y11" s="24"/>
    </row>
    <row r="12" spans="1:25" x14ac:dyDescent="0.3">
      <c r="A12" t="s">
        <v>25</v>
      </c>
      <c r="B12" s="191" t="str">
        <f t="shared" ca="1" si="0"/>
        <v>Weapons: Phishing/social engineering</v>
      </c>
      <c r="C12" s="196">
        <f t="shared" ca="1" si="1"/>
        <v>0</v>
      </c>
      <c r="D12" s="196">
        <f t="shared" ca="1" si="2"/>
        <v>3.3333333333333333E-2</v>
      </c>
      <c r="E12" s="196">
        <f t="shared" ca="1" si="3"/>
        <v>0.56666666666666665</v>
      </c>
      <c r="F12" s="196">
        <f t="shared" ca="1" si="4"/>
        <v>0.33333333333333331</v>
      </c>
      <c r="G12" s="196">
        <f t="shared" ca="1" si="5"/>
        <v>6.6666666666666666E-2</v>
      </c>
      <c r="H12" s="123">
        <f t="shared" ca="1" si="6"/>
        <v>0.68333333333333335</v>
      </c>
      <c r="J12" s="165" t="s">
        <v>212</v>
      </c>
      <c r="K12" s="24">
        <v>0</v>
      </c>
      <c r="L12" s="24">
        <v>0</v>
      </c>
      <c r="M12" s="24">
        <v>0.80555555555555558</v>
      </c>
      <c r="N12" s="24">
        <v>0.19444444444444445</v>
      </c>
      <c r="O12" s="24">
        <v>0</v>
      </c>
      <c r="P12" s="24">
        <v>0.59722222222222221</v>
      </c>
      <c r="Q12">
        <f ca="1">VLOOKUP(J12,Index_CALCULATION!$B$16:$DT$40,Index_CALCULATION!$D$50+14,0)</f>
        <v>1152.8560468976777</v>
      </c>
      <c r="T12" s="24"/>
      <c r="U12" s="24"/>
      <c r="V12" s="24"/>
      <c r="W12" s="24"/>
      <c r="X12" s="24"/>
      <c r="Y12" s="24"/>
    </row>
    <row r="13" spans="1:25" x14ac:dyDescent="0.3">
      <c r="A13" t="s">
        <v>25</v>
      </c>
      <c r="B13" s="191" t="str">
        <f t="shared" ca="1" si="0"/>
        <v>Weapons: Customized to target</v>
      </c>
      <c r="C13" s="196">
        <f t="shared" ca="1" si="1"/>
        <v>3.3333333333333333E-2</v>
      </c>
      <c r="D13" s="196">
        <f t="shared" ca="1" si="2"/>
        <v>3.3333333333333333E-2</v>
      </c>
      <c r="E13" s="196">
        <f t="shared" ca="1" si="3"/>
        <v>0.66666666666666663</v>
      </c>
      <c r="F13" s="196">
        <f t="shared" ca="1" si="4"/>
        <v>0.23333333333333334</v>
      </c>
      <c r="G13" s="196">
        <f t="shared" ca="1" si="5"/>
        <v>3.3333333333333333E-2</v>
      </c>
      <c r="H13" s="123">
        <f t="shared" ca="1" si="6"/>
        <v>0.6</v>
      </c>
      <c r="J13" s="247" t="s">
        <v>165</v>
      </c>
      <c r="K13" s="24">
        <v>0</v>
      </c>
      <c r="L13" s="24">
        <v>2.7777777777777776E-2</v>
      </c>
      <c r="M13" s="24">
        <v>0.77777777777777779</v>
      </c>
      <c r="N13" s="24">
        <v>0.16666666666666666</v>
      </c>
      <c r="O13" s="24">
        <v>2.7777777777777776E-2</v>
      </c>
      <c r="P13" s="24">
        <v>0.58333333333333326</v>
      </c>
      <c r="Q13">
        <f ca="1">VLOOKUP(J13,Index_CALCULATION!$B$16:$DT$40,Index_CALCULATION!$D$50+14,0)</f>
        <v>4205.837133259186</v>
      </c>
      <c r="T13" s="24"/>
      <c r="U13" s="24"/>
      <c r="V13" s="24"/>
      <c r="W13" s="24"/>
      <c r="X13" s="24"/>
      <c r="Y13" s="24"/>
    </row>
    <row r="14" spans="1:25" x14ac:dyDescent="0.3">
      <c r="A14" t="s">
        <v>25</v>
      </c>
      <c r="B14" s="191" t="str">
        <f t="shared" ca="1" si="0"/>
        <v>Effect desired: Data theft</v>
      </c>
      <c r="C14" s="196">
        <f t="shared" ca="1" si="1"/>
        <v>0</v>
      </c>
      <c r="D14" s="196">
        <f t="shared" ca="1" si="2"/>
        <v>0</v>
      </c>
      <c r="E14" s="196">
        <f t="shared" ca="1" si="3"/>
        <v>0.53333333333333333</v>
      </c>
      <c r="F14" s="196">
        <f t="shared" ca="1" si="4"/>
        <v>0.46666666666666667</v>
      </c>
      <c r="G14" s="196">
        <f t="shared" ca="1" si="5"/>
        <v>0</v>
      </c>
      <c r="H14" s="123">
        <f t="shared" ca="1" si="6"/>
        <v>0.73333333333333339</v>
      </c>
      <c r="J14" s="165" t="s">
        <v>153</v>
      </c>
      <c r="K14" s="24">
        <v>0</v>
      </c>
      <c r="L14" s="24">
        <v>0</v>
      </c>
      <c r="M14" s="24">
        <v>0.86111111111111116</v>
      </c>
      <c r="N14" s="24">
        <v>0.1388888888888889</v>
      </c>
      <c r="O14" s="24">
        <v>0</v>
      </c>
      <c r="P14" s="24">
        <v>0.56944444444444442</v>
      </c>
      <c r="Q14">
        <f ca="1">VLOOKUP(J14,Index_CALCULATION!$B$16:$DT$40,Index_CALCULATION!$D$50+14,0)</f>
        <v>1979.1037926562058</v>
      </c>
      <c r="T14" s="24"/>
      <c r="U14" s="24"/>
      <c r="V14" s="24"/>
      <c r="W14" s="24"/>
      <c r="X14" s="24"/>
      <c r="Y14" s="24"/>
    </row>
    <row r="15" spans="1:25" x14ac:dyDescent="0.3">
      <c r="A15" t="s">
        <v>25</v>
      </c>
      <c r="B15" s="191" t="str">
        <f t="shared" ca="1" si="0"/>
        <v>Effect desired: Data modification</v>
      </c>
      <c r="C15" s="196">
        <f t="shared" ca="1" si="1"/>
        <v>3.3333333333333333E-2</v>
      </c>
      <c r="D15" s="196">
        <f t="shared" ca="1" si="2"/>
        <v>3.3333333333333333E-2</v>
      </c>
      <c r="E15" s="196">
        <f t="shared" ca="1" si="3"/>
        <v>0.83333333333333337</v>
      </c>
      <c r="F15" s="196">
        <f t="shared" ca="1" si="4"/>
        <v>0.1</v>
      </c>
      <c r="G15" s="196">
        <f t="shared" ca="1" si="5"/>
        <v>0</v>
      </c>
      <c r="H15" s="123">
        <f t="shared" ca="1" si="6"/>
        <v>0.51666666666666672</v>
      </c>
      <c r="J15" s="165" t="s">
        <v>156</v>
      </c>
      <c r="K15" s="24">
        <v>0</v>
      </c>
      <c r="L15" s="24">
        <v>5.5555555555555552E-2</v>
      </c>
      <c r="M15" s="24">
        <v>0.75</v>
      </c>
      <c r="N15" s="24">
        <v>0.1388888888888889</v>
      </c>
      <c r="O15" s="24">
        <v>5.5555555555555552E-2</v>
      </c>
      <c r="P15" s="24">
        <v>0.56944444444444442</v>
      </c>
      <c r="Q15">
        <f ca="1">VLOOKUP(J15,Index_CALCULATION!$B$16:$DT$40,Index_CALCULATION!$D$50+14,0)</f>
        <v>4218.3072157892811</v>
      </c>
      <c r="T15" s="24"/>
      <c r="U15" s="24"/>
      <c r="V15" s="24"/>
      <c r="W15" s="24"/>
      <c r="X15" s="24"/>
      <c r="Y15" s="24"/>
    </row>
    <row r="16" spans="1:25" x14ac:dyDescent="0.3">
      <c r="A16" t="s">
        <v>25</v>
      </c>
      <c r="B16" s="191" t="str">
        <f t="shared" ca="1" si="0"/>
        <v>Effect desired: Business disruption</v>
      </c>
      <c r="C16" s="196">
        <f t="shared" ca="1" si="1"/>
        <v>3.3333333333333333E-2</v>
      </c>
      <c r="D16" s="196">
        <f t="shared" ca="1" si="2"/>
        <v>6.6666666666666666E-2</v>
      </c>
      <c r="E16" s="196">
        <f t="shared" ca="1" si="3"/>
        <v>0.76666666666666672</v>
      </c>
      <c r="F16" s="196">
        <f t="shared" ca="1" si="4"/>
        <v>0.13333333333333333</v>
      </c>
      <c r="G16" s="196">
        <f t="shared" ca="1" si="5"/>
        <v>0</v>
      </c>
      <c r="H16" s="123">
        <f t="shared" ca="1" si="6"/>
        <v>0.51666666666666672</v>
      </c>
      <c r="J16" s="165" t="s">
        <v>152</v>
      </c>
      <c r="K16" s="24">
        <v>0</v>
      </c>
      <c r="L16" s="24">
        <v>2.7777777777777776E-2</v>
      </c>
      <c r="M16" s="24">
        <v>0.83333333333333337</v>
      </c>
      <c r="N16" s="24">
        <v>0.1111111111111111</v>
      </c>
      <c r="O16" s="24">
        <v>2.7777777777777776E-2</v>
      </c>
      <c r="P16" s="24">
        <v>0.55555555555555558</v>
      </c>
      <c r="Q16">
        <f ca="1">VLOOKUP(J16,Index_CALCULATION!$B$16:$DT$40,Index_CALCULATION!$D$50+14,0)</f>
        <v>2310.0143436936673</v>
      </c>
      <c r="T16" s="24"/>
      <c r="U16" s="24"/>
      <c r="V16" s="24"/>
      <c r="W16" s="24"/>
      <c r="X16" s="24"/>
      <c r="Y16" s="24"/>
    </row>
    <row r="17" spans="1:25" x14ac:dyDescent="0.3">
      <c r="A17" t="s">
        <v>27</v>
      </c>
      <c r="B17" s="191" t="str">
        <f t="shared" ca="1" si="0"/>
        <v>Target: Web facing applications</v>
      </c>
      <c r="C17" s="196">
        <f t="shared" ca="1" si="1"/>
        <v>0</v>
      </c>
      <c r="D17" s="196">
        <f t="shared" ca="1" si="2"/>
        <v>3.3333333333333333E-2</v>
      </c>
      <c r="E17" s="196">
        <f t="shared" ca="1" si="3"/>
        <v>0.73333333333333328</v>
      </c>
      <c r="F17" s="196">
        <f t="shared" ca="1" si="4"/>
        <v>0.23333333333333334</v>
      </c>
      <c r="G17" s="196">
        <f t="shared" ca="1" si="5"/>
        <v>0</v>
      </c>
      <c r="H17" s="123">
        <f t="shared" ca="1" si="6"/>
        <v>0.6</v>
      </c>
      <c r="J17" s="165" t="s">
        <v>164</v>
      </c>
      <c r="K17" s="24">
        <v>2.7777777777777776E-2</v>
      </c>
      <c r="L17" s="24">
        <v>2.7777777777777776E-2</v>
      </c>
      <c r="M17" s="24">
        <v>0.77777777777777779</v>
      </c>
      <c r="N17" s="24">
        <v>0.16666666666666666</v>
      </c>
      <c r="O17" s="24">
        <v>0</v>
      </c>
      <c r="P17" s="24">
        <v>0.55555555555555558</v>
      </c>
      <c r="Q17">
        <f ca="1">VLOOKUP(J17,Index_CALCULATION!$B$16:$DT$40,Index_CALCULATION!$D$50+14,0)</f>
        <v>1800.9383581954962</v>
      </c>
      <c r="T17" s="24"/>
      <c r="U17" s="24"/>
      <c r="V17" s="24"/>
      <c r="W17" s="24"/>
      <c r="X17" s="24"/>
      <c r="Y17" s="24"/>
    </row>
    <row r="18" spans="1:25" x14ac:dyDescent="0.3">
      <c r="A18" t="s">
        <v>27</v>
      </c>
      <c r="B18" s="191" t="str">
        <f t="shared" ca="1" si="0"/>
        <v>Target: Internet exposed devices/appliances</v>
      </c>
      <c r="C18" s="196">
        <f t="shared" ca="1" si="1"/>
        <v>0</v>
      </c>
      <c r="D18" s="196">
        <f t="shared" ca="1" si="2"/>
        <v>0.1</v>
      </c>
      <c r="E18" s="196">
        <f t="shared" ca="1" si="3"/>
        <v>0.8</v>
      </c>
      <c r="F18" s="196">
        <f t="shared" ca="1" si="4"/>
        <v>0.1</v>
      </c>
      <c r="G18" s="196">
        <f t="shared" ca="1" si="5"/>
        <v>0</v>
      </c>
      <c r="H18" s="123">
        <f t="shared" ca="1" si="6"/>
        <v>0.5</v>
      </c>
      <c r="J18" s="165" t="s">
        <v>172</v>
      </c>
      <c r="K18" s="24">
        <v>0</v>
      </c>
      <c r="L18" s="24">
        <v>2.7777777777777776E-2</v>
      </c>
      <c r="M18" s="24">
        <v>0.83333333333333337</v>
      </c>
      <c r="N18" s="24">
        <v>8.3333333333333329E-2</v>
      </c>
      <c r="O18" s="24">
        <v>5.5555555555555552E-2</v>
      </c>
      <c r="P18" s="24">
        <v>0.55555555555555558</v>
      </c>
      <c r="Q18">
        <f ca="1">VLOOKUP(J18,Index_CALCULATION!$B$16:$DT$40,Index_CALCULATION!$D$50+14,0)</f>
        <v>11289.620543819703</v>
      </c>
      <c r="T18" s="24"/>
      <c r="U18" s="24"/>
      <c r="V18" s="24"/>
      <c r="W18" s="24"/>
      <c r="X18" s="24"/>
      <c r="Y18" s="24"/>
    </row>
    <row r="19" spans="1:25" x14ac:dyDescent="0.3">
      <c r="A19" t="s">
        <v>27</v>
      </c>
      <c r="B19" s="191" t="str">
        <f t="shared" ca="1" si="0"/>
        <v>Target: End points</v>
      </c>
      <c r="C19" s="196">
        <f t="shared" ca="1" si="1"/>
        <v>3.3333333333333333E-2</v>
      </c>
      <c r="D19" s="196">
        <f t="shared" ca="1" si="2"/>
        <v>0.1</v>
      </c>
      <c r="E19" s="196">
        <f t="shared" ca="1" si="3"/>
        <v>0.8</v>
      </c>
      <c r="F19" s="196">
        <f t="shared" ca="1" si="4"/>
        <v>6.6666666666666666E-2</v>
      </c>
      <c r="G19" s="196">
        <f t="shared" ca="1" si="5"/>
        <v>0</v>
      </c>
      <c r="H19" s="123">
        <f t="shared" ca="1" si="6"/>
        <v>0.46666666666666667</v>
      </c>
      <c r="J19" s="247" t="s">
        <v>173</v>
      </c>
      <c r="K19" s="24">
        <v>0</v>
      </c>
      <c r="L19" s="24">
        <v>0</v>
      </c>
      <c r="M19" s="24">
        <v>0.88888888888888884</v>
      </c>
      <c r="N19" s="24">
        <v>0.1111111111111111</v>
      </c>
      <c r="O19" s="24">
        <v>0</v>
      </c>
      <c r="P19" s="24">
        <v>0.55555555555555558</v>
      </c>
      <c r="Q19">
        <f ca="1">VLOOKUP(J19,Index_CALCULATION!$B$16:$DT$40,Index_CALCULATION!$D$50+14,0)</f>
        <v>2392.2261011950159</v>
      </c>
      <c r="T19" s="24"/>
      <c r="U19" s="24"/>
      <c r="V19" s="24"/>
      <c r="W19" s="24"/>
      <c r="X19" s="24"/>
      <c r="Y19" s="24"/>
    </row>
    <row r="20" spans="1:25" x14ac:dyDescent="0.3">
      <c r="A20" t="s">
        <v>26</v>
      </c>
      <c r="B20" s="191" t="str">
        <f t="shared" ca="1" si="0"/>
        <v>Target: Mobile devices</v>
      </c>
      <c r="C20" s="196">
        <f t="shared" ca="1" si="1"/>
        <v>3.3333333333333333E-2</v>
      </c>
      <c r="D20" s="196">
        <f t="shared" ca="1" si="2"/>
        <v>0.1</v>
      </c>
      <c r="E20" s="196">
        <f t="shared" ca="1" si="3"/>
        <v>0.73333333333333328</v>
      </c>
      <c r="F20" s="196">
        <f t="shared" ca="1" si="4"/>
        <v>0.13333333333333333</v>
      </c>
      <c r="G20" s="196">
        <f t="shared" ca="1" si="5"/>
        <v>0</v>
      </c>
      <c r="H20" s="123">
        <f t="shared" ca="1" si="6"/>
        <v>0.5</v>
      </c>
      <c r="J20" s="165" t="s">
        <v>163</v>
      </c>
      <c r="K20" s="29">
        <v>0</v>
      </c>
      <c r="L20" s="29">
        <v>5.5555555555555552E-2</v>
      </c>
      <c r="M20" s="29">
        <v>0.80555555555555558</v>
      </c>
      <c r="N20" s="29">
        <v>0.1388888888888889</v>
      </c>
      <c r="O20" s="29">
        <v>0</v>
      </c>
      <c r="P20" s="29">
        <v>0.54166666666666674</v>
      </c>
      <c r="Q20">
        <f ca="1">VLOOKUP(J20,Index_CALCULATION!$B$16:$DT$40,Index_CALCULATION!$D$50+14,0)</f>
        <v>1138.1416810484702</v>
      </c>
      <c r="T20" s="24"/>
      <c r="U20" s="24"/>
      <c r="V20" s="24"/>
      <c r="W20" s="24"/>
      <c r="X20" s="24"/>
      <c r="Y20" s="24"/>
    </row>
    <row r="21" spans="1:25" x14ac:dyDescent="0.3">
      <c r="A21" t="s">
        <v>63</v>
      </c>
      <c r="B21" s="191" t="str">
        <f t="shared" ca="1" si="0"/>
        <v>Target: Public infrastructure/cloud</v>
      </c>
      <c r="C21" s="196">
        <f t="shared" ca="1" si="1"/>
        <v>0</v>
      </c>
      <c r="D21" s="196">
        <f t="shared" ca="1" si="2"/>
        <v>0</v>
      </c>
      <c r="E21" s="196">
        <f t="shared" ca="1" si="3"/>
        <v>0.8</v>
      </c>
      <c r="F21" s="196">
        <f t="shared" ca="1" si="4"/>
        <v>0.2</v>
      </c>
      <c r="G21" s="196">
        <f t="shared" ca="1" si="5"/>
        <v>0</v>
      </c>
      <c r="H21" s="123">
        <f t="shared" ca="1" si="6"/>
        <v>0.60000000000000009</v>
      </c>
      <c r="J21" s="165" t="s">
        <v>158</v>
      </c>
      <c r="K21" s="24">
        <v>5.5555555555555552E-2</v>
      </c>
      <c r="L21" s="24">
        <v>2.7777777777777776E-2</v>
      </c>
      <c r="M21" s="24">
        <v>0.75</v>
      </c>
      <c r="N21" s="24">
        <v>0.16666666666666666</v>
      </c>
      <c r="O21" s="24">
        <v>0</v>
      </c>
      <c r="P21" s="24">
        <v>0.54166666666666663</v>
      </c>
      <c r="Q21">
        <f ca="1">VLOOKUP(J21,Index_CALCULATION!$B$16:$DT$40,Index_CALCULATION!$D$50+14,0)</f>
        <v>2352.4259057170061</v>
      </c>
      <c r="T21" s="24"/>
      <c r="U21" s="24"/>
      <c r="V21" s="24"/>
      <c r="W21" s="24"/>
      <c r="X21" s="24"/>
      <c r="Y21" s="24"/>
    </row>
    <row r="22" spans="1:25" x14ac:dyDescent="0.3">
      <c r="A22" t="s">
        <v>25</v>
      </c>
      <c r="B22" s="191" t="str">
        <f t="shared" ca="1" si="0"/>
        <v>Target: Counterparties</v>
      </c>
      <c r="C22" s="196">
        <f t="shared" ca="1" si="1"/>
        <v>0</v>
      </c>
      <c r="D22" s="196">
        <f t="shared" ca="1" si="2"/>
        <v>0</v>
      </c>
      <c r="E22" s="196">
        <f t="shared" ca="1" si="3"/>
        <v>0.73333333333333328</v>
      </c>
      <c r="F22" s="196">
        <f t="shared" ca="1" si="4"/>
        <v>0.26666666666666666</v>
      </c>
      <c r="G22" s="196">
        <f t="shared" ca="1" si="5"/>
        <v>0</v>
      </c>
      <c r="H22" s="123">
        <f t="shared" ref="H22:H28" ca="1" si="7">F22+G22+E22/2</f>
        <v>0.6333333333333333</v>
      </c>
      <c r="J22" s="165" t="s">
        <v>171</v>
      </c>
      <c r="K22" s="24">
        <v>0</v>
      </c>
      <c r="L22" s="24">
        <v>8.3333333333333329E-2</v>
      </c>
      <c r="M22" s="24">
        <v>0.75</v>
      </c>
      <c r="N22" s="24">
        <v>0.16666666666666666</v>
      </c>
      <c r="O22" s="24">
        <v>0</v>
      </c>
      <c r="P22" s="24">
        <v>0.54166666666666663</v>
      </c>
      <c r="Q22">
        <f ca="1">VLOOKUP(J22,Index_CALCULATION!$B$16:$DT$40,Index_CALCULATION!$D$50+14,0)</f>
        <v>2196.9786583942937</v>
      </c>
      <c r="T22" s="24"/>
      <c r="U22" s="24"/>
      <c r="V22" s="24"/>
      <c r="W22" s="24"/>
      <c r="X22" s="24"/>
      <c r="Y22" s="24"/>
    </row>
    <row r="23" spans="1:25" x14ac:dyDescent="0.3">
      <c r="A23" t="s">
        <v>63</v>
      </c>
      <c r="B23" s="191" t="str">
        <f t="shared" ca="1" si="0"/>
        <v>Target: Autonomous network connected devices</v>
      </c>
      <c r="C23" s="196">
        <f t="shared" ca="1" si="1"/>
        <v>0</v>
      </c>
      <c r="D23" s="196">
        <f t="shared" ca="1" si="2"/>
        <v>6.6666666666666666E-2</v>
      </c>
      <c r="E23" s="196">
        <f t="shared" ca="1" si="3"/>
        <v>0.83333333333333337</v>
      </c>
      <c r="F23" s="196">
        <f t="shared" ca="1" si="4"/>
        <v>0.1</v>
      </c>
      <c r="G23" s="196">
        <f t="shared" ca="1" si="5"/>
        <v>0</v>
      </c>
      <c r="H23" s="123">
        <f t="shared" ca="1" si="7"/>
        <v>0.51666666666666672</v>
      </c>
      <c r="J23" s="132" t="s">
        <v>154</v>
      </c>
      <c r="K23" s="24">
        <v>2.7777777777777776E-2</v>
      </c>
      <c r="L23" s="24">
        <v>5.5555555555555552E-2</v>
      </c>
      <c r="M23" s="24">
        <v>0.77777777777777779</v>
      </c>
      <c r="N23" s="24">
        <v>0.1388888888888889</v>
      </c>
      <c r="O23" s="24">
        <v>0</v>
      </c>
      <c r="P23" s="24">
        <v>0.52777777777777779</v>
      </c>
      <c r="Q23">
        <f ca="1">VLOOKUP(J23,Index_CALCULATION!$B$16:$DT$40,Index_CALCULATION!$D$50+14,0)</f>
        <v>2502.0108656095463</v>
      </c>
      <c r="T23" s="24"/>
      <c r="U23" s="24"/>
      <c r="V23" s="24"/>
      <c r="W23" s="24"/>
      <c r="X23" s="24"/>
      <c r="Y23" s="24"/>
    </row>
    <row r="24" spans="1:25" x14ac:dyDescent="0.3">
      <c r="B24" s="191" t="str">
        <f t="shared" ca="1" si="0"/>
        <v>Defenses: Vulnerability to known threats</v>
      </c>
      <c r="C24" s="196">
        <f t="shared" ca="1" si="1"/>
        <v>0</v>
      </c>
      <c r="D24" s="196">
        <f t="shared" ca="1" si="2"/>
        <v>0.13333333333333333</v>
      </c>
      <c r="E24" s="196">
        <f t="shared" ca="1" si="3"/>
        <v>0.76666666666666672</v>
      </c>
      <c r="F24" s="196">
        <f t="shared" ca="1" si="4"/>
        <v>0.1</v>
      </c>
      <c r="G24" s="196">
        <f t="shared" ca="1" si="5"/>
        <v>0</v>
      </c>
      <c r="H24" s="123">
        <f t="shared" ca="1" si="7"/>
        <v>0.48333333333333339</v>
      </c>
      <c r="J24" t="s">
        <v>168</v>
      </c>
      <c r="K24" s="24">
        <v>2.7777777777777776E-2</v>
      </c>
      <c r="L24" s="24">
        <v>8.3333333333333329E-2</v>
      </c>
      <c r="M24" s="24">
        <v>0.72222222222222221</v>
      </c>
      <c r="N24" s="24">
        <v>0.16666666666666666</v>
      </c>
      <c r="O24" s="24">
        <v>0</v>
      </c>
      <c r="P24" s="24">
        <v>0.52777777777777779</v>
      </c>
      <c r="Q24">
        <f ca="1">VLOOKUP(J24,Index_CALCULATION!$B$16:$DT$40,Index_CALCULATION!$D$50+14,0)</f>
        <v>1927.7544333118972</v>
      </c>
    </row>
    <row r="25" spans="1:25" x14ac:dyDescent="0.3">
      <c r="B25" s="191" t="str">
        <f t="shared" ca="1" si="0"/>
        <v>Defenses: Vulnerability to unknown threats</v>
      </c>
      <c r="C25" s="196">
        <f t="shared" ca="1" si="1"/>
        <v>0</v>
      </c>
      <c r="D25" s="196">
        <f t="shared" ca="1" si="2"/>
        <v>6.6666666666666666E-2</v>
      </c>
      <c r="E25" s="196">
        <f t="shared" ca="1" si="3"/>
        <v>0.8666666666666667</v>
      </c>
      <c r="F25" s="196">
        <f t="shared" ca="1" si="4"/>
        <v>6.6666666666666666E-2</v>
      </c>
      <c r="G25" s="196">
        <f t="shared" ca="1" si="5"/>
        <v>0</v>
      </c>
      <c r="H25" s="123">
        <f t="shared" ca="1" si="7"/>
        <v>0.5</v>
      </c>
      <c r="J25" s="247" t="s">
        <v>170</v>
      </c>
      <c r="K25" s="24">
        <v>2.7777777777777776E-2</v>
      </c>
      <c r="L25" s="24">
        <v>8.3333333333333329E-2</v>
      </c>
      <c r="M25" s="24">
        <v>0.75</v>
      </c>
      <c r="N25" s="24">
        <v>0.1388888888888889</v>
      </c>
      <c r="O25" s="24">
        <v>0</v>
      </c>
      <c r="P25" s="24">
        <v>0.51388888888888884</v>
      </c>
      <c r="Q25">
        <f ca="1">VLOOKUP(J25,Index_CALCULATION!$B$16:$DT$40,Index_CALCULATION!$D$50+14,0)</f>
        <v>1280.5389171327308</v>
      </c>
    </row>
    <row r="26" spans="1:25" x14ac:dyDescent="0.3">
      <c r="B26" s="191" t="str">
        <f t="shared" ca="1" si="0"/>
        <v>Overall: False claims of digital identity</v>
      </c>
      <c r="C26" s="196">
        <f t="shared" ca="1" si="1"/>
        <v>0</v>
      </c>
      <c r="D26" s="196">
        <f t="shared" ca="1" si="2"/>
        <v>6.6666666666666666E-2</v>
      </c>
      <c r="E26" s="196">
        <f t="shared" ca="1" si="3"/>
        <v>0.7</v>
      </c>
      <c r="F26" s="196">
        <f t="shared" ca="1" si="4"/>
        <v>0.23333333333333334</v>
      </c>
      <c r="G26" s="196">
        <f t="shared" ca="1" si="5"/>
        <v>0</v>
      </c>
      <c r="H26" s="123">
        <f t="shared" ca="1" si="7"/>
        <v>0.58333333333333326</v>
      </c>
      <c r="J26" t="s">
        <v>157</v>
      </c>
      <c r="K26" s="24">
        <v>5.5555555555555552E-2</v>
      </c>
      <c r="L26" s="24">
        <v>5.5555555555555552E-2</v>
      </c>
      <c r="M26" s="24">
        <v>0.77777777777777779</v>
      </c>
      <c r="N26" s="24">
        <v>0.1111111111111111</v>
      </c>
      <c r="O26" s="24">
        <v>0</v>
      </c>
      <c r="P26" s="24">
        <v>0.5</v>
      </c>
      <c r="Q26">
        <f ca="1">VLOOKUP(J26,Index_CALCULATION!$B$16:$DT$40,Index_CALCULATION!$D$50+14,0)</f>
        <v>1438.2138327591576</v>
      </c>
    </row>
    <row r="27" spans="1:25" x14ac:dyDescent="0.3">
      <c r="B27" s="191" t="str">
        <f t="shared" ca="1" si="0"/>
        <v>Overall: Media &amp; public perception</v>
      </c>
      <c r="C27" s="196">
        <f t="shared" ca="1" si="1"/>
        <v>0</v>
      </c>
      <c r="D27" s="196">
        <f t="shared" ca="1" si="2"/>
        <v>0</v>
      </c>
      <c r="E27" s="196">
        <f t="shared" ca="1" si="3"/>
        <v>0.83333333333333337</v>
      </c>
      <c r="F27" s="196">
        <f t="shared" ca="1" si="4"/>
        <v>0.16666666666666666</v>
      </c>
      <c r="G27" s="196">
        <f t="shared" ca="1" si="5"/>
        <v>0</v>
      </c>
      <c r="H27" s="123">
        <f t="shared" ca="1" si="7"/>
        <v>0.58333333333333337</v>
      </c>
      <c r="J27" s="165" t="s">
        <v>166</v>
      </c>
      <c r="K27" s="24">
        <v>0</v>
      </c>
      <c r="L27" s="24">
        <v>0.1111111111111111</v>
      </c>
      <c r="M27" s="24">
        <v>0.77777777777777779</v>
      </c>
      <c r="N27" s="24">
        <v>0.1111111111111111</v>
      </c>
      <c r="O27" s="24">
        <v>0</v>
      </c>
      <c r="P27" s="24">
        <v>0.5</v>
      </c>
      <c r="Q27">
        <f ca="1">VLOOKUP(J27,Index_CALCULATION!$B$16:$DT$40,Index_CALCULATION!$D$50+14,0)</f>
        <v>2156.8685236203673</v>
      </c>
    </row>
    <row r="28" spans="1:25" x14ac:dyDescent="0.3">
      <c r="B28" s="191" t="str">
        <f t="shared" ca="1" si="0"/>
        <v>Overall: Personal risk</v>
      </c>
      <c r="C28" s="196">
        <f t="shared" ca="1" si="1"/>
        <v>0</v>
      </c>
      <c r="D28" s="196">
        <f t="shared" ca="1" si="2"/>
        <v>0.13333333333333333</v>
      </c>
      <c r="E28" s="196">
        <f t="shared" ca="1" si="3"/>
        <v>0.76666666666666672</v>
      </c>
      <c r="F28" s="196">
        <f t="shared" ca="1" si="4"/>
        <v>0.1</v>
      </c>
      <c r="G28" s="196">
        <f t="shared" ca="1" si="5"/>
        <v>0</v>
      </c>
      <c r="H28" s="123">
        <f t="shared" ca="1" si="7"/>
        <v>0.48333333333333339</v>
      </c>
      <c r="J28" s="165" t="s">
        <v>211</v>
      </c>
      <c r="K28" s="24">
        <v>0</v>
      </c>
      <c r="L28" s="24">
        <v>0.1111111111111111</v>
      </c>
      <c r="M28" s="24">
        <v>0.77777777777777779</v>
      </c>
      <c r="N28" s="24">
        <v>8.3333333333333329E-2</v>
      </c>
      <c r="O28" s="24">
        <v>2.7777777777777776E-2</v>
      </c>
      <c r="P28" s="24">
        <v>0.5</v>
      </c>
      <c r="Q28">
        <f ca="1">VLOOKUP(J28,Index_CALCULATION!$B$16:$DT$40,Index_CALCULATION!$D$50+14,0)</f>
        <v>1219.799156216902</v>
      </c>
    </row>
    <row r="29" spans="1:25" x14ac:dyDescent="0.3">
      <c r="B29" s="80"/>
      <c r="C29" s="94"/>
      <c r="D29" s="94"/>
      <c r="E29" s="94"/>
      <c r="F29" s="94"/>
      <c r="G29" s="94"/>
      <c r="H29" s="123"/>
      <c r="K29" s="29"/>
      <c r="L29" s="29"/>
      <c r="M29" s="29"/>
      <c r="N29" s="29"/>
      <c r="O29" s="29"/>
      <c r="P29" s="29"/>
    </row>
    <row r="30" spans="1:25" x14ac:dyDescent="0.3">
      <c r="B30" s="29"/>
      <c r="C30" s="29"/>
      <c r="D30" s="29"/>
      <c r="E30" s="29"/>
      <c r="F30" s="29"/>
      <c r="G30" s="29"/>
      <c r="H30" s="29"/>
      <c r="K30" s="29"/>
      <c r="L30" s="29"/>
      <c r="M30" s="29"/>
      <c r="N30" s="29"/>
      <c r="O30" s="29"/>
      <c r="P30" s="29"/>
    </row>
    <row r="31" spans="1:25" x14ac:dyDescent="0.3">
      <c r="B31" s="160">
        <v>4</v>
      </c>
      <c r="C31" s="159">
        <v>5</v>
      </c>
      <c r="D31" s="159">
        <v>6</v>
      </c>
      <c r="E31" s="159">
        <v>7</v>
      </c>
      <c r="F31" s="159">
        <v>8</v>
      </c>
      <c r="G31" s="159">
        <v>9</v>
      </c>
      <c r="H31" s="159">
        <v>10</v>
      </c>
    </row>
    <row r="32" spans="1:25" ht="18" x14ac:dyDescent="0.3">
      <c r="B32" s="29"/>
      <c r="C32" s="161" t="s">
        <v>151</v>
      </c>
      <c r="D32" s="161" t="s">
        <v>149</v>
      </c>
      <c r="E32" s="161" t="s">
        <v>16</v>
      </c>
      <c r="F32" s="161" t="s">
        <v>148</v>
      </c>
      <c r="G32" s="161" t="s">
        <v>150</v>
      </c>
      <c r="H32" s="167" t="s">
        <v>114</v>
      </c>
      <c r="R32" s="62" t="s">
        <v>188</v>
      </c>
    </row>
    <row r="33" spans="1:30" x14ac:dyDescent="0.3">
      <c r="A33">
        <v>5</v>
      </c>
      <c r="B33" t="str">
        <f ca="1">OFFSET(Calcs!$A$1,diffusion_chart!$C$2+$A33,B$31)</f>
        <v>Attackers: Insider threat</v>
      </c>
      <c r="C33" s="165">
        <f ca="1">OFFSET(Calcs!$A$1,diffusion_chart!$C$2+$A33,C$31)</f>
        <v>0</v>
      </c>
      <c r="D33" s="165">
        <f ca="1">OFFSET(Calcs!$A$1,diffusion_chart!$C$2+$A33,D$31)</f>
        <v>1</v>
      </c>
      <c r="E33" s="165">
        <f ca="1">OFFSET(Calcs!$A$1,diffusion_chart!$C$2+$A33,E$31)</f>
        <v>23</v>
      </c>
      <c r="F33" s="165">
        <f ca="1">OFFSET(Calcs!$A$1,diffusion_chart!$C$2+$A33,F$31)</f>
        <v>4</v>
      </c>
      <c r="G33" s="165">
        <f ca="1">OFFSET(Calcs!$A$1,diffusion_chart!$C$2+$A33,G$31)</f>
        <v>2</v>
      </c>
      <c r="H33" s="165">
        <f ca="1">OFFSET(Calcs!$A$1,diffusion_chart!$C$2+$A33,H$31)</f>
        <v>0</v>
      </c>
    </row>
    <row r="34" spans="1:30" x14ac:dyDescent="0.3">
      <c r="A34">
        <v>6</v>
      </c>
      <c r="B34" s="165" t="str">
        <f ca="1">OFFSET(Calcs!$A$1,diffusion_chart!$C$2+$A34,B$31)</f>
        <v>Attackers: Strategic rivals</v>
      </c>
      <c r="C34" s="165">
        <f ca="1">OFFSET(Calcs!$A$1,diffusion_chart!$C$2+$A34,C$31)</f>
        <v>1</v>
      </c>
      <c r="D34" s="165">
        <f ca="1">OFFSET(Calcs!$A$1,diffusion_chart!$C$2+$A34,D$31)</f>
        <v>2</v>
      </c>
      <c r="E34" s="165">
        <f ca="1">OFFSET(Calcs!$A$1,diffusion_chart!$C$2+$A34,E$31)</f>
        <v>25</v>
      </c>
      <c r="F34" s="165">
        <f ca="1">OFFSET(Calcs!$A$1,diffusion_chart!$C$2+$A34,F$31)</f>
        <v>2</v>
      </c>
      <c r="G34" s="165">
        <f ca="1">OFFSET(Calcs!$A$1,diffusion_chart!$C$2+$A34,G$31)</f>
        <v>0</v>
      </c>
      <c r="H34" s="165">
        <f ca="1">OFFSET(Calcs!$A$1,diffusion_chart!$C$2+$A34,H$31)</f>
        <v>0</v>
      </c>
      <c r="AB34" s="93" t="s">
        <v>106</v>
      </c>
      <c r="AC34" s="61"/>
      <c r="AD34" s="61" t="s">
        <v>105</v>
      </c>
    </row>
    <row r="35" spans="1:30" x14ac:dyDescent="0.3">
      <c r="A35" s="165">
        <v>7</v>
      </c>
      <c r="B35" s="165" t="str">
        <f ca="1">OFFSET(Calcs!$A$1,diffusion_chart!$C$2+$A35,B$31)</f>
        <v>Attackers: Activist/hacktivists</v>
      </c>
      <c r="C35" s="165">
        <f ca="1">OFFSET(Calcs!$A$1,diffusion_chart!$C$2+$A35,C$31)</f>
        <v>1</v>
      </c>
      <c r="D35" s="165">
        <f ca="1">OFFSET(Calcs!$A$1,diffusion_chart!$C$2+$A35,D$31)</f>
        <v>2</v>
      </c>
      <c r="E35" s="165">
        <f ca="1">OFFSET(Calcs!$A$1,diffusion_chart!$C$2+$A35,E$31)</f>
        <v>21</v>
      </c>
      <c r="F35" s="165">
        <f ca="1">OFFSET(Calcs!$A$1,diffusion_chart!$C$2+$A35,F$31)</f>
        <v>6</v>
      </c>
      <c r="G35" s="165">
        <f ca="1">OFFSET(Calcs!$A$1,diffusion_chart!$C$2+$A35,G$31)</f>
        <v>0</v>
      </c>
      <c r="H35" s="165">
        <f ca="1">OFFSET(Calcs!$A$1,diffusion_chart!$C$2+$A35,H$31)</f>
        <v>0</v>
      </c>
      <c r="AB35" s="61"/>
      <c r="AC35" s="61"/>
      <c r="AD35" s="61"/>
    </row>
    <row r="36" spans="1:30" x14ac:dyDescent="0.3">
      <c r="A36" s="165">
        <v>8</v>
      </c>
      <c r="B36" s="165" t="str">
        <f ca="1">OFFSET(Calcs!$A$1,diffusion_chart!$C$2+$A36,B$31)</f>
        <v>Attackers: Criminals</v>
      </c>
      <c r="C36" s="165">
        <f ca="1">OFFSET(Calcs!$A$1,diffusion_chart!$C$2+$A36,C$31)</f>
        <v>0</v>
      </c>
      <c r="D36" s="165">
        <f ca="1">OFFSET(Calcs!$A$1,diffusion_chart!$C$2+$A36,D$31)</f>
        <v>1</v>
      </c>
      <c r="E36" s="165">
        <f ca="1">OFFSET(Calcs!$A$1,diffusion_chart!$C$2+$A36,E$31)</f>
        <v>23</v>
      </c>
      <c r="F36" s="165">
        <f ca="1">OFFSET(Calcs!$A$1,diffusion_chart!$C$2+$A36,F$31)</f>
        <v>5</v>
      </c>
      <c r="G36" s="165">
        <f ca="1">OFFSET(Calcs!$A$1,diffusion_chart!$C$2+$A36,G$31)</f>
        <v>1</v>
      </c>
      <c r="H36" s="165">
        <f ca="1">OFFSET(Calcs!$A$1,diffusion_chart!$C$2+$A36,H$31)</f>
        <v>0</v>
      </c>
      <c r="AB36" s="59">
        <f>P4</f>
        <v>0.66666666666666663</v>
      </c>
      <c r="AC36" s="2"/>
      <c r="AD36" s="60">
        <f ca="1">Q4</f>
        <v>5722.929332891732</v>
      </c>
    </row>
    <row r="37" spans="1:30" x14ac:dyDescent="0.3">
      <c r="A37" s="165">
        <v>9</v>
      </c>
      <c r="B37" s="165" t="str">
        <f ca="1">OFFSET(Calcs!$A$1,diffusion_chart!$C$2+$A37,B$31)</f>
        <v>Attackers: Nation states</v>
      </c>
      <c r="C37" s="165">
        <f ca="1">OFFSET(Calcs!$A$1,diffusion_chart!$C$2+$A37,C$31)</f>
        <v>0</v>
      </c>
      <c r="D37" s="165">
        <f ca="1">OFFSET(Calcs!$A$1,diffusion_chart!$C$2+$A37,D$31)</f>
        <v>2</v>
      </c>
      <c r="E37" s="165">
        <f ca="1">OFFSET(Calcs!$A$1,diffusion_chart!$C$2+$A37,E$31)</f>
        <v>21</v>
      </c>
      <c r="F37" s="165">
        <f ca="1">OFFSET(Calcs!$A$1,diffusion_chart!$C$2+$A37,F$31)</f>
        <v>6</v>
      </c>
      <c r="G37" s="165">
        <f ca="1">OFFSET(Calcs!$A$1,diffusion_chart!$C$2+$A37,G$31)</f>
        <v>1</v>
      </c>
      <c r="H37" s="165">
        <f ca="1">OFFSET(Calcs!$A$1,diffusion_chart!$C$2+$A37,H$31)</f>
        <v>0</v>
      </c>
      <c r="AB37" s="2"/>
      <c r="AC37" s="2"/>
      <c r="AD37" s="36"/>
    </row>
    <row r="38" spans="1:30" x14ac:dyDescent="0.3">
      <c r="A38" s="165">
        <v>10</v>
      </c>
      <c r="B38" s="165" t="str">
        <f ca="1">OFFSET(Calcs!$A$1,diffusion_chart!$C$2+$A38,B$31)</f>
        <v>Weapons: Botnets</v>
      </c>
      <c r="C38" s="165">
        <f ca="1">OFFSET(Calcs!$A$1,diffusion_chart!$C$2+$A38,C$31)</f>
        <v>2</v>
      </c>
      <c r="D38" s="165">
        <f ca="1">OFFSET(Calcs!$A$1,diffusion_chart!$C$2+$A38,D$31)</f>
        <v>4</v>
      </c>
      <c r="E38" s="165">
        <f ca="1">OFFSET(Calcs!$A$1,diffusion_chart!$C$2+$A38,E$31)</f>
        <v>22</v>
      </c>
      <c r="F38" s="165">
        <f ca="1">OFFSET(Calcs!$A$1,diffusion_chart!$C$2+$A38,F$31)</f>
        <v>2</v>
      </c>
      <c r="G38" s="165">
        <f ca="1">OFFSET(Calcs!$A$1,diffusion_chart!$C$2+$A38,G$31)</f>
        <v>0</v>
      </c>
      <c r="H38" s="165">
        <f ca="1">OFFSET(Calcs!$A$1,diffusion_chart!$C$2+$A38,H$31)</f>
        <v>0</v>
      </c>
      <c r="AB38" s="59">
        <f>P5</f>
        <v>0.63888888888888884</v>
      </c>
      <c r="AC38" s="2"/>
      <c r="AD38" s="60">
        <f ca="1">Q5</f>
        <v>3469.4178598745757</v>
      </c>
    </row>
    <row r="39" spans="1:30" x14ac:dyDescent="0.3">
      <c r="A39" s="165">
        <v>11</v>
      </c>
      <c r="B39" s="165" t="str">
        <f ca="1">OFFSET(Calcs!$A$1,diffusion_chart!$C$2+$A39,B$31)</f>
        <v>Weapons: Mass malware</v>
      </c>
      <c r="C39" s="165">
        <f ca="1">OFFSET(Calcs!$A$1,diffusion_chart!$C$2+$A39,C$31)</f>
        <v>2</v>
      </c>
      <c r="D39" s="165">
        <f ca="1">OFFSET(Calcs!$A$1,diffusion_chart!$C$2+$A39,D$31)</f>
        <v>3</v>
      </c>
      <c r="E39" s="165">
        <f ca="1">OFFSET(Calcs!$A$1,diffusion_chart!$C$2+$A39,E$31)</f>
        <v>22</v>
      </c>
      <c r="F39" s="165">
        <f ca="1">OFFSET(Calcs!$A$1,diffusion_chart!$C$2+$A39,F$31)</f>
        <v>3</v>
      </c>
      <c r="G39" s="165">
        <f ca="1">OFFSET(Calcs!$A$1,diffusion_chart!$C$2+$A39,G$31)</f>
        <v>0</v>
      </c>
      <c r="H39" s="165">
        <f ca="1">OFFSET(Calcs!$A$1,diffusion_chart!$C$2+$A39,H$31)</f>
        <v>0</v>
      </c>
      <c r="AB39" s="2"/>
      <c r="AC39" s="2"/>
      <c r="AD39" s="36"/>
    </row>
    <row r="40" spans="1:30" x14ac:dyDescent="0.3">
      <c r="A40" s="165">
        <v>12</v>
      </c>
      <c r="B40" s="165" t="str">
        <f ca="1">OFFSET(Calcs!$A$1,diffusion_chart!$C$2+$A40,B$31)</f>
        <v>Weapons: Vulnerability exploitation</v>
      </c>
      <c r="C40" s="165">
        <f ca="1">OFFSET(Calcs!$A$1,diffusion_chart!$C$2+$A40,C$31)</f>
        <v>1</v>
      </c>
      <c r="D40" s="165">
        <f ca="1">OFFSET(Calcs!$A$1,diffusion_chart!$C$2+$A40,D$31)</f>
        <v>0</v>
      </c>
      <c r="E40" s="165">
        <f ca="1">OFFSET(Calcs!$A$1,diffusion_chart!$C$2+$A40,E$31)</f>
        <v>22</v>
      </c>
      <c r="F40" s="165">
        <f ca="1">OFFSET(Calcs!$A$1,diffusion_chart!$C$2+$A40,F$31)</f>
        <v>6</v>
      </c>
      <c r="G40" s="165">
        <f ca="1">OFFSET(Calcs!$A$1,diffusion_chart!$C$2+$A40,G$31)</f>
        <v>1</v>
      </c>
      <c r="H40" s="165">
        <f ca="1">OFFSET(Calcs!$A$1,diffusion_chart!$C$2+$A40,H$31)</f>
        <v>0</v>
      </c>
      <c r="AB40" s="59">
        <f>P6</f>
        <v>0.63888888888888884</v>
      </c>
      <c r="AC40" s="2"/>
      <c r="AD40" s="60">
        <f ca="1">Q6</f>
        <v>4603.9701547168643</v>
      </c>
    </row>
    <row r="41" spans="1:30" x14ac:dyDescent="0.3">
      <c r="A41" s="165">
        <v>13</v>
      </c>
      <c r="B41" s="165" t="str">
        <f ca="1">OFFSET(Calcs!$A$1,diffusion_chart!$C$2+$A41,B$31)</f>
        <v>Weapons: Phishing/social engineering</v>
      </c>
      <c r="C41" s="165">
        <f ca="1">OFFSET(Calcs!$A$1,diffusion_chart!$C$2+$A41,C$31)</f>
        <v>0</v>
      </c>
      <c r="D41" s="165">
        <f ca="1">OFFSET(Calcs!$A$1,diffusion_chart!$C$2+$A41,D$31)</f>
        <v>1</v>
      </c>
      <c r="E41" s="165">
        <f ca="1">OFFSET(Calcs!$A$1,diffusion_chart!$C$2+$A41,E$31)</f>
        <v>17</v>
      </c>
      <c r="F41" s="165">
        <f ca="1">OFFSET(Calcs!$A$1,diffusion_chart!$C$2+$A41,F$31)</f>
        <v>10</v>
      </c>
      <c r="G41" s="165">
        <f ca="1">OFFSET(Calcs!$A$1,diffusion_chart!$C$2+$A41,G$31)</f>
        <v>2</v>
      </c>
      <c r="H41" s="165">
        <f ca="1">OFFSET(Calcs!$A$1,diffusion_chart!$C$2+$A41,H$31)</f>
        <v>0</v>
      </c>
      <c r="AB41" s="2"/>
      <c r="AC41" s="2"/>
      <c r="AD41" s="36"/>
    </row>
    <row r="42" spans="1:30" x14ac:dyDescent="0.3">
      <c r="A42" s="165">
        <v>14</v>
      </c>
      <c r="B42" s="165" t="str">
        <f ca="1">OFFSET(Calcs!$A$1,diffusion_chart!$C$2+$A42,B$31)</f>
        <v>Weapons: Customized to target</v>
      </c>
      <c r="C42" s="165">
        <f ca="1">OFFSET(Calcs!$A$1,diffusion_chart!$C$2+$A42,C$31)</f>
        <v>1</v>
      </c>
      <c r="D42" s="165">
        <f ca="1">OFFSET(Calcs!$A$1,diffusion_chart!$C$2+$A42,D$31)</f>
        <v>1</v>
      </c>
      <c r="E42" s="165">
        <f ca="1">OFFSET(Calcs!$A$1,diffusion_chart!$C$2+$A42,E$31)</f>
        <v>20</v>
      </c>
      <c r="F42" s="165">
        <f ca="1">OFFSET(Calcs!$A$1,diffusion_chart!$C$2+$A42,F$31)</f>
        <v>7</v>
      </c>
      <c r="G42" s="165">
        <f ca="1">OFFSET(Calcs!$A$1,diffusion_chart!$C$2+$A42,G$31)</f>
        <v>1</v>
      </c>
      <c r="H42" s="165">
        <f ca="1">OFFSET(Calcs!$A$1,diffusion_chart!$C$2+$A42,H$31)</f>
        <v>0</v>
      </c>
      <c r="AB42" s="59">
        <f>P7</f>
        <v>0.61111111111111116</v>
      </c>
      <c r="AC42" s="2"/>
      <c r="AD42" s="60">
        <f ca="1">Q7</f>
        <v>2987.5024760379401</v>
      </c>
    </row>
    <row r="43" spans="1:30" x14ac:dyDescent="0.3">
      <c r="A43" s="165">
        <v>15</v>
      </c>
      <c r="B43" s="165" t="str">
        <f ca="1">OFFSET(Calcs!$A$1,diffusion_chart!$C$2+$A43,B$31)</f>
        <v>Effect desired: Data theft</v>
      </c>
      <c r="C43" s="165">
        <f ca="1">OFFSET(Calcs!$A$1,diffusion_chart!$C$2+$A43,C$31)</f>
        <v>0</v>
      </c>
      <c r="D43" s="165">
        <f ca="1">OFFSET(Calcs!$A$1,diffusion_chart!$C$2+$A43,D$31)</f>
        <v>0</v>
      </c>
      <c r="E43" s="165">
        <f ca="1">OFFSET(Calcs!$A$1,diffusion_chart!$C$2+$A43,E$31)</f>
        <v>16</v>
      </c>
      <c r="F43" s="165">
        <f ca="1">OFFSET(Calcs!$A$1,diffusion_chart!$C$2+$A43,F$31)</f>
        <v>14</v>
      </c>
      <c r="G43" s="165">
        <f ca="1">OFFSET(Calcs!$A$1,diffusion_chart!$C$2+$A43,G$31)</f>
        <v>0</v>
      </c>
      <c r="H43" s="165">
        <f ca="1">OFFSET(Calcs!$A$1,diffusion_chart!$C$2+$A43,H$31)</f>
        <v>0</v>
      </c>
      <c r="AB43" s="2"/>
      <c r="AC43" s="2"/>
      <c r="AD43" s="36"/>
    </row>
    <row r="44" spans="1:30" x14ac:dyDescent="0.3">
      <c r="A44" s="165">
        <v>16</v>
      </c>
      <c r="B44" s="165" t="str">
        <f ca="1">OFFSET(Calcs!$A$1,diffusion_chart!$C$2+$A44,B$31)</f>
        <v>Effect desired: Data modification</v>
      </c>
      <c r="C44" s="165">
        <f ca="1">OFFSET(Calcs!$A$1,diffusion_chart!$C$2+$A44,C$31)</f>
        <v>1</v>
      </c>
      <c r="D44" s="165">
        <f ca="1">OFFSET(Calcs!$A$1,diffusion_chart!$C$2+$A44,D$31)</f>
        <v>1</v>
      </c>
      <c r="E44" s="165">
        <f ca="1">OFFSET(Calcs!$A$1,diffusion_chart!$C$2+$A44,E$31)</f>
        <v>25</v>
      </c>
      <c r="F44" s="165">
        <f ca="1">OFFSET(Calcs!$A$1,diffusion_chart!$C$2+$A44,F$31)</f>
        <v>3</v>
      </c>
      <c r="G44" s="165">
        <f ca="1">OFFSET(Calcs!$A$1,diffusion_chart!$C$2+$A44,G$31)</f>
        <v>0</v>
      </c>
      <c r="H44" s="165">
        <f ca="1">OFFSET(Calcs!$A$1,diffusion_chart!$C$2+$A44,H$31)</f>
        <v>0</v>
      </c>
      <c r="AB44" s="59">
        <f>P8</f>
        <v>0.61111111111111116</v>
      </c>
      <c r="AC44" s="2"/>
      <c r="AD44" s="60">
        <f ca="1">Q8</f>
        <v>2344.356938257115</v>
      </c>
    </row>
    <row r="45" spans="1:30" x14ac:dyDescent="0.3">
      <c r="A45" s="165">
        <v>17</v>
      </c>
      <c r="B45" s="165" t="str">
        <f ca="1">OFFSET(Calcs!$A$1,diffusion_chart!$C$2+$A45,B$31)</f>
        <v>Effect desired: Business disruption</v>
      </c>
      <c r="C45" s="165">
        <f ca="1">OFFSET(Calcs!$A$1,diffusion_chart!$C$2+$A45,C$31)</f>
        <v>1</v>
      </c>
      <c r="D45" s="165">
        <f ca="1">OFFSET(Calcs!$A$1,diffusion_chart!$C$2+$A45,D$31)</f>
        <v>2</v>
      </c>
      <c r="E45" s="165">
        <f ca="1">OFFSET(Calcs!$A$1,diffusion_chart!$C$2+$A45,E$31)</f>
        <v>23</v>
      </c>
      <c r="F45" s="165">
        <f ca="1">OFFSET(Calcs!$A$1,diffusion_chart!$C$2+$A45,F$31)</f>
        <v>4</v>
      </c>
      <c r="G45" s="165">
        <f ca="1">OFFSET(Calcs!$A$1,diffusion_chart!$C$2+$A45,G$31)</f>
        <v>0</v>
      </c>
      <c r="H45" s="165">
        <f ca="1">OFFSET(Calcs!$A$1,diffusion_chart!$C$2+$A45,H$31)</f>
        <v>0</v>
      </c>
      <c r="AB45" s="2"/>
      <c r="AC45" s="2"/>
      <c r="AD45" s="36"/>
    </row>
    <row r="46" spans="1:30" x14ac:dyDescent="0.3">
      <c r="A46" s="165">
        <v>18</v>
      </c>
      <c r="B46" s="165" t="str">
        <f ca="1">OFFSET(Calcs!$A$1,diffusion_chart!$C$2+$A46,B$31)</f>
        <v>Target: Web facing applications</v>
      </c>
      <c r="C46" s="165">
        <f ca="1">OFFSET(Calcs!$A$1,diffusion_chart!$C$2+$A46,C$31)</f>
        <v>0</v>
      </c>
      <c r="D46" s="165">
        <f ca="1">OFFSET(Calcs!$A$1,diffusion_chart!$C$2+$A46,D$31)</f>
        <v>1</v>
      </c>
      <c r="E46" s="165">
        <f ca="1">OFFSET(Calcs!$A$1,diffusion_chart!$C$2+$A46,E$31)</f>
        <v>22</v>
      </c>
      <c r="F46" s="165">
        <f ca="1">OFFSET(Calcs!$A$1,diffusion_chart!$C$2+$A46,F$31)</f>
        <v>7</v>
      </c>
      <c r="G46" s="165">
        <f ca="1">OFFSET(Calcs!$A$1,diffusion_chart!$C$2+$A46,G$31)</f>
        <v>0</v>
      </c>
      <c r="H46" s="165">
        <f ca="1">OFFSET(Calcs!$A$1,diffusion_chart!$C$2+$A46,H$31)</f>
        <v>0</v>
      </c>
      <c r="AB46" s="59">
        <f>P9</f>
        <v>0.59722222222222221</v>
      </c>
      <c r="AC46" s="2"/>
      <c r="AD46" s="60">
        <f ca="1">Q9</f>
        <v>2439.2457554964199</v>
      </c>
    </row>
    <row r="47" spans="1:30" x14ac:dyDescent="0.3">
      <c r="A47" s="165">
        <v>19</v>
      </c>
      <c r="B47" s="165" t="str">
        <f ca="1">OFFSET(Calcs!$A$1,diffusion_chart!$C$2+$A47,B$31)</f>
        <v>Target: Internet exposed devices/appliances</v>
      </c>
      <c r="C47" s="165">
        <f ca="1">OFFSET(Calcs!$A$1,diffusion_chart!$C$2+$A47,C$31)</f>
        <v>0</v>
      </c>
      <c r="D47" s="165">
        <f ca="1">OFFSET(Calcs!$A$1,diffusion_chart!$C$2+$A47,D$31)</f>
        <v>3</v>
      </c>
      <c r="E47" s="165">
        <f ca="1">OFFSET(Calcs!$A$1,diffusion_chart!$C$2+$A47,E$31)</f>
        <v>24</v>
      </c>
      <c r="F47" s="165">
        <f ca="1">OFFSET(Calcs!$A$1,diffusion_chart!$C$2+$A47,F$31)</f>
        <v>3</v>
      </c>
      <c r="G47" s="165">
        <f ca="1">OFFSET(Calcs!$A$1,diffusion_chart!$C$2+$A47,G$31)</f>
        <v>0</v>
      </c>
      <c r="H47" s="165">
        <f ca="1">OFFSET(Calcs!$A$1,diffusion_chart!$C$2+$A47,H$31)</f>
        <v>0</v>
      </c>
      <c r="AB47" s="2"/>
      <c r="AC47" s="2"/>
      <c r="AD47" s="36"/>
    </row>
    <row r="48" spans="1:30" x14ac:dyDescent="0.3">
      <c r="A48" s="165">
        <v>20</v>
      </c>
      <c r="B48" s="165" t="str">
        <f ca="1">OFFSET(Calcs!$A$1,diffusion_chart!$C$2+$A48,B$31)</f>
        <v>Target: End points</v>
      </c>
      <c r="C48" s="165">
        <f ca="1">OFFSET(Calcs!$A$1,diffusion_chart!$C$2+$A48,C$31)</f>
        <v>1</v>
      </c>
      <c r="D48" s="165">
        <f ca="1">OFFSET(Calcs!$A$1,diffusion_chart!$C$2+$A48,D$31)</f>
        <v>3</v>
      </c>
      <c r="E48" s="165">
        <f ca="1">OFFSET(Calcs!$A$1,diffusion_chart!$C$2+$A48,E$31)</f>
        <v>24</v>
      </c>
      <c r="F48" s="165">
        <f ca="1">OFFSET(Calcs!$A$1,diffusion_chart!$C$2+$A48,F$31)</f>
        <v>2</v>
      </c>
      <c r="G48" s="165">
        <f ca="1">OFFSET(Calcs!$A$1,diffusion_chart!$C$2+$A48,G$31)</f>
        <v>0</v>
      </c>
      <c r="H48" s="165">
        <f ca="1">OFFSET(Calcs!$A$1,diffusion_chart!$C$2+$A48,H$31)</f>
        <v>0</v>
      </c>
      <c r="AB48" s="59">
        <f>P10</f>
        <v>0.59722222222222221</v>
      </c>
      <c r="AC48" s="2"/>
      <c r="AD48" s="60">
        <f ca="1">Q10</f>
        <v>1755.7127879827153</v>
      </c>
    </row>
    <row r="49" spans="1:30" x14ac:dyDescent="0.3">
      <c r="A49" s="165">
        <v>21</v>
      </c>
      <c r="B49" s="165" t="str">
        <f ca="1">OFFSET(Calcs!$A$1,diffusion_chart!$C$2+$A49,B$31)</f>
        <v>Target: Mobile devices</v>
      </c>
      <c r="C49" s="165">
        <f ca="1">OFFSET(Calcs!$A$1,diffusion_chart!$C$2+$A49,C$31)</f>
        <v>1</v>
      </c>
      <c r="D49" s="165">
        <f ca="1">OFFSET(Calcs!$A$1,diffusion_chart!$C$2+$A49,D$31)</f>
        <v>3</v>
      </c>
      <c r="E49" s="165">
        <f ca="1">OFFSET(Calcs!$A$1,diffusion_chart!$C$2+$A49,E$31)</f>
        <v>22</v>
      </c>
      <c r="F49" s="165">
        <f ca="1">OFFSET(Calcs!$A$1,diffusion_chart!$C$2+$A49,F$31)</f>
        <v>4</v>
      </c>
      <c r="G49" s="165">
        <f ca="1">OFFSET(Calcs!$A$1,diffusion_chart!$C$2+$A49,G$31)</f>
        <v>0</v>
      </c>
      <c r="H49" s="165">
        <f ca="1">OFFSET(Calcs!$A$1,diffusion_chart!$C$2+$A49,H$31)</f>
        <v>0</v>
      </c>
      <c r="AB49" s="2"/>
      <c r="AC49" s="2"/>
      <c r="AD49" s="36"/>
    </row>
    <row r="50" spans="1:30" x14ac:dyDescent="0.3">
      <c r="A50" s="165">
        <v>22</v>
      </c>
      <c r="B50" s="165" t="str">
        <f ca="1">OFFSET(Calcs!$A$1,diffusion_chart!$C$2+$A50,B$31)</f>
        <v>Target: Public infrastructure/cloud</v>
      </c>
      <c r="C50" s="165">
        <f ca="1">OFFSET(Calcs!$A$1,diffusion_chart!$C$2+$A50,C$31)</f>
        <v>0</v>
      </c>
      <c r="D50" s="165">
        <f ca="1">OFFSET(Calcs!$A$1,diffusion_chart!$C$2+$A50,D$31)</f>
        <v>0</v>
      </c>
      <c r="E50" s="165">
        <f ca="1">OFFSET(Calcs!$A$1,diffusion_chart!$C$2+$A50,E$31)</f>
        <v>24</v>
      </c>
      <c r="F50" s="165">
        <f ca="1">OFFSET(Calcs!$A$1,diffusion_chart!$C$2+$A50,F$31)</f>
        <v>6</v>
      </c>
      <c r="G50" s="165">
        <f ca="1">OFFSET(Calcs!$A$1,diffusion_chart!$C$2+$A50,G$31)</f>
        <v>0</v>
      </c>
      <c r="H50" s="165">
        <f ca="1">OFFSET(Calcs!$A$1,diffusion_chart!$C$2+$A50,H$31)</f>
        <v>0</v>
      </c>
      <c r="AB50" s="59">
        <f>P11</f>
        <v>0.59722222222222221</v>
      </c>
      <c r="AC50" s="2"/>
      <c r="AD50" s="60">
        <f ca="1">Q11</f>
        <v>2276.8193395393578</v>
      </c>
    </row>
    <row r="51" spans="1:30" x14ac:dyDescent="0.3">
      <c r="A51" s="165">
        <v>23</v>
      </c>
      <c r="B51" s="165" t="str">
        <f ca="1">OFFSET(Calcs!$A$1,diffusion_chart!$C$2+$A51,B$31)</f>
        <v>Target: Counterparties</v>
      </c>
      <c r="C51" s="165">
        <f ca="1">OFFSET(Calcs!$A$1,diffusion_chart!$C$2+$A51,C$31)</f>
        <v>0</v>
      </c>
      <c r="D51" s="165">
        <f ca="1">OFFSET(Calcs!$A$1,diffusion_chart!$C$2+$A51,D$31)</f>
        <v>0</v>
      </c>
      <c r="E51" s="165">
        <f ca="1">OFFSET(Calcs!$A$1,diffusion_chart!$C$2+$A51,E$31)</f>
        <v>22</v>
      </c>
      <c r="F51" s="165">
        <f ca="1">OFFSET(Calcs!$A$1,diffusion_chart!$C$2+$A51,F$31)</f>
        <v>8</v>
      </c>
      <c r="G51" s="165">
        <f ca="1">OFFSET(Calcs!$A$1,diffusion_chart!$C$2+$A51,G$31)</f>
        <v>0</v>
      </c>
      <c r="H51" s="165">
        <f ca="1">OFFSET(Calcs!$A$1,diffusion_chart!$C$2+$A51,H$31)</f>
        <v>0</v>
      </c>
      <c r="AB51" s="2"/>
      <c r="AC51" s="2"/>
      <c r="AD51" s="36"/>
    </row>
    <row r="52" spans="1:30" x14ac:dyDescent="0.3">
      <c r="A52" s="165">
        <v>24</v>
      </c>
      <c r="B52" s="165" t="str">
        <f ca="1">OFFSET(Calcs!$A$1,diffusion_chart!$C$2+$A52,B$31)</f>
        <v>Target: Autonomous network connected devices</v>
      </c>
      <c r="C52" s="165">
        <f ca="1">OFFSET(Calcs!$A$1,diffusion_chart!$C$2+$A52,C$31)</f>
        <v>0</v>
      </c>
      <c r="D52" s="165">
        <f ca="1">OFFSET(Calcs!$A$1,diffusion_chart!$C$2+$A52,D$31)</f>
        <v>2</v>
      </c>
      <c r="E52" s="165">
        <f ca="1">OFFSET(Calcs!$A$1,diffusion_chart!$C$2+$A52,E$31)</f>
        <v>25</v>
      </c>
      <c r="F52" s="165">
        <f ca="1">OFFSET(Calcs!$A$1,diffusion_chart!$C$2+$A52,F$31)</f>
        <v>3</v>
      </c>
      <c r="G52" s="165">
        <f ca="1">OFFSET(Calcs!$A$1,diffusion_chart!$C$2+$A52,G$31)</f>
        <v>0</v>
      </c>
      <c r="H52" s="165">
        <f ca="1">OFFSET(Calcs!$A$1,diffusion_chart!$C$2+$A52,H$31)</f>
        <v>0</v>
      </c>
      <c r="AB52" s="59">
        <f>P12</f>
        <v>0.59722222222222221</v>
      </c>
      <c r="AC52" s="2"/>
      <c r="AD52" s="60">
        <f ca="1">Q12</f>
        <v>1152.8560468976777</v>
      </c>
    </row>
    <row r="53" spans="1:30" x14ac:dyDescent="0.3">
      <c r="A53" s="165">
        <v>25</v>
      </c>
      <c r="B53" s="165" t="str">
        <f ca="1">OFFSET(Calcs!$A$1,diffusion_chart!$C$2+$A53,B$31)</f>
        <v>Defenses: Vulnerability to known threats</v>
      </c>
      <c r="C53" s="165">
        <f ca="1">OFFSET(Calcs!$A$1,diffusion_chart!$C$2+$A53,C$31)</f>
        <v>0</v>
      </c>
      <c r="D53" s="165">
        <f ca="1">OFFSET(Calcs!$A$1,diffusion_chart!$C$2+$A53,D$31)</f>
        <v>4</v>
      </c>
      <c r="E53" s="165">
        <f ca="1">OFFSET(Calcs!$A$1,diffusion_chart!$C$2+$A53,E$31)</f>
        <v>23</v>
      </c>
      <c r="F53" s="165">
        <f ca="1">OFFSET(Calcs!$A$1,diffusion_chart!$C$2+$A53,F$31)</f>
        <v>3</v>
      </c>
      <c r="G53" s="165">
        <f ca="1">OFFSET(Calcs!$A$1,diffusion_chart!$C$2+$A53,G$31)</f>
        <v>0</v>
      </c>
      <c r="H53" s="165">
        <f ca="1">OFFSET(Calcs!$A$1,diffusion_chart!$C$2+$A53,H$31)</f>
        <v>0</v>
      </c>
      <c r="AB53" s="2"/>
      <c r="AC53" s="2"/>
      <c r="AD53" s="36"/>
    </row>
    <row r="54" spans="1:30" x14ac:dyDescent="0.3">
      <c r="A54" s="165">
        <v>26</v>
      </c>
      <c r="B54" s="165" t="str">
        <f ca="1">OFFSET(Calcs!$A$1,diffusion_chart!$C$2+$A54,B$31)</f>
        <v>Defenses: Vulnerability to unknown threats</v>
      </c>
      <c r="C54" s="165">
        <f ca="1">OFFSET(Calcs!$A$1,diffusion_chart!$C$2+$A54,C$31)</f>
        <v>0</v>
      </c>
      <c r="D54" s="165">
        <f ca="1">OFFSET(Calcs!$A$1,diffusion_chart!$C$2+$A54,D$31)</f>
        <v>2</v>
      </c>
      <c r="E54" s="165">
        <f ca="1">OFFSET(Calcs!$A$1,diffusion_chart!$C$2+$A54,E$31)</f>
        <v>26</v>
      </c>
      <c r="F54" s="165">
        <f ca="1">OFFSET(Calcs!$A$1,diffusion_chart!$C$2+$A54,F$31)</f>
        <v>2</v>
      </c>
      <c r="G54" s="165">
        <f ca="1">OFFSET(Calcs!$A$1,diffusion_chart!$C$2+$A54,G$31)</f>
        <v>0</v>
      </c>
      <c r="H54" s="165">
        <f ca="1">OFFSET(Calcs!$A$1,diffusion_chart!$C$2+$A54,H$31)</f>
        <v>0</v>
      </c>
      <c r="AB54" s="59">
        <f>P13</f>
        <v>0.58333333333333326</v>
      </c>
      <c r="AC54" s="2"/>
      <c r="AD54" s="60">
        <f ca="1">Q13</f>
        <v>4205.837133259186</v>
      </c>
    </row>
    <row r="55" spans="1:30" x14ac:dyDescent="0.3">
      <c r="A55" s="165">
        <v>27</v>
      </c>
      <c r="B55" s="165" t="str">
        <f ca="1">OFFSET(Calcs!$A$1,diffusion_chart!$C$2+$A55,B$31)</f>
        <v>Overall: False claims of digital identity</v>
      </c>
      <c r="C55" s="165">
        <f ca="1">OFFSET(Calcs!$A$1,diffusion_chart!$C$2+$A55,C$31)</f>
        <v>0</v>
      </c>
      <c r="D55" s="165">
        <f ca="1">OFFSET(Calcs!$A$1,diffusion_chart!$C$2+$A55,D$31)</f>
        <v>2</v>
      </c>
      <c r="E55" s="165">
        <f ca="1">OFFSET(Calcs!$A$1,diffusion_chart!$C$2+$A55,E$31)</f>
        <v>21</v>
      </c>
      <c r="F55" s="165">
        <f ca="1">OFFSET(Calcs!$A$1,diffusion_chart!$C$2+$A55,F$31)</f>
        <v>7</v>
      </c>
      <c r="G55" s="165">
        <f ca="1">OFFSET(Calcs!$A$1,diffusion_chart!$C$2+$A55,G$31)</f>
        <v>0</v>
      </c>
      <c r="H55" s="165">
        <f ca="1">OFFSET(Calcs!$A$1,diffusion_chart!$C$2+$A55,H$31)</f>
        <v>0</v>
      </c>
      <c r="AB55" s="2"/>
      <c r="AC55" s="2"/>
      <c r="AD55" s="36"/>
    </row>
    <row r="56" spans="1:30" x14ac:dyDescent="0.3">
      <c r="A56" s="165">
        <v>28</v>
      </c>
      <c r="B56" s="165" t="str">
        <f ca="1">OFFSET(Calcs!$A$1,diffusion_chart!$C$2+$A56,B$31)</f>
        <v>Overall: Media &amp; public perception</v>
      </c>
      <c r="C56" s="165">
        <f ca="1">OFFSET(Calcs!$A$1,diffusion_chart!$C$2+$A56,C$31)</f>
        <v>0</v>
      </c>
      <c r="D56" s="165">
        <f ca="1">OFFSET(Calcs!$A$1,diffusion_chart!$C$2+$A56,D$31)</f>
        <v>0</v>
      </c>
      <c r="E56" s="165">
        <f ca="1">OFFSET(Calcs!$A$1,diffusion_chart!$C$2+$A56,E$31)</f>
        <v>25</v>
      </c>
      <c r="F56" s="165">
        <f ca="1">OFFSET(Calcs!$A$1,diffusion_chart!$C$2+$A56,F$31)</f>
        <v>5</v>
      </c>
      <c r="G56" s="165">
        <f ca="1">OFFSET(Calcs!$A$1,diffusion_chart!$C$2+$A56,G$31)</f>
        <v>0</v>
      </c>
      <c r="H56" s="165">
        <f ca="1">OFFSET(Calcs!$A$1,diffusion_chart!$C$2+$A56,H$31)</f>
        <v>0</v>
      </c>
      <c r="AB56" s="59">
        <f>P14</f>
        <v>0.56944444444444442</v>
      </c>
      <c r="AC56" s="2"/>
      <c r="AD56" s="60">
        <f ca="1">Q14</f>
        <v>1979.1037926562058</v>
      </c>
    </row>
    <row r="57" spans="1:30" x14ac:dyDescent="0.3">
      <c r="A57" s="165">
        <v>29</v>
      </c>
      <c r="B57" s="165" t="str">
        <f ca="1">OFFSET(Calcs!$A$1,diffusion_chart!$C$2+$A57,B$31)</f>
        <v>Overall: Personal risk</v>
      </c>
      <c r="C57" s="165">
        <f ca="1">OFFSET(Calcs!$A$1,diffusion_chart!$C$2+$A57,C$31)</f>
        <v>0</v>
      </c>
      <c r="D57" s="165">
        <f ca="1">OFFSET(Calcs!$A$1,diffusion_chart!$C$2+$A57,D$31)</f>
        <v>4</v>
      </c>
      <c r="E57" s="165">
        <f ca="1">OFFSET(Calcs!$A$1,diffusion_chart!$C$2+$A57,E$31)</f>
        <v>23</v>
      </c>
      <c r="F57" s="165">
        <f ca="1">OFFSET(Calcs!$A$1,diffusion_chart!$C$2+$A57,F$31)</f>
        <v>3</v>
      </c>
      <c r="G57" s="165">
        <f ca="1">OFFSET(Calcs!$A$1,diffusion_chart!$C$2+$A57,G$31)</f>
        <v>0</v>
      </c>
      <c r="H57" s="165">
        <f ca="1">OFFSET(Calcs!$A$1,diffusion_chart!$C$2+$A57,H$31)</f>
        <v>0</v>
      </c>
      <c r="AB57" s="2"/>
      <c r="AC57" s="2"/>
      <c r="AD57" s="36"/>
    </row>
    <row r="58" spans="1:30" x14ac:dyDescent="0.3">
      <c r="AB58" s="59">
        <f>P15</f>
        <v>0.56944444444444442</v>
      </c>
      <c r="AC58" s="2"/>
      <c r="AD58" s="60">
        <f ca="1">Q15</f>
        <v>4218.3072157892811</v>
      </c>
    </row>
    <row r="59" spans="1:30" x14ac:dyDescent="0.3">
      <c r="AB59" s="2"/>
      <c r="AC59" s="2"/>
      <c r="AD59" s="36"/>
    </row>
    <row r="60" spans="1:30" x14ac:dyDescent="0.3">
      <c r="AB60" s="59">
        <f>P16</f>
        <v>0.55555555555555558</v>
      </c>
      <c r="AC60" s="2"/>
      <c r="AD60" s="60">
        <f ca="1">Q16</f>
        <v>2310.0143436936673</v>
      </c>
    </row>
    <row r="61" spans="1:30" x14ac:dyDescent="0.3">
      <c r="AB61" s="2"/>
      <c r="AC61" s="2"/>
      <c r="AD61" s="36"/>
    </row>
    <row r="62" spans="1:30" x14ac:dyDescent="0.3">
      <c r="AB62" s="59">
        <f>P17</f>
        <v>0.55555555555555558</v>
      </c>
      <c r="AC62" s="2"/>
      <c r="AD62" s="60">
        <f ca="1">Q17</f>
        <v>1800.9383581954962</v>
      </c>
    </row>
    <row r="63" spans="1:30" x14ac:dyDescent="0.3">
      <c r="AB63" s="2"/>
      <c r="AC63" s="2"/>
      <c r="AD63" s="36"/>
    </row>
    <row r="64" spans="1:30" x14ac:dyDescent="0.3">
      <c r="AB64" s="59">
        <f>P18</f>
        <v>0.55555555555555558</v>
      </c>
      <c r="AC64" s="2"/>
      <c r="AD64" s="60">
        <f ca="1">Q18</f>
        <v>11289.620543819703</v>
      </c>
    </row>
    <row r="65" spans="16:30" x14ac:dyDescent="0.3">
      <c r="AB65" s="2"/>
      <c r="AC65" s="2"/>
      <c r="AD65" s="36"/>
    </row>
    <row r="66" spans="16:30" x14ac:dyDescent="0.3">
      <c r="AB66" s="59">
        <f>P19</f>
        <v>0.55555555555555558</v>
      </c>
      <c r="AC66" s="2"/>
      <c r="AD66" s="60">
        <f ca="1">Q19</f>
        <v>2392.2261011950159</v>
      </c>
    </row>
    <row r="67" spans="16:30" x14ac:dyDescent="0.3">
      <c r="AB67" s="2"/>
      <c r="AC67" s="2"/>
      <c r="AD67" s="36"/>
    </row>
    <row r="68" spans="16:30" x14ac:dyDescent="0.3">
      <c r="AB68" s="59">
        <f>P20</f>
        <v>0.54166666666666674</v>
      </c>
      <c r="AC68" s="2"/>
      <c r="AD68" s="60">
        <f ca="1">Q20</f>
        <v>1138.1416810484702</v>
      </c>
    </row>
    <row r="69" spans="16:30" x14ac:dyDescent="0.3">
      <c r="AB69" s="2"/>
      <c r="AC69" s="2"/>
      <c r="AD69" s="36"/>
    </row>
    <row r="70" spans="16:30" x14ac:dyDescent="0.3">
      <c r="AB70" s="59">
        <f>P21</f>
        <v>0.54166666666666663</v>
      </c>
      <c r="AC70" s="2"/>
      <c r="AD70" s="60">
        <f ca="1">Q21</f>
        <v>2352.4259057170061</v>
      </c>
    </row>
    <row r="71" spans="16:30" x14ac:dyDescent="0.3">
      <c r="AB71" s="2"/>
      <c r="AC71" s="2"/>
      <c r="AD71" s="36"/>
    </row>
    <row r="72" spans="16:30" x14ac:dyDescent="0.3">
      <c r="AB72" s="59">
        <f>P22</f>
        <v>0.54166666666666663</v>
      </c>
      <c r="AC72" s="2"/>
      <c r="AD72" s="60">
        <f ca="1">Q22</f>
        <v>2196.9786583942937</v>
      </c>
    </row>
    <row r="73" spans="16:30" x14ac:dyDescent="0.3">
      <c r="AB73" s="2"/>
      <c r="AC73" s="2"/>
      <c r="AD73" s="36"/>
    </row>
    <row r="74" spans="16:30" x14ac:dyDescent="0.3">
      <c r="AB74" s="59">
        <f>P23</f>
        <v>0.52777777777777779</v>
      </c>
      <c r="AC74" s="2"/>
      <c r="AD74" s="60">
        <f ca="1">Q23</f>
        <v>2502.0108656095463</v>
      </c>
    </row>
    <row r="75" spans="16:30" x14ac:dyDescent="0.3">
      <c r="P75" s="31"/>
    </row>
    <row r="76" spans="16:30" x14ac:dyDescent="0.3">
      <c r="P76" s="31"/>
      <c r="AB76" s="59">
        <f>P24</f>
        <v>0.52777777777777779</v>
      </c>
      <c r="AC76" s="2"/>
      <c r="AD76" s="60">
        <f ca="1">Q24</f>
        <v>1927.7544333118972</v>
      </c>
    </row>
    <row r="77" spans="16:30" x14ac:dyDescent="0.3">
      <c r="P77" s="31"/>
    </row>
    <row r="78" spans="16:30" x14ac:dyDescent="0.3">
      <c r="P78" s="31"/>
      <c r="AB78" s="59">
        <f>P25</f>
        <v>0.51388888888888884</v>
      </c>
      <c r="AC78" s="2"/>
      <c r="AD78" s="60">
        <f ca="1">Q25</f>
        <v>1280.5389171327308</v>
      </c>
    </row>
    <row r="79" spans="16:30" x14ac:dyDescent="0.3">
      <c r="P79" s="31"/>
    </row>
    <row r="80" spans="16:30" x14ac:dyDescent="0.3">
      <c r="P80" s="31"/>
      <c r="AB80" s="59">
        <f>P26</f>
        <v>0.5</v>
      </c>
      <c r="AC80" s="2"/>
      <c r="AD80" s="60">
        <f ca="1">Q26</f>
        <v>1438.2138327591576</v>
      </c>
    </row>
    <row r="81" spans="16:30" x14ac:dyDescent="0.3">
      <c r="P81" s="31"/>
    </row>
    <row r="82" spans="16:30" x14ac:dyDescent="0.3">
      <c r="P82" s="31"/>
      <c r="AB82" s="59">
        <f>P27</f>
        <v>0.5</v>
      </c>
      <c r="AC82" s="2"/>
      <c r="AD82" s="60">
        <f ca="1">Q27</f>
        <v>2156.8685236203673</v>
      </c>
    </row>
    <row r="83" spans="16:30" x14ac:dyDescent="0.3">
      <c r="P83" s="31"/>
    </row>
    <row r="84" spans="16:30" x14ac:dyDescent="0.3">
      <c r="P84" s="31"/>
      <c r="AB84" s="59">
        <f>P28</f>
        <v>0.5</v>
      </c>
      <c r="AC84" s="2"/>
      <c r="AD84" s="60">
        <f ca="1">Q28</f>
        <v>1219.799156216902</v>
      </c>
    </row>
    <row r="85" spans="16:30" ht="69" customHeight="1" x14ac:dyDescent="0.3">
      <c r="P85" s="31"/>
      <c r="S85" s="280" t="s">
        <v>107</v>
      </c>
      <c r="T85" s="280"/>
      <c r="U85" s="280"/>
      <c r="V85" s="280"/>
      <c r="W85" s="280"/>
      <c r="X85" s="280"/>
      <c r="Y85" s="280"/>
      <c r="Z85" s="280"/>
      <c r="AA85" s="280"/>
      <c r="AB85" s="280"/>
      <c r="AC85" s="280"/>
      <c r="AD85" s="280"/>
    </row>
    <row r="86" spans="16:30" x14ac:dyDescent="0.3">
      <c r="P86" s="31"/>
    </row>
    <row r="87" spans="16:30" x14ac:dyDescent="0.3">
      <c r="P87" s="31"/>
    </row>
    <row r="90" spans="16:30" ht="50.25" customHeight="1" x14ac:dyDescent="0.3"/>
  </sheetData>
  <sortState xmlns:xlrd2="http://schemas.microsoft.com/office/spreadsheetml/2017/richdata2" ref="J4:P28">
    <sortCondition descending="1" ref="P4:P28"/>
  </sortState>
  <mergeCells count="1">
    <mergeCell ref="S85:AD85"/>
  </mergeCells>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6"/>
  <dimension ref="A1:AO131"/>
  <sheetViews>
    <sheetView showGridLines="0" zoomScaleNormal="100" workbookViewId="0">
      <selection activeCell="K57" sqref="K57"/>
    </sheetView>
  </sheetViews>
  <sheetFormatPr defaultColWidth="8.77734375" defaultRowHeight="14.4" x14ac:dyDescent="0.3"/>
  <cols>
    <col min="2" max="2" width="9.6640625" bestFit="1" customWidth="1"/>
  </cols>
  <sheetData>
    <row r="1" spans="1:17" x14ac:dyDescent="0.3">
      <c r="A1" t="s">
        <v>2363</v>
      </c>
      <c r="B1" s="213">
        <f>Index_CALCULATION!C50</f>
        <v>42246</v>
      </c>
    </row>
    <row r="2" spans="1:17" ht="72" customHeight="1" x14ac:dyDescent="0.3">
      <c r="B2" s="283"/>
      <c r="C2" s="283"/>
      <c r="D2" s="283"/>
      <c r="E2" s="283"/>
      <c r="F2" s="283"/>
      <c r="G2" s="283"/>
      <c r="H2" s="283"/>
      <c r="I2" s="283"/>
      <c r="J2" s="283"/>
      <c r="K2" s="283"/>
      <c r="L2" s="283"/>
      <c r="M2" s="283"/>
      <c r="N2" s="283"/>
    </row>
    <row r="3" spans="1:17" x14ac:dyDescent="0.3">
      <c r="P3" s="80"/>
      <c r="Q3" s="80"/>
    </row>
    <row r="4" spans="1:17" ht="15" customHeight="1" x14ac:dyDescent="0.3">
      <c r="A4" s="191">
        <f t="shared" ref="A4:A9" si="0">COUNTIF($A$28:$A$260,B4)</f>
        <v>19</v>
      </c>
      <c r="B4" s="247" t="s">
        <v>2823</v>
      </c>
      <c r="C4" s="24">
        <f t="shared" ref="C4:C10" si="1">A4/$A$26</f>
        <v>0.6333333333333333</v>
      </c>
      <c r="D4" s="96"/>
      <c r="E4" s="282" t="str">
        <f>K46</f>
        <v xml:space="preserve">QUESTION OF THE MONTH:  Ransomware
There continues to be global ransomware attacks on businesses, colleges and government agencies with the most recent being a coordinated attack on 22 Texas towns.  What steps do you believe can help reduce/minimize ransomware attacks?
 </v>
      </c>
      <c r="F4" s="282"/>
      <c r="G4" s="282"/>
      <c r="H4" s="282"/>
      <c r="I4" s="282"/>
      <c r="N4" s="24"/>
      <c r="P4" s="80"/>
      <c r="Q4" s="80"/>
    </row>
    <row r="5" spans="1:17" s="132" customFormat="1" ht="15" customHeight="1" x14ac:dyDescent="0.3">
      <c r="A5" s="191">
        <f t="shared" si="0"/>
        <v>17</v>
      </c>
      <c r="B5" s="247" t="s">
        <v>2824</v>
      </c>
      <c r="C5" s="24">
        <f t="shared" si="1"/>
        <v>0.56666666666666665</v>
      </c>
      <c r="D5" s="96"/>
      <c r="E5" s="282"/>
      <c r="F5" s="282"/>
      <c r="G5" s="282"/>
      <c r="H5" s="282"/>
      <c r="I5" s="282"/>
      <c r="N5" s="24"/>
      <c r="P5" s="80"/>
      <c r="Q5" s="80"/>
    </row>
    <row r="6" spans="1:17" s="132" customFormat="1" ht="15" customHeight="1" x14ac:dyDescent="0.3">
      <c r="A6" s="191">
        <f t="shared" si="0"/>
        <v>20</v>
      </c>
      <c r="B6" s="247" t="s">
        <v>2826</v>
      </c>
      <c r="C6" s="24">
        <f t="shared" si="1"/>
        <v>0.66666666666666663</v>
      </c>
      <c r="D6" s="96"/>
      <c r="E6" s="282"/>
      <c r="F6" s="282"/>
      <c r="G6" s="282"/>
      <c r="H6" s="282"/>
      <c r="I6" s="282"/>
      <c r="N6" s="24"/>
      <c r="P6" s="80"/>
      <c r="Q6" s="80"/>
    </row>
    <row r="7" spans="1:17" s="132" customFormat="1" ht="15" customHeight="1" x14ac:dyDescent="0.3">
      <c r="A7" s="191">
        <f t="shared" si="0"/>
        <v>15</v>
      </c>
      <c r="B7" s="247" t="s">
        <v>2825</v>
      </c>
      <c r="C7" s="24">
        <f t="shared" si="1"/>
        <v>0.5</v>
      </c>
      <c r="D7" s="96"/>
      <c r="E7" s="282"/>
      <c r="F7" s="282"/>
      <c r="G7" s="282"/>
      <c r="H7" s="282"/>
      <c r="I7" s="282"/>
      <c r="N7" s="24"/>
      <c r="P7" s="80"/>
      <c r="Q7" s="80"/>
    </row>
    <row r="8" spans="1:17" s="132" customFormat="1" ht="15" customHeight="1" x14ac:dyDescent="0.3">
      <c r="A8" s="191">
        <f t="shared" si="0"/>
        <v>13</v>
      </c>
      <c r="B8" s="247" t="s">
        <v>2827</v>
      </c>
      <c r="C8" s="24">
        <f t="shared" si="1"/>
        <v>0.43333333333333335</v>
      </c>
      <c r="D8" s="96"/>
      <c r="E8" s="282"/>
      <c r="F8" s="282"/>
      <c r="G8" s="282"/>
      <c r="H8" s="282"/>
      <c r="I8" s="282"/>
      <c r="N8" s="24"/>
      <c r="P8" s="80"/>
      <c r="Q8" s="80"/>
    </row>
    <row r="9" spans="1:17" s="132" customFormat="1" ht="15" customHeight="1" x14ac:dyDescent="0.3">
      <c r="A9" s="191">
        <f t="shared" si="0"/>
        <v>16</v>
      </c>
      <c r="B9" s="247" t="s">
        <v>2815</v>
      </c>
      <c r="C9" s="24">
        <f t="shared" si="1"/>
        <v>0.53333333333333333</v>
      </c>
      <c r="D9" s="96"/>
      <c r="E9" s="282"/>
      <c r="F9" s="282"/>
      <c r="G9" s="282"/>
      <c r="H9" s="282"/>
      <c r="I9" s="282"/>
      <c r="N9" s="24"/>
      <c r="P9" s="80"/>
      <c r="Q9" s="80"/>
    </row>
    <row r="10" spans="1:17" s="132" customFormat="1" ht="15" customHeight="1" x14ac:dyDescent="0.3">
      <c r="A10" s="191"/>
      <c r="B10" s="206" t="s">
        <v>2653</v>
      </c>
      <c r="C10" s="24">
        <f t="shared" si="1"/>
        <v>0</v>
      </c>
      <c r="D10" s="96"/>
      <c r="E10" s="282"/>
      <c r="F10" s="282"/>
      <c r="G10" s="282"/>
      <c r="H10" s="282"/>
      <c r="I10" s="282"/>
      <c r="N10" s="165"/>
      <c r="P10" s="80"/>
      <c r="Q10" s="80"/>
    </row>
    <row r="11" spans="1:17" s="132" customFormat="1" ht="15" customHeight="1" x14ac:dyDescent="0.3">
      <c r="A11" s="80"/>
      <c r="B11" s="206"/>
      <c r="C11" s="24">
        <f>A11/41</f>
        <v>0</v>
      </c>
      <c r="D11" s="96"/>
      <c r="E11" s="282"/>
      <c r="F11" s="282"/>
      <c r="G11" s="282"/>
      <c r="H11" s="282"/>
      <c r="I11" s="282"/>
      <c r="N11" s="165"/>
      <c r="P11" s="80"/>
      <c r="Q11" s="80"/>
    </row>
    <row r="12" spans="1:17" s="132" customFormat="1" ht="15" customHeight="1" x14ac:dyDescent="0.3">
      <c r="A12" s="80"/>
      <c r="B12" s="137"/>
      <c r="C12" s="24">
        <f>A12/41</f>
        <v>0</v>
      </c>
      <c r="D12" s="96"/>
      <c r="E12" s="282"/>
      <c r="F12" s="282"/>
      <c r="G12" s="282"/>
      <c r="H12" s="282"/>
      <c r="I12" s="282"/>
      <c r="L12" s="165"/>
      <c r="N12" s="165"/>
      <c r="P12" s="80"/>
      <c r="Q12" s="80"/>
    </row>
    <row r="13" spans="1:17" s="132" customFormat="1" ht="15" customHeight="1" x14ac:dyDescent="0.3">
      <c r="A13" s="80"/>
      <c r="B13" s="80"/>
      <c r="C13" s="24">
        <f>A13/41</f>
        <v>0</v>
      </c>
      <c r="D13" s="96"/>
      <c r="E13" s="282"/>
      <c r="F13" s="282"/>
      <c r="G13" s="282"/>
      <c r="H13" s="282"/>
      <c r="I13" s="282"/>
      <c r="L13" s="165"/>
      <c r="N13" s="24"/>
    </row>
    <row r="14" spans="1:17" ht="15" customHeight="1" x14ac:dyDescent="0.3">
      <c r="A14" s="80"/>
      <c r="B14" s="80"/>
      <c r="C14" s="24">
        <f>A14/41</f>
        <v>0</v>
      </c>
      <c r="D14" s="96"/>
      <c r="E14" s="282"/>
      <c r="F14" s="282"/>
      <c r="G14" s="282"/>
      <c r="H14" s="282"/>
      <c r="I14" s="282"/>
      <c r="L14" s="165"/>
      <c r="N14" s="191"/>
      <c r="O14" s="206"/>
    </row>
    <row r="15" spans="1:17" ht="15" customHeight="1" x14ac:dyDescent="0.3">
      <c r="A15" s="80"/>
      <c r="B15" s="80"/>
      <c r="C15" s="24">
        <f>A15/41</f>
        <v>0</v>
      </c>
      <c r="D15" s="96"/>
      <c r="E15" s="282"/>
      <c r="F15" s="282"/>
      <c r="G15" s="282"/>
      <c r="H15" s="282"/>
      <c r="I15" s="282"/>
      <c r="L15" s="165"/>
      <c r="N15" s="191"/>
      <c r="O15" s="206"/>
    </row>
    <row r="16" spans="1:17" ht="15" customHeight="1" x14ac:dyDescent="0.3">
      <c r="A16" s="80"/>
      <c r="B16" s="80"/>
      <c r="C16" s="24">
        <f t="shared" ref="C16:C24" si="2">A16/$A$26</f>
        <v>0</v>
      </c>
      <c r="D16" s="96"/>
      <c r="E16" s="282"/>
      <c r="F16" s="282"/>
      <c r="G16" s="282"/>
      <c r="H16" s="282"/>
      <c r="I16" s="282"/>
      <c r="L16" s="165"/>
    </row>
    <row r="17" spans="1:18" ht="15" customHeight="1" x14ac:dyDescent="0.3">
      <c r="A17" s="80"/>
      <c r="B17" s="80"/>
      <c r="C17" s="24">
        <f t="shared" si="2"/>
        <v>0</v>
      </c>
      <c r="D17" s="96"/>
      <c r="E17" s="282"/>
      <c r="F17" s="282"/>
      <c r="G17" s="282"/>
      <c r="H17" s="282"/>
      <c r="I17" s="282"/>
      <c r="L17" s="165"/>
      <c r="N17" s="24"/>
      <c r="O17" s="165"/>
    </row>
    <row r="18" spans="1:18" ht="15" customHeight="1" x14ac:dyDescent="0.3">
      <c r="A18" s="80"/>
      <c r="B18" s="80"/>
      <c r="C18" s="24">
        <f t="shared" si="2"/>
        <v>0</v>
      </c>
      <c r="D18" s="96"/>
      <c r="E18" s="282"/>
      <c r="F18" s="282"/>
      <c r="G18" s="282"/>
      <c r="H18" s="282"/>
      <c r="I18" s="282"/>
      <c r="L18" s="165"/>
      <c r="N18" s="24"/>
      <c r="O18" s="165"/>
      <c r="Q18" s="165"/>
    </row>
    <row r="19" spans="1:18" ht="15" customHeight="1" x14ac:dyDescent="0.3">
      <c r="A19" s="80"/>
      <c r="B19" s="80"/>
      <c r="C19" s="24">
        <f t="shared" si="2"/>
        <v>0</v>
      </c>
      <c r="E19" s="282"/>
      <c r="F19" s="282"/>
      <c r="G19" s="282"/>
      <c r="H19" s="282"/>
      <c r="I19" s="282"/>
      <c r="L19" s="165"/>
      <c r="N19" s="24"/>
      <c r="O19" s="165"/>
      <c r="Q19" s="165"/>
    </row>
    <row r="20" spans="1:18" ht="15" customHeight="1" x14ac:dyDescent="0.3">
      <c r="A20" s="80"/>
      <c r="B20" s="80"/>
      <c r="C20" s="24">
        <f t="shared" si="2"/>
        <v>0</v>
      </c>
      <c r="E20" s="282"/>
      <c r="F20" s="282"/>
      <c r="G20" s="282"/>
      <c r="H20" s="282"/>
      <c r="I20" s="282"/>
      <c r="L20" s="165"/>
      <c r="M20" s="132"/>
      <c r="O20" s="247"/>
      <c r="Q20" s="165"/>
    </row>
    <row r="21" spans="1:18" ht="15" customHeight="1" x14ac:dyDescent="0.3">
      <c r="A21" s="80"/>
      <c r="B21" s="80"/>
      <c r="C21" s="24">
        <f t="shared" si="2"/>
        <v>0</v>
      </c>
      <c r="E21" s="282"/>
      <c r="F21" s="282"/>
      <c r="G21" s="282"/>
      <c r="H21" s="282"/>
      <c r="I21" s="282"/>
      <c r="L21" s="165"/>
      <c r="M21" s="132"/>
      <c r="O21" s="165"/>
    </row>
    <row r="22" spans="1:18" ht="15" customHeight="1" x14ac:dyDescent="0.3">
      <c r="A22" s="80"/>
      <c r="B22" s="80"/>
      <c r="C22" s="24">
        <f t="shared" si="2"/>
        <v>0</v>
      </c>
      <c r="E22" s="282"/>
      <c r="F22" s="282"/>
      <c r="G22" s="282"/>
      <c r="H22" s="282"/>
      <c r="I22" s="282"/>
      <c r="L22" s="165"/>
      <c r="O22" s="165"/>
    </row>
    <row r="23" spans="1:18" ht="15" customHeight="1" x14ac:dyDescent="0.3">
      <c r="A23" s="80"/>
      <c r="B23" s="80"/>
      <c r="C23" s="24">
        <f t="shared" si="2"/>
        <v>0</v>
      </c>
      <c r="E23" s="282"/>
      <c r="F23" s="282"/>
      <c r="G23" s="282"/>
      <c r="H23" s="282"/>
      <c r="I23" s="282"/>
      <c r="O23" s="165"/>
    </row>
    <row r="24" spans="1:18" ht="15" customHeight="1" x14ac:dyDescent="0.3">
      <c r="A24" s="80"/>
      <c r="B24" s="80"/>
      <c r="C24" s="24">
        <f t="shared" si="2"/>
        <v>0</v>
      </c>
      <c r="E24" s="282"/>
      <c r="F24" s="282"/>
      <c r="G24" s="282"/>
      <c r="H24" s="282"/>
      <c r="I24" s="282"/>
    </row>
    <row r="25" spans="1:18" x14ac:dyDescent="0.3">
      <c r="R25" s="165"/>
    </row>
    <row r="26" spans="1:18" x14ac:dyDescent="0.3">
      <c r="A26">
        <f>COUNTIF(Paste_Report_Here!E:E,Q_of_the_mth!B1)</f>
        <v>30</v>
      </c>
      <c r="R26" s="165"/>
    </row>
    <row r="28" spans="1:18" x14ac:dyDescent="0.3">
      <c r="A28" s="165"/>
    </row>
    <row r="29" spans="1:18" x14ac:dyDescent="0.3">
      <c r="A29" s="165"/>
      <c r="B29" s="132"/>
      <c r="H29" s="206"/>
    </row>
    <row r="30" spans="1:18" x14ac:dyDescent="0.3">
      <c r="A30" s="247" t="s">
        <v>2823</v>
      </c>
      <c r="F30">
        <v>1</v>
      </c>
      <c r="G30" s="80">
        <f t="shared" ref="G30:G51" si="3">COUNTIF($A$28:$A$260,H30)</f>
        <v>19</v>
      </c>
      <c r="H30" s="247" t="s">
        <v>2823</v>
      </c>
      <c r="I30" s="165"/>
    </row>
    <row r="31" spans="1:18" x14ac:dyDescent="0.3">
      <c r="A31" s="247" t="s">
        <v>2823</v>
      </c>
      <c r="B31" s="132"/>
      <c r="F31">
        <v>2</v>
      </c>
      <c r="G31" s="80">
        <f t="shared" si="3"/>
        <v>17</v>
      </c>
      <c r="H31" s="247" t="s">
        <v>2824</v>
      </c>
      <c r="I31" s="165"/>
    </row>
    <row r="32" spans="1:18" s="132" customFormat="1" x14ac:dyDescent="0.3">
      <c r="A32" s="247" t="s">
        <v>2823</v>
      </c>
      <c r="F32" s="132">
        <v>3</v>
      </c>
      <c r="G32" s="191">
        <f t="shared" si="3"/>
        <v>20</v>
      </c>
      <c r="H32" s="247" t="s">
        <v>2826</v>
      </c>
      <c r="I32" s="247"/>
    </row>
    <row r="33" spans="1:20" s="132" customFormat="1" x14ac:dyDescent="0.3">
      <c r="A33" s="247" t="s">
        <v>2823</v>
      </c>
      <c r="F33" s="132">
        <v>4</v>
      </c>
      <c r="G33" s="191">
        <f t="shared" si="3"/>
        <v>15</v>
      </c>
      <c r="H33" s="247" t="s">
        <v>2825</v>
      </c>
      <c r="I33" s="165"/>
    </row>
    <row r="34" spans="1:20" s="132" customFormat="1" x14ac:dyDescent="0.3">
      <c r="A34" s="247" t="s">
        <v>2823</v>
      </c>
      <c r="F34" s="132">
        <v>5</v>
      </c>
      <c r="G34" s="80">
        <f t="shared" si="3"/>
        <v>13</v>
      </c>
      <c r="H34" s="247" t="s">
        <v>2827</v>
      </c>
      <c r="I34" s="247"/>
      <c r="J34" s="247"/>
    </row>
    <row r="35" spans="1:20" s="132" customFormat="1" x14ac:dyDescent="0.3">
      <c r="A35" s="247" t="s">
        <v>2826</v>
      </c>
      <c r="F35" s="132">
        <v>6</v>
      </c>
      <c r="G35" s="80">
        <f t="shared" si="3"/>
        <v>16</v>
      </c>
      <c r="H35" s="247" t="s">
        <v>2815</v>
      </c>
      <c r="I35" s="165"/>
    </row>
    <row r="36" spans="1:20" s="132" customFormat="1" x14ac:dyDescent="0.3">
      <c r="A36" s="247" t="s">
        <v>2823</v>
      </c>
      <c r="F36" s="132">
        <v>7</v>
      </c>
      <c r="G36" s="80">
        <f t="shared" si="3"/>
        <v>1</v>
      </c>
      <c r="H36" s="165" t="s">
        <v>2653</v>
      </c>
      <c r="I36" s="165"/>
    </row>
    <row r="37" spans="1:20" s="132" customFormat="1" x14ac:dyDescent="0.3">
      <c r="A37" s="247" t="s">
        <v>2824</v>
      </c>
      <c r="F37" s="132">
        <v>8</v>
      </c>
      <c r="G37" s="80">
        <f t="shared" si="3"/>
        <v>0</v>
      </c>
      <c r="H37" s="165"/>
      <c r="I37" s="165"/>
    </row>
    <row r="38" spans="1:20" s="132" customFormat="1" x14ac:dyDescent="0.3">
      <c r="A38" s="247" t="s">
        <v>2823</v>
      </c>
      <c r="F38" s="132">
        <v>9</v>
      </c>
      <c r="G38" s="80">
        <f t="shared" si="3"/>
        <v>0</v>
      </c>
      <c r="H38" s="206"/>
      <c r="I38" s="165"/>
    </row>
    <row r="39" spans="1:20" x14ac:dyDescent="0.3">
      <c r="A39" s="247" t="s">
        <v>2823</v>
      </c>
      <c r="B39" s="132"/>
      <c r="F39" s="132">
        <v>10</v>
      </c>
      <c r="G39" s="80">
        <f t="shared" si="3"/>
        <v>0</v>
      </c>
      <c r="H39" s="206"/>
      <c r="I39" s="165"/>
    </row>
    <row r="40" spans="1:20" x14ac:dyDescent="0.3">
      <c r="A40" s="247" t="s">
        <v>2824</v>
      </c>
      <c r="B40" s="132"/>
      <c r="F40" s="132">
        <v>11</v>
      </c>
      <c r="G40" s="80">
        <f t="shared" si="3"/>
        <v>0</v>
      </c>
      <c r="H40" s="132"/>
      <c r="I40" s="132"/>
    </row>
    <row r="41" spans="1:20" x14ac:dyDescent="0.3">
      <c r="A41" s="247" t="s">
        <v>2823</v>
      </c>
      <c r="B41" s="132"/>
      <c r="F41" s="132">
        <v>12</v>
      </c>
      <c r="G41" s="80">
        <f t="shared" si="3"/>
        <v>0</v>
      </c>
      <c r="H41" s="132"/>
      <c r="I41" s="132"/>
    </row>
    <row r="42" spans="1:20" x14ac:dyDescent="0.3">
      <c r="A42" s="247" t="s">
        <v>2823</v>
      </c>
      <c r="B42" s="132"/>
      <c r="F42" s="132">
        <v>13</v>
      </c>
      <c r="G42" s="80">
        <f t="shared" si="3"/>
        <v>0</v>
      </c>
      <c r="H42" s="132"/>
    </row>
    <row r="43" spans="1:20" x14ac:dyDescent="0.3">
      <c r="A43" s="247" t="s">
        <v>2823</v>
      </c>
      <c r="B43" s="132"/>
      <c r="G43" s="80">
        <f t="shared" si="3"/>
        <v>0</v>
      </c>
      <c r="H43" s="132"/>
    </row>
    <row r="44" spans="1:20" x14ac:dyDescent="0.3">
      <c r="A44" s="247" t="s">
        <v>2824</v>
      </c>
      <c r="B44" s="132"/>
      <c r="G44" s="80">
        <f t="shared" si="3"/>
        <v>0</v>
      </c>
      <c r="H44" s="132"/>
    </row>
    <row r="45" spans="1:20" x14ac:dyDescent="0.3">
      <c r="A45" s="247" t="s">
        <v>2823</v>
      </c>
      <c r="B45" s="132"/>
      <c r="G45" s="80">
        <f t="shared" si="3"/>
        <v>0</v>
      </c>
      <c r="H45" s="132"/>
    </row>
    <row r="46" spans="1:20" ht="214.5" customHeight="1" x14ac:dyDescent="0.3">
      <c r="A46" s="247" t="s">
        <v>2823</v>
      </c>
      <c r="B46" s="132"/>
      <c r="G46" s="80">
        <f t="shared" si="3"/>
        <v>0</v>
      </c>
      <c r="H46" s="132"/>
      <c r="K46" s="284" t="s">
        <v>2828</v>
      </c>
      <c r="L46" s="284"/>
      <c r="M46" s="284"/>
      <c r="N46" s="284"/>
      <c r="O46" s="284"/>
      <c r="P46" s="284"/>
      <c r="Q46" s="284"/>
      <c r="R46" s="284"/>
      <c r="S46" s="284"/>
      <c r="T46" s="284"/>
    </row>
    <row r="47" spans="1:20" ht="15" customHeight="1" x14ac:dyDescent="0.3">
      <c r="A47" s="247" t="s">
        <v>2824</v>
      </c>
      <c r="B47" s="132"/>
      <c r="G47" s="80">
        <f t="shared" si="3"/>
        <v>0</v>
      </c>
      <c r="H47" s="132"/>
      <c r="K47" s="284"/>
      <c r="L47" s="284"/>
      <c r="M47" s="284"/>
      <c r="N47" s="284"/>
      <c r="O47" s="284"/>
      <c r="P47" s="284"/>
      <c r="Q47" s="284"/>
      <c r="R47" s="284"/>
      <c r="S47" s="284"/>
      <c r="T47" s="284"/>
    </row>
    <row r="48" spans="1:20" ht="15" customHeight="1" x14ac:dyDescent="0.3">
      <c r="A48" s="247" t="s">
        <v>2823</v>
      </c>
      <c r="B48" s="132"/>
      <c r="G48" s="80">
        <f t="shared" si="3"/>
        <v>0</v>
      </c>
      <c r="H48" s="132"/>
      <c r="K48" s="284"/>
      <c r="L48" s="284"/>
      <c r="M48" s="284"/>
      <c r="N48" s="284"/>
      <c r="O48" s="284"/>
      <c r="P48" s="284"/>
      <c r="Q48" s="284"/>
      <c r="R48" s="284"/>
      <c r="S48" s="284"/>
      <c r="T48" s="284"/>
    </row>
    <row r="49" spans="1:21" ht="15" customHeight="1" x14ac:dyDescent="0.3">
      <c r="A49" s="247" t="s">
        <v>2823</v>
      </c>
      <c r="B49" s="132"/>
      <c r="G49" s="80">
        <f t="shared" si="3"/>
        <v>0</v>
      </c>
      <c r="H49" s="132"/>
      <c r="K49" s="284"/>
      <c r="L49" s="284"/>
      <c r="M49" s="284"/>
      <c r="N49" s="284"/>
      <c r="O49" s="284"/>
      <c r="P49" s="284"/>
      <c r="Q49" s="284"/>
      <c r="R49" s="284"/>
      <c r="S49" s="284"/>
      <c r="T49" s="284"/>
    </row>
    <row r="50" spans="1:21" ht="15" customHeight="1" x14ac:dyDescent="0.3">
      <c r="A50" s="247" t="s">
        <v>2815</v>
      </c>
      <c r="B50" s="132"/>
      <c r="G50" s="80">
        <f t="shared" si="3"/>
        <v>0</v>
      </c>
      <c r="K50" s="284"/>
      <c r="L50" s="284"/>
      <c r="M50" s="284"/>
      <c r="N50" s="284"/>
      <c r="O50" s="284"/>
      <c r="P50" s="284"/>
      <c r="Q50" s="284"/>
      <c r="R50" s="284"/>
      <c r="S50" s="284"/>
      <c r="T50" s="284"/>
    </row>
    <row r="51" spans="1:21" ht="44.25" customHeight="1" x14ac:dyDescent="0.3">
      <c r="A51" s="247" t="s">
        <v>2826</v>
      </c>
      <c r="B51" s="132"/>
      <c r="G51" s="191">
        <f t="shared" si="3"/>
        <v>0</v>
      </c>
      <c r="K51" s="284"/>
      <c r="L51" s="284"/>
      <c r="M51" s="284"/>
      <c r="N51" s="284"/>
      <c r="O51" s="284"/>
      <c r="P51" s="284"/>
      <c r="Q51" s="284"/>
      <c r="R51" s="284"/>
      <c r="S51" s="284"/>
      <c r="T51" s="284"/>
    </row>
    <row r="52" spans="1:21" ht="29.25" customHeight="1" x14ac:dyDescent="0.3">
      <c r="A52" s="247" t="s">
        <v>2824</v>
      </c>
      <c r="B52" s="132"/>
      <c r="K52" s="284"/>
      <c r="L52" s="284"/>
      <c r="M52" s="284"/>
      <c r="N52" s="284"/>
      <c r="O52" s="284"/>
      <c r="P52" s="284"/>
      <c r="Q52" s="284"/>
      <c r="R52" s="284"/>
      <c r="S52" s="284"/>
      <c r="T52" s="284"/>
      <c r="U52" s="246" t="s">
        <v>2271</v>
      </c>
    </row>
    <row r="53" spans="1:21" ht="15" customHeight="1" x14ac:dyDescent="0.3">
      <c r="A53" s="247" t="s">
        <v>2823</v>
      </c>
      <c r="B53" s="132"/>
      <c r="K53" s="284"/>
      <c r="L53" s="284"/>
      <c r="M53" s="284"/>
      <c r="N53" s="284"/>
      <c r="O53" s="284"/>
      <c r="P53" s="284"/>
      <c r="Q53" s="284"/>
      <c r="R53" s="284"/>
      <c r="S53" s="284"/>
      <c r="T53" s="284"/>
    </row>
    <row r="54" spans="1:21" ht="15" customHeight="1" x14ac:dyDescent="0.3">
      <c r="A54" s="247" t="s">
        <v>2824</v>
      </c>
      <c r="B54" s="132"/>
      <c r="K54" s="284"/>
      <c r="L54" s="284"/>
      <c r="M54" s="284"/>
      <c r="N54" s="284"/>
      <c r="O54" s="284"/>
      <c r="P54" s="284"/>
      <c r="Q54" s="284"/>
      <c r="R54" s="284"/>
      <c r="S54" s="284"/>
      <c r="T54" s="284"/>
    </row>
    <row r="55" spans="1:21" ht="15" customHeight="1" x14ac:dyDescent="0.3">
      <c r="A55" s="247" t="s">
        <v>2823</v>
      </c>
      <c r="B55" s="132"/>
      <c r="K55" s="284"/>
      <c r="L55" s="284"/>
      <c r="M55" s="284"/>
      <c r="N55" s="284"/>
      <c r="O55" s="284"/>
      <c r="P55" s="284"/>
      <c r="Q55" s="284"/>
      <c r="R55" s="284"/>
      <c r="S55" s="284"/>
      <c r="T55" s="284"/>
    </row>
    <row r="56" spans="1:21" ht="15" customHeight="1" x14ac:dyDescent="0.3">
      <c r="A56" s="247" t="s">
        <v>2823</v>
      </c>
      <c r="B56" s="132"/>
      <c r="K56" s="284"/>
      <c r="L56" s="284"/>
      <c r="M56" s="284"/>
      <c r="N56" s="284"/>
      <c r="O56" s="284"/>
      <c r="P56" s="284"/>
      <c r="Q56" s="284"/>
      <c r="R56" s="284"/>
      <c r="S56" s="284"/>
      <c r="T56" s="284"/>
    </row>
    <row r="57" spans="1:21" x14ac:dyDescent="0.3">
      <c r="A57" s="247" t="s">
        <v>2824</v>
      </c>
      <c r="B57" s="132"/>
      <c r="U57" t="s">
        <v>199</v>
      </c>
    </row>
    <row r="58" spans="1:21" x14ac:dyDescent="0.3">
      <c r="A58" s="247" t="s">
        <v>2826</v>
      </c>
      <c r="B58" s="132"/>
      <c r="U58" t="s">
        <v>199</v>
      </c>
    </row>
    <row r="59" spans="1:21" x14ac:dyDescent="0.3">
      <c r="A59" s="247" t="s">
        <v>2823</v>
      </c>
      <c r="B59" s="132"/>
      <c r="U59" t="s">
        <v>199</v>
      </c>
    </row>
    <row r="60" spans="1:21" x14ac:dyDescent="0.3">
      <c r="A60" s="264" t="s">
        <v>2817</v>
      </c>
      <c r="B60" s="132"/>
    </row>
    <row r="61" spans="1:21" ht="15" x14ac:dyDescent="0.35">
      <c r="A61" s="247" t="s">
        <v>2824</v>
      </c>
      <c r="B61" s="132"/>
      <c r="K61" s="207"/>
    </row>
    <row r="62" spans="1:21" ht="15" x14ac:dyDescent="0.35">
      <c r="A62" s="247" t="s">
        <v>2824</v>
      </c>
      <c r="B62" s="132"/>
      <c r="K62" s="207"/>
    </row>
    <row r="63" spans="1:21" x14ac:dyDescent="0.3">
      <c r="A63" s="247" t="s">
        <v>2826</v>
      </c>
      <c r="B63" s="132"/>
    </row>
    <row r="64" spans="1:21" x14ac:dyDescent="0.3">
      <c r="A64" s="247" t="s">
        <v>2824</v>
      </c>
      <c r="B64" s="132"/>
    </row>
    <row r="65" spans="1:41" ht="19.5" customHeight="1" x14ac:dyDescent="0.3">
      <c r="A65" s="247" t="s">
        <v>2825</v>
      </c>
      <c r="B65" s="132"/>
      <c r="K65" s="286"/>
      <c r="L65" s="286"/>
      <c r="M65" s="286"/>
      <c r="N65" s="286"/>
      <c r="O65" s="286"/>
      <c r="P65" s="286"/>
      <c r="Q65" s="286"/>
      <c r="R65" s="286"/>
      <c r="S65" s="286"/>
      <c r="T65" s="286"/>
    </row>
    <row r="66" spans="1:41" ht="83.25" customHeight="1" x14ac:dyDescent="0.3">
      <c r="A66" s="247" t="s">
        <v>2827</v>
      </c>
      <c r="B66" s="132"/>
      <c r="K66" s="287"/>
      <c r="L66" s="287"/>
      <c r="M66" s="287"/>
      <c r="N66" s="287"/>
      <c r="O66" s="287"/>
      <c r="P66" s="287"/>
      <c r="Q66" s="287"/>
      <c r="R66" s="287"/>
      <c r="S66" s="287"/>
      <c r="T66" s="287"/>
    </row>
    <row r="67" spans="1:41" x14ac:dyDescent="0.3">
      <c r="A67" s="247" t="s">
        <v>2824</v>
      </c>
      <c r="B67" s="132"/>
      <c r="M67" s="95"/>
      <c r="N67" s="95"/>
      <c r="O67" s="95"/>
      <c r="P67" s="95"/>
      <c r="Q67" s="95"/>
      <c r="R67" s="95"/>
      <c r="S67" s="95"/>
      <c r="T67" s="95"/>
    </row>
    <row r="68" spans="1:41" x14ac:dyDescent="0.3">
      <c r="A68" s="247" t="s">
        <v>2826</v>
      </c>
      <c r="B68" s="132"/>
      <c r="L68" s="95"/>
      <c r="M68" s="95"/>
      <c r="N68" s="95"/>
      <c r="O68" s="95"/>
      <c r="P68" s="95"/>
      <c r="Q68" s="95"/>
      <c r="R68" s="95"/>
      <c r="S68" s="95"/>
      <c r="T68" s="95"/>
    </row>
    <row r="69" spans="1:41" ht="42" customHeight="1" x14ac:dyDescent="0.3">
      <c r="A69" s="247" t="s">
        <v>2824</v>
      </c>
      <c r="B69" s="132"/>
    </row>
    <row r="70" spans="1:41" ht="27.75" customHeight="1" x14ac:dyDescent="0.3">
      <c r="A70" s="247" t="s">
        <v>2824</v>
      </c>
      <c r="B70" s="132"/>
      <c r="K70" s="285"/>
      <c r="L70" s="285"/>
      <c r="M70" s="285"/>
      <c r="N70" s="285"/>
      <c r="O70" s="285"/>
      <c r="P70" s="285"/>
      <c r="Q70" s="285"/>
      <c r="R70" s="285"/>
      <c r="S70" s="285"/>
      <c r="T70" s="285"/>
    </row>
    <row r="71" spans="1:41" x14ac:dyDescent="0.3">
      <c r="A71" s="247" t="s">
        <v>2826</v>
      </c>
      <c r="B71" s="132"/>
      <c r="K71" s="40"/>
      <c r="L71" s="95"/>
      <c r="M71" s="95"/>
      <c r="N71" s="95"/>
      <c r="O71" s="95"/>
      <c r="P71" s="95"/>
      <c r="Q71" s="95"/>
      <c r="R71" s="95"/>
      <c r="S71" s="95"/>
      <c r="T71" s="95"/>
      <c r="U71">
        <f>COUNTA(L73:AN80)</f>
        <v>192</v>
      </c>
    </row>
    <row r="72" spans="1:41" x14ac:dyDescent="0.3">
      <c r="A72" s="247" t="s">
        <v>2824</v>
      </c>
      <c r="B72" s="132"/>
      <c r="K72" s="40"/>
      <c r="L72" s="95"/>
      <c r="M72" s="95"/>
      <c r="N72" s="95"/>
      <c r="O72" s="95"/>
      <c r="P72" s="95"/>
      <c r="Q72" s="95"/>
      <c r="R72" s="95"/>
      <c r="S72" s="95"/>
      <c r="T72" s="95"/>
    </row>
    <row r="73" spans="1:41" x14ac:dyDescent="0.3">
      <c r="A73" s="247" t="s">
        <v>2826</v>
      </c>
      <c r="B73" s="132"/>
      <c r="J73" s="165" t="s">
        <v>2261</v>
      </c>
      <c r="K73" s="165"/>
      <c r="L73" s="165" t="s">
        <v>1439</v>
      </c>
      <c r="M73" s="165" t="s">
        <v>1439</v>
      </c>
      <c r="N73" s="165" t="s">
        <v>1439</v>
      </c>
      <c r="O73" s="165" t="s">
        <v>1444</v>
      </c>
      <c r="P73" s="165" t="s">
        <v>1439</v>
      </c>
      <c r="Q73" s="165" t="s">
        <v>1439</v>
      </c>
      <c r="R73" s="165" t="s">
        <v>1439</v>
      </c>
      <c r="S73" s="165" t="s">
        <v>1439</v>
      </c>
      <c r="T73" s="165" t="s">
        <v>1444</v>
      </c>
      <c r="U73" s="165" t="s">
        <v>1445</v>
      </c>
      <c r="V73" s="165" t="s">
        <v>1439</v>
      </c>
      <c r="W73" s="165" t="s">
        <v>1440</v>
      </c>
      <c r="X73" s="165" t="s">
        <v>1439</v>
      </c>
      <c r="Y73" s="165"/>
      <c r="Z73" s="165" t="s">
        <v>1440</v>
      </c>
      <c r="AA73" s="165" t="s">
        <v>1440</v>
      </c>
      <c r="AB73" s="165" t="s">
        <v>1440</v>
      </c>
      <c r="AC73" s="165"/>
      <c r="AD73" s="165" t="s">
        <v>1440</v>
      </c>
      <c r="AE73" s="165" t="s">
        <v>1440</v>
      </c>
      <c r="AF73" s="165" t="s">
        <v>1440</v>
      </c>
      <c r="AG73" s="165" t="s">
        <v>1439</v>
      </c>
      <c r="AH73" s="165" t="s">
        <v>1440</v>
      </c>
      <c r="AI73" s="165"/>
      <c r="AJ73" s="165"/>
      <c r="AK73" s="165" t="s">
        <v>1439</v>
      </c>
      <c r="AL73" s="165" t="s">
        <v>1440</v>
      </c>
      <c r="AM73" s="165" t="s">
        <v>1445</v>
      </c>
      <c r="AN73" s="165"/>
      <c r="AO73" s="165"/>
    </row>
    <row r="74" spans="1:41" x14ac:dyDescent="0.3">
      <c r="A74" s="247" t="s">
        <v>2826</v>
      </c>
      <c r="B74" s="132"/>
      <c r="J74" s="165" t="s">
        <v>2262</v>
      </c>
      <c r="K74" s="165"/>
      <c r="L74" s="165" t="s">
        <v>1440</v>
      </c>
      <c r="M74" s="165" t="s">
        <v>1440</v>
      </c>
      <c r="N74" s="165" t="s">
        <v>1440</v>
      </c>
      <c r="O74" s="165" t="s">
        <v>1439</v>
      </c>
      <c r="P74" s="165" t="s">
        <v>1445</v>
      </c>
      <c r="Q74" s="165" t="s">
        <v>1439</v>
      </c>
      <c r="R74" s="165" t="s">
        <v>1440</v>
      </c>
      <c r="S74" s="165" t="s">
        <v>1440</v>
      </c>
      <c r="T74" s="165" t="s">
        <v>1439</v>
      </c>
      <c r="U74" s="165" t="s">
        <v>1440</v>
      </c>
      <c r="V74" s="165" t="s">
        <v>1440</v>
      </c>
      <c r="W74" s="165" t="s">
        <v>1440</v>
      </c>
      <c r="X74" s="165" t="s">
        <v>1440</v>
      </c>
      <c r="Y74" s="165"/>
      <c r="Z74" s="165" t="s">
        <v>1440</v>
      </c>
      <c r="AA74" s="165" t="s">
        <v>1440</v>
      </c>
      <c r="AB74" s="165" t="s">
        <v>1440</v>
      </c>
      <c r="AC74" s="165"/>
      <c r="AD74" s="165" t="s">
        <v>1439</v>
      </c>
      <c r="AE74" s="165" t="s">
        <v>1440</v>
      </c>
      <c r="AF74" s="165" t="s">
        <v>1440</v>
      </c>
      <c r="AG74" s="165" t="s">
        <v>1439</v>
      </c>
      <c r="AH74" s="165" t="s">
        <v>1440</v>
      </c>
      <c r="AI74" s="165"/>
      <c r="AJ74" s="165"/>
      <c r="AK74" s="165" t="s">
        <v>1440</v>
      </c>
      <c r="AL74" s="165" t="s">
        <v>1440</v>
      </c>
      <c r="AM74" s="165" t="s">
        <v>1445</v>
      </c>
      <c r="AN74" s="165"/>
      <c r="AO74" s="165"/>
    </row>
    <row r="75" spans="1:41" x14ac:dyDescent="0.3">
      <c r="A75" s="247" t="s">
        <v>2826</v>
      </c>
      <c r="B75" s="132"/>
      <c r="J75" s="165" t="s">
        <v>2263</v>
      </c>
      <c r="K75" s="165"/>
      <c r="L75" s="165" t="s">
        <v>1440</v>
      </c>
      <c r="M75" s="165" t="s">
        <v>1440</v>
      </c>
      <c r="N75" s="165" t="s">
        <v>1439</v>
      </c>
      <c r="O75" s="165" t="s">
        <v>1439</v>
      </c>
      <c r="P75" s="165" t="s">
        <v>1439</v>
      </c>
      <c r="Q75" s="165" t="s">
        <v>1456</v>
      </c>
      <c r="R75" s="165" t="s">
        <v>1444</v>
      </c>
      <c r="S75" s="165" t="s">
        <v>1444</v>
      </c>
      <c r="T75" s="165" t="s">
        <v>1444</v>
      </c>
      <c r="U75" s="165" t="s">
        <v>1439</v>
      </c>
      <c r="V75" s="165" t="s">
        <v>1439</v>
      </c>
      <c r="W75" s="165" t="s">
        <v>1440</v>
      </c>
      <c r="X75" s="165" t="s">
        <v>1439</v>
      </c>
      <c r="Y75" s="165"/>
      <c r="Z75" s="165" t="s">
        <v>1440</v>
      </c>
      <c r="AA75" s="165" t="s">
        <v>1440</v>
      </c>
      <c r="AB75" s="165" t="s">
        <v>1440</v>
      </c>
      <c r="AC75" s="165"/>
      <c r="AD75" s="165" t="s">
        <v>1439</v>
      </c>
      <c r="AE75" s="165" t="s">
        <v>1439</v>
      </c>
      <c r="AF75" s="165" t="s">
        <v>1440</v>
      </c>
      <c r="AG75" s="165" t="s">
        <v>1439</v>
      </c>
      <c r="AH75" s="165" t="s">
        <v>1440</v>
      </c>
      <c r="AI75" s="165"/>
      <c r="AJ75" s="165"/>
      <c r="AK75" s="165" t="s">
        <v>1439</v>
      </c>
      <c r="AL75" s="165" t="s">
        <v>1439</v>
      </c>
      <c r="AM75" s="165" t="s">
        <v>1440</v>
      </c>
      <c r="AN75" s="165"/>
      <c r="AO75" s="165"/>
    </row>
    <row r="76" spans="1:41" x14ac:dyDescent="0.3">
      <c r="A76" s="247" t="s">
        <v>2825</v>
      </c>
      <c r="B76" s="132"/>
      <c r="J76" s="165" t="s">
        <v>2264</v>
      </c>
      <c r="K76" s="165"/>
      <c r="L76" s="165" t="s">
        <v>1445</v>
      </c>
      <c r="M76" s="165" t="s">
        <v>1444</v>
      </c>
      <c r="N76" s="165" t="s">
        <v>1440</v>
      </c>
      <c r="O76" s="165" t="s">
        <v>1440</v>
      </c>
      <c r="P76" s="165" t="s">
        <v>1445</v>
      </c>
      <c r="Q76" s="165" t="s">
        <v>1444</v>
      </c>
      <c r="R76" s="165" t="s">
        <v>1440</v>
      </c>
      <c r="S76" s="165" t="s">
        <v>1440</v>
      </c>
      <c r="T76" s="165" t="s">
        <v>1439</v>
      </c>
      <c r="U76" s="165" t="s">
        <v>1445</v>
      </c>
      <c r="V76" s="165" t="s">
        <v>1440</v>
      </c>
      <c r="W76" s="165" t="s">
        <v>1440</v>
      </c>
      <c r="X76" s="165" t="s">
        <v>1440</v>
      </c>
      <c r="Y76" s="165"/>
      <c r="Z76" s="165" t="s">
        <v>1440</v>
      </c>
      <c r="AA76" s="165" t="s">
        <v>1439</v>
      </c>
      <c r="AB76" s="165" t="s">
        <v>1440</v>
      </c>
      <c r="AC76" s="165"/>
      <c r="AD76" s="165" t="s">
        <v>1440</v>
      </c>
      <c r="AE76" s="165" t="s">
        <v>1440</v>
      </c>
      <c r="AF76" s="165" t="s">
        <v>1440</v>
      </c>
      <c r="AG76" s="165" t="s">
        <v>1439</v>
      </c>
      <c r="AH76" s="165" t="s">
        <v>1445</v>
      </c>
      <c r="AI76" s="165"/>
      <c r="AJ76" s="165"/>
      <c r="AK76" s="165" t="s">
        <v>1439</v>
      </c>
      <c r="AL76" s="165" t="s">
        <v>1445</v>
      </c>
      <c r="AM76" s="165" t="s">
        <v>1440</v>
      </c>
      <c r="AN76" s="165"/>
      <c r="AO76" s="165"/>
    </row>
    <row r="77" spans="1:41" x14ac:dyDescent="0.3">
      <c r="A77" s="247" t="s">
        <v>2824</v>
      </c>
      <c r="B77" s="132"/>
      <c r="J77" s="165" t="s">
        <v>2265</v>
      </c>
      <c r="K77" s="165"/>
      <c r="L77" s="165" t="s">
        <v>1439</v>
      </c>
      <c r="M77" s="165" t="s">
        <v>1444</v>
      </c>
      <c r="N77" s="165" t="s">
        <v>1440</v>
      </c>
      <c r="O77" s="165" t="s">
        <v>1439</v>
      </c>
      <c r="P77" s="165" t="s">
        <v>1439</v>
      </c>
      <c r="Q77" s="165" t="s">
        <v>1444</v>
      </c>
      <c r="R77" s="165" t="s">
        <v>1444</v>
      </c>
      <c r="S77" s="165" t="s">
        <v>1444</v>
      </c>
      <c r="T77" s="165" t="s">
        <v>1439</v>
      </c>
      <c r="U77" s="165" t="s">
        <v>1439</v>
      </c>
      <c r="V77" s="165" t="s">
        <v>1439</v>
      </c>
      <c r="W77" s="165" t="s">
        <v>1440</v>
      </c>
      <c r="X77" s="165" t="s">
        <v>1444</v>
      </c>
      <c r="Y77" s="165"/>
      <c r="Z77" s="165" t="s">
        <v>1440</v>
      </c>
      <c r="AA77" s="165" t="s">
        <v>1439</v>
      </c>
      <c r="AB77" s="165" t="s">
        <v>1440</v>
      </c>
      <c r="AC77" s="165"/>
      <c r="AD77" s="165" t="s">
        <v>1439</v>
      </c>
      <c r="AE77" s="165" t="s">
        <v>1439</v>
      </c>
      <c r="AF77" s="165" t="s">
        <v>1439</v>
      </c>
      <c r="AG77" s="165" t="s">
        <v>1440</v>
      </c>
      <c r="AH77" s="165" t="s">
        <v>1439</v>
      </c>
      <c r="AI77" s="165"/>
      <c r="AJ77" s="165"/>
      <c r="AK77" s="165" t="s">
        <v>1439</v>
      </c>
      <c r="AL77" s="165" t="s">
        <v>1456</v>
      </c>
      <c r="AM77" s="165" t="s">
        <v>1440</v>
      </c>
      <c r="AN77" s="165"/>
      <c r="AO77" s="165"/>
    </row>
    <row r="78" spans="1:41" x14ac:dyDescent="0.3">
      <c r="A78" s="247" t="s">
        <v>2825</v>
      </c>
      <c r="B78" s="132"/>
      <c r="J78" s="165" t="s">
        <v>2266</v>
      </c>
      <c r="K78" s="165"/>
      <c r="L78" s="165" t="s">
        <v>1440</v>
      </c>
      <c r="M78" s="165" t="s">
        <v>1439</v>
      </c>
      <c r="N78" s="165" t="s">
        <v>1439</v>
      </c>
      <c r="O78" s="165" t="s">
        <v>1439</v>
      </c>
      <c r="P78" s="165" t="s">
        <v>1439</v>
      </c>
      <c r="Q78" s="165" t="s">
        <v>1439</v>
      </c>
      <c r="R78" s="165" t="s">
        <v>1445</v>
      </c>
      <c r="S78" s="165" t="s">
        <v>1439</v>
      </c>
      <c r="T78" s="165" t="s">
        <v>1440</v>
      </c>
      <c r="U78" s="165" t="s">
        <v>1440</v>
      </c>
      <c r="V78" s="165" t="s">
        <v>1444</v>
      </c>
      <c r="W78" s="165" t="s">
        <v>1440</v>
      </c>
      <c r="X78" s="165" t="s">
        <v>1439</v>
      </c>
      <c r="Y78" s="165"/>
      <c r="Z78" s="165" t="s">
        <v>1440</v>
      </c>
      <c r="AA78" s="165" t="s">
        <v>1439</v>
      </c>
      <c r="AB78" s="165" t="s">
        <v>1445</v>
      </c>
      <c r="AC78" s="165"/>
      <c r="AD78" s="165" t="s">
        <v>1439</v>
      </c>
      <c r="AE78" s="165" t="s">
        <v>1440</v>
      </c>
      <c r="AF78" s="165" t="s">
        <v>1445</v>
      </c>
      <c r="AG78" s="165" t="s">
        <v>1439</v>
      </c>
      <c r="AH78" s="165" t="s">
        <v>1439</v>
      </c>
      <c r="AI78" s="165"/>
      <c r="AJ78" s="165"/>
      <c r="AK78" s="165" t="s">
        <v>1440</v>
      </c>
      <c r="AL78" s="165" t="s">
        <v>1444</v>
      </c>
      <c r="AM78" s="165" t="s">
        <v>1445</v>
      </c>
      <c r="AN78" s="165"/>
      <c r="AO78" s="165"/>
    </row>
    <row r="79" spans="1:41" x14ac:dyDescent="0.3">
      <c r="A79" s="247" t="s">
        <v>2826</v>
      </c>
      <c r="B79" s="132"/>
      <c r="J79" s="165" t="s">
        <v>2267</v>
      </c>
      <c r="K79" s="165"/>
      <c r="L79" s="165" t="s">
        <v>1439</v>
      </c>
      <c r="M79" s="165" t="s">
        <v>1439</v>
      </c>
      <c r="N79" s="165" t="s">
        <v>1440</v>
      </c>
      <c r="O79" s="165" t="s">
        <v>1439</v>
      </c>
      <c r="P79" s="165" t="s">
        <v>1439</v>
      </c>
      <c r="Q79" s="165" t="s">
        <v>1440</v>
      </c>
      <c r="R79" s="165" t="s">
        <v>1444</v>
      </c>
      <c r="S79" s="165" t="s">
        <v>1439</v>
      </c>
      <c r="T79" s="165" t="s">
        <v>1439</v>
      </c>
      <c r="U79" s="165" t="s">
        <v>1439</v>
      </c>
      <c r="V79" s="165" t="s">
        <v>1440</v>
      </c>
      <c r="W79" s="165" t="s">
        <v>1440</v>
      </c>
      <c r="X79" s="165" t="s">
        <v>1456</v>
      </c>
      <c r="Y79" s="165"/>
      <c r="Z79" s="165" t="s">
        <v>1440</v>
      </c>
      <c r="AA79" s="165" t="s">
        <v>1439</v>
      </c>
      <c r="AB79" s="165" t="s">
        <v>1440</v>
      </c>
      <c r="AC79" s="165"/>
      <c r="AD79" s="165" t="s">
        <v>1444</v>
      </c>
      <c r="AE79" s="165" t="s">
        <v>1440</v>
      </c>
      <c r="AF79" s="165" t="s">
        <v>1439</v>
      </c>
      <c r="AG79" s="165" t="s">
        <v>1439</v>
      </c>
      <c r="AH79" s="165" t="s">
        <v>1439</v>
      </c>
      <c r="AI79" s="165"/>
      <c r="AJ79" s="165"/>
      <c r="AK79" s="165" t="s">
        <v>1445</v>
      </c>
      <c r="AL79" s="165" t="s">
        <v>1444</v>
      </c>
      <c r="AM79" s="165" t="s">
        <v>1445</v>
      </c>
      <c r="AN79" s="165"/>
      <c r="AO79" s="165"/>
    </row>
    <row r="80" spans="1:41" x14ac:dyDescent="0.3">
      <c r="A80" s="247" t="s">
        <v>2826</v>
      </c>
      <c r="B80" s="132"/>
      <c r="J80" s="165" t="s">
        <v>2268</v>
      </c>
      <c r="K80" s="165"/>
      <c r="L80" s="165" t="s">
        <v>1440</v>
      </c>
      <c r="M80" s="165" t="s">
        <v>1445</v>
      </c>
      <c r="N80" s="165" t="s">
        <v>1445</v>
      </c>
      <c r="O80" s="165" t="s">
        <v>1445</v>
      </c>
      <c r="P80" s="165" t="s">
        <v>1445</v>
      </c>
      <c r="Q80" s="165" t="s">
        <v>1440</v>
      </c>
      <c r="R80" s="165" t="s">
        <v>1439</v>
      </c>
      <c r="S80" s="165" t="s">
        <v>1440</v>
      </c>
      <c r="T80" s="165" t="s">
        <v>1445</v>
      </c>
      <c r="U80" s="165" t="s">
        <v>1445</v>
      </c>
      <c r="V80" s="165" t="s">
        <v>1440</v>
      </c>
      <c r="W80" s="165" t="s">
        <v>1445</v>
      </c>
      <c r="X80" s="165" t="s">
        <v>1439</v>
      </c>
      <c r="Y80" s="165"/>
      <c r="Z80" s="165" t="s">
        <v>1440</v>
      </c>
      <c r="AA80" s="165" t="s">
        <v>1440</v>
      </c>
      <c r="AB80" s="165" t="s">
        <v>1440</v>
      </c>
      <c r="AC80" s="165"/>
      <c r="AD80" s="165" t="s">
        <v>1439</v>
      </c>
      <c r="AE80" s="165" t="s">
        <v>1440</v>
      </c>
      <c r="AF80" s="165" t="s">
        <v>1439</v>
      </c>
      <c r="AG80" s="165" t="s">
        <v>1440</v>
      </c>
      <c r="AH80" s="165" t="s">
        <v>1440</v>
      </c>
      <c r="AI80" s="165"/>
      <c r="AJ80" s="165"/>
      <c r="AK80" s="165" t="s">
        <v>1445</v>
      </c>
      <c r="AL80" s="165" t="s">
        <v>1439</v>
      </c>
      <c r="AM80" s="165" t="s">
        <v>1445</v>
      </c>
      <c r="AN80" s="165"/>
      <c r="AO80" s="165"/>
    </row>
    <row r="81" spans="1:41" x14ac:dyDescent="0.3">
      <c r="A81" s="247" t="s">
        <v>2827</v>
      </c>
      <c r="B81" s="132"/>
      <c r="J81" s="165"/>
      <c r="K81" s="165"/>
      <c r="L81" s="165"/>
      <c r="M81" s="165"/>
      <c r="N81" s="165"/>
      <c r="O81" s="165"/>
      <c r="P81" s="165"/>
      <c r="Q81" s="165"/>
      <c r="R81" s="165"/>
      <c r="S81" s="165"/>
      <c r="T81" s="165"/>
      <c r="U81" s="165"/>
      <c r="V81" s="165"/>
      <c r="W81" s="165"/>
      <c r="X81" s="165"/>
      <c r="Y81" s="165"/>
      <c r="Z81" s="165"/>
      <c r="AA81" s="165"/>
      <c r="AB81" s="165"/>
      <c r="AC81" s="165"/>
      <c r="AD81" s="165"/>
      <c r="AE81" s="165"/>
      <c r="AF81" s="165"/>
      <c r="AG81" s="165"/>
      <c r="AH81" s="165"/>
      <c r="AI81" s="165"/>
      <c r="AJ81" s="165"/>
      <c r="AK81" s="165"/>
      <c r="AL81" s="165"/>
      <c r="AM81" s="165"/>
      <c r="AN81" s="165"/>
      <c r="AO81" s="165"/>
    </row>
    <row r="82" spans="1:41" x14ac:dyDescent="0.3">
      <c r="A82" s="247" t="s">
        <v>2826</v>
      </c>
      <c r="B82" s="132"/>
      <c r="K82" t="s">
        <v>2269</v>
      </c>
      <c r="L82" t="s">
        <v>1444</v>
      </c>
      <c r="M82" t="s">
        <v>1439</v>
      </c>
      <c r="N82" t="s">
        <v>1440</v>
      </c>
      <c r="O82" t="s">
        <v>1445</v>
      </c>
      <c r="S82" s="165" t="s">
        <v>2269</v>
      </c>
      <c r="T82" s="165" t="s">
        <v>1444</v>
      </c>
      <c r="U82" s="165" t="s">
        <v>1439</v>
      </c>
      <c r="V82" s="165" t="s">
        <v>1440</v>
      </c>
      <c r="W82" s="165" t="s">
        <v>1445</v>
      </c>
      <c r="X82" t="s">
        <v>2270</v>
      </c>
      <c r="Y82" t="s">
        <v>2270</v>
      </c>
    </row>
    <row r="83" spans="1:41" x14ac:dyDescent="0.3">
      <c r="A83" s="247" t="s">
        <v>2824</v>
      </c>
      <c r="B83" s="132"/>
      <c r="J83" s="165" t="s">
        <v>2261</v>
      </c>
      <c r="K83">
        <f t="shared" ref="K83:O90" si="4">COUNTIF($L73:$AO73,K$82)</f>
        <v>0</v>
      </c>
      <c r="L83" s="165">
        <f t="shared" si="4"/>
        <v>2</v>
      </c>
      <c r="M83" s="165">
        <f t="shared" si="4"/>
        <v>11</v>
      </c>
      <c r="N83" s="165">
        <f t="shared" si="4"/>
        <v>9</v>
      </c>
      <c r="O83" s="165">
        <f t="shared" si="4"/>
        <v>2</v>
      </c>
      <c r="R83" s="165" t="s">
        <v>2728</v>
      </c>
      <c r="S83" s="24">
        <v>4.1666666666666664E-2</v>
      </c>
      <c r="T83" s="24">
        <v>0.20833333333333334</v>
      </c>
      <c r="U83" s="24">
        <v>0.5</v>
      </c>
      <c r="V83" s="24">
        <v>0.25</v>
      </c>
      <c r="W83" s="24">
        <v>0</v>
      </c>
      <c r="Y83" s="29">
        <v>0.25</v>
      </c>
    </row>
    <row r="84" spans="1:41" x14ac:dyDescent="0.3">
      <c r="A84" s="247" t="s">
        <v>2825</v>
      </c>
      <c r="B84" s="132"/>
      <c r="J84" s="165" t="s">
        <v>2262</v>
      </c>
      <c r="K84" s="165">
        <f t="shared" si="4"/>
        <v>0</v>
      </c>
      <c r="L84" s="165">
        <f t="shared" si="4"/>
        <v>0</v>
      </c>
      <c r="M84" s="165">
        <f t="shared" si="4"/>
        <v>5</v>
      </c>
      <c r="N84" s="165">
        <f t="shared" si="4"/>
        <v>17</v>
      </c>
      <c r="O84" s="165">
        <f t="shared" si="4"/>
        <v>2</v>
      </c>
      <c r="P84" s="165"/>
      <c r="R84" s="165" t="s">
        <v>2727</v>
      </c>
      <c r="S84" s="24">
        <v>4.1666666666666664E-2</v>
      </c>
      <c r="T84" s="24">
        <v>0.125</v>
      </c>
      <c r="U84" s="24">
        <v>0.45833333333333331</v>
      </c>
      <c r="V84" s="24">
        <v>0.375</v>
      </c>
      <c r="W84" s="24">
        <v>0</v>
      </c>
      <c r="Y84" s="29">
        <v>0.375</v>
      </c>
    </row>
    <row r="85" spans="1:41" x14ac:dyDescent="0.3">
      <c r="A85" s="247" t="s">
        <v>2824</v>
      </c>
      <c r="B85" s="132"/>
      <c r="J85" s="165" t="s">
        <v>2263</v>
      </c>
      <c r="K85" s="165">
        <f t="shared" si="4"/>
        <v>1</v>
      </c>
      <c r="L85" s="165">
        <f t="shared" si="4"/>
        <v>3</v>
      </c>
      <c r="M85" s="165">
        <f t="shared" si="4"/>
        <v>11</v>
      </c>
      <c r="N85" s="165">
        <f t="shared" si="4"/>
        <v>9</v>
      </c>
      <c r="O85" s="165">
        <f t="shared" si="4"/>
        <v>0</v>
      </c>
      <c r="P85" s="165"/>
      <c r="R85" s="165" t="s">
        <v>2723</v>
      </c>
      <c r="S85" s="24">
        <v>4.1666666666666664E-2</v>
      </c>
      <c r="T85" s="24">
        <v>0.125</v>
      </c>
      <c r="U85" s="24">
        <v>0.45833333333333331</v>
      </c>
      <c r="V85" s="24">
        <v>0.29166666666666669</v>
      </c>
      <c r="W85" s="24">
        <v>8.3333333333333329E-2</v>
      </c>
      <c r="Y85" s="29">
        <v>0.375</v>
      </c>
    </row>
    <row r="86" spans="1:41" x14ac:dyDescent="0.3">
      <c r="A86" s="247" t="s">
        <v>2827</v>
      </c>
      <c r="B86" s="132"/>
      <c r="J86" s="165" t="s">
        <v>2264</v>
      </c>
      <c r="K86" s="165">
        <f t="shared" si="4"/>
        <v>0</v>
      </c>
      <c r="L86" s="165">
        <f t="shared" si="4"/>
        <v>2</v>
      </c>
      <c r="M86" s="165">
        <f t="shared" si="4"/>
        <v>4</v>
      </c>
      <c r="N86" s="165">
        <f t="shared" si="4"/>
        <v>13</v>
      </c>
      <c r="O86" s="165">
        <f t="shared" si="4"/>
        <v>5</v>
      </c>
      <c r="P86" s="165"/>
      <c r="R86" s="165" t="s">
        <v>2722</v>
      </c>
      <c r="S86" s="24">
        <v>0</v>
      </c>
      <c r="T86" s="24">
        <v>8.3333333333333329E-2</v>
      </c>
      <c r="U86" s="24">
        <v>0.45833333333333331</v>
      </c>
      <c r="V86" s="24">
        <v>0.375</v>
      </c>
      <c r="W86" s="24">
        <v>8.3333333333333329E-2</v>
      </c>
      <c r="Y86" s="29">
        <v>0.45833333333333331</v>
      </c>
    </row>
    <row r="87" spans="1:41" x14ac:dyDescent="0.3">
      <c r="A87" s="247" t="s">
        <v>2826</v>
      </c>
      <c r="B87" s="132"/>
      <c r="J87" s="165" t="s">
        <v>2265</v>
      </c>
      <c r="K87" s="165">
        <f t="shared" si="4"/>
        <v>1</v>
      </c>
      <c r="L87" s="165">
        <f t="shared" si="4"/>
        <v>5</v>
      </c>
      <c r="M87" s="165">
        <f t="shared" si="4"/>
        <v>12</v>
      </c>
      <c r="N87" s="165">
        <f t="shared" si="4"/>
        <v>6</v>
      </c>
      <c r="O87" s="165">
        <f t="shared" si="4"/>
        <v>0</v>
      </c>
      <c r="P87" s="165"/>
      <c r="R87" s="165" t="s">
        <v>2721</v>
      </c>
      <c r="S87" s="24">
        <v>0</v>
      </c>
      <c r="T87" s="24">
        <v>8.3333333333333329E-2</v>
      </c>
      <c r="U87" s="24">
        <v>0.45833333333333331</v>
      </c>
      <c r="V87" s="24">
        <v>0.29166666666666669</v>
      </c>
      <c r="W87" s="24">
        <v>0.16666666666666666</v>
      </c>
      <c r="Y87" s="29">
        <v>0.45833333333333337</v>
      </c>
    </row>
    <row r="88" spans="1:41" x14ac:dyDescent="0.3">
      <c r="A88" s="247" t="s">
        <v>2825</v>
      </c>
      <c r="B88" s="132"/>
      <c r="J88" s="165" t="s">
        <v>2266</v>
      </c>
      <c r="K88" s="165">
        <f t="shared" si="4"/>
        <v>0</v>
      </c>
      <c r="L88" s="165">
        <f t="shared" si="4"/>
        <v>2</v>
      </c>
      <c r="M88" s="165">
        <f t="shared" si="4"/>
        <v>11</v>
      </c>
      <c r="N88" s="165">
        <f t="shared" si="4"/>
        <v>7</v>
      </c>
      <c r="O88" s="165">
        <f t="shared" si="4"/>
        <v>4</v>
      </c>
      <c r="P88" s="165"/>
      <c r="R88" s="165" t="s">
        <v>2720</v>
      </c>
      <c r="S88" s="24">
        <v>0</v>
      </c>
      <c r="T88" s="24">
        <v>0</v>
      </c>
      <c r="U88" s="24">
        <v>0.20833333333333334</v>
      </c>
      <c r="V88" s="24">
        <v>0.70833333333333337</v>
      </c>
      <c r="W88" s="24">
        <v>8.3333333333333329E-2</v>
      </c>
      <c r="Y88" s="29">
        <v>0.79166666666666674</v>
      </c>
    </row>
    <row r="89" spans="1:41" x14ac:dyDescent="0.3">
      <c r="A89" s="247" t="s">
        <v>2826</v>
      </c>
      <c r="B89" s="132"/>
      <c r="J89" s="165" t="s">
        <v>2267</v>
      </c>
      <c r="K89" s="165">
        <f t="shared" si="4"/>
        <v>1</v>
      </c>
      <c r="L89" s="165">
        <f t="shared" si="4"/>
        <v>3</v>
      </c>
      <c r="M89" s="165">
        <f t="shared" si="4"/>
        <v>11</v>
      </c>
      <c r="N89" s="165">
        <f t="shared" si="4"/>
        <v>7</v>
      </c>
      <c r="O89" s="165">
        <f t="shared" si="4"/>
        <v>2</v>
      </c>
      <c r="P89" s="165"/>
      <c r="R89" s="165" t="s">
        <v>2719</v>
      </c>
      <c r="S89" s="24">
        <v>0</v>
      </c>
      <c r="T89" s="24">
        <v>8.3333333333333329E-2</v>
      </c>
      <c r="U89" s="24">
        <v>0.16666666666666666</v>
      </c>
      <c r="V89" s="24">
        <v>0.54166666666666663</v>
      </c>
      <c r="W89" s="24">
        <v>0.20833333333333334</v>
      </c>
      <c r="Y89" s="29">
        <v>0.79500000000000004</v>
      </c>
    </row>
    <row r="90" spans="1:41" x14ac:dyDescent="0.3">
      <c r="A90" s="247" t="s">
        <v>2825</v>
      </c>
      <c r="B90" s="132"/>
      <c r="J90" s="165" t="s">
        <v>2268</v>
      </c>
      <c r="K90" s="165">
        <f t="shared" si="4"/>
        <v>0</v>
      </c>
      <c r="L90" s="165">
        <f t="shared" si="4"/>
        <v>0</v>
      </c>
      <c r="M90" s="165">
        <f t="shared" si="4"/>
        <v>5</v>
      </c>
      <c r="N90" s="165">
        <f t="shared" si="4"/>
        <v>10</v>
      </c>
      <c r="O90" s="165">
        <f t="shared" si="4"/>
        <v>9</v>
      </c>
      <c r="P90" s="165"/>
      <c r="R90" s="165" t="s">
        <v>2718</v>
      </c>
      <c r="S90" s="24">
        <v>0</v>
      </c>
      <c r="T90" s="24">
        <v>0</v>
      </c>
      <c r="U90" s="24">
        <v>0.20833333333333334</v>
      </c>
      <c r="V90" s="24">
        <v>0.41666666666666669</v>
      </c>
      <c r="W90" s="24">
        <v>0.375</v>
      </c>
      <c r="Y90" s="29">
        <v>0.8</v>
      </c>
    </row>
    <row r="91" spans="1:41" x14ac:dyDescent="0.3">
      <c r="A91" s="247" t="s">
        <v>2826</v>
      </c>
      <c r="B91" s="132"/>
    </row>
    <row r="92" spans="1:41" x14ac:dyDescent="0.3">
      <c r="A92" s="247" t="s">
        <v>2825</v>
      </c>
      <c r="B92" s="132"/>
    </row>
    <row r="93" spans="1:41" x14ac:dyDescent="0.3">
      <c r="A93" s="247" t="s">
        <v>2826</v>
      </c>
      <c r="B93" s="132"/>
    </row>
    <row r="94" spans="1:41" x14ac:dyDescent="0.3">
      <c r="A94" s="247" t="s">
        <v>2827</v>
      </c>
      <c r="B94" s="132"/>
    </row>
    <row r="95" spans="1:41" x14ac:dyDescent="0.3">
      <c r="A95" s="247" t="s">
        <v>2815</v>
      </c>
      <c r="B95" s="132"/>
    </row>
    <row r="96" spans="1:41" x14ac:dyDescent="0.3">
      <c r="A96" s="247" t="s">
        <v>2826</v>
      </c>
      <c r="B96" s="132"/>
    </row>
    <row r="97" spans="1:2" x14ac:dyDescent="0.3">
      <c r="A97" s="247" t="s">
        <v>2827</v>
      </c>
      <c r="B97" s="132"/>
    </row>
    <row r="98" spans="1:2" x14ac:dyDescent="0.3">
      <c r="A98" s="247" t="s">
        <v>2826</v>
      </c>
      <c r="B98" s="132"/>
    </row>
    <row r="99" spans="1:2" x14ac:dyDescent="0.3">
      <c r="A99" s="247" t="s">
        <v>2815</v>
      </c>
      <c r="B99" t="s">
        <v>199</v>
      </c>
    </row>
    <row r="100" spans="1:2" x14ac:dyDescent="0.3">
      <c r="A100" s="247" t="s">
        <v>2827</v>
      </c>
    </row>
    <row r="101" spans="1:2" x14ac:dyDescent="0.3">
      <c r="A101" s="247" t="s">
        <v>2825</v>
      </c>
    </row>
    <row r="102" spans="1:2" x14ac:dyDescent="0.3">
      <c r="A102" s="247" t="s">
        <v>2825</v>
      </c>
    </row>
    <row r="103" spans="1:2" x14ac:dyDescent="0.3">
      <c r="A103" s="247" t="s">
        <v>2825</v>
      </c>
    </row>
    <row r="104" spans="1:2" x14ac:dyDescent="0.3">
      <c r="A104" s="247" t="s">
        <v>2815</v>
      </c>
    </row>
    <row r="105" spans="1:2" x14ac:dyDescent="0.3">
      <c r="A105" s="247" t="s">
        <v>2826</v>
      </c>
    </row>
    <row r="106" spans="1:2" x14ac:dyDescent="0.3">
      <c r="A106" s="247" t="s">
        <v>2827</v>
      </c>
    </row>
    <row r="107" spans="1:2" x14ac:dyDescent="0.3">
      <c r="A107" s="247" t="s">
        <v>2815</v>
      </c>
    </row>
    <row r="108" spans="1:2" x14ac:dyDescent="0.3">
      <c r="A108" s="247" t="s">
        <v>2815</v>
      </c>
    </row>
    <row r="109" spans="1:2" x14ac:dyDescent="0.3">
      <c r="A109" s="247" t="s">
        <v>2826</v>
      </c>
    </row>
    <row r="110" spans="1:2" x14ac:dyDescent="0.3">
      <c r="A110" s="247" t="s">
        <v>2825</v>
      </c>
    </row>
    <row r="111" spans="1:2" x14ac:dyDescent="0.3">
      <c r="A111" s="247" t="s">
        <v>2827</v>
      </c>
    </row>
    <row r="112" spans="1:2" x14ac:dyDescent="0.3">
      <c r="A112" s="247" t="s">
        <v>2827</v>
      </c>
    </row>
    <row r="113" spans="1:1" x14ac:dyDescent="0.3">
      <c r="A113" s="247" t="s">
        <v>2825</v>
      </c>
    </row>
    <row r="114" spans="1:1" x14ac:dyDescent="0.3">
      <c r="A114" s="247" t="s">
        <v>2815</v>
      </c>
    </row>
    <row r="115" spans="1:1" x14ac:dyDescent="0.3">
      <c r="A115" s="247" t="s">
        <v>2815</v>
      </c>
    </row>
    <row r="116" spans="1:1" x14ac:dyDescent="0.3">
      <c r="A116" s="247" t="s">
        <v>2825</v>
      </c>
    </row>
    <row r="117" spans="1:1" x14ac:dyDescent="0.3">
      <c r="A117" s="247" t="s">
        <v>2815</v>
      </c>
    </row>
    <row r="118" spans="1:1" x14ac:dyDescent="0.3">
      <c r="A118" s="247" t="s">
        <v>2825</v>
      </c>
    </row>
    <row r="119" spans="1:1" x14ac:dyDescent="0.3">
      <c r="A119" s="247" t="s">
        <v>2815</v>
      </c>
    </row>
    <row r="120" spans="1:1" x14ac:dyDescent="0.3">
      <c r="A120" s="247" t="s">
        <v>2815</v>
      </c>
    </row>
    <row r="121" spans="1:1" x14ac:dyDescent="0.3">
      <c r="A121" s="247" t="s">
        <v>2827</v>
      </c>
    </row>
    <row r="122" spans="1:1" x14ac:dyDescent="0.3">
      <c r="A122" s="247" t="s">
        <v>2815</v>
      </c>
    </row>
    <row r="123" spans="1:1" x14ac:dyDescent="0.3">
      <c r="A123" s="247" t="s">
        <v>2815</v>
      </c>
    </row>
    <row r="124" spans="1:1" x14ac:dyDescent="0.3">
      <c r="A124" s="247" t="s">
        <v>2653</v>
      </c>
    </row>
    <row r="125" spans="1:1" x14ac:dyDescent="0.3">
      <c r="A125" s="247" t="s">
        <v>2825</v>
      </c>
    </row>
    <row r="126" spans="1:1" x14ac:dyDescent="0.3">
      <c r="A126" s="247" t="s">
        <v>2815</v>
      </c>
    </row>
    <row r="127" spans="1:1" x14ac:dyDescent="0.3">
      <c r="A127" s="247" t="s">
        <v>2827</v>
      </c>
    </row>
    <row r="128" spans="1:1" x14ac:dyDescent="0.3">
      <c r="A128" s="247" t="s">
        <v>2827</v>
      </c>
    </row>
    <row r="129" spans="1:1" x14ac:dyDescent="0.3">
      <c r="A129" s="247" t="s">
        <v>2827</v>
      </c>
    </row>
    <row r="130" spans="1:1" x14ac:dyDescent="0.3">
      <c r="A130" s="247" t="s">
        <v>2815</v>
      </c>
    </row>
    <row r="131" spans="1:1" x14ac:dyDescent="0.3">
      <c r="A131" s="247" t="s">
        <v>2815</v>
      </c>
    </row>
  </sheetData>
  <sortState xmlns:xlrd2="http://schemas.microsoft.com/office/spreadsheetml/2017/richdata2" ref="A4:B11">
    <sortCondition descending="1" ref="A4:A11"/>
  </sortState>
  <mergeCells count="6">
    <mergeCell ref="E4:I24"/>
    <mergeCell ref="B2:N2"/>
    <mergeCell ref="K46:T56"/>
    <mergeCell ref="K70:T70"/>
    <mergeCell ref="K65:T65"/>
    <mergeCell ref="K66:T66"/>
  </mergeCells>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F102"/>
  <sheetViews>
    <sheetView showGridLines="0" zoomScaleNormal="100" workbookViewId="0">
      <selection activeCell="B1" sqref="B1"/>
    </sheetView>
  </sheetViews>
  <sheetFormatPr defaultColWidth="8.77734375" defaultRowHeight="14.4" x14ac:dyDescent="0.3"/>
  <cols>
    <col min="1" max="1" width="107.109375" customWidth="1"/>
    <col min="2" max="2" width="46.6640625" customWidth="1"/>
    <col min="3" max="3" width="60.77734375" customWidth="1"/>
    <col min="4" max="4" width="54.33203125" customWidth="1"/>
    <col min="5" max="5" width="91.109375" customWidth="1"/>
    <col min="6" max="6" width="46.77734375" customWidth="1"/>
  </cols>
  <sheetData>
    <row r="1" spans="1:6" x14ac:dyDescent="0.3">
      <c r="A1" s="247" t="s">
        <v>2823</v>
      </c>
      <c r="B1" s="247" t="s">
        <v>2824</v>
      </c>
      <c r="C1" s="247" t="s">
        <v>2825</v>
      </c>
      <c r="D1" s="247"/>
      <c r="E1" s="247"/>
    </row>
    <row r="2" spans="1:6" x14ac:dyDescent="0.3">
      <c r="A2" s="247" t="s">
        <v>2823</v>
      </c>
      <c r="B2" s="247" t="s">
        <v>2824</v>
      </c>
      <c r="C2" s="247" t="s">
        <v>2826</v>
      </c>
      <c r="D2" s="247" t="s">
        <v>2825</v>
      </c>
      <c r="E2" s="247" t="s">
        <v>2827</v>
      </c>
      <c r="F2" t="s">
        <v>2815</v>
      </c>
    </row>
    <row r="3" spans="1:6" x14ac:dyDescent="0.3">
      <c r="A3" s="247" t="s">
        <v>2823</v>
      </c>
      <c r="B3" s="247" t="s">
        <v>2826</v>
      </c>
      <c r="C3" s="247" t="s">
        <v>2825</v>
      </c>
      <c r="D3" s="247" t="s">
        <v>2815</v>
      </c>
      <c r="E3" s="247"/>
    </row>
    <row r="4" spans="1:6" x14ac:dyDescent="0.3">
      <c r="A4" s="247" t="s">
        <v>2823</v>
      </c>
      <c r="B4" s="247" t="s">
        <v>2824</v>
      </c>
      <c r="C4" s="247" t="s">
        <v>2826</v>
      </c>
      <c r="D4" s="247"/>
      <c r="E4" s="247"/>
    </row>
    <row r="5" spans="1:6" x14ac:dyDescent="0.3">
      <c r="A5" s="247" t="s">
        <v>2823</v>
      </c>
      <c r="B5" s="247" t="s">
        <v>2825</v>
      </c>
      <c r="C5" s="247" t="s">
        <v>2827</v>
      </c>
      <c r="D5" s="247" t="s">
        <v>2815</v>
      </c>
      <c r="E5" s="247"/>
    </row>
    <row r="6" spans="1:6" x14ac:dyDescent="0.3">
      <c r="A6" s="247" t="s">
        <v>2826</v>
      </c>
      <c r="B6" s="247" t="s">
        <v>2827</v>
      </c>
      <c r="C6" s="247" t="s">
        <v>2815</v>
      </c>
      <c r="D6" s="247"/>
      <c r="E6" s="247"/>
    </row>
    <row r="7" spans="1:6" x14ac:dyDescent="0.3">
      <c r="A7" s="247" t="s">
        <v>2823</v>
      </c>
      <c r="B7" s="247" t="s">
        <v>2824</v>
      </c>
      <c r="C7" s="247" t="s">
        <v>2826</v>
      </c>
      <c r="D7" s="247" t="s">
        <v>2825</v>
      </c>
      <c r="E7" s="247" t="s">
        <v>2827</v>
      </c>
    </row>
    <row r="8" spans="1:6" x14ac:dyDescent="0.3">
      <c r="A8" s="247" t="s">
        <v>2824</v>
      </c>
      <c r="B8" s="247" t="s">
        <v>2826</v>
      </c>
      <c r="C8" s="247"/>
      <c r="D8" s="247"/>
      <c r="E8" s="247"/>
    </row>
    <row r="9" spans="1:6" x14ac:dyDescent="0.3">
      <c r="A9" s="247" t="s">
        <v>2823</v>
      </c>
      <c r="B9" s="247" t="s">
        <v>2824</v>
      </c>
      <c r="C9" s="247" t="s">
        <v>2827</v>
      </c>
      <c r="D9" s="247" t="s">
        <v>2815</v>
      </c>
      <c r="E9" s="247"/>
    </row>
    <row r="10" spans="1:6" x14ac:dyDescent="0.3">
      <c r="A10" s="247" t="s">
        <v>2823</v>
      </c>
      <c r="B10" s="247" t="s">
        <v>2824</v>
      </c>
      <c r="C10" s="247" t="s">
        <v>2826</v>
      </c>
      <c r="D10" s="247" t="s">
        <v>2825</v>
      </c>
      <c r="E10" s="247"/>
    </row>
    <row r="11" spans="1:6" x14ac:dyDescent="0.3">
      <c r="A11" s="247" t="s">
        <v>2824</v>
      </c>
      <c r="B11" s="247" t="s">
        <v>2826</v>
      </c>
      <c r="C11" s="247" t="s">
        <v>2815</v>
      </c>
      <c r="D11" s="247"/>
      <c r="E11" s="247"/>
    </row>
    <row r="12" spans="1:6" x14ac:dyDescent="0.3">
      <c r="A12" s="247" t="s">
        <v>2823</v>
      </c>
      <c r="B12" s="247" t="s">
        <v>2824</v>
      </c>
      <c r="C12" s="247" t="s">
        <v>2827</v>
      </c>
      <c r="D12" s="247" t="s">
        <v>2815</v>
      </c>
      <c r="E12" s="247"/>
    </row>
    <row r="13" spans="1:6" x14ac:dyDescent="0.3">
      <c r="A13" s="247" t="s">
        <v>2823</v>
      </c>
      <c r="B13" s="247" t="s">
        <v>2826</v>
      </c>
      <c r="C13" s="247" t="s">
        <v>2825</v>
      </c>
      <c r="D13" s="247" t="s">
        <v>2815</v>
      </c>
      <c r="E13" s="247"/>
    </row>
    <row r="14" spans="1:6" x14ac:dyDescent="0.3">
      <c r="A14" s="247" t="s">
        <v>2823</v>
      </c>
      <c r="B14" s="247" t="s">
        <v>2826</v>
      </c>
      <c r="C14" s="247" t="s">
        <v>2825</v>
      </c>
      <c r="D14" s="247" t="s">
        <v>2827</v>
      </c>
      <c r="E14" s="247"/>
    </row>
    <row r="15" spans="1:6" x14ac:dyDescent="0.3">
      <c r="A15" s="247" t="s">
        <v>2824</v>
      </c>
      <c r="B15" t="s">
        <v>2826</v>
      </c>
      <c r="C15" s="247" t="s">
        <v>2825</v>
      </c>
      <c r="D15" s="247" t="s">
        <v>2815</v>
      </c>
      <c r="E15" s="247"/>
    </row>
    <row r="16" spans="1:6" x14ac:dyDescent="0.3">
      <c r="A16" s="247" t="s">
        <v>2823</v>
      </c>
      <c r="B16" t="s">
        <v>2825</v>
      </c>
      <c r="C16" s="247" t="s">
        <v>2815</v>
      </c>
      <c r="D16" s="247"/>
      <c r="E16" s="247"/>
    </row>
    <row r="17" spans="1:6" x14ac:dyDescent="0.3">
      <c r="A17" s="247" t="s">
        <v>2823</v>
      </c>
      <c r="B17" t="s">
        <v>2824</v>
      </c>
      <c r="C17" s="247" t="s">
        <v>2826</v>
      </c>
      <c r="D17" s="247"/>
      <c r="E17" s="247"/>
    </row>
    <row r="18" spans="1:6" x14ac:dyDescent="0.3">
      <c r="A18" s="247" t="s">
        <v>2824</v>
      </c>
      <c r="B18" t="s">
        <v>2825</v>
      </c>
      <c r="C18" s="247"/>
      <c r="D18" s="247"/>
      <c r="E18" s="247"/>
    </row>
    <row r="19" spans="1:6" x14ac:dyDescent="0.3">
      <c r="A19" s="247" t="s">
        <v>2823</v>
      </c>
      <c r="B19" t="s">
        <v>2826</v>
      </c>
      <c r="C19" s="247"/>
      <c r="D19" s="247"/>
      <c r="E19" s="247"/>
    </row>
    <row r="20" spans="1:6" x14ac:dyDescent="0.3">
      <c r="A20" s="247" t="s">
        <v>2823</v>
      </c>
      <c r="B20" t="s">
        <v>2826</v>
      </c>
      <c r="C20" s="247" t="s">
        <v>2827</v>
      </c>
      <c r="D20" s="247" t="s">
        <v>2815</v>
      </c>
      <c r="E20" s="247"/>
    </row>
    <row r="21" spans="1:6" x14ac:dyDescent="0.3">
      <c r="A21" s="247" t="s">
        <v>2815</v>
      </c>
      <c r="C21" s="247"/>
      <c r="D21" s="247"/>
      <c r="E21" s="247"/>
    </row>
    <row r="22" spans="1:6" x14ac:dyDescent="0.3">
      <c r="A22" s="247" t="s">
        <v>2826</v>
      </c>
      <c r="B22" t="s">
        <v>2827</v>
      </c>
      <c r="C22" s="247" t="s">
        <v>2815</v>
      </c>
      <c r="D22" s="247"/>
      <c r="E22" s="247"/>
    </row>
    <row r="23" spans="1:6" x14ac:dyDescent="0.3">
      <c r="A23" s="247" t="s">
        <v>2824</v>
      </c>
      <c r="B23" t="s">
        <v>2826</v>
      </c>
      <c r="C23" s="247" t="s">
        <v>2815</v>
      </c>
      <c r="D23" s="247" t="s">
        <v>2653</v>
      </c>
      <c r="E23" s="247"/>
    </row>
    <row r="24" spans="1:6" x14ac:dyDescent="0.3">
      <c r="A24" s="247" t="s">
        <v>2823</v>
      </c>
      <c r="B24" t="s">
        <v>2824</v>
      </c>
      <c r="C24" s="247"/>
      <c r="D24" s="247"/>
      <c r="E24" s="247"/>
    </row>
    <row r="25" spans="1:6" x14ac:dyDescent="0.3">
      <c r="A25" s="247" t="s">
        <v>2824</v>
      </c>
      <c r="B25" t="s">
        <v>2825</v>
      </c>
      <c r="C25" s="247"/>
      <c r="D25" s="247"/>
      <c r="E25" s="247"/>
    </row>
    <row r="26" spans="1:6" x14ac:dyDescent="0.3">
      <c r="A26" s="247" t="s">
        <v>2823</v>
      </c>
      <c r="B26" t="s">
        <v>2824</v>
      </c>
      <c r="C26" s="247" t="s">
        <v>2826</v>
      </c>
      <c r="D26" s="247" t="s">
        <v>2825</v>
      </c>
      <c r="E26" s="247" t="s">
        <v>2827</v>
      </c>
      <c r="F26" t="s">
        <v>2815</v>
      </c>
    </row>
    <row r="27" spans="1:6" x14ac:dyDescent="0.3">
      <c r="A27" s="247" t="s">
        <v>2823</v>
      </c>
      <c r="B27" t="s">
        <v>2827</v>
      </c>
    </row>
    <row r="28" spans="1:6" x14ac:dyDescent="0.3">
      <c r="A28" s="247" t="s">
        <v>2824</v>
      </c>
      <c r="B28" t="s">
        <v>2826</v>
      </c>
      <c r="C28" t="s">
        <v>2825</v>
      </c>
      <c r="D28" t="s">
        <v>2815</v>
      </c>
    </row>
    <row r="29" spans="1:6" x14ac:dyDescent="0.3">
      <c r="A29" s="247" t="s">
        <v>2826</v>
      </c>
      <c r="B29" t="s">
        <v>2825</v>
      </c>
      <c r="C29" t="s">
        <v>2827</v>
      </c>
    </row>
    <row r="30" spans="1:6" x14ac:dyDescent="0.3">
      <c r="A30" s="247" t="s">
        <v>2823</v>
      </c>
      <c r="B30" t="s">
        <v>2826</v>
      </c>
      <c r="C30" t="s">
        <v>2827</v>
      </c>
    </row>
    <row r="31" spans="1:6" x14ac:dyDescent="0.3">
      <c r="A31" s="247" t="s">
        <v>2817</v>
      </c>
    </row>
    <row r="32" spans="1:6" x14ac:dyDescent="0.3">
      <c r="A32" s="247" t="s">
        <v>2824</v>
      </c>
    </row>
    <row r="33" spans="1:1" x14ac:dyDescent="0.3">
      <c r="A33" s="247" t="s">
        <v>2824</v>
      </c>
    </row>
    <row r="34" spans="1:1" x14ac:dyDescent="0.3">
      <c r="A34" s="247" t="s">
        <v>2826</v>
      </c>
    </row>
    <row r="35" spans="1:1" x14ac:dyDescent="0.3">
      <c r="A35" s="247" t="s">
        <v>2824</v>
      </c>
    </row>
    <row r="36" spans="1:1" x14ac:dyDescent="0.3">
      <c r="A36" s="247" t="s">
        <v>2825</v>
      </c>
    </row>
    <row r="37" spans="1:1" x14ac:dyDescent="0.3">
      <c r="A37" s="247" t="s">
        <v>2827</v>
      </c>
    </row>
    <row r="38" spans="1:1" x14ac:dyDescent="0.3">
      <c r="A38" s="247" t="s">
        <v>2824</v>
      </c>
    </row>
    <row r="39" spans="1:1" x14ac:dyDescent="0.3">
      <c r="A39" s="247" t="s">
        <v>2826</v>
      </c>
    </row>
    <row r="40" spans="1:1" x14ac:dyDescent="0.3">
      <c r="A40" s="247" t="s">
        <v>2824</v>
      </c>
    </row>
    <row r="41" spans="1:1" x14ac:dyDescent="0.3">
      <c r="A41" s="247" t="s">
        <v>2824</v>
      </c>
    </row>
    <row r="42" spans="1:1" x14ac:dyDescent="0.3">
      <c r="A42" s="247" t="s">
        <v>2826</v>
      </c>
    </row>
    <row r="43" spans="1:1" x14ac:dyDescent="0.3">
      <c r="A43" s="247" t="s">
        <v>2824</v>
      </c>
    </row>
    <row r="44" spans="1:1" x14ac:dyDescent="0.3">
      <c r="A44" s="247" t="s">
        <v>2826</v>
      </c>
    </row>
    <row r="45" spans="1:1" x14ac:dyDescent="0.3">
      <c r="A45" s="247" t="s">
        <v>2826</v>
      </c>
    </row>
    <row r="46" spans="1:1" x14ac:dyDescent="0.3">
      <c r="A46" s="247" t="s">
        <v>2826</v>
      </c>
    </row>
    <row r="47" spans="1:1" x14ac:dyDescent="0.3">
      <c r="A47" s="247" t="s">
        <v>2825</v>
      </c>
    </row>
    <row r="48" spans="1:1" x14ac:dyDescent="0.3">
      <c r="A48" s="247" t="s">
        <v>2824</v>
      </c>
    </row>
    <row r="49" spans="1:1" x14ac:dyDescent="0.3">
      <c r="A49" s="247" t="s">
        <v>2825</v>
      </c>
    </row>
    <row r="50" spans="1:1" x14ac:dyDescent="0.3">
      <c r="A50" s="247" t="s">
        <v>2826</v>
      </c>
    </row>
    <row r="51" spans="1:1" x14ac:dyDescent="0.3">
      <c r="A51" s="247" t="s">
        <v>2826</v>
      </c>
    </row>
    <row r="52" spans="1:1" x14ac:dyDescent="0.3">
      <c r="A52" s="247" t="s">
        <v>2827</v>
      </c>
    </row>
    <row r="53" spans="1:1" x14ac:dyDescent="0.3">
      <c r="A53" s="247" t="s">
        <v>2826</v>
      </c>
    </row>
    <row r="54" spans="1:1" x14ac:dyDescent="0.3">
      <c r="A54" s="247" t="s">
        <v>2824</v>
      </c>
    </row>
    <row r="55" spans="1:1" x14ac:dyDescent="0.3">
      <c r="A55" s="247" t="s">
        <v>2825</v>
      </c>
    </row>
    <row r="56" spans="1:1" x14ac:dyDescent="0.3">
      <c r="A56" s="247" t="s">
        <v>2824</v>
      </c>
    </row>
    <row r="57" spans="1:1" x14ac:dyDescent="0.3">
      <c r="A57" s="247" t="s">
        <v>2827</v>
      </c>
    </row>
    <row r="58" spans="1:1" x14ac:dyDescent="0.3">
      <c r="A58" s="247" t="s">
        <v>2826</v>
      </c>
    </row>
    <row r="59" spans="1:1" x14ac:dyDescent="0.3">
      <c r="A59" s="247" t="s">
        <v>2825</v>
      </c>
    </row>
    <row r="60" spans="1:1" x14ac:dyDescent="0.3">
      <c r="A60" s="247" t="s">
        <v>2826</v>
      </c>
    </row>
    <row r="61" spans="1:1" x14ac:dyDescent="0.3">
      <c r="A61" s="247" t="s">
        <v>2825</v>
      </c>
    </row>
    <row r="62" spans="1:1" x14ac:dyDescent="0.3">
      <c r="A62" s="247" t="s">
        <v>2826</v>
      </c>
    </row>
    <row r="63" spans="1:1" x14ac:dyDescent="0.3">
      <c r="A63" s="247" t="s">
        <v>2825</v>
      </c>
    </row>
    <row r="64" spans="1:1" x14ac:dyDescent="0.3">
      <c r="A64" s="247" t="s">
        <v>2826</v>
      </c>
    </row>
    <row r="65" spans="1:1" x14ac:dyDescent="0.3">
      <c r="A65" s="247" t="s">
        <v>2827</v>
      </c>
    </row>
    <row r="66" spans="1:1" x14ac:dyDescent="0.3">
      <c r="A66" s="247" t="s">
        <v>2815</v>
      </c>
    </row>
    <row r="67" spans="1:1" x14ac:dyDescent="0.3">
      <c r="A67" s="247" t="s">
        <v>2826</v>
      </c>
    </row>
    <row r="68" spans="1:1" x14ac:dyDescent="0.3">
      <c r="A68" s="247" t="s">
        <v>2827</v>
      </c>
    </row>
    <row r="69" spans="1:1" x14ac:dyDescent="0.3">
      <c r="A69" s="247" t="s">
        <v>2826</v>
      </c>
    </row>
    <row r="70" spans="1:1" x14ac:dyDescent="0.3">
      <c r="A70" s="247" t="s">
        <v>2815</v>
      </c>
    </row>
    <row r="71" spans="1:1" x14ac:dyDescent="0.3">
      <c r="A71" s="247" t="s">
        <v>2827</v>
      </c>
    </row>
    <row r="72" spans="1:1" x14ac:dyDescent="0.3">
      <c r="A72" s="247" t="s">
        <v>2825</v>
      </c>
    </row>
    <row r="73" spans="1:1" x14ac:dyDescent="0.3">
      <c r="A73" s="247" t="s">
        <v>2825</v>
      </c>
    </row>
    <row r="74" spans="1:1" x14ac:dyDescent="0.3">
      <c r="A74" s="247" t="s">
        <v>2825</v>
      </c>
    </row>
    <row r="75" spans="1:1" x14ac:dyDescent="0.3">
      <c r="A75" s="247" t="s">
        <v>2815</v>
      </c>
    </row>
    <row r="76" spans="1:1" x14ac:dyDescent="0.3">
      <c r="A76" s="247" t="s">
        <v>2826</v>
      </c>
    </row>
    <row r="77" spans="1:1" x14ac:dyDescent="0.3">
      <c r="A77" s="247" t="s">
        <v>2827</v>
      </c>
    </row>
    <row r="78" spans="1:1" x14ac:dyDescent="0.3">
      <c r="A78" s="247" t="s">
        <v>2815</v>
      </c>
    </row>
    <row r="79" spans="1:1" x14ac:dyDescent="0.3">
      <c r="A79" s="247" t="s">
        <v>2815</v>
      </c>
    </row>
    <row r="80" spans="1:1" x14ac:dyDescent="0.3">
      <c r="A80" s="247" t="s">
        <v>2826</v>
      </c>
    </row>
    <row r="81" spans="1:1" x14ac:dyDescent="0.3">
      <c r="A81" s="247" t="s">
        <v>2825</v>
      </c>
    </row>
    <row r="82" spans="1:1" x14ac:dyDescent="0.3">
      <c r="A82" s="247" t="s">
        <v>2827</v>
      </c>
    </row>
    <row r="83" spans="1:1" x14ac:dyDescent="0.3">
      <c r="A83" s="247" t="s">
        <v>2827</v>
      </c>
    </row>
    <row r="84" spans="1:1" x14ac:dyDescent="0.3">
      <c r="A84" s="247" t="s">
        <v>2825</v>
      </c>
    </row>
    <row r="85" spans="1:1" x14ac:dyDescent="0.3">
      <c r="A85" s="247" t="s">
        <v>2815</v>
      </c>
    </row>
    <row r="86" spans="1:1" x14ac:dyDescent="0.3">
      <c r="A86" s="247" t="s">
        <v>2815</v>
      </c>
    </row>
    <row r="87" spans="1:1" x14ac:dyDescent="0.3">
      <c r="A87" s="247" t="s">
        <v>2825</v>
      </c>
    </row>
    <row r="88" spans="1:1" x14ac:dyDescent="0.3">
      <c r="A88" s="247" t="s">
        <v>2815</v>
      </c>
    </row>
    <row r="89" spans="1:1" x14ac:dyDescent="0.3">
      <c r="A89" s="247" t="s">
        <v>2825</v>
      </c>
    </row>
    <row r="90" spans="1:1" x14ac:dyDescent="0.3">
      <c r="A90" s="247" t="s">
        <v>2815</v>
      </c>
    </row>
    <row r="91" spans="1:1" x14ac:dyDescent="0.3">
      <c r="A91" s="247" t="s">
        <v>2815</v>
      </c>
    </row>
    <row r="92" spans="1:1" x14ac:dyDescent="0.3">
      <c r="A92" s="247" t="s">
        <v>2827</v>
      </c>
    </row>
    <row r="93" spans="1:1" x14ac:dyDescent="0.3">
      <c r="A93" s="247" t="s">
        <v>2815</v>
      </c>
    </row>
    <row r="94" spans="1:1" x14ac:dyDescent="0.3">
      <c r="A94" s="247" t="s">
        <v>2815</v>
      </c>
    </row>
    <row r="95" spans="1:1" x14ac:dyDescent="0.3">
      <c r="A95" s="247" t="s">
        <v>2653</v>
      </c>
    </row>
    <row r="96" spans="1:1" x14ac:dyDescent="0.3">
      <c r="A96" s="247" t="s">
        <v>2825</v>
      </c>
    </row>
    <row r="97" spans="1:1" x14ac:dyDescent="0.3">
      <c r="A97" s="247" t="s">
        <v>2815</v>
      </c>
    </row>
    <row r="98" spans="1:1" x14ac:dyDescent="0.3">
      <c r="A98" s="247" t="s">
        <v>2827</v>
      </c>
    </row>
    <row r="99" spans="1:1" x14ac:dyDescent="0.3">
      <c r="A99" s="247" t="s">
        <v>2827</v>
      </c>
    </row>
    <row r="100" spans="1:1" x14ac:dyDescent="0.3">
      <c r="A100" s="247" t="s">
        <v>2827</v>
      </c>
    </row>
    <row r="101" spans="1:1" x14ac:dyDescent="0.3">
      <c r="A101" s="247" t="s">
        <v>2815</v>
      </c>
    </row>
    <row r="102" spans="1:1" x14ac:dyDescent="0.3">
      <c r="A102" s="247" t="s">
        <v>2815</v>
      </c>
    </row>
  </sheetData>
  <sortState xmlns:xlrd2="http://schemas.microsoft.com/office/spreadsheetml/2017/richdata2" ref="A1:A38">
    <sortCondition ref="A1:A38"/>
  </sortState>
  <pageMargins left="0.7" right="0.7" top="0.75" bottom="0.75" header="0.3" footer="0.3"/>
  <pageSetup orientation="portrait" horizontalDpi="4294967293" verticalDpi="4294967293"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B4:AC48"/>
  <sheetViews>
    <sheetView topLeftCell="A13" workbookViewId="0">
      <selection activeCell="C24" sqref="C24"/>
    </sheetView>
  </sheetViews>
  <sheetFormatPr defaultColWidth="8.77734375" defaultRowHeight="14.4" x14ac:dyDescent="0.3"/>
  <cols>
    <col min="2" max="2" width="5.33203125" bestFit="1" customWidth="1"/>
    <col min="3" max="3" width="31.6640625" bestFit="1" customWidth="1"/>
    <col min="4" max="4" width="17.5546875" bestFit="1" customWidth="1"/>
    <col min="5" max="6" width="10.44140625" bestFit="1" customWidth="1"/>
    <col min="7" max="7" width="13.33203125" bestFit="1" customWidth="1"/>
    <col min="8" max="8" width="17.33203125" bestFit="1" customWidth="1"/>
    <col min="9" max="11" width="17.5546875" bestFit="1" customWidth="1"/>
    <col min="12" max="12" width="24.88671875" bestFit="1" customWidth="1"/>
    <col min="13" max="13" width="17.5546875" bestFit="1" customWidth="1"/>
    <col min="14" max="15" width="13.33203125" bestFit="1" customWidth="1"/>
    <col min="16" max="16" width="17.5546875" bestFit="1" customWidth="1"/>
    <col min="17" max="17" width="13.33203125" bestFit="1" customWidth="1"/>
    <col min="18" max="18" width="17.5546875" bestFit="1" customWidth="1"/>
    <col min="19" max="19" width="13.88671875" bestFit="1" customWidth="1"/>
    <col min="20" max="20" width="17.5546875" bestFit="1" customWidth="1"/>
    <col min="21" max="21" width="13.33203125" bestFit="1" customWidth="1"/>
    <col min="22" max="27" width="17.5546875" bestFit="1" customWidth="1"/>
    <col min="28" max="28" width="13.33203125" bestFit="1" customWidth="1"/>
    <col min="29" max="29" width="17.5546875" bestFit="1" customWidth="1"/>
  </cols>
  <sheetData>
    <row r="4" spans="3:26" ht="15.6" x14ac:dyDescent="0.3">
      <c r="C4" s="246" t="s">
        <v>2726</v>
      </c>
      <c r="L4" s="246" t="s">
        <v>2271</v>
      </c>
      <c r="P4" s="247"/>
      <c r="Q4" s="247"/>
      <c r="R4" s="247"/>
      <c r="S4" s="247"/>
      <c r="T4" s="247"/>
      <c r="U4" s="247"/>
      <c r="V4" s="247"/>
      <c r="W4" s="247"/>
      <c r="X4" s="247"/>
      <c r="Y4" s="247"/>
      <c r="Z4" s="247"/>
    </row>
    <row r="5" spans="3:26" x14ac:dyDescent="0.3">
      <c r="O5" s="247"/>
      <c r="P5" s="247"/>
      <c r="Q5" s="247"/>
      <c r="R5" s="247"/>
      <c r="S5" s="247"/>
      <c r="T5" s="247"/>
      <c r="U5" s="247"/>
      <c r="V5" s="247"/>
      <c r="W5" s="247"/>
      <c r="X5" s="247"/>
      <c r="Y5" s="247"/>
      <c r="Z5" s="247"/>
    </row>
    <row r="6" spans="3:26" x14ac:dyDescent="0.3">
      <c r="O6" s="247"/>
      <c r="P6" s="247"/>
      <c r="Q6" s="247"/>
      <c r="R6" s="247"/>
      <c r="S6" s="247"/>
      <c r="T6" s="247"/>
      <c r="U6" s="247"/>
      <c r="V6" s="247"/>
      <c r="W6" s="247"/>
      <c r="X6" s="247"/>
      <c r="Y6" s="247"/>
      <c r="Z6" s="247"/>
    </row>
    <row r="7" spans="3:26" x14ac:dyDescent="0.3">
      <c r="O7" s="247"/>
      <c r="P7" s="247"/>
      <c r="Q7" s="247"/>
      <c r="R7" s="247"/>
      <c r="S7" s="247"/>
      <c r="T7" s="247"/>
      <c r="U7" s="247"/>
      <c r="V7" s="247"/>
      <c r="W7" s="247"/>
      <c r="X7" s="247"/>
      <c r="Y7" s="247"/>
      <c r="Z7" s="247"/>
    </row>
    <row r="8" spans="3:26" x14ac:dyDescent="0.3">
      <c r="O8" s="247"/>
      <c r="P8" s="247"/>
      <c r="Q8" s="247"/>
      <c r="R8" s="247"/>
      <c r="S8" s="247"/>
      <c r="T8" s="247"/>
      <c r="U8" s="247"/>
      <c r="V8" s="247"/>
      <c r="W8" s="247"/>
      <c r="X8" s="247"/>
      <c r="Y8" s="247"/>
      <c r="Z8" s="247"/>
    </row>
    <row r="9" spans="3:26" x14ac:dyDescent="0.3">
      <c r="O9" s="247" t="s">
        <v>199</v>
      </c>
      <c r="P9" s="247"/>
      <c r="Q9" s="247"/>
      <c r="R9" s="247"/>
      <c r="S9" s="247"/>
      <c r="T9" s="247"/>
      <c r="U9" s="247"/>
      <c r="V9" s="247"/>
      <c r="W9" s="247"/>
      <c r="X9" s="247"/>
      <c r="Y9" s="247"/>
      <c r="Z9" s="247"/>
    </row>
    <row r="10" spans="3:26" x14ac:dyDescent="0.3">
      <c r="O10" s="247" t="s">
        <v>199</v>
      </c>
      <c r="P10" s="247"/>
      <c r="Q10" s="247"/>
      <c r="R10" s="247"/>
      <c r="S10" s="247"/>
      <c r="T10" s="247"/>
      <c r="U10" s="247"/>
      <c r="V10" s="247"/>
      <c r="W10" s="247"/>
      <c r="X10" s="247"/>
      <c r="Y10" s="247"/>
      <c r="Z10" s="247"/>
    </row>
    <row r="11" spans="3:26" x14ac:dyDescent="0.3">
      <c r="O11" s="247" t="s">
        <v>199</v>
      </c>
      <c r="P11" s="247"/>
      <c r="Q11" s="247"/>
      <c r="R11" s="247"/>
      <c r="S11" s="247"/>
      <c r="T11" s="247"/>
      <c r="U11" s="247"/>
      <c r="V11" s="247"/>
      <c r="W11" s="247"/>
      <c r="X11" s="247"/>
      <c r="Y11" s="247"/>
      <c r="Z11" s="247"/>
    </row>
    <row r="12" spans="3:26" x14ac:dyDescent="0.3">
      <c r="O12" s="247"/>
      <c r="P12" s="247"/>
      <c r="Q12" s="247"/>
      <c r="R12" s="247"/>
      <c r="S12" s="247"/>
      <c r="T12" s="247"/>
      <c r="U12" s="247"/>
      <c r="V12" s="247"/>
      <c r="W12" s="247"/>
      <c r="X12" s="247"/>
      <c r="Y12" s="247"/>
      <c r="Z12" s="247"/>
    </row>
    <row r="13" spans="3:26" x14ac:dyDescent="0.3">
      <c r="O13" s="247"/>
      <c r="P13" s="247"/>
      <c r="Q13" s="247"/>
      <c r="R13" s="247"/>
      <c r="S13" s="247"/>
      <c r="T13" s="247"/>
      <c r="U13" s="247"/>
      <c r="V13" s="247"/>
      <c r="W13" s="247"/>
      <c r="X13" s="247"/>
      <c r="Y13" s="247"/>
      <c r="Z13" s="247"/>
    </row>
    <row r="14" spans="3:26" x14ac:dyDescent="0.3">
      <c r="O14" s="247"/>
      <c r="P14" s="247"/>
      <c r="Q14" s="247"/>
      <c r="R14" s="247"/>
      <c r="S14" s="247"/>
      <c r="T14" s="247"/>
      <c r="U14" s="247"/>
      <c r="V14" s="247"/>
      <c r="W14" s="247"/>
      <c r="X14" s="247"/>
      <c r="Y14" s="247"/>
      <c r="Z14" s="247"/>
    </row>
    <row r="15" spans="3:26" x14ac:dyDescent="0.3">
      <c r="O15" s="247"/>
      <c r="P15" s="247"/>
      <c r="Q15" s="247"/>
      <c r="R15" s="247"/>
      <c r="S15" s="247"/>
      <c r="T15" s="247"/>
      <c r="U15" s="247"/>
      <c r="V15" s="247"/>
      <c r="W15" s="247"/>
      <c r="X15" s="247"/>
      <c r="Y15" s="247"/>
      <c r="Z15" s="247"/>
    </row>
    <row r="16" spans="3:26" x14ac:dyDescent="0.3">
      <c r="O16" s="247"/>
      <c r="P16" s="247"/>
      <c r="Q16" s="247"/>
      <c r="R16" s="247"/>
      <c r="S16" s="247"/>
      <c r="T16" s="247"/>
      <c r="U16" s="247"/>
      <c r="V16" s="247"/>
      <c r="W16" s="247"/>
      <c r="X16" s="247"/>
      <c r="Y16" s="247"/>
      <c r="Z16" s="247"/>
    </row>
    <row r="17" spans="3:26" x14ac:dyDescent="0.3">
      <c r="O17" s="247"/>
      <c r="P17" s="247"/>
      <c r="Q17" s="247"/>
      <c r="R17" s="247"/>
      <c r="S17" s="247"/>
      <c r="T17" s="247"/>
      <c r="U17" s="247"/>
      <c r="V17" s="247"/>
      <c r="W17" s="247"/>
      <c r="X17" s="247"/>
      <c r="Y17" s="247"/>
      <c r="Z17" s="247"/>
    </row>
    <row r="18" spans="3:26" x14ac:dyDescent="0.3">
      <c r="O18" s="247"/>
      <c r="P18" s="247"/>
      <c r="Q18" s="247"/>
      <c r="R18" s="247"/>
      <c r="S18" s="247"/>
      <c r="T18" s="247"/>
      <c r="U18" s="247"/>
      <c r="V18" s="247"/>
      <c r="W18" s="247"/>
      <c r="X18" s="247"/>
      <c r="Y18" s="247"/>
      <c r="Z18" s="247"/>
    </row>
    <row r="19" spans="3:26" x14ac:dyDescent="0.3">
      <c r="O19" s="247"/>
      <c r="P19" s="247"/>
      <c r="Q19" s="247"/>
      <c r="R19" s="247"/>
      <c r="S19" s="247"/>
      <c r="T19" s="247"/>
      <c r="U19" s="247"/>
      <c r="V19" s="247"/>
      <c r="W19" s="247"/>
      <c r="X19" s="247"/>
      <c r="Y19" s="247"/>
      <c r="Z19" s="247"/>
    </row>
    <row r="20" spans="3:26" s="247" customFormat="1" x14ac:dyDescent="0.3"/>
    <row r="21" spans="3:26" s="247" customFormat="1" x14ac:dyDescent="0.3">
      <c r="D21" s="247" t="s">
        <v>2269</v>
      </c>
      <c r="E21" s="247" t="s">
        <v>1444</v>
      </c>
      <c r="F21" s="247" t="s">
        <v>1439</v>
      </c>
      <c r="G21" s="247" t="s">
        <v>1440</v>
      </c>
      <c r="H21" s="247" t="s">
        <v>1445</v>
      </c>
    </row>
    <row r="22" spans="3:26" s="247" customFormat="1" x14ac:dyDescent="0.3">
      <c r="C22" s="247" t="s">
        <v>2718</v>
      </c>
      <c r="D22" s="247">
        <f t="shared" ref="D22:H29" si="0">COUNTIF($D41:$AC41,D$21)</f>
        <v>0</v>
      </c>
      <c r="E22" s="247">
        <f t="shared" si="0"/>
        <v>0</v>
      </c>
      <c r="F22" s="247">
        <f t="shared" si="0"/>
        <v>6</v>
      </c>
      <c r="G22" s="247">
        <f t="shared" si="0"/>
        <v>12</v>
      </c>
      <c r="H22" s="247">
        <f t="shared" si="0"/>
        <v>8</v>
      </c>
      <c r="I22" s="247">
        <f>SUM(D22:H22)</f>
        <v>26</v>
      </c>
    </row>
    <row r="23" spans="3:26" s="247" customFormat="1" x14ac:dyDescent="0.3">
      <c r="C23" s="247" t="s">
        <v>2719</v>
      </c>
      <c r="D23" s="247">
        <f t="shared" si="0"/>
        <v>0</v>
      </c>
      <c r="E23" s="247">
        <f t="shared" si="0"/>
        <v>0</v>
      </c>
      <c r="F23" s="247">
        <f t="shared" si="0"/>
        <v>13</v>
      </c>
      <c r="G23" s="247">
        <f t="shared" si="0"/>
        <v>10</v>
      </c>
      <c r="H23" s="247">
        <f t="shared" si="0"/>
        <v>3</v>
      </c>
      <c r="I23" s="247">
        <f t="shared" ref="I23:I29" si="1">SUM(D23:H23)</f>
        <v>26</v>
      </c>
    </row>
    <row r="24" spans="3:26" s="247" customFormat="1" x14ac:dyDescent="0.3">
      <c r="C24" s="247" t="s">
        <v>2720</v>
      </c>
      <c r="D24" s="247">
        <f t="shared" si="0"/>
        <v>0</v>
      </c>
      <c r="E24" s="247">
        <f t="shared" si="0"/>
        <v>1</v>
      </c>
      <c r="F24" s="247">
        <f t="shared" si="0"/>
        <v>10</v>
      </c>
      <c r="G24" s="247">
        <f t="shared" si="0"/>
        <v>12</v>
      </c>
      <c r="H24" s="247">
        <f t="shared" si="0"/>
        <v>3</v>
      </c>
      <c r="I24" s="247">
        <f t="shared" si="1"/>
        <v>26</v>
      </c>
    </row>
    <row r="25" spans="3:26" s="247" customFormat="1" x14ac:dyDescent="0.3">
      <c r="C25" s="247" t="s">
        <v>2721</v>
      </c>
      <c r="D25" s="247">
        <f t="shared" si="0"/>
        <v>0</v>
      </c>
      <c r="E25" s="247">
        <f t="shared" si="0"/>
        <v>2</v>
      </c>
      <c r="F25" s="247">
        <f t="shared" si="0"/>
        <v>10</v>
      </c>
      <c r="G25" s="247">
        <f t="shared" si="0"/>
        <v>9</v>
      </c>
      <c r="H25" s="247">
        <f t="shared" si="0"/>
        <v>5</v>
      </c>
      <c r="I25" s="247">
        <f t="shared" si="1"/>
        <v>26</v>
      </c>
    </row>
    <row r="26" spans="3:26" s="247" customFormat="1" x14ac:dyDescent="0.3">
      <c r="C26" s="247" t="s">
        <v>2722</v>
      </c>
      <c r="D26" s="247">
        <f t="shared" si="0"/>
        <v>0</v>
      </c>
      <c r="E26" s="247">
        <f t="shared" si="0"/>
        <v>3</v>
      </c>
      <c r="F26" s="247">
        <f t="shared" si="0"/>
        <v>19</v>
      </c>
      <c r="G26" s="247">
        <f t="shared" si="0"/>
        <v>3</v>
      </c>
      <c r="H26" s="247">
        <f t="shared" si="0"/>
        <v>1</v>
      </c>
      <c r="I26" s="247">
        <f t="shared" si="1"/>
        <v>26</v>
      </c>
    </row>
    <row r="27" spans="3:26" s="247" customFormat="1" x14ac:dyDescent="0.3">
      <c r="C27" s="247" t="s">
        <v>2723</v>
      </c>
      <c r="D27" s="247">
        <f t="shared" si="0"/>
        <v>1</v>
      </c>
      <c r="E27" s="247">
        <f t="shared" si="0"/>
        <v>4</v>
      </c>
      <c r="F27" s="247">
        <f t="shared" si="0"/>
        <v>18</v>
      </c>
      <c r="G27" s="247">
        <f t="shared" si="0"/>
        <v>3</v>
      </c>
      <c r="H27" s="247">
        <f t="shared" si="0"/>
        <v>0</v>
      </c>
      <c r="I27" s="247">
        <f t="shared" si="1"/>
        <v>26</v>
      </c>
    </row>
    <row r="28" spans="3:26" s="247" customFormat="1" x14ac:dyDescent="0.3">
      <c r="C28" s="247" t="s">
        <v>2724</v>
      </c>
      <c r="D28" s="247">
        <f t="shared" si="0"/>
        <v>0</v>
      </c>
      <c r="E28" s="247">
        <f t="shared" si="0"/>
        <v>4</v>
      </c>
      <c r="F28" s="247">
        <f t="shared" si="0"/>
        <v>15</v>
      </c>
      <c r="G28" s="247">
        <f t="shared" si="0"/>
        <v>6</v>
      </c>
      <c r="H28" s="247">
        <f t="shared" si="0"/>
        <v>1</v>
      </c>
      <c r="I28" s="247">
        <f t="shared" si="1"/>
        <v>26</v>
      </c>
    </row>
    <row r="29" spans="3:26" s="247" customFormat="1" x14ac:dyDescent="0.3">
      <c r="C29" s="247" t="s">
        <v>2725</v>
      </c>
      <c r="D29" s="247">
        <f t="shared" si="0"/>
        <v>2</v>
      </c>
      <c r="E29" s="247">
        <f t="shared" si="0"/>
        <v>6</v>
      </c>
      <c r="F29" s="247">
        <f t="shared" si="0"/>
        <v>11</v>
      </c>
      <c r="G29" s="247">
        <f t="shared" si="0"/>
        <v>5</v>
      </c>
      <c r="H29" s="247">
        <f t="shared" si="0"/>
        <v>2</v>
      </c>
      <c r="I29" s="247">
        <f t="shared" si="1"/>
        <v>26</v>
      </c>
    </row>
    <row r="30" spans="3:26" s="247" customFormat="1" x14ac:dyDescent="0.3"/>
    <row r="31" spans="3:26" x14ac:dyDescent="0.3">
      <c r="D31" s="247" t="s">
        <v>2269</v>
      </c>
      <c r="E31" s="247" t="s">
        <v>1444</v>
      </c>
      <c r="F31" s="247" t="s">
        <v>1439</v>
      </c>
      <c r="G31" s="247" t="s">
        <v>1440</v>
      </c>
      <c r="H31" s="247" t="s">
        <v>1445</v>
      </c>
      <c r="I31" s="247"/>
    </row>
    <row r="32" spans="3:26" s="247" customFormat="1" x14ac:dyDescent="0.3">
      <c r="C32" s="247" t="s">
        <v>2718</v>
      </c>
      <c r="D32" s="24">
        <f>D22/$I$22</f>
        <v>0</v>
      </c>
      <c r="E32" s="24">
        <f t="shared" ref="E32:H32" si="2">E22/$I$22</f>
        <v>0</v>
      </c>
      <c r="F32" s="24">
        <f t="shared" si="2"/>
        <v>0.23076923076923078</v>
      </c>
      <c r="G32" s="24">
        <f t="shared" si="2"/>
        <v>0.46153846153846156</v>
      </c>
      <c r="H32" s="24">
        <f t="shared" si="2"/>
        <v>0.30769230769230771</v>
      </c>
    </row>
    <row r="33" spans="2:29" s="247" customFormat="1" x14ac:dyDescent="0.3">
      <c r="C33" s="247" t="s">
        <v>2719</v>
      </c>
      <c r="D33" s="24">
        <f t="shared" ref="D33:H33" si="3">D23/$I$22</f>
        <v>0</v>
      </c>
      <c r="E33" s="24">
        <f t="shared" si="3"/>
        <v>0</v>
      </c>
      <c r="F33" s="24">
        <f t="shared" si="3"/>
        <v>0.5</v>
      </c>
      <c r="G33" s="24">
        <f t="shared" si="3"/>
        <v>0.38461538461538464</v>
      </c>
      <c r="H33" s="24">
        <f t="shared" si="3"/>
        <v>0.11538461538461539</v>
      </c>
    </row>
    <row r="34" spans="2:29" s="247" customFormat="1" x14ac:dyDescent="0.3">
      <c r="C34" s="247" t="s">
        <v>2720</v>
      </c>
      <c r="D34" s="24">
        <f t="shared" ref="D34:H34" si="4">D24/$I$22</f>
        <v>0</v>
      </c>
      <c r="E34" s="24">
        <f t="shared" si="4"/>
        <v>3.8461538461538464E-2</v>
      </c>
      <c r="F34" s="24">
        <f t="shared" si="4"/>
        <v>0.38461538461538464</v>
      </c>
      <c r="G34" s="24">
        <f t="shared" si="4"/>
        <v>0.46153846153846156</v>
      </c>
      <c r="H34" s="24">
        <f t="shared" si="4"/>
        <v>0.11538461538461539</v>
      </c>
    </row>
    <row r="35" spans="2:29" s="247" customFormat="1" x14ac:dyDescent="0.3">
      <c r="C35" s="247" t="s">
        <v>2721</v>
      </c>
      <c r="D35" s="24">
        <f t="shared" ref="D35:H35" si="5">D25/$I$22</f>
        <v>0</v>
      </c>
      <c r="E35" s="24">
        <f t="shared" si="5"/>
        <v>7.6923076923076927E-2</v>
      </c>
      <c r="F35" s="24">
        <f t="shared" si="5"/>
        <v>0.38461538461538464</v>
      </c>
      <c r="G35" s="24">
        <f t="shared" si="5"/>
        <v>0.34615384615384615</v>
      </c>
      <c r="H35" s="24">
        <f t="shared" si="5"/>
        <v>0.19230769230769232</v>
      </c>
    </row>
    <row r="36" spans="2:29" s="247" customFormat="1" x14ac:dyDescent="0.3">
      <c r="C36" s="247" t="s">
        <v>2722</v>
      </c>
      <c r="D36" s="24">
        <f t="shared" ref="D36:H36" si="6">D26/$I$22</f>
        <v>0</v>
      </c>
      <c r="E36" s="24">
        <f t="shared" si="6"/>
        <v>0.11538461538461539</v>
      </c>
      <c r="F36" s="24">
        <f t="shared" si="6"/>
        <v>0.73076923076923073</v>
      </c>
      <c r="G36" s="24">
        <f t="shared" si="6"/>
        <v>0.11538461538461539</v>
      </c>
      <c r="H36" s="24">
        <f t="shared" si="6"/>
        <v>3.8461538461538464E-2</v>
      </c>
    </row>
    <row r="37" spans="2:29" s="247" customFormat="1" x14ac:dyDescent="0.3">
      <c r="C37" s="247" t="s">
        <v>2723</v>
      </c>
      <c r="D37" s="24">
        <f t="shared" ref="D37:H37" si="7">D27/$I$22</f>
        <v>3.8461538461538464E-2</v>
      </c>
      <c r="E37" s="24">
        <f t="shared" si="7"/>
        <v>0.15384615384615385</v>
      </c>
      <c r="F37" s="24">
        <f t="shared" si="7"/>
        <v>0.69230769230769229</v>
      </c>
      <c r="G37" s="24">
        <f t="shared" si="7"/>
        <v>0.11538461538461539</v>
      </c>
      <c r="H37" s="24">
        <f t="shared" si="7"/>
        <v>0</v>
      </c>
    </row>
    <row r="38" spans="2:29" s="247" customFormat="1" x14ac:dyDescent="0.3">
      <c r="C38" s="247" t="s">
        <v>2724</v>
      </c>
      <c r="D38" s="24">
        <f t="shared" ref="D38:H38" si="8">D28/$I$22</f>
        <v>0</v>
      </c>
      <c r="E38" s="24">
        <f t="shared" si="8"/>
        <v>0.15384615384615385</v>
      </c>
      <c r="F38" s="24">
        <f t="shared" si="8"/>
        <v>0.57692307692307687</v>
      </c>
      <c r="G38" s="24">
        <f t="shared" si="8"/>
        <v>0.23076923076923078</v>
      </c>
      <c r="H38" s="24">
        <f t="shared" si="8"/>
        <v>3.8461538461538464E-2</v>
      </c>
    </row>
    <row r="39" spans="2:29" s="247" customFormat="1" x14ac:dyDescent="0.3">
      <c r="C39" s="247" t="s">
        <v>2725</v>
      </c>
      <c r="D39" s="24">
        <f t="shared" ref="D39:H39" si="9">D29/$I$22</f>
        <v>7.6923076923076927E-2</v>
      </c>
      <c r="E39" s="24">
        <f t="shared" si="9"/>
        <v>0.23076923076923078</v>
      </c>
      <c r="F39" s="24">
        <f t="shared" si="9"/>
        <v>0.42307692307692307</v>
      </c>
      <c r="G39" s="24">
        <f t="shared" si="9"/>
        <v>0.19230769230769232</v>
      </c>
      <c r="H39" s="24">
        <f t="shared" si="9"/>
        <v>7.6923076923076927E-2</v>
      </c>
    </row>
    <row r="41" spans="2:29" x14ac:dyDescent="0.3">
      <c r="B41" s="247" t="s">
        <v>2708</v>
      </c>
      <c r="C41" s="247" t="s">
        <v>2718</v>
      </c>
      <c r="D41" s="247" t="s">
        <v>2716</v>
      </c>
      <c r="E41" s="247" t="s">
        <v>1439</v>
      </c>
      <c r="F41" s="247" t="s">
        <v>1439</v>
      </c>
      <c r="G41" s="247" t="s">
        <v>1440</v>
      </c>
      <c r="H41" s="247" t="s">
        <v>1440</v>
      </c>
      <c r="I41" s="247" t="s">
        <v>2716</v>
      </c>
      <c r="J41" s="247" t="s">
        <v>1440</v>
      </c>
      <c r="K41" s="247" t="s">
        <v>2716</v>
      </c>
      <c r="L41" s="247" t="s">
        <v>1439</v>
      </c>
      <c r="M41" s="247" t="s">
        <v>1440</v>
      </c>
      <c r="N41" s="247" t="s">
        <v>1440</v>
      </c>
      <c r="O41" s="247" t="s">
        <v>1440</v>
      </c>
      <c r="P41" s="247" t="s">
        <v>2716</v>
      </c>
      <c r="Q41" s="247" t="s">
        <v>1440</v>
      </c>
      <c r="R41" s="247" t="s">
        <v>2716</v>
      </c>
      <c r="S41" s="247" t="s">
        <v>1439</v>
      </c>
      <c r="T41" s="247" t="s">
        <v>2716</v>
      </c>
      <c r="U41" s="247" t="s">
        <v>1440</v>
      </c>
      <c r="V41" s="247" t="s">
        <v>1440</v>
      </c>
      <c r="W41" s="247" t="s">
        <v>1440</v>
      </c>
      <c r="X41" s="247" t="s">
        <v>1440</v>
      </c>
      <c r="Y41" s="247" t="s">
        <v>2716</v>
      </c>
      <c r="Z41" s="247" t="s">
        <v>2716</v>
      </c>
      <c r="AA41" s="247" t="s">
        <v>1440</v>
      </c>
      <c r="AB41" s="247" t="s">
        <v>1439</v>
      </c>
      <c r="AC41" s="247" t="s">
        <v>1439</v>
      </c>
    </row>
    <row r="42" spans="2:29" x14ac:dyDescent="0.3">
      <c r="B42" s="247" t="s">
        <v>2709</v>
      </c>
      <c r="C42" s="247" t="s">
        <v>2719</v>
      </c>
      <c r="D42" s="247" t="s">
        <v>1440</v>
      </c>
      <c r="E42" s="247" t="s">
        <v>1439</v>
      </c>
      <c r="F42" s="247" t="s">
        <v>1439</v>
      </c>
      <c r="G42" s="247" t="s">
        <v>1439</v>
      </c>
      <c r="H42" s="247" t="s">
        <v>1439</v>
      </c>
      <c r="I42" s="247" t="s">
        <v>1439</v>
      </c>
      <c r="J42" s="247" t="s">
        <v>1440</v>
      </c>
      <c r="K42" s="247" t="s">
        <v>1440</v>
      </c>
      <c r="L42" s="247" t="s">
        <v>1440</v>
      </c>
      <c r="M42" s="247" t="s">
        <v>1439</v>
      </c>
      <c r="N42" s="247" t="s">
        <v>1439</v>
      </c>
      <c r="O42" s="247" t="s">
        <v>1440</v>
      </c>
      <c r="P42" s="247" t="s">
        <v>1439</v>
      </c>
      <c r="Q42" s="247" t="s">
        <v>1439</v>
      </c>
      <c r="R42" s="247" t="s">
        <v>2716</v>
      </c>
      <c r="S42" s="247" t="s">
        <v>1439</v>
      </c>
      <c r="T42" s="247" t="s">
        <v>1440</v>
      </c>
      <c r="U42" s="247" t="s">
        <v>1440</v>
      </c>
      <c r="V42" s="247" t="s">
        <v>2716</v>
      </c>
      <c r="W42" s="247" t="s">
        <v>1440</v>
      </c>
      <c r="X42" s="247" t="s">
        <v>2716</v>
      </c>
      <c r="Y42" s="247" t="s">
        <v>1440</v>
      </c>
      <c r="Z42" s="247" t="s">
        <v>1439</v>
      </c>
      <c r="AA42" s="247" t="s">
        <v>1440</v>
      </c>
      <c r="AB42" s="247" t="s">
        <v>1439</v>
      </c>
      <c r="AC42" s="247" t="s">
        <v>1439</v>
      </c>
    </row>
    <row r="43" spans="2:29" x14ac:dyDescent="0.3">
      <c r="B43" s="247" t="s">
        <v>2710</v>
      </c>
      <c r="C43" s="247" t="s">
        <v>2720</v>
      </c>
      <c r="D43" s="247" t="s">
        <v>1440</v>
      </c>
      <c r="E43" s="247" t="s">
        <v>1439</v>
      </c>
      <c r="F43" s="247" t="s">
        <v>1439</v>
      </c>
      <c r="G43" s="247" t="s">
        <v>1439</v>
      </c>
      <c r="H43" s="247" t="s">
        <v>1439</v>
      </c>
      <c r="I43" s="247" t="s">
        <v>1440</v>
      </c>
      <c r="J43" s="247" t="s">
        <v>1439</v>
      </c>
      <c r="K43" s="247" t="s">
        <v>1440</v>
      </c>
      <c r="L43" s="247" t="s">
        <v>1439</v>
      </c>
      <c r="M43" s="247" t="s">
        <v>1440</v>
      </c>
      <c r="N43" s="247" t="s">
        <v>1439</v>
      </c>
      <c r="O43" s="247" t="s">
        <v>1440</v>
      </c>
      <c r="P43" s="247" t="s">
        <v>1440</v>
      </c>
      <c r="Q43" s="247" t="s">
        <v>1439</v>
      </c>
      <c r="R43" s="247" t="s">
        <v>2716</v>
      </c>
      <c r="S43" s="247" t="s">
        <v>1444</v>
      </c>
      <c r="T43" s="247" t="s">
        <v>1440</v>
      </c>
      <c r="U43" s="247" t="s">
        <v>1440</v>
      </c>
      <c r="V43" s="247" t="s">
        <v>1440</v>
      </c>
      <c r="W43" s="247" t="s">
        <v>1440</v>
      </c>
      <c r="X43" s="247" t="s">
        <v>2716</v>
      </c>
      <c r="Y43" s="247" t="s">
        <v>1440</v>
      </c>
      <c r="Z43" s="247" t="s">
        <v>1439</v>
      </c>
      <c r="AA43" s="247" t="s">
        <v>2716</v>
      </c>
      <c r="AB43" s="247" t="s">
        <v>1439</v>
      </c>
      <c r="AC43" s="247" t="s">
        <v>1440</v>
      </c>
    </row>
    <row r="44" spans="2:29" x14ac:dyDescent="0.3">
      <c r="B44" s="247" t="s">
        <v>2711</v>
      </c>
      <c r="C44" s="247" t="s">
        <v>2721</v>
      </c>
      <c r="D44" s="247" t="s">
        <v>1439</v>
      </c>
      <c r="E44" s="247" t="s">
        <v>1444</v>
      </c>
      <c r="F44" s="247" t="s">
        <v>1439</v>
      </c>
      <c r="G44" s="247" t="s">
        <v>1439</v>
      </c>
      <c r="H44" s="247" t="s">
        <v>1439</v>
      </c>
      <c r="I44" s="247" t="s">
        <v>1439</v>
      </c>
      <c r="J44" s="247" t="s">
        <v>2716</v>
      </c>
      <c r="K44" s="247" t="s">
        <v>1440</v>
      </c>
      <c r="L44" s="247" t="s">
        <v>1439</v>
      </c>
      <c r="M44" s="247" t="s">
        <v>2716</v>
      </c>
      <c r="N44" s="247" t="s">
        <v>1439</v>
      </c>
      <c r="O44" s="247" t="s">
        <v>1440</v>
      </c>
      <c r="P44" s="247" t="s">
        <v>1439</v>
      </c>
      <c r="Q44" s="247" t="s">
        <v>1440</v>
      </c>
      <c r="R44" s="247" t="s">
        <v>1440</v>
      </c>
      <c r="S44" s="247" t="s">
        <v>1444</v>
      </c>
      <c r="T44" s="247" t="s">
        <v>2716</v>
      </c>
      <c r="U44" s="247" t="s">
        <v>1439</v>
      </c>
      <c r="V44" s="247" t="s">
        <v>2716</v>
      </c>
      <c r="W44" s="247" t="s">
        <v>1439</v>
      </c>
      <c r="X44" s="247" t="s">
        <v>1440</v>
      </c>
      <c r="Y44" s="247" t="s">
        <v>1440</v>
      </c>
      <c r="Z44" s="247" t="s">
        <v>1440</v>
      </c>
      <c r="AA44" s="247" t="s">
        <v>2716</v>
      </c>
      <c r="AB44" s="247" t="s">
        <v>1440</v>
      </c>
      <c r="AC44" s="247" t="s">
        <v>1440</v>
      </c>
    </row>
    <row r="45" spans="2:29" x14ac:dyDescent="0.3">
      <c r="B45" s="247" t="s">
        <v>2712</v>
      </c>
      <c r="C45" s="247" t="s">
        <v>2722</v>
      </c>
      <c r="D45" s="247" t="s">
        <v>1439</v>
      </c>
      <c r="E45" s="247" t="s">
        <v>1439</v>
      </c>
      <c r="F45" s="247" t="s">
        <v>1439</v>
      </c>
      <c r="G45" s="247" t="s">
        <v>1444</v>
      </c>
      <c r="H45" s="247" t="s">
        <v>1439</v>
      </c>
      <c r="I45" s="247" t="s">
        <v>1439</v>
      </c>
      <c r="J45" s="247" t="s">
        <v>1439</v>
      </c>
      <c r="K45" s="247" t="s">
        <v>1439</v>
      </c>
      <c r="L45" s="247" t="s">
        <v>1444</v>
      </c>
      <c r="M45" s="247" t="s">
        <v>1439</v>
      </c>
      <c r="N45" s="247" t="s">
        <v>1439</v>
      </c>
      <c r="O45" s="247" t="s">
        <v>1439</v>
      </c>
      <c r="P45" s="247" t="s">
        <v>1439</v>
      </c>
      <c r="Q45" s="247" t="s">
        <v>1440</v>
      </c>
      <c r="R45" s="247" t="s">
        <v>1439</v>
      </c>
      <c r="S45" s="247" t="s">
        <v>1439</v>
      </c>
      <c r="T45" s="247" t="s">
        <v>1444</v>
      </c>
      <c r="U45" s="247" t="s">
        <v>1439</v>
      </c>
      <c r="V45" s="247" t="s">
        <v>1439</v>
      </c>
      <c r="W45" s="247" t="s">
        <v>2716</v>
      </c>
      <c r="X45" s="247" t="s">
        <v>1439</v>
      </c>
      <c r="Y45" s="247" t="s">
        <v>1439</v>
      </c>
      <c r="Z45" s="247" t="s">
        <v>1439</v>
      </c>
      <c r="AA45" s="247" t="s">
        <v>1440</v>
      </c>
      <c r="AB45" s="247" t="s">
        <v>1439</v>
      </c>
      <c r="AC45" s="247" t="s">
        <v>1440</v>
      </c>
    </row>
    <row r="46" spans="2:29" x14ac:dyDescent="0.3">
      <c r="B46" s="247" t="s">
        <v>2713</v>
      </c>
      <c r="C46" s="247" t="s">
        <v>2723</v>
      </c>
      <c r="D46" s="247" t="s">
        <v>1440</v>
      </c>
      <c r="E46" s="247" t="s">
        <v>1439</v>
      </c>
      <c r="F46" s="247" t="s">
        <v>1439</v>
      </c>
      <c r="G46" s="247" t="s">
        <v>1439</v>
      </c>
      <c r="H46" s="247" t="s">
        <v>1444</v>
      </c>
      <c r="I46" s="247" t="s">
        <v>1439</v>
      </c>
      <c r="J46" s="247" t="s">
        <v>1439</v>
      </c>
      <c r="K46" s="247" t="s">
        <v>1439</v>
      </c>
      <c r="L46" s="247" t="s">
        <v>1444</v>
      </c>
      <c r="M46" s="247" t="s">
        <v>1439</v>
      </c>
      <c r="N46" s="247" t="s">
        <v>1439</v>
      </c>
      <c r="O46" s="247" t="s">
        <v>1439</v>
      </c>
      <c r="P46" s="247" t="s">
        <v>1439</v>
      </c>
      <c r="Q46" s="247" t="s">
        <v>1439</v>
      </c>
      <c r="R46" s="247" t="s">
        <v>1444</v>
      </c>
      <c r="S46" s="247" t="s">
        <v>1440</v>
      </c>
      <c r="T46" s="247" t="s">
        <v>2269</v>
      </c>
      <c r="U46" s="247" t="s">
        <v>1439</v>
      </c>
      <c r="V46" s="247" t="s">
        <v>1439</v>
      </c>
      <c r="W46" s="247" t="s">
        <v>1440</v>
      </c>
      <c r="X46" s="247" t="s">
        <v>1439</v>
      </c>
      <c r="Y46" s="247" t="s">
        <v>1439</v>
      </c>
      <c r="Z46" s="247" t="s">
        <v>1444</v>
      </c>
      <c r="AA46" s="247" t="s">
        <v>1439</v>
      </c>
      <c r="AB46" s="247" t="s">
        <v>1439</v>
      </c>
      <c r="AC46" s="247" t="s">
        <v>1439</v>
      </c>
    </row>
    <row r="47" spans="2:29" x14ac:dyDescent="0.3">
      <c r="B47" s="247" t="s">
        <v>2714</v>
      </c>
      <c r="C47" s="247" t="s">
        <v>2724</v>
      </c>
      <c r="D47" s="247" t="s">
        <v>1440</v>
      </c>
      <c r="E47" s="247" t="s">
        <v>1439</v>
      </c>
      <c r="F47" s="247" t="s">
        <v>1439</v>
      </c>
      <c r="G47" s="247" t="s">
        <v>1439</v>
      </c>
      <c r="H47" s="247" t="s">
        <v>1444</v>
      </c>
      <c r="I47" s="247" t="s">
        <v>1440</v>
      </c>
      <c r="J47" s="247" t="s">
        <v>1444</v>
      </c>
      <c r="K47" s="247" t="s">
        <v>1440</v>
      </c>
      <c r="L47" s="247" t="s">
        <v>1439</v>
      </c>
      <c r="M47" s="247" t="s">
        <v>1440</v>
      </c>
      <c r="N47" s="247" t="s">
        <v>1440</v>
      </c>
      <c r="O47" s="247" t="s">
        <v>1439</v>
      </c>
      <c r="P47" s="247" t="s">
        <v>1440</v>
      </c>
      <c r="Q47" s="247" t="s">
        <v>1439</v>
      </c>
      <c r="R47" s="247" t="s">
        <v>1444</v>
      </c>
      <c r="S47" s="247" t="s">
        <v>1439</v>
      </c>
      <c r="T47" s="247" t="s">
        <v>1444</v>
      </c>
      <c r="U47" s="247" t="s">
        <v>1439</v>
      </c>
      <c r="V47" s="247" t="s">
        <v>1439</v>
      </c>
      <c r="W47" s="247" t="s">
        <v>1439</v>
      </c>
      <c r="X47" s="247" t="s">
        <v>1439</v>
      </c>
      <c r="Y47" s="247" t="s">
        <v>1439</v>
      </c>
      <c r="Z47" s="247" t="s">
        <v>1439</v>
      </c>
      <c r="AA47" s="247" t="s">
        <v>1439</v>
      </c>
      <c r="AB47" s="247" t="s">
        <v>1439</v>
      </c>
      <c r="AC47" s="247" t="s">
        <v>2716</v>
      </c>
    </row>
    <row r="48" spans="2:29" x14ac:dyDescent="0.3">
      <c r="B48" s="247" t="s">
        <v>2715</v>
      </c>
      <c r="C48" s="247" t="s">
        <v>2725</v>
      </c>
      <c r="D48" s="247" t="s">
        <v>1439</v>
      </c>
      <c r="E48" s="247" t="s">
        <v>1444</v>
      </c>
      <c r="F48" s="247" t="s">
        <v>1439</v>
      </c>
      <c r="G48" s="247" t="s">
        <v>1439</v>
      </c>
      <c r="H48" s="247" t="s">
        <v>1444</v>
      </c>
      <c r="I48" s="247" t="s">
        <v>1439</v>
      </c>
      <c r="J48" s="247" t="s">
        <v>1439</v>
      </c>
      <c r="K48" s="247" t="s">
        <v>1440</v>
      </c>
      <c r="L48" s="247" t="s">
        <v>1444</v>
      </c>
      <c r="M48" s="247" t="s">
        <v>2716</v>
      </c>
      <c r="N48" s="247" t="s">
        <v>1439</v>
      </c>
      <c r="O48" s="247" t="s">
        <v>1439</v>
      </c>
      <c r="P48" s="247" t="s">
        <v>1440</v>
      </c>
      <c r="Q48" s="247" t="s">
        <v>1440</v>
      </c>
      <c r="R48" s="247" t="s">
        <v>2269</v>
      </c>
      <c r="S48" s="247" t="s">
        <v>2269</v>
      </c>
      <c r="T48" s="247" t="s">
        <v>2716</v>
      </c>
      <c r="U48" s="247" t="s">
        <v>1444</v>
      </c>
      <c r="V48" s="247" t="s">
        <v>1439</v>
      </c>
      <c r="W48" s="247" t="s">
        <v>1439</v>
      </c>
      <c r="X48" s="247" t="s">
        <v>1439</v>
      </c>
      <c r="Y48" s="247" t="s">
        <v>1444</v>
      </c>
      <c r="Z48" s="247" t="s">
        <v>1444</v>
      </c>
      <c r="AA48" s="247" t="s">
        <v>1440</v>
      </c>
      <c r="AB48" s="247" t="s">
        <v>1439</v>
      </c>
      <c r="AC48" s="247" t="s">
        <v>1440</v>
      </c>
    </row>
  </sheetData>
  <pageMargins left="0.7" right="0.7" top="0.75" bottom="0.75" header="0.3" footer="0.3"/>
  <pageSetup orientation="portrait" horizontalDpi="4294967293" verticalDpi="4294967293"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7"/>
  <dimension ref="B3:F69"/>
  <sheetViews>
    <sheetView zoomScaleNormal="100" workbookViewId="0">
      <selection activeCell="B8" sqref="B8"/>
    </sheetView>
  </sheetViews>
  <sheetFormatPr defaultColWidth="8.77734375" defaultRowHeight="14.4" x14ac:dyDescent="0.3"/>
  <cols>
    <col min="2" max="2" width="183.44140625" bestFit="1" customWidth="1"/>
    <col min="3" max="3" width="39.6640625" customWidth="1"/>
    <col min="4" max="4" width="255.77734375" bestFit="1" customWidth="1"/>
    <col min="5" max="5" width="39.6640625" customWidth="1"/>
    <col min="6" max="6" width="192" bestFit="1" customWidth="1"/>
  </cols>
  <sheetData>
    <row r="3" spans="2:6" x14ac:dyDescent="0.3">
      <c r="B3" s="8" t="s">
        <v>120</v>
      </c>
      <c r="C3" s="8" t="s">
        <v>121</v>
      </c>
      <c r="D3" s="8" t="s">
        <v>122</v>
      </c>
      <c r="E3" s="8" t="s">
        <v>123</v>
      </c>
      <c r="F3" s="80" t="str">
        <f>D3</f>
        <v>New question-long</v>
      </c>
    </row>
    <row r="4" spans="2:6" x14ac:dyDescent="0.3">
      <c r="B4" t="s">
        <v>0</v>
      </c>
      <c r="C4" t="s">
        <v>37</v>
      </c>
      <c r="D4" t="s">
        <v>124</v>
      </c>
      <c r="E4" t="s">
        <v>152</v>
      </c>
      <c r="F4" s="80" t="str">
        <f>D4</f>
        <v>1. Attack actors:Compared to last month the threat to your organization from the following actors has: - Insider threat: In your view the risk from malicious insiders (with both opportunity and motivation)</v>
      </c>
    </row>
    <row r="5" spans="2:6" x14ac:dyDescent="0.3">
      <c r="B5" t="s">
        <v>1</v>
      </c>
      <c r="C5" t="s">
        <v>38</v>
      </c>
      <c r="D5" t="s">
        <v>125</v>
      </c>
      <c r="E5" t="s">
        <v>153</v>
      </c>
      <c r="F5" s="80" t="str">
        <f t="shared" ref="F5:F29" si="0">D5</f>
        <v>1. Attack actors:Compared to last month the threat to your organization from the following actors has: - Strategic rivals: The likelihood that there exist attacks explicitly targeting economically valuable data within your organization</v>
      </c>
    </row>
    <row r="6" spans="2:6" x14ac:dyDescent="0.3">
      <c r="B6" t="s">
        <v>2</v>
      </c>
      <c r="C6" t="s">
        <v>39</v>
      </c>
      <c r="D6" t="s">
        <v>126</v>
      </c>
      <c r="E6" t="s">
        <v>154</v>
      </c>
      <c r="F6" s="80" t="str">
        <f t="shared" si="0"/>
        <v>1. Attack actors:Compared to last month the threat to your organization from the following actors has: - Activists/hacktivists: Your exposure to politically or ideologically motivated activity (whether local or abroad)</v>
      </c>
    </row>
    <row r="7" spans="2:6" x14ac:dyDescent="0.3">
      <c r="B7" t="s">
        <v>3</v>
      </c>
      <c r="C7" t="s">
        <v>40</v>
      </c>
      <c r="D7" t="s">
        <v>127</v>
      </c>
      <c r="E7" t="s">
        <v>155</v>
      </c>
      <c r="F7" s="80" t="str">
        <f t="shared" si="0"/>
        <v>1. Attack actors:Compared to last month the threat to your organization from the following actors has: - Criminals: The threat to your organization from criminally motivated attackers</v>
      </c>
    </row>
    <row r="8" spans="2:6" x14ac:dyDescent="0.3">
      <c r="B8" t="s">
        <v>4</v>
      </c>
      <c r="C8" t="s">
        <v>41</v>
      </c>
      <c r="D8" t="s">
        <v>214</v>
      </c>
      <c r="E8" t="s">
        <v>156</v>
      </c>
      <c r="F8" s="80" t="str">
        <f t="shared" si="0"/>
        <v>1. Attack actors:Compared to last month the threat to your organization from the following actors has: - Nation-states: The degree to which you are a target for nation-state actors (including state owned enterprises or groups)</v>
      </c>
    </row>
    <row r="9" spans="2:6" x14ac:dyDescent="0.3">
      <c r="B9" t="s">
        <v>5</v>
      </c>
      <c r="C9" t="s">
        <v>42</v>
      </c>
      <c r="D9" t="s">
        <v>128</v>
      </c>
      <c r="E9" t="s">
        <v>157</v>
      </c>
      <c r="F9" s="80" t="str">
        <f t="shared" si="0"/>
        <v>2. Weapons:Compared to last month the threat from the following attack paths has: - Botnets</v>
      </c>
    </row>
    <row r="10" spans="2:6" x14ac:dyDescent="0.3">
      <c r="B10" t="s">
        <v>6</v>
      </c>
      <c r="C10" t="s">
        <v>43</v>
      </c>
      <c r="D10" t="s">
        <v>129</v>
      </c>
      <c r="E10" t="s">
        <v>158</v>
      </c>
      <c r="F10" s="80" t="str">
        <f t="shared" si="0"/>
        <v>2. Weapons:Compared to last month the threat from the following attack paths has: - Mass malware</v>
      </c>
    </row>
    <row r="11" spans="2:6" x14ac:dyDescent="0.3">
      <c r="B11" t="s">
        <v>7</v>
      </c>
      <c r="C11" t="s">
        <v>44</v>
      </c>
      <c r="D11" t="s">
        <v>130</v>
      </c>
      <c r="E11" t="s">
        <v>159</v>
      </c>
      <c r="F11" s="80" t="str">
        <f t="shared" si="0"/>
        <v>2. Weapons:Compared to last month the threat from the following attack paths has: - Vulnerability exploitation</v>
      </c>
    </row>
    <row r="12" spans="2:6" x14ac:dyDescent="0.3">
      <c r="B12" t="s">
        <v>8</v>
      </c>
      <c r="C12" t="s">
        <v>45</v>
      </c>
      <c r="D12" t="s">
        <v>131</v>
      </c>
      <c r="E12" t="s">
        <v>160</v>
      </c>
      <c r="F12" s="80" t="str">
        <f t="shared" si="0"/>
        <v>2. Weapons:Compared to last month the threat from the following attack paths has: - Phishing &amp; social engineering</v>
      </c>
    </row>
    <row r="13" spans="2:6" x14ac:dyDescent="0.3">
      <c r="B13" t="s">
        <v>9</v>
      </c>
      <c r="C13" t="s">
        <v>46</v>
      </c>
      <c r="D13" t="s">
        <v>132</v>
      </c>
      <c r="E13" t="s">
        <v>161</v>
      </c>
      <c r="F13" s="80" t="str">
        <f t="shared" si="0"/>
        <v>2. Weapons:Compared to last month the threat from the following attack paths has: - Attacks customized to your organization</v>
      </c>
    </row>
    <row r="14" spans="2:6" x14ac:dyDescent="0.3">
      <c r="B14" t="s">
        <v>51</v>
      </c>
      <c r="C14" t="s">
        <v>57</v>
      </c>
      <c r="D14" t="s">
        <v>133</v>
      </c>
      <c r="E14" t="s">
        <v>162</v>
      </c>
      <c r="F14" s="80" t="str">
        <f t="shared" si="0"/>
        <v>3. Effect desired by attackers: Compared to last month the risk from attack motivations listed below has: - Data theft (Confidentiality)</v>
      </c>
    </row>
    <row r="15" spans="2:6" x14ac:dyDescent="0.3">
      <c r="B15" t="s">
        <v>52</v>
      </c>
      <c r="C15" t="s">
        <v>58</v>
      </c>
      <c r="D15" t="s">
        <v>134</v>
      </c>
      <c r="E15" t="s">
        <v>163</v>
      </c>
      <c r="F15" s="80" t="str">
        <f t="shared" si="0"/>
        <v>3. Effect desired by attackers: Compared to last month the risk from attack motivations listed below has: - Data modification (Integrity)</v>
      </c>
    </row>
    <row r="16" spans="2:6" x14ac:dyDescent="0.3">
      <c r="B16" t="s">
        <v>53</v>
      </c>
      <c r="C16" t="s">
        <v>59</v>
      </c>
      <c r="D16" t="s">
        <v>135</v>
      </c>
      <c r="E16" t="s">
        <v>164</v>
      </c>
      <c r="F16" s="80" t="str">
        <f t="shared" si="0"/>
        <v>3. Effect desired by attackers: Compared to last month the risk from attack motivations listed below has: - Business disruption (Availability)</v>
      </c>
    </row>
    <row r="17" spans="2:6" x14ac:dyDescent="0.3">
      <c r="B17" t="s">
        <v>54</v>
      </c>
      <c r="C17" t="s">
        <v>60</v>
      </c>
      <c r="D17" t="s">
        <v>136</v>
      </c>
      <c r="E17" t="s">
        <v>165</v>
      </c>
      <c r="F17" s="80" t="str">
        <f t="shared" si="0"/>
        <v>4. Attack targets:Compared to last month the risk via the following targets for your organization has: - Web facing applications</v>
      </c>
    </row>
    <row r="18" spans="2:6" x14ac:dyDescent="0.3">
      <c r="B18" t="s">
        <v>55</v>
      </c>
      <c r="C18" t="s">
        <v>61</v>
      </c>
      <c r="D18" t="s">
        <v>137</v>
      </c>
      <c r="E18" t="s">
        <v>166</v>
      </c>
      <c r="F18" s="80" t="str">
        <f t="shared" si="0"/>
        <v>4. Attack targets:Compared to last month the risk via the following targets for your organization has: - Internet exposed devices and appliances</v>
      </c>
    </row>
    <row r="19" spans="2:6" x14ac:dyDescent="0.3">
      <c r="B19" t="s">
        <v>56</v>
      </c>
      <c r="C19" t="s">
        <v>62</v>
      </c>
      <c r="D19" t="s">
        <v>138</v>
      </c>
      <c r="E19" t="s">
        <v>167</v>
      </c>
      <c r="F19" s="80" t="str">
        <f t="shared" si="0"/>
        <v>4. Attack targets:Compared to last month the risk via the following targets for your organization has: - End point desktops</v>
      </c>
    </row>
    <row r="20" spans="2:6" x14ac:dyDescent="0.3">
      <c r="B20" t="s">
        <v>10</v>
      </c>
      <c r="C20" t="s">
        <v>47</v>
      </c>
      <c r="D20" t="s">
        <v>139</v>
      </c>
      <c r="E20" t="s">
        <v>168</v>
      </c>
      <c r="F20" s="80" t="str">
        <f t="shared" si="0"/>
        <v>4. Attack targets:Compared to last month the risk via the following targets for your organization has: - Mobile devices</v>
      </c>
    </row>
    <row r="21" spans="2:6" x14ac:dyDescent="0.3">
      <c r="B21" t="s">
        <v>11</v>
      </c>
      <c r="C21" t="s">
        <v>48</v>
      </c>
      <c r="D21" t="s">
        <v>140</v>
      </c>
      <c r="E21" t="s">
        <v>169</v>
      </c>
      <c r="F21" s="80" t="str">
        <f t="shared" si="0"/>
        <v>4. Attack targets:Compared to last month the risk via the following targets for your organization has: - Public infrastructures you rely upon (including cloud)</v>
      </c>
    </row>
    <row r="22" spans="2:6" x14ac:dyDescent="0.3">
      <c r="D22" s="124" t="s">
        <v>209</v>
      </c>
      <c r="E22" s="124" t="s">
        <v>211</v>
      </c>
      <c r="F22" s="124" t="str">
        <f t="shared" si="0"/>
        <v>4. Attack targets:Compared to last month the risk via the following targets for your organization has: - Network-connected but autonomous devices (collectively known as the â€œInternet of Thingsâ€)</v>
      </c>
    </row>
    <row r="23" spans="2:6" x14ac:dyDescent="0.3">
      <c r="B23" t="s">
        <v>12</v>
      </c>
      <c r="C23" t="s">
        <v>49</v>
      </c>
      <c r="D23" t="s">
        <v>186</v>
      </c>
      <c r="E23" t="s">
        <v>180</v>
      </c>
      <c r="F23" s="80" t="str">
        <f t="shared" si="0"/>
        <v>4. Attack targets:Compared to last month the risk via the following targets for your organization has: - Third parties (counterparties vendors partners etc) who have rightful access to your data</v>
      </c>
    </row>
    <row r="24" spans="2:6" x14ac:dyDescent="0.3">
      <c r="B24" t="s">
        <v>13</v>
      </c>
      <c r="C24" t="s">
        <v>50</v>
      </c>
      <c r="D24" t="s">
        <v>141</v>
      </c>
      <c r="E24" t="s">
        <v>170</v>
      </c>
      <c r="F24" s="80" t="str">
        <f t="shared" si="0"/>
        <v>5. Defenses:Compared to last month what is your view of: - Vulnerability of available defenses to known threats</v>
      </c>
    </row>
    <row r="25" spans="2:6" x14ac:dyDescent="0.3">
      <c r="D25" t="s">
        <v>142</v>
      </c>
      <c r="E25" t="s">
        <v>171</v>
      </c>
      <c r="F25" s="80" t="str">
        <f t="shared" si="0"/>
        <v>5. Defenses:Compared to last month what is your view of: - Vulnerability of available defenses to UNKNOWN threats</v>
      </c>
    </row>
    <row r="26" spans="2:6" x14ac:dyDescent="0.3">
      <c r="D26" s="124" t="s">
        <v>210</v>
      </c>
      <c r="E26" s="124" t="s">
        <v>212</v>
      </c>
      <c r="F26" s="124" t="str">
        <f t="shared" si="0"/>
        <v>6. Overall perceptions:Compared to last month what is your view of: - Ability to detect false digital claims of identity when received by/presented to machines/functions for which you are responsible</v>
      </c>
    </row>
    <row r="27" spans="2:6" x14ac:dyDescent="0.3">
      <c r="D27" t="s">
        <v>143</v>
      </c>
      <c r="E27" t="s">
        <v>172</v>
      </c>
      <c r="F27" s="80" t="str">
        <f t="shared" si="0"/>
        <v>6. Overall perceptions:Compared to last month what is your view of: - Media and public perception of cyber risks affecting the general populace</v>
      </c>
    </row>
    <row r="28" spans="2:6" x14ac:dyDescent="0.3">
      <c r="B28" t="s">
        <v>209</v>
      </c>
      <c r="D28" t="s">
        <v>144</v>
      </c>
      <c r="E28" t="s">
        <v>173</v>
      </c>
      <c r="F28" s="80" t="str">
        <f t="shared" si="0"/>
        <v>6. Overall perceptions:Compared to last month what is your view of: - Your personal risk from online activity including commerce</v>
      </c>
    </row>
    <row r="29" spans="2:6" x14ac:dyDescent="0.3">
      <c r="B29" t="s">
        <v>210</v>
      </c>
      <c r="D29" t="s">
        <v>145</v>
      </c>
      <c r="E29" t="s">
        <v>174</v>
      </c>
      <c r="F29" s="80" t="str">
        <f t="shared" si="0"/>
        <v>6. Overall perceptions:Compared to last month what is your view of: - Information sharing in your industry or region</v>
      </c>
    </row>
    <row r="30" spans="2:6" x14ac:dyDescent="0.3">
      <c r="D30" t="s">
        <v>146</v>
      </c>
      <c r="E30" t="s">
        <v>175</v>
      </c>
    </row>
    <row r="31" spans="2:6" x14ac:dyDescent="0.3">
      <c r="D31" t="s">
        <v>147</v>
      </c>
    </row>
    <row r="34" spans="4:5" x14ac:dyDescent="0.3">
      <c r="D34" s="76" t="s">
        <v>179</v>
      </c>
    </row>
    <row r="35" spans="4:5" x14ac:dyDescent="0.3">
      <c r="D35" s="76" t="s">
        <v>177</v>
      </c>
      <c r="E35" s="76" t="s">
        <v>178</v>
      </c>
    </row>
    <row r="36" spans="4:5" x14ac:dyDescent="0.3">
      <c r="D36" t="s">
        <v>152</v>
      </c>
      <c r="E36" t="s">
        <v>41</v>
      </c>
    </row>
    <row r="37" spans="4:5" x14ac:dyDescent="0.3">
      <c r="D37" t="s">
        <v>153</v>
      </c>
      <c r="E37" t="s">
        <v>43</v>
      </c>
    </row>
    <row r="38" spans="4:5" x14ac:dyDescent="0.3">
      <c r="D38" t="s">
        <v>154</v>
      </c>
      <c r="E38" t="s">
        <v>44</v>
      </c>
    </row>
    <row r="39" spans="4:5" x14ac:dyDescent="0.3">
      <c r="D39" t="s">
        <v>155</v>
      </c>
    </row>
    <row r="40" spans="4:5" x14ac:dyDescent="0.3">
      <c r="D40" t="s">
        <v>156</v>
      </c>
      <c r="E40" t="s">
        <v>42</v>
      </c>
    </row>
    <row r="41" spans="4:5" x14ac:dyDescent="0.3">
      <c r="D41" t="s">
        <v>157</v>
      </c>
    </row>
    <row r="42" spans="4:5" x14ac:dyDescent="0.3">
      <c r="D42" t="s">
        <v>158</v>
      </c>
      <c r="E42" t="s">
        <v>37</v>
      </c>
    </row>
    <row r="43" spans="4:5" x14ac:dyDescent="0.3">
      <c r="D43" t="s">
        <v>159</v>
      </c>
    </row>
    <row r="44" spans="4:5" x14ac:dyDescent="0.3">
      <c r="D44" t="s">
        <v>160</v>
      </c>
    </row>
    <row r="45" spans="4:5" x14ac:dyDescent="0.3">
      <c r="D45" t="s">
        <v>161</v>
      </c>
    </row>
    <row r="46" spans="4:5" x14ac:dyDescent="0.3">
      <c r="D46" t="s">
        <v>162</v>
      </c>
    </row>
    <row r="47" spans="4:5" x14ac:dyDescent="0.3">
      <c r="D47" t="s">
        <v>163</v>
      </c>
    </row>
    <row r="48" spans="4:5" x14ac:dyDescent="0.3">
      <c r="D48" t="s">
        <v>164</v>
      </c>
    </row>
    <row r="49" spans="4:5" x14ac:dyDescent="0.3">
      <c r="D49" t="s">
        <v>165</v>
      </c>
      <c r="E49" t="s">
        <v>39</v>
      </c>
    </row>
    <row r="50" spans="4:5" x14ac:dyDescent="0.3">
      <c r="D50" t="s">
        <v>166</v>
      </c>
    </row>
    <row r="51" spans="4:5" x14ac:dyDescent="0.3">
      <c r="D51" t="s">
        <v>167</v>
      </c>
    </row>
    <row r="52" spans="4:5" x14ac:dyDescent="0.3">
      <c r="D52" t="s">
        <v>168</v>
      </c>
    </row>
    <row r="53" spans="4:5" x14ac:dyDescent="0.3">
      <c r="D53" t="s">
        <v>169</v>
      </c>
    </row>
    <row r="54" spans="4:5" x14ac:dyDescent="0.3">
      <c r="D54" t="s">
        <v>180</v>
      </c>
      <c r="E54" t="s">
        <v>40</v>
      </c>
    </row>
    <row r="55" spans="4:5" x14ac:dyDescent="0.3">
      <c r="D55" t="s">
        <v>170</v>
      </c>
      <c r="E55" t="s">
        <v>46</v>
      </c>
    </row>
    <row r="56" spans="4:5" x14ac:dyDescent="0.3">
      <c r="D56" t="s">
        <v>171</v>
      </c>
      <c r="E56" t="s">
        <v>45</v>
      </c>
    </row>
    <row r="57" spans="4:5" x14ac:dyDescent="0.3">
      <c r="D57" t="s">
        <v>172</v>
      </c>
      <c r="E57" t="s">
        <v>48</v>
      </c>
    </row>
    <row r="58" spans="4:5" x14ac:dyDescent="0.3">
      <c r="D58" t="s">
        <v>173</v>
      </c>
      <c r="E58" t="s">
        <v>50</v>
      </c>
    </row>
    <row r="59" spans="4:5" x14ac:dyDescent="0.3">
      <c r="D59" s="73" t="s">
        <v>174</v>
      </c>
      <c r="E59" s="73" t="s">
        <v>47</v>
      </c>
    </row>
    <row r="60" spans="4:5" x14ac:dyDescent="0.3">
      <c r="E60" s="75" t="s">
        <v>176</v>
      </c>
    </row>
    <row r="62" spans="4:5" x14ac:dyDescent="0.3">
      <c r="E62" t="s">
        <v>38</v>
      </c>
    </row>
    <row r="63" spans="4:5" x14ac:dyDescent="0.3">
      <c r="E63" t="s">
        <v>57</v>
      </c>
    </row>
    <row r="64" spans="4:5" x14ac:dyDescent="0.3">
      <c r="E64" t="s">
        <v>58</v>
      </c>
    </row>
    <row r="65" spans="5:5" x14ac:dyDescent="0.3">
      <c r="E65" t="s">
        <v>59</v>
      </c>
    </row>
    <row r="66" spans="5:5" x14ac:dyDescent="0.3">
      <c r="E66" t="s">
        <v>60</v>
      </c>
    </row>
    <row r="67" spans="5:5" x14ac:dyDescent="0.3">
      <c r="E67" t="s">
        <v>61</v>
      </c>
    </row>
    <row r="68" spans="5:5" x14ac:dyDescent="0.3">
      <c r="E68" t="s">
        <v>62</v>
      </c>
    </row>
    <row r="69" spans="5:5" x14ac:dyDescent="0.3">
      <c r="E69" t="s">
        <v>49</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10</vt:i4>
      </vt:variant>
    </vt:vector>
  </HeadingPairs>
  <TitlesOfParts>
    <vt:vector size="23" baseType="lpstr">
      <vt:lpstr>Paste_Report_Here</vt:lpstr>
      <vt:lpstr>Calcs</vt:lpstr>
      <vt:lpstr>Index_CALCULATION</vt:lpstr>
      <vt:lpstr>Graphs</vt:lpstr>
      <vt:lpstr>alpha-beta</vt:lpstr>
      <vt:lpstr>Rolling 12 mos</vt:lpstr>
      <vt:lpstr>main_chart</vt:lpstr>
      <vt:lpstr>subindex_charts</vt:lpstr>
      <vt:lpstr>diffusion_chart</vt:lpstr>
      <vt:lpstr>Q_of_the_mth</vt:lpstr>
      <vt:lpstr>Sheet1</vt:lpstr>
      <vt:lpstr>Talent QOM</vt:lpstr>
      <vt:lpstr>mappings</vt:lpstr>
      <vt:lpstr>chart</vt:lpstr>
      <vt:lpstr>chart4Area_to_go</vt:lpstr>
      <vt:lpstr>Falling</vt:lpstr>
      <vt:lpstr>Falling_fast</vt:lpstr>
      <vt:lpstr>number_responses</vt:lpstr>
      <vt:lpstr>Index_CALCULATION!Print_Area</vt:lpstr>
      <vt:lpstr>prior_index_value</vt:lpstr>
      <vt:lpstr>Rising</vt:lpstr>
      <vt:lpstr>Rising_fast</vt:lpstr>
      <vt:lpstr>Static</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Index_Report_Jun_2012.xlsx</dc:title>
  <dc:subject>pareem\home\My Documents\ICS\Index_Report_Aug_2011.xlsx</dc:subject>
  <dc:creator>admin</dc:creator>
  <cp:lastModifiedBy>nealb</cp:lastModifiedBy>
  <cp:lastPrinted>2011-09-13T22:42:23Z</cp:lastPrinted>
  <dcterms:created xsi:type="dcterms:W3CDTF">2011-04-27T14:45:35Z</dcterms:created>
  <dcterms:modified xsi:type="dcterms:W3CDTF">2019-10-10T00:27:55Z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lqminfo">
    <vt:i4>7</vt:i4>
  </property>
  <property fmtid="{D5CDD505-2E9C-101B-9397-08002B2CF9AE}" pid="3" name="lqmsess">
    <vt:lpwstr>0fb0f26d-7ba3-4e29-98a9-a791cb268e04</vt:lpwstr>
  </property>
  <property fmtid="{D5CDD505-2E9C-101B-9397-08002B2CF9AE}" pid="4" name="WorkbookGuid">
    <vt:lpwstr>910c49bb-4954-4384-9cf0-28e70c3255bf</vt:lpwstr>
  </property>
</Properties>
</file>